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ABBA2D32-93C7-4CDE-BA77-CBC078A48CFA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</calcChain>
</file>

<file path=xl/sharedStrings.xml><?xml version="1.0" encoding="utf-8"?>
<sst xmlns="http://schemas.openxmlformats.org/spreadsheetml/2006/main" count="13346" uniqueCount="111">
  <si>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</si>
  <si>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</si>
  <si>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</si>
  <si>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</si>
  <si>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</si>
  <si>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</si>
  <si>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</si>
  <si>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</si>
  <si>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</si>
  <si>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</si>
  <si>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</si>
  <si>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</si>
  <si>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</si>
  <si>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</si>
  <si>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</si>
  <si>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</si>
  <si>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</si>
  <si>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</si>
  <si>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</si>
  <si>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</si>
  <si>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</si>
  <si>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</si>
  <si>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</si>
  <si>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</si>
  <si>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</si>
  <si>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</si>
  <si>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</si>
  <si>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</si>
  <si>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</si>
  <si>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</si>
  <si>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</si>
  <si>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</si>
  <si>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</si>
  <si>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</si>
  <si>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</si>
  <si>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</si>
  <si>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</si>
  <si>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</si>
  <si>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</si>
  <si>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</si>
  <si>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</si>
  <si>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Plane_01</t>
  </si>
  <si>
    <t>mcp_road_part_02</t>
  </si>
  <si>
    <t>Kooper</t>
  </si>
  <si>
    <t>mcp_roads_turn_01 (1)</t>
  </si>
  <si>
    <t>Building 07 (16)</t>
  </si>
  <si>
    <t>Box001</t>
  </si>
  <si>
    <t>Building 18 (9)</t>
  </si>
  <si>
    <t>Building 07 (17)</t>
  </si>
  <si>
    <t>Building 07 (18)</t>
  </si>
  <si>
    <t>Building 24</t>
  </si>
  <si>
    <t>Building 24 (1)</t>
  </si>
  <si>
    <t>mcp_roads_T_cross_01</t>
  </si>
  <si>
    <t>mcp_road_part_01</t>
  </si>
  <si>
    <t>Floor 02</t>
  </si>
  <si>
    <t>Wall Small 03 (4)</t>
  </si>
  <si>
    <t>Wall Small 03 (1)</t>
  </si>
  <si>
    <t>Wall Small 03 (2)</t>
  </si>
  <si>
    <t>Building 19</t>
  </si>
  <si>
    <t>Pilar Small</t>
  </si>
  <si>
    <t>mcp_roads_cross_01</t>
  </si>
  <si>
    <t>Building 15 (33)</t>
  </si>
  <si>
    <t>FAR</t>
  </si>
  <si>
    <t>Building 02 (8)</t>
  </si>
  <si>
    <t>Building 07 (4)</t>
  </si>
  <si>
    <t>Building 15 (32)</t>
  </si>
  <si>
    <t>Plane_01 (1)</t>
  </si>
  <si>
    <t>Building 15 (30)</t>
  </si>
  <si>
    <t>mcp_roads_turn_01</t>
  </si>
  <si>
    <t>Building 09 (4)</t>
  </si>
  <si>
    <t>Building 07 (15)</t>
  </si>
  <si>
    <t>Building 02 (11)</t>
  </si>
  <si>
    <t>Tree 02 (2)</t>
  </si>
  <si>
    <t>Building 29 (5)</t>
  </si>
  <si>
    <t>Tree 02 (3)</t>
  </si>
  <si>
    <t>Tree 05 (15)</t>
  </si>
  <si>
    <t>Bannar 14 (1)</t>
  </si>
  <si>
    <t>Building 11 (3)</t>
  </si>
  <si>
    <t>Building 01</t>
  </si>
  <si>
    <t>Building 18 (5)</t>
  </si>
  <si>
    <t>mcp_building_24_fountain_marble</t>
  </si>
  <si>
    <t>Stand 03 (2)</t>
  </si>
  <si>
    <t>Canopi 01 (5)</t>
  </si>
  <si>
    <t>Canopi 01 (4)</t>
  </si>
  <si>
    <t>mcp_roads_cross_02</t>
  </si>
  <si>
    <t>Building 18 (11)</t>
  </si>
  <si>
    <t>Building 15 (35)</t>
  </si>
  <si>
    <t>Building 15 (34)</t>
  </si>
  <si>
    <t>Building 18 (2)</t>
  </si>
  <si>
    <t>Building 21 (2)</t>
  </si>
  <si>
    <t>Building 01 (1)</t>
  </si>
  <si>
    <t>Building 15 (7)</t>
  </si>
  <si>
    <t>Building 13 (1)</t>
  </si>
  <si>
    <t>Building 18 (7)</t>
  </si>
  <si>
    <t>Building 18 (6)</t>
  </si>
  <si>
    <t>mcp_bus_stop_night_LOD_0</t>
  </si>
  <si>
    <t>Building 30 (4)</t>
  </si>
  <si>
    <t>mcp_road_part_02 (3)</t>
  </si>
  <si>
    <t>mcp_road_part_02 (2)</t>
  </si>
  <si>
    <t>Shurbs</t>
  </si>
  <si>
    <t>Building 04 (3)</t>
  </si>
  <si>
    <t>Building 07 (14)</t>
  </si>
  <si>
    <t>mcp_road_part_02 (11)</t>
  </si>
  <si>
    <t>mcp_road_part_02 (12)</t>
  </si>
  <si>
    <t>mcp_road_part_02 (8)</t>
  </si>
  <si>
    <t>mcp_road_part_02 (9)</t>
  </si>
  <si>
    <t>mcp_road_part_02 (10)</t>
  </si>
  <si>
    <t>mcp_road_part_02 (6)</t>
  </si>
  <si>
    <t>Canopi 01 (7)</t>
  </si>
  <si>
    <t>Building 15 (22)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</si>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</sst>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5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"20190303170941200"</f>
        <v>20190303170941200</v>
      </c>
      <c r="B2" t="str">
        <f>"1551604181191027"</f>
        <v>1551604181191027</v>
      </c>
      <c r="C2" t="s">
        <v>40</v>
      </c>
      <c r="D2">
        <v>4.731096</v>
      </c>
      <c r="E2">
        <v>0.4816086</v>
      </c>
      <c r="F2" t="s">
        <v>41</v>
      </c>
      <c r="G2">
        <v>-408.0752</v>
      </c>
      <c r="H2">
        <v>-0.05</v>
      </c>
      <c r="I2">
        <v>366.79790000000003</v>
      </c>
      <c r="J2">
        <v>-475.6669</v>
      </c>
      <c r="K2">
        <v>1.1206579999999999</v>
      </c>
      <c r="L2">
        <v>367.0675</v>
      </c>
      <c r="M2">
        <v>0.99996169999999995</v>
      </c>
      <c r="N2">
        <v>-8.7434690000000002E-3</v>
      </c>
      <c r="O2">
        <v>4.7959519999999999E-4</v>
      </c>
      <c r="P2">
        <v>0.98013530000000004</v>
      </c>
      <c r="Q2">
        <v>0.1890897</v>
      </c>
      <c r="R2">
        <v>-5.9833549999999999E-2</v>
      </c>
      <c r="S2">
        <v>3.0696720000000002</v>
      </c>
      <c r="T2">
        <v>-5.3168420000000001E-2</v>
      </c>
      <c r="U2">
        <v>-1.223755E-2</v>
      </c>
      <c r="V2">
        <v>6.0262589999999998E-2</v>
      </c>
      <c r="W2">
        <v>0.1976646</v>
      </c>
      <c r="X2">
        <v>0.97841560000000005</v>
      </c>
      <c r="Y2">
        <v>4.4651509999999997E-3</v>
      </c>
      <c r="Z2" s="1">
        <v>-6.2302469999999898E-5</v>
      </c>
      <c r="AA2">
        <v>0.99999000000000005</v>
      </c>
      <c r="AB2">
        <v>1</v>
      </c>
      <c r="AC2">
        <v>67.591700000000003</v>
      </c>
      <c r="AD2">
        <v>-1.170658</v>
      </c>
      <c r="AE2">
        <v>-0.26959999999996798</v>
      </c>
      <c r="AF2">
        <v>0.30192729499479498</v>
      </c>
      <c r="AG2">
        <v>-1.170658</v>
      </c>
      <c r="AH2">
        <v>67.571294092979997</v>
      </c>
      <c r="AI2">
        <v>90.992527739839801</v>
      </c>
      <c r="AJ2">
        <v>89.7439882596925</v>
      </c>
      <c r="AK2">
        <v>67.582108472911798</v>
      </c>
      <c r="AL2">
        <v>78.5995754526882</v>
      </c>
      <c r="AM2">
        <v>86.475489723373698</v>
      </c>
      <c r="AN2">
        <v>0.99999998008501301</v>
      </c>
    </row>
    <row r="3" spans="1:40" x14ac:dyDescent="0.25">
      <c r="A3" t="str">
        <f>"20190303170941225"</f>
        <v>20190303170941225</v>
      </c>
      <c r="B3" t="str">
        <f>"1551604181210548"</f>
        <v>1551604181210548</v>
      </c>
      <c r="C3" t="s">
        <v>40</v>
      </c>
      <c r="D3">
        <v>4.7341419999999896</v>
      </c>
      <c r="E3">
        <v>0.48164879999999999</v>
      </c>
      <c r="F3" t="s">
        <v>41</v>
      </c>
      <c r="G3">
        <v>-402.33710000000002</v>
      </c>
      <c r="H3">
        <v>-0.05</v>
      </c>
      <c r="I3">
        <v>366.74239999999998</v>
      </c>
      <c r="J3">
        <v>-475.65460000000002</v>
      </c>
      <c r="K3">
        <v>1.1204879999999999</v>
      </c>
      <c r="L3">
        <v>367.06779999999998</v>
      </c>
      <c r="M3">
        <v>0.99997150000000001</v>
      </c>
      <c r="N3">
        <v>-7.520601E-3</v>
      </c>
      <c r="O3">
        <v>7.602288E-4</v>
      </c>
      <c r="P3">
        <v>0.97996689999999997</v>
      </c>
      <c r="Q3">
        <v>0.19003429999999999</v>
      </c>
      <c r="R3">
        <v>-5.9600699999999902E-2</v>
      </c>
      <c r="S3">
        <v>3.0694270000000001</v>
      </c>
      <c r="T3">
        <v>-4.9001219999999998E-2</v>
      </c>
      <c r="U3">
        <v>-1.3610840000000001E-2</v>
      </c>
      <c r="V3">
        <v>6.0291650000000002E-2</v>
      </c>
      <c r="W3">
        <v>0.1974149</v>
      </c>
      <c r="X3">
        <v>0.97846420000000001</v>
      </c>
      <c r="Y3">
        <v>5.1935230000000002E-3</v>
      </c>
      <c r="Z3" s="1">
        <v>-6.7402449999999994E-5</v>
      </c>
      <c r="AA3">
        <v>0.9999865</v>
      </c>
      <c r="AB3">
        <v>1</v>
      </c>
      <c r="AC3">
        <v>73.317499999999995</v>
      </c>
      <c r="AD3">
        <v>-1.170488</v>
      </c>
      <c r="AE3">
        <v>-0.32540000000000102</v>
      </c>
      <c r="AF3">
        <v>0.381042439123909</v>
      </c>
      <c r="AG3">
        <v>-1.170488</v>
      </c>
      <c r="AH3">
        <v>73.298550196607096</v>
      </c>
      <c r="AI3">
        <v>90.914853249470795</v>
      </c>
      <c r="AJ3">
        <v>89.702150631149195</v>
      </c>
      <c r="AK3">
        <v>73.308885521627502</v>
      </c>
      <c r="AL3">
        <v>78.6141695403917</v>
      </c>
      <c r="AM3">
        <v>86.473969114838894</v>
      </c>
      <c r="AN3">
        <v>0.99999995824168497</v>
      </c>
    </row>
    <row r="4" spans="1:40" x14ac:dyDescent="0.25">
      <c r="A4" t="str">
        <f>"20190303170941247"</f>
        <v>20190303170941247</v>
      </c>
      <c r="B4" t="str">
        <f>"1551604181240803"</f>
        <v>1551604181240803</v>
      </c>
      <c r="C4" t="s">
        <v>40</v>
      </c>
      <c r="D4">
        <v>4.7296950000000004</v>
      </c>
      <c r="E4">
        <v>0.48138950000000003</v>
      </c>
      <c r="F4" t="s">
        <v>42</v>
      </c>
      <c r="G4">
        <v>-398.08920000000001</v>
      </c>
      <c r="H4" s="1">
        <v>-1.4024530000000001E-6</v>
      </c>
      <c r="I4">
        <v>366.73689999999999</v>
      </c>
      <c r="J4">
        <v>-475.64030000000002</v>
      </c>
      <c r="K4">
        <v>1.120363</v>
      </c>
      <c r="L4">
        <v>367.06819999999999</v>
      </c>
      <c r="M4">
        <v>0.99997899999999995</v>
      </c>
      <c r="N4">
        <v>-6.4034460000000001E-3</v>
      </c>
      <c r="O4">
        <v>1.084242E-3</v>
      </c>
      <c r="P4">
        <v>0.9796783</v>
      </c>
      <c r="Q4">
        <v>0.19164809999999999</v>
      </c>
      <c r="R4">
        <v>-5.9174999999999998E-2</v>
      </c>
      <c r="S4">
        <v>3.0690919999999999</v>
      </c>
      <c r="T4">
        <v>-4.433525E-2</v>
      </c>
      <c r="U4">
        <v>-1.3092039999999999E-2</v>
      </c>
      <c r="V4">
        <v>6.0173879999999999E-2</v>
      </c>
      <c r="W4">
        <v>0.19793620000000001</v>
      </c>
      <c r="X4">
        <v>0.97836619999999996</v>
      </c>
      <c r="Y4">
        <v>5.3491429999999998E-3</v>
      </c>
      <c r="Z4" s="1">
        <v>-6.4481009999999995E-5</v>
      </c>
      <c r="AA4">
        <v>0.99998569999999998</v>
      </c>
      <c r="AB4">
        <v>1</v>
      </c>
      <c r="AC4">
        <v>77.551100000000005</v>
      </c>
      <c r="AD4">
        <v>-1.120364402453</v>
      </c>
      <c r="AE4">
        <v>-0.33129999999999798</v>
      </c>
      <c r="AF4">
        <v>0.41529900604275999</v>
      </c>
      <c r="AG4">
        <v>-1.120364402453</v>
      </c>
      <c r="AH4">
        <v>77.534513286288302</v>
      </c>
      <c r="AI4">
        <v>90.827847641477902</v>
      </c>
      <c r="AJ4">
        <v>89.693108891528894</v>
      </c>
      <c r="AK4">
        <v>77.5437195406586</v>
      </c>
      <c r="AL4">
        <v>78.583700818338201</v>
      </c>
      <c r="AM4">
        <v>86.480487702832406</v>
      </c>
      <c r="AN4">
        <v>1.0000000282035599</v>
      </c>
    </row>
    <row r="5" spans="1:40" x14ac:dyDescent="0.25">
      <c r="A5" t="str">
        <f>"20190303170941269"</f>
        <v>20190303170941269</v>
      </c>
      <c r="B5" t="str">
        <f>"1551604181260323"</f>
        <v>1551604181260323</v>
      </c>
      <c r="C5" t="s">
        <v>40</v>
      </c>
      <c r="D5">
        <v>4.8176699999999997</v>
      </c>
      <c r="E5">
        <v>0.4815006</v>
      </c>
      <c r="F5" t="s">
        <v>42</v>
      </c>
      <c r="G5">
        <v>-381.18169999999998</v>
      </c>
      <c r="H5" s="1">
        <v>-4.2659699999999999E-6</v>
      </c>
      <c r="I5">
        <v>366.79390000000001</v>
      </c>
      <c r="J5">
        <v>-475.62389999999999</v>
      </c>
      <c r="K5">
        <v>1.120252</v>
      </c>
      <c r="L5">
        <v>367.06849999999997</v>
      </c>
      <c r="M5">
        <v>0.99998469999999995</v>
      </c>
      <c r="N5">
        <v>-5.3429999999999997E-3</v>
      </c>
      <c r="O5">
        <v>1.4490099999999999E-3</v>
      </c>
      <c r="P5">
        <v>0.97939679999999996</v>
      </c>
      <c r="Q5">
        <v>0.19308710000000001</v>
      </c>
      <c r="R5">
        <v>-5.9154060000000001E-2</v>
      </c>
      <c r="S5">
        <v>3.0687869999999999</v>
      </c>
      <c r="T5">
        <v>-3.6398649999999998E-2</v>
      </c>
      <c r="U5">
        <v>-8.9111329999999999E-3</v>
      </c>
      <c r="V5">
        <v>6.0503149999999999E-2</v>
      </c>
      <c r="W5">
        <v>0.19833809999999999</v>
      </c>
      <c r="X5">
        <v>0.97826449999999998</v>
      </c>
      <c r="Y5">
        <v>4.3523320000000004E-3</v>
      </c>
      <c r="Z5" s="1">
        <v>-4.6882360000000001E-5</v>
      </c>
      <c r="AA5">
        <v>0.9999905</v>
      </c>
      <c r="AB5">
        <v>1</v>
      </c>
      <c r="AC5">
        <v>94.4422</v>
      </c>
      <c r="AD5">
        <v>-1.1202562659699999</v>
      </c>
      <c r="AE5">
        <v>-0.27459999999996398</v>
      </c>
      <c r="AF5">
        <v>0.41139147064480502</v>
      </c>
      <c r="AG5">
        <v>-1.1202562659699999</v>
      </c>
      <c r="AH5">
        <v>94.428416721271205</v>
      </c>
      <c r="AI5">
        <v>90.679693022440802</v>
      </c>
      <c r="AJ5">
        <v>89.750383976700505</v>
      </c>
      <c r="AK5">
        <v>94.435957672539203</v>
      </c>
      <c r="AL5">
        <v>78.5602079312591</v>
      </c>
      <c r="AM5">
        <v>86.460910874381895</v>
      </c>
      <c r="AN5">
        <v>1.00000003251589</v>
      </c>
    </row>
    <row r="6" spans="1:40" x14ac:dyDescent="0.25">
      <c r="A6" t="str">
        <f>"20190303170941290"</f>
        <v>20190303170941290</v>
      </c>
      <c r="B6" t="str">
        <f>"1551604181280820"</f>
        <v>1551604181280820</v>
      </c>
      <c r="C6" t="s">
        <v>40</v>
      </c>
      <c r="D6">
        <v>4.7525459999999997</v>
      </c>
      <c r="E6">
        <v>0.4816242</v>
      </c>
      <c r="F6" t="s">
        <v>42</v>
      </c>
      <c r="G6">
        <v>-363.38889999999998</v>
      </c>
      <c r="H6" s="1">
        <v>-3.3313990000000002E-6</v>
      </c>
      <c r="I6">
        <v>366.72469999999998</v>
      </c>
      <c r="J6">
        <v>-475.60469999999998</v>
      </c>
      <c r="K6">
        <v>1.12016</v>
      </c>
      <c r="L6">
        <v>367.06900000000002</v>
      </c>
      <c r="M6">
        <v>0.99998889999999996</v>
      </c>
      <c r="N6">
        <v>-4.3352089999999996E-3</v>
      </c>
      <c r="O6">
        <v>1.863668E-3</v>
      </c>
      <c r="P6">
        <v>0.97932819999999998</v>
      </c>
      <c r="Q6">
        <v>0.1936755</v>
      </c>
      <c r="R6">
        <v>-5.8361330000000003E-2</v>
      </c>
      <c r="S6">
        <v>3.0685730000000002</v>
      </c>
      <c r="T6">
        <v>-3.062844E-2</v>
      </c>
      <c r="U6">
        <v>-9.399414E-3</v>
      </c>
      <c r="V6">
        <v>6.0111779999999997E-2</v>
      </c>
      <c r="W6">
        <v>0.19794129999999999</v>
      </c>
      <c r="X6">
        <v>0.97836889999999999</v>
      </c>
      <c r="Y6">
        <v>4.9263969999999999E-3</v>
      </c>
      <c r="Z6" s="1">
        <v>-4.5786360000000003E-5</v>
      </c>
      <c r="AA6">
        <v>0.99998779999999998</v>
      </c>
      <c r="AB6">
        <v>2</v>
      </c>
      <c r="AC6">
        <v>112.2158</v>
      </c>
      <c r="AD6">
        <v>-1.120163331399</v>
      </c>
      <c r="AE6">
        <v>-0.34430000000003202</v>
      </c>
      <c r="AF6">
        <v>0.55337921497796505</v>
      </c>
      <c r="AG6">
        <v>-1.120163331399</v>
      </c>
      <c r="AH6">
        <v>112.20378303264</v>
      </c>
      <c r="AI6">
        <v>90.571974642655206</v>
      </c>
      <c r="AJ6">
        <v>89.717424532727605</v>
      </c>
      <c r="AK6">
        <v>112.210738885724</v>
      </c>
      <c r="AL6">
        <v>78.583401742190603</v>
      </c>
      <c r="AM6">
        <v>86.484120434647593</v>
      </c>
      <c r="AN6">
        <v>0.999999944413832</v>
      </c>
    </row>
    <row r="7" spans="1:40" x14ac:dyDescent="0.25">
      <c r="A7" t="str">
        <f>"20190303170941313"</f>
        <v>20190303170941313</v>
      </c>
      <c r="B7" t="str">
        <f>"1551604181300339"</f>
        <v>1551604181300339</v>
      </c>
      <c r="C7" t="s">
        <v>40</v>
      </c>
      <c r="D7">
        <v>4.7536719999999999</v>
      </c>
      <c r="E7">
        <v>0.48152020000000001</v>
      </c>
      <c r="F7" t="s">
        <v>42</v>
      </c>
      <c r="G7">
        <v>-351.55459999999999</v>
      </c>
      <c r="H7" s="1">
        <v>-4.1110570000000002E-6</v>
      </c>
      <c r="I7">
        <v>366.7654</v>
      </c>
      <c r="J7">
        <v>-475.58159999999998</v>
      </c>
      <c r="K7">
        <v>1.1200829999999999</v>
      </c>
      <c r="L7">
        <v>367.06950000000001</v>
      </c>
      <c r="M7">
        <v>0.99999170000000004</v>
      </c>
      <c r="N7">
        <v>-3.3834080000000001E-3</v>
      </c>
      <c r="O7">
        <v>2.3475599999999998E-3</v>
      </c>
      <c r="P7">
        <v>0.97935000000000005</v>
      </c>
      <c r="Q7">
        <v>0.19379279999999999</v>
      </c>
      <c r="R7">
        <v>-5.7605539999999997E-2</v>
      </c>
      <c r="S7">
        <v>3.06839</v>
      </c>
      <c r="T7">
        <v>-2.770734E-2</v>
      </c>
      <c r="U7">
        <v>-7.5073240000000001E-3</v>
      </c>
      <c r="V7">
        <v>5.9825789999999997E-2</v>
      </c>
      <c r="W7">
        <v>0.1971289</v>
      </c>
      <c r="X7">
        <v>0.97855049999999999</v>
      </c>
      <c r="Y7">
        <v>4.7939109999999997E-3</v>
      </c>
      <c r="Z7" s="1">
        <v>-4.3009179999999898E-5</v>
      </c>
      <c r="AA7">
        <v>0.99998849999999995</v>
      </c>
      <c r="AB7">
        <v>2</v>
      </c>
      <c r="AC7">
        <v>124.027</v>
      </c>
      <c r="AD7">
        <v>-1.1200871110570001</v>
      </c>
      <c r="AE7">
        <v>-0.30410000000000498</v>
      </c>
      <c r="AF7">
        <v>0.59521305589164897</v>
      </c>
      <c r="AG7">
        <v>-1.1200871110570001</v>
      </c>
      <c r="AH7">
        <v>124.015829811722</v>
      </c>
      <c r="AI7">
        <v>90.517464425498503</v>
      </c>
      <c r="AJ7">
        <v>89.725011442394901</v>
      </c>
      <c r="AK7">
        <v>124.022316208045</v>
      </c>
      <c r="AL7">
        <v>78.630885140266301</v>
      </c>
      <c r="AM7">
        <v>86.501453819791195</v>
      </c>
      <c r="AN7">
        <v>1.0000000047072899</v>
      </c>
    </row>
    <row r="8" spans="1:40" x14ac:dyDescent="0.25">
      <c r="A8" t="str">
        <f>"20190303170941333"</f>
        <v>20190303170941333</v>
      </c>
      <c r="B8" t="str">
        <f>"1551604181320835"</f>
        <v>1551604181320835</v>
      </c>
      <c r="C8" t="s">
        <v>40</v>
      </c>
      <c r="D8">
        <v>4.8102669999999996</v>
      </c>
      <c r="E8">
        <v>0.48139189999999998</v>
      </c>
      <c r="F8" t="s">
        <v>42</v>
      </c>
      <c r="G8">
        <v>-350.82479999999998</v>
      </c>
      <c r="H8" s="1">
        <v>-4.4003930000000003E-6</v>
      </c>
      <c r="I8">
        <v>366.89949999999999</v>
      </c>
      <c r="J8">
        <v>-475.55849999999998</v>
      </c>
      <c r="K8">
        <v>1.1200380000000001</v>
      </c>
      <c r="L8">
        <v>367.07</v>
      </c>
      <c r="M8">
        <v>0.99999249999999995</v>
      </c>
      <c r="N8">
        <v>-2.644235E-3</v>
      </c>
      <c r="O8">
        <v>2.8189439999999999E-3</v>
      </c>
      <c r="P8">
        <v>0.97940479999999996</v>
      </c>
      <c r="Q8">
        <v>0.1936146</v>
      </c>
      <c r="R8">
        <v>-5.7268840000000001E-2</v>
      </c>
      <c r="S8">
        <v>3.068451</v>
      </c>
      <c r="T8">
        <v>-2.7549029999999999E-2</v>
      </c>
      <c r="U8">
        <v>-4.1809079999999997E-3</v>
      </c>
      <c r="V8">
        <v>5.9948609999999999E-2</v>
      </c>
      <c r="W8">
        <v>0.19622800000000001</v>
      </c>
      <c r="X8">
        <v>0.97872409999999999</v>
      </c>
      <c r="Y8">
        <v>4.1812170000000001E-3</v>
      </c>
      <c r="Z8" s="1">
        <v>-4.2152169999999997E-5</v>
      </c>
      <c r="AA8">
        <v>0.99999119999999997</v>
      </c>
      <c r="AB8">
        <v>2</v>
      </c>
      <c r="AC8">
        <v>124.7337</v>
      </c>
      <c r="AD8">
        <v>-1.1200424003929901</v>
      </c>
      <c r="AE8">
        <v>-0.17050000000000401</v>
      </c>
      <c r="AF8">
        <v>0.52207578250176401</v>
      </c>
      <c r="AG8">
        <v>-1.1200424003929901</v>
      </c>
      <c r="AH8">
        <v>124.722667291394</v>
      </c>
      <c r="AI8">
        <v>90.514512851856693</v>
      </c>
      <c r="AJ8">
        <v>89.760167378814003</v>
      </c>
      <c r="AK8">
        <v>124.728788955802</v>
      </c>
      <c r="AL8">
        <v>78.683531868476607</v>
      </c>
      <c r="AM8">
        <v>86.4949096068393</v>
      </c>
      <c r="AN8">
        <v>1.0000000638728599</v>
      </c>
    </row>
    <row r="9" spans="1:40" x14ac:dyDescent="0.25">
      <c r="A9" t="str">
        <f>"20190303170941355"</f>
        <v>20190303170941355</v>
      </c>
      <c r="B9" t="str">
        <f>"1551604181350115"</f>
        <v>1551604181350115</v>
      </c>
      <c r="C9" t="s">
        <v>40</v>
      </c>
      <c r="D9">
        <v>4.6924659999999996</v>
      </c>
      <c r="E9">
        <v>0.48142950000000001</v>
      </c>
      <c r="F9" t="s">
        <v>42</v>
      </c>
      <c r="G9">
        <v>-354.30990000000003</v>
      </c>
      <c r="H9" s="1">
        <v>-2.888293E-6</v>
      </c>
      <c r="I9">
        <v>366.99520000000001</v>
      </c>
      <c r="J9">
        <v>-475.5308</v>
      </c>
      <c r="K9">
        <v>1.1200019999999999</v>
      </c>
      <c r="L9">
        <v>367.07069999999999</v>
      </c>
      <c r="M9">
        <v>0.99999249999999995</v>
      </c>
      <c r="N9">
        <v>-1.933234E-3</v>
      </c>
      <c r="O9">
        <v>3.3710839999999999E-3</v>
      </c>
      <c r="P9">
        <v>0.97947470000000003</v>
      </c>
      <c r="Q9">
        <v>0.19345960000000001</v>
      </c>
      <c r="R9">
        <v>-5.6594730000000003E-2</v>
      </c>
      <c r="S9">
        <v>3.0685419999999999</v>
      </c>
      <c r="T9">
        <v>-2.8345820000000001E-2</v>
      </c>
      <c r="U9">
        <v>-1.8920899999999999E-3</v>
      </c>
      <c r="V9">
        <v>5.981326E-2</v>
      </c>
      <c r="W9">
        <v>0.19537789999999999</v>
      </c>
      <c r="X9">
        <v>0.97890239999999995</v>
      </c>
      <c r="Y9">
        <v>3.987399E-3</v>
      </c>
      <c r="Z9" s="1">
        <v>-4.6893769999999999E-5</v>
      </c>
      <c r="AA9">
        <v>0.99999210000000005</v>
      </c>
      <c r="AB9">
        <v>2</v>
      </c>
      <c r="AC9">
        <v>121.22089999999901</v>
      </c>
      <c r="AD9">
        <v>-1.120004888293</v>
      </c>
      <c r="AE9">
        <v>-7.5499999999976794E-2</v>
      </c>
      <c r="AF9">
        <v>0.48410482425376899</v>
      </c>
      <c r="AG9">
        <v>-1.120004888293</v>
      </c>
      <c r="AH9">
        <v>121.20960951547799</v>
      </c>
      <c r="AI9">
        <v>90.529406994629994</v>
      </c>
      <c r="AJ9">
        <v>89.771164877935405</v>
      </c>
      <c r="AK9">
        <v>121.21575065694</v>
      </c>
      <c r="AL9">
        <v>78.733200035928604</v>
      </c>
      <c r="AM9">
        <v>86.503439030314198</v>
      </c>
      <c r="AN9">
        <v>1.00000002930299</v>
      </c>
    </row>
    <row r="10" spans="1:40" x14ac:dyDescent="0.25">
      <c r="A10" t="str">
        <f>"20190303170941379"</f>
        <v>20190303170941379</v>
      </c>
      <c r="B10" t="str">
        <f>"1551604181370610"</f>
        <v>1551604181370610</v>
      </c>
      <c r="C10" t="s">
        <v>40</v>
      </c>
      <c r="D10">
        <v>4.8078669999999999</v>
      </c>
      <c r="E10">
        <v>0.48154229999999998</v>
      </c>
      <c r="F10" t="s">
        <v>42</v>
      </c>
      <c r="G10">
        <v>-356.32440000000003</v>
      </c>
      <c r="H10" s="1">
        <v>-2.0100790000000001E-6</v>
      </c>
      <c r="I10">
        <v>367.07420000000002</v>
      </c>
      <c r="J10">
        <v>-475.49880000000002</v>
      </c>
      <c r="K10">
        <v>1.119974</v>
      </c>
      <c r="L10">
        <v>367.07150000000001</v>
      </c>
      <c r="M10">
        <v>0.99999119999999997</v>
      </c>
      <c r="N10">
        <v>-1.2793959999999999E-3</v>
      </c>
      <c r="O10">
        <v>3.990052E-3</v>
      </c>
      <c r="P10">
        <v>0.97943550000000001</v>
      </c>
      <c r="Q10">
        <v>0.19391320000000001</v>
      </c>
      <c r="R10">
        <v>-5.5712329999999997E-2</v>
      </c>
      <c r="S10">
        <v>3.0685730000000002</v>
      </c>
      <c r="T10">
        <v>-2.8830769999999999E-2</v>
      </c>
      <c r="U10" s="1">
        <v>9.1552730000000004E-5</v>
      </c>
      <c r="V10">
        <v>5.9535499999999998E-2</v>
      </c>
      <c r="W10">
        <v>0.1951917</v>
      </c>
      <c r="X10">
        <v>0.97895650000000001</v>
      </c>
      <c r="Y10">
        <v>3.9598899999999998E-3</v>
      </c>
      <c r="Z10" s="1">
        <v>-5.3518199999999999E-5</v>
      </c>
      <c r="AA10">
        <v>0.99999210000000005</v>
      </c>
      <c r="AB10">
        <v>3</v>
      </c>
      <c r="AC10">
        <v>119.17440000000001</v>
      </c>
      <c r="AD10">
        <v>-1.1199760100789999</v>
      </c>
      <c r="AE10">
        <v>2.7000000000043599E-3</v>
      </c>
      <c r="AF10">
        <v>0.47277071946910898</v>
      </c>
      <c r="AG10">
        <v>-1.1199760100789999</v>
      </c>
      <c r="AH10">
        <v>119.162937821611</v>
      </c>
      <c r="AI10">
        <v>90.538485416115407</v>
      </c>
      <c r="AJ10">
        <v>89.772684147651901</v>
      </c>
      <c r="AK10">
        <v>119.169138658855</v>
      </c>
      <c r="AL10">
        <v>78.744078207896194</v>
      </c>
      <c r="AM10">
        <v>86.519828169816904</v>
      </c>
      <c r="AN10">
        <v>1.00000005220069</v>
      </c>
    </row>
    <row r="11" spans="1:40" x14ac:dyDescent="0.25">
      <c r="A11" t="str">
        <f>"20190303170941400"</f>
        <v>20190303170941400</v>
      </c>
      <c r="B11" t="str">
        <f>"1551604181391107"</f>
        <v>1551604181391107</v>
      </c>
      <c r="C11" t="s">
        <v>40</v>
      </c>
      <c r="D11">
        <v>4.749619</v>
      </c>
      <c r="E11">
        <v>0.48165350000000001</v>
      </c>
      <c r="F11" t="s">
        <v>42</v>
      </c>
      <c r="G11">
        <v>-347.72179999999997</v>
      </c>
      <c r="H11" s="1">
        <v>-1.5111860000000001E-6</v>
      </c>
      <c r="I11">
        <v>367.16550000000001</v>
      </c>
      <c r="J11">
        <v>-475.46559999999999</v>
      </c>
      <c r="K11">
        <v>1.119942</v>
      </c>
      <c r="L11">
        <v>367.07229999999998</v>
      </c>
      <c r="M11">
        <v>0.99998920000000002</v>
      </c>
      <c r="N11">
        <v>-7.2220559999999995E-4</v>
      </c>
      <c r="O11">
        <v>4.618207E-3</v>
      </c>
      <c r="P11">
        <v>0.97941420000000001</v>
      </c>
      <c r="Q11">
        <v>0.19403629999999999</v>
      </c>
      <c r="R11">
        <v>-5.5659069999999998E-2</v>
      </c>
      <c r="S11">
        <v>3.0684200000000001</v>
      </c>
      <c r="T11">
        <v>-2.6894930000000001E-2</v>
      </c>
      <c r="U11">
        <v>2.2583009999999999E-3</v>
      </c>
      <c r="V11">
        <v>6.0097009999999999E-2</v>
      </c>
      <c r="W11">
        <v>0.19476940000000001</v>
      </c>
      <c r="X11">
        <v>0.97900620000000005</v>
      </c>
      <c r="Y11">
        <v>3.8819229999999998E-3</v>
      </c>
      <c r="Z11" s="1">
        <v>-5.5556909999999997E-5</v>
      </c>
      <c r="AA11">
        <v>0.99999249999999995</v>
      </c>
      <c r="AB11">
        <v>3</v>
      </c>
      <c r="AC11">
        <v>127.74379999999999</v>
      </c>
      <c r="AD11">
        <v>-1.1199435111860001</v>
      </c>
      <c r="AE11">
        <v>9.3200000000024305E-2</v>
      </c>
      <c r="AF11">
        <v>0.496710207298032</v>
      </c>
      <c r="AG11">
        <v>-1.1199435111860001</v>
      </c>
      <c r="AH11">
        <v>127.73305032724301</v>
      </c>
      <c r="AI11">
        <v>90.502343809738505</v>
      </c>
      <c r="AJ11">
        <v>89.777197405084394</v>
      </c>
      <c r="AK11">
        <v>127.73892570552</v>
      </c>
      <c r="AL11">
        <v>78.768746584069604</v>
      </c>
      <c r="AM11">
        <v>86.487264578066501</v>
      </c>
      <c r="AN11">
        <v>0.99999995471286895</v>
      </c>
    </row>
    <row r="12" spans="1:40" x14ac:dyDescent="0.25">
      <c r="A12" t="str">
        <f>"20190303170941427"</f>
        <v>20190303170941427</v>
      </c>
      <c r="B12" t="str">
        <f>"1551604181420387"</f>
        <v>1551604181420387</v>
      </c>
      <c r="C12" t="s">
        <v>40</v>
      </c>
      <c r="D12">
        <v>4.7275910000000003</v>
      </c>
      <c r="E12">
        <v>0.48162949999999999</v>
      </c>
      <c r="F12" t="s">
        <v>42</v>
      </c>
      <c r="G12">
        <v>-343.32690000000002</v>
      </c>
      <c r="H12" s="1">
        <v>-3.5661160000000001E-6</v>
      </c>
      <c r="I12">
        <v>367.18529999999998</v>
      </c>
      <c r="J12">
        <v>-475.42360000000002</v>
      </c>
      <c r="K12">
        <v>1.1199079999999999</v>
      </c>
      <c r="L12">
        <v>367.07339999999999</v>
      </c>
      <c r="M12">
        <v>0.99998549999999997</v>
      </c>
      <c r="N12">
        <v>-1.4462749999999999E-4</v>
      </c>
      <c r="O12">
        <v>5.3912200000000004E-3</v>
      </c>
      <c r="P12">
        <v>0.97949620000000004</v>
      </c>
      <c r="Q12">
        <v>0.19368450000000001</v>
      </c>
      <c r="R12">
        <v>-5.5439780000000001E-2</v>
      </c>
      <c r="S12">
        <v>3.0683590000000001</v>
      </c>
      <c r="T12">
        <v>-2.6005980000000001E-2</v>
      </c>
      <c r="U12">
        <v>2.6245119999999999E-3</v>
      </c>
      <c r="V12">
        <v>6.063557E-2</v>
      </c>
      <c r="W12">
        <v>0.19385260000000001</v>
      </c>
      <c r="X12">
        <v>0.979155</v>
      </c>
      <c r="Y12">
        <v>4.5355320000000001E-3</v>
      </c>
      <c r="Z12" s="1">
        <v>-6.4460919999999999E-5</v>
      </c>
      <c r="AA12">
        <v>0.99998969999999998</v>
      </c>
      <c r="AB12">
        <v>3</v>
      </c>
      <c r="AC12">
        <v>132.0967</v>
      </c>
      <c r="AD12">
        <v>-1.119911566116</v>
      </c>
      <c r="AE12">
        <v>0.11189999999999101</v>
      </c>
      <c r="AF12">
        <v>0.60022083247220204</v>
      </c>
      <c r="AG12">
        <v>-1.119911566116</v>
      </c>
      <c r="AH12">
        <v>132.08588976130301</v>
      </c>
      <c r="AI12">
        <v>90.485774872091</v>
      </c>
      <c r="AJ12">
        <v>89.739639988580294</v>
      </c>
      <c r="AK12">
        <v>132.092001048507</v>
      </c>
      <c r="AL12">
        <v>78.822296621167496</v>
      </c>
      <c r="AM12">
        <v>86.456402266435305</v>
      </c>
      <c r="AN12">
        <v>1.0000000084504901</v>
      </c>
    </row>
    <row r="13" spans="1:40" x14ac:dyDescent="0.25">
      <c r="A13" t="str">
        <f>"20190303170941449"</f>
        <v>20190303170941449</v>
      </c>
      <c r="B13" t="str">
        <f>"1551604181440883"</f>
        <v>1551604181440883</v>
      </c>
      <c r="C13" t="s">
        <v>40</v>
      </c>
      <c r="D13">
        <v>4.6598169999999897</v>
      </c>
      <c r="E13">
        <v>0.48158299999999998</v>
      </c>
      <c r="F13" t="s">
        <v>42</v>
      </c>
      <c r="G13">
        <v>-346.97460000000001</v>
      </c>
      <c r="H13" s="1">
        <v>-1.8347289999999999E-6</v>
      </c>
      <c r="I13">
        <v>367.22539999999998</v>
      </c>
      <c r="J13">
        <v>-475.38279999999997</v>
      </c>
      <c r="K13">
        <v>1.119869</v>
      </c>
      <c r="L13">
        <v>367.07440000000003</v>
      </c>
      <c r="M13">
        <v>0.99998129999999996</v>
      </c>
      <c r="N13">
        <v>3.1474759999999997E-4</v>
      </c>
      <c r="O13">
        <v>6.1220329999999998E-3</v>
      </c>
      <c r="P13">
        <v>0.97965429999999998</v>
      </c>
      <c r="Q13">
        <v>0.19285140000000001</v>
      </c>
      <c r="R13">
        <v>-5.5554819999999998E-2</v>
      </c>
      <c r="S13">
        <v>3.0683289999999999</v>
      </c>
      <c r="T13">
        <v>-2.6751879999999999E-2</v>
      </c>
      <c r="U13">
        <v>3.6315919999999999E-3</v>
      </c>
      <c r="V13">
        <v>6.146803E-2</v>
      </c>
      <c r="W13">
        <v>0.19256980000000001</v>
      </c>
      <c r="X13">
        <v>0.97935620000000001</v>
      </c>
      <c r="Y13">
        <v>4.9380470000000001E-3</v>
      </c>
      <c r="Z13" s="1">
        <v>-7.6050920000000002E-5</v>
      </c>
      <c r="AA13">
        <v>0.99998779999999998</v>
      </c>
      <c r="AB13">
        <v>4</v>
      </c>
      <c r="AC13">
        <v>128.408199999999</v>
      </c>
      <c r="AD13">
        <v>-1.1198708347290001</v>
      </c>
      <c r="AE13">
        <v>0.15099999999995301</v>
      </c>
      <c r="AF13">
        <v>0.63507373330331396</v>
      </c>
      <c r="AG13">
        <v>-1.1198708347290001</v>
      </c>
      <c r="AH13">
        <v>128.39695235615901</v>
      </c>
      <c r="AI13">
        <v>90.499711710417699</v>
      </c>
      <c r="AJ13">
        <v>89.716607386682199</v>
      </c>
      <c r="AK13">
        <v>128.40340651120999</v>
      </c>
      <c r="AL13">
        <v>78.897207156102695</v>
      </c>
      <c r="AM13">
        <v>86.408615108098203</v>
      </c>
      <c r="AN13">
        <v>1.00000000653128</v>
      </c>
    </row>
    <row r="14" spans="1:40" x14ac:dyDescent="0.25">
      <c r="A14" t="str">
        <f>"20190303170941469"</f>
        <v>20190303170941469</v>
      </c>
      <c r="B14" t="str">
        <f>"1551604181460402"</f>
        <v>1551604181460402</v>
      </c>
      <c r="C14" t="s">
        <v>40</v>
      </c>
      <c r="D14">
        <v>4.7569379999999999</v>
      </c>
      <c r="E14">
        <v>0.48170750000000001</v>
      </c>
      <c r="F14" t="s">
        <v>42</v>
      </c>
      <c r="G14">
        <v>-358.67140000000001</v>
      </c>
      <c r="H14" s="1">
        <v>-1.072857E-6</v>
      </c>
      <c r="I14">
        <v>367.23099999999999</v>
      </c>
      <c r="J14">
        <v>-475.34539999999998</v>
      </c>
      <c r="K14">
        <v>1.119837</v>
      </c>
      <c r="L14">
        <v>367.07530000000003</v>
      </c>
      <c r="M14">
        <v>0.9999768</v>
      </c>
      <c r="N14">
        <v>6.6572789999999897E-4</v>
      </c>
      <c r="O14">
        <v>6.7741850000000003E-3</v>
      </c>
      <c r="P14">
        <v>0.97995049999999995</v>
      </c>
      <c r="Q14">
        <v>0.1912238</v>
      </c>
      <c r="R14">
        <v>-5.5949400000000003E-2</v>
      </c>
      <c r="S14">
        <v>3.0683289999999999</v>
      </c>
      <c r="T14">
        <v>-2.944124E-2</v>
      </c>
      <c r="U14">
        <v>4.1198729999999996E-3</v>
      </c>
      <c r="V14">
        <v>6.2504729999999994E-2</v>
      </c>
      <c r="W14">
        <v>0.19059899999999999</v>
      </c>
      <c r="X14">
        <v>0.97967610000000005</v>
      </c>
      <c r="Y14">
        <v>5.4309149999999997E-3</v>
      </c>
      <c r="Z14" s="1">
        <v>-9.3754369999999996E-5</v>
      </c>
      <c r="AA14">
        <v>0.99998529999999997</v>
      </c>
      <c r="AB14">
        <v>4</v>
      </c>
      <c r="AC14">
        <v>116.673999999999</v>
      </c>
      <c r="AD14">
        <v>-1.1198380728570001</v>
      </c>
      <c r="AE14">
        <v>0.155699999999967</v>
      </c>
      <c r="AF14">
        <v>0.63461657283480699</v>
      </c>
      <c r="AG14">
        <v>-1.1198380728570001</v>
      </c>
      <c r="AH14">
        <v>116.661630591235</v>
      </c>
      <c r="AI14">
        <v>90.549958672993398</v>
      </c>
      <c r="AJ14">
        <v>89.688325181146396</v>
      </c>
      <c r="AK14">
        <v>116.668731148109</v>
      </c>
      <c r="AL14">
        <v>79.012257240953303</v>
      </c>
      <c r="AM14">
        <v>86.349395735965004</v>
      </c>
      <c r="AN14">
        <v>1.00000004049229</v>
      </c>
    </row>
    <row r="15" spans="1:40" x14ac:dyDescent="0.25">
      <c r="A15" t="str">
        <f>"20190303170941490"</f>
        <v>20190303170941490</v>
      </c>
      <c r="B15" t="str">
        <f>"1551604181480899"</f>
        <v>1551604181480899</v>
      </c>
      <c r="C15" t="s">
        <v>40</v>
      </c>
      <c r="D15">
        <v>4.6370100000000001</v>
      </c>
      <c r="E15">
        <v>0.48186570000000001</v>
      </c>
      <c r="F15" t="s">
        <v>42</v>
      </c>
      <c r="G15">
        <v>-374.9941</v>
      </c>
      <c r="H15" s="1">
        <v>-2.5678229999999998E-6</v>
      </c>
      <c r="I15">
        <v>367.14710000000002</v>
      </c>
      <c r="J15">
        <v>-475.30360000000002</v>
      </c>
      <c r="K15">
        <v>1.1198129999999999</v>
      </c>
      <c r="L15">
        <v>367.07639999999998</v>
      </c>
      <c r="M15">
        <v>0.99997159999999996</v>
      </c>
      <c r="N15">
        <v>1.0007799999999999E-3</v>
      </c>
      <c r="O15">
        <v>7.4869050000000003E-3</v>
      </c>
      <c r="P15">
        <v>0.98011389999999998</v>
      </c>
      <c r="Q15">
        <v>0.19046389999999999</v>
      </c>
      <c r="R15">
        <v>-5.5684699999999997E-2</v>
      </c>
      <c r="S15">
        <v>3.0681759999999998</v>
      </c>
      <c r="T15">
        <v>-3.4238339999999999E-2</v>
      </c>
      <c r="U15">
        <v>2.1972659999999998E-3</v>
      </c>
      <c r="V15">
        <v>6.2940019999999999E-2</v>
      </c>
      <c r="W15">
        <v>0.18951009999999999</v>
      </c>
      <c r="X15">
        <v>0.97985940000000005</v>
      </c>
      <c r="Y15">
        <v>6.7698419999999999E-3</v>
      </c>
      <c r="Z15">
        <v>-1.254211E-4</v>
      </c>
      <c r="AA15">
        <v>0.99997709999999995</v>
      </c>
      <c r="AB15">
        <v>4</v>
      </c>
      <c r="AC15">
        <v>100.3095</v>
      </c>
      <c r="AD15">
        <v>-1.119815567823</v>
      </c>
      <c r="AE15">
        <v>7.0700000000044796E-2</v>
      </c>
      <c r="AF15">
        <v>0.68022518480141103</v>
      </c>
      <c r="AG15">
        <v>-1.119815567823</v>
      </c>
      <c r="AH15">
        <v>100.29471859169</v>
      </c>
      <c r="AI15">
        <v>90.639680387822494</v>
      </c>
      <c r="AJ15">
        <v>89.611410897988307</v>
      </c>
      <c r="AK15">
        <v>100.30327646988501</v>
      </c>
      <c r="AL15">
        <v>79.075804239599407</v>
      </c>
      <c r="AM15">
        <v>86.324727750626096</v>
      </c>
      <c r="AN15">
        <v>0.99999998394398504</v>
      </c>
    </row>
    <row r="16" spans="1:40" x14ac:dyDescent="0.25">
      <c r="A16" t="str">
        <f>"20190303170941515"</f>
        <v>20190303170941515</v>
      </c>
      <c r="B16" t="str">
        <f>"1551604181500418"</f>
        <v>1551604181500418</v>
      </c>
      <c r="C16" t="s">
        <v>40</v>
      </c>
      <c r="D16">
        <v>4.6500250000000003</v>
      </c>
      <c r="E16">
        <v>0.48190349999999998</v>
      </c>
      <c r="F16" t="s">
        <v>42</v>
      </c>
      <c r="G16">
        <v>-378.95490000000001</v>
      </c>
      <c r="H16" s="1">
        <v>-9.948533E-7</v>
      </c>
      <c r="I16">
        <v>367.16160000000002</v>
      </c>
      <c r="J16">
        <v>-475.24990000000003</v>
      </c>
      <c r="K16">
        <v>1.119777</v>
      </c>
      <c r="L16">
        <v>367.07769999999999</v>
      </c>
      <c r="M16">
        <v>0.99996390000000002</v>
      </c>
      <c r="N16">
        <v>1.3647329999999999E-3</v>
      </c>
      <c r="O16">
        <v>8.3764489999999994E-3</v>
      </c>
      <c r="P16">
        <v>0.98005370000000003</v>
      </c>
      <c r="Q16">
        <v>0.1911215</v>
      </c>
      <c r="R16">
        <v>-5.4471989999999998E-2</v>
      </c>
      <c r="S16">
        <v>3.0679630000000002</v>
      </c>
      <c r="T16">
        <v>-3.565741E-2</v>
      </c>
      <c r="U16">
        <v>2.7160639999999998E-3</v>
      </c>
      <c r="V16">
        <v>6.2598639999999997E-2</v>
      </c>
      <c r="W16">
        <v>0.18981110000000001</v>
      </c>
      <c r="X16">
        <v>0.979823</v>
      </c>
      <c r="Y16">
        <v>7.4900349999999999E-3</v>
      </c>
      <c r="Z16">
        <v>-1.4719630000000001E-4</v>
      </c>
      <c r="AA16">
        <v>0.99997190000000002</v>
      </c>
      <c r="AB16">
        <v>4</v>
      </c>
      <c r="AC16">
        <v>96.295000000000002</v>
      </c>
      <c r="AD16">
        <v>-1.1197779948533</v>
      </c>
      <c r="AE16">
        <v>8.3900000000028202E-2</v>
      </c>
      <c r="AF16">
        <v>0.72261620460736198</v>
      </c>
      <c r="AG16">
        <v>-1.1197779948533</v>
      </c>
      <c r="AH16">
        <v>96.279305113297994</v>
      </c>
      <c r="AI16">
        <v>90.666330668099903</v>
      </c>
      <c r="AJ16">
        <v>89.569979433439102</v>
      </c>
      <c r="AK16">
        <v>96.288528236942298</v>
      </c>
      <c r="AL16">
        <v>79.058239329947995</v>
      </c>
      <c r="AM16">
        <v>86.344472415279</v>
      </c>
      <c r="AN16">
        <v>0.99999997737102897</v>
      </c>
    </row>
    <row r="17" spans="1:40" x14ac:dyDescent="0.25">
      <c r="A17" t="str">
        <f>"20190303170941534"</f>
        <v>20190303170941534</v>
      </c>
      <c r="B17" t="str">
        <f>"1551604181520915"</f>
        <v>1551604181520915</v>
      </c>
      <c r="C17" t="s">
        <v>40</v>
      </c>
      <c r="D17">
        <v>4.5854400000000002</v>
      </c>
      <c r="E17">
        <v>0.48194789999999998</v>
      </c>
      <c r="F17" t="s">
        <v>42</v>
      </c>
      <c r="G17">
        <v>-371.6472</v>
      </c>
      <c r="H17" s="1">
        <v>-3.9766579999999997E-6</v>
      </c>
      <c r="I17">
        <v>367.29919999999998</v>
      </c>
      <c r="J17">
        <v>-475.20519999999999</v>
      </c>
      <c r="K17">
        <v>1.1197520000000001</v>
      </c>
      <c r="L17">
        <v>367.07889999999998</v>
      </c>
      <c r="M17">
        <v>0.9999574</v>
      </c>
      <c r="N17">
        <v>1.619807E-3</v>
      </c>
      <c r="O17">
        <v>9.0940810000000004E-3</v>
      </c>
      <c r="P17">
        <v>0.97984179999999999</v>
      </c>
      <c r="Q17">
        <v>0.19233839999999999</v>
      </c>
      <c r="R17">
        <v>-5.3999489999999997E-2</v>
      </c>
      <c r="S17">
        <v>3.0679020000000001</v>
      </c>
      <c r="T17">
        <v>-3.3159139999999997E-2</v>
      </c>
      <c r="U17">
        <v>6.5612789999999997E-3</v>
      </c>
      <c r="V17">
        <v>6.2827030000000006E-2</v>
      </c>
      <c r="W17">
        <v>0.1907787</v>
      </c>
      <c r="X17">
        <v>0.97962050000000001</v>
      </c>
      <c r="Y17">
        <v>6.9544319999999896E-3</v>
      </c>
      <c r="Z17">
        <v>-1.4496809999999999E-4</v>
      </c>
      <c r="AA17">
        <v>0.99997579999999997</v>
      </c>
      <c r="AB17">
        <v>5</v>
      </c>
      <c r="AC17">
        <v>103.55800000000001</v>
      </c>
      <c r="AD17">
        <v>-1.1197559766580001</v>
      </c>
      <c r="AE17">
        <v>0.22030000000000799</v>
      </c>
      <c r="AF17">
        <v>0.72139078251953703</v>
      </c>
      <c r="AG17">
        <v>-1.1197559766580001</v>
      </c>
      <c r="AH17">
        <v>103.54361508203201</v>
      </c>
      <c r="AI17">
        <v>90.619576917101597</v>
      </c>
      <c r="AJ17">
        <v>89.600825425589093</v>
      </c>
      <c r="AK17">
        <v>103.552182412368</v>
      </c>
      <c r="AL17">
        <v>79.001768681685405</v>
      </c>
      <c r="AM17">
        <v>86.3304153290877</v>
      </c>
      <c r="AN17">
        <v>1.00000003604628</v>
      </c>
    </row>
    <row r="18" spans="1:40" x14ac:dyDescent="0.25">
      <c r="A18" t="str">
        <f>"20190303170941557"</f>
        <v>20190303170941557</v>
      </c>
      <c r="B18" t="str">
        <f>"1551604181550196"</f>
        <v>1551604181550196</v>
      </c>
      <c r="C18" t="s">
        <v>40</v>
      </c>
      <c r="D18">
        <v>4.5882500000000004</v>
      </c>
      <c r="E18">
        <v>0.48203629999999997</v>
      </c>
      <c r="F18" t="s">
        <v>42</v>
      </c>
      <c r="G18">
        <v>-355.6635</v>
      </c>
      <c r="H18" s="1">
        <v>-2.2394300000000001E-6</v>
      </c>
      <c r="I18">
        <v>367.37970000000001</v>
      </c>
      <c r="J18">
        <v>-475.15260000000001</v>
      </c>
      <c r="K18">
        <v>1.1197170000000001</v>
      </c>
      <c r="L18">
        <v>367.08030000000002</v>
      </c>
      <c r="M18">
        <v>0.99994910000000004</v>
      </c>
      <c r="N18">
        <v>1.880893E-3</v>
      </c>
      <c r="O18">
        <v>9.9179469999999999E-3</v>
      </c>
      <c r="P18">
        <v>0.97997800000000002</v>
      </c>
      <c r="Q18">
        <v>0.19184570000000001</v>
      </c>
      <c r="R18">
        <v>-5.3277239999999997E-2</v>
      </c>
      <c r="S18">
        <v>3.0677490000000001</v>
      </c>
      <c r="T18">
        <v>-2.8735759999999999E-2</v>
      </c>
      <c r="U18">
        <v>7.7209469999999997E-3</v>
      </c>
      <c r="V18">
        <v>6.2912910000000002E-2</v>
      </c>
      <c r="W18">
        <v>0.1900298</v>
      </c>
      <c r="X18">
        <v>0.97976050000000003</v>
      </c>
      <c r="Y18">
        <v>7.4003659999999898E-3</v>
      </c>
      <c r="Z18">
        <v>-1.3925179999999999E-4</v>
      </c>
      <c r="AA18">
        <v>0.99997259999999999</v>
      </c>
      <c r="AB18">
        <v>5</v>
      </c>
      <c r="AC18">
        <v>119.48909999999999</v>
      </c>
      <c r="AD18">
        <v>-1.11971923943</v>
      </c>
      <c r="AE18">
        <v>0.29939999999999101</v>
      </c>
      <c r="AF18">
        <v>0.88562555062411097</v>
      </c>
      <c r="AG18">
        <v>-1.11971923943</v>
      </c>
      <c r="AH18">
        <v>119.475700937292</v>
      </c>
      <c r="AI18">
        <v>90.536942203360695</v>
      </c>
      <c r="AJ18">
        <v>89.575297097788194</v>
      </c>
      <c r="AK18">
        <v>119.48422999813999</v>
      </c>
      <c r="AL18">
        <v>79.045476683156494</v>
      </c>
      <c r="AM18">
        <v>86.325936637417897</v>
      </c>
      <c r="AN18">
        <v>0.999999998246479</v>
      </c>
    </row>
    <row r="19" spans="1:40" x14ac:dyDescent="0.25">
      <c r="A19" t="str">
        <f>"20190303170941581"</f>
        <v>20190303170941581</v>
      </c>
      <c r="B19" t="str">
        <f>"1551604181570691"</f>
        <v>1551604181570691</v>
      </c>
      <c r="C19" t="s">
        <v>40</v>
      </c>
      <c r="D19">
        <v>4.5458939999999997</v>
      </c>
      <c r="E19">
        <v>0.48208899999999999</v>
      </c>
      <c r="F19" t="s">
        <v>42</v>
      </c>
      <c r="G19">
        <v>-357.43790000000001</v>
      </c>
      <c r="H19" s="1">
        <v>-1.4694249999999999E-6</v>
      </c>
      <c r="I19">
        <v>367.42919999999998</v>
      </c>
      <c r="J19">
        <v>-475.09089999999998</v>
      </c>
      <c r="K19">
        <v>1.119686</v>
      </c>
      <c r="L19">
        <v>367.08190000000002</v>
      </c>
      <c r="M19">
        <v>0.99993889999999996</v>
      </c>
      <c r="N19">
        <v>2.1383370000000001E-3</v>
      </c>
      <c r="O19">
        <v>1.085211E-2</v>
      </c>
      <c r="P19">
        <v>0.98033919999999997</v>
      </c>
      <c r="Q19">
        <v>0.19011320000000001</v>
      </c>
      <c r="R19">
        <v>-5.2841539999999999E-2</v>
      </c>
      <c r="S19">
        <v>3.0675050000000001</v>
      </c>
      <c r="T19">
        <v>-2.91785E-2</v>
      </c>
      <c r="U19">
        <v>9.0942379999999993E-3</v>
      </c>
      <c r="V19">
        <v>6.33962E-2</v>
      </c>
      <c r="W19">
        <v>0.18804489999999999</v>
      </c>
      <c r="X19">
        <v>0.98011230000000005</v>
      </c>
      <c r="Y19">
        <v>7.8865559999999994E-3</v>
      </c>
      <c r="Z19">
        <v>-1.5550319999999999E-4</v>
      </c>
      <c r="AA19">
        <v>0.99996890000000005</v>
      </c>
      <c r="AB19">
        <v>5</v>
      </c>
      <c r="AC19">
        <v>117.652999999999</v>
      </c>
      <c r="AD19">
        <v>-1.1196874694250001</v>
      </c>
      <c r="AE19">
        <v>0.34729999999996097</v>
      </c>
      <c r="AF19">
        <v>0.92942239809401805</v>
      </c>
      <c r="AG19">
        <v>-1.1196874694250001</v>
      </c>
      <c r="AH19">
        <v>117.63918624692499</v>
      </c>
      <c r="AI19">
        <v>90.545306622049907</v>
      </c>
      <c r="AJ19">
        <v>89.5473372900328</v>
      </c>
      <c r="AK19">
        <v>117.64818599052801</v>
      </c>
      <c r="AL19">
        <v>79.161291721622604</v>
      </c>
      <c r="AM19">
        <v>86.299116257656294</v>
      </c>
      <c r="AN19">
        <v>1.0000000416008601</v>
      </c>
    </row>
    <row r="20" spans="1:40" x14ac:dyDescent="0.25">
      <c r="A20" t="str">
        <f>"20190303170941603"</f>
        <v>20190303170941603</v>
      </c>
      <c r="B20" t="str">
        <f>"1551604181590211"</f>
        <v>1551604181590211</v>
      </c>
      <c r="C20" t="s">
        <v>40</v>
      </c>
      <c r="D20">
        <v>4.5610309999999998</v>
      </c>
      <c r="E20">
        <v>0.48220639999999998</v>
      </c>
      <c r="F20" t="s">
        <v>42</v>
      </c>
      <c r="G20">
        <v>-373.3347</v>
      </c>
      <c r="H20" s="1">
        <v>-3.2264519999999999E-6</v>
      </c>
      <c r="I20">
        <v>367.44729999999998</v>
      </c>
      <c r="J20">
        <v>-475.0301</v>
      </c>
      <c r="K20">
        <v>1.1196569999999999</v>
      </c>
      <c r="L20">
        <v>367.08339999999998</v>
      </c>
      <c r="M20">
        <v>0.99992840000000005</v>
      </c>
      <c r="N20">
        <v>2.357427E-3</v>
      </c>
      <c r="O20">
        <v>1.17439E-2</v>
      </c>
      <c r="P20">
        <v>0.9806087</v>
      </c>
      <c r="Q20">
        <v>0.1889044</v>
      </c>
      <c r="R20">
        <v>-5.2175319999999997E-2</v>
      </c>
      <c r="S20">
        <v>3.0673219999999999</v>
      </c>
      <c r="T20">
        <v>-3.3751730000000001E-2</v>
      </c>
      <c r="U20">
        <v>1.101685E-2</v>
      </c>
      <c r="V20">
        <v>6.3606490000000002E-2</v>
      </c>
      <c r="W20">
        <v>0.18662139999999999</v>
      </c>
      <c r="X20">
        <v>0.98037070000000004</v>
      </c>
      <c r="Y20">
        <v>8.1510119999999991E-3</v>
      </c>
      <c r="Z20">
        <v>-1.921394E-4</v>
      </c>
      <c r="AA20">
        <v>0.99996669999999999</v>
      </c>
      <c r="AB20">
        <v>6</v>
      </c>
      <c r="AC20">
        <v>101.69540000000001</v>
      </c>
      <c r="AD20">
        <v>-1.1196602264519999</v>
      </c>
      <c r="AE20">
        <v>0.363900000000001</v>
      </c>
      <c r="AF20">
        <v>0.83032820376646899</v>
      </c>
      <c r="AG20">
        <v>-1.1196602264519999</v>
      </c>
      <c r="AH20">
        <v>101.68033505655301</v>
      </c>
      <c r="AI20">
        <v>90.630870011510495</v>
      </c>
      <c r="AJ20">
        <v>89.532129352140402</v>
      </c>
      <c r="AK20">
        <v>101.689889473642</v>
      </c>
      <c r="AL20">
        <v>79.244321978876897</v>
      </c>
      <c r="AM20">
        <v>86.287850377994502</v>
      </c>
      <c r="AN20">
        <v>1.00000002096328</v>
      </c>
    </row>
    <row r="21" spans="1:40" x14ac:dyDescent="0.25">
      <c r="A21" t="str">
        <f>"20190303170941625"</f>
        <v>20190303170941625</v>
      </c>
      <c r="B21" t="str">
        <f>"1551604181610707"</f>
        <v>1551604181610707</v>
      </c>
      <c r="C21" t="s">
        <v>40</v>
      </c>
      <c r="D21">
        <v>4.566325</v>
      </c>
      <c r="E21">
        <v>0.48221190000000003</v>
      </c>
      <c r="F21" t="s">
        <v>42</v>
      </c>
      <c r="G21">
        <v>-380.46080000000001</v>
      </c>
      <c r="H21" s="1">
        <v>-4.4519279999999996E-6</v>
      </c>
      <c r="I21">
        <v>367.48899999999998</v>
      </c>
      <c r="J21">
        <v>-474.97239999999999</v>
      </c>
      <c r="K21">
        <v>1.1196459999999999</v>
      </c>
      <c r="L21">
        <v>367.08499999999998</v>
      </c>
      <c r="M21">
        <v>0.99991790000000003</v>
      </c>
      <c r="N21">
        <v>2.540109E-3</v>
      </c>
      <c r="O21">
        <v>1.2568380000000001E-2</v>
      </c>
      <c r="P21">
        <v>0.98062870000000002</v>
      </c>
      <c r="Q21">
        <v>0.18911520000000001</v>
      </c>
      <c r="R21">
        <v>-5.1017390000000003E-2</v>
      </c>
      <c r="S21">
        <v>3.0670169999999999</v>
      </c>
      <c r="T21">
        <v>-3.6312219999999999E-2</v>
      </c>
      <c r="U21">
        <v>1.3153079999999999E-2</v>
      </c>
      <c r="V21">
        <v>6.3256199999999999E-2</v>
      </c>
      <c r="W21">
        <v>0.18665329999999999</v>
      </c>
      <c r="X21">
        <v>0.98038729999999996</v>
      </c>
      <c r="Y21">
        <v>8.2783700000000002E-3</v>
      </c>
      <c r="Z21">
        <v>-2.192091E-4</v>
      </c>
      <c r="AA21">
        <v>0.99996569999999996</v>
      </c>
      <c r="AB21">
        <v>6</v>
      </c>
      <c r="AC21">
        <v>94.511600000000001</v>
      </c>
      <c r="AD21">
        <v>-1.1196504519279999</v>
      </c>
      <c r="AE21">
        <v>0.40400000000005298</v>
      </c>
      <c r="AF21">
        <v>0.78378331559226899</v>
      </c>
      <c r="AG21">
        <v>-1.1196504519279999</v>
      </c>
      <c r="AH21">
        <v>94.495950853519304</v>
      </c>
      <c r="AI21">
        <v>90.678823132153497</v>
      </c>
      <c r="AJ21">
        <v>89.524779148216695</v>
      </c>
      <c r="AK21">
        <v>94.505834005795805</v>
      </c>
      <c r="AL21">
        <v>79.242461648031494</v>
      </c>
      <c r="AM21">
        <v>86.308299359592496</v>
      </c>
      <c r="AN21">
        <v>1.0000000296203</v>
      </c>
    </row>
    <row r="22" spans="1:40" x14ac:dyDescent="0.25">
      <c r="A22" t="str">
        <f>"20190303170941648"</f>
        <v>20190303170941648</v>
      </c>
      <c r="B22" t="str">
        <f>"1551604181640495"</f>
        <v>1551604181640495</v>
      </c>
      <c r="C22" t="s">
        <v>40</v>
      </c>
      <c r="D22">
        <v>4.5516579999999998</v>
      </c>
      <c r="E22">
        <v>0.48223149999999998</v>
      </c>
      <c r="F22" t="s">
        <v>42</v>
      </c>
      <c r="G22">
        <v>-376.6506</v>
      </c>
      <c r="H22" s="1">
        <v>-1.7694900000000001E-6</v>
      </c>
      <c r="I22">
        <v>367.64159999999998</v>
      </c>
      <c r="J22">
        <v>-474.9049</v>
      </c>
      <c r="K22">
        <v>1.1196250000000001</v>
      </c>
      <c r="L22">
        <v>367.08690000000001</v>
      </c>
      <c r="M22">
        <v>0.99990520000000005</v>
      </c>
      <c r="N22">
        <v>2.727756E-3</v>
      </c>
      <c r="O22">
        <v>1.350381E-2</v>
      </c>
      <c r="P22">
        <v>0.98043599999999997</v>
      </c>
      <c r="Q22">
        <v>0.1903434</v>
      </c>
      <c r="R22">
        <v>-5.0145599999999999E-2</v>
      </c>
      <c r="S22">
        <v>3.0668950000000001</v>
      </c>
      <c r="T22">
        <v>-3.4924509999999999E-2</v>
      </c>
      <c r="U22">
        <v>1.7364500000000001E-2</v>
      </c>
      <c r="V22">
        <v>6.3296939999999996E-2</v>
      </c>
      <c r="W22">
        <v>0.1876988</v>
      </c>
      <c r="X22">
        <v>0.98018499999999997</v>
      </c>
      <c r="Y22">
        <v>7.8406020000000003E-3</v>
      </c>
      <c r="Z22">
        <v>-2.2454610000000001E-4</v>
      </c>
      <c r="AA22">
        <v>0.9999692</v>
      </c>
      <c r="AB22">
        <v>6</v>
      </c>
      <c r="AC22">
        <v>98.254300000000001</v>
      </c>
      <c r="AD22">
        <v>-1.11962676949</v>
      </c>
      <c r="AE22">
        <v>0.554699999999968</v>
      </c>
      <c r="AF22">
        <v>0.77206252949315501</v>
      </c>
      <c r="AG22">
        <v>-1.11962676949</v>
      </c>
      <c r="AH22">
        <v>98.240075529552001</v>
      </c>
      <c r="AI22">
        <v>90.652942602759097</v>
      </c>
      <c r="AJ22">
        <v>89.549725368769401</v>
      </c>
      <c r="AK22">
        <v>98.249488979355405</v>
      </c>
      <c r="AL22">
        <v>79.181480709910304</v>
      </c>
      <c r="AM22">
        <v>86.305168003999498</v>
      </c>
      <c r="AN22">
        <v>0.99999998817990099</v>
      </c>
    </row>
    <row r="23" spans="1:40" x14ac:dyDescent="0.25">
      <c r="A23" t="str">
        <f>"20190303170941669"</f>
        <v>20190303170941669</v>
      </c>
      <c r="B23" t="str">
        <f>"1551604181660015"</f>
        <v>1551604181660015</v>
      </c>
      <c r="C23" t="s">
        <v>40</v>
      </c>
      <c r="D23">
        <v>4.5193529999999997</v>
      </c>
      <c r="E23">
        <v>0.48230780000000001</v>
      </c>
      <c r="F23" t="s">
        <v>42</v>
      </c>
      <c r="G23">
        <v>-361.49099999999999</v>
      </c>
      <c r="H23" s="1">
        <v>-3.9502090000000003E-6</v>
      </c>
      <c r="I23">
        <v>367.82600000000002</v>
      </c>
      <c r="J23">
        <v>-474.83780000000002</v>
      </c>
      <c r="K23">
        <v>1.119599</v>
      </c>
      <c r="L23">
        <v>367.08870000000002</v>
      </c>
      <c r="M23">
        <v>0.99989209999999995</v>
      </c>
      <c r="N23">
        <v>2.8928220000000002E-3</v>
      </c>
      <c r="O23">
        <v>1.440838E-2</v>
      </c>
      <c r="P23">
        <v>0.98026310000000005</v>
      </c>
      <c r="Q23">
        <v>0.19143089999999999</v>
      </c>
      <c r="R23">
        <v>-4.938236E-2</v>
      </c>
      <c r="S23">
        <v>3.0667719999999998</v>
      </c>
      <c r="T23">
        <v>-3.0275340000000001E-2</v>
      </c>
      <c r="U23">
        <v>1.9989010000000001E-2</v>
      </c>
      <c r="V23">
        <v>6.3415479999999996E-2</v>
      </c>
      <c r="W23">
        <v>0.1886256</v>
      </c>
      <c r="X23">
        <v>0.97999939999999996</v>
      </c>
      <c r="Y23">
        <v>7.8895730000000004E-3</v>
      </c>
      <c r="Z23">
        <v>-2.1144069999999999E-4</v>
      </c>
      <c r="AA23">
        <v>0.99996879999999999</v>
      </c>
      <c r="AB23">
        <v>6</v>
      </c>
      <c r="AC23">
        <v>113.3468</v>
      </c>
      <c r="AD23">
        <v>-1.1196029502089999</v>
      </c>
      <c r="AE23">
        <v>0.737299999999947</v>
      </c>
      <c r="AF23">
        <v>0.89583958630440297</v>
      </c>
      <c r="AG23">
        <v>-1.1196029502089999</v>
      </c>
      <c r="AH23">
        <v>113.334599740236</v>
      </c>
      <c r="AI23">
        <v>90.565973971066299</v>
      </c>
      <c r="AJ23">
        <v>89.547121897462702</v>
      </c>
      <c r="AK23">
        <v>113.343670037678</v>
      </c>
      <c r="AL23">
        <v>79.127413155825494</v>
      </c>
      <c r="AM23">
        <v>86.297568577046604</v>
      </c>
      <c r="AN23">
        <v>0.99999998203967499</v>
      </c>
    </row>
    <row r="24" spans="1:40" x14ac:dyDescent="0.25">
      <c r="A24" t="str">
        <f>"20190303170941691"</f>
        <v>20190303170941691</v>
      </c>
      <c r="B24" t="str">
        <f>"1551604181680510"</f>
        <v>1551604181680510</v>
      </c>
      <c r="C24" t="s">
        <v>40</v>
      </c>
      <c r="D24">
        <v>4.5827309999999999</v>
      </c>
      <c r="E24">
        <v>0.48235309999999998</v>
      </c>
      <c r="F24" t="s">
        <v>42</v>
      </c>
      <c r="G24">
        <v>-344.25060000000002</v>
      </c>
      <c r="H24" s="1">
        <v>-2.9781209999999999E-6</v>
      </c>
      <c r="I24">
        <v>368.03870000000001</v>
      </c>
      <c r="J24">
        <v>-474.76889999999997</v>
      </c>
      <c r="K24">
        <v>1.119578</v>
      </c>
      <c r="L24">
        <v>367.09070000000003</v>
      </c>
      <c r="M24">
        <v>0.99987820000000005</v>
      </c>
      <c r="N24">
        <v>3.0438330000000001E-3</v>
      </c>
      <c r="O24">
        <v>1.531135E-2</v>
      </c>
      <c r="P24">
        <v>0.98020770000000002</v>
      </c>
      <c r="Q24">
        <v>0.1917015</v>
      </c>
      <c r="R24">
        <v>-4.9436130000000002E-2</v>
      </c>
      <c r="S24">
        <v>3.0666199999999999</v>
      </c>
      <c r="T24">
        <v>-2.6291970000000001E-2</v>
      </c>
      <c r="U24">
        <v>2.2308350000000001E-2</v>
      </c>
      <c r="V24">
        <v>6.4350930000000001E-2</v>
      </c>
      <c r="W24">
        <v>0.18874969999999999</v>
      </c>
      <c r="X24">
        <v>0.97991450000000002</v>
      </c>
      <c r="Y24">
        <v>8.0362619999999902E-3</v>
      </c>
      <c r="Z24">
        <v>-2.0008689999999999E-4</v>
      </c>
      <c r="AA24">
        <v>0.99996770000000001</v>
      </c>
      <c r="AB24">
        <v>7</v>
      </c>
      <c r="AC24">
        <v>130.51829999999899</v>
      </c>
      <c r="AD24">
        <v>-1.119580978121</v>
      </c>
      <c r="AE24">
        <v>0.94799999999997897</v>
      </c>
      <c r="AF24">
        <v>1.05045435425106</v>
      </c>
      <c r="AG24">
        <v>-1.119580978121</v>
      </c>
      <c r="AH24">
        <v>130.50791254961899</v>
      </c>
      <c r="AI24">
        <v>90.491492143426996</v>
      </c>
      <c r="AJ24">
        <v>89.538837912612394</v>
      </c>
      <c r="AK24">
        <v>130.51694201894301</v>
      </c>
      <c r="AL24">
        <v>79.120172440492198</v>
      </c>
      <c r="AM24">
        <v>86.242784240160802</v>
      </c>
      <c r="AN24">
        <v>0.99999995937610098</v>
      </c>
    </row>
    <row r="25" spans="1:40" x14ac:dyDescent="0.25">
      <c r="A25" t="str">
        <f>"20190303170941713"</f>
        <v>20190303170941713</v>
      </c>
      <c r="B25" t="str">
        <f>"1551604181700030"</f>
        <v>1551604181700030</v>
      </c>
      <c r="C25" t="s">
        <v>40</v>
      </c>
      <c r="D25">
        <v>4.6451279999999997</v>
      </c>
      <c r="E25">
        <v>0.48245389999999999</v>
      </c>
      <c r="F25" t="s">
        <v>42</v>
      </c>
      <c r="G25">
        <v>-335.3347</v>
      </c>
      <c r="H25" s="1">
        <v>-2.2426949999999998E-6</v>
      </c>
      <c r="I25">
        <v>368.15629999999999</v>
      </c>
      <c r="J25">
        <v>-474.69540000000001</v>
      </c>
      <c r="K25">
        <v>1.1195469999999901</v>
      </c>
      <c r="L25">
        <v>367.09280000000001</v>
      </c>
      <c r="M25">
        <v>0.99986299999999995</v>
      </c>
      <c r="N25">
        <v>3.1882809999999998E-3</v>
      </c>
      <c r="O25">
        <v>1.624799E-2</v>
      </c>
      <c r="P25">
        <v>0.98029469999999996</v>
      </c>
      <c r="Q25">
        <v>0.19098309999999999</v>
      </c>
      <c r="R25">
        <v>-5.0476269999999997E-2</v>
      </c>
      <c r="S25">
        <v>3.066589</v>
      </c>
      <c r="T25">
        <v>-2.4623039999999999E-2</v>
      </c>
      <c r="U25">
        <v>2.34375E-2</v>
      </c>
      <c r="V25">
        <v>6.6308039999999999E-2</v>
      </c>
      <c r="W25">
        <v>0.18789130000000001</v>
      </c>
      <c r="X25">
        <v>0.97994910000000002</v>
      </c>
      <c r="Y25">
        <v>8.6047840000000007E-3</v>
      </c>
      <c r="Z25">
        <v>-2.0308319999999999E-4</v>
      </c>
      <c r="AA25">
        <v>0.99996300000000005</v>
      </c>
      <c r="AB25">
        <v>7</v>
      </c>
      <c r="AC25">
        <v>139.36070000000001</v>
      </c>
      <c r="AD25">
        <v>-1.11954924269499</v>
      </c>
      <c r="AE25">
        <v>1.0634999999999699</v>
      </c>
      <c r="AF25">
        <v>1.20090545706105</v>
      </c>
      <c r="AG25">
        <v>-1.11954924269499</v>
      </c>
      <c r="AH25">
        <v>139.35059032685501</v>
      </c>
      <c r="AI25">
        <v>90.460290011519803</v>
      </c>
      <c r="AJ25">
        <v>89.506244567578904</v>
      </c>
      <c r="AK25">
        <v>139.36026187140499</v>
      </c>
      <c r="AL25">
        <v>79.170252355922997</v>
      </c>
      <c r="AM25">
        <v>86.128994332566094</v>
      </c>
      <c r="AN25">
        <v>1.00000006768756</v>
      </c>
    </row>
    <row r="26" spans="1:40" x14ac:dyDescent="0.25">
      <c r="A26" t="str">
        <f>"20190303170941736"</f>
        <v>20190303170941736</v>
      </c>
      <c r="B26" t="str">
        <f>"1551604181730287"</f>
        <v>1551604181730287</v>
      </c>
      <c r="C26" t="s">
        <v>40</v>
      </c>
      <c r="D26">
        <v>4.582795</v>
      </c>
      <c r="E26">
        <v>0.48266249999999999</v>
      </c>
      <c r="F26" t="s">
        <v>42</v>
      </c>
      <c r="G26">
        <v>-341.2919</v>
      </c>
      <c r="H26" s="1">
        <v>-4.3749530000000002E-6</v>
      </c>
      <c r="I26">
        <v>368.0487</v>
      </c>
      <c r="J26">
        <v>-474.61930000000001</v>
      </c>
      <c r="K26">
        <v>1.119516</v>
      </c>
      <c r="L26">
        <v>367.0951</v>
      </c>
      <c r="M26">
        <v>0.99984680000000004</v>
      </c>
      <c r="N26">
        <v>3.3231070000000001E-3</v>
      </c>
      <c r="O26">
        <v>1.7191910000000001E-2</v>
      </c>
      <c r="P26">
        <v>0.98035749999999999</v>
      </c>
      <c r="Q26">
        <v>0.1903311</v>
      </c>
      <c r="R26">
        <v>-5.1704229999999997E-2</v>
      </c>
      <c r="S26">
        <v>3.0664060000000002</v>
      </c>
      <c r="T26">
        <v>-2.5733949999999998E-2</v>
      </c>
      <c r="U26">
        <v>2.1972660000000001E-2</v>
      </c>
      <c r="V26">
        <v>6.8459699999999998E-2</v>
      </c>
      <c r="W26">
        <v>0.1871091</v>
      </c>
      <c r="X26">
        <v>0.97995069999999995</v>
      </c>
      <c r="Y26">
        <v>1.00258E-2</v>
      </c>
      <c r="Z26">
        <v>-2.2680709999999999E-4</v>
      </c>
      <c r="AA26">
        <v>0.99994970000000005</v>
      </c>
      <c r="AB26">
        <v>7</v>
      </c>
      <c r="AC26">
        <v>133.32740000000001</v>
      </c>
      <c r="AD26">
        <v>-1.1195203749530001</v>
      </c>
      <c r="AE26">
        <v>0.95359999999999401</v>
      </c>
      <c r="AF26">
        <v>1.3386116166369799</v>
      </c>
      <c r="AG26">
        <v>-1.1195203749530001</v>
      </c>
      <c r="AH26">
        <v>133.314690398252</v>
      </c>
      <c r="AI26">
        <v>90.481110158076703</v>
      </c>
      <c r="AJ26">
        <v>89.424712922445096</v>
      </c>
      <c r="AK26">
        <v>133.32611103197999</v>
      </c>
      <c r="AL26">
        <v>79.215877135145206</v>
      </c>
      <c r="AM26">
        <v>86.003789411948603</v>
      </c>
      <c r="AN26">
        <v>0.99999996012869397</v>
      </c>
    </row>
    <row r="27" spans="1:40" x14ac:dyDescent="0.25">
      <c r="A27" t="str">
        <f>"20190303170941759"</f>
        <v>20190303170941759</v>
      </c>
      <c r="B27" t="str">
        <f>"1551604181750783"</f>
        <v>1551604181750783</v>
      </c>
      <c r="C27" t="s">
        <v>40</v>
      </c>
      <c r="D27">
        <v>4.5868320000000002</v>
      </c>
      <c r="E27">
        <v>0.48279040000000001</v>
      </c>
      <c r="F27" t="s">
        <v>42</v>
      </c>
      <c r="G27">
        <v>-345.39870000000002</v>
      </c>
      <c r="H27" s="1">
        <v>-2.4729719999999999E-6</v>
      </c>
      <c r="I27">
        <v>367.82690000000002</v>
      </c>
      <c r="J27">
        <v>-474.53590000000003</v>
      </c>
      <c r="K27">
        <v>1.1194789999999999</v>
      </c>
      <c r="L27">
        <v>367.0976</v>
      </c>
      <c r="M27">
        <v>0.99982859999999996</v>
      </c>
      <c r="N27">
        <v>3.4557540000000001E-3</v>
      </c>
      <c r="O27">
        <v>1.819494E-2</v>
      </c>
      <c r="P27">
        <v>0.98056359999999998</v>
      </c>
      <c r="Q27">
        <v>0.1891765</v>
      </c>
      <c r="R27">
        <v>-5.20358E-2</v>
      </c>
      <c r="S27">
        <v>3.0662229999999999</v>
      </c>
      <c r="T27">
        <v>-2.6564600000000001E-2</v>
      </c>
      <c r="U27">
        <v>1.7364500000000001E-2</v>
      </c>
      <c r="V27">
        <v>6.9775399999999904E-2</v>
      </c>
      <c r="W27">
        <v>0.1858255</v>
      </c>
      <c r="X27">
        <v>0.98010220000000003</v>
      </c>
      <c r="Y27">
        <v>1.253101E-2</v>
      </c>
      <c r="Z27">
        <v>-2.531279E-4</v>
      </c>
      <c r="AA27">
        <v>0.99992139999999996</v>
      </c>
      <c r="AB27">
        <v>8</v>
      </c>
      <c r="AC27">
        <v>129.13720000000001</v>
      </c>
      <c r="AD27">
        <v>-1.119481472972</v>
      </c>
      <c r="AE27">
        <v>0.72930000000002304</v>
      </c>
      <c r="AF27">
        <v>1.6203563331033499</v>
      </c>
      <c r="AG27">
        <v>-1.119481472972</v>
      </c>
      <c r="AH27">
        <v>129.11938875573199</v>
      </c>
      <c r="AI27">
        <v>90.496710118123005</v>
      </c>
      <c r="AJ27">
        <v>89.281016530922798</v>
      </c>
      <c r="AK27">
        <v>129.134408064111</v>
      </c>
      <c r="AL27">
        <v>79.290735602464395</v>
      </c>
      <c r="AM27">
        <v>85.927871269702095</v>
      </c>
      <c r="AN27">
        <v>1.00000002267012</v>
      </c>
    </row>
    <row r="28" spans="1:40" x14ac:dyDescent="0.25">
      <c r="A28" t="str">
        <f>"20190303170941781"</f>
        <v>20190303170941781</v>
      </c>
      <c r="B28" t="str">
        <f>"1551604181770302"</f>
        <v>1551604181770302</v>
      </c>
      <c r="C28" t="s">
        <v>40</v>
      </c>
      <c r="D28">
        <v>4.6024059999999896</v>
      </c>
      <c r="E28">
        <v>0.48280240000000002</v>
      </c>
      <c r="F28" t="s">
        <v>42</v>
      </c>
      <c r="G28">
        <v>-357.90910000000002</v>
      </c>
      <c r="H28" s="1">
        <v>-1.2167900000000001E-6</v>
      </c>
      <c r="I28">
        <v>367.71390000000002</v>
      </c>
      <c r="J28">
        <v>-474.45510000000002</v>
      </c>
      <c r="K28">
        <v>1.1194519999999999</v>
      </c>
      <c r="L28">
        <v>367.1001</v>
      </c>
      <c r="M28">
        <v>0.99981050000000005</v>
      </c>
      <c r="N28">
        <v>3.572389E-3</v>
      </c>
      <c r="O28">
        <v>1.9140600000000001E-2</v>
      </c>
      <c r="P28">
        <v>0.98081969999999996</v>
      </c>
      <c r="Q28">
        <v>0.1875251</v>
      </c>
      <c r="R28">
        <v>-5.316978E-2</v>
      </c>
      <c r="S28">
        <v>3.0660099999999999</v>
      </c>
      <c r="T28">
        <v>-2.9430029999999999E-2</v>
      </c>
      <c r="U28">
        <v>1.620483E-2</v>
      </c>
      <c r="V28">
        <v>7.1839E-2</v>
      </c>
      <c r="W28">
        <v>0.18406159999999999</v>
      </c>
      <c r="X28">
        <v>0.98028590000000004</v>
      </c>
      <c r="Y28">
        <v>1.3854119999999999E-2</v>
      </c>
      <c r="Z28">
        <v>-2.9383270000000002E-4</v>
      </c>
      <c r="AA28">
        <v>0.99990400000000002</v>
      </c>
      <c r="AB28">
        <v>8</v>
      </c>
      <c r="AC28">
        <v>116.54600000000001</v>
      </c>
      <c r="AD28">
        <v>-1.11945321679</v>
      </c>
      <c r="AE28">
        <v>0.61380000000002599</v>
      </c>
      <c r="AF28">
        <v>1.61693769580378</v>
      </c>
      <c r="AG28">
        <v>-1.11945321679</v>
      </c>
      <c r="AH28">
        <v>116.52564685391501</v>
      </c>
      <c r="AI28">
        <v>90.550366375902897</v>
      </c>
      <c r="AJ28">
        <v>89.205001107384803</v>
      </c>
      <c r="AK28">
        <v>116.542241430907</v>
      </c>
      <c r="AL28">
        <v>79.393573228915798</v>
      </c>
      <c r="AM28">
        <v>85.808644500910702</v>
      </c>
      <c r="AN28">
        <v>0.99999998012718405</v>
      </c>
    </row>
    <row r="29" spans="1:40" x14ac:dyDescent="0.25">
      <c r="A29" t="str">
        <f>"20190303170941802"</f>
        <v>20190303170941802</v>
      </c>
      <c r="B29" t="str">
        <f>"1551604181790799"</f>
        <v>1551604181790799</v>
      </c>
      <c r="C29" t="s">
        <v>40</v>
      </c>
      <c r="D29">
        <v>4.5852199999999996</v>
      </c>
      <c r="E29">
        <v>0.4828017</v>
      </c>
      <c r="F29" t="s">
        <v>42</v>
      </c>
      <c r="G29">
        <v>-373.113</v>
      </c>
      <c r="H29" s="1">
        <v>-3.3015780000000001E-6</v>
      </c>
      <c r="I29">
        <v>367.56</v>
      </c>
      <c r="J29">
        <v>-474.3707</v>
      </c>
      <c r="K29">
        <v>1.1194189999999999</v>
      </c>
      <c r="L29">
        <v>367.1028</v>
      </c>
      <c r="M29">
        <v>0.99979119999999999</v>
      </c>
      <c r="N29">
        <v>3.6847469999999999E-3</v>
      </c>
      <c r="O29">
        <v>2.0101339999999999E-2</v>
      </c>
      <c r="P29">
        <v>0.98126979999999997</v>
      </c>
      <c r="Q29">
        <v>0.18499189999999999</v>
      </c>
      <c r="R29">
        <v>-5.3739160000000001E-2</v>
      </c>
      <c r="S29">
        <v>3.0659179999999999</v>
      </c>
      <c r="T29">
        <v>-3.3867000000000001E-2</v>
      </c>
      <c r="U29">
        <v>1.3916019999999999E-2</v>
      </c>
      <c r="V29">
        <v>7.3357690000000003E-2</v>
      </c>
      <c r="W29">
        <v>0.18141850000000001</v>
      </c>
      <c r="X29">
        <v>0.98066609999999999</v>
      </c>
      <c r="Y29">
        <v>1.556048E-2</v>
      </c>
      <c r="Z29">
        <v>-3.5336390000000002E-4</v>
      </c>
      <c r="AA29">
        <v>0.99987890000000001</v>
      </c>
      <c r="AB29">
        <v>8</v>
      </c>
      <c r="AC29">
        <v>101.25769999999901</v>
      </c>
      <c r="AD29">
        <v>-1.119422301578</v>
      </c>
      <c r="AE29">
        <v>0.4572</v>
      </c>
      <c r="AF29">
        <v>1.57812869619172</v>
      </c>
      <c r="AG29">
        <v>-1.119422301578</v>
      </c>
      <c r="AH29">
        <v>101.234058486945</v>
      </c>
      <c r="AI29">
        <v>90.633460413501496</v>
      </c>
      <c r="AJ29">
        <v>89.106893551596301</v>
      </c>
      <c r="AK29">
        <v>101.252546606045</v>
      </c>
      <c r="AL29">
        <v>79.547605794146406</v>
      </c>
      <c r="AM29">
        <v>85.722017300288996</v>
      </c>
      <c r="AN29">
        <v>1.0000000112567899</v>
      </c>
    </row>
    <row r="30" spans="1:40" x14ac:dyDescent="0.25">
      <c r="A30" t="str">
        <f>"20190303170941828"</f>
        <v>20190303170941828</v>
      </c>
      <c r="B30" t="str">
        <f>"1551604181820585"</f>
        <v>1551604181820585</v>
      </c>
      <c r="C30" t="s">
        <v>40</v>
      </c>
      <c r="D30">
        <v>4.5637670000000004</v>
      </c>
      <c r="E30">
        <v>0.48267719999999997</v>
      </c>
      <c r="F30" t="s">
        <v>42</v>
      </c>
      <c r="G30">
        <v>-390.31389999999999</v>
      </c>
      <c r="H30" s="1">
        <v>-4.5188980000000004E-6</v>
      </c>
      <c r="I30">
        <v>367.4667</v>
      </c>
      <c r="J30">
        <v>-474.26889999999997</v>
      </c>
      <c r="K30">
        <v>1.11937999999999</v>
      </c>
      <c r="L30">
        <v>367.10599999999999</v>
      </c>
      <c r="M30">
        <v>0.99976750000000003</v>
      </c>
      <c r="N30">
        <v>3.8091150000000001E-3</v>
      </c>
      <c r="O30">
        <v>2.122083E-2</v>
      </c>
      <c r="P30">
        <v>0.98163339999999999</v>
      </c>
      <c r="Q30">
        <v>0.1830976</v>
      </c>
      <c r="R30">
        <v>-5.3581660000000003E-2</v>
      </c>
      <c r="S30">
        <v>3.0656430000000001</v>
      </c>
      <c r="T30">
        <v>-4.0826559999999998E-2</v>
      </c>
      <c r="U30">
        <v>1.3275149999999999E-2</v>
      </c>
      <c r="V30">
        <v>7.430436E-2</v>
      </c>
      <c r="W30">
        <v>0.1794026</v>
      </c>
      <c r="X30">
        <v>0.98096559999999999</v>
      </c>
      <c r="Y30">
        <v>1.6887329999999999E-2</v>
      </c>
      <c r="Z30">
        <v>-4.4368629999999999E-4</v>
      </c>
      <c r="AA30">
        <v>0.99985729999999995</v>
      </c>
      <c r="AB30">
        <v>9</v>
      </c>
      <c r="AC30">
        <v>83.954999999999899</v>
      </c>
      <c r="AD30">
        <v>-1.1193845188979901</v>
      </c>
      <c r="AE30">
        <v>0.36070000000000801</v>
      </c>
      <c r="AF30">
        <v>1.42073647079012</v>
      </c>
      <c r="AG30">
        <v>-1.1193845188979901</v>
      </c>
      <c r="AH30">
        <v>83.928828551680198</v>
      </c>
      <c r="AI30">
        <v>90.7640166270603</v>
      </c>
      <c r="AJ30">
        <v>89.030197001754999</v>
      </c>
      <c r="AK30">
        <v>83.948316099120802</v>
      </c>
      <c r="AL30">
        <v>79.665034794812001</v>
      </c>
      <c r="AM30">
        <v>85.668337363875494</v>
      </c>
      <c r="AN30">
        <v>0.99999996959256399</v>
      </c>
    </row>
    <row r="31" spans="1:40" x14ac:dyDescent="0.25">
      <c r="A31" t="str">
        <f>"20190303170941849"</f>
        <v>20190303170941849</v>
      </c>
      <c r="B31" t="str">
        <f>"1551604181840105"</f>
        <v>1551604181840105</v>
      </c>
      <c r="C31" t="s">
        <v>40</v>
      </c>
      <c r="D31">
        <v>4.5706889999999998</v>
      </c>
      <c r="E31">
        <v>0.47371639999999998</v>
      </c>
      <c r="F31" t="s">
        <v>42</v>
      </c>
      <c r="G31">
        <v>-399.84550000000002</v>
      </c>
      <c r="H31" s="1">
        <v>-6.0505819999999897E-7</v>
      </c>
      <c r="I31">
        <v>367.48750000000001</v>
      </c>
      <c r="J31">
        <v>-474.18079999999998</v>
      </c>
      <c r="K31">
        <v>1.119351</v>
      </c>
      <c r="L31">
        <v>367.10890000000001</v>
      </c>
      <c r="M31">
        <v>0.99974719999999995</v>
      </c>
      <c r="N31">
        <v>3.908384E-3</v>
      </c>
      <c r="O31">
        <v>2.2151270000000001E-2</v>
      </c>
      <c r="P31">
        <v>0.98173560000000004</v>
      </c>
      <c r="Q31">
        <v>0.18286559999999999</v>
      </c>
      <c r="R31">
        <v>-5.2492339999999998E-2</v>
      </c>
      <c r="S31">
        <v>3.0655519999999998</v>
      </c>
      <c r="T31">
        <v>-4.6108009999999998E-2</v>
      </c>
      <c r="U31">
        <v>1.5716549999999999E-2</v>
      </c>
      <c r="V31">
        <v>7.4129500000000001E-2</v>
      </c>
      <c r="W31">
        <v>0.17907290000000001</v>
      </c>
      <c r="X31">
        <v>0.98103910000000005</v>
      </c>
      <c r="Y31">
        <v>1.7020239999999999E-2</v>
      </c>
      <c r="Z31">
        <v>-5.1442719999999999E-4</v>
      </c>
      <c r="AA31">
        <v>0.99985500000000005</v>
      </c>
      <c r="AB31">
        <v>9</v>
      </c>
      <c r="AC31">
        <v>74.335299999999904</v>
      </c>
      <c r="AD31">
        <v>-1.1193516050582</v>
      </c>
      <c r="AE31">
        <v>0.37860000000000499</v>
      </c>
      <c r="AF31">
        <v>1.2678389593442001</v>
      </c>
      <c r="AG31">
        <v>-1.1193516050582</v>
      </c>
      <c r="AH31">
        <v>74.3085977826331</v>
      </c>
      <c r="AI31">
        <v>90.862887252529802</v>
      </c>
      <c r="AJ31">
        <v>89.022525305744495</v>
      </c>
      <c r="AK31">
        <v>74.3278418095381</v>
      </c>
      <c r="AL31">
        <v>79.684236492672795</v>
      </c>
      <c r="AM31">
        <v>85.678814921118203</v>
      </c>
      <c r="AN31">
        <v>1.00000000100673</v>
      </c>
    </row>
    <row r="32" spans="1:40" x14ac:dyDescent="0.25">
      <c r="A32" t="str">
        <f>"20190303170941871"</f>
        <v>20190303170941871</v>
      </c>
      <c r="B32" t="str">
        <f>"1551604181860601"</f>
        <v>1551604181860601</v>
      </c>
      <c r="C32" t="s">
        <v>40</v>
      </c>
      <c r="D32">
        <v>4.6451469999999997</v>
      </c>
      <c r="E32">
        <v>0.47070699999999999</v>
      </c>
      <c r="F32" t="s">
        <v>42</v>
      </c>
      <c r="G32">
        <v>-441.5059</v>
      </c>
      <c r="H32" s="1">
        <v>-4.2620470000000003E-6</v>
      </c>
      <c r="I32">
        <v>368.11489999999998</v>
      </c>
      <c r="J32">
        <v>-474.08960000000002</v>
      </c>
      <c r="K32">
        <v>1.1193280000000001</v>
      </c>
      <c r="L32">
        <v>367.11189999999999</v>
      </c>
      <c r="M32">
        <v>0.9997258</v>
      </c>
      <c r="N32">
        <v>4.0039430000000003E-3</v>
      </c>
      <c r="O32">
        <v>2.3074029999999999E-2</v>
      </c>
      <c r="P32">
        <v>0.98169439999999997</v>
      </c>
      <c r="Q32">
        <v>0.1834903</v>
      </c>
      <c r="R32">
        <v>-5.1060260000000003E-2</v>
      </c>
      <c r="S32">
        <v>3.0805660000000001</v>
      </c>
      <c r="T32">
        <v>-0.10553170000000001</v>
      </c>
      <c r="U32">
        <v>9.4848630000000003E-2</v>
      </c>
      <c r="V32">
        <v>7.3602479999999998E-2</v>
      </c>
      <c r="W32">
        <v>0.1796034</v>
      </c>
      <c r="X32">
        <v>0.98098180000000001</v>
      </c>
      <c r="Y32">
        <v>-7.7161549999999997E-3</v>
      </c>
      <c r="Z32">
        <v>-7.6561909999999997E-4</v>
      </c>
      <c r="AA32">
        <v>0.99997000000000003</v>
      </c>
      <c r="AB32">
        <v>9</v>
      </c>
      <c r="AC32">
        <v>32.5837</v>
      </c>
      <c r="AD32">
        <v>-1.1193322620469901</v>
      </c>
      <c r="AE32">
        <v>1.0029999999999799</v>
      </c>
      <c r="AF32">
        <v>-0.25059425715147599</v>
      </c>
      <c r="AG32">
        <v>-1.1193322620469901</v>
      </c>
      <c r="AH32">
        <v>32.559780900219302</v>
      </c>
      <c r="AI32">
        <v>91.968866764465801</v>
      </c>
      <c r="AJ32">
        <v>90.440964570981393</v>
      </c>
      <c r="AK32">
        <v>32.579979043345901</v>
      </c>
      <c r="AL32">
        <v>79.653340154936998</v>
      </c>
      <c r="AM32">
        <v>85.709171361061905</v>
      </c>
      <c r="AN32">
        <v>0.99999999914247495</v>
      </c>
    </row>
    <row r="33" spans="1:40" x14ac:dyDescent="0.25">
      <c r="A33" t="str">
        <f>"20190303170941892"</f>
        <v>20190303170941892</v>
      </c>
      <c r="B33" t="str">
        <f>"1551604181880121"</f>
        <v>1551604181880121</v>
      </c>
      <c r="C33" t="s">
        <v>40</v>
      </c>
      <c r="D33">
        <v>4.6522379999999997</v>
      </c>
      <c r="E33">
        <v>0.46852860000000002</v>
      </c>
      <c r="F33" t="s">
        <v>42</v>
      </c>
      <c r="G33">
        <v>-440.35079999999999</v>
      </c>
      <c r="H33" s="1">
        <v>-4.7464580000000003E-6</v>
      </c>
      <c r="I33">
        <v>368.4622</v>
      </c>
      <c r="J33">
        <v>-473.9923</v>
      </c>
      <c r="K33">
        <v>1.1192949999999999</v>
      </c>
      <c r="L33">
        <v>367.11520000000002</v>
      </c>
      <c r="M33">
        <v>0.99970349999999997</v>
      </c>
      <c r="N33">
        <v>4.0989590000000001E-3</v>
      </c>
      <c r="O33">
        <v>2.4005289999999999E-2</v>
      </c>
      <c r="P33">
        <v>0.9816473</v>
      </c>
      <c r="Q33">
        <v>0.18409539999999999</v>
      </c>
      <c r="R33">
        <v>-4.9779089999999998E-2</v>
      </c>
      <c r="S33">
        <v>3.0814509999999999</v>
      </c>
      <c r="T33">
        <v>-0.1022315</v>
      </c>
      <c r="U33">
        <v>0.1233215</v>
      </c>
      <c r="V33">
        <v>7.3236170000000003E-2</v>
      </c>
      <c r="W33">
        <v>0.1801142</v>
      </c>
      <c r="X33">
        <v>0.98091550000000005</v>
      </c>
      <c r="Y33">
        <v>-1.5999719999999999E-2</v>
      </c>
      <c r="Z33">
        <v>-6.6165009999999999E-4</v>
      </c>
      <c r="AA33">
        <v>0.99987179999999998</v>
      </c>
      <c r="AB33">
        <v>9</v>
      </c>
      <c r="AC33">
        <v>33.641500000000001</v>
      </c>
      <c r="AD33">
        <v>-1.1192997464579999</v>
      </c>
      <c r="AE33">
        <v>1.34699999999998</v>
      </c>
      <c r="AF33">
        <v>-0.53843605350429402</v>
      </c>
      <c r="AG33">
        <v>-1.1192997464579999</v>
      </c>
      <c r="AH33">
        <v>33.626975805906199</v>
      </c>
      <c r="AI33">
        <v>91.906186050932504</v>
      </c>
      <c r="AJ33">
        <v>90.917343191512103</v>
      </c>
      <c r="AK33">
        <v>33.6499070898737</v>
      </c>
      <c r="AL33">
        <v>79.623587668334906</v>
      </c>
      <c r="AM33">
        <v>85.730159584437303</v>
      </c>
      <c r="AN33">
        <v>0.99999993988907698</v>
      </c>
    </row>
    <row r="34" spans="1:40" x14ac:dyDescent="0.25">
      <c r="A34" t="str">
        <f>"20190303170941915"</f>
        <v>20190303170941915</v>
      </c>
      <c r="B34" t="str">
        <f>"1551604181910377"</f>
        <v>1551604181910377</v>
      </c>
      <c r="C34" t="s">
        <v>40</v>
      </c>
      <c r="D34">
        <v>4.6385249999999996</v>
      </c>
      <c r="E34">
        <v>0.46733180000000002</v>
      </c>
      <c r="F34" t="s">
        <v>41</v>
      </c>
      <c r="G34">
        <v>-436.81150000000002</v>
      </c>
      <c r="H34">
        <v>-0.05</v>
      </c>
      <c r="I34">
        <v>368.84800000000001</v>
      </c>
      <c r="J34">
        <v>-473.89280000000002</v>
      </c>
      <c r="K34">
        <v>1.119265</v>
      </c>
      <c r="L34">
        <v>367.11860000000001</v>
      </c>
      <c r="M34">
        <v>0.99968140000000005</v>
      </c>
      <c r="N34">
        <v>4.1892029999999999E-3</v>
      </c>
      <c r="O34">
        <v>2.489516E-2</v>
      </c>
      <c r="P34">
        <v>0.98173710000000003</v>
      </c>
      <c r="Q34">
        <v>0.184026</v>
      </c>
      <c r="R34">
        <v>-4.8241920000000001E-2</v>
      </c>
      <c r="S34">
        <v>3.0815730000000001</v>
      </c>
      <c r="T34">
        <v>-9.6912029999999996E-2</v>
      </c>
      <c r="U34">
        <v>0.14361570000000001</v>
      </c>
      <c r="V34">
        <v>7.2579530000000003E-2</v>
      </c>
      <c r="W34">
        <v>0.179953799999999</v>
      </c>
      <c r="X34">
        <v>0.98099380000000003</v>
      </c>
      <c r="Y34">
        <v>-2.167784E-2</v>
      </c>
      <c r="Z34">
        <v>-5.9119969999999996E-4</v>
      </c>
      <c r="AA34">
        <v>0.99976489999999996</v>
      </c>
      <c r="AB34">
        <v>10</v>
      </c>
      <c r="AC34">
        <v>37.081299999999999</v>
      </c>
      <c r="AD34">
        <v>-1.169265</v>
      </c>
      <c r="AE34">
        <v>1.7293999999999901</v>
      </c>
      <c r="AF34">
        <v>-0.80491251312305301</v>
      </c>
      <c r="AG34">
        <v>-1.169265</v>
      </c>
      <c r="AH34">
        <v>37.0760765526475</v>
      </c>
      <c r="AI34">
        <v>91.805908083397298</v>
      </c>
      <c r="AJ34">
        <v>91.243681933376493</v>
      </c>
      <c r="AK34">
        <v>37.103241331880803</v>
      </c>
      <c r="AL34">
        <v>79.632931169708698</v>
      </c>
      <c r="AM34">
        <v>85.768640075583704</v>
      </c>
      <c r="AN34">
        <v>0.99999999697395003</v>
      </c>
    </row>
    <row r="35" spans="1:40" x14ac:dyDescent="0.25">
      <c r="A35" t="str">
        <f>"20190303170941937"</f>
        <v>20190303170941937</v>
      </c>
      <c r="B35" t="str">
        <f>"1551604181930405"</f>
        <v>1551604181930405</v>
      </c>
      <c r="C35" t="s">
        <v>40</v>
      </c>
      <c r="D35">
        <v>4.6445290000000004</v>
      </c>
      <c r="E35">
        <v>0.4669798</v>
      </c>
      <c r="F35" t="s">
        <v>41</v>
      </c>
      <c r="G35">
        <v>-436.3623</v>
      </c>
      <c r="H35">
        <v>-0.05</v>
      </c>
      <c r="I35">
        <v>369.03339999999997</v>
      </c>
      <c r="J35">
        <v>-473.7912</v>
      </c>
      <c r="K35">
        <v>1.1192260000000001</v>
      </c>
      <c r="L35">
        <v>367.12200000000001</v>
      </c>
      <c r="M35">
        <v>0.99965970000000004</v>
      </c>
      <c r="N35">
        <v>4.2741519999999998E-3</v>
      </c>
      <c r="O35">
        <v>2.5731899999999999E-2</v>
      </c>
      <c r="P35">
        <v>0.9819426</v>
      </c>
      <c r="Q35">
        <v>0.18331600000000001</v>
      </c>
      <c r="R35">
        <v>-4.6736149999999997E-2</v>
      </c>
      <c r="S35">
        <v>3.0815730000000001</v>
      </c>
      <c r="T35">
        <v>-9.6006869999999994E-2</v>
      </c>
      <c r="U35">
        <v>0.15722659999999999</v>
      </c>
      <c r="V35">
        <v>7.1908589999999994E-2</v>
      </c>
      <c r="W35">
        <v>0.17915590000000001</v>
      </c>
      <c r="X35">
        <v>0.98118930000000004</v>
      </c>
      <c r="Y35">
        <v>-2.5245219999999999E-2</v>
      </c>
      <c r="Z35">
        <v>-5.7176570000000003E-4</v>
      </c>
      <c r="AA35">
        <v>0.99968109999999999</v>
      </c>
      <c r="AB35">
        <v>10</v>
      </c>
      <c r="AC35">
        <v>37.428899999999999</v>
      </c>
      <c r="AD35">
        <v>-1.1692260000000001</v>
      </c>
      <c r="AE35">
        <v>1.91140000000001</v>
      </c>
      <c r="AF35">
        <v>-0.94672008180869405</v>
      </c>
      <c r="AG35">
        <v>-1.1692260000000001</v>
      </c>
      <c r="AH35">
        <v>37.429260398978201</v>
      </c>
      <c r="AI35">
        <v>91.788668489337297</v>
      </c>
      <c r="AJ35">
        <v>91.448906585855298</v>
      </c>
      <c r="AK35">
        <v>37.459483477043499</v>
      </c>
      <c r="AL35">
        <v>79.679403411005794</v>
      </c>
      <c r="AM35">
        <v>85.808447864259094</v>
      </c>
      <c r="AN35">
        <v>1.00000006212754</v>
      </c>
    </row>
    <row r="36" spans="1:40" x14ac:dyDescent="0.25">
      <c r="A36" t="str">
        <f>"20190303170941959"</f>
        <v>20190303170941959</v>
      </c>
      <c r="B36" t="str">
        <f>"1551604181950901"</f>
        <v>1551604181950901</v>
      </c>
      <c r="C36" t="s">
        <v>40</v>
      </c>
      <c r="D36">
        <v>4.6805440000000003</v>
      </c>
      <c r="E36">
        <v>0.46680579999999999</v>
      </c>
      <c r="F36" t="s">
        <v>41</v>
      </c>
      <c r="G36">
        <v>-436.93369999999999</v>
      </c>
      <c r="H36">
        <v>-0.05</v>
      </c>
      <c r="I36">
        <v>369.08780000000002</v>
      </c>
      <c r="J36">
        <v>-473.6807</v>
      </c>
      <c r="K36">
        <v>1.1191789999999999</v>
      </c>
      <c r="L36">
        <v>367.1259</v>
      </c>
      <c r="M36">
        <v>0.99963829999999998</v>
      </c>
      <c r="N36">
        <v>4.3583500000000004E-3</v>
      </c>
      <c r="O36">
        <v>2.6541039999999998E-2</v>
      </c>
      <c r="P36">
        <v>0.98195699999999997</v>
      </c>
      <c r="Q36">
        <v>0.18350810000000001</v>
      </c>
      <c r="R36">
        <v>-4.5669069999999999E-2</v>
      </c>
      <c r="S36">
        <v>3.0812379999999999</v>
      </c>
      <c r="T36">
        <v>-9.7745659999999998E-2</v>
      </c>
      <c r="U36">
        <v>0.16433719999999999</v>
      </c>
      <c r="V36">
        <v>7.164732E-2</v>
      </c>
      <c r="W36">
        <v>0.17926049999999999</v>
      </c>
      <c r="X36">
        <v>0.98118930000000004</v>
      </c>
      <c r="Y36">
        <v>-2.674236E-2</v>
      </c>
      <c r="Z36">
        <v>-5.9108299999999995E-4</v>
      </c>
      <c r="AA36">
        <v>0.99964219999999904</v>
      </c>
      <c r="AB36">
        <v>10</v>
      </c>
      <c r="AC36">
        <v>36.747</v>
      </c>
      <c r="AD36">
        <v>-1.169179</v>
      </c>
      <c r="AE36">
        <v>1.96190000000001</v>
      </c>
      <c r="AF36">
        <v>-0.98490186932859503</v>
      </c>
      <c r="AG36">
        <v>-1.169179</v>
      </c>
      <c r="AH36">
        <v>36.749029972930998</v>
      </c>
      <c r="AI36">
        <v>91.821610324438893</v>
      </c>
      <c r="AJ36">
        <v>91.5352028387438</v>
      </c>
      <c r="AK36">
        <v>36.780813139157601</v>
      </c>
      <c r="AL36">
        <v>79.673311568332693</v>
      </c>
      <c r="AM36">
        <v>85.823623309291307</v>
      </c>
      <c r="AN36">
        <v>1.00000005387895</v>
      </c>
    </row>
    <row r="37" spans="1:40" x14ac:dyDescent="0.25">
      <c r="A37" t="str">
        <f>"20190303170941981"</f>
        <v>20190303170941981</v>
      </c>
      <c r="B37" t="str">
        <f>"1551604181970421"</f>
        <v>1551604181970421</v>
      </c>
      <c r="C37" t="s">
        <v>40</v>
      </c>
      <c r="D37">
        <v>4.6956680000000004</v>
      </c>
      <c r="E37">
        <v>0.46676590000000001</v>
      </c>
      <c r="F37" t="s">
        <v>41</v>
      </c>
      <c r="G37">
        <v>-436.37520000000001</v>
      </c>
      <c r="H37">
        <v>-0.05</v>
      </c>
      <c r="I37">
        <v>369.16410000000002</v>
      </c>
      <c r="J37">
        <v>-473.5711</v>
      </c>
      <c r="K37">
        <v>1.1191409999999999</v>
      </c>
      <c r="L37">
        <v>367.12959999999998</v>
      </c>
      <c r="M37">
        <v>0.99961909999999998</v>
      </c>
      <c r="N37">
        <v>4.4336439999999996E-3</v>
      </c>
      <c r="O37">
        <v>2.724449E-2</v>
      </c>
      <c r="P37">
        <v>0.98180350000000005</v>
      </c>
      <c r="Q37">
        <v>0.18461530000000001</v>
      </c>
      <c r="R37">
        <v>-4.4492950000000003E-2</v>
      </c>
      <c r="S37">
        <v>3.080994</v>
      </c>
      <c r="T37">
        <v>-9.6560240000000006E-2</v>
      </c>
      <c r="U37">
        <v>0.16833499999999901</v>
      </c>
      <c r="V37">
        <v>7.1170810000000001E-2</v>
      </c>
      <c r="W37">
        <v>0.18028920000000001</v>
      </c>
      <c r="X37">
        <v>0.9810354</v>
      </c>
      <c r="Y37">
        <v>-2.7336679999999999E-2</v>
      </c>
      <c r="Z37">
        <v>-6.0618769999999905E-4</v>
      </c>
      <c r="AA37">
        <v>0.99962609999999996</v>
      </c>
      <c r="AB37">
        <v>11</v>
      </c>
      <c r="AC37">
        <v>37.195900000000002</v>
      </c>
      <c r="AD37">
        <v>-1.169141</v>
      </c>
      <c r="AE37">
        <v>2.0345000000000302</v>
      </c>
      <c r="AF37">
        <v>-1.0193475465202499</v>
      </c>
      <c r="AG37">
        <v>-1.169141</v>
      </c>
      <c r="AH37">
        <v>37.2008783530786</v>
      </c>
      <c r="AI37">
        <v>91.799411676140807</v>
      </c>
      <c r="AJ37">
        <v>91.569578577663506</v>
      </c>
      <c r="AK37">
        <v>37.2332017202259</v>
      </c>
      <c r="AL37">
        <v>79.613394327832097</v>
      </c>
      <c r="AM37">
        <v>85.850653577175095</v>
      </c>
      <c r="AN37">
        <v>0.999999967942927</v>
      </c>
    </row>
    <row r="38" spans="1:40" x14ac:dyDescent="0.25">
      <c r="A38" t="str">
        <f>"20190303170942003"</f>
        <v>20190303170942003</v>
      </c>
      <c r="B38" t="str">
        <f>"1551604181990917"</f>
        <v>1551604181990917</v>
      </c>
      <c r="C38" t="s">
        <v>40</v>
      </c>
      <c r="D38">
        <v>4.6861509999999997</v>
      </c>
      <c r="E38">
        <v>0.46679730000000003</v>
      </c>
      <c r="F38" t="s">
        <v>41</v>
      </c>
      <c r="G38">
        <v>-435.17</v>
      </c>
      <c r="H38">
        <v>-0.05</v>
      </c>
      <c r="I38">
        <v>369.27109999999999</v>
      </c>
      <c r="J38">
        <v>-473.459</v>
      </c>
      <c r="K38">
        <v>1.1190960000000001</v>
      </c>
      <c r="L38">
        <v>367.13350000000003</v>
      </c>
      <c r="M38">
        <v>0.99960150000000003</v>
      </c>
      <c r="N38">
        <v>4.5020210000000001E-3</v>
      </c>
      <c r="O38">
        <v>2.7864340000000001E-2</v>
      </c>
      <c r="P38">
        <v>0.98167409999999999</v>
      </c>
      <c r="Q38">
        <v>0.1856923</v>
      </c>
      <c r="R38">
        <v>-4.2831059999999997E-2</v>
      </c>
      <c r="S38">
        <v>3.0810240000000002</v>
      </c>
      <c r="T38">
        <v>-9.3803410000000004E-2</v>
      </c>
      <c r="U38">
        <v>0.17181399999999999</v>
      </c>
      <c r="V38">
        <v>7.0128380000000004E-2</v>
      </c>
      <c r="W38">
        <v>0.18129329999999999</v>
      </c>
      <c r="X38">
        <v>0.98092539999999995</v>
      </c>
      <c r="Y38">
        <v>-2.7841689999999999E-2</v>
      </c>
      <c r="Z38">
        <v>-6.1192879999999905E-4</v>
      </c>
      <c r="AA38">
        <v>0.99961219999999995</v>
      </c>
      <c r="AB38">
        <v>11</v>
      </c>
      <c r="AC38">
        <v>38.288999999999902</v>
      </c>
      <c r="AD38">
        <v>-1.1690959999999999</v>
      </c>
      <c r="AE38">
        <v>2.13759999999996</v>
      </c>
      <c r="AF38">
        <v>-1.0688679737041999</v>
      </c>
      <c r="AG38">
        <v>-1.1690959999999999</v>
      </c>
      <c r="AH38">
        <v>38.298101927358601</v>
      </c>
      <c r="AI38">
        <v>91.747800027559705</v>
      </c>
      <c r="AJ38">
        <v>91.598662265032104</v>
      </c>
      <c r="AK38">
        <v>38.330847570080898</v>
      </c>
      <c r="AL38">
        <v>79.554899488395705</v>
      </c>
      <c r="AM38">
        <v>85.910763932039998</v>
      </c>
      <c r="AN38">
        <v>0.999999945335735</v>
      </c>
    </row>
    <row r="39" spans="1:40" x14ac:dyDescent="0.25">
      <c r="A39" t="str">
        <f>"20190303170942025"</f>
        <v>20190303170942025</v>
      </c>
      <c r="B39" t="str">
        <f>"1551604182020197"</f>
        <v>1551604182020197</v>
      </c>
      <c r="C39" t="s">
        <v>40</v>
      </c>
      <c r="D39">
        <v>4.7203210000000002</v>
      </c>
      <c r="E39">
        <v>0.46681060000000002</v>
      </c>
      <c r="F39" t="s">
        <v>41</v>
      </c>
      <c r="G39">
        <v>-433.85210000000001</v>
      </c>
      <c r="H39">
        <v>-0.05</v>
      </c>
      <c r="I39">
        <v>369.39249999999998</v>
      </c>
      <c r="J39">
        <v>-473.34710000000001</v>
      </c>
      <c r="K39">
        <v>1.1190500000000001</v>
      </c>
      <c r="L39">
        <v>367.13729999999998</v>
      </c>
      <c r="M39">
        <v>0.9995868</v>
      </c>
      <c r="N39">
        <v>4.5612250000000003E-3</v>
      </c>
      <c r="O39">
        <v>2.8382600000000001E-2</v>
      </c>
      <c r="P39">
        <v>0.98180520000000004</v>
      </c>
      <c r="Q39">
        <v>0.18530389999999999</v>
      </c>
      <c r="R39">
        <v>-4.1483739999999998E-2</v>
      </c>
      <c r="S39">
        <v>3.080902</v>
      </c>
      <c r="T39">
        <v>-9.0940240000000006E-2</v>
      </c>
      <c r="U39">
        <v>0.17572019999999999</v>
      </c>
      <c r="V39">
        <v>6.9309319999999994E-2</v>
      </c>
      <c r="W39">
        <v>0.18084030000000001</v>
      </c>
      <c r="X39">
        <v>0.98106729999999998</v>
      </c>
      <c r="Y39">
        <v>-2.858892E-2</v>
      </c>
      <c r="Z39">
        <v>-6.0979160000000003E-4</v>
      </c>
      <c r="AA39">
        <v>0.99959109999999995</v>
      </c>
      <c r="AB39">
        <v>11</v>
      </c>
      <c r="AC39">
        <v>39.494999999999997</v>
      </c>
      <c r="AD39">
        <v>-1.1690499999999999</v>
      </c>
      <c r="AE39">
        <v>2.2551999999999999</v>
      </c>
      <c r="AF39">
        <v>-1.1323202038985301</v>
      </c>
      <c r="AG39">
        <v>-1.1690499999999999</v>
      </c>
      <c r="AH39">
        <v>39.508594300794201</v>
      </c>
      <c r="AI39">
        <v>91.694178833334604</v>
      </c>
      <c r="AJ39">
        <v>91.641653297017697</v>
      </c>
      <c r="AK39">
        <v>39.542102252806501</v>
      </c>
      <c r="AL39">
        <v>79.581291506698804</v>
      </c>
      <c r="AM39">
        <v>85.958947341915305</v>
      </c>
      <c r="AN39">
        <v>1.00000002153612</v>
      </c>
    </row>
    <row r="40" spans="1:40" x14ac:dyDescent="0.25">
      <c r="A40" t="str">
        <f>"20190303170942050"</f>
        <v>20190303170942050</v>
      </c>
      <c r="B40" t="str">
        <f>"1551604182040693"</f>
        <v>1551604182040693</v>
      </c>
      <c r="C40" t="s">
        <v>40</v>
      </c>
      <c r="D40">
        <v>4.7104429999999997</v>
      </c>
      <c r="E40">
        <v>0.46694629999999998</v>
      </c>
      <c r="F40" t="s">
        <v>41</v>
      </c>
      <c r="G40">
        <v>-434.60410000000002</v>
      </c>
      <c r="H40">
        <v>-0.05</v>
      </c>
      <c r="I40">
        <v>369.39089999999999</v>
      </c>
      <c r="J40">
        <v>-473.20870000000002</v>
      </c>
      <c r="K40">
        <v>1.1189880000000001</v>
      </c>
      <c r="L40">
        <v>367.14190000000002</v>
      </c>
      <c r="M40">
        <v>0.99957200000000002</v>
      </c>
      <c r="N40">
        <v>4.6204169999999999E-3</v>
      </c>
      <c r="O40">
        <v>2.8887820000000002E-2</v>
      </c>
      <c r="P40">
        <v>0.98198209999999997</v>
      </c>
      <c r="Q40">
        <v>0.18456719999999999</v>
      </c>
      <c r="R40">
        <v>-4.057653E-2</v>
      </c>
      <c r="S40">
        <v>3.0806879999999999</v>
      </c>
      <c r="T40">
        <v>-9.2958089999999993E-2</v>
      </c>
      <c r="U40">
        <v>0.1791992</v>
      </c>
      <c r="V40">
        <v>6.8923680000000001E-2</v>
      </c>
      <c r="W40">
        <v>0.18003640000000001</v>
      </c>
      <c r="X40">
        <v>0.98124230000000001</v>
      </c>
      <c r="Y40">
        <v>-2.9212999999999999E-2</v>
      </c>
      <c r="Z40">
        <v>-6.311229E-4</v>
      </c>
      <c r="AA40">
        <v>0.99957300000000004</v>
      </c>
      <c r="AB40">
        <v>12</v>
      </c>
      <c r="AC40">
        <v>38.604599999999998</v>
      </c>
      <c r="AD40">
        <v>-1.1689879999999999</v>
      </c>
      <c r="AE40">
        <v>2.2489999999999601</v>
      </c>
      <c r="AF40">
        <v>-1.13181246657865</v>
      </c>
      <c r="AG40">
        <v>-1.1689879999999999</v>
      </c>
      <c r="AH40">
        <v>38.618166950713402</v>
      </c>
      <c r="AI40">
        <v>91.733093968236602</v>
      </c>
      <c r="AJ40">
        <v>91.678731157584096</v>
      </c>
      <c r="AK40">
        <v>38.652430079321299</v>
      </c>
      <c r="AL40">
        <v>79.628120149843497</v>
      </c>
      <c r="AM40">
        <v>85.982072415890897</v>
      </c>
      <c r="AN40">
        <v>1.0000000151494901</v>
      </c>
    </row>
    <row r="41" spans="1:40" x14ac:dyDescent="0.25">
      <c r="A41" t="str">
        <f>"20190303170942072"</f>
        <v>20190303170942072</v>
      </c>
      <c r="B41" t="str">
        <f>"1551604182060213"</f>
        <v>1551604182060213</v>
      </c>
      <c r="C41" t="s">
        <v>40</v>
      </c>
      <c r="D41">
        <v>4.7500099999999996</v>
      </c>
      <c r="E41">
        <v>0.46697100000000002</v>
      </c>
      <c r="F41" t="s">
        <v>41</v>
      </c>
      <c r="G41">
        <v>-436.03500000000003</v>
      </c>
      <c r="H41">
        <v>-0.05</v>
      </c>
      <c r="I41">
        <v>369.32260000000002</v>
      </c>
      <c r="J41">
        <v>-473.08339999999998</v>
      </c>
      <c r="K41">
        <v>1.118941</v>
      </c>
      <c r="L41">
        <v>367.14609999999999</v>
      </c>
      <c r="M41">
        <v>0.99956210000000001</v>
      </c>
      <c r="N41">
        <v>4.6591749999999998E-3</v>
      </c>
      <c r="O41">
        <v>2.9222049999999999E-2</v>
      </c>
      <c r="P41">
        <v>0.9819445</v>
      </c>
      <c r="Q41">
        <v>0.18507750000000001</v>
      </c>
      <c r="R41">
        <v>-3.9136129999999998E-2</v>
      </c>
      <c r="S41">
        <v>3.0806879999999999</v>
      </c>
      <c r="T41">
        <v>-9.687722E-2</v>
      </c>
      <c r="U41">
        <v>0.1807251</v>
      </c>
      <c r="V41">
        <v>6.7829769999999998E-2</v>
      </c>
      <c r="W41">
        <v>0.18050169999999999</v>
      </c>
      <c r="X41">
        <v>0.98123309999999997</v>
      </c>
      <c r="Y41">
        <v>-2.9372619999999999E-2</v>
      </c>
      <c r="Z41">
        <v>-6.6083949999999896E-4</v>
      </c>
      <c r="AA41">
        <v>0.99956829999999997</v>
      </c>
      <c r="AB41">
        <v>12</v>
      </c>
      <c r="AC41">
        <v>37.048399999999901</v>
      </c>
      <c r="AD41">
        <v>-1.168941</v>
      </c>
      <c r="AE41">
        <v>2.1765000000000301</v>
      </c>
      <c r="AF41">
        <v>-1.0918453547161999</v>
      </c>
      <c r="AG41">
        <v>-1.168941</v>
      </c>
      <c r="AH41">
        <v>37.059414240774402</v>
      </c>
      <c r="AI41">
        <v>91.805861446983201</v>
      </c>
      <c r="AJ41">
        <v>91.687561474712794</v>
      </c>
      <c r="AK41">
        <v>37.093917738753497</v>
      </c>
      <c r="AL41">
        <v>79.601016957994403</v>
      </c>
      <c r="AM41">
        <v>86.045601351650504</v>
      </c>
      <c r="AN41">
        <v>1.0000000689683699</v>
      </c>
    </row>
    <row r="42" spans="1:40" x14ac:dyDescent="0.25">
      <c r="A42" t="str">
        <f>"20190303170942094"</f>
        <v>20190303170942094</v>
      </c>
      <c r="B42" t="str">
        <f>"1551604182090469"</f>
        <v>1551604182090469</v>
      </c>
      <c r="C42" t="s">
        <v>40</v>
      </c>
      <c r="D42">
        <v>4.738556</v>
      </c>
      <c r="E42">
        <v>0.46710970000000002</v>
      </c>
      <c r="F42" t="s">
        <v>41</v>
      </c>
      <c r="G42">
        <v>-435.64150000000001</v>
      </c>
      <c r="H42">
        <v>-0.05</v>
      </c>
      <c r="I42">
        <v>369.39299999999997</v>
      </c>
      <c r="J42">
        <v>-472.96620000000001</v>
      </c>
      <c r="K42">
        <v>1.1189039999999999</v>
      </c>
      <c r="L42">
        <v>367.1499</v>
      </c>
      <c r="M42">
        <v>0.99955590000000005</v>
      </c>
      <c r="N42">
        <v>4.6811320000000002E-3</v>
      </c>
      <c r="O42">
        <v>2.943548E-2</v>
      </c>
      <c r="P42">
        <v>0.98179380000000005</v>
      </c>
      <c r="Q42">
        <v>0.1860541</v>
      </c>
      <c r="R42">
        <v>-3.8276709999999999E-2</v>
      </c>
      <c r="S42">
        <v>3.0806879999999999</v>
      </c>
      <c r="T42">
        <v>-9.6179719999999996E-2</v>
      </c>
      <c r="U42">
        <v>0.1848755</v>
      </c>
      <c r="V42">
        <v>6.719282E-2</v>
      </c>
      <c r="W42">
        <v>0.1814508</v>
      </c>
      <c r="X42">
        <v>0.98110180000000002</v>
      </c>
      <c r="Y42">
        <v>-3.050075E-2</v>
      </c>
      <c r="Z42">
        <v>-6.5119769999999997E-4</v>
      </c>
      <c r="AA42">
        <v>0.99953449999999999</v>
      </c>
      <c r="AB42">
        <v>12</v>
      </c>
      <c r="AC42">
        <v>37.3247</v>
      </c>
      <c r="AD42">
        <v>-1.1689039999999999</v>
      </c>
      <c r="AE42">
        <v>2.2431000000000201</v>
      </c>
      <c r="AF42">
        <v>-1.1423293775436101</v>
      </c>
      <c r="AG42">
        <v>-1.1689039999999999</v>
      </c>
      <c r="AH42">
        <v>37.338065545185898</v>
      </c>
      <c r="AI42">
        <v>91.792275719458104</v>
      </c>
      <c r="AJ42">
        <v>91.752373667402097</v>
      </c>
      <c r="AK42">
        <v>37.373819601756203</v>
      </c>
      <c r="AL42">
        <v>79.545723839838899</v>
      </c>
      <c r="AM42">
        <v>86.0820960266649</v>
      </c>
      <c r="AN42">
        <v>1.0000000049217099</v>
      </c>
    </row>
    <row r="43" spans="1:40" x14ac:dyDescent="0.25">
      <c r="A43" t="str">
        <f>"20190303170942115"</f>
        <v>20190303170942115</v>
      </c>
      <c r="B43" t="str">
        <f>"1551604182110965"</f>
        <v>1551604182110965</v>
      </c>
      <c r="C43" t="s">
        <v>40</v>
      </c>
      <c r="D43">
        <v>4.7524350000000002</v>
      </c>
      <c r="E43">
        <v>0.46734170000000003</v>
      </c>
      <c r="F43" t="s">
        <v>41</v>
      </c>
      <c r="G43">
        <v>-434.62819999999999</v>
      </c>
      <c r="H43">
        <v>-0.05</v>
      </c>
      <c r="I43">
        <v>369.4699</v>
      </c>
      <c r="J43">
        <v>-472.83659999999998</v>
      </c>
      <c r="K43">
        <v>1.1188659999999999</v>
      </c>
      <c r="L43">
        <v>367.154</v>
      </c>
      <c r="M43">
        <v>0.99955139999999998</v>
      </c>
      <c r="N43">
        <v>4.688734E-3</v>
      </c>
      <c r="O43">
        <v>2.9581639999999999E-2</v>
      </c>
      <c r="P43">
        <v>0.9816781</v>
      </c>
      <c r="Q43">
        <v>0.18682879999999999</v>
      </c>
      <c r="R43">
        <v>-3.7458329999999998E-2</v>
      </c>
      <c r="S43">
        <v>3.0806580000000001</v>
      </c>
      <c r="T43">
        <v>-9.3927620000000003E-2</v>
      </c>
      <c r="U43">
        <v>0.18643190000000001</v>
      </c>
      <c r="V43">
        <v>6.6531870000000007E-2</v>
      </c>
      <c r="W43">
        <v>0.18221319999999999</v>
      </c>
      <c r="X43">
        <v>0.98100549999999997</v>
      </c>
      <c r="Y43">
        <v>-3.0858159999999999E-2</v>
      </c>
      <c r="Z43">
        <v>-6.4171720000000005E-4</v>
      </c>
      <c r="AA43">
        <v>0.99952359999999896</v>
      </c>
      <c r="AB43">
        <v>12</v>
      </c>
      <c r="AC43">
        <v>38.208399999999898</v>
      </c>
      <c r="AD43">
        <v>-1.168866</v>
      </c>
      <c r="AE43">
        <v>2.3158999999999899</v>
      </c>
      <c r="AF43">
        <v>-1.18350339856378</v>
      </c>
      <c r="AG43">
        <v>-1.168866</v>
      </c>
      <c r="AH43">
        <v>38.224545317038803</v>
      </c>
      <c r="AI43">
        <v>91.750659897526504</v>
      </c>
      <c r="AJ43">
        <v>91.773417926861299</v>
      </c>
      <c r="AK43">
        <v>38.260721278025102</v>
      </c>
      <c r="AL43">
        <v>79.501300571853093</v>
      </c>
      <c r="AM43">
        <v>86.120137016264707</v>
      </c>
      <c r="AN43">
        <v>0.99999996550509196</v>
      </c>
    </row>
    <row r="44" spans="1:40" x14ac:dyDescent="0.25">
      <c r="A44" t="str">
        <f>"20190303170942140"</f>
        <v>20190303170942140</v>
      </c>
      <c r="B44" t="str">
        <f>"1551604182130485"</f>
        <v>1551604182130485</v>
      </c>
      <c r="C44" t="s">
        <v>40</v>
      </c>
      <c r="D44">
        <v>4.7627309999999996</v>
      </c>
      <c r="E44">
        <v>0.46747889999999998</v>
      </c>
      <c r="F44" t="s">
        <v>41</v>
      </c>
      <c r="G44">
        <v>-434.11380000000003</v>
      </c>
      <c r="H44">
        <v>-0.05</v>
      </c>
      <c r="I44">
        <v>369.50259999999997</v>
      </c>
      <c r="J44">
        <v>-472.69709999999998</v>
      </c>
      <c r="K44">
        <v>1.118843</v>
      </c>
      <c r="L44">
        <v>367.15839999999997</v>
      </c>
      <c r="M44">
        <v>0.99954940000000003</v>
      </c>
      <c r="N44">
        <v>4.6736920000000001E-3</v>
      </c>
      <c r="O44">
        <v>2.9652230000000002E-2</v>
      </c>
      <c r="P44">
        <v>0.98177300000000001</v>
      </c>
      <c r="Q44">
        <v>0.1862878</v>
      </c>
      <c r="R44">
        <v>-3.767011E-2</v>
      </c>
      <c r="S44">
        <v>3.0808110000000002</v>
      </c>
      <c r="T44">
        <v>-9.2995640000000004E-2</v>
      </c>
      <c r="U44">
        <v>0.1868591</v>
      </c>
      <c r="V44">
        <v>6.6828970000000001E-2</v>
      </c>
      <c r="W44">
        <v>0.1816815</v>
      </c>
      <c r="X44">
        <v>0.98108390000000001</v>
      </c>
      <c r="Y44">
        <v>-3.0922640000000001E-2</v>
      </c>
      <c r="Z44">
        <v>-6.3838049999999998E-4</v>
      </c>
      <c r="AA44">
        <v>0.99952160000000001</v>
      </c>
      <c r="AB44">
        <v>13</v>
      </c>
      <c r="AC44">
        <v>38.583299999999902</v>
      </c>
      <c r="AD44">
        <v>-1.1688430000000001</v>
      </c>
      <c r="AE44">
        <v>2.3441999999999998</v>
      </c>
      <c r="AF44">
        <v>-1.19798047722747</v>
      </c>
      <c r="AG44">
        <v>-1.1688430000000001</v>
      </c>
      <c r="AH44">
        <v>38.6005506485577</v>
      </c>
      <c r="AI44">
        <v>91.733579263331507</v>
      </c>
      <c r="AJ44">
        <v>91.777622321281001</v>
      </c>
      <c r="AK44">
        <v>38.636820023836499</v>
      </c>
      <c r="AL44">
        <v>79.532281693367395</v>
      </c>
      <c r="AM44">
        <v>86.103175111853403</v>
      </c>
      <c r="AN44">
        <v>0.999999948756359</v>
      </c>
    </row>
    <row r="45" spans="1:40" x14ac:dyDescent="0.25">
      <c r="A45" t="str">
        <f>"20190303170942159"</f>
        <v>20190303170942159</v>
      </c>
      <c r="B45" t="str">
        <f>"1551604182150981"</f>
        <v>1551604182150981</v>
      </c>
      <c r="C45" t="s">
        <v>40</v>
      </c>
      <c r="D45">
        <v>4.7561960000000001</v>
      </c>
      <c r="E45">
        <v>0.46759689999999998</v>
      </c>
      <c r="F45" t="s">
        <v>41</v>
      </c>
      <c r="G45">
        <v>-434.68020000000001</v>
      </c>
      <c r="H45">
        <v>-0.05</v>
      </c>
      <c r="I45">
        <v>369.44380000000001</v>
      </c>
      <c r="J45">
        <v>-472.57319999999999</v>
      </c>
      <c r="K45">
        <v>1.1188340000000001</v>
      </c>
      <c r="L45">
        <v>367.16210000000001</v>
      </c>
      <c r="M45">
        <v>0.99954909999999997</v>
      </c>
      <c r="N45">
        <v>4.6415110000000001E-3</v>
      </c>
      <c r="O45">
        <v>2.9671699999999999E-2</v>
      </c>
      <c r="P45">
        <v>0.98182990000000003</v>
      </c>
      <c r="Q45">
        <v>0.1859885</v>
      </c>
      <c r="R45">
        <v>-3.7667569999999997E-2</v>
      </c>
      <c r="S45">
        <v>3.0807799999999999</v>
      </c>
      <c r="T45">
        <v>-9.4719529999999996E-2</v>
      </c>
      <c r="U45">
        <v>0.18521119999999999</v>
      </c>
      <c r="V45">
        <v>6.6854289999999997E-2</v>
      </c>
      <c r="W45">
        <v>0.1814105</v>
      </c>
      <c r="X45">
        <v>0.98113240000000002</v>
      </c>
      <c r="Y45">
        <v>-3.0371349999999998E-2</v>
      </c>
      <c r="Z45">
        <v>-6.5273640000000003E-4</v>
      </c>
      <c r="AA45">
        <v>0.9995385</v>
      </c>
      <c r="AB45">
        <v>13</v>
      </c>
      <c r="AC45">
        <v>37.892999999999901</v>
      </c>
      <c r="AD45">
        <v>-1.1688339999999999</v>
      </c>
      <c r="AE45">
        <v>2.2816999999999998</v>
      </c>
      <c r="AF45">
        <v>-1.15523851783529</v>
      </c>
      <c r="AG45">
        <v>-1.1688339999999999</v>
      </c>
      <c r="AH45">
        <v>37.908080439078802</v>
      </c>
      <c r="AI45">
        <v>91.765243653873696</v>
      </c>
      <c r="AJ45">
        <v>91.745533182807605</v>
      </c>
      <c r="AK45">
        <v>37.943686056158498</v>
      </c>
      <c r="AL45">
        <v>79.548072049975204</v>
      </c>
      <c r="AM45">
        <v>86.101895352645798</v>
      </c>
      <c r="AN45">
        <v>1.0000000259657</v>
      </c>
    </row>
    <row r="46" spans="1:40" x14ac:dyDescent="0.25">
      <c r="A46" t="str">
        <f>"20190303170942183"</f>
        <v>20190303170942183</v>
      </c>
      <c r="B46" t="str">
        <f>"1551604182170501"</f>
        <v>1551604182170501</v>
      </c>
      <c r="C46" t="s">
        <v>40</v>
      </c>
      <c r="D46">
        <v>4.7093619999999996</v>
      </c>
      <c r="E46">
        <v>0.46775040000000001</v>
      </c>
      <c r="F46" t="s">
        <v>41</v>
      </c>
      <c r="G46">
        <v>-435.30079999999998</v>
      </c>
      <c r="H46">
        <v>-0.05</v>
      </c>
      <c r="I46">
        <v>369.39800000000002</v>
      </c>
      <c r="J46">
        <v>-472.43430000000001</v>
      </c>
      <c r="K46">
        <v>1.118841</v>
      </c>
      <c r="L46">
        <v>367.16629999999998</v>
      </c>
      <c r="M46">
        <v>0.99954920000000003</v>
      </c>
      <c r="N46">
        <v>4.583897E-3</v>
      </c>
      <c r="O46">
        <v>2.967001E-2</v>
      </c>
      <c r="P46">
        <v>0.98162229999999995</v>
      </c>
      <c r="Q46">
        <v>0.18698870000000001</v>
      </c>
      <c r="R46">
        <v>-3.8120309999999998E-2</v>
      </c>
      <c r="S46">
        <v>3.0808409999999999</v>
      </c>
      <c r="T46">
        <v>-9.661293E-2</v>
      </c>
      <c r="U46">
        <v>0.18481449999999999</v>
      </c>
      <c r="V46">
        <v>6.7302059999999997E-2</v>
      </c>
      <c r="W46">
        <v>0.18246689999999999</v>
      </c>
      <c r="X46">
        <v>0.98090580000000005</v>
      </c>
      <c r="Y46">
        <v>-3.024367E-2</v>
      </c>
      <c r="Z46">
        <v>-6.6067389999999995E-4</v>
      </c>
      <c r="AA46">
        <v>0.99954240000000005</v>
      </c>
      <c r="AB46">
        <v>14</v>
      </c>
      <c r="AC46">
        <v>37.133499999999998</v>
      </c>
      <c r="AD46">
        <v>-1.168841</v>
      </c>
      <c r="AE46">
        <v>2.23170000000004</v>
      </c>
      <c r="AF46">
        <v>-1.12784111104827</v>
      </c>
      <c r="AG46">
        <v>-1.168841</v>
      </c>
      <c r="AH46">
        <v>37.1466949251786</v>
      </c>
      <c r="AI46">
        <v>91.8014187228368</v>
      </c>
      <c r="AJ46">
        <v>91.739069657067603</v>
      </c>
      <c r="AK46">
        <v>37.182188729542901</v>
      </c>
      <c r="AL46">
        <v>79.486516759650897</v>
      </c>
      <c r="AM46">
        <v>86.074964630042601</v>
      </c>
      <c r="AN46">
        <v>0.999999962674746</v>
      </c>
    </row>
    <row r="47" spans="1:40" x14ac:dyDescent="0.25">
      <c r="A47" t="str">
        <f>"20190303170942203"</f>
        <v>20190303170942203</v>
      </c>
      <c r="B47" t="str">
        <f>"1551604182190021"</f>
        <v>1551604182190021</v>
      </c>
      <c r="C47" t="s">
        <v>40</v>
      </c>
      <c r="D47">
        <v>4.7423840000000004</v>
      </c>
      <c r="E47">
        <v>0.46787830000000002</v>
      </c>
      <c r="F47" t="s">
        <v>41</v>
      </c>
      <c r="G47">
        <v>-433.9871</v>
      </c>
      <c r="H47">
        <v>-0.05</v>
      </c>
      <c r="I47">
        <v>369.43669999999997</v>
      </c>
      <c r="J47">
        <v>-472.29829999999998</v>
      </c>
      <c r="K47">
        <v>1.1188709999999999</v>
      </c>
      <c r="L47">
        <v>367.1703</v>
      </c>
      <c r="M47">
        <v>0.99954969999999999</v>
      </c>
      <c r="N47">
        <v>4.5078419999999998E-3</v>
      </c>
      <c r="O47">
        <v>2.966531E-2</v>
      </c>
      <c r="P47">
        <v>0.98127319999999996</v>
      </c>
      <c r="Q47">
        <v>0.18866769999999999</v>
      </c>
      <c r="R47">
        <v>-3.8827239999999999E-2</v>
      </c>
      <c r="S47">
        <v>3.0810849999999999</v>
      </c>
      <c r="T47">
        <v>-9.3668580000000001E-2</v>
      </c>
      <c r="U47">
        <v>0.18194579999999999</v>
      </c>
      <c r="V47">
        <v>6.7991380000000004E-2</v>
      </c>
      <c r="W47">
        <v>0.18422330000000001</v>
      </c>
      <c r="X47">
        <v>0.98052989999999995</v>
      </c>
      <c r="Y47">
        <v>-2.9316370000000001E-2</v>
      </c>
      <c r="Z47">
        <v>-6.552029E-4</v>
      </c>
      <c r="AA47">
        <v>0.99956999999999996</v>
      </c>
      <c r="AB47">
        <v>14</v>
      </c>
      <c r="AC47">
        <v>38.3111999999999</v>
      </c>
      <c r="AD47">
        <v>-1.168871</v>
      </c>
      <c r="AE47">
        <v>2.2663999999999702</v>
      </c>
      <c r="AF47">
        <v>-1.1278311262992</v>
      </c>
      <c r="AG47">
        <v>-1.168871</v>
      </c>
      <c r="AH47">
        <v>38.326021054675003</v>
      </c>
      <c r="AI47">
        <v>91.746115797782096</v>
      </c>
      <c r="AJ47">
        <v>91.685573366552305</v>
      </c>
      <c r="AK47">
        <v>38.360424298324403</v>
      </c>
      <c r="AL47">
        <v>79.384147188057099</v>
      </c>
      <c r="AM47">
        <v>86.033376055821705</v>
      </c>
      <c r="AN47">
        <v>0.99999996840560101</v>
      </c>
    </row>
    <row r="48" spans="1:40" x14ac:dyDescent="0.25">
      <c r="A48" t="str">
        <f>"20190303170942227"</f>
        <v>20190303170942227</v>
      </c>
      <c r="B48" t="str">
        <f>"1551604182220277"</f>
        <v>1551604182220277</v>
      </c>
      <c r="C48" t="s">
        <v>40</v>
      </c>
      <c r="D48">
        <v>4.737641</v>
      </c>
      <c r="E48">
        <v>0.46808319999999998</v>
      </c>
      <c r="F48" t="s">
        <v>41</v>
      </c>
      <c r="G48">
        <v>-431.53960000000001</v>
      </c>
      <c r="H48">
        <v>-0.05</v>
      </c>
      <c r="I48">
        <v>369.53829999999999</v>
      </c>
      <c r="J48">
        <v>-472.15309999999999</v>
      </c>
      <c r="K48">
        <v>1.118911</v>
      </c>
      <c r="L48">
        <v>367.17469999999997</v>
      </c>
      <c r="M48">
        <v>0.99955000000000005</v>
      </c>
      <c r="N48">
        <v>4.4087190000000002E-3</v>
      </c>
      <c r="O48">
        <v>2.9675380000000001E-2</v>
      </c>
      <c r="P48">
        <v>0.98109550000000001</v>
      </c>
      <c r="Q48">
        <v>0.1893658</v>
      </c>
      <c r="R48">
        <v>-3.9906909999999997E-2</v>
      </c>
      <c r="S48">
        <v>3.0813290000000002</v>
      </c>
      <c r="T48">
        <v>-8.836579E-2</v>
      </c>
      <c r="U48">
        <v>0.17901610000000001</v>
      </c>
      <c r="V48">
        <v>6.9067020000000007E-2</v>
      </c>
      <c r="W48">
        <v>0.18502189999999999</v>
      </c>
      <c r="X48">
        <v>0.98030439999999996</v>
      </c>
      <c r="Y48">
        <v>-2.835435E-2</v>
      </c>
      <c r="Z48">
        <v>-6.3701199999999995E-4</v>
      </c>
      <c r="AA48">
        <v>0.99959770000000003</v>
      </c>
      <c r="AB48">
        <v>14</v>
      </c>
      <c r="AC48">
        <v>40.613499999999902</v>
      </c>
      <c r="AD48">
        <v>-1.168911</v>
      </c>
      <c r="AE48">
        <v>2.3636000000000101</v>
      </c>
      <c r="AF48">
        <v>-1.1563717618071001</v>
      </c>
      <c r="AG48">
        <v>-1.168911</v>
      </c>
      <c r="AH48">
        <v>40.632209711547198</v>
      </c>
      <c r="AI48">
        <v>91.647169011255897</v>
      </c>
      <c r="AJ48">
        <v>91.630168357134806</v>
      </c>
      <c r="AK48">
        <v>40.665464642870802</v>
      </c>
      <c r="AL48">
        <v>79.337591178133806</v>
      </c>
      <c r="AM48">
        <v>85.969904410439497</v>
      </c>
      <c r="AN48">
        <v>1.0000000366953199</v>
      </c>
    </row>
    <row r="49" spans="1:40" x14ac:dyDescent="0.25">
      <c r="A49" t="str">
        <f>"20190303170942250"</f>
        <v>20190303170942250</v>
      </c>
      <c r="B49" t="str">
        <f>"1551604182240773"</f>
        <v>1551604182240773</v>
      </c>
      <c r="C49" t="s">
        <v>40</v>
      </c>
      <c r="D49">
        <v>4.7260460000000002</v>
      </c>
      <c r="E49">
        <v>0.4682402</v>
      </c>
      <c r="F49" t="s">
        <v>41</v>
      </c>
      <c r="G49">
        <v>-430.42430000000002</v>
      </c>
      <c r="H49">
        <v>-0.05</v>
      </c>
      <c r="I49">
        <v>369.53519999999997</v>
      </c>
      <c r="J49">
        <v>-471.9957</v>
      </c>
      <c r="K49">
        <v>1.118957</v>
      </c>
      <c r="L49">
        <v>367.17930000000001</v>
      </c>
      <c r="M49">
        <v>0.99954920000000003</v>
      </c>
      <c r="N49">
        <v>4.2857800000000003E-3</v>
      </c>
      <c r="O49">
        <v>2.9715539999999999E-2</v>
      </c>
      <c r="P49">
        <v>0.98096349999999999</v>
      </c>
      <c r="Q49">
        <v>0.18989130000000001</v>
      </c>
      <c r="R49">
        <v>-4.0645649999999998E-2</v>
      </c>
      <c r="S49">
        <v>3.0815730000000001</v>
      </c>
      <c r="T49">
        <v>-8.6321229999999999E-2</v>
      </c>
      <c r="U49">
        <v>0.17431640000000001</v>
      </c>
      <c r="V49">
        <v>6.9827849999999997E-2</v>
      </c>
      <c r="W49">
        <v>0.1856737</v>
      </c>
      <c r="X49">
        <v>0.98012719999999998</v>
      </c>
      <c r="Y49">
        <v>-2.67903E-2</v>
      </c>
      <c r="Z49">
        <v>-6.4117669999999897E-4</v>
      </c>
      <c r="AA49">
        <v>0.99964090000000005</v>
      </c>
      <c r="AB49">
        <v>14</v>
      </c>
      <c r="AC49">
        <v>41.571399999999898</v>
      </c>
      <c r="AD49">
        <v>-1.168957</v>
      </c>
      <c r="AE49">
        <v>2.3558999999999601</v>
      </c>
      <c r="AF49">
        <v>-1.1186499743640099</v>
      </c>
      <c r="AG49">
        <v>-1.168957</v>
      </c>
      <c r="AH49">
        <v>41.590269194268402</v>
      </c>
      <c r="AI49">
        <v>91.609378373272804</v>
      </c>
      <c r="AJ49">
        <v>91.540708298055307</v>
      </c>
      <c r="AK49">
        <v>41.621729059287198</v>
      </c>
      <c r="AL49">
        <v>79.299586788579106</v>
      </c>
      <c r="AM49">
        <v>85.924924164407102</v>
      </c>
      <c r="AN49">
        <v>0.99999998984357596</v>
      </c>
    </row>
    <row r="50" spans="1:40" x14ac:dyDescent="0.25">
      <c r="A50" t="str">
        <f>"20190303170942273"</f>
        <v>20190303170942273</v>
      </c>
      <c r="B50" t="str">
        <f>"1551604182260294"</f>
        <v>1551604182260294</v>
      </c>
      <c r="C50" t="s">
        <v>40</v>
      </c>
      <c r="D50">
        <v>4.7003180000000002</v>
      </c>
      <c r="E50">
        <v>0.46835660000000001</v>
      </c>
      <c r="F50" t="s">
        <v>41</v>
      </c>
      <c r="G50">
        <v>-429.8295</v>
      </c>
      <c r="H50">
        <v>-0.05</v>
      </c>
      <c r="I50">
        <v>369.5154</v>
      </c>
      <c r="J50">
        <v>-471.8442</v>
      </c>
      <c r="K50">
        <v>1.119014</v>
      </c>
      <c r="L50">
        <v>367.18380000000002</v>
      </c>
      <c r="M50">
        <v>0.99954779999999999</v>
      </c>
      <c r="N50">
        <v>4.1580280000000002E-3</v>
      </c>
      <c r="O50">
        <v>2.9785200000000001E-2</v>
      </c>
      <c r="P50">
        <v>0.98060740000000002</v>
      </c>
      <c r="Q50">
        <v>0.191248</v>
      </c>
      <c r="R50">
        <v>-4.2826309999999999E-2</v>
      </c>
      <c r="S50">
        <v>3.0818479999999999</v>
      </c>
      <c r="T50">
        <v>-8.5437059999999995E-2</v>
      </c>
      <c r="U50">
        <v>0.170745799999999</v>
      </c>
      <c r="V50">
        <v>7.2050149999999993E-2</v>
      </c>
      <c r="W50">
        <v>0.18716250000000001</v>
      </c>
      <c r="X50">
        <v>0.97968310000000003</v>
      </c>
      <c r="Y50">
        <v>-2.5561259999999999E-2</v>
      </c>
      <c r="Z50">
        <v>-6.4765629999999905E-4</v>
      </c>
      <c r="AA50">
        <v>0.99967309999999998</v>
      </c>
      <c r="AB50">
        <v>15</v>
      </c>
      <c r="AC50">
        <v>42.014699999999998</v>
      </c>
      <c r="AD50">
        <v>-1.169014</v>
      </c>
      <c r="AE50">
        <v>2.3315999999999799</v>
      </c>
      <c r="AF50">
        <v>-1.0783063704221301</v>
      </c>
      <c r="AG50">
        <v>-1.169014</v>
      </c>
      <c r="AH50">
        <v>42.033065597111602</v>
      </c>
      <c r="AI50">
        <v>91.592562753840198</v>
      </c>
      <c r="AJ50">
        <v>91.469530123415197</v>
      </c>
      <c r="AK50">
        <v>42.063142320228202</v>
      </c>
      <c r="AL50">
        <v>79.212762963610004</v>
      </c>
      <c r="AM50">
        <v>85.7937920992659</v>
      </c>
      <c r="AN50">
        <v>1.00000000097344</v>
      </c>
    </row>
    <row r="51" spans="1:40" x14ac:dyDescent="0.25">
      <c r="A51" t="str">
        <f>"20190303170942293"</f>
        <v>20190303170942293</v>
      </c>
      <c r="B51" t="str">
        <f>"1551604182280789"</f>
        <v>1551604182280789</v>
      </c>
      <c r="C51" t="s">
        <v>40</v>
      </c>
      <c r="D51">
        <v>4.7230749999999997</v>
      </c>
      <c r="E51">
        <v>0.46849390000000002</v>
      </c>
      <c r="F51" t="s">
        <v>41</v>
      </c>
      <c r="G51">
        <v>-427.33100000000002</v>
      </c>
      <c r="H51">
        <v>-0.05</v>
      </c>
      <c r="I51">
        <v>369.55709999999999</v>
      </c>
      <c r="J51">
        <v>-471.70339999999999</v>
      </c>
      <c r="K51">
        <v>1.119073</v>
      </c>
      <c r="L51">
        <v>367.18799999999999</v>
      </c>
      <c r="M51">
        <v>0.99954560000000003</v>
      </c>
      <c r="N51">
        <v>4.0359609999999898E-3</v>
      </c>
      <c r="O51">
        <v>2.987631E-2</v>
      </c>
      <c r="P51">
        <v>0.98034909999999997</v>
      </c>
      <c r="Q51">
        <v>0.19205749999999999</v>
      </c>
      <c r="R51">
        <v>-4.5053999999999997E-2</v>
      </c>
      <c r="S51">
        <v>3.082306</v>
      </c>
      <c r="T51">
        <v>-8.0948000000000006E-2</v>
      </c>
      <c r="U51">
        <v>0.16433719999999999</v>
      </c>
      <c r="V51">
        <v>7.434412E-2</v>
      </c>
      <c r="W51">
        <v>0.1880983</v>
      </c>
      <c r="X51">
        <v>0.97933239999999999</v>
      </c>
      <c r="Y51">
        <v>-2.3389610000000002E-2</v>
      </c>
      <c r="Z51">
        <v>-6.4456940000000003E-4</v>
      </c>
      <c r="AA51">
        <v>0.99972620000000001</v>
      </c>
      <c r="AB51">
        <v>15</v>
      </c>
      <c r="AC51">
        <v>44.372399999999999</v>
      </c>
      <c r="AD51">
        <v>-1.169073</v>
      </c>
      <c r="AE51">
        <v>2.36909999999994</v>
      </c>
      <c r="AF51">
        <v>-1.0416272446657799</v>
      </c>
      <c r="AG51">
        <v>-1.169073</v>
      </c>
      <c r="AH51">
        <v>44.392644676391498</v>
      </c>
      <c r="AI51">
        <v>91.508111364402097</v>
      </c>
      <c r="AJ51">
        <v>91.344139246925195</v>
      </c>
      <c r="AK51">
        <v>44.420250115915699</v>
      </c>
      <c r="AL51">
        <v>79.158175907425303</v>
      </c>
      <c r="AM51">
        <v>85.658828322122602</v>
      </c>
      <c r="AN51">
        <v>0.99999998416561198</v>
      </c>
    </row>
    <row r="52" spans="1:40" x14ac:dyDescent="0.25">
      <c r="A52" t="str">
        <f>"20190303170942318"</f>
        <v>20190303170942318</v>
      </c>
      <c r="B52" t="str">
        <f>"1551604182311045"</f>
        <v>1551604182311045</v>
      </c>
      <c r="C52" t="s">
        <v>40</v>
      </c>
      <c r="D52">
        <v>4.7106389999999996</v>
      </c>
      <c r="E52">
        <v>0.4686901</v>
      </c>
      <c r="F52" t="s">
        <v>41</v>
      </c>
      <c r="G52">
        <v>-426.03039999999999</v>
      </c>
      <c r="H52">
        <v>-0.05</v>
      </c>
      <c r="I52">
        <v>369.52499999999998</v>
      </c>
      <c r="J52">
        <v>-471.536</v>
      </c>
      <c r="K52">
        <v>1.1191249999999999</v>
      </c>
      <c r="L52">
        <v>367.19299999999998</v>
      </c>
      <c r="M52">
        <v>0.99954219999999905</v>
      </c>
      <c r="N52">
        <v>3.8922890000000002E-3</v>
      </c>
      <c r="O52">
        <v>3.000744E-2</v>
      </c>
      <c r="P52">
        <v>0.98020240000000003</v>
      </c>
      <c r="Q52">
        <v>0.19254470000000001</v>
      </c>
      <c r="R52">
        <v>-4.615143E-2</v>
      </c>
      <c r="S52">
        <v>3.0828250000000001</v>
      </c>
      <c r="T52">
        <v>-7.8909750000000001E-2</v>
      </c>
      <c r="U52">
        <v>0.15774540000000001</v>
      </c>
      <c r="V52">
        <v>7.5548359999999995E-2</v>
      </c>
      <c r="W52">
        <v>0.18873329999999999</v>
      </c>
      <c r="X52">
        <v>0.97911800000000004</v>
      </c>
      <c r="Y52">
        <v>-2.1117940000000002E-2</v>
      </c>
      <c r="Z52">
        <v>-6.5504039999999999E-4</v>
      </c>
      <c r="AA52">
        <v>0.99977680000000002</v>
      </c>
      <c r="AB52">
        <v>15</v>
      </c>
      <c r="AC52">
        <v>45.505600000000001</v>
      </c>
      <c r="AD52">
        <v>-1.169125</v>
      </c>
      <c r="AE52">
        <v>2.3319999999999301</v>
      </c>
      <c r="AF52">
        <v>-0.964797893155248</v>
      </c>
      <c r="AG52">
        <v>-1.169125</v>
      </c>
      <c r="AH52">
        <v>45.525114069786099</v>
      </c>
      <c r="AI52">
        <v>91.470752612822196</v>
      </c>
      <c r="AJ52">
        <v>91.214067772287905</v>
      </c>
      <c r="AK52">
        <v>45.5503424718991</v>
      </c>
      <c r="AL52">
        <v>79.121129026861695</v>
      </c>
      <c r="AM52">
        <v>85.587822437513495</v>
      </c>
      <c r="AN52">
        <v>0.99999993557578704</v>
      </c>
    </row>
    <row r="53" spans="1:40" x14ac:dyDescent="0.25">
      <c r="A53" t="str">
        <f>"20190303170942338"</f>
        <v>20190303170942338</v>
      </c>
      <c r="B53" t="str">
        <f>"1551604182330565"</f>
        <v>1551604182330565</v>
      </c>
      <c r="C53" t="s">
        <v>40</v>
      </c>
      <c r="D53">
        <v>4.7419159999999998</v>
      </c>
      <c r="E53">
        <v>0.46869959999999999</v>
      </c>
      <c r="F53" t="s">
        <v>41</v>
      </c>
      <c r="G53">
        <v>-425.94729999999998</v>
      </c>
      <c r="H53">
        <v>-0.05</v>
      </c>
      <c r="I53">
        <v>369.4495</v>
      </c>
      <c r="J53">
        <v>-471.38819999999998</v>
      </c>
      <c r="K53">
        <v>1.119165</v>
      </c>
      <c r="L53">
        <v>367.19749999999999</v>
      </c>
      <c r="M53">
        <v>0.99953899999999996</v>
      </c>
      <c r="N53">
        <v>3.7752770000000001E-3</v>
      </c>
      <c r="O53">
        <v>3.012693E-2</v>
      </c>
      <c r="P53">
        <v>0.97996740000000004</v>
      </c>
      <c r="Q53">
        <v>0.19360089999999999</v>
      </c>
      <c r="R53">
        <v>-4.6718719999999998E-2</v>
      </c>
      <c r="S53">
        <v>3.0833439999999999</v>
      </c>
      <c r="T53">
        <v>-7.9072589999999998E-2</v>
      </c>
      <c r="U53">
        <v>0.15261839999999999</v>
      </c>
      <c r="V53">
        <v>7.6212340000000003E-2</v>
      </c>
      <c r="W53">
        <v>0.18991040000000001</v>
      </c>
      <c r="X53">
        <v>0.97883900000000001</v>
      </c>
      <c r="Y53">
        <v>-1.933203E-2</v>
      </c>
      <c r="Z53">
        <v>-6.742839E-4</v>
      </c>
      <c r="AA53">
        <v>0.9998129</v>
      </c>
      <c r="AB53">
        <v>16</v>
      </c>
      <c r="AC53">
        <v>45.440899999999999</v>
      </c>
      <c r="AD53">
        <v>-1.169165</v>
      </c>
      <c r="AE53">
        <v>2.2519999999999998</v>
      </c>
      <c r="AF53">
        <v>-0.88139120589262399</v>
      </c>
      <c r="AG53">
        <v>-1.169165</v>
      </c>
      <c r="AH53">
        <v>45.458100031554203</v>
      </c>
      <c r="AI53">
        <v>91.473024063744404</v>
      </c>
      <c r="AJ53">
        <v>91.110773862528603</v>
      </c>
      <c r="AK53">
        <v>45.481673844899802</v>
      </c>
      <c r="AL53">
        <v>79.052445087691396</v>
      </c>
      <c r="AM53">
        <v>85.547936275615299</v>
      </c>
      <c r="AN53">
        <v>1.0000000343587101</v>
      </c>
    </row>
    <row r="54" spans="1:40" x14ac:dyDescent="0.25">
      <c r="A54" t="str">
        <f>"20190303170942360"</f>
        <v>20190303170942360</v>
      </c>
      <c r="B54" t="str">
        <f>"1551604182351061"</f>
        <v>1551604182351061</v>
      </c>
      <c r="C54" t="s">
        <v>40</v>
      </c>
      <c r="D54">
        <v>4.6417260000000002</v>
      </c>
      <c r="E54">
        <v>0.48279529999999898</v>
      </c>
      <c r="F54" t="s">
        <v>41</v>
      </c>
      <c r="G54">
        <v>-424.21449999999999</v>
      </c>
      <c r="H54">
        <v>-0.05</v>
      </c>
      <c r="I54">
        <v>369.5043</v>
      </c>
      <c r="J54">
        <v>-471.22629999999998</v>
      </c>
      <c r="K54">
        <v>1.119184</v>
      </c>
      <c r="L54">
        <v>367.20260000000002</v>
      </c>
      <c r="M54">
        <v>0.99953789999999998</v>
      </c>
      <c r="N54">
        <v>3.6752730000000002E-3</v>
      </c>
      <c r="O54">
        <v>3.0178030000000002E-2</v>
      </c>
      <c r="P54">
        <v>0.97947530000000005</v>
      </c>
      <c r="Q54">
        <v>0.1954774</v>
      </c>
      <c r="R54">
        <v>-4.9162989999999997E-2</v>
      </c>
      <c r="S54">
        <v>3.0835880000000002</v>
      </c>
      <c r="T54">
        <v>-7.6424480000000003E-2</v>
      </c>
      <c r="U54">
        <v>0.15078739999999999</v>
      </c>
      <c r="V54">
        <v>7.868493E-2</v>
      </c>
      <c r="W54">
        <v>0.1918889</v>
      </c>
      <c r="X54">
        <v>0.9782573</v>
      </c>
      <c r="Y54">
        <v>-1.8684470000000002E-2</v>
      </c>
      <c r="Z54">
        <v>-6.6101029999999996E-4</v>
      </c>
      <c r="AA54">
        <v>0.99982519999999997</v>
      </c>
      <c r="AB54">
        <v>16</v>
      </c>
      <c r="AC54">
        <v>47.011800000000001</v>
      </c>
      <c r="AD54">
        <v>-1.169184</v>
      </c>
      <c r="AE54">
        <v>2.3016999999999799</v>
      </c>
      <c r="AF54">
        <v>-0.88137488441262801</v>
      </c>
      <c r="AG54">
        <v>-1.169184</v>
      </c>
      <c r="AH54">
        <v>47.030829105697002</v>
      </c>
      <c r="AI54">
        <v>91.423826921172903</v>
      </c>
      <c r="AJ54">
        <v>91.073618123966696</v>
      </c>
      <c r="AK54">
        <v>47.053615156351199</v>
      </c>
      <c r="AL54">
        <v>78.936961266548593</v>
      </c>
      <c r="AM54">
        <v>85.401384025125594</v>
      </c>
      <c r="AN54">
        <v>1.0000000065778001</v>
      </c>
    </row>
    <row r="55" spans="1:40" x14ac:dyDescent="0.25">
      <c r="A55" t="str">
        <f>"20190303170942386"</f>
        <v>20190303170942386</v>
      </c>
      <c r="B55" t="str">
        <f>"1551604182380341"</f>
        <v>1551604182380341</v>
      </c>
      <c r="C55" t="s">
        <v>40</v>
      </c>
      <c r="D55">
        <v>4.817545</v>
      </c>
      <c r="E55">
        <v>0.49919079999999899</v>
      </c>
      <c r="F55" t="s">
        <v>41</v>
      </c>
      <c r="G55">
        <v>-419.89249999999998</v>
      </c>
      <c r="H55">
        <v>-0.05</v>
      </c>
      <c r="I55">
        <v>367.73180000000002</v>
      </c>
      <c r="J55">
        <v>-471.04570000000001</v>
      </c>
      <c r="K55">
        <v>1.1190770000000001</v>
      </c>
      <c r="L55">
        <v>367.20830000000001</v>
      </c>
      <c r="M55">
        <v>0.99953270000000005</v>
      </c>
      <c r="N55">
        <v>3.4691990000000001E-3</v>
      </c>
      <c r="O55">
        <v>3.0370330000000001E-2</v>
      </c>
      <c r="P55">
        <v>0.97874760000000005</v>
      </c>
      <c r="Q55">
        <v>0.1982216</v>
      </c>
      <c r="R55">
        <v>-5.2549999999999999E-2</v>
      </c>
      <c r="S55">
        <v>3.0783999999999998</v>
      </c>
      <c r="T55">
        <v>-7.0114019999999999E-2</v>
      </c>
      <c r="U55">
        <v>3.1738280000000001E-2</v>
      </c>
      <c r="V55">
        <v>8.2275699999999993E-2</v>
      </c>
      <c r="W55">
        <v>0.1948213</v>
      </c>
      <c r="X55">
        <v>0.97738190000000003</v>
      </c>
      <c r="Y55">
        <v>2.0049350000000001E-2</v>
      </c>
      <c r="Z55">
        <v>-9.9036749999999998E-4</v>
      </c>
      <c r="AA55">
        <v>0.99979850000000003</v>
      </c>
      <c r="AB55">
        <v>16</v>
      </c>
      <c r="AC55">
        <v>51.153199999999998</v>
      </c>
      <c r="AD55">
        <v>-1.1690769999999999</v>
      </c>
      <c r="AE55">
        <v>0.52350000000001196</v>
      </c>
      <c r="AF55">
        <v>1.02975258163438</v>
      </c>
      <c r="AG55">
        <v>-1.1690769999999999</v>
      </c>
      <c r="AH55">
        <v>51.118804661106097</v>
      </c>
      <c r="AI55">
        <v>91.309849177768101</v>
      </c>
      <c r="AJ55">
        <v>88.845972660225499</v>
      </c>
      <c r="AK55">
        <v>51.142539254436997</v>
      </c>
      <c r="AL55">
        <v>78.765715418931805</v>
      </c>
      <c r="AM55">
        <v>85.188203772376895</v>
      </c>
      <c r="AN55">
        <v>1.0000000040958901</v>
      </c>
    </row>
    <row r="56" spans="1:40" x14ac:dyDescent="0.25">
      <c r="A56" t="str">
        <f>"20190303170942406"</f>
        <v>20190303170942406</v>
      </c>
      <c r="B56" t="str">
        <f>"1551604182400837"</f>
        <v>1551604182400837</v>
      </c>
      <c r="C56" t="s">
        <v>40</v>
      </c>
      <c r="D56">
        <v>4.8695029999999999</v>
      </c>
      <c r="E56">
        <v>0.50378619999999996</v>
      </c>
      <c r="F56" t="s">
        <v>42</v>
      </c>
      <c r="G56">
        <v>-394.14550000000003</v>
      </c>
      <c r="H56" s="1">
        <v>-3.406449E-6</v>
      </c>
      <c r="I56">
        <v>364.47160000000002</v>
      </c>
      <c r="J56">
        <v>-470.8956</v>
      </c>
      <c r="K56">
        <v>1.1189579999999999</v>
      </c>
      <c r="L56">
        <v>367.21300000000002</v>
      </c>
      <c r="M56">
        <v>0.99952549999999996</v>
      </c>
      <c r="N56">
        <v>3.2989460000000001E-3</v>
      </c>
      <c r="O56">
        <v>3.0626879999999999E-2</v>
      </c>
      <c r="P56">
        <v>0.97842609999999997</v>
      </c>
      <c r="Q56">
        <v>0.1988914</v>
      </c>
      <c r="R56">
        <v>-5.5901329999999999E-2</v>
      </c>
      <c r="S56">
        <v>3.0683590000000001</v>
      </c>
      <c r="T56">
        <v>-4.4651870000000003E-2</v>
      </c>
      <c r="U56">
        <v>-0.109191899999999</v>
      </c>
      <c r="V56">
        <v>8.5907209999999998E-2</v>
      </c>
      <c r="W56">
        <v>0.19564110000000001</v>
      </c>
      <c r="X56">
        <v>0.97690560000000004</v>
      </c>
      <c r="Y56">
        <v>6.6144599999999998E-2</v>
      </c>
      <c r="Z56">
        <v>-9.1849260000000002E-4</v>
      </c>
      <c r="AA56">
        <v>0.99780959999999996</v>
      </c>
      <c r="AB56">
        <v>16</v>
      </c>
      <c r="AC56">
        <v>76.750099999999904</v>
      </c>
      <c r="AD56">
        <v>-1.1189614064490001</v>
      </c>
      <c r="AE56">
        <v>-2.7413999999999898</v>
      </c>
      <c r="AF56">
        <v>5.0896622625798402</v>
      </c>
      <c r="AG56">
        <v>-1.1189614064490001</v>
      </c>
      <c r="AH56">
        <v>76.613870218960002</v>
      </c>
      <c r="AI56">
        <v>90.834917127406797</v>
      </c>
      <c r="AJ56">
        <v>86.199274333199597</v>
      </c>
      <c r="AK56">
        <v>76.790896898681297</v>
      </c>
      <c r="AL56">
        <v>78.717822932875507</v>
      </c>
      <c r="AM56">
        <v>84.974446510487297</v>
      </c>
      <c r="AN56">
        <v>1.0000000200252701</v>
      </c>
    </row>
    <row r="57" spans="1:40" x14ac:dyDescent="0.25">
      <c r="A57" t="str">
        <f>"20190303170942429"</f>
        <v>20190303170942429</v>
      </c>
      <c r="B57" t="str">
        <f>"1551604182420357"</f>
        <v>1551604182420357</v>
      </c>
      <c r="C57" t="s">
        <v>40</v>
      </c>
      <c r="D57">
        <v>4.8139659999999997</v>
      </c>
      <c r="E57">
        <v>0.50628589999999996</v>
      </c>
      <c r="F57" t="s">
        <v>42</v>
      </c>
      <c r="G57">
        <v>-385.29360000000003</v>
      </c>
      <c r="H57" s="1">
        <v>-3.379224E-6</v>
      </c>
      <c r="I57">
        <v>362.88290000000001</v>
      </c>
      <c r="J57">
        <v>-470.72</v>
      </c>
      <c r="K57">
        <v>1.1188689999999999</v>
      </c>
      <c r="L57">
        <v>367.21870000000001</v>
      </c>
      <c r="M57">
        <v>0.99951710000000005</v>
      </c>
      <c r="N57">
        <v>3.137188E-3</v>
      </c>
      <c r="O57">
        <v>3.0918359999999999E-2</v>
      </c>
      <c r="P57">
        <v>0.97874170000000005</v>
      </c>
      <c r="Q57">
        <v>0.19683819999999999</v>
      </c>
      <c r="R57">
        <v>-5.7616760000000003E-2</v>
      </c>
      <c r="S57">
        <v>3.0654300000000001</v>
      </c>
      <c r="T57">
        <v>-4.0070300000000003E-2</v>
      </c>
      <c r="U57">
        <v>-0.1550598</v>
      </c>
      <c r="V57">
        <v>8.7933700000000004E-2</v>
      </c>
      <c r="W57">
        <v>0.1937362</v>
      </c>
      <c r="X57">
        <v>0.97710490000000005</v>
      </c>
      <c r="Y57">
        <v>8.1364350000000002E-2</v>
      </c>
      <c r="Z57">
        <v>-9.045403E-4</v>
      </c>
      <c r="AA57">
        <v>0.99668400000000001</v>
      </c>
      <c r="AB57">
        <v>16</v>
      </c>
      <c r="AC57">
        <v>85.426400000000001</v>
      </c>
      <c r="AD57">
        <v>-1.1188723792240001</v>
      </c>
      <c r="AE57">
        <v>-4.3357999999999999</v>
      </c>
      <c r="AF57">
        <v>6.9737907451291701</v>
      </c>
      <c r="AG57">
        <v>-1.1188723792240001</v>
      </c>
      <c r="AH57">
        <v>85.236917546896194</v>
      </c>
      <c r="AI57">
        <v>90.749552305164002</v>
      </c>
      <c r="AJ57">
        <v>85.322674869599695</v>
      </c>
      <c r="AK57">
        <v>85.529046210361898</v>
      </c>
      <c r="AL57">
        <v>78.829094837474301</v>
      </c>
      <c r="AM57">
        <v>84.857569379930695</v>
      </c>
      <c r="AN57">
        <v>1.0000000181950699</v>
      </c>
    </row>
    <row r="58" spans="1:40" x14ac:dyDescent="0.25">
      <c r="A58" t="str">
        <f>"20190303170942452"</f>
        <v>20190303170942452</v>
      </c>
      <c r="B58" t="str">
        <f>"1551604182440853"</f>
        <v>1551604182440853</v>
      </c>
      <c r="C58" t="s">
        <v>40</v>
      </c>
      <c r="D58">
        <v>4.6355240000000002</v>
      </c>
      <c r="E58">
        <v>0.50760499999999997</v>
      </c>
      <c r="F58" t="s">
        <v>42</v>
      </c>
      <c r="G58">
        <v>-391.02080000000001</v>
      </c>
      <c r="H58" s="1">
        <v>-5.0909470000000001E-6</v>
      </c>
      <c r="I58">
        <v>362.53230000000002</v>
      </c>
      <c r="J58">
        <v>-470.5453</v>
      </c>
      <c r="K58">
        <v>1.118851</v>
      </c>
      <c r="L58">
        <v>367.2242</v>
      </c>
      <c r="M58">
        <v>0.99951089999999998</v>
      </c>
      <c r="N58">
        <v>3.0157550000000002E-3</v>
      </c>
      <c r="O58">
        <v>3.11291E-2</v>
      </c>
      <c r="P58">
        <v>0.9790565</v>
      </c>
      <c r="Q58">
        <v>0.19486590000000001</v>
      </c>
      <c r="R58">
        <v>-5.8956649999999999E-2</v>
      </c>
      <c r="S58">
        <v>3.063202</v>
      </c>
      <c r="T58">
        <v>-4.3003319999999998E-2</v>
      </c>
      <c r="U58">
        <v>-0.18011469999999999</v>
      </c>
      <c r="V58">
        <v>8.9478240000000001E-2</v>
      </c>
      <c r="W58">
        <v>0.19188569999999999</v>
      </c>
      <c r="X58">
        <v>0.97732980000000003</v>
      </c>
      <c r="Y58">
        <v>8.9733830000000001E-2</v>
      </c>
      <c r="Z58">
        <v>-1.0243100000000001E-3</v>
      </c>
      <c r="AA58">
        <v>0.99596519999999999</v>
      </c>
      <c r="AB58">
        <v>17</v>
      </c>
      <c r="AC58">
        <v>79.524499999999904</v>
      </c>
      <c r="AD58">
        <v>-1.118856090947</v>
      </c>
      <c r="AE58">
        <v>-4.6918999999999702</v>
      </c>
      <c r="AF58">
        <v>7.1637502165009899</v>
      </c>
      <c r="AG58">
        <v>-1.118856090947</v>
      </c>
      <c r="AH58">
        <v>79.324257143744006</v>
      </c>
      <c r="AI58">
        <v>90.804819422297896</v>
      </c>
      <c r="AJ58">
        <v>84.8396337504619</v>
      </c>
      <c r="AK58">
        <v>79.654936617409305</v>
      </c>
      <c r="AL58">
        <v>78.937148096510299</v>
      </c>
      <c r="AM58">
        <v>84.768937887303593</v>
      </c>
      <c r="AN58">
        <v>1.00000000763301</v>
      </c>
    </row>
    <row r="59" spans="1:40" x14ac:dyDescent="0.25">
      <c r="A59" t="str">
        <f>"20190303170942479"</f>
        <v>20190303170942479</v>
      </c>
      <c r="B59" t="str">
        <f>"1551604182471109"</f>
        <v>1551604182471109</v>
      </c>
      <c r="C59" t="s">
        <v>40</v>
      </c>
      <c r="D59">
        <v>4.8610429999999996</v>
      </c>
      <c r="E59">
        <v>0.5090713</v>
      </c>
      <c r="F59" t="s">
        <v>42</v>
      </c>
      <c r="G59">
        <v>-399.06630000000001</v>
      </c>
      <c r="H59" s="1">
        <v>-2.149819E-6</v>
      </c>
      <c r="I59">
        <v>362.67829999999998</v>
      </c>
      <c r="J59">
        <v>-470.34030000000001</v>
      </c>
      <c r="K59">
        <v>1.118876</v>
      </c>
      <c r="L59">
        <v>367.23079999999999</v>
      </c>
      <c r="M59">
        <v>0.99950669999999997</v>
      </c>
      <c r="N59">
        <v>2.9042819999999998E-3</v>
      </c>
      <c r="O59">
        <v>3.1277560000000003E-2</v>
      </c>
      <c r="P59">
        <v>0.97929440000000001</v>
      </c>
      <c r="Q59">
        <v>0.19327420000000001</v>
      </c>
      <c r="R59">
        <v>-6.023046E-2</v>
      </c>
      <c r="S59">
        <v>3.0620120000000002</v>
      </c>
      <c r="T59">
        <v>-4.7929289999999999E-2</v>
      </c>
      <c r="U59">
        <v>-0.19473270000000001</v>
      </c>
      <c r="V59">
        <v>9.0878210000000001E-2</v>
      </c>
      <c r="W59">
        <v>0.19041359999999999</v>
      </c>
      <c r="X59">
        <v>0.97748849999999998</v>
      </c>
      <c r="Y59">
        <v>9.4636890000000001E-2</v>
      </c>
      <c r="Z59">
        <v>-1.182156E-3</v>
      </c>
      <c r="AA59">
        <v>0.99551120000000004</v>
      </c>
      <c r="AB59">
        <v>17</v>
      </c>
      <c r="AC59">
        <v>71.274000000000001</v>
      </c>
      <c r="AD59">
        <v>-1.1188781498189999</v>
      </c>
      <c r="AE59">
        <v>-4.5525000000000002</v>
      </c>
      <c r="AF59">
        <v>6.7778948945280098</v>
      </c>
      <c r="AG59">
        <v>-1.1188781498189999</v>
      </c>
      <c r="AH59">
        <v>71.079291062077502</v>
      </c>
      <c r="AI59">
        <v>90.897761989218907</v>
      </c>
      <c r="AJ59">
        <v>84.552926977088603</v>
      </c>
      <c r="AK59">
        <v>71.410484982269594</v>
      </c>
      <c r="AL59">
        <v>79.023077354766897</v>
      </c>
      <c r="AM59">
        <v>84.688415334869902</v>
      </c>
      <c r="AN59">
        <v>0.99999997787500605</v>
      </c>
    </row>
    <row r="60" spans="1:40" x14ac:dyDescent="0.25">
      <c r="A60" t="str">
        <f>"20190303170942502"</f>
        <v>20190303170942502</v>
      </c>
      <c r="B60" t="str">
        <f>"1551604182490629"</f>
        <v>1551604182490629</v>
      </c>
      <c r="C60" t="s">
        <v>40</v>
      </c>
      <c r="D60">
        <v>4.9382989999999998</v>
      </c>
      <c r="E60">
        <v>0.50958840000000005</v>
      </c>
      <c r="F60" t="s">
        <v>41</v>
      </c>
      <c r="G60">
        <v>-402.1601</v>
      </c>
      <c r="H60">
        <v>-0.05</v>
      </c>
      <c r="I60">
        <v>362.55880000000002</v>
      </c>
      <c r="J60">
        <v>-470.1558</v>
      </c>
      <c r="K60">
        <v>1.118906</v>
      </c>
      <c r="L60">
        <v>367.23669999999998</v>
      </c>
      <c r="M60">
        <v>0.9995039</v>
      </c>
      <c r="N60">
        <v>2.8234190000000002E-3</v>
      </c>
      <c r="O60">
        <v>3.1371110000000001E-2</v>
      </c>
      <c r="P60">
        <v>0.97958239999999996</v>
      </c>
      <c r="Q60">
        <v>0.1914949</v>
      </c>
      <c r="R60">
        <v>-6.1221640000000001E-2</v>
      </c>
      <c r="S60">
        <v>3.0609130000000002</v>
      </c>
      <c r="T60">
        <v>-5.2476050000000003E-2</v>
      </c>
      <c r="U60">
        <v>-0.2097473</v>
      </c>
      <c r="V60">
        <v>9.1949610000000001E-2</v>
      </c>
      <c r="W60">
        <v>0.1887221</v>
      </c>
      <c r="X60">
        <v>0.97771629999999998</v>
      </c>
      <c r="Y60">
        <v>9.9609909999999996E-2</v>
      </c>
      <c r="Z60">
        <v>-1.3376779999999999E-3</v>
      </c>
      <c r="AA60">
        <v>0.99502570000000001</v>
      </c>
      <c r="AB60">
        <v>17</v>
      </c>
      <c r="AC60">
        <v>67.995699999999999</v>
      </c>
      <c r="AD60">
        <v>-1.168906</v>
      </c>
      <c r="AE60">
        <v>-4.6778999999999602</v>
      </c>
      <c r="AF60">
        <v>6.8067043721489897</v>
      </c>
      <c r="AG60">
        <v>-1.168906</v>
      </c>
      <c r="AH60">
        <v>67.7955401572043</v>
      </c>
      <c r="AI60">
        <v>90.982834865021601</v>
      </c>
      <c r="AJ60">
        <v>84.266689472904602</v>
      </c>
      <c r="AK60">
        <v>68.146407321690603</v>
      </c>
      <c r="AL60">
        <v>79.121782779560704</v>
      </c>
      <c r="AM60">
        <v>84.627404125174195</v>
      </c>
      <c r="AN60">
        <v>0.99999996254662504</v>
      </c>
    </row>
    <row r="61" spans="1:40" x14ac:dyDescent="0.25">
      <c r="A61" t="str">
        <f>"20190303170942519"</f>
        <v>20190303170942519</v>
      </c>
      <c r="B61" t="str">
        <f>"1551604182510149"</f>
        <v>1551604182510149</v>
      </c>
      <c r="C61" t="s">
        <v>40</v>
      </c>
      <c r="D61">
        <v>4.8569719999999998</v>
      </c>
      <c r="E61">
        <v>0.50986620000000005</v>
      </c>
      <c r="F61" t="s">
        <v>41</v>
      </c>
      <c r="G61">
        <v>-407.67399999999998</v>
      </c>
      <c r="H61">
        <v>-0.05</v>
      </c>
      <c r="I61">
        <v>362.82889999999998</v>
      </c>
      <c r="J61">
        <v>-470.01119999999997</v>
      </c>
      <c r="K61">
        <v>1.1189169999999999</v>
      </c>
      <c r="L61">
        <v>367.2414</v>
      </c>
      <c r="M61">
        <v>0.99950159999999999</v>
      </c>
      <c r="N61">
        <v>2.7688919999999998E-3</v>
      </c>
      <c r="O61">
        <v>3.1448129999999998E-2</v>
      </c>
      <c r="P61">
        <v>0.97980579999999995</v>
      </c>
      <c r="Q61">
        <v>0.19035009999999999</v>
      </c>
      <c r="R61">
        <v>-6.1215779999999997E-2</v>
      </c>
      <c r="S61">
        <v>3.0602109999999998</v>
      </c>
      <c r="T61">
        <v>-5.7250259999999997E-2</v>
      </c>
      <c r="U61">
        <v>-0.2158813</v>
      </c>
      <c r="V61">
        <v>9.2016490000000006E-2</v>
      </c>
      <c r="W61">
        <v>0.1876342</v>
      </c>
      <c r="X61">
        <v>0.97791939999999999</v>
      </c>
      <c r="Y61">
        <v>0.10168290000000001</v>
      </c>
      <c r="Z61">
        <v>-1.4835009999999999E-3</v>
      </c>
      <c r="AA61">
        <v>0.99481580000000003</v>
      </c>
      <c r="AB61">
        <v>18</v>
      </c>
      <c r="AC61">
        <v>62.337199999999903</v>
      </c>
      <c r="AD61">
        <v>-1.168917</v>
      </c>
      <c r="AE61">
        <v>-4.4125000000000201</v>
      </c>
      <c r="AF61">
        <v>6.36848516338714</v>
      </c>
      <c r="AG61">
        <v>-1.168917</v>
      </c>
      <c r="AH61">
        <v>62.145858722659398</v>
      </c>
      <c r="AI61">
        <v>91.071951100061696</v>
      </c>
      <c r="AJ61">
        <v>84.148957962197997</v>
      </c>
      <c r="AK61">
        <v>62.482251292714501</v>
      </c>
      <c r="AL61">
        <v>79.185248990469006</v>
      </c>
      <c r="AM61">
        <v>84.624629309962998</v>
      </c>
      <c r="AN61">
        <v>0.99999999016896002</v>
      </c>
    </row>
    <row r="62" spans="1:40" x14ac:dyDescent="0.25">
      <c r="A62" t="str">
        <f>"20190303170942542"</f>
        <v>20190303170942542</v>
      </c>
      <c r="B62" t="str">
        <f>"1551604182530646"</f>
        <v>1551604182530646</v>
      </c>
      <c r="C62" t="s">
        <v>40</v>
      </c>
      <c r="D62">
        <v>4.874619</v>
      </c>
      <c r="E62">
        <v>0.50997530000000002</v>
      </c>
      <c r="F62" t="s">
        <v>41</v>
      </c>
      <c r="G62">
        <v>-410.1936</v>
      </c>
      <c r="H62">
        <v>-0.05</v>
      </c>
      <c r="I62">
        <v>362.9889</v>
      </c>
      <c r="J62">
        <v>-469.82850000000002</v>
      </c>
      <c r="K62">
        <v>1.11893</v>
      </c>
      <c r="L62">
        <v>367.2473</v>
      </c>
      <c r="M62">
        <v>0.99949809999999994</v>
      </c>
      <c r="N62">
        <v>2.7102430000000002E-3</v>
      </c>
      <c r="O62">
        <v>3.1563620000000001E-2</v>
      </c>
      <c r="P62">
        <v>0.97970409999999997</v>
      </c>
      <c r="Q62">
        <v>0.1908588</v>
      </c>
      <c r="R62">
        <v>-6.1262249999999997E-2</v>
      </c>
      <c r="S62">
        <v>3.0598749999999999</v>
      </c>
      <c r="T62">
        <v>-5.9794069999999998E-2</v>
      </c>
      <c r="U62">
        <v>-0.21752929999999901</v>
      </c>
      <c r="V62">
        <v>9.2167550000000001E-2</v>
      </c>
      <c r="W62">
        <v>0.18820319999999999</v>
      </c>
      <c r="X62">
        <v>0.97779579999999999</v>
      </c>
      <c r="Y62">
        <v>0.10233639999999999</v>
      </c>
      <c r="Z62">
        <v>-1.5611449999999999E-3</v>
      </c>
      <c r="AA62">
        <v>0.99474870000000004</v>
      </c>
      <c r="AB62">
        <v>18</v>
      </c>
      <c r="AC62">
        <v>59.634900000000002</v>
      </c>
      <c r="AD62">
        <v>-1.16893</v>
      </c>
      <c r="AE62">
        <v>-4.2583999999999902</v>
      </c>
      <c r="AF62">
        <v>6.1362327131479004</v>
      </c>
      <c r="AG62">
        <v>-1.16893</v>
      </c>
      <c r="AH62">
        <v>59.448050331016198</v>
      </c>
      <c r="AI62">
        <v>91.120512786332696</v>
      </c>
      <c r="AJ62">
        <v>84.106795217621993</v>
      </c>
      <c r="AK62">
        <v>59.775333018008702</v>
      </c>
      <c r="AL62">
        <v>79.152056064596593</v>
      </c>
      <c r="AM62">
        <v>84.615179991562897</v>
      </c>
      <c r="AN62">
        <v>0.99999996413044001</v>
      </c>
    </row>
    <row r="63" spans="1:40" x14ac:dyDescent="0.25">
      <c r="A63" t="str">
        <f>"20190303170942565"</f>
        <v>20190303170942565</v>
      </c>
      <c r="B63" t="str">
        <f>"1551604182560901"</f>
        <v>1551604182560901</v>
      </c>
      <c r="C63" t="s">
        <v>40</v>
      </c>
      <c r="D63">
        <v>4.927753</v>
      </c>
      <c r="E63">
        <v>0.50999740000000005</v>
      </c>
      <c r="F63" t="s">
        <v>41</v>
      </c>
      <c r="G63">
        <v>-408.32659999999998</v>
      </c>
      <c r="H63">
        <v>-0.05</v>
      </c>
      <c r="I63">
        <v>362.8553</v>
      </c>
      <c r="J63">
        <v>-469.63440000000003</v>
      </c>
      <c r="K63">
        <v>1.118946</v>
      </c>
      <c r="L63">
        <v>367.25360000000001</v>
      </c>
      <c r="M63">
        <v>0.99949379999999999</v>
      </c>
      <c r="N63">
        <v>2.6525479999999998E-3</v>
      </c>
      <c r="O63">
        <v>3.170191E-2</v>
      </c>
      <c r="P63">
        <v>0.9794176</v>
      </c>
      <c r="Q63">
        <v>0.1918764</v>
      </c>
      <c r="R63">
        <v>-6.2647309999999998E-2</v>
      </c>
      <c r="S63">
        <v>3.0597840000000001</v>
      </c>
      <c r="T63">
        <v>-5.8155539999999999E-2</v>
      </c>
      <c r="U63">
        <v>-0.2185059</v>
      </c>
      <c r="V63">
        <v>9.3676709999999996E-2</v>
      </c>
      <c r="W63">
        <v>0.1892788</v>
      </c>
      <c r="X63">
        <v>0.9774448</v>
      </c>
      <c r="Y63">
        <v>0.1027932</v>
      </c>
      <c r="Z63">
        <v>-1.5247959999999999E-3</v>
      </c>
      <c r="AA63">
        <v>0.99470159999999996</v>
      </c>
      <c r="AB63">
        <v>18</v>
      </c>
      <c r="AC63">
        <v>61.3078</v>
      </c>
      <c r="AD63">
        <v>-1.16894599999999</v>
      </c>
      <c r="AE63">
        <v>-4.3982999999999999</v>
      </c>
      <c r="AF63">
        <v>6.3373784266564996</v>
      </c>
      <c r="AG63">
        <v>-1.16894599999999</v>
      </c>
      <c r="AH63">
        <v>61.115445108736203</v>
      </c>
      <c r="AI63">
        <v>91.089911562513393</v>
      </c>
      <c r="AJ63">
        <v>84.079861214501406</v>
      </c>
      <c r="AK63">
        <v>61.454262918958797</v>
      </c>
      <c r="AL63">
        <v>79.089301910536705</v>
      </c>
      <c r="AM63">
        <v>84.525586217554505</v>
      </c>
      <c r="AN63">
        <v>1.0000000635864399</v>
      </c>
    </row>
    <row r="64" spans="1:40" x14ac:dyDescent="0.25">
      <c r="A64" t="str">
        <f>"20190303170942597"</f>
        <v>20190303170942597</v>
      </c>
      <c r="B64" t="str">
        <f>"1551604182591158"</f>
        <v>1551604182591158</v>
      </c>
      <c r="C64" t="s">
        <v>40</v>
      </c>
      <c r="D64">
        <v>4.9273189999999998</v>
      </c>
      <c r="E64">
        <v>0.51003859999999901</v>
      </c>
      <c r="F64" t="s">
        <v>41</v>
      </c>
      <c r="G64">
        <v>-403.26650000000001</v>
      </c>
      <c r="H64">
        <v>-0.05</v>
      </c>
      <c r="I64">
        <v>362.45139999999998</v>
      </c>
      <c r="J64">
        <v>-469.36720000000003</v>
      </c>
      <c r="K64">
        <v>1.118995</v>
      </c>
      <c r="L64">
        <v>367.26229999999998</v>
      </c>
      <c r="M64">
        <v>0.99948789999999998</v>
      </c>
      <c r="N64">
        <v>2.5693550000000002E-3</v>
      </c>
      <c r="O64">
        <v>3.1899419999999998E-2</v>
      </c>
      <c r="P64">
        <v>0.97905739999999997</v>
      </c>
      <c r="Q64">
        <v>0.19294449999999999</v>
      </c>
      <c r="R64">
        <v>-6.4955319999999997E-2</v>
      </c>
      <c r="S64">
        <v>3.0594790000000001</v>
      </c>
      <c r="T64">
        <v>-5.388689E-2</v>
      </c>
      <c r="U64">
        <v>-0.2213745</v>
      </c>
      <c r="V64">
        <v>9.6162999999999998E-2</v>
      </c>
      <c r="W64">
        <v>0.1904305</v>
      </c>
      <c r="X64">
        <v>0.9769795</v>
      </c>
      <c r="Y64">
        <v>0.1039277</v>
      </c>
      <c r="Z64">
        <v>-1.4232769999999999E-3</v>
      </c>
      <c r="AA64">
        <v>0.99458380000000002</v>
      </c>
      <c r="AB64">
        <v>18</v>
      </c>
      <c r="AC64">
        <v>66.100700000000003</v>
      </c>
      <c r="AD64">
        <v>-1.168995</v>
      </c>
      <c r="AE64">
        <v>-4.8109000000000002</v>
      </c>
      <c r="AF64">
        <v>6.9148810300552697</v>
      </c>
      <c r="AG64">
        <v>-1.168995</v>
      </c>
      <c r="AH64">
        <v>65.893094448103994</v>
      </c>
      <c r="AI64">
        <v>91.010815842187</v>
      </c>
      <c r="AJ64">
        <v>84.009255986853603</v>
      </c>
      <c r="AK64">
        <v>66.265239944608894</v>
      </c>
      <c r="AL64">
        <v>79.022091483736403</v>
      </c>
      <c r="AM64">
        <v>84.378547811412801</v>
      </c>
      <c r="AN64">
        <v>1.0000000206597499</v>
      </c>
    </row>
    <row r="65" spans="1:40" x14ac:dyDescent="0.25">
      <c r="A65" t="str">
        <f>"20190303170942619"</f>
        <v>20190303170942619</v>
      </c>
      <c r="B65" t="str">
        <f>"1551604182610678"</f>
        <v>1551604182610678</v>
      </c>
      <c r="C65" t="s">
        <v>40</v>
      </c>
      <c r="D65">
        <v>4.9819269999999998</v>
      </c>
      <c r="E65">
        <v>0.51003920000000003</v>
      </c>
      <c r="F65" t="s">
        <v>41</v>
      </c>
      <c r="G65">
        <v>-397.66809999999998</v>
      </c>
      <c r="H65">
        <v>-0.05</v>
      </c>
      <c r="I65">
        <v>361.95330000000001</v>
      </c>
      <c r="J65">
        <v>-469.17880000000002</v>
      </c>
      <c r="K65">
        <v>1.1190439999999999</v>
      </c>
      <c r="L65">
        <v>367.26839999999999</v>
      </c>
      <c r="M65">
        <v>0.99948360000000003</v>
      </c>
      <c r="N65">
        <v>2.504942E-3</v>
      </c>
      <c r="O65">
        <v>3.2037459999999997E-2</v>
      </c>
      <c r="P65">
        <v>0.97880780000000001</v>
      </c>
      <c r="Q65">
        <v>0.19357730000000001</v>
      </c>
      <c r="R65">
        <v>-6.6806669999999999E-2</v>
      </c>
      <c r="S65">
        <v>3.058929</v>
      </c>
      <c r="T65">
        <v>-4.9873349999999997E-2</v>
      </c>
      <c r="U65">
        <v>-0.22650149999999999</v>
      </c>
      <c r="V65">
        <v>9.8136210000000001E-2</v>
      </c>
      <c r="W65">
        <v>0.19112889999999999</v>
      </c>
      <c r="X65">
        <v>0.97664680000000004</v>
      </c>
      <c r="Y65">
        <v>0.1057386</v>
      </c>
      <c r="Z65">
        <v>-1.329939E-3</v>
      </c>
      <c r="AA65">
        <v>0.99439310000000003</v>
      </c>
      <c r="AB65">
        <v>19</v>
      </c>
      <c r="AC65">
        <v>71.5107</v>
      </c>
      <c r="AD65">
        <v>-1.169044</v>
      </c>
      <c r="AE65">
        <v>-5.31509999999997</v>
      </c>
      <c r="AF65">
        <v>7.6013794778771198</v>
      </c>
      <c r="AG65">
        <v>-1.169044</v>
      </c>
      <c r="AH65">
        <v>71.284762004983506</v>
      </c>
      <c r="AI65">
        <v>90.934249956032801</v>
      </c>
      <c r="AJ65">
        <v>83.913322326410196</v>
      </c>
      <c r="AK65">
        <v>71.698430442707505</v>
      </c>
      <c r="AL65">
        <v>78.981326849740597</v>
      </c>
      <c r="AM65">
        <v>84.262019370533096</v>
      </c>
      <c r="AN65">
        <v>0.99999997203930602</v>
      </c>
    </row>
    <row r="66" spans="1:40" x14ac:dyDescent="0.25">
      <c r="A66" t="str">
        <f>"20190303170942641"</f>
        <v>20190303170942641</v>
      </c>
      <c r="B66" t="str">
        <f>"1551604182631173"</f>
        <v>1551604182631173</v>
      </c>
      <c r="C66" t="s">
        <v>40</v>
      </c>
      <c r="D66">
        <v>4.9277280000000001</v>
      </c>
      <c r="E66">
        <v>0.51000389999999995</v>
      </c>
      <c r="F66" t="s">
        <v>42</v>
      </c>
      <c r="G66">
        <v>-397.7747</v>
      </c>
      <c r="H66" s="1">
        <v>-2.8075849999999998E-6</v>
      </c>
      <c r="I66">
        <v>361.85809999999998</v>
      </c>
      <c r="J66">
        <v>-468.98849999999999</v>
      </c>
      <c r="K66">
        <v>1.119086</v>
      </c>
      <c r="L66">
        <v>367.27460000000002</v>
      </c>
      <c r="M66">
        <v>0.99947920000000001</v>
      </c>
      <c r="N66">
        <v>2.4362279999999999E-3</v>
      </c>
      <c r="O66">
        <v>3.2178289999999998E-2</v>
      </c>
      <c r="P66">
        <v>0.97821829999999999</v>
      </c>
      <c r="Q66">
        <v>0.19579759999999999</v>
      </c>
      <c r="R66">
        <v>-6.8937559999999995E-2</v>
      </c>
      <c r="S66">
        <v>3.058624</v>
      </c>
      <c r="T66">
        <v>-4.7934770000000002E-2</v>
      </c>
      <c r="U66">
        <v>-0.2317505</v>
      </c>
      <c r="V66">
        <v>0.1003785</v>
      </c>
      <c r="W66">
        <v>0.1934208</v>
      </c>
      <c r="X66">
        <v>0.97596749999999999</v>
      </c>
      <c r="Y66">
        <v>0.1075839</v>
      </c>
      <c r="Z66">
        <v>-1.2924220000000001E-3</v>
      </c>
      <c r="AA66">
        <v>0.99419519999999995</v>
      </c>
      <c r="AB66">
        <v>19</v>
      </c>
      <c r="AC66">
        <v>71.213799999999907</v>
      </c>
      <c r="AD66">
        <v>-1.1190888075849901</v>
      </c>
      <c r="AE66">
        <v>-5.4165000000000401</v>
      </c>
      <c r="AF66">
        <v>7.7033487092239898</v>
      </c>
      <c r="AG66">
        <v>-1.1190888075849901</v>
      </c>
      <c r="AH66">
        <v>70.985198485249697</v>
      </c>
      <c r="AI66">
        <v>90.8979279500725</v>
      </c>
      <c r="AJ66">
        <v>83.806471000233103</v>
      </c>
      <c r="AK66">
        <v>71.410729901643407</v>
      </c>
      <c r="AL66">
        <v>78.847514186779307</v>
      </c>
      <c r="AM66">
        <v>84.1277625957608</v>
      </c>
      <c r="AN66">
        <v>1.00000000509557</v>
      </c>
    </row>
    <row r="67" spans="1:40" x14ac:dyDescent="0.25">
      <c r="A67" t="str">
        <f>"20190303170942669"</f>
        <v>20190303170942669</v>
      </c>
      <c r="B67" t="str">
        <f>"1551604182660453"</f>
        <v>1551604182660453</v>
      </c>
      <c r="C67" t="s">
        <v>40</v>
      </c>
      <c r="D67">
        <v>4.7623739999999897</v>
      </c>
      <c r="E67">
        <v>0.50989030000000002</v>
      </c>
      <c r="F67" t="s">
        <v>42</v>
      </c>
      <c r="G67">
        <v>-383.91050000000001</v>
      </c>
      <c r="H67" s="1">
        <v>-4.4368749999999998E-6</v>
      </c>
      <c r="I67">
        <v>360.67680000000001</v>
      </c>
      <c r="J67">
        <v>-468.75130000000001</v>
      </c>
      <c r="K67">
        <v>1.119148</v>
      </c>
      <c r="L67">
        <v>367.2824</v>
      </c>
      <c r="M67">
        <v>0.99947359999999996</v>
      </c>
      <c r="N67">
        <v>2.3484090000000001E-3</v>
      </c>
      <c r="O67">
        <v>3.2358829999999998E-2</v>
      </c>
      <c r="P67">
        <v>0.97760539999999996</v>
      </c>
      <c r="Q67">
        <v>0.19760320000000001</v>
      </c>
      <c r="R67">
        <v>-7.2394280000000005E-2</v>
      </c>
      <c r="S67">
        <v>3.0581049999999999</v>
      </c>
      <c r="T67">
        <v>-4.022539E-2</v>
      </c>
      <c r="U67">
        <v>-0.2371521</v>
      </c>
      <c r="V67">
        <v>0.1039804</v>
      </c>
      <c r="W67">
        <v>0.1953194</v>
      </c>
      <c r="X67">
        <v>0.97521199999999997</v>
      </c>
      <c r="Y67">
        <v>0.1095265</v>
      </c>
      <c r="Z67">
        <v>-1.091344E-3</v>
      </c>
      <c r="AA67">
        <v>0.99398330000000001</v>
      </c>
      <c r="AB67">
        <v>19</v>
      </c>
      <c r="AC67">
        <v>84.840800000000002</v>
      </c>
      <c r="AD67">
        <v>-1.1191524368750001</v>
      </c>
      <c r="AE67">
        <v>-6.6055999999999804</v>
      </c>
      <c r="AF67">
        <v>9.3458807521672291</v>
      </c>
      <c r="AG67">
        <v>-1.1191524368750001</v>
      </c>
      <c r="AH67">
        <v>84.567993084610194</v>
      </c>
      <c r="AI67">
        <v>90.753606812253807</v>
      </c>
      <c r="AJ67">
        <v>83.693649660583105</v>
      </c>
      <c r="AK67">
        <v>85.090207683195601</v>
      </c>
      <c r="AL67">
        <v>78.736617557940704</v>
      </c>
      <c r="AM67">
        <v>83.913924079289401</v>
      </c>
      <c r="AN67">
        <v>1.0000000182722499</v>
      </c>
    </row>
    <row r="68" spans="1:40" x14ac:dyDescent="0.25">
      <c r="A68" t="str">
        <f>"20190303170942688"</f>
        <v>20190303170942688</v>
      </c>
      <c r="B68" t="str">
        <f>"1551604182680950"</f>
        <v>1551604182680950</v>
      </c>
      <c r="C68" t="s">
        <v>40</v>
      </c>
      <c r="D68">
        <v>4.9329489999999998</v>
      </c>
      <c r="E68">
        <v>0.50986809999999905</v>
      </c>
      <c r="F68" t="s">
        <v>42</v>
      </c>
      <c r="G68">
        <v>-373.05309999999997</v>
      </c>
      <c r="H68">
        <v>3.1076659999999999E-2</v>
      </c>
      <c r="I68">
        <v>359.61630000000002</v>
      </c>
      <c r="J68">
        <v>-468.57600000000002</v>
      </c>
      <c r="K68">
        <v>1.1192029999999999</v>
      </c>
      <c r="L68">
        <v>367.28820000000002</v>
      </c>
      <c r="M68">
        <v>0.99946919999999995</v>
      </c>
      <c r="N68">
        <v>2.2834489999999999E-3</v>
      </c>
      <c r="O68">
        <v>3.249668E-2</v>
      </c>
      <c r="P68">
        <v>0.97723130000000002</v>
      </c>
      <c r="Q68">
        <v>0.19857549999999999</v>
      </c>
      <c r="R68">
        <v>-7.4747019999999997E-2</v>
      </c>
      <c r="S68">
        <v>3.057617</v>
      </c>
      <c r="T68">
        <v>-3.4764530000000002E-2</v>
      </c>
      <c r="U68">
        <v>-0.24493409999999999</v>
      </c>
      <c r="V68">
        <v>0.10644729999999999</v>
      </c>
      <c r="W68">
        <v>0.1963598</v>
      </c>
      <c r="X68">
        <v>0.97473679999999996</v>
      </c>
      <c r="Y68">
        <v>0.1121925</v>
      </c>
      <c r="Z68">
        <v>-9.5148059999999998E-4</v>
      </c>
      <c r="AA68">
        <v>0.99368599999999996</v>
      </c>
      <c r="AB68">
        <v>20</v>
      </c>
      <c r="AC68">
        <v>95.522900000000007</v>
      </c>
      <c r="AD68">
        <v>-1.0881263400000001</v>
      </c>
      <c r="AE68">
        <v>-7.6718999999999902</v>
      </c>
      <c r="AF68">
        <v>10.7706446789539</v>
      </c>
      <c r="AG68">
        <v>-1.0881263400000001</v>
      </c>
      <c r="AH68">
        <v>95.210861288201698</v>
      </c>
      <c r="AI68">
        <v>90.650632235248295</v>
      </c>
      <c r="AJ68">
        <v>83.545903334588999</v>
      </c>
      <c r="AK68">
        <v>95.824312744591495</v>
      </c>
      <c r="AL68">
        <v>78.675829882853904</v>
      </c>
      <c r="AM68">
        <v>83.767643134758899</v>
      </c>
      <c r="AN68">
        <v>1.0000000140037799</v>
      </c>
    </row>
    <row r="69" spans="1:40" x14ac:dyDescent="0.25">
      <c r="A69" t="str">
        <f>"20190303170942710"</f>
        <v>20190303170942710</v>
      </c>
      <c r="B69" t="str">
        <f>"1551604182700471"</f>
        <v>1551604182700471</v>
      </c>
      <c r="C69" t="s">
        <v>40</v>
      </c>
      <c r="D69">
        <v>4.9861820000000003</v>
      </c>
      <c r="E69">
        <v>0.50977019999999995</v>
      </c>
      <c r="F69" t="s">
        <v>42</v>
      </c>
      <c r="G69">
        <v>-370.24599999999998</v>
      </c>
      <c r="H69">
        <v>7.9986769999999999E-2</v>
      </c>
      <c r="I69">
        <v>359.24459999999999</v>
      </c>
      <c r="J69">
        <v>-468.38159999999999</v>
      </c>
      <c r="K69">
        <v>1.119254</v>
      </c>
      <c r="L69">
        <v>367.2946</v>
      </c>
      <c r="M69">
        <v>0.99946440000000003</v>
      </c>
      <c r="N69">
        <v>2.2127560000000002E-3</v>
      </c>
      <c r="O69">
        <v>3.265175E-2</v>
      </c>
      <c r="P69">
        <v>0.97703879999999999</v>
      </c>
      <c r="Q69">
        <v>0.19916039999999999</v>
      </c>
      <c r="R69">
        <v>-7.5699909999999995E-2</v>
      </c>
      <c r="S69">
        <v>3.057312</v>
      </c>
      <c r="T69">
        <v>-3.2311680000000002E-2</v>
      </c>
      <c r="U69">
        <v>-0.25009160000000002</v>
      </c>
      <c r="V69">
        <v>0.1075376</v>
      </c>
      <c r="W69">
        <v>0.19701759999999999</v>
      </c>
      <c r="X69">
        <v>0.97448429999999997</v>
      </c>
      <c r="Y69">
        <v>0.11402080000000001</v>
      </c>
      <c r="Z69">
        <v>-8.9182089999999996E-4</v>
      </c>
      <c r="AA69">
        <v>0.99347790000000002</v>
      </c>
      <c r="AB69">
        <v>20</v>
      </c>
      <c r="AC69">
        <v>98.135599999999997</v>
      </c>
      <c r="AD69">
        <v>-1.0392672300000001</v>
      </c>
      <c r="AE69">
        <v>-8.0500000000000096</v>
      </c>
      <c r="AF69">
        <v>11.2487612419353</v>
      </c>
      <c r="AG69">
        <v>-1.0392672300000001</v>
      </c>
      <c r="AH69">
        <v>97.809529525717195</v>
      </c>
      <c r="AI69">
        <v>90.604782592557498</v>
      </c>
      <c r="AJ69">
        <v>83.439418934056604</v>
      </c>
      <c r="AK69">
        <v>98.4597317277249</v>
      </c>
      <c r="AL69">
        <v>78.637389214797494</v>
      </c>
      <c r="AM69">
        <v>83.7026992653241</v>
      </c>
      <c r="AN69">
        <v>0.99999996053500395</v>
      </c>
    </row>
    <row r="70" spans="1:40" x14ac:dyDescent="0.25">
      <c r="A70" t="str">
        <f>"20190303170942731"</f>
        <v>20190303170942731</v>
      </c>
      <c r="B70" t="str">
        <f>"1551604182720966"</f>
        <v>1551604182720966</v>
      </c>
      <c r="C70" t="s">
        <v>40</v>
      </c>
      <c r="D70">
        <v>4.8785769999999999</v>
      </c>
      <c r="E70">
        <v>0.50968530000000001</v>
      </c>
      <c r="F70" t="s">
        <v>42</v>
      </c>
      <c r="G70">
        <v>-365.4357</v>
      </c>
      <c r="H70">
        <v>7.9986740000000001E-2</v>
      </c>
      <c r="I70">
        <v>358.80239999999998</v>
      </c>
      <c r="J70">
        <v>-468.18959999999998</v>
      </c>
      <c r="K70">
        <v>1.119286</v>
      </c>
      <c r="L70">
        <v>367.30110000000002</v>
      </c>
      <c r="M70">
        <v>0.9994594</v>
      </c>
      <c r="N70">
        <v>2.1449809999999998E-3</v>
      </c>
      <c r="O70">
        <v>3.2806469999999997E-2</v>
      </c>
      <c r="P70">
        <v>0.9766608</v>
      </c>
      <c r="Q70">
        <v>0.2011222</v>
      </c>
      <c r="R70">
        <v>-7.5391369999999999E-2</v>
      </c>
      <c r="S70">
        <v>3.0572509999999999</v>
      </c>
      <c r="T70">
        <v>-3.086376E-2</v>
      </c>
      <c r="U70">
        <v>-0.25219730000000001</v>
      </c>
      <c r="V70">
        <v>0.1073616</v>
      </c>
      <c r="W70">
        <v>0.19904939999999999</v>
      </c>
      <c r="X70">
        <v>0.97409080000000003</v>
      </c>
      <c r="Y70">
        <v>0.1148565</v>
      </c>
      <c r="Z70">
        <v>-8.5628309999999895E-4</v>
      </c>
      <c r="AA70">
        <v>0.99338170000000003</v>
      </c>
      <c r="AB70">
        <v>20</v>
      </c>
      <c r="AC70">
        <v>102.7539</v>
      </c>
      <c r="AD70">
        <v>-1.0392992599999999</v>
      </c>
      <c r="AE70">
        <v>-8.4987000000000403</v>
      </c>
      <c r="AF70">
        <v>11.863920429268701</v>
      </c>
      <c r="AG70">
        <v>-1.0392992599999999</v>
      </c>
      <c r="AH70">
        <v>102.409371164215</v>
      </c>
      <c r="AI70">
        <v>90.577582387603499</v>
      </c>
      <c r="AJ70">
        <v>83.391855799795394</v>
      </c>
      <c r="AK70">
        <v>103.099524989953</v>
      </c>
      <c r="AL70">
        <v>78.5186243251582</v>
      </c>
      <c r="AM70">
        <v>83.710403643250999</v>
      </c>
      <c r="AN70">
        <v>1.0000000317197699</v>
      </c>
    </row>
    <row r="71" spans="1:40" x14ac:dyDescent="0.25">
      <c r="A71" t="str">
        <f>"20190303170942755"</f>
        <v>20190303170942755</v>
      </c>
      <c r="B71" t="str">
        <f>"1551604182750245"</f>
        <v>1551604182750245</v>
      </c>
      <c r="C71" t="s">
        <v>40</v>
      </c>
      <c r="D71">
        <v>4.9224220000000001</v>
      </c>
      <c r="E71">
        <v>0.4784369</v>
      </c>
      <c r="F71" t="s">
        <v>42</v>
      </c>
      <c r="G71">
        <v>-340.96449999999999</v>
      </c>
      <c r="H71">
        <v>7.9986269999999998E-2</v>
      </c>
      <c r="I71">
        <v>356.84980000000002</v>
      </c>
      <c r="J71">
        <v>-467.96820000000002</v>
      </c>
      <c r="K71">
        <v>1.1193310000000001</v>
      </c>
      <c r="L71">
        <v>367.30849999999998</v>
      </c>
      <c r="M71">
        <v>0.9994537</v>
      </c>
      <c r="N71">
        <v>2.0698980000000001E-3</v>
      </c>
      <c r="O71">
        <v>3.2985399999999998E-2</v>
      </c>
      <c r="P71">
        <v>0.97614849999999997</v>
      </c>
      <c r="Q71">
        <v>0.20365559999999999</v>
      </c>
      <c r="R71">
        <v>-7.522587E-2</v>
      </c>
      <c r="S71">
        <v>3.057404</v>
      </c>
      <c r="T71">
        <v>-2.4975899999999999E-2</v>
      </c>
      <c r="U71">
        <v>-0.25115969999999999</v>
      </c>
      <c r="V71">
        <v>0.107348</v>
      </c>
      <c r="W71">
        <v>0.2016599</v>
      </c>
      <c r="X71">
        <v>0.97355519999999995</v>
      </c>
      <c r="Y71">
        <v>0.11469790000000001</v>
      </c>
      <c r="Z71">
        <v>-6.8598050000000005E-4</v>
      </c>
      <c r="AA71">
        <v>0.99340019999999996</v>
      </c>
      <c r="AB71">
        <v>20</v>
      </c>
      <c r="AC71">
        <v>127.00369999999999</v>
      </c>
      <c r="AD71">
        <v>-1.0393447299999901</v>
      </c>
      <c r="AE71">
        <v>-10.458699999999901</v>
      </c>
      <c r="AF71">
        <v>14.641311544562001</v>
      </c>
      <c r="AG71">
        <v>-1.0393447299999901</v>
      </c>
      <c r="AH71">
        <v>126.581183262964</v>
      </c>
      <c r="AI71">
        <v>90.467323404493897</v>
      </c>
      <c r="AJ71">
        <v>83.402068522425694</v>
      </c>
      <c r="AK71">
        <v>127.42936944623401</v>
      </c>
      <c r="AL71">
        <v>78.365957938766897</v>
      </c>
      <c r="AM71">
        <v>83.707761957634403</v>
      </c>
      <c r="AN71">
        <v>1.0000000179095201</v>
      </c>
    </row>
    <row r="72" spans="1:40" x14ac:dyDescent="0.25">
      <c r="A72" t="str">
        <f>"20190303170942779"</f>
        <v>20190303170942779</v>
      </c>
      <c r="B72" t="str">
        <f>"1551604182770742"</f>
        <v>1551604182770742</v>
      </c>
      <c r="C72" t="s">
        <v>40</v>
      </c>
      <c r="D72">
        <v>4.9115390000000003</v>
      </c>
      <c r="E72">
        <v>0.4752207</v>
      </c>
      <c r="F72" t="s">
        <v>42</v>
      </c>
      <c r="G72">
        <v>-366.96190000000001</v>
      </c>
      <c r="H72" s="1">
        <v>-1.6884499999999999E-6</v>
      </c>
      <c r="I72">
        <v>367.34539999999998</v>
      </c>
      <c r="J72">
        <v>-467.7509</v>
      </c>
      <c r="K72">
        <v>1.1193660000000001</v>
      </c>
      <c r="L72">
        <v>367.3159</v>
      </c>
      <c r="M72">
        <v>0.99944809999999995</v>
      </c>
      <c r="N72">
        <v>1.9994460000000002E-3</v>
      </c>
      <c r="O72">
        <v>3.3161059999999999E-2</v>
      </c>
      <c r="P72">
        <v>0.97590949999999999</v>
      </c>
      <c r="Q72">
        <v>0.20495169999999999</v>
      </c>
      <c r="R72">
        <v>-7.4804709999999996E-2</v>
      </c>
      <c r="S72">
        <v>3.080444</v>
      </c>
      <c r="T72">
        <v>-3.4136890000000003E-2</v>
      </c>
      <c r="U72">
        <v>1.12915E-3</v>
      </c>
      <c r="V72">
        <v>0.107087</v>
      </c>
      <c r="W72">
        <v>0.20302629999999999</v>
      </c>
      <c r="X72">
        <v>0.9732999</v>
      </c>
      <c r="Y72">
        <v>3.279029E-2</v>
      </c>
      <c r="Z72">
        <v>-5.8263300000000004E-4</v>
      </c>
      <c r="AA72">
        <v>0.99946210000000002</v>
      </c>
      <c r="AB72">
        <v>20</v>
      </c>
      <c r="AC72">
        <v>100.789</v>
      </c>
      <c r="AD72">
        <v>-1.1193676884499999</v>
      </c>
      <c r="AE72">
        <v>2.94999999999845E-2</v>
      </c>
      <c r="AF72">
        <v>3.3123841533049498</v>
      </c>
      <c r="AG72">
        <v>-1.1193676884499999</v>
      </c>
      <c r="AH72">
        <v>100.72212268412601</v>
      </c>
      <c r="AI72">
        <v>90.636382090703805</v>
      </c>
      <c r="AJ72">
        <v>88.116429113201306</v>
      </c>
      <c r="AK72">
        <v>100.78279054877</v>
      </c>
      <c r="AL72">
        <v>78.286015126555597</v>
      </c>
      <c r="AM72">
        <v>83.7213049439288</v>
      </c>
      <c r="AN72">
        <v>0.99999999970034903</v>
      </c>
    </row>
    <row r="73" spans="1:40" x14ac:dyDescent="0.25">
      <c r="A73" t="str">
        <f>"20190303170942800"</f>
        <v>20190303170942800</v>
      </c>
      <c r="B73" t="str">
        <f>"1551604182790261"</f>
        <v>1551604182790261</v>
      </c>
      <c r="C73" t="s">
        <v>40</v>
      </c>
      <c r="D73">
        <v>4.9363780000000004</v>
      </c>
      <c r="E73">
        <v>0.47394750000000002</v>
      </c>
      <c r="F73" t="s">
        <v>42</v>
      </c>
      <c r="G73">
        <v>-367.01280000000003</v>
      </c>
      <c r="H73" s="1">
        <v>-1.5043970000000001E-6</v>
      </c>
      <c r="I73">
        <v>368.26</v>
      </c>
      <c r="J73">
        <v>-467.53949999999998</v>
      </c>
      <c r="K73">
        <v>1.119397</v>
      </c>
      <c r="L73">
        <v>367.32310000000001</v>
      </c>
      <c r="M73">
        <v>0.99944270000000002</v>
      </c>
      <c r="N73">
        <v>1.9337549999999999E-3</v>
      </c>
      <c r="O73">
        <v>3.333088E-2</v>
      </c>
      <c r="P73">
        <v>0.97593799999999997</v>
      </c>
      <c r="Q73">
        <v>0.2054724</v>
      </c>
      <c r="R73">
        <v>-7.29823E-2</v>
      </c>
      <c r="S73">
        <v>3.0834350000000001</v>
      </c>
      <c r="T73">
        <v>-3.4262059999999997E-2</v>
      </c>
      <c r="U73">
        <v>2.8900149999999999E-2</v>
      </c>
      <c r="V73">
        <v>0.1054298</v>
      </c>
      <c r="W73">
        <v>0.20361170000000001</v>
      </c>
      <c r="X73">
        <v>0.97335850000000002</v>
      </c>
      <c r="Y73">
        <v>2.3958320000000002E-2</v>
      </c>
      <c r="Z73">
        <v>-5.4467260000000005E-4</v>
      </c>
      <c r="AA73">
        <v>0.99971279999999996</v>
      </c>
      <c r="AB73">
        <v>21</v>
      </c>
      <c r="AC73">
        <v>100.526699999999</v>
      </c>
      <c r="AD73">
        <v>-1.1193985043970001</v>
      </c>
      <c r="AE73">
        <v>0.93689999999997997</v>
      </c>
      <c r="AF73">
        <v>2.41397024702774</v>
      </c>
      <c r="AG73">
        <v>-1.1193985043970001</v>
      </c>
      <c r="AH73">
        <v>100.48961290663399</v>
      </c>
      <c r="AI73">
        <v>90.638032730640006</v>
      </c>
      <c r="AJ73">
        <v>88.623900443508902</v>
      </c>
      <c r="AK73">
        <v>100.5248357745</v>
      </c>
      <c r="AL73">
        <v>78.251758272112795</v>
      </c>
      <c r="AM73">
        <v>83.818080491634305</v>
      </c>
      <c r="AN73">
        <v>0.99999996831358895</v>
      </c>
    </row>
    <row r="74" spans="1:40" x14ac:dyDescent="0.25">
      <c r="A74" t="str">
        <f>"20190303170942821"</f>
        <v>20190303170942821</v>
      </c>
      <c r="B74" t="str">
        <f>"1551604182812710"</f>
        <v>1551604182812710</v>
      </c>
      <c r="C74" t="s">
        <v>40</v>
      </c>
      <c r="D74">
        <v>4.9692319999999999</v>
      </c>
      <c r="E74">
        <v>0.47297230000000001</v>
      </c>
      <c r="F74" t="s">
        <v>42</v>
      </c>
      <c r="G74">
        <v>-378.91019999999997</v>
      </c>
      <c r="H74" s="1">
        <v>-6.2791509999999999E-7</v>
      </c>
      <c r="I74">
        <v>368.61250000000001</v>
      </c>
      <c r="J74">
        <v>-467.351</v>
      </c>
      <c r="K74">
        <v>1.119416</v>
      </c>
      <c r="L74">
        <v>367.3295</v>
      </c>
      <c r="M74">
        <v>0.99943769999999998</v>
      </c>
      <c r="N74">
        <v>1.8770449999999999E-3</v>
      </c>
      <c r="O74">
        <v>3.3482209999999998E-2</v>
      </c>
      <c r="P74">
        <v>0.97599389999999997</v>
      </c>
      <c r="Q74">
        <v>0.2059377</v>
      </c>
      <c r="R74">
        <v>-7.0893090000000006E-2</v>
      </c>
      <c r="S74">
        <v>3.0854490000000001</v>
      </c>
      <c r="T74">
        <v>-3.8969520000000001E-2</v>
      </c>
      <c r="U74">
        <v>4.4891359999999998E-2</v>
      </c>
      <c r="V74">
        <v>0.1034897</v>
      </c>
      <c r="W74">
        <v>0.2041327</v>
      </c>
      <c r="X74">
        <v>0.97345760000000003</v>
      </c>
      <c r="Y74">
        <v>1.8934240000000001E-2</v>
      </c>
      <c r="Z74">
        <v>-5.8740120000000005E-4</v>
      </c>
      <c r="AA74">
        <v>0.9998205</v>
      </c>
      <c r="AB74">
        <v>21</v>
      </c>
      <c r="AC74">
        <v>88.440799999999996</v>
      </c>
      <c r="AD74">
        <v>-1.1194166279151001</v>
      </c>
      <c r="AE74">
        <v>1.2830000000000099</v>
      </c>
      <c r="AF74">
        <v>1.6786487040456199</v>
      </c>
      <c r="AG74">
        <v>-1.1194166279151001</v>
      </c>
      <c r="AH74">
        <v>88.420007617042899</v>
      </c>
      <c r="AI74">
        <v>90.725207677476206</v>
      </c>
      <c r="AJ74">
        <v>88.912373614790795</v>
      </c>
      <c r="AK74">
        <v>88.4430251747212</v>
      </c>
      <c r="AL74">
        <v>78.221267008679604</v>
      </c>
      <c r="AM74">
        <v>83.931595412531394</v>
      </c>
      <c r="AN74">
        <v>0.99999998810656998</v>
      </c>
    </row>
    <row r="75" spans="1:40" x14ac:dyDescent="0.25">
      <c r="A75" t="str">
        <f>"20190303170942845"</f>
        <v>20190303170942845</v>
      </c>
      <c r="B75" t="str">
        <f>"1551604182841014"</f>
        <v>1551604182841014</v>
      </c>
      <c r="C75" t="s">
        <v>40</v>
      </c>
      <c r="D75">
        <v>4.9671659999999997</v>
      </c>
      <c r="E75">
        <v>0.47224690000000002</v>
      </c>
      <c r="F75" t="s">
        <v>42</v>
      </c>
      <c r="G75">
        <v>-381.47980000000001</v>
      </c>
      <c r="H75" s="1">
        <v>-3.759218E-6</v>
      </c>
      <c r="I75">
        <v>368.92989999999998</v>
      </c>
      <c r="J75">
        <v>-467.10640000000001</v>
      </c>
      <c r="K75">
        <v>1.119443</v>
      </c>
      <c r="L75">
        <v>367.33789999999999</v>
      </c>
      <c r="M75">
        <v>0.99943130000000002</v>
      </c>
      <c r="N75">
        <v>1.805807E-3</v>
      </c>
      <c r="O75">
        <v>3.3677070000000003E-2</v>
      </c>
      <c r="P75">
        <v>0.97569969999999995</v>
      </c>
      <c r="Q75">
        <v>0.20762990000000001</v>
      </c>
      <c r="R75">
        <v>-7.0003259999999998E-2</v>
      </c>
      <c r="S75">
        <v>3.086487</v>
      </c>
      <c r="T75">
        <v>-4.0235519999999997E-2</v>
      </c>
      <c r="U75">
        <v>5.7525630000000001E-2</v>
      </c>
      <c r="V75">
        <v>0.1027788</v>
      </c>
      <c r="W75">
        <v>0.20589450000000001</v>
      </c>
      <c r="X75">
        <v>0.97316179999999997</v>
      </c>
      <c r="Y75">
        <v>1.5042379999999999E-2</v>
      </c>
      <c r="Z75">
        <v>-5.8413149999999995E-4</v>
      </c>
      <c r="AA75">
        <v>0.99988670000000002</v>
      </c>
      <c r="AB75">
        <v>21</v>
      </c>
      <c r="AC75">
        <v>85.626599999999996</v>
      </c>
      <c r="AD75">
        <v>-1.119446759218</v>
      </c>
      <c r="AE75">
        <v>1.5919999999999801</v>
      </c>
      <c r="AF75">
        <v>1.2923394584527399</v>
      </c>
      <c r="AG75">
        <v>-1.119446759218</v>
      </c>
      <c r="AH75">
        <v>85.617015075206595</v>
      </c>
      <c r="AI75">
        <v>90.749017185908798</v>
      </c>
      <c r="AJ75">
        <v>89.135218930312504</v>
      </c>
      <c r="AK75">
        <v>85.634085344042504</v>
      </c>
      <c r="AL75">
        <v>78.118132259103106</v>
      </c>
      <c r="AM75">
        <v>83.971154651817798</v>
      </c>
      <c r="AN75">
        <v>0.99999995791946406</v>
      </c>
    </row>
    <row r="76" spans="1:40" x14ac:dyDescent="0.25">
      <c r="A76" t="str">
        <f>"20190303170942869"</f>
        <v>20190303170942869</v>
      </c>
      <c r="B76" t="str">
        <f>"1551604182860534"</f>
        <v>1551604182860534</v>
      </c>
      <c r="C76" t="s">
        <v>40</v>
      </c>
      <c r="D76">
        <v>4.958691</v>
      </c>
      <c r="E76">
        <v>0.4721822</v>
      </c>
      <c r="F76" t="s">
        <v>42</v>
      </c>
      <c r="G76">
        <v>-377.1909</v>
      </c>
      <c r="H76" s="1">
        <v>-1.2496399999999999E-6</v>
      </c>
      <c r="I76">
        <v>369.2654</v>
      </c>
      <c r="J76">
        <v>-466.89159999999998</v>
      </c>
      <c r="K76">
        <v>1.119461</v>
      </c>
      <c r="L76">
        <v>367.34530000000001</v>
      </c>
      <c r="M76">
        <v>0.99942560000000003</v>
      </c>
      <c r="N76">
        <v>1.7447669999999999E-3</v>
      </c>
      <c r="O76">
        <v>3.3847120000000001E-2</v>
      </c>
      <c r="P76">
        <v>0.97505839999999999</v>
      </c>
      <c r="Q76">
        <v>0.21030869999999999</v>
      </c>
      <c r="R76">
        <v>-7.0932229999999999E-2</v>
      </c>
      <c r="S76">
        <v>3.0876459999999999</v>
      </c>
      <c r="T76">
        <v>-3.8441059999999999E-2</v>
      </c>
      <c r="U76">
        <v>6.6192630000000002E-2</v>
      </c>
      <c r="V76">
        <v>0.1038501</v>
      </c>
      <c r="W76">
        <v>0.20863419999999999</v>
      </c>
      <c r="X76">
        <v>0.97246440000000001</v>
      </c>
      <c r="Y76">
        <v>1.241448E-2</v>
      </c>
      <c r="Z76">
        <v>-5.4672779999999995E-4</v>
      </c>
      <c r="AA76">
        <v>0.9999228</v>
      </c>
      <c r="AB76">
        <v>22</v>
      </c>
      <c r="AC76">
        <v>89.700699999999898</v>
      </c>
      <c r="AD76">
        <v>-1.11946224964</v>
      </c>
      <c r="AE76">
        <v>1.9200999999999899</v>
      </c>
      <c r="AF76">
        <v>1.11694096658673</v>
      </c>
      <c r="AG76">
        <v>-1.11946224964</v>
      </c>
      <c r="AH76">
        <v>89.700328879471598</v>
      </c>
      <c r="AI76">
        <v>90.714960159196096</v>
      </c>
      <c r="AJ76">
        <v>89.286594632077595</v>
      </c>
      <c r="AK76">
        <v>89.714267281946704</v>
      </c>
      <c r="AL76">
        <v>77.957675619788901</v>
      </c>
      <c r="AM76">
        <v>83.904448444542197</v>
      </c>
      <c r="AN76">
        <v>1.0000000409734999</v>
      </c>
    </row>
    <row r="77" spans="1:40" x14ac:dyDescent="0.25">
      <c r="A77" t="str">
        <f>"20190303170942911"</f>
        <v>20190303170942911</v>
      </c>
      <c r="B77" t="str">
        <f>"1551604182900549"</f>
        <v>1551604182900549</v>
      </c>
      <c r="C77" t="s">
        <v>40</v>
      </c>
      <c r="D77">
        <v>4.9909589999999904</v>
      </c>
      <c r="E77">
        <v>0.472105</v>
      </c>
      <c r="F77" t="s">
        <v>42</v>
      </c>
      <c r="G77">
        <v>-362.86250000000001</v>
      </c>
      <c r="H77" s="1">
        <v>-3.0593099999999999E-6</v>
      </c>
      <c r="I77">
        <v>369.53149999999999</v>
      </c>
      <c r="J77">
        <v>-466.46510000000001</v>
      </c>
      <c r="K77">
        <v>1.1194869999999999</v>
      </c>
      <c r="L77">
        <v>367.36009999999999</v>
      </c>
      <c r="M77">
        <v>0.99941429999999998</v>
      </c>
      <c r="N77">
        <v>1.6268649999999999E-3</v>
      </c>
      <c r="O77">
        <v>3.4184119999999998E-2</v>
      </c>
      <c r="P77">
        <v>0.97444900000000001</v>
      </c>
      <c r="Q77">
        <v>0.2125678</v>
      </c>
      <c r="R77">
        <v>-7.2555499999999995E-2</v>
      </c>
      <c r="S77">
        <v>3.0886230000000001</v>
      </c>
      <c r="T77">
        <v>-3.323686E-2</v>
      </c>
      <c r="U77">
        <v>6.4910889999999999E-2</v>
      </c>
      <c r="V77">
        <v>0.10577780000000001</v>
      </c>
      <c r="W77">
        <v>0.21101010000000001</v>
      </c>
      <c r="X77">
        <v>0.97174369999999999</v>
      </c>
      <c r="Y77">
        <v>1.3174150000000001E-2</v>
      </c>
      <c r="Z77">
        <v>-4.8349379999999999E-4</v>
      </c>
      <c r="AA77">
        <v>0.9999131</v>
      </c>
      <c r="AB77">
        <v>22</v>
      </c>
      <c r="AC77">
        <v>103.6026</v>
      </c>
      <c r="AD77">
        <v>-1.1194900593099999</v>
      </c>
      <c r="AE77">
        <v>2.1714000000000002</v>
      </c>
      <c r="AF77">
        <v>1.3712771740791601</v>
      </c>
      <c r="AG77">
        <v>-1.1194900593099999</v>
      </c>
      <c r="AH77">
        <v>103.604185370965</v>
      </c>
      <c r="AI77">
        <v>90.619028490335396</v>
      </c>
      <c r="AJ77">
        <v>89.241692728651202</v>
      </c>
      <c r="AK77">
        <v>103.619307493644</v>
      </c>
      <c r="AL77">
        <v>77.818446901927899</v>
      </c>
      <c r="AM77">
        <v>83.787608179548599</v>
      </c>
      <c r="AN77">
        <v>1.0000000118822701</v>
      </c>
    </row>
    <row r="78" spans="1:40" x14ac:dyDescent="0.25">
      <c r="A78" t="str">
        <f>"20190303170942933"</f>
        <v>20190303170942933</v>
      </c>
      <c r="B78" t="str">
        <f>"1551604182921046"</f>
        <v>1551604182921046</v>
      </c>
      <c r="C78" t="s">
        <v>40</v>
      </c>
      <c r="D78">
        <v>5.0113009999999996</v>
      </c>
      <c r="E78">
        <v>0.47205780000000003</v>
      </c>
      <c r="F78" t="s">
        <v>42</v>
      </c>
      <c r="G78">
        <v>-358.35750000000002</v>
      </c>
      <c r="H78" s="1">
        <v>-7.2146899999999999E-7</v>
      </c>
      <c r="I78">
        <v>369.42180000000002</v>
      </c>
      <c r="J78">
        <v>-466.23649999999998</v>
      </c>
      <c r="K78">
        <v>1.1195040000000001</v>
      </c>
      <c r="L78">
        <v>367.36810000000003</v>
      </c>
      <c r="M78">
        <v>0.99940819999999997</v>
      </c>
      <c r="N78">
        <v>1.5649429999999901E-3</v>
      </c>
      <c r="O78">
        <v>3.436442E-2</v>
      </c>
      <c r="P78">
        <v>0.97394230000000004</v>
      </c>
      <c r="Q78">
        <v>0.21411620000000001</v>
      </c>
      <c r="R78">
        <v>-7.4773590000000001E-2</v>
      </c>
      <c r="S78">
        <v>3.0900270000000001</v>
      </c>
      <c r="T78">
        <v>-3.1998159999999998E-2</v>
      </c>
      <c r="U78">
        <v>5.892944E-2</v>
      </c>
      <c r="V78">
        <v>0.10815139999999999</v>
      </c>
      <c r="W78">
        <v>0.21262059999999999</v>
      </c>
      <c r="X78">
        <v>0.97113119999999997</v>
      </c>
      <c r="Y78">
        <v>1.529896E-2</v>
      </c>
      <c r="Z78">
        <v>-4.767455E-4</v>
      </c>
      <c r="AA78">
        <v>0.99988290000000002</v>
      </c>
      <c r="AB78">
        <v>22</v>
      </c>
      <c r="AC78">
        <v>107.878999999999</v>
      </c>
      <c r="AD78">
        <v>-1.1195047214689999</v>
      </c>
      <c r="AE78">
        <v>2.0536999999999899</v>
      </c>
      <c r="AF78">
        <v>1.6545384641025001</v>
      </c>
      <c r="AG78">
        <v>-1.1195047214689999</v>
      </c>
      <c r="AH78">
        <v>107.874244610177</v>
      </c>
      <c r="AI78">
        <v>90.594516799315798</v>
      </c>
      <c r="AJ78">
        <v>89.121285726044704</v>
      </c>
      <c r="AK78">
        <v>107.892740434966</v>
      </c>
      <c r="AL78">
        <v>77.724029862627006</v>
      </c>
      <c r="AM78">
        <v>83.645359226091799</v>
      </c>
      <c r="AN78">
        <v>1.0000000262398701</v>
      </c>
    </row>
    <row r="79" spans="1:40" x14ac:dyDescent="0.25">
      <c r="A79" t="str">
        <f>"20190303170942955"</f>
        <v>20190303170942955</v>
      </c>
      <c r="B79" t="str">
        <f>"1551604182950325"</f>
        <v>1551604182950325</v>
      </c>
      <c r="C79" t="s">
        <v>40</v>
      </c>
      <c r="D79">
        <v>5.0118780000000003</v>
      </c>
      <c r="E79">
        <v>0.47188400000000003</v>
      </c>
      <c r="F79" t="s">
        <v>42</v>
      </c>
      <c r="G79">
        <v>-353.91950000000003</v>
      </c>
      <c r="H79" s="1">
        <v>-2.6487639999999998E-6</v>
      </c>
      <c r="I79">
        <v>369.28969999999998</v>
      </c>
      <c r="J79">
        <v>-466.01749999999998</v>
      </c>
      <c r="K79">
        <v>1.119516</v>
      </c>
      <c r="L79">
        <v>367.37580000000003</v>
      </c>
      <c r="M79">
        <v>0.99940280000000004</v>
      </c>
      <c r="N79">
        <v>1.50592E-3</v>
      </c>
      <c r="O79">
        <v>3.4525E-2</v>
      </c>
      <c r="P79">
        <v>0.97346809999999995</v>
      </c>
      <c r="Q79">
        <v>0.21488550000000001</v>
      </c>
      <c r="R79">
        <v>-7.8640260000000003E-2</v>
      </c>
      <c r="S79">
        <v>3.0910950000000001</v>
      </c>
      <c r="T79">
        <v>-3.081012E-2</v>
      </c>
      <c r="U79">
        <v>5.2886959999999997E-2</v>
      </c>
      <c r="V79">
        <v>0.1121573</v>
      </c>
      <c r="W79">
        <v>0.213448</v>
      </c>
      <c r="X79">
        <v>0.970495</v>
      </c>
      <c r="Y79">
        <v>1.742022E-2</v>
      </c>
      <c r="Z79">
        <v>-4.6970200000000001E-4</v>
      </c>
      <c r="AA79">
        <v>0.99984810000000002</v>
      </c>
      <c r="AB79">
        <v>22</v>
      </c>
      <c r="AC79">
        <v>112.097999999999</v>
      </c>
      <c r="AD79">
        <v>-1.1195186487640001</v>
      </c>
      <c r="AE79">
        <v>1.91389999999995</v>
      </c>
      <c r="AF79">
        <v>1.9572332983257099</v>
      </c>
      <c r="AG79">
        <v>-1.1195186487640001</v>
      </c>
      <c r="AH79">
        <v>112.086072220744</v>
      </c>
      <c r="AI79">
        <v>90.572165510534504</v>
      </c>
      <c r="AJ79">
        <v>88.999609769055894</v>
      </c>
      <c r="AK79">
        <v>112.108749302018</v>
      </c>
      <c r="AL79">
        <v>77.675508292377202</v>
      </c>
      <c r="AM79">
        <v>83.407736909420606</v>
      </c>
      <c r="AN79">
        <v>0.99999992683614203</v>
      </c>
    </row>
    <row r="80" spans="1:40" x14ac:dyDescent="0.25">
      <c r="A80" t="str">
        <f>"20190303170942978"</f>
        <v>20190303170942978</v>
      </c>
      <c r="B80" t="str">
        <f>"1551604182970822"</f>
        <v>1551604182970822</v>
      </c>
      <c r="C80" t="s">
        <v>40</v>
      </c>
      <c r="D80">
        <v>5.0355889999999999</v>
      </c>
      <c r="E80">
        <v>0.47175729999999999</v>
      </c>
      <c r="F80" t="s">
        <v>42</v>
      </c>
      <c r="G80">
        <v>-353.91359999999997</v>
      </c>
      <c r="H80" s="1">
        <v>-2.704266E-6</v>
      </c>
      <c r="I80">
        <v>368.99110000000002</v>
      </c>
      <c r="J80">
        <v>-465.77980000000002</v>
      </c>
      <c r="K80">
        <v>1.119499</v>
      </c>
      <c r="L80">
        <v>367.38420000000002</v>
      </c>
      <c r="M80">
        <v>0.99939809999999996</v>
      </c>
      <c r="N80">
        <v>1.442376E-3</v>
      </c>
      <c r="O80">
        <v>3.4661039999999997E-2</v>
      </c>
      <c r="P80">
        <v>0.97346429999999995</v>
      </c>
      <c r="Q80">
        <v>0.21404570000000001</v>
      </c>
      <c r="R80">
        <v>-8.0944600000000005E-2</v>
      </c>
      <c r="S80">
        <v>3.0921940000000001</v>
      </c>
      <c r="T80">
        <v>-3.087997E-2</v>
      </c>
      <c r="U80">
        <v>4.4555659999999997E-2</v>
      </c>
      <c r="V80">
        <v>0.1146017</v>
      </c>
      <c r="W80">
        <v>0.2126653</v>
      </c>
      <c r="X80">
        <v>0.9703813</v>
      </c>
      <c r="Y80">
        <v>2.0255430000000001E-2</v>
      </c>
      <c r="Z80">
        <v>-4.825637E-4</v>
      </c>
      <c r="AA80">
        <v>0.99979470000000004</v>
      </c>
      <c r="AB80">
        <v>23</v>
      </c>
      <c r="AC80">
        <v>111.86620000000001</v>
      </c>
      <c r="AD80">
        <v>-1.119501704266</v>
      </c>
      <c r="AE80">
        <v>1.60689999999999</v>
      </c>
      <c r="AF80">
        <v>2.27124093596982</v>
      </c>
      <c r="AG80">
        <v>-1.119501704266</v>
      </c>
      <c r="AH80">
        <v>111.843480377494</v>
      </c>
      <c r="AI80">
        <v>90.5733669960063</v>
      </c>
      <c r="AJ80">
        <v>88.836636381932294</v>
      </c>
      <c r="AK80">
        <v>111.872140957461</v>
      </c>
      <c r="AL80">
        <v>77.721408138947794</v>
      </c>
      <c r="AM80">
        <v>83.264586515570301</v>
      </c>
      <c r="AN80">
        <v>0.99999997342833402</v>
      </c>
    </row>
    <row r="81" spans="1:40" x14ac:dyDescent="0.25">
      <c r="A81" t="str">
        <f>"20190303170943000"</f>
        <v>20190303170943000</v>
      </c>
      <c r="B81" t="str">
        <f>"1551604182990342"</f>
        <v>1551604182990342</v>
      </c>
      <c r="C81" t="s">
        <v>40</v>
      </c>
      <c r="D81">
        <v>5.0288370000000002</v>
      </c>
      <c r="E81">
        <v>0.47166619999999998</v>
      </c>
      <c r="F81" t="s">
        <v>42</v>
      </c>
      <c r="G81">
        <v>-367.66899999999998</v>
      </c>
      <c r="H81" s="1">
        <v>-1.154173E-6</v>
      </c>
      <c r="I81">
        <v>368.6474</v>
      </c>
      <c r="J81">
        <v>-465.5575</v>
      </c>
      <c r="K81">
        <v>1.1194649999999999</v>
      </c>
      <c r="L81">
        <v>367.392</v>
      </c>
      <c r="M81">
        <v>0.99939509999999998</v>
      </c>
      <c r="N81">
        <v>1.3832289999999999E-3</v>
      </c>
      <c r="O81">
        <v>3.4748460000000002E-2</v>
      </c>
      <c r="P81">
        <v>0.9738523</v>
      </c>
      <c r="Q81">
        <v>0.212316</v>
      </c>
      <c r="R81">
        <v>-8.0830639999999995E-2</v>
      </c>
      <c r="S81">
        <v>3.0928960000000001</v>
      </c>
      <c r="T81">
        <v>-3.5291669999999997E-2</v>
      </c>
      <c r="U81">
        <v>3.9825439999999997E-2</v>
      </c>
      <c r="V81">
        <v>0.1145992</v>
      </c>
      <c r="W81">
        <v>0.2109858</v>
      </c>
      <c r="X81">
        <v>0.97074819999999995</v>
      </c>
      <c r="Y81">
        <v>2.1873940000000001E-2</v>
      </c>
      <c r="Z81">
        <v>-5.5411769999999896E-4</v>
      </c>
      <c r="AA81">
        <v>0.9997606</v>
      </c>
      <c r="AB81">
        <v>23</v>
      </c>
      <c r="AC81">
        <v>97.888499999999894</v>
      </c>
      <c r="AD81">
        <v>-1.119466154173</v>
      </c>
      <c r="AE81">
        <v>1.2554000000000001</v>
      </c>
      <c r="AF81">
        <v>2.1465554505525302</v>
      </c>
      <c r="AG81">
        <v>-1.119466154173</v>
      </c>
      <c r="AH81">
        <v>97.860210727865393</v>
      </c>
      <c r="AI81">
        <v>90.655245529235401</v>
      </c>
      <c r="AJ81">
        <v>88.743423423498896</v>
      </c>
      <c r="AK81">
        <v>97.890151437592806</v>
      </c>
      <c r="AL81">
        <v>77.819871432667298</v>
      </c>
      <c r="AM81">
        <v>83.267254357219002</v>
      </c>
      <c r="AN81">
        <v>1.00000002612275</v>
      </c>
    </row>
    <row r="82" spans="1:40" x14ac:dyDescent="0.25">
      <c r="A82" t="str">
        <f>"20190303170943022"</f>
        <v>20190303170943022</v>
      </c>
      <c r="B82" t="str">
        <f>"1551604183010838"</f>
        <v>1551604183010838</v>
      </c>
      <c r="C82" t="s">
        <v>40</v>
      </c>
      <c r="D82">
        <v>5.0870199999999999</v>
      </c>
      <c r="E82">
        <v>0.4714663</v>
      </c>
      <c r="F82" t="s">
        <v>42</v>
      </c>
      <c r="G82">
        <v>-385.9425</v>
      </c>
      <c r="H82" s="1">
        <v>-1.9320919999999999E-6</v>
      </c>
      <c r="I82">
        <v>368.43740000000003</v>
      </c>
      <c r="J82">
        <v>-465.32299999999998</v>
      </c>
      <c r="K82">
        <v>1.1194139999999999</v>
      </c>
      <c r="L82">
        <v>367.40030000000002</v>
      </c>
      <c r="M82">
        <v>0.99939350000000005</v>
      </c>
      <c r="N82">
        <v>1.3208149999999999E-3</v>
      </c>
      <c r="O82">
        <v>3.4802079999999999E-2</v>
      </c>
      <c r="P82">
        <v>0.97469879999999998</v>
      </c>
      <c r="Q82">
        <v>0.20946090000000001</v>
      </c>
      <c r="R82">
        <v>-7.8031299999999998E-2</v>
      </c>
      <c r="S82">
        <v>3.0934750000000002</v>
      </c>
      <c r="T82">
        <v>-4.3497319999999999E-2</v>
      </c>
      <c r="U82">
        <v>4.0618899999999999E-2</v>
      </c>
      <c r="V82">
        <v>0.11189739999999999</v>
      </c>
      <c r="W82">
        <v>0.20818229999999999</v>
      </c>
      <c r="X82">
        <v>0.97166819999999998</v>
      </c>
      <c r="Y82">
        <v>2.1671639999999999E-2</v>
      </c>
      <c r="Z82">
        <v>-6.7321149999999903E-4</v>
      </c>
      <c r="AA82">
        <v>0.99976489999999996</v>
      </c>
      <c r="AB82">
        <v>23</v>
      </c>
      <c r="AC82">
        <v>79.380499999999998</v>
      </c>
      <c r="AD82">
        <v>-1.1194159320920001</v>
      </c>
      <c r="AE82">
        <v>1.0370999999999999</v>
      </c>
      <c r="AF82">
        <v>1.7257936228135</v>
      </c>
      <c r="AG82">
        <v>-1.1194159320920001</v>
      </c>
      <c r="AH82">
        <v>79.352728725803303</v>
      </c>
      <c r="AI82">
        <v>90.808017512240994</v>
      </c>
      <c r="AJ82">
        <v>88.754105788471406</v>
      </c>
      <c r="AK82">
        <v>79.379386567851995</v>
      </c>
      <c r="AL82">
        <v>77.984148317256199</v>
      </c>
      <c r="AM82">
        <v>83.430750851870997</v>
      </c>
      <c r="AN82">
        <v>0.99999999452564503</v>
      </c>
    </row>
    <row r="83" spans="1:40" x14ac:dyDescent="0.25">
      <c r="A83" t="str">
        <f>"20190303170943044"</f>
        <v>20190303170943044</v>
      </c>
      <c r="B83" t="str">
        <f>"1551604183041095"</f>
        <v>1551604183041095</v>
      </c>
      <c r="C83" t="s">
        <v>40</v>
      </c>
      <c r="D83">
        <v>5.0885550000000004</v>
      </c>
      <c r="E83">
        <v>0.47123939999999997</v>
      </c>
      <c r="F83" t="s">
        <v>41</v>
      </c>
      <c r="G83">
        <v>-399.34109999999998</v>
      </c>
      <c r="H83">
        <v>-0.05</v>
      </c>
      <c r="I83">
        <v>368.47550000000001</v>
      </c>
      <c r="J83">
        <v>-465.07900000000001</v>
      </c>
      <c r="K83">
        <v>1.1193770000000001</v>
      </c>
      <c r="L83">
        <v>367.40879999999999</v>
      </c>
      <c r="M83">
        <v>0.99939310000000003</v>
      </c>
      <c r="N83">
        <v>1.2558630000000001E-3</v>
      </c>
      <c r="O83">
        <v>3.4809920000000001E-2</v>
      </c>
      <c r="P83">
        <v>0.97570679999999999</v>
      </c>
      <c r="Q83">
        <v>0.20585629999999999</v>
      </c>
      <c r="R83">
        <v>-7.4961810000000004E-2</v>
      </c>
      <c r="S83">
        <v>3.0937190000000001</v>
      </c>
      <c r="T83">
        <v>-5.4830789999999997E-2</v>
      </c>
      <c r="U83">
        <v>5.0415040000000001E-2</v>
      </c>
      <c r="V83">
        <v>0.1088885</v>
      </c>
      <c r="W83">
        <v>0.2046307</v>
      </c>
      <c r="X83">
        <v>0.97276390000000001</v>
      </c>
      <c r="Y83">
        <v>1.851247E-2</v>
      </c>
      <c r="Z83">
        <v>-8.1283910000000002E-4</v>
      </c>
      <c r="AA83">
        <v>0.9998283</v>
      </c>
      <c r="AB83">
        <v>23</v>
      </c>
      <c r="AC83">
        <v>65.737899999999996</v>
      </c>
      <c r="AD83">
        <v>-1.1693770000000001</v>
      </c>
      <c r="AE83">
        <v>1.06670000000002</v>
      </c>
      <c r="AF83">
        <v>1.22189291822055</v>
      </c>
      <c r="AG83">
        <v>-1.1693770000000001</v>
      </c>
      <c r="AH83">
        <v>65.7144027977901</v>
      </c>
      <c r="AI83">
        <v>91.019285235161405</v>
      </c>
      <c r="AJ83">
        <v>88.934765627205607</v>
      </c>
      <c r="AK83">
        <v>65.736163562699105</v>
      </c>
      <c r="AL83">
        <v>78.192118765959293</v>
      </c>
      <c r="AM83">
        <v>83.613056402208997</v>
      </c>
      <c r="AN83">
        <v>1.00000001697897</v>
      </c>
    </row>
    <row r="84" spans="1:40" x14ac:dyDescent="0.25">
      <c r="A84" t="str">
        <f>"20190303170943068"</f>
        <v>20190303170943068</v>
      </c>
      <c r="B84" t="str">
        <f>"1551604183060615"</f>
        <v>1551604183060615</v>
      </c>
      <c r="C84" t="s">
        <v>40</v>
      </c>
      <c r="D84">
        <v>5.1002519999999896</v>
      </c>
      <c r="E84">
        <v>0.471055</v>
      </c>
      <c r="F84" t="s">
        <v>41</v>
      </c>
      <c r="G84">
        <v>-412.8639</v>
      </c>
      <c r="H84">
        <v>-0.05</v>
      </c>
      <c r="I84">
        <v>368.44600000000003</v>
      </c>
      <c r="J84">
        <v>-464.83199999999999</v>
      </c>
      <c r="K84">
        <v>1.1193379999999999</v>
      </c>
      <c r="L84">
        <v>367.41739999999999</v>
      </c>
      <c r="M84">
        <v>0.99939489999999997</v>
      </c>
      <c r="N84">
        <v>1.189734E-3</v>
      </c>
      <c r="O84">
        <v>3.4763990000000002E-2</v>
      </c>
      <c r="P84">
        <v>0.97651909999999997</v>
      </c>
      <c r="Q84">
        <v>0.20335110000000001</v>
      </c>
      <c r="R84">
        <v>-7.1125190000000005E-2</v>
      </c>
      <c r="S84">
        <v>3.0940249999999998</v>
      </c>
      <c r="T84">
        <v>-6.9291829999999999E-2</v>
      </c>
      <c r="U84">
        <v>6.14624E-2</v>
      </c>
      <c r="V84">
        <v>0.10505440000000001</v>
      </c>
      <c r="W84">
        <v>0.20217969999999999</v>
      </c>
      <c r="X84">
        <v>0.97369749999999999</v>
      </c>
      <c r="Y84">
        <v>1.489502E-2</v>
      </c>
      <c r="Z84">
        <v>-9.774435000000001E-4</v>
      </c>
      <c r="AA84">
        <v>0.99988860000000002</v>
      </c>
      <c r="AB84">
        <v>24</v>
      </c>
      <c r="AC84">
        <v>51.9680999999999</v>
      </c>
      <c r="AD84">
        <v>-1.169338</v>
      </c>
      <c r="AE84">
        <v>1.02859999999998</v>
      </c>
      <c r="AF84">
        <v>0.778247549159929</v>
      </c>
      <c r="AG84">
        <v>-1.169338</v>
      </c>
      <c r="AH84">
        <v>51.9461561451403</v>
      </c>
      <c r="AI84">
        <v>91.289398679637003</v>
      </c>
      <c r="AJ84">
        <v>89.141669613810393</v>
      </c>
      <c r="AK84">
        <v>51.965143691337097</v>
      </c>
      <c r="AL84">
        <v>78.335548311938496</v>
      </c>
      <c r="AM84">
        <v>83.842050888529897</v>
      </c>
      <c r="AN84">
        <v>0.99999993977884805</v>
      </c>
    </row>
    <row r="85" spans="1:40" x14ac:dyDescent="0.25">
      <c r="A85" t="str">
        <f>"20190303170943090"</f>
        <v>20190303170943090</v>
      </c>
      <c r="B85" t="str">
        <f>"1551604183081110"</f>
        <v>1551604183081110</v>
      </c>
      <c r="C85" t="s">
        <v>40</v>
      </c>
      <c r="D85">
        <v>5.1138349999999999</v>
      </c>
      <c r="E85">
        <v>0.47097909999999998</v>
      </c>
      <c r="F85" t="s">
        <v>41</v>
      </c>
      <c r="G85">
        <v>-419.0641</v>
      </c>
      <c r="H85">
        <v>-0.05</v>
      </c>
      <c r="I85">
        <v>368.50540000000001</v>
      </c>
      <c r="J85">
        <v>-464.59030000000001</v>
      </c>
      <c r="K85">
        <v>1.1193070000000001</v>
      </c>
      <c r="L85">
        <v>367.42579999999998</v>
      </c>
      <c r="M85">
        <v>0.99939840000000002</v>
      </c>
      <c r="N85">
        <v>1.124973E-3</v>
      </c>
      <c r="O85">
        <v>3.4666969999999998E-2</v>
      </c>
      <c r="P85">
        <v>0.97694000000000003</v>
      </c>
      <c r="Q85">
        <v>0.2024611</v>
      </c>
      <c r="R85">
        <v>-6.7809690000000006E-2</v>
      </c>
      <c r="S85">
        <v>3.0939939999999999</v>
      </c>
      <c r="T85">
        <v>-7.9049469999999997E-2</v>
      </c>
      <c r="U85">
        <v>7.3547360000000006E-2</v>
      </c>
      <c r="V85">
        <v>0.10167760000000001</v>
      </c>
      <c r="W85">
        <v>0.20134469999999999</v>
      </c>
      <c r="X85">
        <v>0.97422889999999995</v>
      </c>
      <c r="Y85">
        <v>1.089147E-2</v>
      </c>
      <c r="Z85">
        <v>-1.057185E-3</v>
      </c>
      <c r="AA85">
        <v>0.99994019999999995</v>
      </c>
      <c r="AB85">
        <v>24</v>
      </c>
      <c r="AC85">
        <v>45.526200000000003</v>
      </c>
      <c r="AD85">
        <v>-1.1693069999999901</v>
      </c>
      <c r="AE85">
        <v>1.0796000000000201</v>
      </c>
      <c r="AF85">
        <v>0.49897617608564898</v>
      </c>
      <c r="AG85">
        <v>-1.1693069999999901</v>
      </c>
      <c r="AH85">
        <v>45.5062587966165</v>
      </c>
      <c r="AI85">
        <v>91.471832538156306</v>
      </c>
      <c r="AJ85">
        <v>89.371776893266301</v>
      </c>
      <c r="AK85">
        <v>45.524013945929497</v>
      </c>
      <c r="AL85">
        <v>78.384395389234001</v>
      </c>
      <c r="AM85">
        <v>84.041767452517107</v>
      </c>
      <c r="AN85">
        <v>0.99999998607752905</v>
      </c>
    </row>
    <row r="86" spans="1:40" x14ac:dyDescent="0.25">
      <c r="A86" t="str">
        <f>"20190303170943118"</f>
        <v>20190303170943118</v>
      </c>
      <c r="B86" t="str">
        <f>"1551604183110390"</f>
        <v>1551604183110390</v>
      </c>
      <c r="C86" t="s">
        <v>40</v>
      </c>
      <c r="D86">
        <v>5.1003379999999998</v>
      </c>
      <c r="E86">
        <v>0.47087790000000002</v>
      </c>
      <c r="F86" t="s">
        <v>41</v>
      </c>
      <c r="G86">
        <v>-421.58179999999999</v>
      </c>
      <c r="H86">
        <v>-0.05</v>
      </c>
      <c r="I86">
        <v>368.572</v>
      </c>
      <c r="J86">
        <v>-464.298</v>
      </c>
      <c r="K86">
        <v>1.119273</v>
      </c>
      <c r="L86">
        <v>367.43579999999997</v>
      </c>
      <c r="M86">
        <v>0.99940450000000003</v>
      </c>
      <c r="N86">
        <v>1.0464199999999999E-3</v>
      </c>
      <c r="O86">
        <v>3.4493299999999998E-2</v>
      </c>
      <c r="P86">
        <v>0.97683759999999997</v>
      </c>
      <c r="Q86">
        <v>0.20384620000000001</v>
      </c>
      <c r="R86">
        <v>-6.5079639999999994E-2</v>
      </c>
      <c r="S86">
        <v>3.0939329999999998</v>
      </c>
      <c r="T86">
        <v>-8.4117170000000005E-2</v>
      </c>
      <c r="U86">
        <v>8.2458500000000004E-2</v>
      </c>
      <c r="V86">
        <v>9.8796170000000003E-2</v>
      </c>
      <c r="W86">
        <v>0.20279700000000001</v>
      </c>
      <c r="X86">
        <v>0.97422419999999998</v>
      </c>
      <c r="Y86">
        <v>7.8381979999999993E-3</v>
      </c>
      <c r="Z86">
        <v>-1.075711E-3</v>
      </c>
      <c r="AA86">
        <v>0.99996870000000004</v>
      </c>
      <c r="AB86">
        <v>24</v>
      </c>
      <c r="AC86">
        <v>42.716200000000001</v>
      </c>
      <c r="AD86">
        <v>-1.169273</v>
      </c>
      <c r="AE86">
        <v>1.1361999999999699</v>
      </c>
      <c r="AF86">
        <v>0.33764663900431402</v>
      </c>
      <c r="AG86">
        <v>-1.169273</v>
      </c>
      <c r="AH86">
        <v>42.698001791151</v>
      </c>
      <c r="AI86">
        <v>91.568588056114805</v>
      </c>
      <c r="AJ86">
        <v>89.546926710007895</v>
      </c>
      <c r="AK86">
        <v>42.715343397408098</v>
      </c>
      <c r="AL86">
        <v>78.299432749429997</v>
      </c>
      <c r="AM86">
        <v>84.209425437146194</v>
      </c>
      <c r="AN86">
        <v>1.00000004914065</v>
      </c>
    </row>
    <row r="87" spans="1:40" x14ac:dyDescent="0.25">
      <c r="A87" t="str">
        <f>"20190303170943158"</f>
        <v>20190303170943158</v>
      </c>
      <c r="B87" t="str">
        <f>"1551604183150405"</f>
        <v>1551604183150405</v>
      </c>
      <c r="C87" t="s">
        <v>40</v>
      </c>
      <c r="D87">
        <v>5.1336430000000002</v>
      </c>
      <c r="E87">
        <v>0.4708986</v>
      </c>
      <c r="F87" t="s">
        <v>41</v>
      </c>
      <c r="G87">
        <v>-419.28199999999998</v>
      </c>
      <c r="H87">
        <v>-0.05</v>
      </c>
      <c r="I87">
        <v>368.77670000000001</v>
      </c>
      <c r="J87">
        <v>-463.84309999999999</v>
      </c>
      <c r="K87">
        <v>1.119273</v>
      </c>
      <c r="L87">
        <v>367.4511</v>
      </c>
      <c r="M87">
        <v>0.99941690000000005</v>
      </c>
      <c r="N87">
        <v>9.2327550000000005E-4</v>
      </c>
      <c r="O87">
        <v>3.4129729999999997E-2</v>
      </c>
      <c r="P87">
        <v>0.97635260000000001</v>
      </c>
      <c r="Q87">
        <v>0.207067</v>
      </c>
      <c r="R87">
        <v>-6.2119489999999999E-2</v>
      </c>
      <c r="S87">
        <v>3.094055</v>
      </c>
      <c r="T87">
        <v>-8.0366850000000004E-2</v>
      </c>
      <c r="U87">
        <v>9.2163090000000003E-2</v>
      </c>
      <c r="V87">
        <v>9.5490019999999995E-2</v>
      </c>
      <c r="W87">
        <v>0.20612920000000001</v>
      </c>
      <c r="X87">
        <v>0.97385440000000001</v>
      </c>
      <c r="Y87">
        <v>4.344278E-3</v>
      </c>
      <c r="Z87">
        <v>-9.7181809999999998E-4</v>
      </c>
      <c r="AA87">
        <v>0.99999009999999999</v>
      </c>
      <c r="AB87">
        <v>25</v>
      </c>
      <c r="AC87">
        <v>44.561100000000003</v>
      </c>
      <c r="AD87">
        <v>-1.169273</v>
      </c>
      <c r="AE87">
        <v>1.3255999999999999</v>
      </c>
      <c r="AF87">
        <v>0.19589660843064499</v>
      </c>
      <c r="AG87">
        <v>-1.169273</v>
      </c>
      <c r="AH87">
        <v>44.549735053802102</v>
      </c>
      <c r="AI87">
        <v>91.503451892556001</v>
      </c>
      <c r="AJ87">
        <v>89.748057389587999</v>
      </c>
      <c r="AK87">
        <v>44.5655076061485</v>
      </c>
      <c r="AL87">
        <v>78.104390571957595</v>
      </c>
      <c r="AM87">
        <v>84.3998390937751</v>
      </c>
      <c r="AN87">
        <v>0.99999999170580001</v>
      </c>
    </row>
    <row r="88" spans="1:40" x14ac:dyDescent="0.25">
      <c r="A88" t="str">
        <f>"20190303170943177"</f>
        <v>20190303170943177</v>
      </c>
      <c r="B88" t="str">
        <f>"1551604183170902"</f>
        <v>1551604183170902</v>
      </c>
      <c r="C88" t="s">
        <v>40</v>
      </c>
      <c r="D88">
        <v>5.1193679999999997</v>
      </c>
      <c r="E88">
        <v>0.47094200000000003</v>
      </c>
      <c r="F88" t="s">
        <v>41</v>
      </c>
      <c r="G88">
        <v>-413.7552</v>
      </c>
      <c r="H88">
        <v>-0.05</v>
      </c>
      <c r="I88">
        <v>369.08769999999998</v>
      </c>
      <c r="J88">
        <v>-463.61939999999998</v>
      </c>
      <c r="K88">
        <v>1.119273</v>
      </c>
      <c r="L88">
        <v>367.45859999999999</v>
      </c>
      <c r="M88">
        <v>0.99942399999999998</v>
      </c>
      <c r="N88">
        <v>8.6265409999999995E-4</v>
      </c>
      <c r="O88">
        <v>3.3929239999999999E-2</v>
      </c>
      <c r="P88">
        <v>0.97627560000000002</v>
      </c>
      <c r="Q88">
        <v>0.20795440000000001</v>
      </c>
      <c r="R88">
        <v>-6.0341400000000003E-2</v>
      </c>
      <c r="S88">
        <v>3.0944210000000001</v>
      </c>
      <c r="T88">
        <v>-7.2237369999999995E-2</v>
      </c>
      <c r="U88">
        <v>0.10110470000000001</v>
      </c>
      <c r="V88">
        <v>9.3521809999999997E-2</v>
      </c>
      <c r="W88">
        <v>0.2070736</v>
      </c>
      <c r="X88">
        <v>0.97384510000000002</v>
      </c>
      <c r="Y88">
        <v>1.2639000000000001E-3</v>
      </c>
      <c r="Z88">
        <v>-8.3498139999999997E-4</v>
      </c>
      <c r="AA88">
        <v>0.99999890000000002</v>
      </c>
      <c r="AB88">
        <v>25</v>
      </c>
      <c r="AC88">
        <v>49.864199999999897</v>
      </c>
      <c r="AD88">
        <v>-1.169273</v>
      </c>
      <c r="AE88">
        <v>1.62909999999999</v>
      </c>
      <c r="AF88">
        <v>6.3657820202885199E-2</v>
      </c>
      <c r="AG88">
        <v>-1.169273</v>
      </c>
      <c r="AH88">
        <v>49.863375424217303</v>
      </c>
      <c r="AI88">
        <v>91.343312145831504</v>
      </c>
      <c r="AJ88">
        <v>89.926853679316594</v>
      </c>
      <c r="AK88">
        <v>49.8771236175768</v>
      </c>
      <c r="AL88">
        <v>78.049087884357903</v>
      </c>
      <c r="AM88">
        <v>84.514504381742299</v>
      </c>
      <c r="AN88">
        <v>1.0000000417783199</v>
      </c>
    </row>
    <row r="89" spans="1:40" x14ac:dyDescent="0.25">
      <c r="A89" t="str">
        <f>"20190303170943221"</f>
        <v>20190303170943221</v>
      </c>
      <c r="B89" t="str">
        <f>"1551604183210918"</f>
        <v>1551604183210918</v>
      </c>
      <c r="C89" t="s">
        <v>40</v>
      </c>
      <c r="D89">
        <v>5.1698230000000001</v>
      </c>
      <c r="E89">
        <v>0.47100419999999998</v>
      </c>
      <c r="F89" t="s">
        <v>41</v>
      </c>
      <c r="G89">
        <v>-412.1728</v>
      </c>
      <c r="H89">
        <v>-0.05</v>
      </c>
      <c r="I89">
        <v>369.21260000000001</v>
      </c>
      <c r="J89">
        <v>-463.12299999999999</v>
      </c>
      <c r="K89">
        <v>1.1192869999999999</v>
      </c>
      <c r="L89">
        <v>367.47500000000002</v>
      </c>
      <c r="M89">
        <v>0.99943979999999999</v>
      </c>
      <c r="N89">
        <v>7.2711990000000001E-4</v>
      </c>
      <c r="O89">
        <v>3.346412E-2</v>
      </c>
      <c r="P89">
        <v>0.97568949999999999</v>
      </c>
      <c r="Q89">
        <v>0.2106268</v>
      </c>
      <c r="R89">
        <v>-6.0551819999999999E-2</v>
      </c>
      <c r="S89">
        <v>3.0943909999999999</v>
      </c>
      <c r="T89">
        <v>-7.0328950000000001E-2</v>
      </c>
      <c r="U89">
        <v>0.1054993</v>
      </c>
      <c r="V89">
        <v>9.3267240000000001E-2</v>
      </c>
      <c r="W89">
        <v>0.20987539999999999</v>
      </c>
      <c r="X89">
        <v>0.97326950000000001</v>
      </c>
      <c r="Y89">
        <v>-6.1917389999999997E-4</v>
      </c>
      <c r="Z89">
        <v>-7.7755559999999997E-4</v>
      </c>
      <c r="AA89">
        <v>0.99999950000000004</v>
      </c>
      <c r="AB89">
        <v>25</v>
      </c>
      <c r="AC89">
        <v>50.950200000000002</v>
      </c>
      <c r="AD89">
        <v>-1.169287</v>
      </c>
      <c r="AE89">
        <v>1.73759999999998</v>
      </c>
      <c r="AF89">
        <v>-3.1606366191212001E-2</v>
      </c>
      <c r="AG89">
        <v>-1.169287</v>
      </c>
      <c r="AH89">
        <v>50.953006063804601</v>
      </c>
      <c r="AI89">
        <v>91.3146121429223</v>
      </c>
      <c r="AJ89">
        <v>90.035540810957599</v>
      </c>
      <c r="AK89">
        <v>50.966430696968203</v>
      </c>
      <c r="AL89">
        <v>77.884949415602506</v>
      </c>
      <c r="AM89">
        <v>84.526129658539801</v>
      </c>
      <c r="AN89">
        <v>0.99999999060631295</v>
      </c>
    </row>
    <row r="90" spans="1:40" x14ac:dyDescent="0.25">
      <c r="A90" t="str">
        <f>"20190303170943243"</f>
        <v>20190303170943243</v>
      </c>
      <c r="B90" t="str">
        <f>"1551604183220678"</f>
        <v>1551604183220678</v>
      </c>
      <c r="C90" t="s">
        <v>40</v>
      </c>
      <c r="D90">
        <v>5.1643790000000003</v>
      </c>
      <c r="E90">
        <v>0.47106710000000002</v>
      </c>
      <c r="F90" t="s">
        <v>41</v>
      </c>
      <c r="G90">
        <v>-405.75130000000001</v>
      </c>
      <c r="H90">
        <v>-0.05</v>
      </c>
      <c r="I90">
        <v>369.4171</v>
      </c>
      <c r="J90">
        <v>-462.87200000000001</v>
      </c>
      <c r="K90">
        <v>1.1193029999999999</v>
      </c>
      <c r="L90">
        <v>367.48320000000001</v>
      </c>
      <c r="M90">
        <v>0.99944789999999994</v>
      </c>
      <c r="N90">
        <v>6.5758889999999995E-4</v>
      </c>
      <c r="O90">
        <v>3.3217959999999998E-2</v>
      </c>
      <c r="P90">
        <v>0.97513970000000005</v>
      </c>
      <c r="Q90">
        <v>0.21343409999999999</v>
      </c>
      <c r="R90">
        <v>-5.957105E-2</v>
      </c>
      <c r="S90">
        <v>3.0948790000000002</v>
      </c>
      <c r="T90">
        <v>-6.3076499999999994E-2</v>
      </c>
      <c r="U90">
        <v>0.10476679999999999</v>
      </c>
      <c r="V90">
        <v>9.2033080000000003E-2</v>
      </c>
      <c r="W90">
        <v>0.21274970000000001</v>
      </c>
      <c r="X90">
        <v>0.97276280000000004</v>
      </c>
      <c r="Y90">
        <v>-6.2188759999999999E-4</v>
      </c>
      <c r="Z90">
        <v>-6.9227130000000005E-4</v>
      </c>
      <c r="AA90">
        <v>0.99999959999999999</v>
      </c>
      <c r="AB90">
        <v>26</v>
      </c>
      <c r="AC90">
        <v>57.1206999999999</v>
      </c>
      <c r="AD90">
        <v>-1.169303</v>
      </c>
      <c r="AE90">
        <v>1.93389999999999</v>
      </c>
      <c r="AF90">
        <v>-3.5384363338067201E-2</v>
      </c>
      <c r="AG90">
        <v>-1.169303</v>
      </c>
      <c r="AH90">
        <v>57.1295043088707</v>
      </c>
      <c r="AI90">
        <v>91.172542310722903</v>
      </c>
      <c r="AJ90">
        <v>90.035487344854602</v>
      </c>
      <c r="AK90">
        <v>57.141480416036302</v>
      </c>
      <c r="AL90">
        <v>77.716459376242199</v>
      </c>
      <c r="AM90">
        <v>84.595334301135907</v>
      </c>
      <c r="AN90">
        <v>0.99999999386410798</v>
      </c>
    </row>
    <row r="91" spans="1:40" x14ac:dyDescent="0.25">
      <c r="A91" t="str">
        <f>"20190303170943267"</f>
        <v>20190303170943267</v>
      </c>
      <c r="B91" t="str">
        <f>"1551604183260694"</f>
        <v>1551604183260694</v>
      </c>
      <c r="C91" t="s">
        <v>40</v>
      </c>
      <c r="D91">
        <v>5.1667170000000002</v>
      </c>
      <c r="E91">
        <v>0.47116770000000002</v>
      </c>
      <c r="F91" t="s">
        <v>41</v>
      </c>
      <c r="G91">
        <v>-397.63409999999999</v>
      </c>
      <c r="H91">
        <v>-0.05</v>
      </c>
      <c r="I91">
        <v>369.71390000000002</v>
      </c>
      <c r="J91">
        <v>-462.59840000000003</v>
      </c>
      <c r="K91">
        <v>1.119308</v>
      </c>
      <c r="L91">
        <v>367.49200000000002</v>
      </c>
      <c r="M91">
        <v>0.9994575</v>
      </c>
      <c r="N91">
        <v>5.7902520000000001E-4</v>
      </c>
      <c r="O91">
        <v>3.293401E-2</v>
      </c>
      <c r="P91">
        <v>0.97475820000000002</v>
      </c>
      <c r="Q91">
        <v>0.21552560000000001</v>
      </c>
      <c r="R91">
        <v>-5.827504E-2</v>
      </c>
      <c r="S91">
        <v>3.095062</v>
      </c>
      <c r="T91">
        <v>-5.5474879999999997E-2</v>
      </c>
      <c r="U91">
        <v>0.105834999999999</v>
      </c>
      <c r="V91">
        <v>9.0454939999999998E-2</v>
      </c>
      <c r="W91">
        <v>0.21491660000000001</v>
      </c>
      <c r="X91">
        <v>0.97243449999999998</v>
      </c>
      <c r="Y91">
        <v>-1.246926E-3</v>
      </c>
      <c r="Z91">
        <v>-5.9817360000000001E-4</v>
      </c>
      <c r="AA91">
        <v>0.99999899999999997</v>
      </c>
      <c r="AB91">
        <v>26</v>
      </c>
      <c r="AC91">
        <v>64.964299999999994</v>
      </c>
      <c r="AD91">
        <v>-1.169308</v>
      </c>
      <c r="AE91">
        <v>2.2219000000000602</v>
      </c>
      <c r="AF91">
        <v>-8.1133461398013404E-2</v>
      </c>
      <c r="AG91">
        <v>-1.169308</v>
      </c>
      <c r="AH91">
        <v>64.981207251201695</v>
      </c>
      <c r="AI91">
        <v>91.030900073239096</v>
      </c>
      <c r="AJ91">
        <v>90.0715376444426</v>
      </c>
      <c r="AK91">
        <v>64.991777631182302</v>
      </c>
      <c r="AL91">
        <v>77.589366159358804</v>
      </c>
      <c r="AM91">
        <v>84.685692851321505</v>
      </c>
      <c r="AN91">
        <v>1.0000000489581</v>
      </c>
    </row>
    <row r="92" spans="1:40" x14ac:dyDescent="0.25">
      <c r="A92" t="str">
        <f>"20190303170943291"</f>
        <v>20190303170943291</v>
      </c>
      <c r="B92" t="str">
        <f>"1551604183280214"</f>
        <v>1551604183280214</v>
      </c>
      <c r="C92" t="s">
        <v>40</v>
      </c>
      <c r="D92">
        <v>5.1555669999999996</v>
      </c>
      <c r="E92">
        <v>0.47123229999999999</v>
      </c>
      <c r="F92" t="s">
        <v>42</v>
      </c>
      <c r="G92">
        <v>-395.08789999999999</v>
      </c>
      <c r="H92" s="1">
        <v>-2.1497080000000002E-6</v>
      </c>
      <c r="I92">
        <v>369.84210000000002</v>
      </c>
      <c r="J92">
        <v>-462.31099999999998</v>
      </c>
      <c r="K92">
        <v>1.119305</v>
      </c>
      <c r="L92">
        <v>367.50119999999998</v>
      </c>
      <c r="M92">
        <v>0.99946809999999997</v>
      </c>
      <c r="N92">
        <v>4.9174579999999998E-4</v>
      </c>
      <c r="O92">
        <v>3.2610180000000002E-2</v>
      </c>
      <c r="P92">
        <v>0.97448990000000002</v>
      </c>
      <c r="Q92">
        <v>0.21688060000000001</v>
      </c>
      <c r="R92">
        <v>-5.7727300000000002E-2</v>
      </c>
      <c r="S92">
        <v>3.0954899999999999</v>
      </c>
      <c r="T92">
        <v>-5.132246E-2</v>
      </c>
      <c r="U92">
        <v>0.1077576</v>
      </c>
      <c r="V92">
        <v>8.959317E-2</v>
      </c>
      <c r="W92">
        <v>0.21635399999999999</v>
      </c>
      <c r="X92">
        <v>0.97219540000000004</v>
      </c>
      <c r="Y92">
        <v>-2.185593E-3</v>
      </c>
      <c r="Z92">
        <v>-5.3877989999999995E-4</v>
      </c>
      <c r="AA92">
        <v>0.99999740000000004</v>
      </c>
      <c r="AB92">
        <v>26</v>
      </c>
      <c r="AC92">
        <v>67.223099999999903</v>
      </c>
      <c r="AD92">
        <v>-1.119307149708</v>
      </c>
      <c r="AE92">
        <v>2.3409000000000302</v>
      </c>
      <c r="AF92">
        <v>-0.147456659111907</v>
      </c>
      <c r="AG92">
        <v>-1.119307149708</v>
      </c>
      <c r="AH92">
        <v>67.245063657857202</v>
      </c>
      <c r="AI92">
        <v>90.953609026309906</v>
      </c>
      <c r="AJ92">
        <v>90.125639418374504</v>
      </c>
      <c r="AK92">
        <v>67.254540205929402</v>
      </c>
      <c r="AL92">
        <v>77.505023638458098</v>
      </c>
      <c r="AM92">
        <v>84.734749484624501</v>
      </c>
      <c r="AN92">
        <v>0.99999994260390201</v>
      </c>
    </row>
    <row r="93" spans="1:40" x14ac:dyDescent="0.25">
      <c r="A93" t="str">
        <f>"20190303170943334"</f>
        <v>20190303170943334</v>
      </c>
      <c r="B93" t="str">
        <f>"1551604183330966"</f>
        <v>1551604183330966</v>
      </c>
      <c r="C93" t="s">
        <v>40</v>
      </c>
      <c r="D93">
        <v>5.1397750000000002</v>
      </c>
      <c r="E93">
        <v>0.4756166</v>
      </c>
      <c r="F93" t="s">
        <v>42</v>
      </c>
      <c r="G93">
        <v>-390.3646</v>
      </c>
      <c r="H93" s="1">
        <v>-4.2244130000000003E-6</v>
      </c>
      <c r="I93">
        <v>370.0247</v>
      </c>
      <c r="J93">
        <v>-461.78989999999999</v>
      </c>
      <c r="K93">
        <v>1.119294</v>
      </c>
      <c r="L93">
        <v>367.51749999999998</v>
      </c>
      <c r="M93">
        <v>0.9994902</v>
      </c>
      <c r="N93">
        <v>3.1357379999999999E-4</v>
      </c>
      <c r="O93">
        <v>3.1928570000000003E-2</v>
      </c>
      <c r="P93">
        <v>0.97430450000000002</v>
      </c>
      <c r="Q93">
        <v>0.21818080000000001</v>
      </c>
      <c r="R93">
        <v>-5.5928390000000001E-2</v>
      </c>
      <c r="S93">
        <v>3.0956730000000001</v>
      </c>
      <c r="T93">
        <v>-4.8161030000000001E-2</v>
      </c>
      <c r="U93">
        <v>0.1085815</v>
      </c>
      <c r="V93">
        <v>8.7151560000000003E-2</v>
      </c>
      <c r="W93">
        <v>0.21781829999999999</v>
      </c>
      <c r="X93">
        <v>0.97209040000000002</v>
      </c>
      <c r="Y93">
        <v>-3.1305310000000002E-3</v>
      </c>
      <c r="Z93">
        <v>-4.8257349999999998E-4</v>
      </c>
      <c r="AA93">
        <v>0.99999499999999997</v>
      </c>
      <c r="AB93">
        <v>26</v>
      </c>
      <c r="AC93">
        <v>71.425299999999993</v>
      </c>
      <c r="AD93">
        <v>-1.1192982244130001</v>
      </c>
      <c r="AE93">
        <v>2.5072000000000099</v>
      </c>
      <c r="AF93">
        <v>-0.225358853267008</v>
      </c>
      <c r="AG93">
        <v>-1.1192982244130001</v>
      </c>
      <c r="AH93">
        <v>71.451410131968601</v>
      </c>
      <c r="AI93">
        <v>90.897470045190403</v>
      </c>
      <c r="AJ93">
        <v>90.180711176011101</v>
      </c>
      <c r="AK93">
        <v>71.460531938789103</v>
      </c>
      <c r="AL93">
        <v>77.419076195224605</v>
      </c>
      <c r="AM93">
        <v>84.876914709017399</v>
      </c>
      <c r="AN93">
        <v>0.99999997599874102</v>
      </c>
    </row>
    <row r="94" spans="1:40" x14ac:dyDescent="0.25">
      <c r="A94" t="str">
        <f>"20190303170943356"</f>
        <v>20190303170943356</v>
      </c>
      <c r="B94" t="str">
        <f>"1551604183350486"</f>
        <v>1551604183350486</v>
      </c>
      <c r="C94" t="s">
        <v>40</v>
      </c>
      <c r="D94">
        <v>5.1747500000000004</v>
      </c>
      <c r="E94">
        <v>0.475665</v>
      </c>
      <c r="F94" t="s">
        <v>41</v>
      </c>
      <c r="G94">
        <v>-419.52429999999998</v>
      </c>
      <c r="H94">
        <v>-0.05</v>
      </c>
      <c r="I94">
        <v>368.59660000000002</v>
      </c>
      <c r="J94">
        <v>-461.54050000000001</v>
      </c>
      <c r="K94">
        <v>1.119283</v>
      </c>
      <c r="L94">
        <v>367.52510000000001</v>
      </c>
      <c r="M94">
        <v>0.99950220000000001</v>
      </c>
      <c r="N94">
        <v>2.1659089999999999E-4</v>
      </c>
      <c r="O94">
        <v>3.155094E-2</v>
      </c>
      <c r="P94">
        <v>0.97399400000000003</v>
      </c>
      <c r="Q94">
        <v>0.21984010000000001</v>
      </c>
      <c r="R94">
        <v>-5.4831770000000002E-2</v>
      </c>
      <c r="S94">
        <v>3.1029659999999999</v>
      </c>
      <c r="T94">
        <v>-8.5844760000000006E-2</v>
      </c>
      <c r="U94">
        <v>7.9223630000000003E-2</v>
      </c>
      <c r="V94">
        <v>8.5694119999999999E-2</v>
      </c>
      <c r="W94">
        <v>0.2195674</v>
      </c>
      <c r="X94">
        <v>0.97182650000000004</v>
      </c>
      <c r="Y94">
        <v>6.0155809999999999E-3</v>
      </c>
      <c r="Z94">
        <v>-9.6172689999999997E-4</v>
      </c>
      <c r="AA94">
        <v>0.99998149999999997</v>
      </c>
      <c r="AB94">
        <v>27</v>
      </c>
      <c r="AC94">
        <v>42.016199999999998</v>
      </c>
      <c r="AD94">
        <v>-1.1692830000000001</v>
      </c>
      <c r="AE94">
        <v>1.0715000000000101</v>
      </c>
      <c r="AF94">
        <v>0.25448701899239601</v>
      </c>
      <c r="AG94">
        <v>-1.1692830000000001</v>
      </c>
      <c r="AH94">
        <v>41.9965848238731</v>
      </c>
      <c r="AI94">
        <v>91.594807026234903</v>
      </c>
      <c r="AJ94">
        <v>89.652808586171602</v>
      </c>
      <c r="AK94">
        <v>42.013630207894302</v>
      </c>
      <c r="AL94">
        <v>77.316374866512604</v>
      </c>
      <c r="AM94">
        <v>84.960782728867102</v>
      </c>
      <c r="AN94">
        <v>1.0000000357237899</v>
      </c>
    </row>
    <row r="95" spans="1:40" x14ac:dyDescent="0.25">
      <c r="A95" t="str">
        <f>"20190303170943378"</f>
        <v>20190303170943378</v>
      </c>
      <c r="B95" t="str">
        <f>"1551604183370982"</f>
        <v>1551604183370982</v>
      </c>
      <c r="C95" t="s">
        <v>40</v>
      </c>
      <c r="D95">
        <v>5.1483339999999904</v>
      </c>
      <c r="E95">
        <v>0.47572779999999998</v>
      </c>
      <c r="F95" t="s">
        <v>41</v>
      </c>
      <c r="G95">
        <v>-418.58269999999999</v>
      </c>
      <c r="H95">
        <v>-0.05</v>
      </c>
      <c r="I95">
        <v>368.63760000000002</v>
      </c>
      <c r="J95">
        <v>-461.27010000000001</v>
      </c>
      <c r="K95">
        <v>1.1192820000000001</v>
      </c>
      <c r="L95">
        <v>367.5333</v>
      </c>
      <c r="M95">
        <v>0.99951610000000002</v>
      </c>
      <c r="N95">
        <v>1.016348E-4</v>
      </c>
      <c r="O95">
        <v>3.1103200000000001E-2</v>
      </c>
      <c r="P95">
        <v>0.9734583</v>
      </c>
      <c r="Q95">
        <v>0.2225259</v>
      </c>
      <c r="R95">
        <v>-5.3491150000000001E-2</v>
      </c>
      <c r="S95">
        <v>3.1036679999999999</v>
      </c>
      <c r="T95">
        <v>-8.4479810000000002E-2</v>
      </c>
      <c r="U95">
        <v>8.0383300000000005E-2</v>
      </c>
      <c r="V95">
        <v>8.3921140000000005E-2</v>
      </c>
      <c r="W95">
        <v>0.22236</v>
      </c>
      <c r="X95">
        <v>0.97134609999999999</v>
      </c>
      <c r="Y95">
        <v>5.201018E-3</v>
      </c>
      <c r="Z95">
        <v>-9.19778E-4</v>
      </c>
      <c r="AA95">
        <v>0.99998609999999999</v>
      </c>
      <c r="AB95">
        <v>27</v>
      </c>
      <c r="AC95">
        <v>42.687399999999997</v>
      </c>
      <c r="AD95">
        <v>-1.1692819999999999</v>
      </c>
      <c r="AE95">
        <v>1.10430000000002</v>
      </c>
      <c r="AF95">
        <v>0.22378133554808299</v>
      </c>
      <c r="AG95">
        <v>-1.1692819999999999</v>
      </c>
      <c r="AH95">
        <v>42.669100655495797</v>
      </c>
      <c r="AI95">
        <v>91.569689530847896</v>
      </c>
      <c r="AJ95">
        <v>89.699510692530197</v>
      </c>
      <c r="AK95">
        <v>42.685705443748901</v>
      </c>
      <c r="AL95">
        <v>77.152314757909295</v>
      </c>
      <c r="AM95">
        <v>85.062093030988905</v>
      </c>
      <c r="AN95">
        <v>0.99999998666205403</v>
      </c>
    </row>
    <row r="96" spans="1:40" x14ac:dyDescent="0.25">
      <c r="A96" t="str">
        <f>"20190303170943401"</f>
        <v>20190303170943401</v>
      </c>
      <c r="B96" t="str">
        <f>"1551604183390502"</f>
        <v>1551604183390502</v>
      </c>
      <c r="C96" t="s">
        <v>40</v>
      </c>
      <c r="D96">
        <v>5.1219979999999996</v>
      </c>
      <c r="E96">
        <v>0.47581679999999998</v>
      </c>
      <c r="F96" t="s">
        <v>41</v>
      </c>
      <c r="G96">
        <v>-414.71839999999997</v>
      </c>
      <c r="H96">
        <v>-0.05</v>
      </c>
      <c r="I96">
        <v>368.77350000000001</v>
      </c>
      <c r="J96">
        <v>-460.99090000000001</v>
      </c>
      <c r="K96">
        <v>1.119275</v>
      </c>
      <c r="L96">
        <v>367.54140000000001</v>
      </c>
      <c r="M96">
        <v>0.99953139999999996</v>
      </c>
      <c r="N96" s="1">
        <v>-2.4187899999999999E-5</v>
      </c>
      <c r="O96">
        <v>3.0608400000000001E-2</v>
      </c>
      <c r="P96">
        <v>0.97318640000000001</v>
      </c>
      <c r="Q96">
        <v>0.22393389999999999</v>
      </c>
      <c r="R96">
        <v>-5.2550439999999997E-2</v>
      </c>
      <c r="S96">
        <v>3.1041259999999999</v>
      </c>
      <c r="T96">
        <v>-7.796931E-2</v>
      </c>
      <c r="U96">
        <v>8.2702639999999994E-2</v>
      </c>
      <c r="V96">
        <v>8.2508789999999999E-2</v>
      </c>
      <c r="W96">
        <v>0.22388549999999999</v>
      </c>
      <c r="X96">
        <v>0.97111670000000005</v>
      </c>
      <c r="Y96">
        <v>3.9657889999999999E-3</v>
      </c>
      <c r="Z96">
        <v>-8.1749199999999996E-4</v>
      </c>
      <c r="AA96">
        <v>0.99999179999999999</v>
      </c>
      <c r="AB96">
        <v>27</v>
      </c>
      <c r="AC96">
        <v>46.272500000000001</v>
      </c>
      <c r="AD96">
        <v>-1.1692750000000001</v>
      </c>
      <c r="AE96">
        <v>1.2321</v>
      </c>
      <c r="AF96">
        <v>0.184686714769139</v>
      </c>
      <c r="AG96">
        <v>-1.1692750000000001</v>
      </c>
      <c r="AH96">
        <v>46.259014520250901</v>
      </c>
      <c r="AI96">
        <v>91.447928091682897</v>
      </c>
      <c r="AJ96">
        <v>89.771250789160007</v>
      </c>
      <c r="AK96">
        <v>46.274158421229302</v>
      </c>
      <c r="AL96">
        <v>77.062650195453202</v>
      </c>
      <c r="AM96">
        <v>85.143653433574102</v>
      </c>
      <c r="AN96">
        <v>1.0000000312782</v>
      </c>
    </row>
    <row r="97" spans="1:40" x14ac:dyDescent="0.25">
      <c r="A97" t="str">
        <f>"20190303170943423"</f>
        <v>20190303170943423</v>
      </c>
      <c r="B97" t="str">
        <f>"1551604183410998"</f>
        <v>1551604183410998</v>
      </c>
      <c r="C97" t="s">
        <v>40</v>
      </c>
      <c r="D97">
        <v>5.1086029999999996</v>
      </c>
      <c r="E97">
        <v>0.47588900000000001</v>
      </c>
      <c r="F97" t="s">
        <v>41</v>
      </c>
      <c r="G97">
        <v>-412.82010000000002</v>
      </c>
      <c r="H97">
        <v>-0.05</v>
      </c>
      <c r="I97">
        <v>368.84410000000003</v>
      </c>
      <c r="J97">
        <v>-460.709</v>
      </c>
      <c r="K97">
        <v>1.1192709999999999</v>
      </c>
      <c r="L97">
        <v>367.5496</v>
      </c>
      <c r="M97">
        <v>0.99954739999999997</v>
      </c>
      <c r="N97">
        <v>-1.551763E-4</v>
      </c>
      <c r="O97">
        <v>3.0086229999999999E-2</v>
      </c>
      <c r="P97">
        <v>0.97313669999999997</v>
      </c>
      <c r="Q97">
        <v>0.22431229999999999</v>
      </c>
      <c r="R97">
        <v>-5.1854490000000003E-2</v>
      </c>
      <c r="S97">
        <v>3.1045229999999999</v>
      </c>
      <c r="T97">
        <v>-7.5357679999999996E-2</v>
      </c>
      <c r="U97">
        <v>8.3953860000000005E-2</v>
      </c>
      <c r="V97">
        <v>8.1317159999999999E-2</v>
      </c>
      <c r="W97">
        <v>0.2243879</v>
      </c>
      <c r="X97">
        <v>0.9711012</v>
      </c>
      <c r="Y97">
        <v>3.0452750000000001E-3</v>
      </c>
      <c r="Z97">
        <v>-7.6241649999999998E-4</v>
      </c>
      <c r="AA97">
        <v>0.99999510000000003</v>
      </c>
      <c r="AB97">
        <v>27</v>
      </c>
      <c r="AC97">
        <v>47.8888999999999</v>
      </c>
      <c r="AD97">
        <v>-1.1692709999999999</v>
      </c>
      <c r="AE97">
        <v>1.29450000000002</v>
      </c>
      <c r="AF97">
        <v>0.14679488798179599</v>
      </c>
      <c r="AG97">
        <v>-1.1692709999999999</v>
      </c>
      <c r="AH97">
        <v>47.8776458991167</v>
      </c>
      <c r="AI97">
        <v>91.398996607116501</v>
      </c>
      <c r="AJ97">
        <v>89.824329266355605</v>
      </c>
      <c r="AK97">
        <v>47.892146749250898</v>
      </c>
      <c r="AL97">
        <v>77.033112573483905</v>
      </c>
      <c r="AM97">
        <v>85.213386741642907</v>
      </c>
      <c r="AN97">
        <v>0.99999997540915697</v>
      </c>
    </row>
    <row r="98" spans="1:40" x14ac:dyDescent="0.25">
      <c r="A98" t="str">
        <f>"20190303170943445"</f>
        <v>20190303170943445</v>
      </c>
      <c r="B98" t="str">
        <f>"1551604183440278"</f>
        <v>1551604183440278</v>
      </c>
      <c r="C98" t="s">
        <v>40</v>
      </c>
      <c r="D98">
        <v>5.0961650000000001</v>
      </c>
      <c r="E98">
        <v>0.47602640000000002</v>
      </c>
      <c r="F98" t="s">
        <v>41</v>
      </c>
      <c r="G98">
        <v>-412.3879</v>
      </c>
      <c r="H98">
        <v>-0.05</v>
      </c>
      <c r="I98">
        <v>368.8809</v>
      </c>
      <c r="J98">
        <v>-460.44260000000003</v>
      </c>
      <c r="K98">
        <v>1.1192679999999999</v>
      </c>
      <c r="L98">
        <v>367.55709999999999</v>
      </c>
      <c r="M98">
        <v>0.99956239999999996</v>
      </c>
      <c r="N98">
        <v>-2.8155960000000001E-4</v>
      </c>
      <c r="O98">
        <v>2.9579319999999999E-2</v>
      </c>
      <c r="P98">
        <v>0.97320450000000003</v>
      </c>
      <c r="Q98">
        <v>0.22411410000000001</v>
      </c>
      <c r="R98">
        <v>-5.1441349999999997E-2</v>
      </c>
      <c r="S98">
        <v>3.1046450000000001</v>
      </c>
      <c r="T98">
        <v>-7.5125929999999994E-2</v>
      </c>
      <c r="U98">
        <v>8.5540770000000002E-2</v>
      </c>
      <c r="V98">
        <v>8.0421960000000001E-2</v>
      </c>
      <c r="W98">
        <v>0.22431029999999999</v>
      </c>
      <c r="X98">
        <v>0.97119370000000005</v>
      </c>
      <c r="Y98">
        <v>2.0290350000000002E-3</v>
      </c>
      <c r="Z98">
        <v>-7.3186559999999896E-4</v>
      </c>
      <c r="AA98">
        <v>0.99999769999999999</v>
      </c>
      <c r="AB98">
        <v>27</v>
      </c>
      <c r="AC98">
        <v>48.054699999999997</v>
      </c>
      <c r="AD98">
        <v>-1.169268</v>
      </c>
      <c r="AE98">
        <v>1.3238000000000001</v>
      </c>
      <c r="AF98">
        <v>9.8146583881187396E-2</v>
      </c>
      <c r="AG98">
        <v>-1.169268</v>
      </c>
      <c r="AH98">
        <v>48.044407114997398</v>
      </c>
      <c r="AI98">
        <v>91.394142703396199</v>
      </c>
      <c r="AJ98">
        <v>89.882954592526104</v>
      </c>
      <c r="AK98">
        <v>48.058733602118203</v>
      </c>
      <c r="AL98">
        <v>77.037675387317606</v>
      </c>
      <c r="AM98">
        <v>85.266289370323605</v>
      </c>
      <c r="AN98">
        <v>1.00000000262801</v>
      </c>
    </row>
    <row r="99" spans="1:40" x14ac:dyDescent="0.25">
      <c r="A99" t="str">
        <f>"20190303170943467"</f>
        <v>20190303170943467</v>
      </c>
      <c r="B99" t="str">
        <f>"1551604183460774"</f>
        <v>1551604183460774</v>
      </c>
      <c r="C99" t="s">
        <v>40</v>
      </c>
      <c r="D99">
        <v>5.0910409999999997</v>
      </c>
      <c r="E99">
        <v>0.47613709999999998</v>
      </c>
      <c r="F99" t="s">
        <v>41</v>
      </c>
      <c r="G99">
        <v>-414.54849999999999</v>
      </c>
      <c r="H99">
        <v>-0.05</v>
      </c>
      <c r="I99">
        <v>368.82220000000001</v>
      </c>
      <c r="J99">
        <v>-460.1728</v>
      </c>
      <c r="K99">
        <v>1.119275</v>
      </c>
      <c r="L99">
        <v>367.56459999999998</v>
      </c>
      <c r="M99">
        <v>0.99957779999999996</v>
      </c>
      <c r="N99">
        <v>-4.1118159999999998E-4</v>
      </c>
      <c r="O99">
        <v>2.9058509999999999E-2</v>
      </c>
      <c r="P99">
        <v>0.97317989999999999</v>
      </c>
      <c r="Q99">
        <v>0.22430649999999999</v>
      </c>
      <c r="R99">
        <v>-5.1067519999999998E-2</v>
      </c>
      <c r="S99">
        <v>3.1053470000000001</v>
      </c>
      <c r="T99">
        <v>-7.911646E-2</v>
      </c>
      <c r="U99">
        <v>8.560181E-2</v>
      </c>
      <c r="V99">
        <v>7.9547909999999999E-2</v>
      </c>
      <c r="W99">
        <v>0.2246272</v>
      </c>
      <c r="X99">
        <v>0.97119239999999996</v>
      </c>
      <c r="Y99">
        <v>1.494024E-3</v>
      </c>
      <c r="Z99">
        <v>-7.4731119999999905E-4</v>
      </c>
      <c r="AA99">
        <v>0.99999859999999896</v>
      </c>
      <c r="AB99">
        <v>28</v>
      </c>
      <c r="AC99">
        <v>45.624299999999998</v>
      </c>
      <c r="AD99">
        <v>-1.1692750000000001</v>
      </c>
      <c r="AE99">
        <v>1.25760000000002</v>
      </c>
      <c r="AF99">
        <v>6.8660067992428506E-2</v>
      </c>
      <c r="AG99">
        <v>-1.1692750000000001</v>
      </c>
      <c r="AH99">
        <v>45.611641886492997</v>
      </c>
      <c r="AI99">
        <v>91.468479844427506</v>
      </c>
      <c r="AJ99">
        <v>89.913751643595006</v>
      </c>
      <c r="AK99">
        <v>45.626678531449599</v>
      </c>
      <c r="AL99">
        <v>77.019042358856197</v>
      </c>
      <c r="AM99">
        <v>85.317500499531405</v>
      </c>
      <c r="AN99">
        <v>0.999999963391483</v>
      </c>
    </row>
    <row r="100" spans="1:40" x14ac:dyDescent="0.25">
      <c r="A100" t="str">
        <f>"20190303170943492"</f>
        <v>20190303170943492</v>
      </c>
      <c r="B100" t="str">
        <f>"1551604183480294"</f>
        <v>1551604183480294</v>
      </c>
      <c r="C100" t="s">
        <v>40</v>
      </c>
      <c r="D100">
        <v>5.0957150000000002</v>
      </c>
      <c r="E100">
        <v>0.47640270000000001</v>
      </c>
      <c r="F100" t="s">
        <v>41</v>
      </c>
      <c r="G100">
        <v>-415.53289999999998</v>
      </c>
      <c r="H100">
        <v>-0.05</v>
      </c>
      <c r="I100">
        <v>368.78390000000002</v>
      </c>
      <c r="J100">
        <v>-459.8707</v>
      </c>
      <c r="K100">
        <v>1.119286</v>
      </c>
      <c r="L100">
        <v>367.57279999999997</v>
      </c>
      <c r="M100">
        <v>0.99959439999999999</v>
      </c>
      <c r="N100">
        <v>-5.5767459999999996E-4</v>
      </c>
      <c r="O100">
        <v>2.8472049999999999E-2</v>
      </c>
      <c r="P100">
        <v>0.97281399999999996</v>
      </c>
      <c r="Q100">
        <v>0.2259476</v>
      </c>
      <c r="R100">
        <v>-5.0803479999999998E-2</v>
      </c>
      <c r="S100">
        <v>3.1058650000000001</v>
      </c>
      <c r="T100">
        <v>-8.1353549999999997E-2</v>
      </c>
      <c r="U100">
        <v>8.4838869999999997E-2</v>
      </c>
      <c r="V100">
        <v>7.8709929999999997E-2</v>
      </c>
      <c r="W100">
        <v>0.22640969999999999</v>
      </c>
      <c r="X100">
        <v>0.97084669999999895</v>
      </c>
      <c r="Y100">
        <v>1.1572520000000001E-3</v>
      </c>
      <c r="Z100">
        <v>-7.4496640000000004E-4</v>
      </c>
      <c r="AA100">
        <v>0.99999899999999997</v>
      </c>
      <c r="AB100">
        <v>28</v>
      </c>
      <c r="AC100">
        <v>44.337800000000001</v>
      </c>
      <c r="AD100">
        <v>-1.169286</v>
      </c>
      <c r="AE100">
        <v>1.21110000000004</v>
      </c>
      <c r="AF100">
        <v>5.1743330101761797E-2</v>
      </c>
      <c r="AG100">
        <v>-1.169286</v>
      </c>
      <c r="AH100">
        <v>44.323503732346403</v>
      </c>
      <c r="AI100">
        <v>91.511152469456803</v>
      </c>
      <c r="AJ100">
        <v>89.933112844510006</v>
      </c>
      <c r="AK100">
        <v>44.338954546012197</v>
      </c>
      <c r="AL100">
        <v>76.914212023881802</v>
      </c>
      <c r="AM100">
        <v>85.3649686827398</v>
      </c>
      <c r="AN100">
        <v>0.99999996011779102</v>
      </c>
    </row>
    <row r="101" spans="1:40" x14ac:dyDescent="0.25">
      <c r="A101" t="str">
        <f>"20190303170943513"</f>
        <v>20190303170943513</v>
      </c>
      <c r="B101" t="str">
        <f>"1551604183500790"</f>
        <v>1551604183500790</v>
      </c>
      <c r="C101" t="s">
        <v>40</v>
      </c>
      <c r="D101">
        <v>5.0788869999999999</v>
      </c>
      <c r="E101">
        <v>0.47667799999999999</v>
      </c>
      <c r="F101" t="s">
        <v>41</v>
      </c>
      <c r="G101">
        <v>-413.41090000000003</v>
      </c>
      <c r="H101">
        <v>-0.05</v>
      </c>
      <c r="I101">
        <v>368.79419999999999</v>
      </c>
      <c r="J101">
        <v>-459.59010000000001</v>
      </c>
      <c r="K101">
        <v>1.11931</v>
      </c>
      <c r="L101">
        <v>367.58019999999999</v>
      </c>
      <c r="M101">
        <v>0.99960979999999999</v>
      </c>
      <c r="N101">
        <v>-6.927662E-4</v>
      </c>
      <c r="O101">
        <v>2.7926659999999999E-2</v>
      </c>
      <c r="P101">
        <v>0.97268030000000005</v>
      </c>
      <c r="Q101">
        <v>0.22660440000000001</v>
      </c>
      <c r="R101">
        <v>-5.0436969999999998E-2</v>
      </c>
      <c r="S101">
        <v>3.106293</v>
      </c>
      <c r="T101">
        <v>-7.8178289999999998E-2</v>
      </c>
      <c r="U101">
        <v>8.1665039999999994E-2</v>
      </c>
      <c r="V101">
        <v>7.7813839999999995E-2</v>
      </c>
      <c r="W101">
        <v>0.22719729999999999</v>
      </c>
      <c r="X101">
        <v>0.97073500000000001</v>
      </c>
      <c r="Y101">
        <v>1.6372730000000001E-3</v>
      </c>
      <c r="Z101">
        <v>-7.0430449999999995E-4</v>
      </c>
      <c r="AA101">
        <v>0.99999839999999995</v>
      </c>
      <c r="AB101">
        <v>28</v>
      </c>
      <c r="AC101">
        <v>46.179199999999902</v>
      </c>
      <c r="AD101">
        <v>-1.1693100000000001</v>
      </c>
      <c r="AE101">
        <v>1.21399999999999</v>
      </c>
      <c r="AF101">
        <v>7.6055803295663901E-2</v>
      </c>
      <c r="AG101">
        <v>-1.1693100000000001</v>
      </c>
      <c r="AH101">
        <v>46.165512867187999</v>
      </c>
      <c r="AI101">
        <v>91.450912411496603</v>
      </c>
      <c r="AJ101">
        <v>89.905607620856699</v>
      </c>
      <c r="AK101">
        <v>46.180381642552703</v>
      </c>
      <c r="AL101">
        <v>76.867879283814503</v>
      </c>
      <c r="AM101">
        <v>85.416986109278596</v>
      </c>
      <c r="AN101">
        <v>1.0000000235239099</v>
      </c>
    </row>
    <row r="102" spans="1:40" x14ac:dyDescent="0.25">
      <c r="A102" t="str">
        <f>"20190303170943536"</f>
        <v>20190303170943536</v>
      </c>
      <c r="B102" t="str">
        <f>"1551604183531047"</f>
        <v>1551604183531047</v>
      </c>
      <c r="C102" t="s">
        <v>40</v>
      </c>
      <c r="D102">
        <v>5.0468129999999896</v>
      </c>
      <c r="E102">
        <v>0.4770316</v>
      </c>
      <c r="F102" t="s">
        <v>41</v>
      </c>
      <c r="G102">
        <v>-412.49590000000001</v>
      </c>
      <c r="H102">
        <v>-0.05</v>
      </c>
      <c r="I102">
        <v>368.79840000000002</v>
      </c>
      <c r="J102">
        <v>-459.29930000000002</v>
      </c>
      <c r="K102">
        <v>1.1193219999999999</v>
      </c>
      <c r="L102">
        <v>367.58780000000002</v>
      </c>
      <c r="M102">
        <v>0.99962530000000005</v>
      </c>
      <c r="N102">
        <v>-8.2987479999999895E-4</v>
      </c>
      <c r="O102">
        <v>2.7362609999999999E-2</v>
      </c>
      <c r="P102">
        <v>0.97256069999999994</v>
      </c>
      <c r="Q102">
        <v>0.2272159</v>
      </c>
      <c r="R102">
        <v>-4.998855E-2</v>
      </c>
      <c r="S102">
        <v>3.1064449999999999</v>
      </c>
      <c r="T102">
        <v>-7.7130439999999995E-2</v>
      </c>
      <c r="U102">
        <v>8.0352779999999999E-2</v>
      </c>
      <c r="V102">
        <v>7.6817999999999997E-2</v>
      </c>
      <c r="W102">
        <v>0.22794210000000001</v>
      </c>
      <c r="X102">
        <v>0.97063969999999999</v>
      </c>
      <c r="Y102">
        <v>1.496982E-3</v>
      </c>
      <c r="Z102">
        <v>-6.7554429999999905E-4</v>
      </c>
      <c r="AA102">
        <v>0.99999859999999896</v>
      </c>
      <c r="AB102">
        <v>28</v>
      </c>
      <c r="AC102">
        <v>46.803400000000003</v>
      </c>
      <c r="AD102">
        <v>-1.169322</v>
      </c>
      <c r="AE102">
        <v>1.2105999999999899</v>
      </c>
      <c r="AF102">
        <v>7.0472853287449899E-2</v>
      </c>
      <c r="AG102">
        <v>-1.169322</v>
      </c>
      <c r="AH102">
        <v>46.789814769355402</v>
      </c>
      <c r="AI102">
        <v>91.431576454198094</v>
      </c>
      <c r="AJ102">
        <v>89.913703569243395</v>
      </c>
      <c r="AK102">
        <v>46.804476778544597</v>
      </c>
      <c r="AL102">
        <v>76.824055438164393</v>
      </c>
      <c r="AM102">
        <v>85.4749507538709</v>
      </c>
      <c r="AN102">
        <v>1.0000000166462499</v>
      </c>
    </row>
    <row r="103" spans="1:40" x14ac:dyDescent="0.25">
      <c r="A103" t="str">
        <f>"20190303170943558"</f>
        <v>20190303170943558</v>
      </c>
      <c r="B103" t="str">
        <f>"1551604183550566"</f>
        <v>1551604183550566</v>
      </c>
      <c r="C103" t="s">
        <v>40</v>
      </c>
      <c r="D103">
        <v>5.061153</v>
      </c>
      <c r="E103">
        <v>0.47729860000000002</v>
      </c>
      <c r="F103" t="s">
        <v>41</v>
      </c>
      <c r="G103">
        <v>-412.44389999999999</v>
      </c>
      <c r="H103">
        <v>-0.05</v>
      </c>
      <c r="I103">
        <v>368.7817</v>
      </c>
      <c r="J103">
        <v>-459.02600000000001</v>
      </c>
      <c r="K103">
        <v>1.119332</v>
      </c>
      <c r="L103">
        <v>367.59480000000002</v>
      </c>
      <c r="M103">
        <v>0.99963950000000001</v>
      </c>
      <c r="N103">
        <v>-9.5440749999999995E-4</v>
      </c>
      <c r="O103">
        <v>2.6833849999999999E-2</v>
      </c>
      <c r="P103">
        <v>0.97254359999999995</v>
      </c>
      <c r="Q103">
        <v>0.22743730000000001</v>
      </c>
      <c r="R103">
        <v>-4.9310409999999999E-2</v>
      </c>
      <c r="S103">
        <v>3.1067499999999999</v>
      </c>
      <c r="T103">
        <v>-7.7532169999999997E-2</v>
      </c>
      <c r="U103">
        <v>7.91626E-2</v>
      </c>
      <c r="V103">
        <v>7.5628879999999996E-2</v>
      </c>
      <c r="W103">
        <v>0.22828470000000001</v>
      </c>
      <c r="X103">
        <v>0.97065250000000003</v>
      </c>
      <c r="Y103">
        <v>1.3535960000000001E-3</v>
      </c>
      <c r="Z103">
        <v>-6.6126029999999999E-4</v>
      </c>
      <c r="AA103">
        <v>0.99999890000000002</v>
      </c>
      <c r="AB103">
        <v>28</v>
      </c>
      <c r="AC103">
        <v>46.582099999999997</v>
      </c>
      <c r="AD103">
        <v>-1.169332</v>
      </c>
      <c r="AE103">
        <v>1.1868999999999801</v>
      </c>
      <c r="AF103">
        <v>6.3465021450973103E-2</v>
      </c>
      <c r="AG103">
        <v>-1.169332</v>
      </c>
      <c r="AH103">
        <v>46.567849967108202</v>
      </c>
      <c r="AI103">
        <v>91.438409768741707</v>
      </c>
      <c r="AJ103">
        <v>89.921914461863196</v>
      </c>
      <c r="AK103">
        <v>46.582572016734701</v>
      </c>
      <c r="AL103">
        <v>76.803893503564694</v>
      </c>
      <c r="AM103">
        <v>85.5447714780924</v>
      </c>
      <c r="AN103">
        <v>0.99999995375019601</v>
      </c>
    </row>
    <row r="104" spans="1:40" x14ac:dyDescent="0.25">
      <c r="A104" t="str">
        <f>"20190303170943580"</f>
        <v>20190303170943580</v>
      </c>
      <c r="B104" t="str">
        <f>"1551604183571062"</f>
        <v>1551604183571062</v>
      </c>
      <c r="C104" t="s">
        <v>40</v>
      </c>
      <c r="D104">
        <v>5.0352730000000001</v>
      </c>
      <c r="E104">
        <v>0.4775297</v>
      </c>
      <c r="F104" t="s">
        <v>41</v>
      </c>
      <c r="G104">
        <v>-412.57220000000001</v>
      </c>
      <c r="H104">
        <v>-0.05</v>
      </c>
      <c r="I104">
        <v>368.79289999999997</v>
      </c>
      <c r="J104">
        <v>-458.73169999999999</v>
      </c>
      <c r="K104">
        <v>1.1193310000000001</v>
      </c>
      <c r="L104">
        <v>367.60210000000001</v>
      </c>
      <c r="M104">
        <v>0.99965440000000005</v>
      </c>
      <c r="N104">
        <v>-1.0831370000000001E-3</v>
      </c>
      <c r="O104">
        <v>2.626585E-2</v>
      </c>
      <c r="P104">
        <v>0.97243089999999999</v>
      </c>
      <c r="Q104">
        <v>0.2279611</v>
      </c>
      <c r="R104">
        <v>-4.9110830000000001E-2</v>
      </c>
      <c r="S104">
        <v>3.1070859999999998</v>
      </c>
      <c r="T104">
        <v>-7.8211429999999998E-2</v>
      </c>
      <c r="U104">
        <v>8.0139160000000001E-2</v>
      </c>
      <c r="V104">
        <v>7.4877490000000005E-2</v>
      </c>
      <c r="W104">
        <v>0.2289332</v>
      </c>
      <c r="X104">
        <v>0.97055800000000003</v>
      </c>
      <c r="Y104">
        <v>4.7445030000000001E-4</v>
      </c>
      <c r="Z104">
        <v>-6.3861639999999997E-4</v>
      </c>
      <c r="AA104">
        <v>0.99999970000000005</v>
      </c>
      <c r="AB104">
        <v>29</v>
      </c>
      <c r="AC104">
        <v>46.159499999999902</v>
      </c>
      <c r="AD104">
        <v>-1.1693309999999999</v>
      </c>
      <c r="AE104">
        <v>1.1907999999999599</v>
      </c>
      <c r="AF104">
        <v>2.20159377111976E-2</v>
      </c>
      <c r="AG104">
        <v>-1.1693309999999999</v>
      </c>
      <c r="AH104">
        <v>46.145258896197497</v>
      </c>
      <c r="AI104">
        <v>91.451576831800807</v>
      </c>
      <c r="AJ104">
        <v>89.972664142593601</v>
      </c>
      <c r="AK104">
        <v>46.160077321059198</v>
      </c>
      <c r="AL104">
        <v>76.765726275372899</v>
      </c>
      <c r="AM104">
        <v>85.588431803750595</v>
      </c>
      <c r="AN104">
        <v>0.99999993996746805</v>
      </c>
    </row>
    <row r="105" spans="1:40" x14ac:dyDescent="0.25">
      <c r="A105" t="str">
        <f>"20190303170943603"</f>
        <v>20190303170943603</v>
      </c>
      <c r="B105" t="str">
        <f>"1551604183590583"</f>
        <v>1551604183590583</v>
      </c>
      <c r="C105" t="s">
        <v>40</v>
      </c>
      <c r="D105">
        <v>5.0562189999999996</v>
      </c>
      <c r="E105">
        <v>0.47767959999999898</v>
      </c>
      <c r="F105" t="s">
        <v>41</v>
      </c>
      <c r="G105">
        <v>-411.97800000000001</v>
      </c>
      <c r="H105">
        <v>-0.05</v>
      </c>
      <c r="I105">
        <v>368.78870000000001</v>
      </c>
      <c r="J105">
        <v>-458.43740000000003</v>
      </c>
      <c r="K105">
        <v>1.119335</v>
      </c>
      <c r="L105">
        <v>367.60930000000002</v>
      </c>
      <c r="M105">
        <v>0.99966900000000003</v>
      </c>
      <c r="N105">
        <v>-1.2069190000000001E-3</v>
      </c>
      <c r="O105">
        <v>2.5699989999999999E-2</v>
      </c>
      <c r="P105">
        <v>0.97236670000000003</v>
      </c>
      <c r="Q105">
        <v>0.2282872</v>
      </c>
      <c r="R105">
        <v>-4.8869389999999999E-2</v>
      </c>
      <c r="S105">
        <v>3.107208</v>
      </c>
      <c r="T105">
        <v>-7.771277E-2</v>
      </c>
      <c r="U105">
        <v>7.8857419999999998E-2</v>
      </c>
      <c r="V105">
        <v>7.4087269999999997E-2</v>
      </c>
      <c r="W105">
        <v>0.22937969999999999</v>
      </c>
      <c r="X105">
        <v>0.97051330000000002</v>
      </c>
      <c r="Y105">
        <v>3.220427E-4</v>
      </c>
      <c r="Z105">
        <v>-6.1566690000000005E-4</v>
      </c>
      <c r="AA105">
        <v>0.99999979999999999</v>
      </c>
      <c r="AB105">
        <v>29</v>
      </c>
      <c r="AC105">
        <v>46.459400000000002</v>
      </c>
      <c r="AD105">
        <v>-1.169335</v>
      </c>
      <c r="AE105">
        <v>1.17939999999998</v>
      </c>
      <c r="AF105">
        <v>1.49870194960044E-2</v>
      </c>
      <c r="AG105">
        <v>-1.169335</v>
      </c>
      <c r="AH105">
        <v>46.444962203706503</v>
      </c>
      <c r="AI105">
        <v>91.4422189843594</v>
      </c>
      <c r="AJ105">
        <v>89.981511602248005</v>
      </c>
      <c r="AK105">
        <v>46.459682339171302</v>
      </c>
      <c r="AL105">
        <v>76.739445387556501</v>
      </c>
      <c r="AM105">
        <v>85.634608132266706</v>
      </c>
      <c r="AN105">
        <v>1.0000000179125099</v>
      </c>
    </row>
    <row r="106" spans="1:40" x14ac:dyDescent="0.25">
      <c r="A106" t="str">
        <f>"20190303170943625"</f>
        <v>20190303170943625</v>
      </c>
      <c r="B106" t="str">
        <f>"1551604183620838"</f>
        <v>1551604183620838</v>
      </c>
      <c r="C106" t="s">
        <v>40</v>
      </c>
      <c r="D106">
        <v>5.0555050000000001</v>
      </c>
      <c r="E106">
        <v>0.47790169999999998</v>
      </c>
      <c r="F106" t="s">
        <v>41</v>
      </c>
      <c r="G106">
        <v>-411.39890000000003</v>
      </c>
      <c r="H106">
        <v>-0.05</v>
      </c>
      <c r="I106">
        <v>368.79239999999999</v>
      </c>
      <c r="J106">
        <v>-458.1463</v>
      </c>
      <c r="K106">
        <v>1.1193409999999999</v>
      </c>
      <c r="L106">
        <v>367.61619999999999</v>
      </c>
      <c r="M106">
        <v>0.99968299999999999</v>
      </c>
      <c r="N106">
        <v>-1.323926E-3</v>
      </c>
      <c r="O106">
        <v>2.5144989999999999E-2</v>
      </c>
      <c r="P106">
        <v>0.97234449999999994</v>
      </c>
      <c r="Q106">
        <v>0.22831219999999999</v>
      </c>
      <c r="R106">
        <v>-4.9192020000000003E-2</v>
      </c>
      <c r="S106">
        <v>3.1073300000000001</v>
      </c>
      <c r="T106">
        <v>-7.7245469999999997E-2</v>
      </c>
      <c r="U106">
        <v>7.8155520000000006E-2</v>
      </c>
      <c r="V106">
        <v>7.3871740000000005E-2</v>
      </c>
      <c r="W106">
        <v>0.229518</v>
      </c>
      <c r="X106">
        <v>0.97049700000000005</v>
      </c>
      <c r="Y106" s="1">
        <v>-5.9759029999999997E-6</v>
      </c>
      <c r="Z106">
        <v>-5.9142449999999996E-4</v>
      </c>
      <c r="AA106">
        <v>0.99999979999999999</v>
      </c>
      <c r="AB106">
        <v>29</v>
      </c>
      <c r="AC106">
        <v>46.747399999999899</v>
      </c>
      <c r="AD106">
        <v>-1.169341</v>
      </c>
      <c r="AE106">
        <v>1.1761999999999899</v>
      </c>
      <c r="AF106">
        <v>-3.6401175194056198E-4</v>
      </c>
      <c r="AG106">
        <v>-1.169341</v>
      </c>
      <c r="AH106">
        <v>46.732972291885297</v>
      </c>
      <c r="AI106">
        <v>91.433341895265698</v>
      </c>
      <c r="AJ106">
        <v>90.000446287408096</v>
      </c>
      <c r="AK106">
        <v>46.747599486400397</v>
      </c>
      <c r="AL106">
        <v>76.7313037574703</v>
      </c>
      <c r="AM106">
        <v>85.647185951620401</v>
      </c>
      <c r="AN106">
        <v>0.999999986651813</v>
      </c>
    </row>
    <row r="107" spans="1:40" x14ac:dyDescent="0.25">
      <c r="A107" t="str">
        <f>"20190303170943646"</f>
        <v>20190303170943646</v>
      </c>
      <c r="B107" t="str">
        <f>"1551604183640866"</f>
        <v>1551604183640866</v>
      </c>
      <c r="C107" t="s">
        <v>40</v>
      </c>
      <c r="D107">
        <v>5.0525440000000001</v>
      </c>
      <c r="E107">
        <v>0.47797519999999999</v>
      </c>
      <c r="F107" t="s">
        <v>41</v>
      </c>
      <c r="G107">
        <v>-411.83139999999997</v>
      </c>
      <c r="H107">
        <v>-0.05</v>
      </c>
      <c r="I107">
        <v>368.7319</v>
      </c>
      <c r="J107">
        <v>-457.86919999999998</v>
      </c>
      <c r="K107">
        <v>1.1193580000000001</v>
      </c>
      <c r="L107">
        <v>367.62270000000001</v>
      </c>
      <c r="M107">
        <v>0.99969600000000003</v>
      </c>
      <c r="N107">
        <v>-1.43069799999999E-3</v>
      </c>
      <c r="O107">
        <v>2.462278E-2</v>
      </c>
      <c r="P107">
        <v>0.9724933</v>
      </c>
      <c r="Q107">
        <v>0.22781290000000001</v>
      </c>
      <c r="R107">
        <v>-4.8562899999999999E-2</v>
      </c>
      <c r="S107">
        <v>3.1075740000000001</v>
      </c>
      <c r="T107">
        <v>-7.8458910000000007E-2</v>
      </c>
      <c r="U107">
        <v>7.4859620000000002E-2</v>
      </c>
      <c r="V107">
        <v>7.2739300000000007E-2</v>
      </c>
      <c r="W107">
        <v>0.22912450000000001</v>
      </c>
      <c r="X107">
        <v>0.97067550000000002</v>
      </c>
      <c r="Y107">
        <v>5.333817E-4</v>
      </c>
      <c r="Z107">
        <v>-5.9327480000000003E-4</v>
      </c>
      <c r="AA107">
        <v>0.99999970000000005</v>
      </c>
      <c r="AB107">
        <v>29</v>
      </c>
      <c r="AC107">
        <v>46.037799999999997</v>
      </c>
      <c r="AD107">
        <v>-1.1693579999999999</v>
      </c>
      <c r="AE107">
        <v>1.10919999999998</v>
      </c>
      <c r="AF107">
        <v>2.46999118890447E-2</v>
      </c>
      <c r="AG107">
        <v>-1.1693579999999999</v>
      </c>
      <c r="AH107">
        <v>46.021479657705903</v>
      </c>
      <c r="AI107">
        <v>91.455512860313206</v>
      </c>
      <c r="AJ107">
        <v>89.969249129314605</v>
      </c>
      <c r="AK107">
        <v>46.036339972921901</v>
      </c>
      <c r="AL107">
        <v>76.754466895382905</v>
      </c>
      <c r="AM107">
        <v>85.714448454604295</v>
      </c>
      <c r="AN107">
        <v>0.99999998428249404</v>
      </c>
    </row>
    <row r="108" spans="1:40" x14ac:dyDescent="0.25">
      <c r="A108" t="str">
        <f>"20190303170943668"</f>
        <v>20190303170943668</v>
      </c>
      <c r="B108" t="str">
        <f>"1551604183660386"</f>
        <v>1551604183660386</v>
      </c>
      <c r="C108" t="s">
        <v>40</v>
      </c>
      <c r="D108">
        <v>5.0577110000000003</v>
      </c>
      <c r="E108">
        <v>0.47813109999999998</v>
      </c>
      <c r="F108" t="s">
        <v>41</v>
      </c>
      <c r="G108">
        <v>-412.96269999999998</v>
      </c>
      <c r="H108">
        <v>-0.05</v>
      </c>
      <c r="I108">
        <v>368.71370000000002</v>
      </c>
      <c r="J108">
        <v>-457.58530000000002</v>
      </c>
      <c r="K108">
        <v>1.11937</v>
      </c>
      <c r="L108">
        <v>367.62920000000003</v>
      </c>
      <c r="M108">
        <v>0.9997085</v>
      </c>
      <c r="N108">
        <v>-1.535832E-3</v>
      </c>
      <c r="O108">
        <v>2.4096269999999999E-2</v>
      </c>
      <c r="P108">
        <v>0.97263650000000001</v>
      </c>
      <c r="Q108">
        <v>0.22751379999999999</v>
      </c>
      <c r="R108">
        <v>-4.7072919999999997E-2</v>
      </c>
      <c r="S108">
        <v>3.1075439999999999</v>
      </c>
      <c r="T108">
        <v>-8.0919980000000002E-2</v>
      </c>
      <c r="U108">
        <v>7.5500490000000003E-2</v>
      </c>
      <c r="V108">
        <v>7.0741029999999996E-2</v>
      </c>
      <c r="W108">
        <v>0.22892999999999999</v>
      </c>
      <c r="X108">
        <v>0.97086910000000004</v>
      </c>
      <c r="Y108">
        <v>-1.996128E-4</v>
      </c>
      <c r="Z108">
        <v>-5.874198E-4</v>
      </c>
      <c r="AA108">
        <v>0.99999979999999999</v>
      </c>
      <c r="AB108">
        <v>29</v>
      </c>
      <c r="AC108">
        <v>44.622599999999998</v>
      </c>
      <c r="AD108">
        <v>-1.16937</v>
      </c>
      <c r="AE108">
        <v>1.08449999999999</v>
      </c>
      <c r="AF108">
        <v>-8.9395252365018704E-3</v>
      </c>
      <c r="AG108">
        <v>-1.16937</v>
      </c>
      <c r="AH108">
        <v>44.605161715592899</v>
      </c>
      <c r="AI108">
        <v>91.501723541644907</v>
      </c>
      <c r="AJ108">
        <v>90.0114829100566</v>
      </c>
      <c r="AK108">
        <v>44.620488094441598</v>
      </c>
      <c r="AL108">
        <v>76.765915753283593</v>
      </c>
      <c r="AM108">
        <v>85.832587183657907</v>
      </c>
      <c r="AN108">
        <v>1.0000000237801301</v>
      </c>
    </row>
    <row r="109" spans="1:40" x14ac:dyDescent="0.25">
      <c r="A109" t="str">
        <f>"20190303170943692"</f>
        <v>20190303170943692</v>
      </c>
      <c r="B109" t="str">
        <f>"1551604183680881"</f>
        <v>1551604183680881</v>
      </c>
      <c r="C109" t="s">
        <v>40</v>
      </c>
      <c r="D109">
        <v>5.086595</v>
      </c>
      <c r="E109">
        <v>0.47820089999999998</v>
      </c>
      <c r="F109" t="s">
        <v>41</v>
      </c>
      <c r="G109">
        <v>-413.91329999999999</v>
      </c>
      <c r="H109">
        <v>-0.05</v>
      </c>
      <c r="I109">
        <v>368.72879999999998</v>
      </c>
      <c r="J109">
        <v>-457.26659999999998</v>
      </c>
      <c r="K109">
        <v>1.1193709999999999</v>
      </c>
      <c r="L109">
        <v>367.63639999999998</v>
      </c>
      <c r="M109">
        <v>0.99972220000000001</v>
      </c>
      <c r="N109">
        <v>-1.649209E-3</v>
      </c>
      <c r="O109">
        <v>2.3515640000000001E-2</v>
      </c>
      <c r="P109">
        <v>0.97273370000000003</v>
      </c>
      <c r="Q109">
        <v>0.22707369999999999</v>
      </c>
      <c r="R109">
        <v>-4.7184780000000003E-2</v>
      </c>
      <c r="S109">
        <v>3.107666</v>
      </c>
      <c r="T109">
        <v>-8.3211300000000002E-2</v>
      </c>
      <c r="U109">
        <v>7.8247070000000002E-2</v>
      </c>
      <c r="V109">
        <v>7.0289379999999999E-2</v>
      </c>
      <c r="W109">
        <v>0.2286009</v>
      </c>
      <c r="X109">
        <v>0.9709795</v>
      </c>
      <c r="Y109">
        <v>-1.6623479999999999E-3</v>
      </c>
      <c r="Z109">
        <v>-5.6696099999999896E-4</v>
      </c>
      <c r="AA109">
        <v>0.99999850000000001</v>
      </c>
      <c r="AB109">
        <v>29</v>
      </c>
      <c r="AC109">
        <v>43.353299999999898</v>
      </c>
      <c r="AD109">
        <v>-1.1693709999999999</v>
      </c>
      <c r="AE109">
        <v>1.09239999999999</v>
      </c>
      <c r="AF109">
        <v>-7.2563268199459005E-2</v>
      </c>
      <c r="AG109">
        <v>-1.1693709999999999</v>
      </c>
      <c r="AH109">
        <v>43.335491412566299</v>
      </c>
      <c r="AI109">
        <v>91.545700121515296</v>
      </c>
      <c r="AJ109">
        <v>90.095939032749698</v>
      </c>
      <c r="AK109">
        <v>43.351326507180197</v>
      </c>
      <c r="AL109">
        <v>76.785286189695299</v>
      </c>
      <c r="AM109">
        <v>85.859570591393805</v>
      </c>
      <c r="AN109">
        <v>1.00000007892091</v>
      </c>
    </row>
    <row r="110" spans="1:40" x14ac:dyDescent="0.25">
      <c r="A110" t="str">
        <f>"20190303170943716"</f>
        <v>20190303170943716</v>
      </c>
      <c r="B110" t="str">
        <f>"1551604183700401"</f>
        <v>1551604183700401</v>
      </c>
      <c r="C110" t="s">
        <v>40</v>
      </c>
      <c r="D110">
        <v>5.084778</v>
      </c>
      <c r="E110">
        <v>0.47824820000000001</v>
      </c>
      <c r="F110" t="s">
        <v>41</v>
      </c>
      <c r="G110">
        <v>-414.69189999999998</v>
      </c>
      <c r="H110">
        <v>-0.05</v>
      </c>
      <c r="I110">
        <v>368.70030000000003</v>
      </c>
      <c r="J110">
        <v>-456.93650000000002</v>
      </c>
      <c r="K110">
        <v>1.1193919999999999</v>
      </c>
      <c r="L110">
        <v>367.64350000000002</v>
      </c>
      <c r="M110">
        <v>0.99973559999999995</v>
      </c>
      <c r="N110">
        <v>-1.7619630000000001E-3</v>
      </c>
      <c r="O110">
        <v>2.2928150000000001E-2</v>
      </c>
      <c r="P110">
        <v>0.97287769999999996</v>
      </c>
      <c r="Q110">
        <v>0.2265798</v>
      </c>
      <c r="R110">
        <v>-4.6591100000000003E-2</v>
      </c>
      <c r="S110">
        <v>3.1078190000000001</v>
      </c>
      <c r="T110">
        <v>-8.5360409999999998E-2</v>
      </c>
      <c r="U110">
        <v>7.7667239999999999E-2</v>
      </c>
      <c r="V110">
        <v>6.9125480000000003E-2</v>
      </c>
      <c r="W110">
        <v>0.2282188</v>
      </c>
      <c r="X110">
        <v>0.97115280000000004</v>
      </c>
      <c r="Y110">
        <v>-2.0622589999999999E-3</v>
      </c>
      <c r="Z110">
        <v>-5.5892949999999996E-4</v>
      </c>
      <c r="AA110">
        <v>0.99999769999999999</v>
      </c>
      <c r="AB110">
        <v>30</v>
      </c>
      <c r="AC110">
        <v>42.244599999999998</v>
      </c>
      <c r="AD110">
        <v>-1.169392</v>
      </c>
      <c r="AE110">
        <v>1.0568</v>
      </c>
      <c r="AF110">
        <v>-8.7862905822538404E-2</v>
      </c>
      <c r="AG110">
        <v>-1.169392</v>
      </c>
      <c r="AH110">
        <v>42.225389501841299</v>
      </c>
      <c r="AI110">
        <v>91.586343212751103</v>
      </c>
      <c r="AJ110">
        <v>90.119221313840001</v>
      </c>
      <c r="AK110">
        <v>42.241670375614802</v>
      </c>
      <c r="AL110">
        <v>76.807771711919102</v>
      </c>
      <c r="AM110">
        <v>85.928622318311099</v>
      </c>
      <c r="AN110">
        <v>0.99999995680325404</v>
      </c>
    </row>
    <row r="111" spans="1:40" x14ac:dyDescent="0.25">
      <c r="A111" t="str">
        <f>"20190303170943737"</f>
        <v>20190303170943737</v>
      </c>
      <c r="B111" t="str">
        <f>"1551604183730188"</f>
        <v>1551604183730188</v>
      </c>
      <c r="C111" t="s">
        <v>40</v>
      </c>
      <c r="D111">
        <v>5.0681690000000001</v>
      </c>
      <c r="E111">
        <v>0.47836649999999997</v>
      </c>
      <c r="F111" t="s">
        <v>41</v>
      </c>
      <c r="G111">
        <v>-415.33030000000002</v>
      </c>
      <c r="H111">
        <v>-0.05</v>
      </c>
      <c r="I111">
        <v>368.71069999999997</v>
      </c>
      <c r="J111">
        <v>-456.66019999999997</v>
      </c>
      <c r="K111">
        <v>1.1194040000000001</v>
      </c>
      <c r="L111">
        <v>367.64940000000001</v>
      </c>
      <c r="M111">
        <v>0.99974609999999997</v>
      </c>
      <c r="N111">
        <v>-1.852502E-3</v>
      </c>
      <c r="O111">
        <v>2.245436E-2</v>
      </c>
      <c r="P111">
        <v>0.97285880000000002</v>
      </c>
      <c r="Q111">
        <v>0.22672439999999999</v>
      </c>
      <c r="R111">
        <v>-4.6279109999999998E-2</v>
      </c>
      <c r="S111">
        <v>3.1078190000000001</v>
      </c>
      <c r="T111">
        <v>-8.7348819999999994E-2</v>
      </c>
      <c r="U111">
        <v>7.9711909999999997E-2</v>
      </c>
      <c r="V111">
        <v>6.8349779999999999E-2</v>
      </c>
      <c r="W111">
        <v>0.2284532</v>
      </c>
      <c r="X111">
        <v>0.97115260000000003</v>
      </c>
      <c r="Y111">
        <v>-3.1932979999999998E-3</v>
      </c>
      <c r="Z111">
        <v>-5.413862E-4</v>
      </c>
      <c r="AA111">
        <v>0.99999479999999996</v>
      </c>
      <c r="AB111">
        <v>30</v>
      </c>
      <c r="AC111">
        <v>41.329899999999903</v>
      </c>
      <c r="AD111">
        <v>-1.1694040000000001</v>
      </c>
      <c r="AE111">
        <v>1.0612999999999599</v>
      </c>
      <c r="AF111">
        <v>-0.13288800146412</v>
      </c>
      <c r="AG111">
        <v>-1.1694040000000001</v>
      </c>
      <c r="AH111">
        <v>41.310260223670099</v>
      </c>
      <c r="AI111">
        <v>91.621478021125995</v>
      </c>
      <c r="AJ111">
        <v>90.184310031644699</v>
      </c>
      <c r="AK111">
        <v>41.327022209245698</v>
      </c>
      <c r="AL111">
        <v>76.793977268369602</v>
      </c>
      <c r="AM111">
        <v>85.974157879020495</v>
      </c>
      <c r="AN111">
        <v>0.99999996475152297</v>
      </c>
    </row>
    <row r="112" spans="1:40" x14ac:dyDescent="0.25">
      <c r="A112" t="str">
        <f>"20190303170943758"</f>
        <v>20190303170943758</v>
      </c>
      <c r="B112" t="str">
        <f>"1551604183750684"</f>
        <v>1551604183750684</v>
      </c>
      <c r="C112" t="s">
        <v>40</v>
      </c>
      <c r="D112">
        <v>5.1027849999999999</v>
      </c>
      <c r="E112">
        <v>0.4785122</v>
      </c>
      <c r="F112" t="s">
        <v>41</v>
      </c>
      <c r="G112">
        <v>-414.7448</v>
      </c>
      <c r="H112">
        <v>-0.05</v>
      </c>
      <c r="I112">
        <v>368.7217</v>
      </c>
      <c r="J112">
        <v>-456.37610000000001</v>
      </c>
      <c r="K112">
        <v>1.119418</v>
      </c>
      <c r="L112">
        <v>367.65530000000001</v>
      </c>
      <c r="M112">
        <v>0.9997566</v>
      </c>
      <c r="N112">
        <v>-1.9427719999999999E-3</v>
      </c>
      <c r="O112">
        <v>2.198081E-2</v>
      </c>
      <c r="P112">
        <v>0.97292559999999995</v>
      </c>
      <c r="Q112">
        <v>0.2264525</v>
      </c>
      <c r="R112">
        <v>-4.6212160000000002E-2</v>
      </c>
      <c r="S112">
        <v>3.1077270000000001</v>
      </c>
      <c r="T112">
        <v>-8.6702940000000006E-2</v>
      </c>
      <c r="U112">
        <v>7.9498289999999999E-2</v>
      </c>
      <c r="V112">
        <v>6.7819909999999997E-2</v>
      </c>
      <c r="W112">
        <v>0.2282708</v>
      </c>
      <c r="X112">
        <v>0.97123269999999995</v>
      </c>
      <c r="Y112">
        <v>-3.5985370000000002E-3</v>
      </c>
      <c r="Z112">
        <v>-5.1657489999999999E-4</v>
      </c>
      <c r="AA112">
        <v>0.99999340000000003</v>
      </c>
      <c r="AB112">
        <v>30</v>
      </c>
      <c r="AC112">
        <v>41.631300000000003</v>
      </c>
      <c r="AD112">
        <v>-1.1694180000000001</v>
      </c>
      <c r="AE112">
        <v>1.06639999999998</v>
      </c>
      <c r="AF112">
        <v>-0.150932000171945</v>
      </c>
      <c r="AG112">
        <v>-1.1694180000000001</v>
      </c>
      <c r="AH112">
        <v>41.61186997571</v>
      </c>
      <c r="AI112">
        <v>91.609748487417406</v>
      </c>
      <c r="AJ112">
        <v>90.207818795092606</v>
      </c>
      <c r="AK112">
        <v>41.6285724209081</v>
      </c>
      <c r="AL112">
        <v>76.8047125102362</v>
      </c>
      <c r="AM112">
        <v>86.005594486381398</v>
      </c>
      <c r="AN112">
        <v>1.0000000279371599</v>
      </c>
    </row>
    <row r="113" spans="1:40" x14ac:dyDescent="0.25">
      <c r="A113" t="str">
        <f>"20190303170943781"</f>
        <v>20190303170943781</v>
      </c>
      <c r="B113" t="str">
        <f>"1551604183770204"</f>
        <v>1551604183770204</v>
      </c>
      <c r="C113" t="s">
        <v>40</v>
      </c>
      <c r="D113">
        <v>5.0860539999999999</v>
      </c>
      <c r="E113">
        <v>0.47862339999999998</v>
      </c>
      <c r="F113" t="s">
        <v>41</v>
      </c>
      <c r="G113">
        <v>-415.37599999999998</v>
      </c>
      <c r="H113">
        <v>-0.05</v>
      </c>
      <c r="I113">
        <v>368.68150000000003</v>
      </c>
      <c r="J113">
        <v>-456.06380000000001</v>
      </c>
      <c r="K113">
        <v>1.119435</v>
      </c>
      <c r="L113">
        <v>367.6617</v>
      </c>
      <c r="M113">
        <v>0.99976719999999997</v>
      </c>
      <c r="N113">
        <v>-2.0394599999999999E-3</v>
      </c>
      <c r="O113">
        <v>2.14805E-2</v>
      </c>
      <c r="P113">
        <v>0.97302279999999997</v>
      </c>
      <c r="Q113">
        <v>0.2260345</v>
      </c>
      <c r="R113">
        <v>-4.6208539999999999E-2</v>
      </c>
      <c r="S113">
        <v>3.1078489999999999</v>
      </c>
      <c r="T113">
        <v>-8.8643189999999997E-2</v>
      </c>
      <c r="U113">
        <v>7.778931E-2</v>
      </c>
      <c r="V113">
        <v>6.73266E-2</v>
      </c>
      <c r="W113">
        <v>0.2279486</v>
      </c>
      <c r="X113">
        <v>0.9713427</v>
      </c>
      <c r="Y113">
        <v>-3.5485019999999998E-3</v>
      </c>
      <c r="Z113">
        <v>-5.1437130000000001E-4</v>
      </c>
      <c r="AA113">
        <v>0.99999360000000004</v>
      </c>
      <c r="AB113">
        <v>30</v>
      </c>
      <c r="AC113">
        <v>40.687800000000003</v>
      </c>
      <c r="AD113">
        <v>-1.169435</v>
      </c>
      <c r="AE113">
        <v>1.01980000000003</v>
      </c>
      <c r="AF113">
        <v>-0.145448526402601</v>
      </c>
      <c r="AG113">
        <v>-1.169435</v>
      </c>
      <c r="AH113">
        <v>40.666744798611397</v>
      </c>
      <c r="AI113">
        <v>91.647164086771198</v>
      </c>
      <c r="AJ113">
        <v>90.204922995589698</v>
      </c>
      <c r="AK113">
        <v>40.683815774930103</v>
      </c>
      <c r="AL113">
        <v>76.823673233546202</v>
      </c>
      <c r="AM113">
        <v>86.035003688698694</v>
      </c>
      <c r="AN113">
        <v>1.0000000380764</v>
      </c>
    </row>
    <row r="114" spans="1:40" x14ac:dyDescent="0.25">
      <c r="A114" t="str">
        <f>"20190303170943803"</f>
        <v>20190303170943803</v>
      </c>
      <c r="B114" t="str">
        <f>"1551604183790701"</f>
        <v>1551604183790701</v>
      </c>
      <c r="C114" t="s">
        <v>40</v>
      </c>
      <c r="D114">
        <v>5.0714649999999999</v>
      </c>
      <c r="E114">
        <v>0.47877059999999999</v>
      </c>
      <c r="F114" t="s">
        <v>41</v>
      </c>
      <c r="G114">
        <v>-415.8734</v>
      </c>
      <c r="H114">
        <v>-0.05</v>
      </c>
      <c r="I114">
        <v>368.65219999999999</v>
      </c>
      <c r="J114">
        <v>-455.76310000000001</v>
      </c>
      <c r="K114">
        <v>1.1194440000000001</v>
      </c>
      <c r="L114">
        <v>367.66770000000002</v>
      </c>
      <c r="M114">
        <v>0.99977680000000002</v>
      </c>
      <c r="N114">
        <v>-2.1299410000000002E-3</v>
      </c>
      <c r="O114">
        <v>2.1020549999999999E-2</v>
      </c>
      <c r="P114">
        <v>0.97309690000000004</v>
      </c>
      <c r="Q114">
        <v>0.2254562</v>
      </c>
      <c r="R114">
        <v>-4.7453620000000002E-2</v>
      </c>
      <c r="S114">
        <v>3.1078489999999999</v>
      </c>
      <c r="T114">
        <v>-9.0430259999999998E-2</v>
      </c>
      <c r="U114">
        <v>7.6599120000000007E-2</v>
      </c>
      <c r="V114">
        <v>6.8119250000000006E-2</v>
      </c>
      <c r="W114">
        <v>0.22745969999999999</v>
      </c>
      <c r="X114">
        <v>0.97140199999999999</v>
      </c>
      <c r="Y114">
        <v>-3.6258340000000001E-3</v>
      </c>
      <c r="Z114">
        <v>-5.0999019999999995E-4</v>
      </c>
      <c r="AA114">
        <v>0.99999329999999997</v>
      </c>
      <c r="AB114">
        <v>30</v>
      </c>
      <c r="AC114">
        <v>39.889699999999998</v>
      </c>
      <c r="AD114">
        <v>-1.1694439999999999</v>
      </c>
      <c r="AE114">
        <v>0.98449999999996796</v>
      </c>
      <c r="AF114">
        <v>-0.145652044035287</v>
      </c>
      <c r="AG114">
        <v>-1.1694439999999999</v>
      </c>
      <c r="AH114">
        <v>39.867336422070402</v>
      </c>
      <c r="AI114">
        <v>91.680186259126501</v>
      </c>
      <c r="AJ114">
        <v>90.209324500220603</v>
      </c>
      <c r="AK114">
        <v>39.884750559300301</v>
      </c>
      <c r="AL114">
        <v>76.852440297546494</v>
      </c>
      <c r="AM114">
        <v>85.988718574752994</v>
      </c>
      <c r="AN114">
        <v>0.99999999647432603</v>
      </c>
    </row>
    <row r="115" spans="1:40" x14ac:dyDescent="0.25">
      <c r="A115" t="str">
        <f>"20190303170943828"</f>
        <v>20190303170943828</v>
      </c>
      <c r="B115" t="str">
        <f>"1551604183820956"</f>
        <v>1551604183820956</v>
      </c>
      <c r="C115" t="s">
        <v>40</v>
      </c>
      <c r="D115">
        <v>5.0703769999999997</v>
      </c>
      <c r="E115">
        <v>0.47896179999999999</v>
      </c>
      <c r="F115" t="s">
        <v>41</v>
      </c>
      <c r="G115">
        <v>-416.4074</v>
      </c>
      <c r="H115">
        <v>-0.05</v>
      </c>
      <c r="I115">
        <v>368.59050000000002</v>
      </c>
      <c r="J115">
        <v>-455.42779999999999</v>
      </c>
      <c r="K115">
        <v>1.119462</v>
      </c>
      <c r="L115">
        <v>367.67430000000002</v>
      </c>
      <c r="M115">
        <v>0.99978679999999998</v>
      </c>
      <c r="N115">
        <v>-2.2284729999999999E-3</v>
      </c>
      <c r="O115">
        <v>2.0537360000000001E-2</v>
      </c>
      <c r="P115">
        <v>0.97341770000000005</v>
      </c>
      <c r="Q115">
        <v>0.22381409999999999</v>
      </c>
      <c r="R115">
        <v>-4.8639090000000003E-2</v>
      </c>
      <c r="S115">
        <v>3.1078800000000002</v>
      </c>
      <c r="T115">
        <v>-9.2349769999999998E-2</v>
      </c>
      <c r="U115">
        <v>7.2875980000000007E-2</v>
      </c>
      <c r="V115">
        <v>6.8830939999999993E-2</v>
      </c>
      <c r="W115">
        <v>0.2259159</v>
      </c>
      <c r="X115">
        <v>0.97171209999999997</v>
      </c>
      <c r="Y115">
        <v>-2.9119929999999999E-3</v>
      </c>
      <c r="Z115">
        <v>-5.1772299999999999E-4</v>
      </c>
      <c r="AA115">
        <v>0.99999559999999998</v>
      </c>
      <c r="AB115">
        <v>31</v>
      </c>
      <c r="AC115">
        <v>39.020400000000002</v>
      </c>
      <c r="AD115">
        <v>-1.169462</v>
      </c>
      <c r="AE115">
        <v>0.91620000000000301</v>
      </c>
      <c r="AF115">
        <v>-0.11452611162309</v>
      </c>
      <c r="AG115">
        <v>-1.169462</v>
      </c>
      <c r="AH115">
        <v>38.995978235918898</v>
      </c>
      <c r="AI115">
        <v>91.717737952136105</v>
      </c>
      <c r="AJ115">
        <v>90.168269761939101</v>
      </c>
      <c r="AK115">
        <v>39.013678065211302</v>
      </c>
      <c r="AL115">
        <v>76.943258434806197</v>
      </c>
      <c r="AM115">
        <v>85.948237960792</v>
      </c>
      <c r="AN115">
        <v>1.0000000487302501</v>
      </c>
    </row>
    <row r="116" spans="1:40" x14ac:dyDescent="0.25">
      <c r="A116" t="str">
        <f>"20190303170943849"</f>
        <v>20190303170943849</v>
      </c>
      <c r="B116" t="str">
        <f>"1551604183840986"</f>
        <v>1551604183840986</v>
      </c>
      <c r="C116" t="s">
        <v>40</v>
      </c>
      <c r="D116">
        <v>5.0758580000000002</v>
      </c>
      <c r="E116">
        <v>0.47906080000000001</v>
      </c>
      <c r="F116" t="s">
        <v>41</v>
      </c>
      <c r="G116">
        <v>-418.19690000000003</v>
      </c>
      <c r="H116">
        <v>-0.05</v>
      </c>
      <c r="I116">
        <v>368.49680000000001</v>
      </c>
      <c r="J116">
        <v>-455.12560000000002</v>
      </c>
      <c r="K116">
        <v>1.1194770000000001</v>
      </c>
      <c r="L116">
        <v>367.68009999999998</v>
      </c>
      <c r="M116">
        <v>0.99979470000000004</v>
      </c>
      <c r="N116">
        <v>-2.3152960000000001E-3</v>
      </c>
      <c r="O116">
        <v>2.0130780000000001E-2</v>
      </c>
      <c r="P116">
        <v>0.97376099999999999</v>
      </c>
      <c r="Q116">
        <v>0.22207289999999999</v>
      </c>
      <c r="R116">
        <v>-4.9732940000000003E-2</v>
      </c>
      <c r="S116">
        <v>3.1077880000000002</v>
      </c>
      <c r="T116">
        <v>-9.7618940000000001E-2</v>
      </c>
      <c r="U116">
        <v>6.8664550000000005E-2</v>
      </c>
      <c r="V116">
        <v>6.9525580000000003E-2</v>
      </c>
      <c r="W116">
        <v>0.2242624</v>
      </c>
      <c r="X116">
        <v>0.97204550000000001</v>
      </c>
      <c r="Y116">
        <v>-1.9660290000000002E-3</v>
      </c>
      <c r="Z116">
        <v>-5.5228890000000004E-4</v>
      </c>
      <c r="AA116">
        <v>0.9999979</v>
      </c>
      <c r="AB116">
        <v>31</v>
      </c>
      <c r="AC116">
        <v>36.9286999999999</v>
      </c>
      <c r="AD116">
        <v>-1.1694770000000001</v>
      </c>
      <c r="AE116">
        <v>0.81670000000002496</v>
      </c>
      <c r="AF116">
        <v>-7.3055758830210593E-2</v>
      </c>
      <c r="AG116">
        <v>-1.1694770000000001</v>
      </c>
      <c r="AH116">
        <v>36.900668014734002</v>
      </c>
      <c r="AI116">
        <v>91.815239349325097</v>
      </c>
      <c r="AJ116">
        <v>90.113433750835696</v>
      </c>
      <c r="AK116">
        <v>36.919267510759703</v>
      </c>
      <c r="AL116">
        <v>77.040490806312803</v>
      </c>
      <c r="AM116">
        <v>85.908884850969002</v>
      </c>
      <c r="AN116">
        <v>0.99999994219917099</v>
      </c>
    </row>
    <row r="117" spans="1:40" x14ac:dyDescent="0.25">
      <c r="A117" t="str">
        <f>"20190303170943870"</f>
        <v>20190303170943870</v>
      </c>
      <c r="B117" t="str">
        <f>"1551604183860504"</f>
        <v>1551604183860504</v>
      </c>
      <c r="C117" t="s">
        <v>40</v>
      </c>
      <c r="D117">
        <v>5.0867180000000003</v>
      </c>
      <c r="E117">
        <v>0.4791726</v>
      </c>
      <c r="F117" t="s">
        <v>41</v>
      </c>
      <c r="G117">
        <v>-419.8372</v>
      </c>
      <c r="H117">
        <v>-0.05</v>
      </c>
      <c r="I117">
        <v>368.41579999999999</v>
      </c>
      <c r="J117">
        <v>-454.8408</v>
      </c>
      <c r="K117">
        <v>1.119499</v>
      </c>
      <c r="L117">
        <v>367.68549999999999</v>
      </c>
      <c r="M117">
        <v>0.99980159999999996</v>
      </c>
      <c r="N117">
        <v>-2.3956329999999999E-3</v>
      </c>
      <c r="O117">
        <v>1.9772910000000001E-2</v>
      </c>
      <c r="P117">
        <v>0.97378390000000004</v>
      </c>
      <c r="Q117">
        <v>0.2217479</v>
      </c>
      <c r="R117">
        <v>-5.0722499999999997E-2</v>
      </c>
      <c r="S117">
        <v>3.107605</v>
      </c>
      <c r="T117">
        <v>-0.1029875</v>
      </c>
      <c r="U117">
        <v>6.4788819999999997E-2</v>
      </c>
      <c r="V117">
        <v>7.0157659999999997E-2</v>
      </c>
      <c r="W117">
        <v>0.22401799999999999</v>
      </c>
      <c r="X117">
        <v>0.97205649999999999</v>
      </c>
      <c r="Y117">
        <v>-1.079895E-3</v>
      </c>
      <c r="Z117">
        <v>-5.884296E-4</v>
      </c>
      <c r="AA117">
        <v>0.99999919999999998</v>
      </c>
      <c r="AB117">
        <v>31</v>
      </c>
      <c r="AC117">
        <v>35.003599999999999</v>
      </c>
      <c r="AD117">
        <v>-1.1694990000000001</v>
      </c>
      <c r="AE117">
        <v>0.73029999999999895</v>
      </c>
      <c r="AF117">
        <v>-3.79897972471646E-2</v>
      </c>
      <c r="AG117">
        <v>-1.1694990000000001</v>
      </c>
      <c r="AH117">
        <v>34.972174989876798</v>
      </c>
      <c r="AI117">
        <v>91.915304273607404</v>
      </c>
      <c r="AJ117">
        <v>90.062239600233198</v>
      </c>
      <c r="AK117">
        <v>34.991744664395704</v>
      </c>
      <c r="AL117">
        <v>77.054860245484306</v>
      </c>
      <c r="AM117">
        <v>85.871865737970296</v>
      </c>
      <c r="AN117">
        <v>1.00000000038646</v>
      </c>
    </row>
    <row r="118" spans="1:40" x14ac:dyDescent="0.25">
      <c r="A118" t="str">
        <f>"20190303170943894"</f>
        <v>20190303170943894</v>
      </c>
      <c r="B118" t="str">
        <f>"1551604183880999"</f>
        <v>1551604183880999</v>
      </c>
      <c r="C118" t="s">
        <v>40</v>
      </c>
      <c r="D118">
        <v>5.0943529999999999</v>
      </c>
      <c r="E118">
        <v>0.4792573</v>
      </c>
      <c r="F118" t="s">
        <v>41</v>
      </c>
      <c r="G118">
        <v>-419.8861</v>
      </c>
      <c r="H118">
        <v>-0.05</v>
      </c>
      <c r="I118">
        <v>368.37369999999999</v>
      </c>
      <c r="J118">
        <v>-454.49299999999999</v>
      </c>
      <c r="K118">
        <v>1.119524</v>
      </c>
      <c r="L118">
        <v>367.69200000000001</v>
      </c>
      <c r="M118">
        <v>0.99980939999999996</v>
      </c>
      <c r="N118">
        <v>-2.4917609999999999E-3</v>
      </c>
      <c r="O118">
        <v>1.9364840000000001E-2</v>
      </c>
      <c r="P118">
        <v>0.97367250000000005</v>
      </c>
      <c r="Q118">
        <v>0.22178729999999999</v>
      </c>
      <c r="R118">
        <v>-5.2653220000000001E-2</v>
      </c>
      <c r="S118">
        <v>3.107605</v>
      </c>
      <c r="T118">
        <v>-0.10397289999999999</v>
      </c>
      <c r="U118">
        <v>6.1187739999999997E-2</v>
      </c>
      <c r="V118">
        <v>7.1678030000000004E-2</v>
      </c>
      <c r="W118">
        <v>0.2241523</v>
      </c>
      <c r="X118">
        <v>0.97191459999999996</v>
      </c>
      <c r="Y118">
        <v>-3.3010249999999999E-4</v>
      </c>
      <c r="Z118">
        <v>-5.9342379999999999E-4</v>
      </c>
      <c r="AA118">
        <v>0.99999979999999999</v>
      </c>
      <c r="AB118">
        <v>31</v>
      </c>
      <c r="AC118">
        <v>34.606900000000003</v>
      </c>
      <c r="AD118">
        <v>-1.169524</v>
      </c>
      <c r="AE118">
        <v>0.68170000000003395</v>
      </c>
      <c r="AF118">
        <v>-1.14000072131444E-2</v>
      </c>
      <c r="AG118">
        <v>-1.169524</v>
      </c>
      <c r="AH118">
        <v>34.574140873687803</v>
      </c>
      <c r="AI118">
        <v>91.937379888305699</v>
      </c>
      <c r="AJ118">
        <v>90.018891930777002</v>
      </c>
      <c r="AK118">
        <v>34.593917579545</v>
      </c>
      <c r="AL118">
        <v>77.046964518169503</v>
      </c>
      <c r="AM118">
        <v>85.782111777831105</v>
      </c>
      <c r="AN118">
        <v>0.99999999163656506</v>
      </c>
    </row>
    <row r="119" spans="1:40" x14ac:dyDescent="0.25">
      <c r="A119" t="str">
        <f>"20190303170943927"</f>
        <v>20190303170943927</v>
      </c>
      <c r="B119" t="str">
        <f>"1551604183921016"</f>
        <v>1551604183921016</v>
      </c>
      <c r="C119" t="s">
        <v>40</v>
      </c>
      <c r="D119">
        <v>5.0908350000000002</v>
      </c>
      <c r="E119">
        <v>0.4793944</v>
      </c>
      <c r="F119" t="s">
        <v>41</v>
      </c>
      <c r="G119">
        <v>-419.351</v>
      </c>
      <c r="H119">
        <v>-0.05</v>
      </c>
      <c r="I119">
        <v>368.32</v>
      </c>
      <c r="J119">
        <v>-454.04989999999998</v>
      </c>
      <c r="K119">
        <v>1.1195600000000001</v>
      </c>
      <c r="L119">
        <v>367.7</v>
      </c>
      <c r="M119">
        <v>0.9998184</v>
      </c>
      <c r="N119">
        <v>-2.6117860000000001E-3</v>
      </c>
      <c r="O119">
        <v>1.8882989999999999E-2</v>
      </c>
      <c r="P119">
        <v>0.97353920000000005</v>
      </c>
      <c r="Q119">
        <v>0.2219023</v>
      </c>
      <c r="R119">
        <v>-5.4600999999999997E-2</v>
      </c>
      <c r="S119">
        <v>3.1076969999999999</v>
      </c>
      <c r="T119">
        <v>-0.103424</v>
      </c>
      <c r="U119">
        <v>5.5541989999999999E-2</v>
      </c>
      <c r="V119">
        <v>7.3143620000000006E-2</v>
      </c>
      <c r="W119">
        <v>0.224386</v>
      </c>
      <c r="X119">
        <v>0.97175149999999999</v>
      </c>
      <c r="Y119">
        <v>1.004207E-3</v>
      </c>
      <c r="Z119">
        <v>-5.9685599999999999E-4</v>
      </c>
      <c r="AA119">
        <v>0.99999930000000004</v>
      </c>
      <c r="AB119">
        <v>31</v>
      </c>
      <c r="AC119">
        <v>34.698899999999902</v>
      </c>
      <c r="AD119">
        <v>-1.1695599999999999</v>
      </c>
      <c r="AE119">
        <v>0.62000000000000399</v>
      </c>
      <c r="AF119">
        <v>3.5291608574241101E-2</v>
      </c>
      <c r="AG119">
        <v>-1.1695599999999999</v>
      </c>
      <c r="AH119">
        <v>34.665050527457602</v>
      </c>
      <c r="AI119">
        <v>91.932361473919499</v>
      </c>
      <c r="AJ119">
        <v>89.941668640484806</v>
      </c>
      <c r="AK119">
        <v>34.684792693087097</v>
      </c>
      <c r="AL119">
        <v>77.033224898043599</v>
      </c>
      <c r="AM119">
        <v>85.6954704181735</v>
      </c>
      <c r="AN119">
        <v>1.0000000219474701</v>
      </c>
    </row>
    <row r="120" spans="1:40" x14ac:dyDescent="0.25">
      <c r="A120" t="str">
        <f>"20190303170943948"</f>
        <v>20190303170943948</v>
      </c>
      <c r="B120" t="str">
        <f>"1551604183941043"</f>
        <v>1551604183941043</v>
      </c>
      <c r="C120" t="s">
        <v>40</v>
      </c>
      <c r="D120">
        <v>5.1077810000000001</v>
      </c>
      <c r="E120">
        <v>0.479435</v>
      </c>
      <c r="F120" t="s">
        <v>41</v>
      </c>
      <c r="G120">
        <v>-418.24770000000001</v>
      </c>
      <c r="H120">
        <v>-0.05</v>
      </c>
      <c r="I120">
        <v>368.2851</v>
      </c>
      <c r="J120">
        <v>-453.73</v>
      </c>
      <c r="K120">
        <v>1.1195759999999999</v>
      </c>
      <c r="L120">
        <v>367.70569999999998</v>
      </c>
      <c r="M120">
        <v>0.99982420000000005</v>
      </c>
      <c r="N120">
        <v>-2.6968109999999999E-3</v>
      </c>
      <c r="O120">
        <v>1.8550400000000002E-2</v>
      </c>
      <c r="P120">
        <v>0.9735568</v>
      </c>
      <c r="Q120">
        <v>0.22161320000000001</v>
      </c>
      <c r="R120">
        <v>-5.5450430000000002E-2</v>
      </c>
      <c r="S120">
        <v>3.1075439999999999</v>
      </c>
      <c r="T120">
        <v>-0.10151490000000001</v>
      </c>
      <c r="U120">
        <v>5.078125E-2</v>
      </c>
      <c r="V120">
        <v>7.3665289999999994E-2</v>
      </c>
      <c r="W120">
        <v>0.22418109999999999</v>
      </c>
      <c r="X120">
        <v>0.97175940000000005</v>
      </c>
      <c r="Y120">
        <v>2.2021129999999999E-3</v>
      </c>
      <c r="Z120">
        <v>-5.9465129999999996E-4</v>
      </c>
      <c r="AA120">
        <v>0.99999740000000004</v>
      </c>
      <c r="AB120">
        <v>31</v>
      </c>
      <c r="AC120">
        <v>35.482300000000002</v>
      </c>
      <c r="AD120">
        <v>-1.1695759999999999</v>
      </c>
      <c r="AE120">
        <v>0.57940000000002101</v>
      </c>
      <c r="AF120">
        <v>7.8827386618853607E-2</v>
      </c>
      <c r="AG120">
        <v>-1.1695759999999999</v>
      </c>
      <c r="AH120">
        <v>35.448437750505299</v>
      </c>
      <c r="AI120">
        <v>91.889711006050604</v>
      </c>
      <c r="AJ120">
        <v>89.8725904608105</v>
      </c>
      <c r="AK120">
        <v>35.467814434048599</v>
      </c>
      <c r="AL120">
        <v>77.045271893862804</v>
      </c>
      <c r="AM120">
        <v>85.664921672710804</v>
      </c>
      <c r="AN120">
        <v>1.00000003601817</v>
      </c>
    </row>
    <row r="121" spans="1:40" x14ac:dyDescent="0.25">
      <c r="A121" t="str">
        <f>"20190303170943992"</f>
        <v>20190303170943992</v>
      </c>
      <c r="B121" t="str">
        <f>"1551604183981059"</f>
        <v>1551604183981059</v>
      </c>
      <c r="C121" t="s">
        <v>40</v>
      </c>
      <c r="D121">
        <v>5.0827619999999998</v>
      </c>
      <c r="E121">
        <v>0.47945549999999998</v>
      </c>
      <c r="F121" t="s">
        <v>41</v>
      </c>
      <c r="G121">
        <v>-418.1148</v>
      </c>
      <c r="H121">
        <v>-0.05</v>
      </c>
      <c r="I121">
        <v>368.26049999999998</v>
      </c>
      <c r="J121">
        <v>-453.10660000000001</v>
      </c>
      <c r="K121">
        <v>1.119578</v>
      </c>
      <c r="L121">
        <v>367.71660000000003</v>
      </c>
      <c r="M121">
        <v>0.99983529999999998</v>
      </c>
      <c r="N121">
        <v>-2.8595869999999998E-3</v>
      </c>
      <c r="O121">
        <v>1.7922380000000002E-2</v>
      </c>
      <c r="P121">
        <v>0.97351500000000002</v>
      </c>
      <c r="Q121">
        <v>0.22128919999999999</v>
      </c>
      <c r="R121">
        <v>-5.7442189999999997E-2</v>
      </c>
      <c r="S121">
        <v>3.107513</v>
      </c>
      <c r="T121">
        <v>-0.1020484</v>
      </c>
      <c r="U121">
        <v>4.840088E-2</v>
      </c>
      <c r="V121">
        <v>7.5042319999999996E-2</v>
      </c>
      <c r="W121">
        <v>0.22401470000000001</v>
      </c>
      <c r="X121">
        <v>0.97169240000000001</v>
      </c>
      <c r="Y121">
        <v>2.339814E-3</v>
      </c>
      <c r="Z121">
        <v>-5.7883320000000002E-4</v>
      </c>
      <c r="AA121">
        <v>0.99999709999999997</v>
      </c>
      <c r="AB121">
        <v>32</v>
      </c>
      <c r="AC121">
        <v>34.991799999999998</v>
      </c>
      <c r="AD121">
        <v>-1.169578</v>
      </c>
      <c r="AE121">
        <v>0.54389999999995098</v>
      </c>
      <c r="AF121">
        <v>8.3233292156016395E-2</v>
      </c>
      <c r="AG121">
        <v>-1.169578</v>
      </c>
      <c r="AH121">
        <v>34.956883699656899</v>
      </c>
      <c r="AI121">
        <v>91.916266507562497</v>
      </c>
      <c r="AJ121">
        <v>89.863577446307801</v>
      </c>
      <c r="AK121">
        <v>34.976542974833102</v>
      </c>
      <c r="AL121">
        <v>77.055054614672599</v>
      </c>
      <c r="AM121">
        <v>85.583900090619196</v>
      </c>
      <c r="AN121">
        <v>1.0000000279124099</v>
      </c>
    </row>
    <row r="122" spans="1:40" x14ac:dyDescent="0.25">
      <c r="A122" t="str">
        <f>"20190303170944016"</f>
        <v>20190303170944016</v>
      </c>
      <c r="B122" t="str">
        <f>"1551604184010340"</f>
        <v>1551604184010340</v>
      </c>
      <c r="C122" t="s">
        <v>40</v>
      </c>
      <c r="D122">
        <v>4.9720339999999998</v>
      </c>
      <c r="E122">
        <v>0.479516</v>
      </c>
      <c r="F122" t="s">
        <v>41</v>
      </c>
      <c r="G122">
        <v>-417.22489999999999</v>
      </c>
      <c r="H122">
        <v>-0.05</v>
      </c>
      <c r="I122">
        <v>368.23329999999999</v>
      </c>
      <c r="J122">
        <v>-452.77499999999998</v>
      </c>
      <c r="K122">
        <v>1.119578</v>
      </c>
      <c r="L122">
        <v>367.72230000000002</v>
      </c>
      <c r="M122">
        <v>0.99984099999999998</v>
      </c>
      <c r="N122">
        <v>-2.9448220000000002E-3</v>
      </c>
      <c r="O122">
        <v>1.759291E-2</v>
      </c>
      <c r="P122">
        <v>0.97351880000000002</v>
      </c>
      <c r="Q122">
        <v>0.22087889999999999</v>
      </c>
      <c r="R122">
        <v>-5.8940630000000001E-2</v>
      </c>
      <c r="S122">
        <v>3.1073</v>
      </c>
      <c r="T122">
        <v>-0.1012837</v>
      </c>
      <c r="U122">
        <v>4.4738769999999997E-2</v>
      </c>
      <c r="V122">
        <v>7.6219789999999996E-2</v>
      </c>
      <c r="W122">
        <v>0.22368660000000001</v>
      </c>
      <c r="X122">
        <v>0.97167630000000005</v>
      </c>
      <c r="Y122">
        <v>3.1873499999999998E-3</v>
      </c>
      <c r="Z122">
        <v>-5.7805370000000005E-4</v>
      </c>
      <c r="AA122">
        <v>0.99999479999999996</v>
      </c>
      <c r="AB122">
        <v>32</v>
      </c>
      <c r="AC122">
        <v>35.550099999999901</v>
      </c>
      <c r="AD122">
        <v>-1.169578</v>
      </c>
      <c r="AE122">
        <v>0.51099999999996704</v>
      </c>
      <c r="AF122">
        <v>0.114387658943537</v>
      </c>
      <c r="AG122">
        <v>-1.169578</v>
      </c>
      <c r="AH122">
        <v>35.515155293675697</v>
      </c>
      <c r="AI122">
        <v>91.8861617339426</v>
      </c>
      <c r="AJ122">
        <v>89.815461670683803</v>
      </c>
      <c r="AK122">
        <v>35.534592339979199</v>
      </c>
      <c r="AL122">
        <v>77.0743423513632</v>
      </c>
      <c r="AM122">
        <v>85.514814728223101</v>
      </c>
      <c r="AN122">
        <v>0.99999999169444698</v>
      </c>
    </row>
    <row r="123" spans="1:40" x14ac:dyDescent="0.25">
      <c r="A123" t="str">
        <f>"20190303170944036"</f>
        <v>20190303170944036</v>
      </c>
      <c r="B123" t="str">
        <f>"1551604184021076"</f>
        <v>1551604184021076</v>
      </c>
      <c r="C123" t="s">
        <v>40</v>
      </c>
      <c r="D123">
        <v>5.0869749999999998</v>
      </c>
      <c r="E123">
        <v>0.47951050000000001</v>
      </c>
      <c r="F123" t="s">
        <v>41</v>
      </c>
      <c r="G123">
        <v>-416.85969999999998</v>
      </c>
      <c r="H123">
        <v>-0.05</v>
      </c>
      <c r="I123">
        <v>368.19150000000002</v>
      </c>
      <c r="J123">
        <v>-452.476</v>
      </c>
      <c r="K123">
        <v>1.119586</v>
      </c>
      <c r="L123">
        <v>367.72719999999998</v>
      </c>
      <c r="M123">
        <v>0.99984589999999995</v>
      </c>
      <c r="N123">
        <v>-3.0207480000000002E-3</v>
      </c>
      <c r="O123">
        <v>1.7295990000000001E-2</v>
      </c>
      <c r="P123">
        <v>0.97331369999999895</v>
      </c>
      <c r="Q123">
        <v>0.22137180000000001</v>
      </c>
      <c r="R123">
        <v>-6.0455969999999998E-2</v>
      </c>
      <c r="S123">
        <v>3.107056</v>
      </c>
      <c r="T123">
        <v>-0.10118099999999999</v>
      </c>
      <c r="U123">
        <v>4.058838E-2</v>
      </c>
      <c r="V123">
        <v>7.7443319999999996E-2</v>
      </c>
      <c r="W123">
        <v>0.22425129999999999</v>
      </c>
      <c r="X123">
        <v>0.97144940000000002</v>
      </c>
      <c r="Y123">
        <v>4.224383E-3</v>
      </c>
      <c r="Z123">
        <v>-5.8594180000000004E-4</v>
      </c>
      <c r="AA123">
        <v>0.99999090000000002</v>
      </c>
      <c r="AB123">
        <v>32</v>
      </c>
      <c r="AC123">
        <v>35.616300000000003</v>
      </c>
      <c r="AD123">
        <v>-1.169586</v>
      </c>
      <c r="AE123">
        <v>0.46430000000003702</v>
      </c>
      <c r="AF123">
        <v>0.151627919414384</v>
      </c>
      <c r="AG123">
        <v>-1.169586</v>
      </c>
      <c r="AH123">
        <v>35.580640306558998</v>
      </c>
      <c r="AI123">
        <v>91.882698358656697</v>
      </c>
      <c r="AJ123">
        <v>89.755833869949498</v>
      </c>
      <c r="AK123">
        <v>35.600180997602699</v>
      </c>
      <c r="AL123">
        <v>77.041144503809704</v>
      </c>
      <c r="AM123">
        <v>85.442056589627995</v>
      </c>
      <c r="AN123">
        <v>1.00000002506233</v>
      </c>
    </row>
    <row r="124" spans="1:40" x14ac:dyDescent="0.25">
      <c r="A124" t="str">
        <f>"20190303170944061"</f>
        <v>20190303170944061</v>
      </c>
      <c r="B124" t="str">
        <f>"1551604184050356"</f>
        <v>1551604184050356</v>
      </c>
      <c r="C124" t="s">
        <v>40</v>
      </c>
      <c r="D124">
        <v>5.1173919999999997</v>
      </c>
      <c r="E124">
        <v>0.49819469999999999</v>
      </c>
      <c r="F124" t="s">
        <v>41</v>
      </c>
      <c r="G124">
        <v>-415.77359999999999</v>
      </c>
      <c r="H124">
        <v>-0.05</v>
      </c>
      <c r="I124">
        <v>368.15949999999998</v>
      </c>
      <c r="J124">
        <v>-452.12349999999998</v>
      </c>
      <c r="K124">
        <v>1.119615</v>
      </c>
      <c r="L124">
        <v>367.733</v>
      </c>
      <c r="M124">
        <v>0.9998513</v>
      </c>
      <c r="N124">
        <v>-3.1954069999999999E-3</v>
      </c>
      <c r="O124">
        <v>1.6947319999999998E-2</v>
      </c>
      <c r="P124">
        <v>0.97303799999999996</v>
      </c>
      <c r="Q124">
        <v>0.22184719999999999</v>
      </c>
      <c r="R124">
        <v>-6.3093449999999995E-2</v>
      </c>
      <c r="S124">
        <v>3.1071170000000001</v>
      </c>
      <c r="T124">
        <v>-9.9013450000000003E-2</v>
      </c>
      <c r="U124">
        <v>3.6590579999999998E-2</v>
      </c>
      <c r="V124">
        <v>7.9738100000000006E-2</v>
      </c>
      <c r="W124">
        <v>0.22489339999999999</v>
      </c>
      <c r="X124">
        <v>0.97111519999999996</v>
      </c>
      <c r="Y124">
        <v>5.1625150000000003E-3</v>
      </c>
      <c r="Z124">
        <v>-5.762063E-4</v>
      </c>
      <c r="AA124">
        <v>0.9999865</v>
      </c>
      <c r="AB124">
        <v>32</v>
      </c>
      <c r="AC124">
        <v>36.349899999999899</v>
      </c>
      <c r="AD124">
        <v>-1.1696150000000001</v>
      </c>
      <c r="AE124">
        <v>0.42649999999997501</v>
      </c>
      <c r="AF124">
        <v>0.18940170501311701</v>
      </c>
      <c r="AG124">
        <v>-1.1696150000000001</v>
      </c>
      <c r="AH124">
        <v>36.314315404734799</v>
      </c>
      <c r="AI124">
        <v>91.844725247335802</v>
      </c>
      <c r="AJ124">
        <v>89.701169640402298</v>
      </c>
      <c r="AK124">
        <v>36.333639723658898</v>
      </c>
      <c r="AL124">
        <v>77.003389806687593</v>
      </c>
      <c r="AM124">
        <v>85.305983676385907</v>
      </c>
      <c r="AN124">
        <v>0.99999996881310405</v>
      </c>
    </row>
    <row r="125" spans="1:40" x14ac:dyDescent="0.25">
      <c r="A125" t="str">
        <f>"20190303170944082"</f>
        <v>20190303170944082</v>
      </c>
      <c r="B125" t="str">
        <f>"1551604184070851"</f>
        <v>1551604184070851</v>
      </c>
      <c r="C125" t="s">
        <v>40</v>
      </c>
      <c r="D125">
        <v>5.3309290000000003</v>
      </c>
      <c r="E125">
        <v>0.50533249999999996</v>
      </c>
      <c r="F125" t="s">
        <v>41</v>
      </c>
      <c r="G125">
        <v>-413.54309999999998</v>
      </c>
      <c r="H125">
        <v>-0.05</v>
      </c>
      <c r="I125">
        <v>366.23880000000003</v>
      </c>
      <c r="J125">
        <v>-451.80250000000001</v>
      </c>
      <c r="K125">
        <v>1.1196889999999999</v>
      </c>
      <c r="L125">
        <v>367.73809999999997</v>
      </c>
      <c r="M125">
        <v>0.99985559999999996</v>
      </c>
      <c r="N125">
        <v>-3.516304E-3</v>
      </c>
      <c r="O125">
        <v>1.6631219999999999E-2</v>
      </c>
      <c r="P125">
        <v>0.97294480000000005</v>
      </c>
      <c r="Q125">
        <v>0.2214497</v>
      </c>
      <c r="R125">
        <v>-6.587018E-2</v>
      </c>
      <c r="S125">
        <v>3.0967410000000002</v>
      </c>
      <c r="T125">
        <v>-9.3881610000000004E-2</v>
      </c>
      <c r="U125">
        <v>-0.1199341</v>
      </c>
      <c r="V125">
        <v>8.2206760000000004E-2</v>
      </c>
      <c r="W125">
        <v>0.22480520000000001</v>
      </c>
      <c r="X125">
        <v>0.97092979999999995</v>
      </c>
      <c r="Y125">
        <v>5.527936E-2</v>
      </c>
      <c r="Z125">
        <v>-1.380147E-3</v>
      </c>
      <c r="AA125">
        <v>0.99846990000000002</v>
      </c>
      <c r="AB125">
        <v>32</v>
      </c>
      <c r="AC125">
        <v>38.259399999999999</v>
      </c>
      <c r="AD125">
        <v>-1.169689</v>
      </c>
      <c r="AE125">
        <v>-1.4992999999999399</v>
      </c>
      <c r="AF125">
        <v>2.1334060044311798</v>
      </c>
      <c r="AG125">
        <v>-1.169689</v>
      </c>
      <c r="AH125">
        <v>38.193528885625803</v>
      </c>
      <c r="AI125">
        <v>91.751424769336197</v>
      </c>
      <c r="AJ125">
        <v>86.802906860499107</v>
      </c>
      <c r="AK125">
        <v>38.270945144764802</v>
      </c>
      <c r="AL125">
        <v>77.008576548103093</v>
      </c>
      <c r="AM125">
        <v>85.160418923708406</v>
      </c>
      <c r="AN125">
        <v>1.0000000029323799</v>
      </c>
    </row>
    <row r="126" spans="1:40" x14ac:dyDescent="0.25">
      <c r="A126" t="str">
        <f>"20190303170944107"</f>
        <v>20190303170944107</v>
      </c>
      <c r="B126" t="str">
        <f>"1551604184101108"</f>
        <v>1551604184101108</v>
      </c>
      <c r="C126" t="s">
        <v>40</v>
      </c>
      <c r="D126">
        <v>4.9962479999999996</v>
      </c>
      <c r="E126">
        <v>0.50941179999999997</v>
      </c>
      <c r="F126" t="s">
        <v>41</v>
      </c>
      <c r="G126">
        <v>-412.57229999999998</v>
      </c>
      <c r="H126">
        <v>-0.05</v>
      </c>
      <c r="I126">
        <v>365.3931</v>
      </c>
      <c r="J126">
        <v>-451.45249999999999</v>
      </c>
      <c r="K126">
        <v>1.1198129999999999</v>
      </c>
      <c r="L126">
        <v>367.74360000000001</v>
      </c>
      <c r="M126">
        <v>0.99985900000000005</v>
      </c>
      <c r="N126">
        <v>-4.1115489999999999E-3</v>
      </c>
      <c r="O126">
        <v>1.6286080000000001E-2</v>
      </c>
      <c r="P126">
        <v>0.97295509999999996</v>
      </c>
      <c r="Q126">
        <v>0.22056909999999999</v>
      </c>
      <c r="R126">
        <v>-6.8613800000000003E-2</v>
      </c>
      <c r="S126">
        <v>3.0918580000000002</v>
      </c>
      <c r="T126">
        <v>-9.2186809999999994E-2</v>
      </c>
      <c r="U126">
        <v>-0.18481449999999999</v>
      </c>
      <c r="V126">
        <v>8.4616640000000007E-2</v>
      </c>
      <c r="W126">
        <v>0.2244999</v>
      </c>
      <c r="X126">
        <v>0.97079340000000003</v>
      </c>
      <c r="Y126">
        <v>7.587373E-2</v>
      </c>
      <c r="Z126">
        <v>-1.7042299999999999E-3</v>
      </c>
      <c r="AA126">
        <v>0.997116</v>
      </c>
      <c r="AB126">
        <v>32</v>
      </c>
      <c r="AC126">
        <v>38.880200000000002</v>
      </c>
      <c r="AD126">
        <v>-1.169813</v>
      </c>
      <c r="AE126">
        <v>-2.35050000000001</v>
      </c>
      <c r="AF126">
        <v>2.9807110952537599</v>
      </c>
      <c r="AG126">
        <v>-1.169813</v>
      </c>
      <c r="AH126">
        <v>38.801764614898602</v>
      </c>
      <c r="AI126">
        <v>91.721786063978897</v>
      </c>
      <c r="AJ126">
        <v>85.607225220987502</v>
      </c>
      <c r="AK126">
        <v>38.933662020394799</v>
      </c>
      <c r="AL126">
        <v>77.026527806057103</v>
      </c>
      <c r="AM126">
        <v>85.018554547716406</v>
      </c>
      <c r="AN126">
        <v>1.00000000317422</v>
      </c>
    </row>
    <row r="127" spans="1:40" x14ac:dyDescent="0.25">
      <c r="A127" t="str">
        <f>"20190303170944129"</f>
        <v>20190303170944129</v>
      </c>
      <c r="B127" t="str">
        <f>"1551604184120627"</f>
        <v>1551604184120627</v>
      </c>
      <c r="C127" t="s">
        <v>40</v>
      </c>
      <c r="D127">
        <v>5.0522090000000004</v>
      </c>
      <c r="E127">
        <v>0.51090820000000003</v>
      </c>
      <c r="F127" t="s">
        <v>41</v>
      </c>
      <c r="G127">
        <v>-409.1447</v>
      </c>
      <c r="H127">
        <v>-0.05</v>
      </c>
      <c r="I127">
        <v>364.64749999999998</v>
      </c>
      <c r="J127">
        <v>-451.13029999999998</v>
      </c>
      <c r="K127">
        <v>1.1199440000000001</v>
      </c>
      <c r="L127">
        <v>367.7484</v>
      </c>
      <c r="M127">
        <v>0.999861</v>
      </c>
      <c r="N127">
        <v>-4.803725E-3</v>
      </c>
      <c r="O127">
        <v>1.5966459999999998E-2</v>
      </c>
      <c r="P127">
        <v>0.97301059999999995</v>
      </c>
      <c r="Q127">
        <v>0.219725</v>
      </c>
      <c r="R127">
        <v>-7.0506470000000002E-2</v>
      </c>
      <c r="S127">
        <v>3.086792</v>
      </c>
      <c r="T127">
        <v>-8.5350040000000002E-2</v>
      </c>
      <c r="U127">
        <v>-0.22589110000000001</v>
      </c>
      <c r="V127">
        <v>8.6203689999999999E-2</v>
      </c>
      <c r="W127">
        <v>0.2243251</v>
      </c>
      <c r="X127">
        <v>0.97069419999999995</v>
      </c>
      <c r="Y127">
        <v>8.8855649999999994E-2</v>
      </c>
      <c r="Z127">
        <v>-1.8045870000000001E-3</v>
      </c>
      <c r="AA127">
        <v>0.99604289999999995</v>
      </c>
      <c r="AB127">
        <v>33</v>
      </c>
      <c r="AC127">
        <v>41.985599999999899</v>
      </c>
      <c r="AD127">
        <v>-1.1699440000000001</v>
      </c>
      <c r="AE127">
        <v>-3.1009000000000202</v>
      </c>
      <c r="AF127">
        <v>3.7679639724835301</v>
      </c>
      <c r="AG127">
        <v>-1.1699440000000001</v>
      </c>
      <c r="AH127">
        <v>41.898380226980798</v>
      </c>
      <c r="AI127">
        <v>91.593050001415605</v>
      </c>
      <c r="AJ127">
        <v>84.861156105520195</v>
      </c>
      <c r="AK127">
        <v>42.083733046222498</v>
      </c>
      <c r="AL127">
        <v>77.036805573290593</v>
      </c>
      <c r="AM127">
        <v>84.925091192426905</v>
      </c>
      <c r="AN127">
        <v>1.0000000282866299</v>
      </c>
    </row>
    <row r="128" spans="1:40" x14ac:dyDescent="0.25">
      <c r="A128" t="str">
        <f>"20190303170944150"</f>
        <v>20190303170944150</v>
      </c>
      <c r="B128" t="str">
        <f>"1551604184141124"</f>
        <v>1551604184141124</v>
      </c>
      <c r="C128" t="s">
        <v>40</v>
      </c>
      <c r="D128">
        <v>5.0328350000000004</v>
      </c>
      <c r="E128">
        <v>0.51157680000000005</v>
      </c>
      <c r="F128" t="s">
        <v>41</v>
      </c>
      <c r="G128">
        <v>-409.36930000000001</v>
      </c>
      <c r="H128">
        <v>-0.05</v>
      </c>
      <c r="I128">
        <v>364.45859999999999</v>
      </c>
      <c r="J128">
        <v>-450.82400000000001</v>
      </c>
      <c r="K128">
        <v>1.120061</v>
      </c>
      <c r="L128">
        <v>367.75299999999999</v>
      </c>
      <c r="M128">
        <v>0.99986240000000004</v>
      </c>
      <c r="N128">
        <v>-5.4779090000000004E-3</v>
      </c>
      <c r="O128">
        <v>1.566064E-2</v>
      </c>
      <c r="P128">
        <v>0.97289570000000003</v>
      </c>
      <c r="Q128">
        <v>0.21975690000000001</v>
      </c>
      <c r="R128">
        <v>-7.1979180000000004E-2</v>
      </c>
      <c r="S128">
        <v>3.085175</v>
      </c>
      <c r="T128">
        <v>-8.6431980000000005E-2</v>
      </c>
      <c r="U128">
        <v>-0.24304200000000001</v>
      </c>
      <c r="V128">
        <v>8.7381429999999996E-2</v>
      </c>
      <c r="W128">
        <v>0.22500819999999999</v>
      </c>
      <c r="X128">
        <v>0.97043069999999998</v>
      </c>
      <c r="Y128">
        <v>9.4089099999999995E-2</v>
      </c>
      <c r="Z128">
        <v>-1.9262319999999999E-3</v>
      </c>
      <c r="AA128">
        <v>0.9955619</v>
      </c>
      <c r="AB128">
        <v>32</v>
      </c>
      <c r="AC128">
        <v>41.454700000000003</v>
      </c>
      <c r="AD128">
        <v>-1.170061</v>
      </c>
      <c r="AE128">
        <v>-3.2944000000000502</v>
      </c>
      <c r="AF128">
        <v>3.94009363500358</v>
      </c>
      <c r="AG128">
        <v>-1.170061</v>
      </c>
      <c r="AH128">
        <v>41.365275873673099</v>
      </c>
      <c r="AI128">
        <v>91.612943727869194</v>
      </c>
      <c r="AJ128">
        <v>84.558921854146405</v>
      </c>
      <c r="AK128">
        <v>41.568971946650301</v>
      </c>
      <c r="AL128">
        <v>76.996639302477604</v>
      </c>
      <c r="AM128">
        <v>84.854736565037499</v>
      </c>
      <c r="AN128">
        <v>0.99999997393928697</v>
      </c>
    </row>
    <row r="129" spans="1:40" x14ac:dyDescent="0.25">
      <c r="A129" t="str">
        <f>"20190303170944172"</f>
        <v>20190303170944172</v>
      </c>
      <c r="B129" t="str">
        <f>"1551604184160643"</f>
        <v>1551604184160643</v>
      </c>
      <c r="C129" t="s">
        <v>40</v>
      </c>
      <c r="D129">
        <v>4.9905429999999997</v>
      </c>
      <c r="E129">
        <v>0.51154429999999995</v>
      </c>
      <c r="F129" t="s">
        <v>41</v>
      </c>
      <c r="G129">
        <v>-407.17520000000002</v>
      </c>
      <c r="H129">
        <v>-0.05</v>
      </c>
      <c r="I129">
        <v>364.17790000000002</v>
      </c>
      <c r="J129">
        <v>-450.5095</v>
      </c>
      <c r="K129">
        <v>1.120163</v>
      </c>
      <c r="L129">
        <v>367.75760000000002</v>
      </c>
      <c r="M129">
        <v>0.99986330000000001</v>
      </c>
      <c r="N129">
        <v>-6.1561619999999997E-3</v>
      </c>
      <c r="O129">
        <v>1.534488E-2</v>
      </c>
      <c r="P129">
        <v>0.97270009999999996</v>
      </c>
      <c r="Q129">
        <v>0.22028990000000001</v>
      </c>
      <c r="R129">
        <v>-7.2986819999999994E-2</v>
      </c>
      <c r="S129">
        <v>3.0835270000000001</v>
      </c>
      <c r="T129">
        <v>-8.2657809999999998E-2</v>
      </c>
      <c r="U129">
        <v>-0.2525635</v>
      </c>
      <c r="V129">
        <v>8.8082469999999996E-2</v>
      </c>
      <c r="W129">
        <v>0.22619690000000001</v>
      </c>
      <c r="X129">
        <v>0.97009089999999998</v>
      </c>
      <c r="Y129">
        <v>9.6872520000000004E-2</v>
      </c>
      <c r="Z129">
        <v>-1.911088E-3</v>
      </c>
      <c r="AA129">
        <v>0.99529500000000004</v>
      </c>
      <c r="AB129">
        <v>32</v>
      </c>
      <c r="AC129">
        <v>43.334299999999899</v>
      </c>
      <c r="AD129">
        <v>-1.1701629999999901</v>
      </c>
      <c r="AE129">
        <v>-3.5796999999999999</v>
      </c>
      <c r="AF129">
        <v>4.2411791684553597</v>
      </c>
      <c r="AG129">
        <v>-1.1701629999999901</v>
      </c>
      <c r="AH129">
        <v>43.242948755791097</v>
      </c>
      <c r="AI129">
        <v>91.542658915383299</v>
      </c>
      <c r="AJ129">
        <v>84.398463271398995</v>
      </c>
      <c r="AK129">
        <v>43.466188000346698</v>
      </c>
      <c r="AL129">
        <v>76.926729257738799</v>
      </c>
      <c r="AM129">
        <v>84.811874857816605</v>
      </c>
      <c r="AN129">
        <v>0.99999995667685904</v>
      </c>
    </row>
    <row r="130" spans="1:40" x14ac:dyDescent="0.25">
      <c r="A130" t="str">
        <f>"20190303170944195"</f>
        <v>20190303170944195</v>
      </c>
      <c r="B130" t="str">
        <f>"1551604184190900"</f>
        <v>1551604184190900</v>
      </c>
      <c r="C130" t="s">
        <v>40</v>
      </c>
      <c r="D130">
        <v>5.0922790000000004</v>
      </c>
      <c r="E130">
        <v>0.51205800000000001</v>
      </c>
      <c r="F130" t="s">
        <v>41</v>
      </c>
      <c r="G130">
        <v>-404.02620000000002</v>
      </c>
      <c r="H130">
        <v>-0.05</v>
      </c>
      <c r="I130">
        <v>363.92529999999999</v>
      </c>
      <c r="J130">
        <v>-450.15559999999999</v>
      </c>
      <c r="K130">
        <v>1.120258</v>
      </c>
      <c r="L130">
        <v>367.76260000000002</v>
      </c>
      <c r="M130">
        <v>0.99986410000000003</v>
      </c>
      <c r="N130">
        <v>-6.884243E-3</v>
      </c>
      <c r="O130">
        <v>1.498937E-2</v>
      </c>
      <c r="P130">
        <v>0.97266359999999996</v>
      </c>
      <c r="Q130">
        <v>0.22018560000000001</v>
      </c>
      <c r="R130">
        <v>-7.3785249999999997E-2</v>
      </c>
      <c r="S130">
        <v>3.082703</v>
      </c>
      <c r="T130">
        <v>-7.7603580000000005E-2</v>
      </c>
      <c r="U130">
        <v>-0.2541504</v>
      </c>
      <c r="V130">
        <v>8.853656E-2</v>
      </c>
      <c r="W130">
        <v>0.2267979</v>
      </c>
      <c r="X130">
        <v>0.96990929999999997</v>
      </c>
      <c r="Y130">
        <v>9.7053619999999993E-2</v>
      </c>
      <c r="Z130">
        <v>-1.827752E-3</v>
      </c>
      <c r="AA130">
        <v>0.99527750000000004</v>
      </c>
      <c r="AB130">
        <v>32</v>
      </c>
      <c r="AC130">
        <v>46.129399999999897</v>
      </c>
      <c r="AD130">
        <v>-1.170258</v>
      </c>
      <c r="AE130">
        <v>-3.8373000000000199</v>
      </c>
      <c r="AF130">
        <v>4.5254432964378797</v>
      </c>
      <c r="AG130">
        <v>-1.170258</v>
      </c>
      <c r="AH130">
        <v>46.037271800428698</v>
      </c>
      <c r="AI130">
        <v>91.449151773127397</v>
      </c>
      <c r="AJ130">
        <v>84.385886742793502</v>
      </c>
      <c r="AK130">
        <v>46.273961745698699</v>
      </c>
      <c r="AL130">
        <v>76.891376695211704</v>
      </c>
      <c r="AM130">
        <v>84.784304702372594</v>
      </c>
      <c r="AN130">
        <v>1.0000000300637599</v>
      </c>
    </row>
    <row r="131" spans="1:40" x14ac:dyDescent="0.25">
      <c r="A131" t="str">
        <f>"20190303170944215"</f>
        <v>20190303170944215</v>
      </c>
      <c r="B131" t="str">
        <f>"1551604184200661"</f>
        <v>1551604184200661</v>
      </c>
      <c r="C131" t="s">
        <v>40</v>
      </c>
      <c r="D131">
        <v>5.0284149999999999</v>
      </c>
      <c r="E131">
        <v>0.51233739999999905</v>
      </c>
      <c r="F131" t="s">
        <v>41</v>
      </c>
      <c r="G131">
        <v>-405.46460000000002</v>
      </c>
      <c r="H131">
        <v>-0.05</v>
      </c>
      <c r="I131">
        <v>363.99290000000002</v>
      </c>
      <c r="J131">
        <v>-449.87979999999999</v>
      </c>
      <c r="K131">
        <v>1.1203110000000001</v>
      </c>
      <c r="L131">
        <v>367.76639999999998</v>
      </c>
      <c r="M131">
        <v>0.99986430000000004</v>
      </c>
      <c r="N131">
        <v>-7.4092450000000001E-3</v>
      </c>
      <c r="O131">
        <v>1.471515E-2</v>
      </c>
      <c r="P131">
        <v>0.97261220000000004</v>
      </c>
      <c r="Q131">
        <v>0.22028610000000001</v>
      </c>
      <c r="R131">
        <v>-7.4161550000000007E-2</v>
      </c>
      <c r="S131">
        <v>3.0828549999999999</v>
      </c>
      <c r="T131">
        <v>-8.0726270000000003E-2</v>
      </c>
      <c r="U131">
        <v>-0.2600403</v>
      </c>
      <c r="V131">
        <v>8.8646870000000003E-2</v>
      </c>
      <c r="W131">
        <v>0.2274072</v>
      </c>
      <c r="X131">
        <v>0.96975650000000002</v>
      </c>
      <c r="Y131">
        <v>9.8660650000000003E-2</v>
      </c>
      <c r="Z131">
        <v>-1.931281E-3</v>
      </c>
      <c r="AA131">
        <v>0.99511930000000004</v>
      </c>
      <c r="AB131">
        <v>32</v>
      </c>
      <c r="AC131">
        <v>44.415199999999899</v>
      </c>
      <c r="AD131">
        <v>-1.1703110000000001</v>
      </c>
      <c r="AE131">
        <v>-3.7734999999999501</v>
      </c>
      <c r="AF131">
        <v>4.4236363955687503</v>
      </c>
      <c r="AG131">
        <v>-1.1703110000000001</v>
      </c>
      <c r="AH131">
        <v>44.3243083235132</v>
      </c>
      <c r="AI131">
        <v>91.504977103898</v>
      </c>
      <c r="AJ131">
        <v>84.300662649054402</v>
      </c>
      <c r="AK131">
        <v>44.559875394291502</v>
      </c>
      <c r="AL131">
        <v>76.855529133205195</v>
      </c>
      <c r="AM131">
        <v>84.777023958511606</v>
      </c>
      <c r="AN131">
        <v>0.99999998573244298</v>
      </c>
    </row>
    <row r="132" spans="1:40" x14ac:dyDescent="0.25">
      <c r="A132" t="str">
        <f>"20190303170944250"</f>
        <v>20190303170944250</v>
      </c>
      <c r="B132" t="str">
        <f>"1551604184240676"</f>
        <v>1551604184240676</v>
      </c>
      <c r="C132" t="s">
        <v>40</v>
      </c>
      <c r="D132">
        <v>5.0208760000000003</v>
      </c>
      <c r="E132">
        <v>0.51269189999999998</v>
      </c>
      <c r="F132" t="s">
        <v>41</v>
      </c>
      <c r="G132">
        <v>-405.0455</v>
      </c>
      <c r="H132">
        <v>-0.05</v>
      </c>
      <c r="I132">
        <v>363.95699999999999</v>
      </c>
      <c r="J132">
        <v>-449.38010000000003</v>
      </c>
      <c r="K132">
        <v>1.1203920000000001</v>
      </c>
      <c r="L132">
        <v>367.77319999999997</v>
      </c>
      <c r="M132">
        <v>0.99986489999999995</v>
      </c>
      <c r="N132">
        <v>-8.2555409999999999E-3</v>
      </c>
      <c r="O132">
        <v>1.422258E-2</v>
      </c>
      <c r="P132">
        <v>0.97262720000000003</v>
      </c>
      <c r="Q132">
        <v>0.22014339999999999</v>
      </c>
      <c r="R132">
        <v>-7.4385809999999997E-2</v>
      </c>
      <c r="S132">
        <v>3.082703</v>
      </c>
      <c r="T132">
        <v>-8.0467940000000002E-2</v>
      </c>
      <c r="U132">
        <v>-0.26193240000000001</v>
      </c>
      <c r="V132">
        <v>8.8393769999999997E-2</v>
      </c>
      <c r="W132">
        <v>0.2280855</v>
      </c>
      <c r="X132">
        <v>0.96962029999999999</v>
      </c>
      <c r="Y132">
        <v>9.8780489999999999E-2</v>
      </c>
      <c r="Z132">
        <v>-1.948665E-3</v>
      </c>
      <c r="AA132">
        <v>0.99510739999999998</v>
      </c>
      <c r="AB132">
        <v>32</v>
      </c>
      <c r="AC132">
        <v>44.334600000000002</v>
      </c>
      <c r="AD132">
        <v>-1.1703920000000001</v>
      </c>
      <c r="AE132">
        <v>-3.8161999999999798</v>
      </c>
      <c r="AF132">
        <v>4.4433139659971603</v>
      </c>
      <c r="AG132">
        <v>-1.1703920000000001</v>
      </c>
      <c r="AH132">
        <v>44.245229188804302</v>
      </c>
      <c r="AI132">
        <v>91.507676919445899</v>
      </c>
      <c r="AJ132">
        <v>84.265315159318007</v>
      </c>
      <c r="AK132">
        <v>44.483178420655904</v>
      </c>
      <c r="AL132">
        <v>76.815616578378098</v>
      </c>
      <c r="AM132">
        <v>84.791126656725098</v>
      </c>
      <c r="AN132">
        <v>0.99999999002857598</v>
      </c>
    </row>
    <row r="133" spans="1:40" x14ac:dyDescent="0.25">
      <c r="A133" t="str">
        <f>"20190303170944272"</f>
        <v>20190303170944272</v>
      </c>
      <c r="B133" t="str">
        <f>"1551604184260196"</f>
        <v>1551604184260196</v>
      </c>
      <c r="C133" t="s">
        <v>40</v>
      </c>
      <c r="D133">
        <v>4.9934149999999997</v>
      </c>
      <c r="E133">
        <v>0.51293370000000005</v>
      </c>
      <c r="F133" t="s">
        <v>41</v>
      </c>
      <c r="G133">
        <v>-404.69040000000001</v>
      </c>
      <c r="H133">
        <v>-0.05</v>
      </c>
      <c r="I133">
        <v>363.9273</v>
      </c>
      <c r="J133">
        <v>-449.0462</v>
      </c>
      <c r="K133">
        <v>1.12043</v>
      </c>
      <c r="L133">
        <v>367.77749999999997</v>
      </c>
      <c r="M133">
        <v>0.99986520000000001</v>
      </c>
      <c r="N133">
        <v>-8.7504820000000004E-3</v>
      </c>
      <c r="O133">
        <v>1.3890680000000001E-2</v>
      </c>
      <c r="P133">
        <v>0.97273339999999997</v>
      </c>
      <c r="Q133">
        <v>0.2194352</v>
      </c>
      <c r="R133">
        <v>-7.5085490000000005E-2</v>
      </c>
      <c r="S133">
        <v>3.0823969999999998</v>
      </c>
      <c r="T133">
        <v>-8.0725790000000006E-2</v>
      </c>
      <c r="U133">
        <v>-0.26525880000000002</v>
      </c>
      <c r="V133">
        <v>8.8770230000000006E-2</v>
      </c>
      <c r="W133">
        <v>0.22785900000000001</v>
      </c>
      <c r="X133">
        <v>0.96963920000000003</v>
      </c>
      <c r="Y133">
        <v>9.9523529999999999E-2</v>
      </c>
      <c r="Z133">
        <v>-1.97875E-3</v>
      </c>
      <c r="AA133">
        <v>0.99503330000000001</v>
      </c>
      <c r="AB133">
        <v>32</v>
      </c>
      <c r="AC133">
        <v>44.355799999999903</v>
      </c>
      <c r="AD133">
        <v>-1.1704299999999901</v>
      </c>
      <c r="AE133">
        <v>-3.8501999999999699</v>
      </c>
      <c r="AF133">
        <v>4.4629001030957198</v>
      </c>
      <c r="AG133">
        <v>-1.1704299999999901</v>
      </c>
      <c r="AH133">
        <v>44.267443806042898</v>
      </c>
      <c r="AI133">
        <v>91.506910754552905</v>
      </c>
      <c r="AJ133">
        <v>84.2430772524297</v>
      </c>
      <c r="AK133">
        <v>44.507234971814199</v>
      </c>
      <c r="AL133">
        <v>76.828945550393101</v>
      </c>
      <c r="AM133">
        <v>84.769166801690105</v>
      </c>
      <c r="AN133">
        <v>1.00000002789594</v>
      </c>
    </row>
    <row r="134" spans="1:40" x14ac:dyDescent="0.25">
      <c r="A134" t="str">
        <f>"20190303170944294"</f>
        <v>20190303170944294</v>
      </c>
      <c r="B134" t="str">
        <f>"1551604184280692"</f>
        <v>1551604184280692</v>
      </c>
      <c r="C134" t="s">
        <v>40</v>
      </c>
      <c r="D134">
        <v>5.2989739999999896</v>
      </c>
      <c r="E134">
        <v>0.51322950000000001</v>
      </c>
      <c r="F134" t="s">
        <v>41</v>
      </c>
      <c r="G134">
        <v>-405.46300000000002</v>
      </c>
      <c r="H134">
        <v>-0.05</v>
      </c>
      <c r="I134">
        <v>363.96510000000001</v>
      </c>
      <c r="J134">
        <v>-448.72590000000002</v>
      </c>
      <c r="K134">
        <v>1.1204540000000001</v>
      </c>
      <c r="L134">
        <v>367.78149999999999</v>
      </c>
      <c r="M134">
        <v>0.99986589999999997</v>
      </c>
      <c r="N134">
        <v>-9.1721010000000002E-3</v>
      </c>
      <c r="O134">
        <v>1.3567879999999999E-2</v>
      </c>
      <c r="P134">
        <v>0.97280259999999996</v>
      </c>
      <c r="Q134">
        <v>0.21884400000000001</v>
      </c>
      <c r="R134">
        <v>-7.5910850000000002E-2</v>
      </c>
      <c r="S134">
        <v>3.082001</v>
      </c>
      <c r="T134">
        <v>-8.2767250000000001E-2</v>
      </c>
      <c r="U134">
        <v>-0.26959229999999901</v>
      </c>
      <c r="V134">
        <v>8.9279730000000002E-2</v>
      </c>
      <c r="W134">
        <v>0.22767789999999999</v>
      </c>
      <c r="X134">
        <v>0.96963500000000002</v>
      </c>
      <c r="Y134">
        <v>0.1005987</v>
      </c>
      <c r="Z134">
        <v>-2.0497969999999999E-3</v>
      </c>
      <c r="AA134">
        <v>0.99492499999999995</v>
      </c>
      <c r="AB134">
        <v>32</v>
      </c>
      <c r="AC134">
        <v>43.262900000000002</v>
      </c>
      <c r="AD134">
        <v>-1.1704540000000001</v>
      </c>
      <c r="AE134">
        <v>-3.8163999999999798</v>
      </c>
      <c r="AF134">
        <v>4.3998636136221601</v>
      </c>
      <c r="AG134">
        <v>-1.1704540000000001</v>
      </c>
      <c r="AH134">
        <v>43.175776570986997</v>
      </c>
      <c r="AI134">
        <v>91.544856561847595</v>
      </c>
      <c r="AJ134">
        <v>84.181312171236698</v>
      </c>
      <c r="AK134">
        <v>43.415163766734601</v>
      </c>
      <c r="AL134">
        <v>76.8396024090015</v>
      </c>
      <c r="AM134">
        <v>84.739289554109902</v>
      </c>
      <c r="AN134">
        <v>1.00000006478113</v>
      </c>
    </row>
    <row r="135" spans="1:40" x14ac:dyDescent="0.25">
      <c r="A135" t="str">
        <f>"20190303170944318"</f>
        <v>20190303170944318</v>
      </c>
      <c r="B135" t="str">
        <f>"1551604184310947"</f>
        <v>1551604184310947</v>
      </c>
      <c r="C135" t="s">
        <v>40</v>
      </c>
      <c r="D135">
        <v>5.2123689999999998</v>
      </c>
      <c r="E135">
        <v>0.51348629999999995</v>
      </c>
      <c r="F135" t="s">
        <v>41</v>
      </c>
      <c r="G135">
        <v>-404.9753</v>
      </c>
      <c r="H135">
        <v>-0.05</v>
      </c>
      <c r="I135">
        <v>363.8861</v>
      </c>
      <c r="J135">
        <v>-448.38600000000002</v>
      </c>
      <c r="K135">
        <v>1.1204829999999999</v>
      </c>
      <c r="L135">
        <v>367.78579999999999</v>
      </c>
      <c r="M135">
        <v>0.99986679999999994</v>
      </c>
      <c r="N135">
        <v>-9.5654090000000004E-3</v>
      </c>
      <c r="O135">
        <v>1.3222380000000001E-2</v>
      </c>
      <c r="P135">
        <v>0.97279870000000002</v>
      </c>
      <c r="Q135">
        <v>0.21875159999999999</v>
      </c>
      <c r="R135">
        <v>-7.6227119999999995E-2</v>
      </c>
      <c r="S135">
        <v>3.080994</v>
      </c>
      <c r="T135">
        <v>-8.2425360000000003E-2</v>
      </c>
      <c r="U135">
        <v>-0.27432250000000002</v>
      </c>
      <c r="V135">
        <v>8.9257149999999993E-2</v>
      </c>
      <c r="W135">
        <v>0.22796849999999999</v>
      </c>
      <c r="X135">
        <v>0.96956869999999995</v>
      </c>
      <c r="Y135">
        <v>0.10179820000000001</v>
      </c>
      <c r="Z135">
        <v>-2.0735459999999999E-3</v>
      </c>
      <c r="AA135">
        <v>0.99480290000000005</v>
      </c>
      <c r="AB135">
        <v>32</v>
      </c>
      <c r="AC135">
        <v>43.410699999999899</v>
      </c>
      <c r="AD135">
        <v>-1.1704829999999999</v>
      </c>
      <c r="AE135">
        <v>-3.89969999999999</v>
      </c>
      <c r="AF135">
        <v>4.4701543039907499</v>
      </c>
      <c r="AG135">
        <v>-1.1704829999999999</v>
      </c>
      <c r="AH135">
        <v>43.324094398564696</v>
      </c>
      <c r="AI135">
        <v>91.5394096365672</v>
      </c>
      <c r="AJ135">
        <v>84.109101328946196</v>
      </c>
      <c r="AK135">
        <v>43.569822875592699</v>
      </c>
      <c r="AL135">
        <v>76.822501301337198</v>
      </c>
      <c r="AM135">
        <v>84.740254968926905</v>
      </c>
      <c r="AN135">
        <v>0.99999996991902995</v>
      </c>
    </row>
    <row r="136" spans="1:40" x14ac:dyDescent="0.25">
      <c r="A136" t="str">
        <f>"20190303170944340"</f>
        <v>20190303170944340</v>
      </c>
      <c r="B136" t="str">
        <f>"1551604184330468"</f>
        <v>1551604184330468</v>
      </c>
      <c r="C136" t="s">
        <v>40</v>
      </c>
      <c r="D136">
        <v>5.2123559999999998</v>
      </c>
      <c r="E136">
        <v>0.51339409999999996</v>
      </c>
      <c r="F136" t="s">
        <v>41</v>
      </c>
      <c r="G136">
        <v>-404.2226</v>
      </c>
      <c r="H136">
        <v>-0.05</v>
      </c>
      <c r="I136">
        <v>363.80349999999999</v>
      </c>
      <c r="J136">
        <v>-448.0702</v>
      </c>
      <c r="K136">
        <v>1.120498</v>
      </c>
      <c r="L136">
        <v>367.78949999999998</v>
      </c>
      <c r="M136">
        <v>0.99986790000000003</v>
      </c>
      <c r="N136">
        <v>-9.8840999999999998E-3</v>
      </c>
      <c r="O136">
        <v>1.2901859999999999E-2</v>
      </c>
      <c r="P136">
        <v>0.97286399999999995</v>
      </c>
      <c r="Q136">
        <v>0.2185598</v>
      </c>
      <c r="R136">
        <v>-7.5944449999999997E-2</v>
      </c>
      <c r="S136">
        <v>3.080505</v>
      </c>
      <c r="T136">
        <v>-8.1644179999999997E-2</v>
      </c>
      <c r="U136">
        <v>-0.27777099999999999</v>
      </c>
      <c r="V136">
        <v>8.8661920000000005E-2</v>
      </c>
      <c r="W136">
        <v>0.22808790000000001</v>
      </c>
      <c r="X136">
        <v>0.96959530000000005</v>
      </c>
      <c r="Y136">
        <v>0.1025982</v>
      </c>
      <c r="Z136">
        <v>-2.0788180000000001E-3</v>
      </c>
      <c r="AA136">
        <v>0.99472070000000001</v>
      </c>
      <c r="AB136">
        <v>32</v>
      </c>
      <c r="AC136">
        <v>43.8476</v>
      </c>
      <c r="AD136">
        <v>-1.170498</v>
      </c>
      <c r="AE136">
        <v>-3.98599999999999</v>
      </c>
      <c r="AF136">
        <v>4.5481969338770396</v>
      </c>
      <c r="AG136">
        <v>-1.170498</v>
      </c>
      <c r="AH136">
        <v>43.7615915785276</v>
      </c>
      <c r="AI136">
        <v>91.523929193588501</v>
      </c>
      <c r="AJ136">
        <v>84.066480838883507</v>
      </c>
      <c r="AK136">
        <v>44.012873780329201</v>
      </c>
      <c r="AL136">
        <v>76.815475962546799</v>
      </c>
      <c r="AM136">
        <v>84.775278448542196</v>
      </c>
      <c r="AN136">
        <v>1.0000000359832899</v>
      </c>
    </row>
    <row r="137" spans="1:40" x14ac:dyDescent="0.25">
      <c r="A137" t="str">
        <f>"20190303170944362"</f>
        <v>20190303170944362</v>
      </c>
      <c r="B137" t="str">
        <f>"1551604184350963"</f>
        <v>1551604184350963</v>
      </c>
      <c r="C137" t="s">
        <v>40</v>
      </c>
      <c r="D137">
        <v>5.1604970000000003</v>
      </c>
      <c r="E137">
        <v>0.51331170000000004</v>
      </c>
      <c r="F137" t="s">
        <v>41</v>
      </c>
      <c r="G137">
        <v>-403.86630000000002</v>
      </c>
      <c r="H137">
        <v>-0.05</v>
      </c>
      <c r="I137">
        <v>363.82940000000002</v>
      </c>
      <c r="J137">
        <v>-447.73419999999999</v>
      </c>
      <c r="K137">
        <v>1.120509</v>
      </c>
      <c r="L137">
        <v>367.79349999999999</v>
      </c>
      <c r="M137">
        <v>0.99986940000000002</v>
      </c>
      <c r="N137">
        <v>-1.0180649999999999E-2</v>
      </c>
      <c r="O137">
        <v>1.256256E-2</v>
      </c>
      <c r="P137">
        <v>0.97311020000000004</v>
      </c>
      <c r="Q137">
        <v>0.21762210000000001</v>
      </c>
      <c r="R137">
        <v>-7.548262E-2</v>
      </c>
      <c r="S137">
        <v>3.080444</v>
      </c>
      <c r="T137">
        <v>-8.1568840000000004E-2</v>
      </c>
      <c r="U137">
        <v>-0.27597050000000001</v>
      </c>
      <c r="V137">
        <v>8.7871909999999998E-2</v>
      </c>
      <c r="W137">
        <v>0.22744159999999999</v>
      </c>
      <c r="X137">
        <v>0.96981899999999999</v>
      </c>
      <c r="Y137">
        <v>0.10168580000000001</v>
      </c>
      <c r="Z137">
        <v>-2.0665150000000001E-3</v>
      </c>
      <c r="AA137">
        <v>0.99481439999999999</v>
      </c>
      <c r="AB137">
        <v>32</v>
      </c>
      <c r="AC137">
        <v>43.867899999999899</v>
      </c>
      <c r="AD137">
        <v>-1.170509</v>
      </c>
      <c r="AE137">
        <v>-3.96409999999997</v>
      </c>
      <c r="AF137">
        <v>4.5117226117711899</v>
      </c>
      <c r="AG137">
        <v>-1.170509</v>
      </c>
      <c r="AH137">
        <v>43.783716328967301</v>
      </c>
      <c r="AI137">
        <v>91.523311849305202</v>
      </c>
      <c r="AJ137">
        <v>84.116682902252407</v>
      </c>
      <c r="AK137">
        <v>44.031120219909603</v>
      </c>
      <c r="AL137">
        <v>76.853505624269602</v>
      </c>
      <c r="AM137">
        <v>84.822766354959597</v>
      </c>
      <c r="AN137">
        <v>1.0000000233693001</v>
      </c>
    </row>
    <row r="138" spans="1:40" x14ac:dyDescent="0.25">
      <c r="A138" t="str">
        <f>"20190303170944385"</f>
        <v>20190303170944385</v>
      </c>
      <c r="B138" t="str">
        <f>"1551604184370483"</f>
        <v>1551604184370483</v>
      </c>
      <c r="C138" t="s">
        <v>40</v>
      </c>
      <c r="D138">
        <v>5.0377080000000003</v>
      </c>
      <c r="E138">
        <v>0.51344970000000001</v>
      </c>
      <c r="F138" t="s">
        <v>41</v>
      </c>
      <c r="G138">
        <v>-404.5403</v>
      </c>
      <c r="H138">
        <v>-0.05</v>
      </c>
      <c r="I138">
        <v>363.95060000000001</v>
      </c>
      <c r="J138">
        <v>-447.42129999999997</v>
      </c>
      <c r="K138">
        <v>1.1205130000000001</v>
      </c>
      <c r="L138">
        <v>367.79700000000003</v>
      </c>
      <c r="M138">
        <v>0.99987079999999995</v>
      </c>
      <c r="N138">
        <v>-1.0422580000000001E-2</v>
      </c>
      <c r="O138">
        <v>1.224741E-2</v>
      </c>
      <c r="P138">
        <v>0.9734775</v>
      </c>
      <c r="Q138">
        <v>0.21628549999999999</v>
      </c>
      <c r="R138">
        <v>-7.4583220000000006E-2</v>
      </c>
      <c r="S138">
        <v>3.0803530000000001</v>
      </c>
      <c r="T138">
        <v>-8.3474279999999998E-2</v>
      </c>
      <c r="U138">
        <v>-0.27404790000000001</v>
      </c>
      <c r="V138">
        <v>8.6669280000000001E-2</v>
      </c>
      <c r="W138">
        <v>0.22634560000000001</v>
      </c>
      <c r="X138">
        <v>0.97018360000000003</v>
      </c>
      <c r="Y138">
        <v>0.100757</v>
      </c>
      <c r="Z138">
        <v>-2.0923640000000002E-3</v>
      </c>
      <c r="AA138">
        <v>0.99490889999999998</v>
      </c>
      <c r="AB138">
        <v>32</v>
      </c>
      <c r="AC138">
        <v>42.880999999999901</v>
      </c>
      <c r="AD138">
        <v>-1.1705129999999999</v>
      </c>
      <c r="AE138">
        <v>-3.8463999999999601</v>
      </c>
      <c r="AF138">
        <v>4.3680923829789702</v>
      </c>
      <c r="AG138">
        <v>-1.1705129999999999</v>
      </c>
      <c r="AH138">
        <v>42.799036866894902</v>
      </c>
      <c r="AI138">
        <v>91.558502724298606</v>
      </c>
      <c r="AJ138">
        <v>84.172540106185494</v>
      </c>
      <c r="AK138">
        <v>43.037284864210903</v>
      </c>
      <c r="AL138">
        <v>76.917983847861905</v>
      </c>
      <c r="AM138">
        <v>84.895154621110393</v>
      </c>
      <c r="AN138">
        <v>1.0000000562220099</v>
      </c>
    </row>
    <row r="139" spans="1:40" x14ac:dyDescent="0.25">
      <c r="A139" t="str">
        <f>"20190303170944403"</f>
        <v>20190303170944403</v>
      </c>
      <c r="B139" t="str">
        <f>"1551604184390980"</f>
        <v>1551604184390980</v>
      </c>
      <c r="C139" t="s">
        <v>40</v>
      </c>
      <c r="D139">
        <v>4.9755989999999999</v>
      </c>
      <c r="E139">
        <v>0.51330200000000004</v>
      </c>
      <c r="F139" t="s">
        <v>41</v>
      </c>
      <c r="G139">
        <v>-405.56659999999999</v>
      </c>
      <c r="H139">
        <v>-0.05</v>
      </c>
      <c r="I139">
        <v>364.0874</v>
      </c>
      <c r="J139">
        <v>-447.13900000000001</v>
      </c>
      <c r="K139">
        <v>1.1205160000000001</v>
      </c>
      <c r="L139">
        <v>367.80020000000002</v>
      </c>
      <c r="M139">
        <v>0.99987210000000004</v>
      </c>
      <c r="N139">
        <v>-1.0615049999999999E-2</v>
      </c>
      <c r="O139">
        <v>1.196386E-2</v>
      </c>
      <c r="P139">
        <v>0.97359870000000004</v>
      </c>
      <c r="Q139">
        <v>0.21578639999999999</v>
      </c>
      <c r="R139">
        <v>-7.4442919999999996E-2</v>
      </c>
      <c r="S139">
        <v>3.0799560000000001</v>
      </c>
      <c r="T139">
        <v>-8.6134429999999998E-2</v>
      </c>
      <c r="U139">
        <v>-0.27297969999999999</v>
      </c>
      <c r="V139">
        <v>8.6254339999999999E-2</v>
      </c>
      <c r="W139">
        <v>0.22603529999999999</v>
      </c>
      <c r="X139">
        <v>0.97029290000000001</v>
      </c>
      <c r="Y139">
        <v>0.10014099999999999</v>
      </c>
      <c r="Z139">
        <v>-2.137145E-3</v>
      </c>
      <c r="AA139">
        <v>0.99497100000000005</v>
      </c>
      <c r="AB139">
        <v>32</v>
      </c>
      <c r="AC139">
        <v>41.572400000000002</v>
      </c>
      <c r="AD139">
        <v>-1.1705159999999999</v>
      </c>
      <c r="AE139">
        <v>-3.7128000000000099</v>
      </c>
      <c r="AF139">
        <v>4.2066201638727998</v>
      </c>
      <c r="AG139">
        <v>-1.1705159999999999</v>
      </c>
      <c r="AH139">
        <v>41.492369013272501</v>
      </c>
      <c r="AI139">
        <v>91.607671086885404</v>
      </c>
      <c r="AJ139">
        <v>84.210963079659905</v>
      </c>
      <c r="AK139">
        <v>41.721486637498202</v>
      </c>
      <c r="AL139">
        <v>76.936235543354101</v>
      </c>
      <c r="AM139">
        <v>84.920035800584699</v>
      </c>
      <c r="AN139">
        <v>1.0000000399026601</v>
      </c>
    </row>
    <row r="140" spans="1:40" x14ac:dyDescent="0.25">
      <c r="A140" t="str">
        <f>"20190303170944429"</f>
        <v>20190303170944429</v>
      </c>
      <c r="B140" t="str">
        <f>"1551604184420260"</f>
        <v>1551604184420260</v>
      </c>
      <c r="C140" t="s">
        <v>40</v>
      </c>
      <c r="D140">
        <v>5.1626890000000003</v>
      </c>
      <c r="E140">
        <v>0.51312460000000004</v>
      </c>
      <c r="F140" t="s">
        <v>41</v>
      </c>
      <c r="G140">
        <v>-405.23739999999998</v>
      </c>
      <c r="H140">
        <v>-0.05</v>
      </c>
      <c r="I140">
        <v>364.11219999999997</v>
      </c>
      <c r="J140">
        <v>-446.78030000000001</v>
      </c>
      <c r="K140">
        <v>1.1205210000000001</v>
      </c>
      <c r="L140">
        <v>367.80399999999997</v>
      </c>
      <c r="M140">
        <v>0.99987389999999998</v>
      </c>
      <c r="N140">
        <v>-1.083829E-2</v>
      </c>
      <c r="O140">
        <v>1.1602929999999999E-2</v>
      </c>
      <c r="P140">
        <v>0.9740029</v>
      </c>
      <c r="Q140">
        <v>0.21415600000000001</v>
      </c>
      <c r="R140">
        <v>-7.3863399999999996E-2</v>
      </c>
      <c r="S140">
        <v>3.0796809999999999</v>
      </c>
      <c r="T140">
        <v>-8.603036E-2</v>
      </c>
      <c r="U140">
        <v>-0.2710571</v>
      </c>
      <c r="V140">
        <v>8.5327070000000005E-2</v>
      </c>
      <c r="W140">
        <v>0.22462679999999999</v>
      </c>
      <c r="X140">
        <v>0.97070190000000001</v>
      </c>
      <c r="Y140">
        <v>9.917368E-2</v>
      </c>
      <c r="Z140">
        <v>-2.1188790000000002E-3</v>
      </c>
      <c r="AA140">
        <v>0.99506790000000001</v>
      </c>
      <c r="AB140">
        <v>32</v>
      </c>
      <c r="AC140">
        <v>41.542900000000003</v>
      </c>
      <c r="AD140">
        <v>-1.1705209999999999</v>
      </c>
      <c r="AE140">
        <v>-3.6918000000000499</v>
      </c>
      <c r="AF140">
        <v>4.1703142849043902</v>
      </c>
      <c r="AG140">
        <v>-1.1705209999999999</v>
      </c>
      <c r="AH140">
        <v>41.4646042044577</v>
      </c>
      <c r="AI140">
        <v>91.608883714546394</v>
      </c>
      <c r="AJ140">
        <v>84.256773810086898</v>
      </c>
      <c r="AK140">
        <v>41.6902271819026</v>
      </c>
      <c r="AL140">
        <v>77.019066935047903</v>
      </c>
      <c r="AM140">
        <v>84.976473024864504</v>
      </c>
      <c r="AN140">
        <v>1.0000000434083101</v>
      </c>
    </row>
    <row r="141" spans="1:40" x14ac:dyDescent="0.25">
      <c r="A141" t="str">
        <f>"20190303170944449"</f>
        <v>20190303170944449</v>
      </c>
      <c r="B141" t="str">
        <f>"1551604184440756"</f>
        <v>1551604184440756</v>
      </c>
      <c r="C141" t="s">
        <v>40</v>
      </c>
      <c r="D141">
        <v>5.1055339999999996</v>
      </c>
      <c r="E141">
        <v>0.51300849999999998</v>
      </c>
      <c r="F141" t="s">
        <v>41</v>
      </c>
      <c r="G141">
        <v>-406.11320000000001</v>
      </c>
      <c r="H141">
        <v>-0.05</v>
      </c>
      <c r="I141">
        <v>364.26089999999999</v>
      </c>
      <c r="J141">
        <v>-446.47089999999997</v>
      </c>
      <c r="K141">
        <v>1.1203719999999999</v>
      </c>
      <c r="L141">
        <v>367.8073</v>
      </c>
      <c r="M141">
        <v>0.99988220000000005</v>
      </c>
      <c r="N141">
        <v>-1.038619E-2</v>
      </c>
      <c r="O141">
        <v>1.129719E-2</v>
      </c>
      <c r="P141">
        <v>0.97412149999999997</v>
      </c>
      <c r="Q141">
        <v>0.2137945</v>
      </c>
      <c r="R141">
        <v>-7.3343060000000002E-2</v>
      </c>
      <c r="S141">
        <v>3.0792540000000002</v>
      </c>
      <c r="T141">
        <v>-8.8630200000000006E-2</v>
      </c>
      <c r="U141">
        <v>-0.26828000000000002</v>
      </c>
      <c r="V141">
        <v>8.4505419999999998E-2</v>
      </c>
      <c r="W141">
        <v>0.2238298</v>
      </c>
      <c r="X141">
        <v>0.97095779999999998</v>
      </c>
      <c r="Y141">
        <v>9.7989019999999996E-2</v>
      </c>
      <c r="Z141">
        <v>-2.1246709999999999E-3</v>
      </c>
      <c r="AA141">
        <v>0.99518530000000005</v>
      </c>
      <c r="AB141">
        <v>32</v>
      </c>
      <c r="AC141">
        <v>40.357699999999902</v>
      </c>
      <c r="AD141">
        <v>-1.170372</v>
      </c>
      <c r="AE141">
        <v>-3.5464000000000002</v>
      </c>
      <c r="AF141">
        <v>3.998789673653</v>
      </c>
      <c r="AG141">
        <v>-1.170372</v>
      </c>
      <c r="AH141">
        <v>40.281440736260897</v>
      </c>
      <c r="AI141">
        <v>91.656117416530407</v>
      </c>
      <c r="AJ141">
        <v>84.330749742941606</v>
      </c>
      <c r="AK141">
        <v>40.4963523945231</v>
      </c>
      <c r="AL141">
        <v>77.065924224323894</v>
      </c>
      <c r="AM141">
        <v>85.025907387545601</v>
      </c>
      <c r="AN141">
        <v>0.99999999737912804</v>
      </c>
    </row>
    <row r="142" spans="1:40" x14ac:dyDescent="0.25">
      <c r="A142" t="str">
        <f>"20190303170944473"</f>
        <v>20190303170944473</v>
      </c>
      <c r="B142" t="str">
        <f>"1551604184460276"</f>
        <v>1551604184460276</v>
      </c>
      <c r="C142" t="s">
        <v>40</v>
      </c>
      <c r="D142">
        <v>5.1646769999999904</v>
      </c>
      <c r="E142">
        <v>0.51293869999999997</v>
      </c>
      <c r="F142" t="s">
        <v>41</v>
      </c>
      <c r="G142">
        <v>-405.31540000000001</v>
      </c>
      <c r="H142">
        <v>-0.05</v>
      </c>
      <c r="I142">
        <v>364.23610000000002</v>
      </c>
      <c r="J142">
        <v>-446.12849999999997</v>
      </c>
      <c r="K142">
        <v>1.120079</v>
      </c>
      <c r="L142">
        <v>367.81079999999997</v>
      </c>
      <c r="M142">
        <v>0.99989720000000004</v>
      </c>
      <c r="N142">
        <v>-9.2422809999999998E-3</v>
      </c>
      <c r="O142">
        <v>1.0966109999999999E-2</v>
      </c>
      <c r="P142">
        <v>0.97379300000000002</v>
      </c>
      <c r="Q142">
        <v>0.21534449999999999</v>
      </c>
      <c r="R142">
        <v>-7.3172349999999997E-2</v>
      </c>
      <c r="S142">
        <v>3.0787659999999999</v>
      </c>
      <c r="T142">
        <v>-8.7553259999999994E-2</v>
      </c>
      <c r="U142">
        <v>-0.26715090000000002</v>
      </c>
      <c r="V142">
        <v>8.3998039999999996E-2</v>
      </c>
      <c r="W142">
        <v>0.2242712</v>
      </c>
      <c r="X142">
        <v>0.97089990000000004</v>
      </c>
      <c r="Y142">
        <v>9.7313720000000006E-2</v>
      </c>
      <c r="Z142">
        <v>-2.0415910000000002E-3</v>
      </c>
      <c r="AA142">
        <v>0.99525169999999996</v>
      </c>
      <c r="AB142">
        <v>32</v>
      </c>
      <c r="AC142">
        <v>40.813099999999899</v>
      </c>
      <c r="AD142">
        <v>-1.1700790000000001</v>
      </c>
      <c r="AE142">
        <v>-3.5746999999999498</v>
      </c>
      <c r="AF142">
        <v>4.0187870907091803</v>
      </c>
      <c r="AG142">
        <v>-1.1700790000000001</v>
      </c>
      <c r="AH142">
        <v>40.738214722717402</v>
      </c>
      <c r="AI142">
        <v>91.637248538355095</v>
      </c>
      <c r="AJ142">
        <v>84.366053161710695</v>
      </c>
      <c r="AK142">
        <v>40.9526784635746</v>
      </c>
      <c r="AL142">
        <v>77.0399732485008</v>
      </c>
      <c r="AM142">
        <v>85.055330506838999</v>
      </c>
      <c r="AN142">
        <v>0.99999992884664302</v>
      </c>
    </row>
    <row r="143" spans="1:40" x14ac:dyDescent="0.25">
      <c r="A143" t="str">
        <f>"20190303170944495"</f>
        <v>20190303170944495</v>
      </c>
      <c r="B143" t="str">
        <f>"1551604184480772"</f>
        <v>1551604184480772</v>
      </c>
      <c r="C143" t="s">
        <v>40</v>
      </c>
      <c r="D143">
        <v>5.1002970000000003</v>
      </c>
      <c r="E143">
        <v>0.51293440000000001</v>
      </c>
      <c r="F143" t="s">
        <v>41</v>
      </c>
      <c r="G143">
        <v>-401.21519999999998</v>
      </c>
      <c r="H143">
        <v>-0.05</v>
      </c>
      <c r="I143">
        <v>363.94310000000002</v>
      </c>
      <c r="J143">
        <v>-445.80090000000001</v>
      </c>
      <c r="K143">
        <v>1.119826</v>
      </c>
      <c r="L143">
        <v>367.8141</v>
      </c>
      <c r="M143">
        <v>0.99991110000000005</v>
      </c>
      <c r="N143">
        <v>-8.0405240000000003E-3</v>
      </c>
      <c r="O143">
        <v>1.065258E-2</v>
      </c>
      <c r="P143">
        <v>0.97372239999999999</v>
      </c>
      <c r="Q143">
        <v>0.21550530000000001</v>
      </c>
      <c r="R143">
        <v>-7.3636220000000002E-2</v>
      </c>
      <c r="S143">
        <v>3.0785520000000002</v>
      </c>
      <c r="T143">
        <v>-8.0202220000000005E-2</v>
      </c>
      <c r="U143">
        <v>-0.26510620000000001</v>
      </c>
      <c r="V143">
        <v>8.4143369999999995E-2</v>
      </c>
      <c r="W143">
        <v>0.22326879999999999</v>
      </c>
      <c r="X143">
        <v>0.97111840000000005</v>
      </c>
      <c r="Y143">
        <v>9.6360909999999994E-2</v>
      </c>
      <c r="Z143">
        <v>-1.8323790000000001E-3</v>
      </c>
      <c r="AA143">
        <v>0.99534480000000003</v>
      </c>
      <c r="AB143">
        <v>33</v>
      </c>
      <c r="AC143">
        <v>44.585700000000003</v>
      </c>
      <c r="AD143">
        <v>-1.169826</v>
      </c>
      <c r="AE143">
        <v>-3.87099999999998</v>
      </c>
      <c r="AF143">
        <v>4.3427810785737204</v>
      </c>
      <c r="AG143">
        <v>-1.169826</v>
      </c>
      <c r="AH143">
        <v>44.511519349876302</v>
      </c>
      <c r="AI143">
        <v>91.498356710849805</v>
      </c>
      <c r="AJ143">
        <v>84.427555054619603</v>
      </c>
      <c r="AK143">
        <v>44.738167097022497</v>
      </c>
      <c r="AL143">
        <v>77.098901835283499</v>
      </c>
      <c r="AM143">
        <v>85.047926879497197</v>
      </c>
      <c r="AN143">
        <v>1.0000000052934701</v>
      </c>
    </row>
    <row r="144" spans="1:40" x14ac:dyDescent="0.25">
      <c r="A144" t="str">
        <f>"20190303170944520"</f>
        <v>20190303170944520</v>
      </c>
      <c r="B144" t="str">
        <f>"1551604184511027"</f>
        <v>1551604184511027</v>
      </c>
      <c r="C144" t="s">
        <v>40</v>
      </c>
      <c r="D144">
        <v>5.1132369999999998</v>
      </c>
      <c r="E144">
        <v>0.48769430000000003</v>
      </c>
      <c r="F144" t="s">
        <v>41</v>
      </c>
      <c r="G144">
        <v>-399.7337</v>
      </c>
      <c r="H144">
        <v>-0.05</v>
      </c>
      <c r="I144">
        <v>363.83699999999999</v>
      </c>
      <c r="J144">
        <v>-445.43299999999999</v>
      </c>
      <c r="K144">
        <v>1.119588</v>
      </c>
      <c r="L144">
        <v>367.81779999999998</v>
      </c>
      <c r="M144">
        <v>0.99992449999999999</v>
      </c>
      <c r="N144">
        <v>-6.714378E-3</v>
      </c>
      <c r="O144">
        <v>1.030909E-2</v>
      </c>
      <c r="P144">
        <v>0.97384199999999999</v>
      </c>
      <c r="Q144">
        <v>0.21501390000000001</v>
      </c>
      <c r="R144">
        <v>-7.3492199999999994E-2</v>
      </c>
      <c r="S144">
        <v>3.0781559999999999</v>
      </c>
      <c r="T144">
        <v>-7.8166479999999997E-2</v>
      </c>
      <c r="U144">
        <v>-0.26574710000000001</v>
      </c>
      <c r="V144">
        <v>8.3656499999999995E-2</v>
      </c>
      <c r="W144">
        <v>0.22149379999999999</v>
      </c>
      <c r="X144">
        <v>0.97156679999999995</v>
      </c>
      <c r="Y144">
        <v>9.6239050000000007E-2</v>
      </c>
      <c r="Z144">
        <v>-1.7354510000000001E-3</v>
      </c>
      <c r="AA144">
        <v>0.99535669999999998</v>
      </c>
      <c r="AB144">
        <v>33</v>
      </c>
      <c r="AC144">
        <v>45.699300000000001</v>
      </c>
      <c r="AD144">
        <v>-1.1695879999999901</v>
      </c>
      <c r="AE144">
        <v>-3.9807999999999799</v>
      </c>
      <c r="AF144">
        <v>4.4488251089816</v>
      </c>
      <c r="AG144">
        <v>-1.1695879999999901</v>
      </c>
      <c r="AH144">
        <v>45.626171629611399</v>
      </c>
      <c r="AI144">
        <v>91.461478884773399</v>
      </c>
      <c r="AJ144">
        <v>84.430922859881903</v>
      </c>
      <c r="AK144">
        <v>45.857469604360098</v>
      </c>
      <c r="AL144">
        <v>77.2032135290996</v>
      </c>
      <c r="AM144">
        <v>85.078700457499394</v>
      </c>
      <c r="AN144">
        <v>0.99999998014646396</v>
      </c>
    </row>
    <row r="145" spans="1:40" x14ac:dyDescent="0.25">
      <c r="A145" t="str">
        <f>"20190303170944540"</f>
        <v>20190303170944540</v>
      </c>
      <c r="B145" t="str">
        <f>"1551604184530549"</f>
        <v>1551604184530549</v>
      </c>
      <c r="C145" t="s">
        <v>40</v>
      </c>
      <c r="D145">
        <v>5.1016260000000004</v>
      </c>
      <c r="E145">
        <v>0.480076</v>
      </c>
      <c r="F145" t="s">
        <v>42</v>
      </c>
      <c r="G145">
        <v>-325.2516</v>
      </c>
      <c r="H145" s="1">
        <v>-2.808536E-6</v>
      </c>
      <c r="I145">
        <v>365.16730000000001</v>
      </c>
      <c r="J145">
        <v>-445.12150000000003</v>
      </c>
      <c r="K145">
        <v>1.1194219999999999</v>
      </c>
      <c r="L145">
        <v>367.82080000000002</v>
      </c>
      <c r="M145">
        <v>0.99993379999999998</v>
      </c>
      <c r="N145">
        <v>-5.6336719999999898E-3</v>
      </c>
      <c r="O145">
        <v>1.003069E-2</v>
      </c>
      <c r="P145">
        <v>0.97380469999999997</v>
      </c>
      <c r="Q145">
        <v>0.21518570000000001</v>
      </c>
      <c r="R145">
        <v>-7.3484289999999994E-2</v>
      </c>
      <c r="S145">
        <v>3.0817570000000001</v>
      </c>
      <c r="T145">
        <v>-2.8709169999999999E-2</v>
      </c>
      <c r="U145">
        <v>-6.7962649999999999E-2</v>
      </c>
      <c r="V145">
        <v>8.3374840000000006E-2</v>
      </c>
      <c r="W145">
        <v>0.22061629999999999</v>
      </c>
      <c r="X145">
        <v>0.97179070000000001</v>
      </c>
      <c r="Y145">
        <v>3.2072870000000003E-2</v>
      </c>
      <c r="Z145">
        <v>-2.7666099999999999E-4</v>
      </c>
      <c r="AA145">
        <v>0.99948550000000003</v>
      </c>
      <c r="AB145">
        <v>34</v>
      </c>
      <c r="AC145">
        <v>119.8699</v>
      </c>
      <c r="AD145">
        <v>-1.1194248085359999</v>
      </c>
      <c r="AE145">
        <v>-2.6535000000000002</v>
      </c>
      <c r="AF145">
        <v>3.8554273461090398</v>
      </c>
      <c r="AG145">
        <v>-1.1194248085359999</v>
      </c>
      <c r="AH145">
        <v>119.826807401726</v>
      </c>
      <c r="AI145">
        <v>90.534966109158105</v>
      </c>
      <c r="AJ145">
        <v>88.1571441326345</v>
      </c>
      <c r="AK145">
        <v>119.894041570102</v>
      </c>
      <c r="AL145">
        <v>77.254766694164104</v>
      </c>
      <c r="AM145">
        <v>85.096313388723004</v>
      </c>
      <c r="AN145">
        <v>1.0000000401886</v>
      </c>
    </row>
    <row r="146" spans="1:40" x14ac:dyDescent="0.25">
      <c r="A146" t="str">
        <f>"20190303170944564"</f>
        <v>20190303170944564</v>
      </c>
      <c r="B146" t="str">
        <f>"1551604184551044"</f>
        <v>1551604184551044</v>
      </c>
      <c r="C146" t="s">
        <v>40</v>
      </c>
      <c r="D146">
        <v>5.1171410000000002</v>
      </c>
      <c r="E146">
        <v>0.4767266</v>
      </c>
      <c r="F146" t="s">
        <v>42</v>
      </c>
      <c r="G146">
        <v>-338.13920000000002</v>
      </c>
      <c r="H146" s="1">
        <v>-1.159275E-6</v>
      </c>
      <c r="I146">
        <v>367.58699999999999</v>
      </c>
      <c r="J146">
        <v>-444.7559</v>
      </c>
      <c r="K146">
        <v>1.1192709999999999</v>
      </c>
      <c r="L146">
        <v>367.82420000000002</v>
      </c>
      <c r="M146">
        <v>0.99994289999999997</v>
      </c>
      <c r="N146">
        <v>-4.4539569999999997E-3</v>
      </c>
      <c r="O146">
        <v>9.7182729999999995E-3</v>
      </c>
      <c r="P146">
        <v>0.97355619999999998</v>
      </c>
      <c r="Q146">
        <v>0.21591949999999999</v>
      </c>
      <c r="R146">
        <v>-7.4615130000000002E-2</v>
      </c>
      <c r="S146">
        <v>3.0873409999999999</v>
      </c>
      <c r="T146">
        <v>-3.2304760000000002E-2</v>
      </c>
      <c r="U146">
        <v>-6.7443850000000003E-3</v>
      </c>
      <c r="V146">
        <v>8.4202509999999994E-2</v>
      </c>
      <c r="W146">
        <v>0.22020100000000001</v>
      </c>
      <c r="X146">
        <v>0.9718135</v>
      </c>
      <c r="Y146">
        <v>1.190166E-2</v>
      </c>
      <c r="Z146">
        <v>-1.4717119999999999E-4</v>
      </c>
      <c r="AA146">
        <v>0.99992919999999996</v>
      </c>
      <c r="AB146">
        <v>34</v>
      </c>
      <c r="AC146">
        <v>106.616699999999</v>
      </c>
      <c r="AD146">
        <v>-1.1192721592749999</v>
      </c>
      <c r="AE146">
        <v>-0.237200000000029</v>
      </c>
      <c r="AF146">
        <v>1.2731889108110099</v>
      </c>
      <c r="AG146">
        <v>-1.1192721592749999</v>
      </c>
      <c r="AH146">
        <v>106.597611823786</v>
      </c>
      <c r="AI146">
        <v>90.601539189422297</v>
      </c>
      <c r="AJ146">
        <v>89.315698716738694</v>
      </c>
      <c r="AK146">
        <v>106.6110905427</v>
      </c>
      <c r="AL146">
        <v>77.279161180000003</v>
      </c>
      <c r="AM146">
        <v>85.047990519501795</v>
      </c>
      <c r="AN146">
        <v>1.0000000109367699</v>
      </c>
    </row>
    <row r="147" spans="1:40" x14ac:dyDescent="0.25">
      <c r="A147" t="str">
        <f>"20190303170944587"</f>
        <v>20190303170944587</v>
      </c>
      <c r="B147" t="str">
        <f>"1551604184570565"</f>
        <v>1551604184570565</v>
      </c>
      <c r="C147" t="s">
        <v>40</v>
      </c>
      <c r="D147">
        <v>5.0985820000000004</v>
      </c>
      <c r="E147">
        <v>0.47511100000000001</v>
      </c>
      <c r="F147" t="s">
        <v>41</v>
      </c>
      <c r="G147">
        <v>-312.84230000000002</v>
      </c>
      <c r="H147">
        <v>-0.05</v>
      </c>
      <c r="I147">
        <v>368.51760000000002</v>
      </c>
      <c r="J147">
        <v>-444.40969999999999</v>
      </c>
      <c r="K147">
        <v>1.119159</v>
      </c>
      <c r="L147">
        <v>367.82740000000001</v>
      </c>
      <c r="M147">
        <v>0.99994950000000005</v>
      </c>
      <c r="N147">
        <v>-3.469841E-3</v>
      </c>
      <c r="O147">
        <v>9.4313850000000005E-3</v>
      </c>
      <c r="P147">
        <v>0.97312019999999999</v>
      </c>
      <c r="Q147">
        <v>0.21769089999999999</v>
      </c>
      <c r="R147">
        <v>-7.5153440000000002E-2</v>
      </c>
      <c r="S147">
        <v>3.0888059999999999</v>
      </c>
      <c r="T147">
        <v>-2.7378920000000001E-2</v>
      </c>
      <c r="U147">
        <v>1.6235349999999999E-2</v>
      </c>
      <c r="V147">
        <v>8.4464890000000001E-2</v>
      </c>
      <c r="W147">
        <v>0.22101109999999999</v>
      </c>
      <c r="X147">
        <v>0.97160679999999999</v>
      </c>
      <c r="Y147">
        <v>4.175064E-3</v>
      </c>
      <c r="Z147" s="1">
        <v>-7.6616769999999999E-5</v>
      </c>
      <c r="AA147">
        <v>0.99999130000000003</v>
      </c>
      <c r="AB147">
        <v>34</v>
      </c>
      <c r="AC147">
        <v>131.567399999999</v>
      </c>
      <c r="AD147">
        <v>-1.1691590000000001</v>
      </c>
      <c r="AE147">
        <v>0.69020000000000403</v>
      </c>
      <c r="AF147">
        <v>0.55065749188131297</v>
      </c>
      <c r="AG147">
        <v>-1.1691590000000001</v>
      </c>
      <c r="AH147">
        <v>131.55766930658299</v>
      </c>
      <c r="AI147">
        <v>90.509172337903607</v>
      </c>
      <c r="AJ147">
        <v>89.760179956382103</v>
      </c>
      <c r="AK147">
        <v>131.564016774424</v>
      </c>
      <c r="AL147">
        <v>77.231573292340599</v>
      </c>
      <c r="AM147">
        <v>85.031585382233899</v>
      </c>
      <c r="AN147">
        <v>0.99999999888608004</v>
      </c>
    </row>
    <row r="148" spans="1:40" x14ac:dyDescent="0.25">
      <c r="A148" t="str">
        <f>"20190303170944606"</f>
        <v>20190303170944606</v>
      </c>
      <c r="B148" t="str">
        <f>"1551604184600819"</f>
        <v>1551604184600819</v>
      </c>
      <c r="C148" t="s">
        <v>40</v>
      </c>
      <c r="D148">
        <v>4.8307120000000001</v>
      </c>
      <c r="E148">
        <v>0.47381380000000001</v>
      </c>
      <c r="F148" t="s">
        <v>42</v>
      </c>
      <c r="G148">
        <v>-274.92970000000003</v>
      </c>
      <c r="H148" s="1">
        <v>-2.2101830000000002E-6</v>
      </c>
      <c r="I148">
        <v>369.31900000000002</v>
      </c>
      <c r="J148">
        <v>-444.10270000000003</v>
      </c>
      <c r="K148">
        <v>1.1190979999999999</v>
      </c>
      <c r="L148">
        <v>367.83010000000002</v>
      </c>
      <c r="M148">
        <v>0.99995420000000002</v>
      </c>
      <c r="N148">
        <v>-2.74544E-3</v>
      </c>
      <c r="O148">
        <v>9.1779329999999992E-3</v>
      </c>
      <c r="P148">
        <v>0.97296009999999999</v>
      </c>
      <c r="Q148">
        <v>0.2183861</v>
      </c>
      <c r="R148">
        <v>-7.5211340000000002E-2</v>
      </c>
      <c r="S148">
        <v>3.089569</v>
      </c>
      <c r="T148">
        <v>-2.0401949999999999E-2</v>
      </c>
      <c r="U148">
        <v>2.7191159999999999E-2</v>
      </c>
      <c r="V148">
        <v>8.4283129999999998E-2</v>
      </c>
      <c r="W148">
        <v>0.22099949999999999</v>
      </c>
      <c r="X148">
        <v>0.97162519999999997</v>
      </c>
      <c r="Y148">
        <v>3.7728669999999997E-4</v>
      </c>
      <c r="Z148" s="1">
        <v>-3.7169560000000001E-5</v>
      </c>
      <c r="AA148">
        <v>0.99999990000000005</v>
      </c>
      <c r="AB148">
        <v>34</v>
      </c>
      <c r="AC148">
        <v>169.173</v>
      </c>
      <c r="AD148">
        <v>-1.1191002101830001</v>
      </c>
      <c r="AE148">
        <v>1.4888999999999999</v>
      </c>
      <c r="AF148">
        <v>6.3824093305804699E-2</v>
      </c>
      <c r="AG148">
        <v>-1.1191002101830001</v>
      </c>
      <c r="AH148">
        <v>169.172137400118</v>
      </c>
      <c r="AI148">
        <v>90.379015008282295</v>
      </c>
      <c r="AJ148">
        <v>89.978383845824894</v>
      </c>
      <c r="AK148">
        <v>169.17585091058299</v>
      </c>
      <c r="AL148">
        <v>77.232254492314098</v>
      </c>
      <c r="AM148">
        <v>85.042316988331294</v>
      </c>
      <c r="AN148">
        <v>0.99999997713894295</v>
      </c>
    </row>
    <row r="149" spans="1:40" x14ac:dyDescent="0.25">
      <c r="A149" t="str">
        <f>"20190303170944629"</f>
        <v>20190303170944629</v>
      </c>
      <c r="B149" t="str">
        <f>"1551604184620340"</f>
        <v>1551604184620340</v>
      </c>
      <c r="C149" t="s">
        <v>40</v>
      </c>
      <c r="D149">
        <v>5.0726069999999996</v>
      </c>
      <c r="E149">
        <v>0.47325450000000002</v>
      </c>
      <c r="F149" t="s">
        <v>42</v>
      </c>
      <c r="G149">
        <v>-257.86380000000003</v>
      </c>
      <c r="H149" s="1">
        <v>-1.0160619999999999E-6</v>
      </c>
      <c r="I149">
        <v>370.0573</v>
      </c>
      <c r="J149">
        <v>-443.74209999999999</v>
      </c>
      <c r="K149">
        <v>1.119076</v>
      </c>
      <c r="L149">
        <v>367.83319999999998</v>
      </c>
      <c r="M149">
        <v>0.99995840000000003</v>
      </c>
      <c r="N149">
        <v>-2.1100149999999998E-3</v>
      </c>
      <c r="O149">
        <v>8.8752799999999993E-3</v>
      </c>
      <c r="P149">
        <v>0.97310129999999995</v>
      </c>
      <c r="Q149">
        <v>0.21795349999999999</v>
      </c>
      <c r="R149">
        <v>-7.4634199999999998E-2</v>
      </c>
      <c r="S149">
        <v>3.0904240000000001</v>
      </c>
      <c r="T149">
        <v>-1.8570179999999999E-2</v>
      </c>
      <c r="U149">
        <v>3.6956790000000003E-2</v>
      </c>
      <c r="V149">
        <v>8.342405E-2</v>
      </c>
      <c r="W149">
        <v>0.21994559999999999</v>
      </c>
      <c r="X149">
        <v>0.97193850000000004</v>
      </c>
      <c r="Y149">
        <v>-3.082488E-3</v>
      </c>
      <c r="Z149" s="1">
        <v>-2.2087749999999999E-5</v>
      </c>
      <c r="AA149">
        <v>0.99999519999999997</v>
      </c>
      <c r="AB149">
        <v>35</v>
      </c>
      <c r="AC149">
        <v>185.8783</v>
      </c>
      <c r="AD149">
        <v>-1.1190770160620001</v>
      </c>
      <c r="AE149">
        <v>2.2241000000000199</v>
      </c>
      <c r="AF149">
        <v>-0.57426597841089</v>
      </c>
      <c r="AG149">
        <v>-1.1190770160620001</v>
      </c>
      <c r="AH149">
        <v>185.883981880368</v>
      </c>
      <c r="AI149">
        <v>90.344931869520096</v>
      </c>
      <c r="AJ149">
        <v>90.177007786632998</v>
      </c>
      <c r="AK149">
        <v>185.88823748285699</v>
      </c>
      <c r="AL149">
        <v>77.294162719097898</v>
      </c>
      <c r="AM149">
        <v>85.094175716932995</v>
      </c>
      <c r="AN149">
        <v>1.00000004343</v>
      </c>
    </row>
    <row r="150" spans="1:40" x14ac:dyDescent="0.25">
      <c r="A150" t="str">
        <f>"20190303170944650"</f>
        <v>20190303170944650</v>
      </c>
      <c r="B150" t="str">
        <f>"1551604184641812"</f>
        <v>1551604184641812</v>
      </c>
      <c r="C150" t="s">
        <v>40</v>
      </c>
      <c r="D150">
        <v>5.0647699999999896</v>
      </c>
      <c r="E150">
        <v>0.47280729999999999</v>
      </c>
      <c r="F150" t="s">
        <v>41</v>
      </c>
      <c r="G150">
        <v>-280.95150000000001</v>
      </c>
      <c r="H150">
        <v>-0.05</v>
      </c>
      <c r="I150">
        <v>370.06560000000002</v>
      </c>
      <c r="J150">
        <v>-443.40730000000002</v>
      </c>
      <c r="K150">
        <v>1.119084</v>
      </c>
      <c r="L150">
        <v>367.83589999999998</v>
      </c>
      <c r="M150">
        <v>0.99996169999999995</v>
      </c>
      <c r="N150">
        <v>-1.7427979999999901E-3</v>
      </c>
      <c r="O150">
        <v>8.5814329999999994E-3</v>
      </c>
      <c r="P150">
        <v>0.97313170000000004</v>
      </c>
      <c r="Q150">
        <v>0.21797420000000001</v>
      </c>
      <c r="R150">
        <v>-7.4177030000000005E-2</v>
      </c>
      <c r="S150">
        <v>3.0911559999999998</v>
      </c>
      <c r="T150">
        <v>-2.2199030000000002E-2</v>
      </c>
      <c r="U150">
        <v>4.2388919999999997E-2</v>
      </c>
      <c r="V150">
        <v>8.269311E-2</v>
      </c>
      <c r="W150">
        <v>0.21960550000000001</v>
      </c>
      <c r="X150">
        <v>0.97207779999999999</v>
      </c>
      <c r="Y150">
        <v>-5.130496E-3</v>
      </c>
      <c r="Z150" s="1">
        <v>-2.3774759999999999E-5</v>
      </c>
      <c r="AA150">
        <v>0.99998679999999995</v>
      </c>
      <c r="AB150">
        <v>35</v>
      </c>
      <c r="AC150">
        <v>162.45580000000001</v>
      </c>
      <c r="AD150">
        <v>-1.169084</v>
      </c>
      <c r="AE150">
        <v>2.22970000000003</v>
      </c>
      <c r="AF150">
        <v>-0.83546901655144601</v>
      </c>
      <c r="AG150">
        <v>-1.169084</v>
      </c>
      <c r="AH150">
        <v>162.460540454414</v>
      </c>
      <c r="AI150">
        <v>90.412294191859402</v>
      </c>
      <c r="AJ150">
        <v>90.294646481234807</v>
      </c>
      <c r="AK150">
        <v>162.46689499900299</v>
      </c>
      <c r="AL150">
        <v>77.314136664977497</v>
      </c>
      <c r="AM150">
        <v>85.137645781489695</v>
      </c>
      <c r="AN150">
        <v>0.99999998766228004</v>
      </c>
    </row>
    <row r="151" spans="1:40" x14ac:dyDescent="0.25">
      <c r="A151" t="str">
        <f>"20190303170944673"</f>
        <v>20190303170944673</v>
      </c>
      <c r="B151" t="str">
        <f>"1551604184660356"</f>
        <v>1551604184660356</v>
      </c>
      <c r="C151" t="s">
        <v>40</v>
      </c>
      <c r="D151">
        <v>5.0613270000000004</v>
      </c>
      <c r="E151">
        <v>0.47240900000000002</v>
      </c>
      <c r="F151" t="s">
        <v>41</v>
      </c>
      <c r="G151">
        <v>-288.61770000000001</v>
      </c>
      <c r="H151">
        <v>-0.05</v>
      </c>
      <c r="I151">
        <v>370.21789999999999</v>
      </c>
      <c r="J151">
        <v>-443.06169999999997</v>
      </c>
      <c r="K151">
        <v>1.1191279999999999</v>
      </c>
      <c r="L151">
        <v>367.83859999999999</v>
      </c>
      <c r="M151">
        <v>0.99996479999999999</v>
      </c>
      <c r="N151">
        <v>-1.561209E-3</v>
      </c>
      <c r="O151">
        <v>8.2591269999999998E-3</v>
      </c>
      <c r="P151">
        <v>0.97330470000000002</v>
      </c>
      <c r="Q151">
        <v>0.21734700000000001</v>
      </c>
      <c r="R151">
        <v>-7.3745899999999906E-2</v>
      </c>
      <c r="S151">
        <v>3.0917050000000001</v>
      </c>
      <c r="T151">
        <v>-2.335083E-2</v>
      </c>
      <c r="U151">
        <v>4.7576899999999998E-2</v>
      </c>
      <c r="V151">
        <v>8.1961569999999997E-2</v>
      </c>
      <c r="W151">
        <v>0.2187983</v>
      </c>
      <c r="X151">
        <v>0.97232169999999896</v>
      </c>
      <c r="Y151">
        <v>-7.1279610000000004E-3</v>
      </c>
      <c r="Z151" s="1">
        <v>-1.699889E-5</v>
      </c>
      <c r="AA151">
        <v>0.99997460000000005</v>
      </c>
      <c r="AB151">
        <v>35</v>
      </c>
      <c r="AC151">
        <v>154.44399999999899</v>
      </c>
      <c r="AD151">
        <v>-1.1691279999999999</v>
      </c>
      <c r="AE151">
        <v>2.3793000000000002</v>
      </c>
      <c r="AF151">
        <v>-1.1035816200916699</v>
      </c>
      <c r="AG151">
        <v>-1.1691279999999999</v>
      </c>
      <c r="AH151">
        <v>154.44953488580401</v>
      </c>
      <c r="AI151">
        <v>90.433689301598704</v>
      </c>
      <c r="AJ151">
        <v>90.409386102629796</v>
      </c>
      <c r="AK151">
        <v>154.45790228769101</v>
      </c>
      <c r="AL151">
        <v>77.361538068601604</v>
      </c>
      <c r="AM151">
        <v>85.181660069027998</v>
      </c>
      <c r="AN151">
        <v>0.99999994166532002</v>
      </c>
    </row>
    <row r="152" spans="1:40" x14ac:dyDescent="0.25">
      <c r="A152" t="str">
        <f>"20190303170944695"</f>
        <v>20190303170944695</v>
      </c>
      <c r="B152" t="str">
        <f>"1551604184680852"</f>
        <v>1551604184680852</v>
      </c>
      <c r="C152" t="s">
        <v>40</v>
      </c>
      <c r="D152">
        <v>5.0785629999999999</v>
      </c>
      <c r="E152">
        <v>0.4721012</v>
      </c>
      <c r="F152" t="s">
        <v>41</v>
      </c>
      <c r="G152">
        <v>-298.09809999999999</v>
      </c>
      <c r="H152">
        <v>-0.05</v>
      </c>
      <c r="I152">
        <v>370.2396</v>
      </c>
      <c r="J152">
        <v>-442.69990000000001</v>
      </c>
      <c r="K152">
        <v>1.119192</v>
      </c>
      <c r="L152">
        <v>367.84120000000001</v>
      </c>
      <c r="M152">
        <v>0.99996779999999996</v>
      </c>
      <c r="N152">
        <v>-1.525956E-3</v>
      </c>
      <c r="O152">
        <v>7.892718E-3</v>
      </c>
      <c r="P152">
        <v>0.97344679999999995</v>
      </c>
      <c r="Q152">
        <v>0.2170453</v>
      </c>
      <c r="R152">
        <v>-7.2751919999999998E-2</v>
      </c>
      <c r="S152">
        <v>3.0917050000000001</v>
      </c>
      <c r="T152">
        <v>-2.493453E-2</v>
      </c>
      <c r="U152">
        <v>5.1208499999999997E-2</v>
      </c>
      <c r="V152">
        <v>8.0623429999999996E-2</v>
      </c>
      <c r="W152">
        <v>0.2184596</v>
      </c>
      <c r="X152">
        <v>0.97250979999999998</v>
      </c>
      <c r="Y152">
        <v>-8.6685909999999998E-3</v>
      </c>
      <c r="Z152" s="1">
        <v>-1.0036830000000001E-5</v>
      </c>
      <c r="AA152">
        <v>0.99996240000000003</v>
      </c>
      <c r="AB152">
        <v>35</v>
      </c>
      <c r="AC152">
        <v>144.6018</v>
      </c>
      <c r="AD152">
        <v>-1.169192</v>
      </c>
      <c r="AE152">
        <v>2.3983999999999801</v>
      </c>
      <c r="AF152">
        <v>-1.2569407119176801</v>
      </c>
      <c r="AG152">
        <v>-1.169192</v>
      </c>
      <c r="AH152">
        <v>144.60677450934401</v>
      </c>
      <c r="AI152">
        <v>90.463227101433603</v>
      </c>
      <c r="AJ152">
        <v>90.498009754418305</v>
      </c>
      <c r="AK152">
        <v>144.61696354122</v>
      </c>
      <c r="AL152">
        <v>77.381426299398598</v>
      </c>
      <c r="AM152">
        <v>85.2608775996204</v>
      </c>
      <c r="AN152">
        <v>1.0000000226965799</v>
      </c>
    </row>
    <row r="153" spans="1:40" x14ac:dyDescent="0.25">
      <c r="A153" t="str">
        <f>"20190303170944719"</f>
        <v>20190303170944719</v>
      </c>
      <c r="B153" t="str">
        <f>"1551604184711108"</f>
        <v>1551604184711108</v>
      </c>
      <c r="C153" t="s">
        <v>40</v>
      </c>
      <c r="D153">
        <v>5.0771839999999999</v>
      </c>
      <c r="E153">
        <v>0.47165810000000002</v>
      </c>
      <c r="F153" t="s">
        <v>41</v>
      </c>
      <c r="G153">
        <v>-300.21480000000003</v>
      </c>
      <c r="H153">
        <v>-0.05</v>
      </c>
      <c r="I153">
        <v>370.44459999999998</v>
      </c>
      <c r="J153">
        <v>-442.32819999999998</v>
      </c>
      <c r="K153">
        <v>1.1192519999999999</v>
      </c>
      <c r="L153">
        <v>367.84379999999999</v>
      </c>
      <c r="M153">
        <v>0.99997080000000005</v>
      </c>
      <c r="N153">
        <v>-1.595911E-3</v>
      </c>
      <c r="O153">
        <v>7.4769509999999999E-3</v>
      </c>
      <c r="P153">
        <v>0.97351140000000003</v>
      </c>
      <c r="Q153">
        <v>0.2170134</v>
      </c>
      <c r="R153">
        <v>-7.1977879999999994E-2</v>
      </c>
      <c r="S153">
        <v>3.091675</v>
      </c>
      <c r="T153">
        <v>-2.5369409999999998E-2</v>
      </c>
      <c r="U153">
        <v>5.6488040000000003E-2</v>
      </c>
      <c r="V153">
        <v>7.9455490000000004E-2</v>
      </c>
      <c r="W153">
        <v>0.2184931</v>
      </c>
      <c r="X153">
        <v>0.97259839999999997</v>
      </c>
      <c r="Y153">
        <v>-1.0791469999999999E-2</v>
      </c>
      <c r="Z153" s="1">
        <v>3.469031E-6</v>
      </c>
      <c r="AA153">
        <v>0.99994179999999999</v>
      </c>
      <c r="AB153">
        <v>35</v>
      </c>
      <c r="AC153">
        <v>142.11339999999899</v>
      </c>
      <c r="AD153">
        <v>-1.169252</v>
      </c>
      <c r="AE153">
        <v>2.6007999999999898</v>
      </c>
      <c r="AF153">
        <v>-1.53804696600728</v>
      </c>
      <c r="AG153">
        <v>-1.169252</v>
      </c>
      <c r="AH153">
        <v>142.11925629123701</v>
      </c>
      <c r="AI153">
        <v>90.4713490101432</v>
      </c>
      <c r="AJ153">
        <v>90.620043771850902</v>
      </c>
      <c r="AK153">
        <v>142.13238810166899</v>
      </c>
      <c r="AL153">
        <v>77.379459450845303</v>
      </c>
      <c r="AM153">
        <v>85.329647868382295</v>
      </c>
      <c r="AN153">
        <v>1.0000000286606501</v>
      </c>
    </row>
    <row r="154" spans="1:40" x14ac:dyDescent="0.25">
      <c r="A154" t="str">
        <f>"20190303170944741"</f>
        <v>20190303170944741</v>
      </c>
      <c r="B154" t="str">
        <f>"1551604184730628"</f>
        <v>1551604184730628</v>
      </c>
      <c r="C154" t="s">
        <v>40</v>
      </c>
      <c r="D154">
        <v>5.0809230000000003</v>
      </c>
      <c r="E154">
        <v>0.47144000000000003</v>
      </c>
      <c r="F154" t="s">
        <v>41</v>
      </c>
      <c r="G154">
        <v>-302.97019999999998</v>
      </c>
      <c r="H154">
        <v>-0.05</v>
      </c>
      <c r="I154">
        <v>370.62900000000002</v>
      </c>
      <c r="J154">
        <v>-441.95519999999999</v>
      </c>
      <c r="K154">
        <v>1.119294</v>
      </c>
      <c r="L154">
        <v>367.84620000000001</v>
      </c>
      <c r="M154">
        <v>0.99997389999999997</v>
      </c>
      <c r="N154">
        <v>-1.7227029999999999E-3</v>
      </c>
      <c r="O154">
        <v>7.0262399999999996E-3</v>
      </c>
      <c r="P154">
        <v>0.97374590000000005</v>
      </c>
      <c r="Q154">
        <v>0.21612010000000001</v>
      </c>
      <c r="R154">
        <v>-7.1492669999999994E-2</v>
      </c>
      <c r="S154">
        <v>3.09198</v>
      </c>
      <c r="T154">
        <v>-2.594256E-2</v>
      </c>
      <c r="U154">
        <v>6.1798100000000002E-2</v>
      </c>
      <c r="V154">
        <v>7.8541739999999999E-2</v>
      </c>
      <c r="W154">
        <v>0.2177211</v>
      </c>
      <c r="X154">
        <v>0.97284570000000004</v>
      </c>
      <c r="Y154">
        <v>-1.2956850000000001E-2</v>
      </c>
      <c r="Z154" s="1">
        <v>1.8670439999999999E-5</v>
      </c>
      <c r="AA154">
        <v>0.99991609999999997</v>
      </c>
      <c r="AB154">
        <v>36</v>
      </c>
      <c r="AC154">
        <v>138.98500000000001</v>
      </c>
      <c r="AD154">
        <v>-1.1692940000000001</v>
      </c>
      <c r="AE154">
        <v>2.7827999999999999</v>
      </c>
      <c r="AF154">
        <v>-1.8060601774118501</v>
      </c>
      <c r="AG154">
        <v>-1.1692940000000001</v>
      </c>
      <c r="AH154">
        <v>138.991288003015</v>
      </c>
      <c r="AI154">
        <v>90.481960969600607</v>
      </c>
      <c r="AJ154">
        <v>90.744462503864895</v>
      </c>
      <c r="AK154">
        <v>139.00793949469201</v>
      </c>
      <c r="AL154">
        <v>77.424782841996603</v>
      </c>
      <c r="AM154">
        <v>85.384292631704895</v>
      </c>
      <c r="AN154">
        <v>1.0000000191579601</v>
      </c>
    </row>
    <row r="155" spans="1:40" x14ac:dyDescent="0.25">
      <c r="A155" t="str">
        <f>"20190303170944763"</f>
        <v>20190303170944763</v>
      </c>
      <c r="B155" t="str">
        <f>"1551604184750653"</f>
        <v>1551604184750653</v>
      </c>
      <c r="C155" t="s">
        <v>40</v>
      </c>
      <c r="D155">
        <v>5.0966420000000001</v>
      </c>
      <c r="E155">
        <v>0.47122399999999998</v>
      </c>
      <c r="F155" t="s">
        <v>42</v>
      </c>
      <c r="G155">
        <v>-320.49099999999999</v>
      </c>
      <c r="H155" s="1">
        <v>-4.2446739999999999E-6</v>
      </c>
      <c r="I155">
        <v>370.38170000000002</v>
      </c>
      <c r="J155">
        <v>-441.6053</v>
      </c>
      <c r="K155">
        <v>1.1193249999999999</v>
      </c>
      <c r="L155">
        <v>367.84820000000002</v>
      </c>
      <c r="M155">
        <v>0.9999768</v>
      </c>
      <c r="N155">
        <v>-1.8657019999999999E-3</v>
      </c>
      <c r="O155">
        <v>6.5812209999999999E-3</v>
      </c>
      <c r="P155">
        <v>0.97391620000000001</v>
      </c>
      <c r="Q155">
        <v>0.2154114</v>
      </c>
      <c r="R155">
        <v>-7.1314050000000004E-2</v>
      </c>
      <c r="S155">
        <v>3.0919490000000001</v>
      </c>
      <c r="T155">
        <v>-2.8492449999999999E-2</v>
      </c>
      <c r="U155">
        <v>6.4544679999999993E-2</v>
      </c>
      <c r="V155">
        <v>7.7938530000000006E-2</v>
      </c>
      <c r="W155">
        <v>0.2171495</v>
      </c>
      <c r="X155">
        <v>0.9730219</v>
      </c>
      <c r="Y155">
        <v>-1.428973E-2</v>
      </c>
      <c r="Z155" s="1">
        <v>3.0804030000000001E-5</v>
      </c>
      <c r="AA155">
        <v>0.99989790000000001</v>
      </c>
      <c r="AB155">
        <v>36</v>
      </c>
      <c r="AC155">
        <v>121.1143</v>
      </c>
      <c r="AD155">
        <v>-1.119329244674</v>
      </c>
      <c r="AE155">
        <v>2.5335000000000001</v>
      </c>
      <c r="AF155">
        <v>-1.7362156974830101</v>
      </c>
      <c r="AG155">
        <v>-1.119329244674</v>
      </c>
      <c r="AH155">
        <v>121.118010084136</v>
      </c>
      <c r="AI155">
        <v>90.529437596419697</v>
      </c>
      <c r="AJ155">
        <v>90.821273555217104</v>
      </c>
      <c r="AK155">
        <v>121.135625270384</v>
      </c>
      <c r="AL155">
        <v>77.458335233314202</v>
      </c>
      <c r="AM155">
        <v>85.420416313349705</v>
      </c>
      <c r="AN155">
        <v>0.99999996884420905</v>
      </c>
    </row>
    <row r="156" spans="1:40" x14ac:dyDescent="0.25">
      <c r="A156" t="str">
        <f>"20190303170944783"</f>
        <v>20190303170944783</v>
      </c>
      <c r="B156" t="str">
        <f>"1551604184771149"</f>
        <v>1551604184771149</v>
      </c>
      <c r="C156" t="s">
        <v>40</v>
      </c>
      <c r="D156">
        <v>5.0754210000000004</v>
      </c>
      <c r="E156">
        <v>0.4710278</v>
      </c>
      <c r="F156" t="s">
        <v>42</v>
      </c>
      <c r="G156">
        <v>-327.79989999999998</v>
      </c>
      <c r="H156" s="1">
        <v>-1.112887E-6</v>
      </c>
      <c r="I156">
        <v>370.31810000000002</v>
      </c>
      <c r="J156">
        <v>-441.27019999999999</v>
      </c>
      <c r="K156">
        <v>1.119346</v>
      </c>
      <c r="L156">
        <v>367.8501</v>
      </c>
      <c r="M156">
        <v>0.99997919999999996</v>
      </c>
      <c r="N156">
        <v>-2.0126940000000002E-3</v>
      </c>
      <c r="O156">
        <v>6.1405339999999996E-3</v>
      </c>
      <c r="P156">
        <v>0.97388319999999995</v>
      </c>
      <c r="Q156">
        <v>0.2157386</v>
      </c>
      <c r="R156">
        <v>-7.0772160000000001E-2</v>
      </c>
      <c r="S156">
        <v>3.0920100000000001</v>
      </c>
      <c r="T156">
        <v>-3.0411239999999999E-2</v>
      </c>
      <c r="U156">
        <v>6.7108150000000005E-2</v>
      </c>
      <c r="V156">
        <v>7.697524E-2</v>
      </c>
      <c r="W156">
        <v>0.21761820000000001</v>
      </c>
      <c r="X156">
        <v>0.97299389999999997</v>
      </c>
      <c r="Y156">
        <v>-1.555839E-2</v>
      </c>
      <c r="Z156" s="1">
        <v>4.4132989999999998E-5</v>
      </c>
      <c r="AA156">
        <v>0.99987890000000001</v>
      </c>
      <c r="AB156">
        <v>36</v>
      </c>
      <c r="AC156">
        <v>113.47029999999999</v>
      </c>
      <c r="AD156">
        <v>-1.1193471128870001</v>
      </c>
      <c r="AE156">
        <v>2.4680000000000102</v>
      </c>
      <c r="AF156">
        <v>-1.77101161973424</v>
      </c>
      <c r="AG156">
        <v>-1.1193471128870001</v>
      </c>
      <c r="AH156">
        <v>113.47227861275501</v>
      </c>
      <c r="AI156">
        <v>90.565106975595398</v>
      </c>
      <c r="AJ156">
        <v>90.894167760660196</v>
      </c>
      <c r="AK156">
        <v>113.491618341123</v>
      </c>
      <c r="AL156">
        <v>77.430823157802095</v>
      </c>
      <c r="AM156">
        <v>85.476652225295794</v>
      </c>
      <c r="AN156">
        <v>0.99999999899075298</v>
      </c>
    </row>
    <row r="157" spans="1:40" x14ac:dyDescent="0.25">
      <c r="A157" t="str">
        <f>"20190303170944806"</f>
        <v>20190303170944806</v>
      </c>
      <c r="B157" t="str">
        <f>"1551604184800430"</f>
        <v>1551604184800430</v>
      </c>
      <c r="C157" t="s">
        <v>40</v>
      </c>
      <c r="D157">
        <v>5.1196429999999999</v>
      </c>
      <c r="E157">
        <v>0.47078359999999903</v>
      </c>
      <c r="F157" t="s">
        <v>42</v>
      </c>
      <c r="G157">
        <v>-321.67610000000002</v>
      </c>
      <c r="H157" s="1">
        <v>-3.8052840000000002E-6</v>
      </c>
      <c r="I157">
        <v>370.56369999999998</v>
      </c>
      <c r="J157">
        <v>-440.91</v>
      </c>
      <c r="K157">
        <v>1.119313</v>
      </c>
      <c r="L157">
        <v>367.8519</v>
      </c>
      <c r="M157">
        <v>0.99998209999999998</v>
      </c>
      <c r="N157">
        <v>-1.987834E-3</v>
      </c>
      <c r="O157">
        <v>5.6501709999999998E-3</v>
      </c>
      <c r="P157">
        <v>0.97365330000000005</v>
      </c>
      <c r="Q157">
        <v>0.2167346</v>
      </c>
      <c r="R157">
        <v>-7.08921E-2</v>
      </c>
      <c r="S157">
        <v>3.09198</v>
      </c>
      <c r="T157">
        <v>-2.8939599999999999E-2</v>
      </c>
      <c r="U157">
        <v>7.0159910000000006E-2</v>
      </c>
      <c r="V157">
        <v>7.6622570000000001E-2</v>
      </c>
      <c r="W157">
        <v>0.21858849999999999</v>
      </c>
      <c r="X157">
        <v>0.97280420000000001</v>
      </c>
      <c r="Y157">
        <v>-1.703526E-2</v>
      </c>
      <c r="Z157" s="1">
        <v>5.4999669999999999E-5</v>
      </c>
      <c r="AA157">
        <v>0.99985489999999999</v>
      </c>
      <c r="AB157">
        <v>36</v>
      </c>
      <c r="AC157">
        <v>119.23390000000001</v>
      </c>
      <c r="AD157">
        <v>-1.1193168052839999</v>
      </c>
      <c r="AE157">
        <v>2.7117999999999798</v>
      </c>
      <c r="AF157">
        <v>-2.0378839850415198</v>
      </c>
      <c r="AG157">
        <v>-1.1193168052839999</v>
      </c>
      <c r="AH157">
        <v>119.236816412194</v>
      </c>
      <c r="AI157">
        <v>90.537760763202499</v>
      </c>
      <c r="AJ157">
        <v>90.979150467705693</v>
      </c>
      <c r="AK157">
        <v>119.259482764946</v>
      </c>
      <c r="AL157">
        <v>77.373857424127806</v>
      </c>
      <c r="AM157">
        <v>85.496416561421199</v>
      </c>
      <c r="AN157">
        <v>0.999999981051647</v>
      </c>
    </row>
    <row r="158" spans="1:40" x14ac:dyDescent="0.25">
      <c r="A158" t="str">
        <f>"20190303170944830"</f>
        <v>20190303170944830</v>
      </c>
      <c r="B158" t="str">
        <f>"1551604184820926"</f>
        <v>1551604184820926</v>
      </c>
      <c r="C158" t="s">
        <v>40</v>
      </c>
      <c r="D158">
        <v>5.1197990000000004</v>
      </c>
      <c r="E158">
        <v>0.47063559999999999</v>
      </c>
      <c r="F158" t="s">
        <v>41</v>
      </c>
      <c r="G158">
        <v>-307.14640000000003</v>
      </c>
      <c r="H158">
        <v>-0.05</v>
      </c>
      <c r="I158">
        <v>370.9461</v>
      </c>
      <c r="J158">
        <v>-440.51409999999998</v>
      </c>
      <c r="K158">
        <v>1.1191519999999999</v>
      </c>
      <c r="L158">
        <v>367.85379999999998</v>
      </c>
      <c r="M158">
        <v>0.99998560000000003</v>
      </c>
      <c r="N158">
        <v>-1.73499299999999E-3</v>
      </c>
      <c r="O158">
        <v>5.097046E-3</v>
      </c>
      <c r="P158">
        <v>0.97356390000000004</v>
      </c>
      <c r="Q158">
        <v>0.21713450000000001</v>
      </c>
      <c r="R158">
        <v>-7.0896340000000002E-2</v>
      </c>
      <c r="S158">
        <v>3.092438</v>
      </c>
      <c r="T158">
        <v>-2.703297E-2</v>
      </c>
      <c r="U158">
        <v>7.1533200000000005E-2</v>
      </c>
      <c r="V158">
        <v>7.6088989999999995E-2</v>
      </c>
      <c r="W158">
        <v>0.21874199999999999</v>
      </c>
      <c r="X158">
        <v>0.9728116</v>
      </c>
      <c r="Y158">
        <v>-1.8028780000000001E-2</v>
      </c>
      <c r="Z158" s="1">
        <v>5.8724139999999998E-5</v>
      </c>
      <c r="AA158">
        <v>0.99983750000000005</v>
      </c>
      <c r="AB158">
        <v>36</v>
      </c>
      <c r="AC158">
        <v>133.36769999999899</v>
      </c>
      <c r="AD158">
        <v>-1.169152</v>
      </c>
      <c r="AE158">
        <v>3.0923000000000198</v>
      </c>
      <c r="AF158">
        <v>-2.4122922868891101</v>
      </c>
      <c r="AG158">
        <v>-1.169152</v>
      </c>
      <c r="AH158">
        <v>133.371485148224</v>
      </c>
      <c r="AI158">
        <v>90.502167353916803</v>
      </c>
      <c r="AJ158">
        <v>91.036196740199003</v>
      </c>
      <c r="AK158">
        <v>133.39842248362399</v>
      </c>
      <c r="AL158">
        <v>77.364844688420902</v>
      </c>
      <c r="AM158">
        <v>85.527684569878204</v>
      </c>
      <c r="AN158">
        <v>1.00000000302889</v>
      </c>
    </row>
    <row r="159" spans="1:40" x14ac:dyDescent="0.25">
      <c r="A159" t="str">
        <f>"20190303170944853"</f>
        <v>20190303170944853</v>
      </c>
      <c r="B159" t="str">
        <f>"1551604184840446"</f>
        <v>1551604184840446</v>
      </c>
      <c r="C159" t="s">
        <v>40</v>
      </c>
      <c r="D159">
        <v>5.1054820000000003</v>
      </c>
      <c r="E159">
        <v>0.47059580000000001</v>
      </c>
      <c r="F159" t="s">
        <v>41</v>
      </c>
      <c r="G159">
        <v>-306.76729999999998</v>
      </c>
      <c r="H159">
        <v>-0.05</v>
      </c>
      <c r="I159">
        <v>371.0052</v>
      </c>
      <c r="J159">
        <v>-440.13839999999999</v>
      </c>
      <c r="K159">
        <v>1.1188610000000001</v>
      </c>
      <c r="L159">
        <v>367.85539999999997</v>
      </c>
      <c r="M159">
        <v>0.99998810000000005</v>
      </c>
      <c r="N159">
        <v>-1.7266200000000001E-3</v>
      </c>
      <c r="O159">
        <v>4.5780530000000003E-3</v>
      </c>
      <c r="P159">
        <v>0.97367979999999998</v>
      </c>
      <c r="Q159">
        <v>0.2167538</v>
      </c>
      <c r="R159">
        <v>-7.0464799999999994E-2</v>
      </c>
      <c r="S159">
        <v>3.0928040000000001</v>
      </c>
      <c r="T159">
        <v>-2.703583E-2</v>
      </c>
      <c r="U159">
        <v>7.2875980000000007E-2</v>
      </c>
      <c r="V159">
        <v>7.5157050000000003E-2</v>
      </c>
      <c r="W159">
        <v>0.21835350000000001</v>
      </c>
      <c r="X159">
        <v>0.97297129999999998</v>
      </c>
      <c r="Y159">
        <v>-1.8978749999999999E-2</v>
      </c>
      <c r="Z159" s="1">
        <v>6.7217000000000004E-5</v>
      </c>
      <c r="AA159">
        <v>0.99981989999999998</v>
      </c>
      <c r="AB159">
        <v>37</v>
      </c>
      <c r="AC159">
        <v>133.37110000000001</v>
      </c>
      <c r="AD159">
        <v>-1.1688609999999999</v>
      </c>
      <c r="AE159">
        <v>3.1498000000000199</v>
      </c>
      <c r="AF159">
        <v>-2.5389912559432899</v>
      </c>
      <c r="AG159">
        <v>-1.1688609999999999</v>
      </c>
      <c r="AH159">
        <v>133.37388395476901</v>
      </c>
      <c r="AI159">
        <v>90.502024496951705</v>
      </c>
      <c r="AJ159">
        <v>91.090587675748793</v>
      </c>
      <c r="AK159">
        <v>133.40316950438401</v>
      </c>
      <c r="AL159">
        <v>77.387655379135595</v>
      </c>
      <c r="AM159">
        <v>85.582965673913606</v>
      </c>
      <c r="AN159">
        <v>0.99999999187532096</v>
      </c>
    </row>
    <row r="160" spans="1:40" x14ac:dyDescent="0.25">
      <c r="A160" t="str">
        <f>"20190303170944873"</f>
        <v>20190303170944873</v>
      </c>
      <c r="B160" t="str">
        <f>"1551604184860942"</f>
        <v>1551604184860942</v>
      </c>
      <c r="C160" t="s">
        <v>40</v>
      </c>
      <c r="D160">
        <v>5.1084189999999996</v>
      </c>
      <c r="E160">
        <v>0.4705433</v>
      </c>
      <c r="F160" t="s">
        <v>42</v>
      </c>
      <c r="G160">
        <v>-321.4076</v>
      </c>
      <c r="H160" s="1">
        <v>-3.9569859999999996E-6</v>
      </c>
      <c r="I160">
        <v>370.70089999999999</v>
      </c>
      <c r="J160">
        <v>-439.7953</v>
      </c>
      <c r="K160">
        <v>1.1184430000000001</v>
      </c>
      <c r="L160">
        <v>367.85669999999999</v>
      </c>
      <c r="M160">
        <v>0.99998949999999998</v>
      </c>
      <c r="N160">
        <v>-2.0307569999999998E-3</v>
      </c>
      <c r="O160">
        <v>4.1201229999999998E-3</v>
      </c>
      <c r="P160">
        <v>0.9737519</v>
      </c>
      <c r="Q160">
        <v>0.2163001</v>
      </c>
      <c r="R160">
        <v>-7.0864389999999999E-2</v>
      </c>
      <c r="S160">
        <v>3.0929259999999998</v>
      </c>
      <c r="T160">
        <v>-2.9146310000000002E-2</v>
      </c>
      <c r="U160">
        <v>7.4127199999999893E-2</v>
      </c>
      <c r="V160">
        <v>7.5121190000000004E-2</v>
      </c>
      <c r="W160">
        <v>0.218192</v>
      </c>
      <c r="X160">
        <v>0.97301029999999999</v>
      </c>
      <c r="Y160">
        <v>-1.9839699999999998E-2</v>
      </c>
      <c r="Z160" s="1">
        <v>8.3159500000000002E-5</v>
      </c>
      <c r="AA160">
        <v>0.9998032</v>
      </c>
      <c r="AB160">
        <v>37</v>
      </c>
      <c r="AC160">
        <v>118.3877</v>
      </c>
      <c r="AD160">
        <v>-1.1184469569860001</v>
      </c>
      <c r="AE160">
        <v>2.8441999999999998</v>
      </c>
      <c r="AF160">
        <v>-2.3561928184109702</v>
      </c>
      <c r="AG160">
        <v>-1.1184469569860001</v>
      </c>
      <c r="AH160">
        <v>118.387853379687</v>
      </c>
      <c r="AI160">
        <v>90.541167825610202</v>
      </c>
      <c r="AJ160">
        <v>91.140168353464801</v>
      </c>
      <c r="AK160">
        <v>118.416579903506</v>
      </c>
      <c r="AL160">
        <v>77.397137291127294</v>
      </c>
      <c r="AM160">
        <v>85.585241116726607</v>
      </c>
      <c r="AN160">
        <v>0.99999999297855302</v>
      </c>
    </row>
    <row r="161" spans="1:40" x14ac:dyDescent="0.25">
      <c r="A161" t="str">
        <f>"20190303170944896"</f>
        <v>20190303170944896</v>
      </c>
      <c r="B161" t="str">
        <f>"1551604184891197"</f>
        <v>1551604184891197</v>
      </c>
      <c r="C161" t="s">
        <v>40</v>
      </c>
      <c r="D161">
        <v>5.1200089999999996</v>
      </c>
      <c r="E161">
        <v>0.47047220000000001</v>
      </c>
      <c r="F161" t="s">
        <v>42</v>
      </c>
      <c r="G161">
        <v>-329.50360000000001</v>
      </c>
      <c r="H161" s="1">
        <v>-4.1323279999999999E-7</v>
      </c>
      <c r="I161">
        <v>370.43560000000002</v>
      </c>
      <c r="J161">
        <v>-439.42500000000001</v>
      </c>
      <c r="K161">
        <v>1.117791</v>
      </c>
      <c r="L161">
        <v>367.85789999999997</v>
      </c>
      <c r="M161">
        <v>0.99999000000000005</v>
      </c>
      <c r="N161">
        <v>-2.6581740000000001E-3</v>
      </c>
      <c r="O161">
        <v>3.6428849999999998E-3</v>
      </c>
      <c r="P161">
        <v>0.97378129999999996</v>
      </c>
      <c r="Q161">
        <v>0.21609880000000001</v>
      </c>
      <c r="R161">
        <v>-7.1073430000000007E-2</v>
      </c>
      <c r="S161">
        <v>3.09314</v>
      </c>
      <c r="T161">
        <v>-3.1366829999999998E-2</v>
      </c>
      <c r="U161">
        <v>7.2326660000000001E-2</v>
      </c>
      <c r="V161">
        <v>7.4882799999999999E-2</v>
      </c>
      <c r="W161">
        <v>0.21859590000000001</v>
      </c>
      <c r="X161">
        <v>0.97293799999999997</v>
      </c>
      <c r="Y161">
        <v>-1.9733299999999999E-2</v>
      </c>
      <c r="Z161" s="1">
        <v>9.9017819999999994E-5</v>
      </c>
      <c r="AA161">
        <v>0.99980530000000001</v>
      </c>
      <c r="AB161">
        <v>37</v>
      </c>
      <c r="AC161">
        <v>109.92140000000001</v>
      </c>
      <c r="AD161">
        <v>-1.1177914132328</v>
      </c>
      <c r="AE161">
        <v>2.5777000000000498</v>
      </c>
      <c r="AF161">
        <v>-2.1770255298213499</v>
      </c>
      <c r="AG161">
        <v>-1.1177914132328</v>
      </c>
      <c r="AH161">
        <v>109.918700625295</v>
      </c>
      <c r="AI161">
        <v>90.582521136434593</v>
      </c>
      <c r="AJ161">
        <v>91.134639220387498</v>
      </c>
      <c r="AK161">
        <v>109.945939647421</v>
      </c>
      <c r="AL161">
        <v>77.373422869688795</v>
      </c>
      <c r="AM161">
        <v>85.598870070496503</v>
      </c>
      <c r="AN161">
        <v>0.99999997653832395</v>
      </c>
    </row>
    <row r="162" spans="1:40" x14ac:dyDescent="0.25">
      <c r="A162" t="str">
        <f>"20190303170944919"</f>
        <v>20190303170944919</v>
      </c>
      <c r="B162" t="str">
        <f>"1551604184910718"</f>
        <v>1551604184910718</v>
      </c>
      <c r="C162" t="s">
        <v>40</v>
      </c>
      <c r="D162">
        <v>5.1237399999999997</v>
      </c>
      <c r="E162">
        <v>0.47040490000000001</v>
      </c>
      <c r="F162" t="s">
        <v>42</v>
      </c>
      <c r="G162">
        <v>-332.58749999999998</v>
      </c>
      <c r="H162" s="1">
        <v>-3.3545299999999998E-6</v>
      </c>
      <c r="I162">
        <v>370.33909999999997</v>
      </c>
      <c r="J162">
        <v>-439.0419</v>
      </c>
      <c r="K162">
        <v>1.116854</v>
      </c>
      <c r="L162">
        <v>367.85890000000001</v>
      </c>
      <c r="M162">
        <v>0.99998849999999995</v>
      </c>
      <c r="N162">
        <v>-3.6277269999999999E-3</v>
      </c>
      <c r="O162">
        <v>3.1666390000000002E-3</v>
      </c>
      <c r="P162">
        <v>0.97395620000000005</v>
      </c>
      <c r="Q162">
        <v>0.215229</v>
      </c>
      <c r="R162">
        <v>-7.1319579999999994E-2</v>
      </c>
      <c r="S162">
        <v>3.0932010000000001</v>
      </c>
      <c r="T162">
        <v>-3.236282E-2</v>
      </c>
      <c r="U162">
        <v>7.1838379999999993E-2</v>
      </c>
      <c r="V162">
        <v>7.4685329999999994E-2</v>
      </c>
      <c r="W162">
        <v>0.21866389999999999</v>
      </c>
      <c r="X162">
        <v>0.97293790000000002</v>
      </c>
      <c r="Y162">
        <v>-2.0051019999999999E-2</v>
      </c>
      <c r="Z162">
        <v>1.1961239999999999E-4</v>
      </c>
      <c r="AA162">
        <v>0.99979899999999999</v>
      </c>
      <c r="AB162">
        <v>37</v>
      </c>
      <c r="AC162">
        <v>106.45440000000001</v>
      </c>
      <c r="AD162">
        <v>-1.11685735453</v>
      </c>
      <c r="AE162">
        <v>2.48019999999996</v>
      </c>
      <c r="AF162">
        <v>-2.1428469885179302</v>
      </c>
      <c r="AG162">
        <v>-1.11685735453</v>
      </c>
      <c r="AH162">
        <v>106.450009624671</v>
      </c>
      <c r="AI162">
        <v>90.600994825560306</v>
      </c>
      <c r="AJ162">
        <v>91.153212754710395</v>
      </c>
      <c r="AK162">
        <v>106.477432879738</v>
      </c>
      <c r="AL162">
        <v>77.369430189256093</v>
      </c>
      <c r="AM162">
        <v>85.610430218733796</v>
      </c>
      <c r="AN162">
        <v>0.99999997846841404</v>
      </c>
    </row>
    <row r="163" spans="1:40" x14ac:dyDescent="0.25">
      <c r="A163" t="str">
        <f>"20190303170944942"</f>
        <v>20190303170944942</v>
      </c>
      <c r="B163" t="str">
        <f>"1551604184931213"</f>
        <v>1551604184931213</v>
      </c>
      <c r="C163" t="s">
        <v>40</v>
      </c>
      <c r="D163">
        <v>5.123545</v>
      </c>
      <c r="E163">
        <v>0.47038770000000002</v>
      </c>
      <c r="F163" t="s">
        <v>42</v>
      </c>
      <c r="G163">
        <v>-342.39240000000001</v>
      </c>
      <c r="H163" s="1">
        <v>-3.7040009999999998E-6</v>
      </c>
      <c r="I163">
        <v>370.0949</v>
      </c>
      <c r="J163">
        <v>-438.64589999999998</v>
      </c>
      <c r="K163">
        <v>1.1156349999999999</v>
      </c>
      <c r="L163">
        <v>367.85989999999998</v>
      </c>
      <c r="M163">
        <v>0.99998399999999998</v>
      </c>
      <c r="N163">
        <v>-4.9853270000000003E-3</v>
      </c>
      <c r="O163">
        <v>2.7354549999999999E-3</v>
      </c>
      <c r="P163">
        <v>0.97429429999999995</v>
      </c>
      <c r="Q163">
        <v>0.2135495</v>
      </c>
      <c r="R163">
        <v>-7.1746379999999998E-2</v>
      </c>
      <c r="S163">
        <v>3.093353</v>
      </c>
      <c r="T163">
        <v>-3.5745979999999997E-2</v>
      </c>
      <c r="U163">
        <v>7.1563719999999997E-2</v>
      </c>
      <c r="V163">
        <v>7.4714489999999995E-2</v>
      </c>
      <c r="W163">
        <v>0.21829950000000001</v>
      </c>
      <c r="X163">
        <v>0.97301749999999998</v>
      </c>
      <c r="Y163">
        <v>-2.039175E-2</v>
      </c>
      <c r="Z163">
        <v>1.5067109999999999E-4</v>
      </c>
      <c r="AA163">
        <v>0.99979200000000001</v>
      </c>
      <c r="AB163">
        <v>38</v>
      </c>
      <c r="AC163">
        <v>96.253499999999903</v>
      </c>
      <c r="AD163">
        <v>-1.1156387040009901</v>
      </c>
      <c r="AE163">
        <v>2.2350000000000101</v>
      </c>
      <c r="AF163">
        <v>-1.9714265882542701</v>
      </c>
      <c r="AG163">
        <v>-1.1156387040009901</v>
      </c>
      <c r="AH163">
        <v>96.246330664031802</v>
      </c>
      <c r="AI163">
        <v>90.663974644372701</v>
      </c>
      <c r="AJ163">
        <v>91.1734330993703</v>
      </c>
      <c r="AK163">
        <v>96.272983431494893</v>
      </c>
      <c r="AL163">
        <v>77.390825824979302</v>
      </c>
      <c r="AM163">
        <v>85.609080899507703</v>
      </c>
      <c r="AN163">
        <v>0.99999999101123005</v>
      </c>
    </row>
    <row r="164" spans="1:40" x14ac:dyDescent="0.25">
      <c r="A164" t="str">
        <f>"20190303170944965"</f>
        <v>20190303170944965</v>
      </c>
      <c r="B164" t="str">
        <f>"1551604184950733"</f>
        <v>1551604184950733</v>
      </c>
      <c r="C164" t="s">
        <v>40</v>
      </c>
      <c r="D164">
        <v>5.130738</v>
      </c>
      <c r="E164">
        <v>0.47038049999999998</v>
      </c>
      <c r="F164" t="s">
        <v>42</v>
      </c>
      <c r="G164">
        <v>-355.36660000000001</v>
      </c>
      <c r="H164" s="1">
        <v>-1.9993489999999999E-6</v>
      </c>
      <c r="I164">
        <v>369.72640000000001</v>
      </c>
      <c r="J164">
        <v>-438.25619999999998</v>
      </c>
      <c r="K164">
        <v>1.1141160000000001</v>
      </c>
      <c r="L164">
        <v>367.8605</v>
      </c>
      <c r="M164">
        <v>0.99997860000000005</v>
      </c>
      <c r="N164">
        <v>-6.1406239999999999E-3</v>
      </c>
      <c r="O164">
        <v>2.2661360000000002E-3</v>
      </c>
      <c r="P164">
        <v>0.97469930000000005</v>
      </c>
      <c r="Q164">
        <v>0.21180930000000001</v>
      </c>
      <c r="R164">
        <v>-7.1402740000000006E-2</v>
      </c>
      <c r="S164">
        <v>3.093353</v>
      </c>
      <c r="T164">
        <v>-4.1439530000000002E-2</v>
      </c>
      <c r="U164">
        <v>6.9335939999999999E-2</v>
      </c>
      <c r="V164">
        <v>7.3925439999999995E-2</v>
      </c>
      <c r="W164">
        <v>0.2176834</v>
      </c>
      <c r="X164">
        <v>0.97321579999999996</v>
      </c>
      <c r="Y164">
        <v>-2.0140620000000001E-2</v>
      </c>
      <c r="Z164">
        <v>1.802936E-4</v>
      </c>
      <c r="AA164">
        <v>0.99979720000000005</v>
      </c>
      <c r="AB164">
        <v>38</v>
      </c>
      <c r="AC164">
        <v>82.889599999999902</v>
      </c>
      <c r="AD164">
        <v>-1.11411799934899</v>
      </c>
      <c r="AE164">
        <v>1.8659000000000101</v>
      </c>
      <c r="AF164">
        <v>-1.67774961574725</v>
      </c>
      <c r="AG164">
        <v>-1.11411799934899</v>
      </c>
      <c r="AH164">
        <v>82.878650336496705</v>
      </c>
      <c r="AI164">
        <v>90.770009418754697</v>
      </c>
      <c r="AJ164">
        <v>91.159705713221896</v>
      </c>
      <c r="AK164">
        <v>82.903116855091099</v>
      </c>
      <c r="AL164">
        <v>77.4269958999907</v>
      </c>
      <c r="AM164">
        <v>85.656156204819197</v>
      </c>
      <c r="AN164">
        <v>1.00000001334219</v>
      </c>
    </row>
    <row r="165" spans="1:40" x14ac:dyDescent="0.25">
      <c r="A165" t="str">
        <f>"20190303170944984"</f>
        <v>20190303170944984</v>
      </c>
      <c r="B165" t="str">
        <f>"1551604184970254"</f>
        <v>1551604184970254</v>
      </c>
      <c r="C165" t="s">
        <v>40</v>
      </c>
      <c r="D165">
        <v>4.8949410000000002</v>
      </c>
      <c r="E165">
        <v>0.47032479999999899</v>
      </c>
      <c r="F165" t="s">
        <v>42</v>
      </c>
      <c r="G165">
        <v>-365.80360000000002</v>
      </c>
      <c r="H165" s="1">
        <v>-1.802918E-6</v>
      </c>
      <c r="I165">
        <v>369.50150000000002</v>
      </c>
      <c r="J165">
        <v>-437.92360000000002</v>
      </c>
      <c r="K165">
        <v>1.112565</v>
      </c>
      <c r="L165">
        <v>367.86090000000002</v>
      </c>
      <c r="M165">
        <v>0.99997320000000001</v>
      </c>
      <c r="N165">
        <v>-7.0895250000000002E-3</v>
      </c>
      <c r="O165">
        <v>1.8233469999999999E-3</v>
      </c>
      <c r="P165">
        <v>0.97510589999999997</v>
      </c>
      <c r="Q165">
        <v>0.20984149999999999</v>
      </c>
      <c r="R165">
        <v>-7.1662459999999997E-2</v>
      </c>
      <c r="S165">
        <v>3.093353</v>
      </c>
      <c r="T165">
        <v>-4.756701E-2</v>
      </c>
      <c r="U165">
        <v>7.0068359999999996E-2</v>
      </c>
      <c r="V165">
        <v>7.3757690000000001E-2</v>
      </c>
      <c r="W165">
        <v>0.21664030000000001</v>
      </c>
      <c r="X165">
        <v>0.97346120000000003</v>
      </c>
      <c r="Y165">
        <v>-2.0818960000000001E-2</v>
      </c>
      <c r="Z165">
        <v>2.187457E-4</v>
      </c>
      <c r="AA165">
        <v>0.99978319999999998</v>
      </c>
      <c r="AB165">
        <v>38</v>
      </c>
      <c r="AC165">
        <v>72.12</v>
      </c>
      <c r="AD165">
        <v>-1.112566802918</v>
      </c>
      <c r="AE165">
        <v>1.6406000000000001</v>
      </c>
      <c r="AF165">
        <v>-1.5087353180033301</v>
      </c>
      <c r="AG165">
        <v>-1.112566802918</v>
      </c>
      <c r="AH165">
        <v>72.105720711329298</v>
      </c>
      <c r="AI165">
        <v>90.883790873973595</v>
      </c>
      <c r="AJ165">
        <v>91.198678179509699</v>
      </c>
      <c r="AK165">
        <v>72.130084198280002</v>
      </c>
      <c r="AL165">
        <v>77.488221608965802</v>
      </c>
      <c r="AM165">
        <v>85.667063964726907</v>
      </c>
      <c r="AN165">
        <v>0.99999996216183196</v>
      </c>
    </row>
    <row r="166" spans="1:40" x14ac:dyDescent="0.25">
      <c r="A166" t="str">
        <f>"20190303170945008"</f>
        <v>20190303170945008</v>
      </c>
      <c r="B166" t="str">
        <f>"1551604185000509"</f>
        <v>1551604185000509</v>
      </c>
      <c r="C166" t="s">
        <v>40</v>
      </c>
      <c r="D166">
        <v>5.1648639999999997</v>
      </c>
      <c r="E166">
        <v>0.47024510000000003</v>
      </c>
      <c r="F166" t="s">
        <v>42</v>
      </c>
      <c r="G166">
        <v>-375.06389999999999</v>
      </c>
      <c r="H166" s="1">
        <v>-2.1623500000000001E-6</v>
      </c>
      <c r="I166">
        <v>369.26420000000002</v>
      </c>
      <c r="J166">
        <v>-437.53590000000003</v>
      </c>
      <c r="K166">
        <v>1.1104700000000001</v>
      </c>
      <c r="L166">
        <v>367.8612</v>
      </c>
      <c r="M166">
        <v>0.99996609999999997</v>
      </c>
      <c r="N166">
        <v>-8.1393539999999997E-3</v>
      </c>
      <c r="O166">
        <v>1.28112E-3</v>
      </c>
      <c r="P166">
        <v>0.97531619999999997</v>
      </c>
      <c r="Q166">
        <v>0.20872470000000001</v>
      </c>
      <c r="R166">
        <v>-7.2059330000000005E-2</v>
      </c>
      <c r="S166">
        <v>3.0934750000000002</v>
      </c>
      <c r="T166">
        <v>-5.475199E-2</v>
      </c>
      <c r="U166">
        <v>6.9061280000000003E-2</v>
      </c>
      <c r="V166">
        <v>7.3631699999999994E-2</v>
      </c>
      <c r="W166">
        <v>0.21654580000000001</v>
      </c>
      <c r="X166">
        <v>0.97349180000000002</v>
      </c>
      <c r="Y166">
        <v>-2.1033650000000001E-2</v>
      </c>
      <c r="Z166">
        <v>2.5947939999999999E-4</v>
      </c>
      <c r="AA166">
        <v>0.99977870000000002</v>
      </c>
      <c r="AB166">
        <v>38</v>
      </c>
      <c r="AC166">
        <v>62.472000000000001</v>
      </c>
      <c r="AD166">
        <v>-1.11047216235</v>
      </c>
      <c r="AE166">
        <v>1.40300000000002</v>
      </c>
      <c r="AF166">
        <v>-1.3225443999430799</v>
      </c>
      <c r="AG166">
        <v>-1.11047216235</v>
      </c>
      <c r="AH166">
        <v>62.454022610978598</v>
      </c>
      <c r="AI166">
        <v>91.018419712346301</v>
      </c>
      <c r="AJ166">
        <v>91.213130640874198</v>
      </c>
      <c r="AK166">
        <v>62.477893789770199</v>
      </c>
      <c r="AL166">
        <v>77.493768165611698</v>
      </c>
      <c r="AM166">
        <v>85.674572652223503</v>
      </c>
      <c r="AN166">
        <v>0.99999999770488501</v>
      </c>
    </row>
    <row r="167" spans="1:40" x14ac:dyDescent="0.25">
      <c r="A167" t="str">
        <f>"20190303170945029"</f>
        <v>20190303170945029</v>
      </c>
      <c r="B167" t="str">
        <f>"1551604185021006"</f>
        <v>1551604185021006</v>
      </c>
      <c r="C167" t="s">
        <v>40</v>
      </c>
      <c r="D167">
        <v>5.1730970000000003</v>
      </c>
      <c r="E167">
        <v>0.47019689999999997</v>
      </c>
      <c r="F167" t="s">
        <v>42</v>
      </c>
      <c r="G167">
        <v>-378.51780000000002</v>
      </c>
      <c r="H167" s="1">
        <v>-6.9795669999999998E-7</v>
      </c>
      <c r="I167">
        <v>369.16649999999998</v>
      </c>
      <c r="J167">
        <v>-437.1429</v>
      </c>
      <c r="K167">
        <v>1.108031</v>
      </c>
      <c r="L167">
        <v>367.86130000000003</v>
      </c>
      <c r="M167">
        <v>0.99995919999999905</v>
      </c>
      <c r="N167">
        <v>-8.9984430000000001E-3</v>
      </c>
      <c r="O167">
        <v>7.2285709999999996E-4</v>
      </c>
      <c r="P167">
        <v>0.97545170000000003</v>
      </c>
      <c r="Q167">
        <v>0.20795340000000001</v>
      </c>
      <c r="R167">
        <v>-7.2453320000000002E-2</v>
      </c>
      <c r="S167">
        <v>3.093445</v>
      </c>
      <c r="T167">
        <v>-5.8205489999999999E-2</v>
      </c>
      <c r="U167">
        <v>6.8420410000000001E-2</v>
      </c>
      <c r="V167">
        <v>7.3490659999999999E-2</v>
      </c>
      <c r="W167">
        <v>0.21660960000000001</v>
      </c>
      <c r="X167">
        <v>0.97348829999999997</v>
      </c>
      <c r="Y167">
        <v>-2.1384190000000001E-2</v>
      </c>
      <c r="Z167">
        <v>2.9028140000000001E-4</v>
      </c>
      <c r="AA167">
        <v>0.99977130000000003</v>
      </c>
      <c r="AB167">
        <v>38</v>
      </c>
      <c r="AC167">
        <v>58.625099999999897</v>
      </c>
      <c r="AD167">
        <v>-1.1080316979567</v>
      </c>
      <c r="AE167">
        <v>1.30519999999995</v>
      </c>
      <c r="AF167">
        <v>-1.26236964945452</v>
      </c>
      <c r="AG167">
        <v>-1.1080316979567</v>
      </c>
      <c r="AH167">
        <v>58.605103582120996</v>
      </c>
      <c r="AI167">
        <v>91.082896458775906</v>
      </c>
      <c r="AJ167">
        <v>91.233975633476305</v>
      </c>
      <c r="AK167">
        <v>58.629169167289703</v>
      </c>
      <c r="AL167">
        <v>77.490024274054605</v>
      </c>
      <c r="AM167">
        <v>85.682811102234595</v>
      </c>
      <c r="AN167">
        <v>1.00000003307814</v>
      </c>
    </row>
    <row r="168" spans="1:40" x14ac:dyDescent="0.25">
      <c r="A168" t="str">
        <f>"20190303170945052"</f>
        <v>20190303170945052</v>
      </c>
      <c r="B168" t="str">
        <f>"1551604185040525"</f>
        <v>1551604185040525</v>
      </c>
      <c r="C168" t="s">
        <v>40</v>
      </c>
      <c r="D168">
        <v>5.1187760000000004</v>
      </c>
      <c r="E168">
        <v>0.47066829999999998</v>
      </c>
      <c r="F168" t="s">
        <v>42</v>
      </c>
      <c r="G168">
        <v>-380.70800000000003</v>
      </c>
      <c r="H168" s="1">
        <v>-4.0630800000000004E-6</v>
      </c>
      <c r="I168">
        <v>369.08330000000001</v>
      </c>
      <c r="J168">
        <v>-436.75920000000002</v>
      </c>
      <c r="K168">
        <v>1.105361</v>
      </c>
      <c r="L168">
        <v>367.86130000000003</v>
      </c>
      <c r="M168">
        <v>0.99995469999999997</v>
      </c>
      <c r="N168">
        <v>-9.5276070000000004E-3</v>
      </c>
      <c r="O168">
        <v>1.8001820000000001E-4</v>
      </c>
      <c r="P168">
        <v>0.97555559999999997</v>
      </c>
      <c r="Q168">
        <v>0.20743710000000001</v>
      </c>
      <c r="R168">
        <v>-7.2537229999999994E-2</v>
      </c>
      <c r="S168">
        <v>3.093445</v>
      </c>
      <c r="T168">
        <v>-6.0736180000000001E-2</v>
      </c>
      <c r="U168">
        <v>6.6986080000000003E-2</v>
      </c>
      <c r="V168">
        <v>7.3057860000000002E-2</v>
      </c>
      <c r="W168">
        <v>0.2166063</v>
      </c>
      <c r="X168">
        <v>0.97352159999999999</v>
      </c>
      <c r="Y168">
        <v>-2.1463010000000001E-2</v>
      </c>
      <c r="Z168">
        <v>3.1111129999999998E-4</v>
      </c>
      <c r="AA168">
        <v>0.99976960000000004</v>
      </c>
      <c r="AB168">
        <v>38</v>
      </c>
      <c r="AC168">
        <v>56.051200000000001</v>
      </c>
      <c r="AD168">
        <v>-1.10536506308</v>
      </c>
      <c r="AE168">
        <v>1.22199999999998</v>
      </c>
      <c r="AF168">
        <v>-1.2114383785526599</v>
      </c>
      <c r="AG168">
        <v>-1.10536506308</v>
      </c>
      <c r="AH168">
        <v>56.029639323822899</v>
      </c>
      <c r="AI168">
        <v>91.129933131887</v>
      </c>
      <c r="AJ168">
        <v>91.238621094586804</v>
      </c>
      <c r="AK168">
        <v>56.053634116133701</v>
      </c>
      <c r="AL168">
        <v>77.490217818647693</v>
      </c>
      <c r="AM168">
        <v>85.708286798873203</v>
      </c>
      <c r="AN168">
        <v>1.0000000228870101</v>
      </c>
    </row>
    <row r="169" spans="1:40" x14ac:dyDescent="0.25">
      <c r="A169" t="str">
        <f>"20190303170945073"</f>
        <v>20190303170945073</v>
      </c>
      <c r="B169" t="str">
        <f>"1551604185050286"</f>
        <v>1551604185050286</v>
      </c>
      <c r="C169" t="s">
        <v>40</v>
      </c>
      <c r="D169">
        <v>5.1685840000000001</v>
      </c>
      <c r="E169">
        <v>0.47066829999999998</v>
      </c>
      <c r="F169" t="s">
        <v>42</v>
      </c>
      <c r="G169">
        <v>-384.05430000000001</v>
      </c>
      <c r="H169" s="1">
        <v>-2.6581110000000001E-6</v>
      </c>
      <c r="I169">
        <v>368.91090000000003</v>
      </c>
      <c r="J169">
        <v>-436.38990000000001</v>
      </c>
      <c r="K169">
        <v>1.102568</v>
      </c>
      <c r="L169">
        <v>367.86099999999999</v>
      </c>
      <c r="M169">
        <v>0.9999519</v>
      </c>
      <c r="N169">
        <v>-9.8194140000000003E-3</v>
      </c>
      <c r="O169">
        <v>-2.8296419999999998E-4</v>
      </c>
      <c r="P169">
        <v>0.97579070000000001</v>
      </c>
      <c r="Q169">
        <v>0.2065998</v>
      </c>
      <c r="R169">
        <v>-7.1759690000000001E-2</v>
      </c>
      <c r="S169">
        <v>3.0935670000000002</v>
      </c>
      <c r="T169">
        <v>-6.4880370000000007E-2</v>
      </c>
      <c r="U169">
        <v>6.1614990000000001E-2</v>
      </c>
      <c r="V169">
        <v>7.1843889999999994E-2</v>
      </c>
      <c r="W169">
        <v>0.2160523</v>
      </c>
      <c r="X169">
        <v>0.97373500000000002</v>
      </c>
      <c r="Y169">
        <v>-2.0189579999999999E-2</v>
      </c>
      <c r="Z169">
        <v>3.1397860000000001E-4</v>
      </c>
      <c r="AA169">
        <v>0.99979609999999997</v>
      </c>
      <c r="AB169">
        <v>38</v>
      </c>
      <c r="AC169">
        <v>52.335599999999999</v>
      </c>
      <c r="AD169">
        <v>-1.102570658111</v>
      </c>
      <c r="AE169">
        <v>1.04990000000003</v>
      </c>
      <c r="AF169">
        <v>-1.0642376183903599</v>
      </c>
      <c r="AG169">
        <v>-1.102570658111</v>
      </c>
      <c r="AH169">
        <v>52.312092374423102</v>
      </c>
      <c r="AI169">
        <v>91.207182268814094</v>
      </c>
      <c r="AJ169">
        <v>91.165465019416402</v>
      </c>
      <c r="AK169">
        <v>52.334532312371898</v>
      </c>
      <c r="AL169">
        <v>77.522729196365802</v>
      </c>
      <c r="AM169">
        <v>85.780262061795995</v>
      </c>
      <c r="AN169">
        <v>0.99999999554531105</v>
      </c>
    </row>
    <row r="170" spans="1:40" x14ac:dyDescent="0.25">
      <c r="A170" t="str">
        <f>"20190303170945097"</f>
        <v>20190303170945097</v>
      </c>
      <c r="B170" t="str">
        <f>"1551604185090302"</f>
        <v>1551604185090302</v>
      </c>
      <c r="C170" t="s">
        <v>40</v>
      </c>
      <c r="D170">
        <v>5.0593059999999896</v>
      </c>
      <c r="E170">
        <v>0.49736839999999999</v>
      </c>
      <c r="F170" t="s">
        <v>42</v>
      </c>
      <c r="G170">
        <v>-386.22570000000002</v>
      </c>
      <c r="H170" s="1">
        <v>-1.731045E-6</v>
      </c>
      <c r="I170">
        <v>368.88580000000002</v>
      </c>
      <c r="J170">
        <v>-435.99459999999999</v>
      </c>
      <c r="K170">
        <v>1.099477</v>
      </c>
      <c r="L170">
        <v>367.8605</v>
      </c>
      <c r="M170">
        <v>0.99994950000000005</v>
      </c>
      <c r="N170">
        <v>-1.0035199999999999E-2</v>
      </c>
      <c r="O170">
        <v>-7.5098089999999895E-4</v>
      </c>
      <c r="P170">
        <v>0.97587440000000003</v>
      </c>
      <c r="Q170">
        <v>0.206314</v>
      </c>
      <c r="R170">
        <v>-7.1442829999999999E-2</v>
      </c>
      <c r="S170">
        <v>3.0934750000000002</v>
      </c>
      <c r="T170">
        <v>-6.7992090000000005E-2</v>
      </c>
      <c r="U170">
        <v>6.3201900000000005E-2</v>
      </c>
      <c r="V170">
        <v>7.1081489999999997E-2</v>
      </c>
      <c r="W170">
        <v>0.21597549999999999</v>
      </c>
      <c r="X170">
        <v>0.97380800000000001</v>
      </c>
      <c r="Y170">
        <v>-2.1169810000000001E-2</v>
      </c>
      <c r="Z170">
        <v>3.4781640000000001E-4</v>
      </c>
      <c r="AA170">
        <v>0.99977579999999999</v>
      </c>
      <c r="AB170">
        <v>39</v>
      </c>
      <c r="AC170">
        <v>49.768899999999903</v>
      </c>
      <c r="AD170">
        <v>-1.099478731045</v>
      </c>
      <c r="AE170">
        <v>1.0253000000000101</v>
      </c>
      <c r="AF170">
        <v>-1.0621589224713299</v>
      </c>
      <c r="AG170">
        <v>-1.099478731045</v>
      </c>
      <c r="AH170">
        <v>49.743849135122602</v>
      </c>
      <c r="AI170">
        <v>91.265902974016697</v>
      </c>
      <c r="AJ170">
        <v>91.223226149468005</v>
      </c>
      <c r="AK170">
        <v>49.767334284995101</v>
      </c>
      <c r="AL170">
        <v>77.527236070420798</v>
      </c>
      <c r="AM170">
        <v>85.825194168602806</v>
      </c>
      <c r="AN170">
        <v>1.00000000784243</v>
      </c>
    </row>
    <row r="171" spans="1:40" x14ac:dyDescent="0.25">
      <c r="A171" t="str">
        <f>"20190303170945119"</f>
        <v>20190303170945119</v>
      </c>
      <c r="B171" t="str">
        <f>"1551604185110797"</f>
        <v>1551604185110797</v>
      </c>
      <c r="C171" t="s">
        <v>40</v>
      </c>
      <c r="D171">
        <v>5.1098800000000004</v>
      </c>
      <c r="E171">
        <v>0.49725720000000001</v>
      </c>
      <c r="F171" t="s">
        <v>41</v>
      </c>
      <c r="G171">
        <v>-402.06299999999999</v>
      </c>
      <c r="H171">
        <v>-0.05</v>
      </c>
      <c r="I171">
        <v>366.25540000000001</v>
      </c>
      <c r="J171">
        <v>-435.59969999999998</v>
      </c>
      <c r="K171">
        <v>1.096384</v>
      </c>
      <c r="L171">
        <v>367.85969999999998</v>
      </c>
      <c r="M171">
        <v>0.99994799999999995</v>
      </c>
      <c r="N171">
        <v>-1.0132489999999999E-2</v>
      </c>
      <c r="O171">
        <v>-1.2470630000000001E-3</v>
      </c>
      <c r="P171">
        <v>0.97600730000000002</v>
      </c>
      <c r="Q171">
        <v>0.20571049999999999</v>
      </c>
      <c r="R171">
        <v>-7.1366780000000005E-2</v>
      </c>
      <c r="S171">
        <v>3.0855709999999998</v>
      </c>
      <c r="T171">
        <v>-0.1045278</v>
      </c>
      <c r="U171">
        <v>-0.1459656</v>
      </c>
      <c r="V171">
        <v>7.0519100000000001E-2</v>
      </c>
      <c r="W171">
        <v>0.21546979999999999</v>
      </c>
      <c r="X171">
        <v>0.97396090000000002</v>
      </c>
      <c r="Y171">
        <v>4.5973380000000001E-2</v>
      </c>
      <c r="Z171">
        <v>-9.8159890000000007E-4</v>
      </c>
      <c r="AA171">
        <v>0.9989422</v>
      </c>
      <c r="AB171">
        <v>39</v>
      </c>
      <c r="AC171">
        <v>33.536699999999897</v>
      </c>
      <c r="AD171">
        <v>-1.1463840000000001</v>
      </c>
      <c r="AE171">
        <v>-1.6042999999999601</v>
      </c>
      <c r="AF171">
        <v>1.5606548091063299</v>
      </c>
      <c r="AG171">
        <v>-1.1463840000000001</v>
      </c>
      <c r="AH171">
        <v>33.499620573399703</v>
      </c>
      <c r="AI171">
        <v>91.957821100878107</v>
      </c>
      <c r="AJ171">
        <v>87.332676440106695</v>
      </c>
      <c r="AK171">
        <v>33.555542288426601</v>
      </c>
      <c r="AL171">
        <v>77.556909192307302</v>
      </c>
      <c r="AM171">
        <v>85.858757390113794</v>
      </c>
      <c r="AN171">
        <v>1.0000000064528201</v>
      </c>
    </row>
    <row r="172" spans="1:40" x14ac:dyDescent="0.25">
      <c r="A172" t="str">
        <f>"20190303170945143"</f>
        <v>20190303170945143</v>
      </c>
      <c r="B172" t="str">
        <f>"1551604185130319"</f>
        <v>1551604185130319</v>
      </c>
      <c r="C172" t="s">
        <v>40</v>
      </c>
      <c r="D172">
        <v>5.1097510000000002</v>
      </c>
      <c r="E172">
        <v>0.49715710000000002</v>
      </c>
      <c r="F172" t="s">
        <v>41</v>
      </c>
      <c r="G172">
        <v>-400.08920000000001</v>
      </c>
      <c r="H172">
        <v>-0.05</v>
      </c>
      <c r="I172">
        <v>366.18959999999998</v>
      </c>
      <c r="J172">
        <v>-435.16250000000002</v>
      </c>
      <c r="K172">
        <v>1.0930409999999999</v>
      </c>
      <c r="L172">
        <v>367.85860000000002</v>
      </c>
      <c r="M172">
        <v>0.99994780000000005</v>
      </c>
      <c r="N172">
        <v>-1.0057150000000001E-2</v>
      </c>
      <c r="O172">
        <v>-1.84694E-3</v>
      </c>
      <c r="P172">
        <v>0.97598470000000004</v>
      </c>
      <c r="Q172">
        <v>0.20566880000000001</v>
      </c>
      <c r="R172">
        <v>-7.1793179999999998E-2</v>
      </c>
      <c r="S172">
        <v>3.0841669999999999</v>
      </c>
      <c r="T172">
        <v>-9.9565979999999998E-2</v>
      </c>
      <c r="U172">
        <v>-0.14505000000000001</v>
      </c>
      <c r="V172">
        <v>7.0351170000000005E-2</v>
      </c>
      <c r="W172">
        <v>0.2153581</v>
      </c>
      <c r="X172">
        <v>0.97399780000000002</v>
      </c>
      <c r="Y172">
        <v>4.5103230000000001E-2</v>
      </c>
      <c r="Z172">
        <v>-9.1344080000000001E-4</v>
      </c>
      <c r="AA172">
        <v>0.99898189999999998</v>
      </c>
      <c r="AB172">
        <v>39</v>
      </c>
      <c r="AC172">
        <v>35.073300000000003</v>
      </c>
      <c r="AD172">
        <v>-1.143041</v>
      </c>
      <c r="AE172">
        <v>-1.66900000000003</v>
      </c>
      <c r="AF172">
        <v>1.6025173936327599</v>
      </c>
      <c r="AG172">
        <v>-1.143041</v>
      </c>
      <c r="AH172">
        <v>35.0391914041315</v>
      </c>
      <c r="AI172">
        <v>91.866478412854804</v>
      </c>
      <c r="AJ172">
        <v>87.381402312969399</v>
      </c>
      <c r="AK172">
        <v>35.094437436436301</v>
      </c>
      <c r="AL172">
        <v>77.563463626483795</v>
      </c>
      <c r="AM172">
        <v>85.868740888381097</v>
      </c>
      <c r="AN172">
        <v>1.0000000563803999</v>
      </c>
    </row>
    <row r="173" spans="1:40" x14ac:dyDescent="0.25">
      <c r="A173" t="str">
        <f>"20190303170945166"</f>
        <v>20190303170945166</v>
      </c>
      <c r="B173" t="str">
        <f>"1551604185160574"</f>
        <v>1551604185160574</v>
      </c>
      <c r="C173" t="s">
        <v>40</v>
      </c>
      <c r="D173">
        <v>5.0137589999999896</v>
      </c>
      <c r="E173">
        <v>0.49693880000000001</v>
      </c>
      <c r="F173" t="s">
        <v>41</v>
      </c>
      <c r="G173">
        <v>-398.6028</v>
      </c>
      <c r="H173">
        <v>-0.05</v>
      </c>
      <c r="I173">
        <v>366.11810000000003</v>
      </c>
      <c r="J173">
        <v>-434.79140000000001</v>
      </c>
      <c r="K173">
        <v>1.090327</v>
      </c>
      <c r="L173">
        <v>367.85750000000002</v>
      </c>
      <c r="M173">
        <v>0.99994870000000002</v>
      </c>
      <c r="N173">
        <v>-9.8552819999999999E-3</v>
      </c>
      <c r="O173">
        <v>-2.3823490000000002E-3</v>
      </c>
      <c r="P173">
        <v>0.97590529999999998</v>
      </c>
      <c r="Q173">
        <v>0.2060487</v>
      </c>
      <c r="R173">
        <v>-7.1785909999999994E-2</v>
      </c>
      <c r="S173">
        <v>3.0833740000000001</v>
      </c>
      <c r="T173">
        <v>-9.6401689999999998E-2</v>
      </c>
      <c r="U173">
        <v>-0.14678959999999999</v>
      </c>
      <c r="V173">
        <v>6.9813689999999998E-2</v>
      </c>
      <c r="W173">
        <v>0.21554429999999999</v>
      </c>
      <c r="X173">
        <v>0.97399519999999995</v>
      </c>
      <c r="Y173">
        <v>4.5144610000000002E-2</v>
      </c>
      <c r="Z173">
        <v>-8.7685059999999997E-4</v>
      </c>
      <c r="AA173">
        <v>0.99898010000000004</v>
      </c>
      <c r="AB173">
        <v>39</v>
      </c>
      <c r="AC173">
        <v>36.188600000000001</v>
      </c>
      <c r="AD173">
        <v>-1.1403270000000001</v>
      </c>
      <c r="AE173">
        <v>-1.7393999999999801</v>
      </c>
      <c r="AF173">
        <v>1.6515409380613999</v>
      </c>
      <c r="AG173">
        <v>-1.1403270000000001</v>
      </c>
      <c r="AH173">
        <v>36.156823186178499</v>
      </c>
      <c r="AI173">
        <v>91.804536032295104</v>
      </c>
      <c r="AJ173">
        <v>87.384709445452401</v>
      </c>
      <c r="AK173">
        <v>36.212481219237098</v>
      </c>
      <c r="AL173">
        <v>77.552537520538806</v>
      </c>
      <c r="AM173">
        <v>85.900184590315703</v>
      </c>
      <c r="AN173">
        <v>0.99999997309847199</v>
      </c>
    </row>
    <row r="174" spans="1:40" x14ac:dyDescent="0.25">
      <c r="A174" t="str">
        <f>"20190303170945186"</f>
        <v>20190303170945186</v>
      </c>
      <c r="B174" t="str">
        <f>"1551604185181069"</f>
        <v>1551604185181069</v>
      </c>
      <c r="C174" t="s">
        <v>40</v>
      </c>
      <c r="D174">
        <v>5.0574729999999999</v>
      </c>
      <c r="E174">
        <v>0.49710130000000002</v>
      </c>
      <c r="F174" t="s">
        <v>41</v>
      </c>
      <c r="G174">
        <v>-399.2987</v>
      </c>
      <c r="H174">
        <v>-0.05</v>
      </c>
      <c r="I174">
        <v>366.1866</v>
      </c>
      <c r="J174">
        <v>-434.43610000000001</v>
      </c>
      <c r="K174">
        <v>1.087882</v>
      </c>
      <c r="L174">
        <v>367.85629999999998</v>
      </c>
      <c r="M174">
        <v>0.99995020000000001</v>
      </c>
      <c r="N174">
        <v>-9.5654369999999996E-3</v>
      </c>
      <c r="O174">
        <v>-2.9017449999999998E-3</v>
      </c>
      <c r="P174">
        <v>0.97574559999999999</v>
      </c>
      <c r="Q174">
        <v>0.20649700000000001</v>
      </c>
      <c r="R174">
        <v>-7.2662749999999998E-2</v>
      </c>
      <c r="S174">
        <v>3.0842900000000002</v>
      </c>
      <c r="T174">
        <v>-9.9093559999999997E-2</v>
      </c>
      <c r="U174">
        <v>-0.14520259999999999</v>
      </c>
      <c r="V174">
        <v>7.0179320000000003E-2</v>
      </c>
      <c r="W174">
        <v>0.21571009999999999</v>
      </c>
      <c r="X174">
        <v>0.97393229999999997</v>
      </c>
      <c r="Y174">
        <v>4.4098459999999999E-2</v>
      </c>
      <c r="Z174">
        <v>-8.5352219999999996E-4</v>
      </c>
      <c r="AA174">
        <v>0.99902679999999999</v>
      </c>
      <c r="AB174">
        <v>39</v>
      </c>
      <c r="AC174">
        <v>35.1374</v>
      </c>
      <c r="AD174">
        <v>-1.1378820000000001</v>
      </c>
      <c r="AE174">
        <v>-1.66969999999997</v>
      </c>
      <c r="AF174">
        <v>1.5660898733939399</v>
      </c>
      <c r="AG174">
        <v>-1.1378820000000001</v>
      </c>
      <c r="AH174">
        <v>35.105364934096897</v>
      </c>
      <c r="AI174">
        <v>91.854654077421003</v>
      </c>
      <c r="AJ174">
        <v>87.445664343888197</v>
      </c>
      <c r="AK174">
        <v>35.158698213864298</v>
      </c>
      <c r="AL174">
        <v>77.542810056009301</v>
      </c>
      <c r="AM174">
        <v>85.878521480294197</v>
      </c>
      <c r="AN174">
        <v>1.0000000545904699</v>
      </c>
    </row>
    <row r="175" spans="1:40" x14ac:dyDescent="0.25">
      <c r="A175" t="str">
        <f>"20190303170945209"</f>
        <v>20190303170945209</v>
      </c>
      <c r="B175" t="str">
        <f>"1551604185200590"</f>
        <v>1551604185200590</v>
      </c>
      <c r="C175" t="s">
        <v>40</v>
      </c>
      <c r="D175">
        <v>5.0987339999999897</v>
      </c>
      <c r="E175">
        <v>0.49719449999999998</v>
      </c>
      <c r="F175" t="s">
        <v>42</v>
      </c>
      <c r="G175">
        <v>-399.58150000000001</v>
      </c>
      <c r="H175" s="1">
        <v>-1.0468249999999999E-6</v>
      </c>
      <c r="I175">
        <v>366.16469999999998</v>
      </c>
      <c r="J175">
        <v>-434.02390000000003</v>
      </c>
      <c r="K175">
        <v>1.085261</v>
      </c>
      <c r="L175">
        <v>367.8546</v>
      </c>
      <c r="M175">
        <v>0.99995210000000001</v>
      </c>
      <c r="N175">
        <v>-9.1537849999999994E-3</v>
      </c>
      <c r="O175">
        <v>-3.49724E-3</v>
      </c>
      <c r="P175">
        <v>0.97564890000000004</v>
      </c>
      <c r="Q175">
        <v>0.20689959999999999</v>
      </c>
      <c r="R175">
        <v>-7.2816099999999995E-2</v>
      </c>
      <c r="S175">
        <v>3.0838009999999998</v>
      </c>
      <c r="T175">
        <v>-9.6251489999999995E-2</v>
      </c>
      <c r="U175">
        <v>-0.14965819999999999</v>
      </c>
      <c r="V175">
        <v>6.9748879999999999E-2</v>
      </c>
      <c r="W175">
        <v>0.2157124</v>
      </c>
      <c r="X175">
        <v>0.97396269999999996</v>
      </c>
      <c r="Y175">
        <v>4.4952400000000003E-2</v>
      </c>
      <c r="Z175">
        <v>-8.2980309999999998E-4</v>
      </c>
      <c r="AA175">
        <v>0.99898880000000001</v>
      </c>
      <c r="AB175">
        <v>39</v>
      </c>
      <c r="AC175">
        <v>34.442399999999999</v>
      </c>
      <c r="AD175">
        <v>-1.085262046825</v>
      </c>
      <c r="AE175">
        <v>-1.6899000000000199</v>
      </c>
      <c r="AF175">
        <v>1.56787836727253</v>
      </c>
      <c r="AG175">
        <v>-1.085262046825</v>
      </c>
      <c r="AH175">
        <v>34.414013785688503</v>
      </c>
      <c r="AI175">
        <v>91.804380222944701</v>
      </c>
      <c r="AJ175">
        <v>87.391448226153301</v>
      </c>
      <c r="AK175">
        <v>34.466801144382401</v>
      </c>
      <c r="AL175">
        <v>77.542674956588797</v>
      </c>
      <c r="AM175">
        <v>85.903841389139799</v>
      </c>
      <c r="AN175">
        <v>1.00000004338315</v>
      </c>
    </row>
    <row r="176" spans="1:40" x14ac:dyDescent="0.25">
      <c r="A176" t="str">
        <f>"20190303170945232"</f>
        <v>20190303170945232</v>
      </c>
      <c r="B176" t="str">
        <f>"1551604185221086"</f>
        <v>1551604185221086</v>
      </c>
      <c r="C176" t="s">
        <v>40</v>
      </c>
      <c r="D176">
        <v>5.1375549999999999</v>
      </c>
      <c r="E176">
        <v>0.4974422</v>
      </c>
      <c r="F176" t="s">
        <v>42</v>
      </c>
      <c r="G176">
        <v>-397.49149999999997</v>
      </c>
      <c r="H176" s="1">
        <v>-1.7837759999999999E-6</v>
      </c>
      <c r="I176">
        <v>366.06819999999999</v>
      </c>
      <c r="J176">
        <v>-433.62439999999998</v>
      </c>
      <c r="K176">
        <v>1.082964</v>
      </c>
      <c r="L176">
        <v>367.85289999999998</v>
      </c>
      <c r="M176">
        <v>0.99995369999999995</v>
      </c>
      <c r="N176">
        <v>-8.7176949999999993E-3</v>
      </c>
      <c r="O176">
        <v>-4.0619929999999999E-3</v>
      </c>
      <c r="P176">
        <v>0.97566989999999998</v>
      </c>
      <c r="Q176">
        <v>0.20675489999999999</v>
      </c>
      <c r="R176">
        <v>-7.2942069999999998E-2</v>
      </c>
      <c r="S176">
        <v>3.0830690000000001</v>
      </c>
      <c r="T176">
        <v>-9.15879E-2</v>
      </c>
      <c r="U176">
        <v>-0.1507568</v>
      </c>
      <c r="V176">
        <v>6.9321850000000004E-2</v>
      </c>
      <c r="W176">
        <v>0.2151448</v>
      </c>
      <c r="X176">
        <v>0.97411859999999995</v>
      </c>
      <c r="Y176">
        <v>4.4757650000000003E-2</v>
      </c>
      <c r="Z176">
        <v>-7.7434550000000002E-4</v>
      </c>
      <c r="AA176">
        <v>0.99899760000000004</v>
      </c>
      <c r="AB176">
        <v>39</v>
      </c>
      <c r="AC176">
        <v>36.132899999999999</v>
      </c>
      <c r="AD176">
        <v>-1.0829657837760001</v>
      </c>
      <c r="AE176">
        <v>-1.78469999999998</v>
      </c>
      <c r="AF176">
        <v>1.6364416573458</v>
      </c>
      <c r="AG176">
        <v>-1.0829657837760001</v>
      </c>
      <c r="AH176">
        <v>36.107494992119797</v>
      </c>
      <c r="AI176">
        <v>91.716186694002502</v>
      </c>
      <c r="AJ176">
        <v>87.405051683414698</v>
      </c>
      <c r="AK176">
        <v>36.160779178450802</v>
      </c>
      <c r="AL176">
        <v>77.575976519527003</v>
      </c>
      <c r="AM176">
        <v>85.929484462156907</v>
      </c>
      <c r="AN176">
        <v>0.99999992536020799</v>
      </c>
    </row>
    <row r="177" spans="1:40" x14ac:dyDescent="0.25">
      <c r="A177" t="str">
        <f>"20190303170945254"</f>
        <v>20190303170945254</v>
      </c>
      <c r="B177" t="str">
        <f>"1551604185240606"</f>
        <v>1551604185240606</v>
      </c>
      <c r="C177" t="s">
        <v>40</v>
      </c>
      <c r="D177">
        <v>5.2260210000000002</v>
      </c>
      <c r="E177">
        <v>0.49737609999999899</v>
      </c>
      <c r="F177" t="s">
        <v>42</v>
      </c>
      <c r="G177">
        <v>-397.37810000000002</v>
      </c>
      <c r="H177" s="1">
        <v>-1.8284980000000001E-6</v>
      </c>
      <c r="I177">
        <v>366.04509999999999</v>
      </c>
      <c r="J177">
        <v>-433.24990000000003</v>
      </c>
      <c r="K177">
        <v>1.081053</v>
      </c>
      <c r="L177">
        <v>367.851</v>
      </c>
      <c r="M177">
        <v>0.99995520000000004</v>
      </c>
      <c r="N177">
        <v>-8.3027050000000005E-3</v>
      </c>
      <c r="O177">
        <v>-4.5833230000000003E-3</v>
      </c>
      <c r="P177">
        <v>0.97574369999999999</v>
      </c>
      <c r="Q177">
        <v>0.2065264</v>
      </c>
      <c r="R177">
        <v>-7.2605939999999994E-2</v>
      </c>
      <c r="S177">
        <v>3.0828250000000001</v>
      </c>
      <c r="T177">
        <v>-9.2108369999999995E-2</v>
      </c>
      <c r="U177">
        <v>-0.15374760000000001</v>
      </c>
      <c r="V177">
        <v>6.8474510000000002E-2</v>
      </c>
      <c r="W177">
        <v>0.2145147</v>
      </c>
      <c r="X177">
        <v>0.97431760000000001</v>
      </c>
      <c r="Y177">
        <v>4.5207419999999998E-2</v>
      </c>
      <c r="Z177">
        <v>-7.6383270000000001E-4</v>
      </c>
      <c r="AA177">
        <v>0.99897729999999996</v>
      </c>
      <c r="AB177">
        <v>39</v>
      </c>
      <c r="AC177">
        <v>35.8718</v>
      </c>
      <c r="AD177">
        <v>-1.0810548284979999</v>
      </c>
      <c r="AE177">
        <v>-1.8059000000000001</v>
      </c>
      <c r="AF177">
        <v>1.6399776571671301</v>
      </c>
      <c r="AG177">
        <v>-1.0810548284979999</v>
      </c>
      <c r="AH177">
        <v>35.847225786768902</v>
      </c>
      <c r="AI177">
        <v>91.725557600725296</v>
      </c>
      <c r="AJ177">
        <v>87.380597140921196</v>
      </c>
      <c r="AK177">
        <v>35.901000025985603</v>
      </c>
      <c r="AL177">
        <v>77.612943247032504</v>
      </c>
      <c r="AM177">
        <v>85.979893847643893</v>
      </c>
      <c r="AN177">
        <v>1.0000000503527899</v>
      </c>
    </row>
    <row r="178" spans="1:40" x14ac:dyDescent="0.25">
      <c r="A178" t="str">
        <f>"20190303170945274"</f>
        <v>20190303170945274</v>
      </c>
      <c r="B178" t="str">
        <f>"1551604185261102"</f>
        <v>1551604185261102</v>
      </c>
      <c r="C178" t="s">
        <v>40</v>
      </c>
      <c r="D178">
        <v>5.2260099999999996</v>
      </c>
      <c r="E178">
        <v>0.49740509999999899</v>
      </c>
      <c r="F178" t="s">
        <v>42</v>
      </c>
      <c r="G178">
        <v>-396.37790000000001</v>
      </c>
      <c r="H178" s="1">
        <v>-2.1751219999999999E-6</v>
      </c>
      <c r="I178">
        <v>366.02159999999998</v>
      </c>
      <c r="J178">
        <v>-432.8732</v>
      </c>
      <c r="K178">
        <v>1.0793520000000001</v>
      </c>
      <c r="L178">
        <v>367.84879999999998</v>
      </c>
      <c r="M178">
        <v>0.99995579999999995</v>
      </c>
      <c r="N178">
        <v>-7.8964259999999998E-3</v>
      </c>
      <c r="O178">
        <v>-5.101899E-3</v>
      </c>
      <c r="P178">
        <v>0.97574450000000001</v>
      </c>
      <c r="Q178">
        <v>0.20673349999999999</v>
      </c>
      <c r="R178">
        <v>-7.2002430000000006E-2</v>
      </c>
      <c r="S178">
        <v>3.0823360000000002</v>
      </c>
      <c r="T178">
        <v>-9.0371370000000006E-2</v>
      </c>
      <c r="U178">
        <v>-0.15292359999999999</v>
      </c>
      <c r="V178">
        <v>6.7362399999999906E-2</v>
      </c>
      <c r="W178">
        <v>0.2143284</v>
      </c>
      <c r="X178">
        <v>0.97443599999999997</v>
      </c>
      <c r="Y178">
        <v>4.4432480000000003E-2</v>
      </c>
      <c r="Z178">
        <v>-7.172115E-4</v>
      </c>
      <c r="AA178">
        <v>0.99901209999999996</v>
      </c>
      <c r="AB178">
        <v>39</v>
      </c>
      <c r="AC178">
        <v>36.495299999999901</v>
      </c>
      <c r="AD178">
        <v>-1.0793541751219999</v>
      </c>
      <c r="AE178">
        <v>-1.8271999999999999</v>
      </c>
      <c r="AF178">
        <v>1.6395445695648301</v>
      </c>
      <c r="AG178">
        <v>-1.0793541751219999</v>
      </c>
      <c r="AH178">
        <v>36.472325269050103</v>
      </c>
      <c r="AI178">
        <v>91.693395147607106</v>
      </c>
      <c r="AJ178">
        <v>87.426109157305504</v>
      </c>
      <c r="AK178">
        <v>36.525109477759798</v>
      </c>
      <c r="AL178">
        <v>77.623870206537603</v>
      </c>
      <c r="AM178">
        <v>86.045455427238593</v>
      </c>
      <c r="AN178">
        <v>0.99999993703815804</v>
      </c>
    </row>
    <row r="179" spans="1:40" x14ac:dyDescent="0.25">
      <c r="A179" t="str">
        <f>"20190303170945299"</f>
        <v>20190303170945299</v>
      </c>
      <c r="B179" t="str">
        <f>"1551604185290384"</f>
        <v>1551604185290384</v>
      </c>
      <c r="C179" t="s">
        <v>40</v>
      </c>
      <c r="D179">
        <v>5.1846139999999998</v>
      </c>
      <c r="E179">
        <v>0.49767299999999998</v>
      </c>
      <c r="F179" t="s">
        <v>42</v>
      </c>
      <c r="G179">
        <v>-395.00380000000001</v>
      </c>
      <c r="H179" s="1">
        <v>-2.769288E-6</v>
      </c>
      <c r="I179">
        <v>365.98779999999999</v>
      </c>
      <c r="J179">
        <v>-432.43920000000003</v>
      </c>
      <c r="K179">
        <v>1.0776619999999999</v>
      </c>
      <c r="L179">
        <v>367.84620000000001</v>
      </c>
      <c r="M179">
        <v>0.99995619999999996</v>
      </c>
      <c r="N179">
        <v>-7.4563469999999899E-3</v>
      </c>
      <c r="O179">
        <v>-5.6942750000000004E-3</v>
      </c>
      <c r="P179">
        <v>0.97563250000000001</v>
      </c>
      <c r="Q179">
        <v>0.20749970000000001</v>
      </c>
      <c r="R179">
        <v>-7.1313319999999999E-2</v>
      </c>
      <c r="S179">
        <v>3.0819700000000001</v>
      </c>
      <c r="T179">
        <v>-8.7842229999999993E-2</v>
      </c>
      <c r="U179">
        <v>-0.1514587</v>
      </c>
      <c r="V179">
        <v>6.609247E-2</v>
      </c>
      <c r="W179">
        <v>0.21466840000000001</v>
      </c>
      <c r="X179">
        <v>0.97444819999999999</v>
      </c>
      <c r="Y179">
        <v>4.3374959999999997E-2</v>
      </c>
      <c r="Z179">
        <v>-6.5975609999999998E-4</v>
      </c>
      <c r="AA179">
        <v>0.99905869999999997</v>
      </c>
      <c r="AB179">
        <v>40</v>
      </c>
      <c r="AC179">
        <v>37.435400000000001</v>
      </c>
      <c r="AD179">
        <v>-1.0776647692879999</v>
      </c>
      <c r="AE179">
        <v>-1.85840000000001</v>
      </c>
      <c r="AF179">
        <v>1.6438376106219501</v>
      </c>
      <c r="AG179">
        <v>-1.0776647692879999</v>
      </c>
      <c r="AH179">
        <v>37.414446086302398</v>
      </c>
      <c r="AI179">
        <v>91.648270176021697</v>
      </c>
      <c r="AJ179">
        <v>87.484275901741796</v>
      </c>
      <c r="AK179">
        <v>37.466042483693002</v>
      </c>
      <c r="AL179">
        <v>77.603926400134</v>
      </c>
      <c r="AM179">
        <v>86.119825841215103</v>
      </c>
      <c r="AN179">
        <v>1.0000000155162501</v>
      </c>
    </row>
    <row r="180" spans="1:40" x14ac:dyDescent="0.25">
      <c r="A180" t="str">
        <f>"20190303170945333"</f>
        <v>20190303170945333</v>
      </c>
      <c r="B180" t="str">
        <f>"1551604185320638"</f>
        <v>1551604185320638</v>
      </c>
      <c r="C180" t="s">
        <v>40</v>
      </c>
      <c r="D180">
        <v>5.280913</v>
      </c>
      <c r="E180">
        <v>0.49778210000000001</v>
      </c>
      <c r="F180" t="s">
        <v>42</v>
      </c>
      <c r="G180">
        <v>-393.01330000000002</v>
      </c>
      <c r="H180" s="1">
        <v>-3.6382670000000001E-6</v>
      </c>
      <c r="I180">
        <v>365.90300000000002</v>
      </c>
      <c r="J180">
        <v>-431.822</v>
      </c>
      <c r="K180">
        <v>1.0756920000000001</v>
      </c>
      <c r="L180">
        <v>367.84190000000001</v>
      </c>
      <c r="M180">
        <v>0.99995500000000004</v>
      </c>
      <c r="N180">
        <v>-6.895226E-3</v>
      </c>
      <c r="O180">
        <v>-6.5242290000000003E-3</v>
      </c>
      <c r="P180">
        <v>0.97543080000000004</v>
      </c>
      <c r="Q180">
        <v>0.2085456</v>
      </c>
      <c r="R180">
        <v>-7.1019470000000001E-2</v>
      </c>
      <c r="S180">
        <v>3.0818180000000002</v>
      </c>
      <c r="T180">
        <v>-8.4237930000000003E-2</v>
      </c>
      <c r="U180">
        <v>-0.15188599999999999</v>
      </c>
      <c r="V180">
        <v>6.4982819999999997E-2</v>
      </c>
      <c r="W180">
        <v>0.2151709</v>
      </c>
      <c r="X180">
        <v>0.97441199999999994</v>
      </c>
      <c r="Y180">
        <v>4.2688719999999999E-2</v>
      </c>
      <c r="Z180">
        <v>-5.970328E-4</v>
      </c>
      <c r="AA180">
        <v>0.99908819999999998</v>
      </c>
      <c r="AB180">
        <v>40</v>
      </c>
      <c r="AC180">
        <v>38.808699999999902</v>
      </c>
      <c r="AD180">
        <v>-1.075695638267</v>
      </c>
      <c r="AE180">
        <v>-1.9388999999999801</v>
      </c>
      <c r="AF180">
        <v>1.68436503611281</v>
      </c>
      <c r="AG180">
        <v>-1.075695638267</v>
      </c>
      <c r="AH180">
        <v>38.790796057084698</v>
      </c>
      <c r="AI180">
        <v>91.586949974181394</v>
      </c>
      <c r="AJ180">
        <v>87.5136776502559</v>
      </c>
      <c r="AK180">
        <v>38.8422458854197</v>
      </c>
      <c r="AL180">
        <v>77.574446360140897</v>
      </c>
      <c r="AM180">
        <v>86.184636112778193</v>
      </c>
      <c r="AN180">
        <v>1.0000000144229799</v>
      </c>
    </row>
    <row r="181" spans="1:40" x14ac:dyDescent="0.25">
      <c r="A181" t="str">
        <f>"20190303170945355"</f>
        <v>20190303170945355</v>
      </c>
      <c r="B181" t="str">
        <f>"1551604185341134"</f>
        <v>1551604185341134</v>
      </c>
      <c r="C181" t="s">
        <v>40</v>
      </c>
      <c r="D181">
        <v>5.1209749999999996</v>
      </c>
      <c r="E181">
        <v>0.49805959999999999</v>
      </c>
      <c r="F181" t="s">
        <v>42</v>
      </c>
      <c r="G181">
        <v>-390.13850000000002</v>
      </c>
      <c r="H181" s="1">
        <v>-4.8924960000000001E-6</v>
      </c>
      <c r="I181">
        <v>365.78480000000002</v>
      </c>
      <c r="J181">
        <v>-431.428</v>
      </c>
      <c r="K181">
        <v>1.074649</v>
      </c>
      <c r="L181">
        <v>367.839</v>
      </c>
      <c r="M181">
        <v>0.9999536</v>
      </c>
      <c r="N181">
        <v>-6.5801169999999999E-3</v>
      </c>
      <c r="O181">
        <v>-7.0448430000000003E-3</v>
      </c>
      <c r="P181">
        <v>0.9755762</v>
      </c>
      <c r="Q181">
        <v>0.20786270000000001</v>
      </c>
      <c r="R181">
        <v>-7.1022130000000003E-2</v>
      </c>
      <c r="S181">
        <v>3.0814509999999999</v>
      </c>
      <c r="T181">
        <v>-7.95207E-2</v>
      </c>
      <c r="U181">
        <v>-0.15206910000000001</v>
      </c>
      <c r="V181">
        <v>6.4469609999999997E-2</v>
      </c>
      <c r="W181">
        <v>0.2141845</v>
      </c>
      <c r="X181">
        <v>0.97466339999999996</v>
      </c>
      <c r="Y181">
        <v>4.2235870000000002E-2</v>
      </c>
      <c r="Z181">
        <v>-5.4829979999999998E-4</v>
      </c>
      <c r="AA181">
        <v>0.99910750000000004</v>
      </c>
      <c r="AB181">
        <v>40</v>
      </c>
      <c r="AC181">
        <v>41.289499999999997</v>
      </c>
      <c r="AD181">
        <v>-1.0746538924959901</v>
      </c>
      <c r="AE181">
        <v>-2.0541999999999798</v>
      </c>
      <c r="AF181">
        <v>1.7620739819773701</v>
      </c>
      <c r="AG181">
        <v>-1.0746538924959901</v>
      </c>
      <c r="AH181">
        <v>41.275055666957101</v>
      </c>
      <c r="AI181">
        <v>91.490082304473901</v>
      </c>
      <c r="AJ181">
        <v>87.555469420733402</v>
      </c>
      <c r="AK181">
        <v>41.326625872638402</v>
      </c>
      <c r="AL181">
        <v>77.632312344195597</v>
      </c>
      <c r="AM181">
        <v>86.215654008302195</v>
      </c>
      <c r="AN181">
        <v>1.0000000369766799</v>
      </c>
    </row>
    <row r="182" spans="1:40" x14ac:dyDescent="0.25">
      <c r="A182" t="str">
        <f>"20190303170945377"</f>
        <v>20190303170945377</v>
      </c>
      <c r="B182" t="str">
        <f>"1551604185370414"</f>
        <v>1551604185370414</v>
      </c>
      <c r="C182" t="s">
        <v>40</v>
      </c>
      <c r="D182">
        <v>5.221641</v>
      </c>
      <c r="E182">
        <v>0.49834010000000001</v>
      </c>
      <c r="F182" t="s">
        <v>42</v>
      </c>
      <c r="G182">
        <v>-390.87290000000002</v>
      </c>
      <c r="H182" s="1">
        <v>-4.573601E-6</v>
      </c>
      <c r="I182">
        <v>365.80650000000003</v>
      </c>
      <c r="J182">
        <v>-431.04939999999999</v>
      </c>
      <c r="K182">
        <v>1.0737909999999999</v>
      </c>
      <c r="L182">
        <v>367.83600000000001</v>
      </c>
      <c r="M182">
        <v>0.99995179999999995</v>
      </c>
      <c r="N182">
        <v>-6.309589E-3</v>
      </c>
      <c r="O182">
        <v>-7.5367330000000003E-3</v>
      </c>
      <c r="P182">
        <v>0.97569720000000004</v>
      </c>
      <c r="Q182">
        <v>0.20745150000000001</v>
      </c>
      <c r="R182">
        <v>-7.056345E-2</v>
      </c>
      <c r="S182">
        <v>3.081299</v>
      </c>
      <c r="T182">
        <v>-8.1649899999999997E-2</v>
      </c>
      <c r="U182">
        <v>-0.1544189</v>
      </c>
      <c r="V182">
        <v>6.3524059999999993E-2</v>
      </c>
      <c r="W182">
        <v>0.21351329999999999</v>
      </c>
      <c r="X182">
        <v>0.97487270000000004</v>
      </c>
      <c r="Y182">
        <v>4.250632E-2</v>
      </c>
      <c r="Z182">
        <v>-5.4491819999999999E-4</v>
      </c>
      <c r="AA182">
        <v>0.99909599999999998</v>
      </c>
      <c r="AB182">
        <v>40</v>
      </c>
      <c r="AC182">
        <v>40.176499999999898</v>
      </c>
      <c r="AD182">
        <v>-1.0737955736010001</v>
      </c>
      <c r="AE182">
        <v>-2.0294999999999801</v>
      </c>
      <c r="AF182">
        <v>1.7254074348091</v>
      </c>
      <c r="AG182">
        <v>-1.0737955736010001</v>
      </c>
      <c r="AH182">
        <v>40.162039043541697</v>
      </c>
      <c r="AI182">
        <v>91.530117616513706</v>
      </c>
      <c r="AJ182">
        <v>87.540020034140397</v>
      </c>
      <c r="AK182">
        <v>40.2134237274688</v>
      </c>
      <c r="AL182">
        <v>77.671679613353305</v>
      </c>
      <c r="AM182">
        <v>86.271798073315594</v>
      </c>
      <c r="AN182">
        <v>1.00000000834053</v>
      </c>
    </row>
    <row r="183" spans="1:40" x14ac:dyDescent="0.25">
      <c r="A183" t="str">
        <f>"20190303170945399"</f>
        <v>20190303170945399</v>
      </c>
      <c r="B183" t="str">
        <f>"1551604185390910"</f>
        <v>1551604185390910</v>
      </c>
      <c r="C183" t="s">
        <v>40</v>
      </c>
      <c r="D183">
        <v>5.3364599999999998</v>
      </c>
      <c r="E183">
        <v>0.49854850000000001</v>
      </c>
      <c r="F183" t="s">
        <v>42</v>
      </c>
      <c r="G183">
        <v>-390.8965</v>
      </c>
      <c r="H183" s="1">
        <v>-4.5621470000000001E-6</v>
      </c>
      <c r="I183">
        <v>365.81400000000002</v>
      </c>
      <c r="J183">
        <v>-430.63330000000002</v>
      </c>
      <c r="K183">
        <v>1.073007</v>
      </c>
      <c r="L183">
        <v>367.83249999999998</v>
      </c>
      <c r="M183">
        <v>0.99994910000000004</v>
      </c>
      <c r="N183">
        <v>-6.0487960000000004E-3</v>
      </c>
      <c r="O183">
        <v>-8.0687620000000002E-3</v>
      </c>
      <c r="P183">
        <v>0.9755414</v>
      </c>
      <c r="Q183">
        <v>0.20793629999999999</v>
      </c>
      <c r="R183">
        <v>-7.1283680000000002E-2</v>
      </c>
      <c r="S183">
        <v>3.0810849999999999</v>
      </c>
      <c r="T183">
        <v>-8.2396269999999994E-2</v>
      </c>
      <c r="U183">
        <v>-0.15515139999999999</v>
      </c>
      <c r="V183">
        <v>6.3722130000000002E-2</v>
      </c>
      <c r="W183">
        <v>0.21374380000000001</v>
      </c>
      <c r="X183">
        <v>0.97480919999999904</v>
      </c>
      <c r="Y183">
        <v>4.2215280000000001E-2</v>
      </c>
      <c r="Z183">
        <v>-5.2498119999999995E-4</v>
      </c>
      <c r="AA183">
        <v>0.99910840000000001</v>
      </c>
      <c r="AB183">
        <v>40</v>
      </c>
      <c r="AC183">
        <v>39.736800000000002</v>
      </c>
      <c r="AD183">
        <v>-1.073011562147</v>
      </c>
      <c r="AE183">
        <v>-2.01849999999996</v>
      </c>
      <c r="AF183">
        <v>1.6965677390223799</v>
      </c>
      <c r="AG183">
        <v>-1.073011562147</v>
      </c>
      <c r="AH183">
        <v>39.7229036755961</v>
      </c>
      <c r="AI183">
        <v>91.5459124461958</v>
      </c>
      <c r="AJ183">
        <v>87.554379954008596</v>
      </c>
      <c r="AK183">
        <v>39.773593907595099</v>
      </c>
      <c r="AL183">
        <v>77.658160113143097</v>
      </c>
      <c r="AM183">
        <v>86.259963439051106</v>
      </c>
      <c r="AN183">
        <v>0.99999994914740697</v>
      </c>
    </row>
    <row r="184" spans="1:40" x14ac:dyDescent="0.25">
      <c r="A184" t="str">
        <f>"20190303170945421"</f>
        <v>20190303170945421</v>
      </c>
      <c r="B184" t="str">
        <f>"1551604185410430"</f>
        <v>1551604185410430</v>
      </c>
      <c r="C184" t="s">
        <v>40</v>
      </c>
      <c r="D184">
        <v>5.339696</v>
      </c>
      <c r="E184">
        <v>0.49877880000000002</v>
      </c>
      <c r="F184" t="s">
        <v>42</v>
      </c>
      <c r="G184">
        <v>-389.4864</v>
      </c>
      <c r="H184" s="1">
        <v>-1.2025670000000001E-6</v>
      </c>
      <c r="I184">
        <v>365.70100000000002</v>
      </c>
      <c r="J184">
        <v>-430.238</v>
      </c>
      <c r="K184">
        <v>1.072381</v>
      </c>
      <c r="L184">
        <v>367.82889999999998</v>
      </c>
      <c r="M184">
        <v>0.99994640000000001</v>
      </c>
      <c r="N184">
        <v>-5.8310669999999997E-3</v>
      </c>
      <c r="O184">
        <v>-8.5685840000000006E-3</v>
      </c>
      <c r="P184">
        <v>0.9754623</v>
      </c>
      <c r="Q184">
        <v>0.2082773</v>
      </c>
      <c r="R184">
        <v>-7.1373820000000004E-2</v>
      </c>
      <c r="S184">
        <v>3.0806879999999999</v>
      </c>
      <c r="T184">
        <v>-8.0336569999999996E-2</v>
      </c>
      <c r="U184">
        <v>-0.15957639999999901</v>
      </c>
      <c r="V184">
        <v>6.3321909999999995E-2</v>
      </c>
      <c r="W184">
        <v>0.2138738</v>
      </c>
      <c r="X184">
        <v>0.97480679999999997</v>
      </c>
      <c r="Y184">
        <v>4.3154289999999998E-2</v>
      </c>
      <c r="Z184">
        <v>-5.1481699999999999E-4</v>
      </c>
      <c r="AA184">
        <v>0.99906830000000002</v>
      </c>
      <c r="AB184">
        <v>41</v>
      </c>
      <c r="AC184">
        <v>40.751600000000003</v>
      </c>
      <c r="AD184">
        <v>-1.072382202567</v>
      </c>
      <c r="AE184">
        <v>-2.1279000000000101</v>
      </c>
      <c r="AF184">
        <v>1.7774049969733401</v>
      </c>
      <c r="AG184">
        <v>-1.072382202567</v>
      </c>
      <c r="AH184">
        <v>40.740202081723702</v>
      </c>
      <c r="AI184">
        <v>91.506385222386697</v>
      </c>
      <c r="AJ184">
        <v>87.501895887896595</v>
      </c>
      <c r="AK184">
        <v>40.793053793156098</v>
      </c>
      <c r="AL184">
        <v>77.650535754339202</v>
      </c>
      <c r="AM184">
        <v>86.283378341302097</v>
      </c>
      <c r="AN184">
        <v>0.99999998196936302</v>
      </c>
    </row>
    <row r="185" spans="1:40" x14ac:dyDescent="0.25">
      <c r="A185" t="str">
        <f>"20190303170945442"</f>
        <v>20190303170945442</v>
      </c>
      <c r="B185" t="str">
        <f>"1551604185430926"</f>
        <v>1551604185430926</v>
      </c>
      <c r="C185" t="s">
        <v>40</v>
      </c>
      <c r="D185">
        <v>5.3428250000000004</v>
      </c>
      <c r="E185">
        <v>0.49891550000000001</v>
      </c>
      <c r="F185" t="s">
        <v>42</v>
      </c>
      <c r="G185">
        <v>-388.42989999999998</v>
      </c>
      <c r="H185" s="1">
        <v>-1.5783640000000001E-6</v>
      </c>
      <c r="I185">
        <v>365.63990000000001</v>
      </c>
      <c r="J185">
        <v>-429.84699999999998</v>
      </c>
      <c r="K185">
        <v>1.07185</v>
      </c>
      <c r="L185">
        <v>367.8252</v>
      </c>
      <c r="M185">
        <v>0.99994309999999997</v>
      </c>
      <c r="N185">
        <v>-5.6428069999999997E-3</v>
      </c>
      <c r="O185">
        <v>-9.0575870000000006E-3</v>
      </c>
      <c r="P185">
        <v>0.97552720000000004</v>
      </c>
      <c r="Q185">
        <v>0.20770359999999999</v>
      </c>
      <c r="R185">
        <v>-7.2151409999999999E-2</v>
      </c>
      <c r="S185">
        <v>3.080505</v>
      </c>
      <c r="T185">
        <v>-7.9015249999999995E-2</v>
      </c>
      <c r="U185">
        <v>-0.1612854</v>
      </c>
      <c r="V185">
        <v>6.3618649999999999E-2</v>
      </c>
      <c r="W185">
        <v>0.21311730000000001</v>
      </c>
      <c r="X185">
        <v>0.97495319999999996</v>
      </c>
      <c r="Y185">
        <v>4.3222209999999997E-2</v>
      </c>
      <c r="Z185">
        <v>-4.9487070000000003E-4</v>
      </c>
      <c r="AA185">
        <v>0.99906530000000004</v>
      </c>
      <c r="AB185">
        <v>41</v>
      </c>
      <c r="AC185">
        <v>41.417099999999998</v>
      </c>
      <c r="AD185">
        <v>-1.0718515783639999</v>
      </c>
      <c r="AE185">
        <v>-2.1852999999999798</v>
      </c>
      <c r="AF185">
        <v>1.8088573000778401</v>
      </c>
      <c r="AG185">
        <v>-1.0718515783639999</v>
      </c>
      <c r="AH185">
        <v>41.407539314030302</v>
      </c>
      <c r="AI185">
        <v>91.481382069144004</v>
      </c>
      <c r="AJ185">
        <v>87.498667143071799</v>
      </c>
      <c r="AK185">
        <v>41.460886900560197</v>
      </c>
      <c r="AL185">
        <v>77.694903532000595</v>
      </c>
      <c r="AM185">
        <v>86.266569730830597</v>
      </c>
      <c r="AN185">
        <v>1.0000000291886699</v>
      </c>
    </row>
    <row r="186" spans="1:40" x14ac:dyDescent="0.25">
      <c r="A186" t="str">
        <f>"20190303170945465"</f>
        <v>20190303170945465</v>
      </c>
      <c r="B186" t="str">
        <f>"1551604185450446"</f>
        <v>1551604185450446</v>
      </c>
      <c r="C186" t="s">
        <v>40</v>
      </c>
      <c r="D186">
        <v>5.3389550000000003</v>
      </c>
      <c r="E186">
        <v>0.49916759999999899</v>
      </c>
      <c r="F186" t="s">
        <v>42</v>
      </c>
      <c r="G186">
        <v>-388.68270000000001</v>
      </c>
      <c r="H186" s="1">
        <v>-1.499202E-6</v>
      </c>
      <c r="I186">
        <v>365.61419999999998</v>
      </c>
      <c r="J186">
        <v>-429.44189999999998</v>
      </c>
      <c r="K186">
        <v>1.0713809999999999</v>
      </c>
      <c r="L186">
        <v>367.82119999999998</v>
      </c>
      <c r="M186">
        <v>0.99993929999999998</v>
      </c>
      <c r="N186">
        <v>-5.4736489999999997E-3</v>
      </c>
      <c r="O186">
        <v>-9.5612270000000003E-3</v>
      </c>
      <c r="P186">
        <v>0.97567740000000003</v>
      </c>
      <c r="Q186">
        <v>0.2067264</v>
      </c>
      <c r="R186">
        <v>-7.2925299999999998E-2</v>
      </c>
      <c r="S186">
        <v>3.080139</v>
      </c>
      <c r="T186">
        <v>-8.0201629999999996E-2</v>
      </c>
      <c r="U186">
        <v>-0.16543579999999999</v>
      </c>
      <c r="V186">
        <v>6.3896220000000004E-2</v>
      </c>
      <c r="W186">
        <v>0.2119762</v>
      </c>
      <c r="X186">
        <v>0.97518380000000005</v>
      </c>
      <c r="Y186">
        <v>4.4067120000000001E-2</v>
      </c>
      <c r="Z186">
        <v>-4.9749949999999897E-4</v>
      </c>
      <c r="AA186">
        <v>0.99902840000000004</v>
      </c>
      <c r="AB186">
        <v>41</v>
      </c>
      <c r="AC186">
        <v>40.7591999999999</v>
      </c>
      <c r="AD186">
        <v>-1.071382499202</v>
      </c>
      <c r="AE186">
        <v>-2.2069999999999901</v>
      </c>
      <c r="AF186">
        <v>1.81593428432573</v>
      </c>
      <c r="AG186">
        <v>-1.071382499202</v>
      </c>
      <c r="AH186">
        <v>40.750365219924397</v>
      </c>
      <c r="AI186">
        <v>91.504544548530902</v>
      </c>
      <c r="AJ186">
        <v>87.448450329899799</v>
      </c>
      <c r="AK186">
        <v>40.804874014531798</v>
      </c>
      <c r="AL186">
        <v>77.761812694235601</v>
      </c>
      <c r="AM186">
        <v>86.251211186790002</v>
      </c>
      <c r="AN186">
        <v>1.0000000400395801</v>
      </c>
    </row>
    <row r="187" spans="1:40" x14ac:dyDescent="0.25">
      <c r="A187" t="str">
        <f>"20190303170945487"</f>
        <v>20190303170945487</v>
      </c>
      <c r="B187" t="str">
        <f>"1551604185480702"</f>
        <v>1551604185480702</v>
      </c>
      <c r="C187" t="s">
        <v>40</v>
      </c>
      <c r="D187">
        <v>5.1138510000000004</v>
      </c>
      <c r="E187">
        <v>0.49935619999999997</v>
      </c>
      <c r="F187" t="s">
        <v>42</v>
      </c>
      <c r="G187">
        <v>-390.02589999999998</v>
      </c>
      <c r="H187" s="1">
        <v>-4.9654129999999997E-6</v>
      </c>
      <c r="I187">
        <v>365.64609999999999</v>
      </c>
      <c r="J187">
        <v>-429.02600000000001</v>
      </c>
      <c r="K187">
        <v>1.070973</v>
      </c>
      <c r="L187">
        <v>367.8168</v>
      </c>
      <c r="M187">
        <v>0.99993509999999997</v>
      </c>
      <c r="N187">
        <v>-5.3244549999999996E-3</v>
      </c>
      <c r="O187">
        <v>-1.007533E-2</v>
      </c>
      <c r="P187">
        <v>0.97572460000000005</v>
      </c>
      <c r="Q187">
        <v>0.20612659999999999</v>
      </c>
      <c r="R187">
        <v>-7.3981290000000005E-2</v>
      </c>
      <c r="S187">
        <v>3.0798649999999999</v>
      </c>
      <c r="T187">
        <v>-8.3715199999999906E-2</v>
      </c>
      <c r="U187">
        <v>-0.169952399999999</v>
      </c>
      <c r="V187">
        <v>6.4447900000000002E-2</v>
      </c>
      <c r="W187">
        <v>0.211231</v>
      </c>
      <c r="X187">
        <v>0.97530910000000004</v>
      </c>
      <c r="Y187">
        <v>4.5017559999999998E-2</v>
      </c>
      <c r="Z187">
        <v>-5.1122959999999997E-4</v>
      </c>
      <c r="AA187">
        <v>0.99898609999999999</v>
      </c>
      <c r="AB187">
        <v>41</v>
      </c>
      <c r="AC187">
        <v>39.000100000000003</v>
      </c>
      <c r="AD187">
        <v>-1.0709779654130001</v>
      </c>
      <c r="AE187">
        <v>-2.1707000000000098</v>
      </c>
      <c r="AF187">
        <v>1.77631000262731</v>
      </c>
      <c r="AG187">
        <v>-1.0709779654130001</v>
      </c>
      <c r="AH187">
        <v>38.990679115830801</v>
      </c>
      <c r="AI187">
        <v>91.571749008991901</v>
      </c>
      <c r="AJ187">
        <v>87.391562654565504</v>
      </c>
      <c r="AK187">
        <v>39.045810645209002</v>
      </c>
      <c r="AL187">
        <v>77.805497687218903</v>
      </c>
      <c r="AM187">
        <v>86.219421983477204</v>
      </c>
      <c r="AN187">
        <v>0.999999953859109</v>
      </c>
    </row>
    <row r="188" spans="1:40" x14ac:dyDescent="0.25">
      <c r="A188" t="str">
        <f>"20190303170945509"</f>
        <v>20190303170945509</v>
      </c>
      <c r="B188" t="str">
        <f>"1551604185501198"</f>
        <v>1551604185501198</v>
      </c>
      <c r="C188" t="s">
        <v>40</v>
      </c>
      <c r="D188">
        <v>5.1971959999999999</v>
      </c>
      <c r="E188">
        <v>0.4994519</v>
      </c>
      <c r="F188" t="s">
        <v>42</v>
      </c>
      <c r="G188">
        <v>-390.2079</v>
      </c>
      <c r="H188" s="1">
        <v>-4.8917799999999998E-6</v>
      </c>
      <c r="I188">
        <v>365.62090000000001</v>
      </c>
      <c r="J188">
        <v>-428.60140000000001</v>
      </c>
      <c r="K188">
        <v>1.070635</v>
      </c>
      <c r="L188">
        <v>367.81220000000002</v>
      </c>
      <c r="M188">
        <v>0.99993050000000006</v>
      </c>
      <c r="N188">
        <v>-5.1949639999999998E-3</v>
      </c>
      <c r="O188">
        <v>-1.059858E-2</v>
      </c>
      <c r="P188">
        <v>0.97582230000000003</v>
      </c>
      <c r="Q188">
        <v>0.2054106</v>
      </c>
      <c r="R188">
        <v>-7.4684109999999998E-2</v>
      </c>
      <c r="S188">
        <v>3.0793460000000001</v>
      </c>
      <c r="T188">
        <v>-8.4958080000000005E-2</v>
      </c>
      <c r="U188">
        <v>-0.1741943</v>
      </c>
      <c r="V188">
        <v>6.4637269999999997E-2</v>
      </c>
      <c r="W188">
        <v>0.21038960000000001</v>
      </c>
      <c r="X188">
        <v>0.97547850000000003</v>
      </c>
      <c r="Y188">
        <v>4.5875310000000002E-2</v>
      </c>
      <c r="Z188">
        <v>-5.1441550000000001E-4</v>
      </c>
      <c r="AA188">
        <v>0.99894700000000003</v>
      </c>
      <c r="AB188">
        <v>41</v>
      </c>
      <c r="AC188">
        <v>38.393500000000003</v>
      </c>
      <c r="AD188">
        <v>-1.07063989178</v>
      </c>
      <c r="AE188">
        <v>-2.1913000000000098</v>
      </c>
      <c r="AF188">
        <v>1.7828730034993301</v>
      </c>
      <c r="AG188">
        <v>-1.07063989178</v>
      </c>
      <c r="AH188">
        <v>38.384816332953498</v>
      </c>
      <c r="AI188">
        <v>91.595975732452999</v>
      </c>
      <c r="AJ188">
        <v>87.340674140796594</v>
      </c>
      <c r="AK188">
        <v>38.441111207131499</v>
      </c>
      <c r="AL188">
        <v>77.854815627058102</v>
      </c>
      <c r="AM188">
        <v>86.2090022398244</v>
      </c>
      <c r="AN188">
        <v>1.00000003221173</v>
      </c>
    </row>
    <row r="189" spans="1:40" x14ac:dyDescent="0.25">
      <c r="A189" t="str">
        <f>"20190303170945533"</f>
        <v>20190303170945533</v>
      </c>
      <c r="B189" t="str">
        <f>"1551604185520717"</f>
        <v>1551604185520717</v>
      </c>
      <c r="C189" t="s">
        <v>40</v>
      </c>
      <c r="D189">
        <v>5.285285</v>
      </c>
      <c r="E189">
        <v>0.49955110000000003</v>
      </c>
      <c r="F189" t="s">
        <v>42</v>
      </c>
      <c r="G189">
        <v>-390.87670000000003</v>
      </c>
      <c r="H189" s="1">
        <v>-4.6006480000000001E-6</v>
      </c>
      <c r="I189">
        <v>365.6447</v>
      </c>
      <c r="J189">
        <v>-428.17239999999998</v>
      </c>
      <c r="K189">
        <v>1.070352</v>
      </c>
      <c r="L189">
        <v>367.8073</v>
      </c>
      <c r="M189">
        <v>0.99992530000000002</v>
      </c>
      <c r="N189">
        <v>-5.0848859999999899E-3</v>
      </c>
      <c r="O189">
        <v>-1.112584E-2</v>
      </c>
      <c r="P189">
        <v>0.97565119999999905</v>
      </c>
      <c r="Q189">
        <v>0.20593400000000001</v>
      </c>
      <c r="R189">
        <v>-7.5471499999999997E-2</v>
      </c>
      <c r="S189">
        <v>3.0791930000000001</v>
      </c>
      <c r="T189">
        <v>-8.7388399999999894E-2</v>
      </c>
      <c r="U189">
        <v>-0.1769104</v>
      </c>
      <c r="V189">
        <v>6.4912129999999998E-2</v>
      </c>
      <c r="W189">
        <v>0.21080450000000001</v>
      </c>
      <c r="X189">
        <v>0.97537059999999998</v>
      </c>
      <c r="Y189">
        <v>4.6228810000000002E-2</v>
      </c>
      <c r="Z189">
        <v>-5.1410339999999896E-4</v>
      </c>
      <c r="AA189">
        <v>0.99893080000000001</v>
      </c>
      <c r="AB189">
        <v>41</v>
      </c>
      <c r="AC189">
        <v>37.295699999999897</v>
      </c>
      <c r="AD189">
        <v>-1.0703566006480001</v>
      </c>
      <c r="AE189">
        <v>-2.1625999999999901</v>
      </c>
      <c r="AF189">
        <v>1.74608151003228</v>
      </c>
      <c r="AG189">
        <v>-1.0703566006480001</v>
      </c>
      <c r="AH189">
        <v>37.286844441298101</v>
      </c>
      <c r="AI189">
        <v>91.642482857535995</v>
      </c>
      <c r="AJ189">
        <v>87.318891668575304</v>
      </c>
      <c r="AK189">
        <v>37.343047977927498</v>
      </c>
      <c r="AL189">
        <v>77.830497406151807</v>
      </c>
      <c r="AM189">
        <v>86.1925089980205</v>
      </c>
      <c r="AN189">
        <v>0.99999996459287199</v>
      </c>
    </row>
    <row r="190" spans="1:40" x14ac:dyDescent="0.25">
      <c r="A190" t="str">
        <f>"20190303170945556"</f>
        <v>20190303170945556</v>
      </c>
      <c r="B190" t="str">
        <f>"1551604185550505"</f>
        <v>1551604185550505</v>
      </c>
      <c r="C190" t="s">
        <v>40</v>
      </c>
      <c r="D190">
        <v>5.3398750000000001</v>
      </c>
      <c r="E190">
        <v>0.49977519999999998</v>
      </c>
      <c r="F190" t="s">
        <v>42</v>
      </c>
      <c r="G190">
        <v>-389.5822</v>
      </c>
      <c r="H190" s="1">
        <v>-1.2109299999999999E-6</v>
      </c>
      <c r="I190">
        <v>365.5471</v>
      </c>
      <c r="J190">
        <v>-427.75290000000001</v>
      </c>
      <c r="K190">
        <v>1.070122</v>
      </c>
      <c r="L190">
        <v>367.80220000000003</v>
      </c>
      <c r="M190">
        <v>0.99991989999999997</v>
      </c>
      <c r="N190">
        <v>-4.9950439999999997E-3</v>
      </c>
      <c r="O190">
        <v>-1.1640299999999999E-2</v>
      </c>
      <c r="P190">
        <v>0.97562930000000003</v>
      </c>
      <c r="Q190">
        <v>0.20582220000000001</v>
      </c>
      <c r="R190">
        <v>-7.6057340000000001E-2</v>
      </c>
      <c r="S190">
        <v>3.0789490000000002</v>
      </c>
      <c r="T190">
        <v>-8.5399030000000001E-2</v>
      </c>
      <c r="U190">
        <v>-0.1803284</v>
      </c>
      <c r="V190">
        <v>6.4995899999999995E-2</v>
      </c>
      <c r="W190">
        <v>0.2106045</v>
      </c>
      <c r="X190">
        <v>0.97540830000000001</v>
      </c>
      <c r="Y190">
        <v>4.6825289999999999E-2</v>
      </c>
      <c r="Z190">
        <v>-5.0137909999999996E-4</v>
      </c>
      <c r="AA190">
        <v>0.99890299999999999</v>
      </c>
      <c r="AB190">
        <v>41</v>
      </c>
      <c r="AC190">
        <v>38.170699999999997</v>
      </c>
      <c r="AD190">
        <v>-1.0701232109299901</v>
      </c>
      <c r="AE190">
        <v>-2.2551000000000201</v>
      </c>
      <c r="AF190">
        <v>1.8092062856107101</v>
      </c>
      <c r="AG190">
        <v>-1.0701232109299901</v>
      </c>
      <c r="AH190">
        <v>38.164472323681203</v>
      </c>
      <c r="AI190">
        <v>91.604339167185501</v>
      </c>
      <c r="AJ190">
        <v>87.285896236727694</v>
      </c>
      <c r="AK190">
        <v>38.222314671085698</v>
      </c>
      <c r="AL190">
        <v>77.842220625691795</v>
      </c>
      <c r="AM190">
        <v>86.187756775445607</v>
      </c>
      <c r="AN190">
        <v>1.00000003707297</v>
      </c>
    </row>
    <row r="191" spans="1:40" x14ac:dyDescent="0.25">
      <c r="A191" t="str">
        <f>"20190303170945579"</f>
        <v>20190303170945579</v>
      </c>
      <c r="B191" t="str">
        <f>"1551604185571002"</f>
        <v>1551604185571002</v>
      </c>
      <c r="C191" t="s">
        <v>40</v>
      </c>
      <c r="D191">
        <v>5.3422099999999997</v>
      </c>
      <c r="E191">
        <v>0.49990190000000001</v>
      </c>
      <c r="F191" t="s">
        <v>42</v>
      </c>
      <c r="G191">
        <v>-389.14409999999998</v>
      </c>
      <c r="H191" s="1">
        <v>-1.3746660000000001E-6</v>
      </c>
      <c r="I191">
        <v>365.49209999999999</v>
      </c>
      <c r="J191">
        <v>-427.3322</v>
      </c>
      <c r="K191">
        <v>1.0699339999999999</v>
      </c>
      <c r="L191">
        <v>367.79700000000003</v>
      </c>
      <c r="M191">
        <v>0.99991390000000002</v>
      </c>
      <c r="N191">
        <v>-4.9218600000000001E-3</v>
      </c>
      <c r="O191">
        <v>-1.215565E-2</v>
      </c>
      <c r="P191">
        <v>0.97559960000000001</v>
      </c>
      <c r="Q191">
        <v>0.20562030000000001</v>
      </c>
      <c r="R191">
        <v>-7.697756E-2</v>
      </c>
      <c r="S191">
        <v>3.0785830000000001</v>
      </c>
      <c r="T191">
        <v>-8.5329169999999996E-2</v>
      </c>
      <c r="U191">
        <v>-0.18420410000000001</v>
      </c>
      <c r="V191">
        <v>6.5413209999999999E-2</v>
      </c>
      <c r="W191">
        <v>0.2103304</v>
      </c>
      <c r="X191">
        <v>0.97543950000000001</v>
      </c>
      <c r="Y191">
        <v>4.7570429999999997E-2</v>
      </c>
      <c r="Z191">
        <v>-4.989959E-4</v>
      </c>
      <c r="AA191">
        <v>0.99886779999999997</v>
      </c>
      <c r="AB191">
        <v>41</v>
      </c>
      <c r="AC191">
        <v>38.188099999999999</v>
      </c>
      <c r="AD191">
        <v>-1.0699353746660001</v>
      </c>
      <c r="AE191">
        <v>-2.3048999999999702</v>
      </c>
      <c r="AF191">
        <v>1.8390844491498499</v>
      </c>
      <c r="AG191">
        <v>-1.0699353746660001</v>
      </c>
      <c r="AH191">
        <v>38.183431928797397</v>
      </c>
      <c r="AI191">
        <v>91.603203664315402</v>
      </c>
      <c r="AJ191">
        <v>87.242510586722005</v>
      </c>
      <c r="AK191">
        <v>38.242665534428497</v>
      </c>
      <c r="AL191">
        <v>77.8582846720643</v>
      </c>
      <c r="AM191">
        <v>86.163475264667298</v>
      </c>
      <c r="AN191">
        <v>0.99999999168345699</v>
      </c>
    </row>
    <row r="192" spans="1:40" x14ac:dyDescent="0.25">
      <c r="A192" t="str">
        <f>"20190303170945601"</f>
        <v>20190303170945601</v>
      </c>
      <c r="B192" t="str">
        <f>"1551604185591498"</f>
        <v>1551604185591498</v>
      </c>
      <c r="C192" t="s">
        <v>40</v>
      </c>
      <c r="D192">
        <v>5.3429779999999996</v>
      </c>
      <c r="E192">
        <v>0.50002460000000004</v>
      </c>
      <c r="F192" t="s">
        <v>42</v>
      </c>
      <c r="G192">
        <v>-388.84379999999999</v>
      </c>
      <c r="H192" s="1">
        <v>-1.4891000000000001E-6</v>
      </c>
      <c r="I192">
        <v>365.44600000000003</v>
      </c>
      <c r="J192">
        <v>-426.90879999999999</v>
      </c>
      <c r="K192">
        <v>1.0697779999999999</v>
      </c>
      <c r="L192">
        <v>367.79149999999998</v>
      </c>
      <c r="M192">
        <v>0.99990800000000002</v>
      </c>
      <c r="N192">
        <v>-4.8622919999999998E-3</v>
      </c>
      <c r="O192">
        <v>-1.2673790000000001E-2</v>
      </c>
      <c r="P192">
        <v>0.97556080000000001</v>
      </c>
      <c r="Q192">
        <v>0.20570179999999999</v>
      </c>
      <c r="R192">
        <v>-7.7252130000000002E-2</v>
      </c>
      <c r="S192">
        <v>3.0782470000000002</v>
      </c>
      <c r="T192">
        <v>-8.5571770000000005E-2</v>
      </c>
      <c r="U192">
        <v>-0.18801880000000001</v>
      </c>
      <c r="V192">
        <v>6.5182829999999997E-2</v>
      </c>
      <c r="W192">
        <v>0.21035419999999999</v>
      </c>
      <c r="X192">
        <v>0.97544980000000003</v>
      </c>
      <c r="Y192">
        <v>4.8292420000000003E-2</v>
      </c>
      <c r="Z192">
        <v>-4.9770960000000003E-4</v>
      </c>
      <c r="AA192">
        <v>0.99883310000000003</v>
      </c>
      <c r="AB192">
        <v>42</v>
      </c>
      <c r="AC192">
        <v>38.064999999999998</v>
      </c>
      <c r="AD192">
        <v>-1.0697794890999901</v>
      </c>
      <c r="AE192">
        <v>-2.3455000000000101</v>
      </c>
      <c r="AF192">
        <v>1.86141351212581</v>
      </c>
      <c r="AG192">
        <v>-1.0697794890999901</v>
      </c>
      <c r="AH192">
        <v>38.061720630039403</v>
      </c>
      <c r="AI192">
        <v>91.608035751221294</v>
      </c>
      <c r="AJ192">
        <v>87.200172983618103</v>
      </c>
      <c r="AK192">
        <v>38.122222728188198</v>
      </c>
      <c r="AL192">
        <v>77.8568899484074</v>
      </c>
      <c r="AM192">
        <v>86.176987301179096</v>
      </c>
      <c r="AN192">
        <v>1.0000000015522399</v>
      </c>
    </row>
    <row r="193" spans="1:40" x14ac:dyDescent="0.25">
      <c r="A193" t="str">
        <f>"20190303170945622"</f>
        <v>20190303170945622</v>
      </c>
      <c r="B193" t="str">
        <f>"1551604185611017"</f>
        <v>1551604185611017</v>
      </c>
      <c r="C193" t="s">
        <v>40</v>
      </c>
      <c r="D193">
        <v>5.3997000000000002</v>
      </c>
      <c r="E193">
        <v>0.50011589999999995</v>
      </c>
      <c r="F193" t="s">
        <v>42</v>
      </c>
      <c r="G193">
        <v>-388.22309999999999</v>
      </c>
      <c r="H193" s="1">
        <v>-1.7117840000000001E-6</v>
      </c>
      <c r="I193">
        <v>365.40300000000002</v>
      </c>
      <c r="J193">
        <v>-426.50979999999998</v>
      </c>
      <c r="K193">
        <v>1.069666</v>
      </c>
      <c r="L193">
        <v>367.78609999999998</v>
      </c>
      <c r="M193">
        <v>0.99990190000000001</v>
      </c>
      <c r="N193">
        <v>-4.817137E-3</v>
      </c>
      <c r="O193">
        <v>-1.3162180000000001E-2</v>
      </c>
      <c r="P193">
        <v>0.97559819999999997</v>
      </c>
      <c r="Q193">
        <v>0.20541909999999999</v>
      </c>
      <c r="R193">
        <v>-7.7533299999999999E-2</v>
      </c>
      <c r="S193">
        <v>3.0780639999999999</v>
      </c>
      <c r="T193">
        <v>-8.5117940000000003E-2</v>
      </c>
      <c r="U193">
        <v>-0.19003300000000001</v>
      </c>
      <c r="V193">
        <v>6.4986630000000004E-2</v>
      </c>
      <c r="W193">
        <v>0.21002789999999999</v>
      </c>
      <c r="X193">
        <v>0.97553319999999999</v>
      </c>
      <c r="Y193">
        <v>4.8459580000000002E-2</v>
      </c>
      <c r="Z193">
        <v>-4.8594689999999999E-4</v>
      </c>
      <c r="AA193">
        <v>0.99882499999999996</v>
      </c>
      <c r="AB193">
        <v>42</v>
      </c>
      <c r="AC193">
        <v>38.286700000000003</v>
      </c>
      <c r="AD193">
        <v>-1.0696677117839899</v>
      </c>
      <c r="AE193">
        <v>-2.38309999999995</v>
      </c>
      <c r="AF193">
        <v>1.87749151529725</v>
      </c>
      <c r="AG193">
        <v>-1.0696677117839899</v>
      </c>
      <c r="AH193">
        <v>38.284982385730103</v>
      </c>
      <c r="AI193">
        <v>91.598485779700397</v>
      </c>
      <c r="AJ193">
        <v>87.192470168737799</v>
      </c>
      <c r="AK193">
        <v>38.345912946223002</v>
      </c>
      <c r="AL193">
        <v>77.876012771229895</v>
      </c>
      <c r="AM193">
        <v>86.188785474741195</v>
      </c>
      <c r="AN193">
        <v>1.0000000025797</v>
      </c>
    </row>
    <row r="194" spans="1:40" x14ac:dyDescent="0.25">
      <c r="A194" t="str">
        <f>"20190303170945666"</f>
        <v>20190303170945666</v>
      </c>
      <c r="B194" t="str">
        <f>"1551604185660794"</f>
        <v>1551604185660794</v>
      </c>
      <c r="C194" t="s">
        <v>40</v>
      </c>
      <c r="D194">
        <v>5.1706960000000004</v>
      </c>
      <c r="E194">
        <v>0.50032500000000002</v>
      </c>
      <c r="F194" t="s">
        <v>42</v>
      </c>
      <c r="G194">
        <v>-388.16820000000001</v>
      </c>
      <c r="H194" s="1">
        <v>-1.731444E-6</v>
      </c>
      <c r="I194">
        <v>365.39929999999998</v>
      </c>
      <c r="J194">
        <v>-425.68669999999997</v>
      </c>
      <c r="K194">
        <v>1.069477</v>
      </c>
      <c r="L194">
        <v>367.77440000000001</v>
      </c>
      <c r="M194">
        <v>0.99988840000000001</v>
      </c>
      <c r="N194">
        <v>-4.752821E-3</v>
      </c>
      <c r="O194">
        <v>-1.4166339999999999E-2</v>
      </c>
      <c r="P194">
        <v>0.97541489999999997</v>
      </c>
      <c r="Q194">
        <v>0.20607780000000001</v>
      </c>
      <c r="R194">
        <v>-7.8089939999999997E-2</v>
      </c>
      <c r="S194">
        <v>3.0778810000000001</v>
      </c>
      <c r="T194">
        <v>-8.5867639999999995E-2</v>
      </c>
      <c r="U194">
        <v>-0.19158939999999999</v>
      </c>
      <c r="V194">
        <v>6.4567849999999996E-2</v>
      </c>
      <c r="W194">
        <v>0.21062320000000001</v>
      </c>
      <c r="X194">
        <v>0.97543259999999998</v>
      </c>
      <c r="Y194">
        <v>4.7963569999999997E-2</v>
      </c>
      <c r="Z194">
        <v>-4.5495110000000002E-4</v>
      </c>
      <c r="AA194">
        <v>0.99884899999999999</v>
      </c>
      <c r="AB194">
        <v>42</v>
      </c>
      <c r="AC194">
        <v>37.518499999999896</v>
      </c>
      <c r="AD194">
        <v>-1.069478731444</v>
      </c>
      <c r="AE194">
        <v>-2.37510000000003</v>
      </c>
      <c r="AF194">
        <v>1.84186520647959</v>
      </c>
      <c r="AG194">
        <v>-1.069478731444</v>
      </c>
      <c r="AH194">
        <v>37.518018062692001</v>
      </c>
      <c r="AI194">
        <v>91.630853199653401</v>
      </c>
      <c r="AJ194">
        <v>87.1894452250082</v>
      </c>
      <c r="AK194">
        <v>37.578423750183198</v>
      </c>
      <c r="AL194">
        <v>77.841123515501195</v>
      </c>
      <c r="AM194">
        <v>86.212884213008607</v>
      </c>
      <c r="AN194">
        <v>0.99999994838730899</v>
      </c>
    </row>
    <row r="195" spans="1:40" x14ac:dyDescent="0.25">
      <c r="A195" t="str">
        <f>"20190303170945689"</f>
        <v>20190303170945689</v>
      </c>
      <c r="B195" t="str">
        <f>"1551604185680314"</f>
        <v>1551604185680314</v>
      </c>
      <c r="C195" t="s">
        <v>40</v>
      </c>
      <c r="D195">
        <v>5.3424909999999999</v>
      </c>
      <c r="E195">
        <v>0.50044739999999999</v>
      </c>
      <c r="F195" t="s">
        <v>42</v>
      </c>
      <c r="G195">
        <v>-386.33749999999998</v>
      </c>
      <c r="H195" s="1">
        <v>-2.3859989999999999E-6</v>
      </c>
      <c r="I195">
        <v>365.28070000000002</v>
      </c>
      <c r="J195">
        <v>-425.24599999999998</v>
      </c>
      <c r="K195">
        <v>1.069407</v>
      </c>
      <c r="L195">
        <v>367.76780000000002</v>
      </c>
      <c r="M195">
        <v>0.99988080000000001</v>
      </c>
      <c r="N195">
        <v>-4.7317569999999996E-3</v>
      </c>
      <c r="O195">
        <v>-1.470321E-2</v>
      </c>
      <c r="P195">
        <v>0.9753309</v>
      </c>
      <c r="Q195">
        <v>0.2062534</v>
      </c>
      <c r="R195">
        <v>-7.8672619999999999E-2</v>
      </c>
      <c r="S195">
        <v>3.0776979999999998</v>
      </c>
      <c r="T195">
        <v>-8.364916E-2</v>
      </c>
      <c r="U195">
        <v>-0.19503780000000001</v>
      </c>
      <c r="V195">
        <v>6.4628930000000001E-2</v>
      </c>
      <c r="W195">
        <v>0.21077799999999999</v>
      </c>
      <c r="X195">
        <v>0.97539520000000002</v>
      </c>
      <c r="Y195">
        <v>4.854642E-2</v>
      </c>
      <c r="Z195">
        <v>-4.4435059999999997E-4</v>
      </c>
      <c r="AA195">
        <v>0.99882079999999995</v>
      </c>
      <c r="AB195">
        <v>42</v>
      </c>
      <c r="AC195">
        <v>38.908499999999997</v>
      </c>
      <c r="AD195">
        <v>-1.0694093859989999</v>
      </c>
      <c r="AE195">
        <v>-2.4870999999999901</v>
      </c>
      <c r="AF195">
        <v>1.9133054440884301</v>
      </c>
      <c r="AG195">
        <v>-1.0694093859989999</v>
      </c>
      <c r="AH195">
        <v>38.911587050313003</v>
      </c>
      <c r="AI195">
        <v>91.572368236662498</v>
      </c>
      <c r="AJ195">
        <v>87.185000274384095</v>
      </c>
      <c r="AK195">
        <v>38.973272648461602</v>
      </c>
      <c r="AL195">
        <v>77.832051452336998</v>
      </c>
      <c r="AM195">
        <v>86.209167186989603</v>
      </c>
      <c r="AN195">
        <v>1.0000000300299901</v>
      </c>
    </row>
    <row r="196" spans="1:40" x14ac:dyDescent="0.25">
      <c r="A196" t="str">
        <f>"20190303170945711"</f>
        <v>20190303170945711</v>
      </c>
      <c r="B196" t="str">
        <f>"1551604185700810"</f>
        <v>1551604185700810</v>
      </c>
      <c r="C196" t="s">
        <v>40</v>
      </c>
      <c r="D196">
        <v>5.2865669999999998</v>
      </c>
      <c r="E196">
        <v>0.50050439999999996</v>
      </c>
      <c r="F196" t="s">
        <v>42</v>
      </c>
      <c r="G196">
        <v>-385.62380000000002</v>
      </c>
      <c r="H196" s="1">
        <v>-2.643533E-6</v>
      </c>
      <c r="I196">
        <v>365.22559999999999</v>
      </c>
      <c r="J196">
        <v>-424.8168</v>
      </c>
      <c r="K196">
        <v>1.0693469999999901</v>
      </c>
      <c r="L196">
        <v>367.7611</v>
      </c>
      <c r="M196">
        <v>0.99987309999999996</v>
      </c>
      <c r="N196">
        <v>-4.718903E-3</v>
      </c>
      <c r="O196">
        <v>-1.5225209999999999E-2</v>
      </c>
      <c r="P196">
        <v>0.97539070000000005</v>
      </c>
      <c r="Q196">
        <v>0.2059407</v>
      </c>
      <c r="R196">
        <v>-7.875269E-2</v>
      </c>
      <c r="S196">
        <v>3.0774840000000001</v>
      </c>
      <c r="T196">
        <v>-8.3061700000000002E-2</v>
      </c>
      <c r="U196">
        <v>-0.1974487</v>
      </c>
      <c r="V196">
        <v>6.4198950000000005E-2</v>
      </c>
      <c r="W196">
        <v>0.2104531</v>
      </c>
      <c r="X196">
        <v>0.97549370000000002</v>
      </c>
      <c r="Y196">
        <v>4.8808900000000002E-2</v>
      </c>
      <c r="Z196">
        <v>-4.3459040000000003E-4</v>
      </c>
      <c r="AA196">
        <v>0.99880800000000003</v>
      </c>
      <c r="AB196">
        <v>42</v>
      </c>
      <c r="AC196">
        <v>39.192999999999898</v>
      </c>
      <c r="AD196">
        <v>-1.0693496435330001</v>
      </c>
      <c r="AE196">
        <v>-2.5355000000000101</v>
      </c>
      <c r="AF196">
        <v>1.9370419128680001</v>
      </c>
      <c r="AG196">
        <v>-1.0693496435330001</v>
      </c>
      <c r="AH196">
        <v>39.198002515190097</v>
      </c>
      <c r="AI196">
        <v>91.560778773081694</v>
      </c>
      <c r="AJ196">
        <v>87.170924302426698</v>
      </c>
      <c r="AK196">
        <v>39.260400420948102</v>
      </c>
      <c r="AL196">
        <v>77.851093446569195</v>
      </c>
      <c r="AM196">
        <v>86.234694153020499</v>
      </c>
      <c r="AN196">
        <v>0.99999998561020098</v>
      </c>
    </row>
    <row r="197" spans="1:40" x14ac:dyDescent="0.25">
      <c r="A197" t="str">
        <f>"20190303170945733"</f>
        <v>20190303170945733</v>
      </c>
      <c r="B197" t="str">
        <f>"1551604185720330"</f>
        <v>1551604185720330</v>
      </c>
      <c r="C197" t="s">
        <v>40</v>
      </c>
      <c r="D197">
        <v>5.3378759999999996</v>
      </c>
      <c r="E197">
        <v>0.50063159999999995</v>
      </c>
      <c r="F197" t="s">
        <v>42</v>
      </c>
      <c r="G197">
        <v>-385.62909999999999</v>
      </c>
      <c r="H197" s="1">
        <v>-2.641385E-6</v>
      </c>
      <c r="I197">
        <v>365.2269</v>
      </c>
      <c r="J197">
        <v>-424.40949999999998</v>
      </c>
      <c r="K197">
        <v>1.069302</v>
      </c>
      <c r="L197">
        <v>367.75459999999998</v>
      </c>
      <c r="M197">
        <v>0.99986540000000002</v>
      </c>
      <c r="N197">
        <v>-4.7127749999999998E-3</v>
      </c>
      <c r="O197">
        <v>-1.5719569999999999E-2</v>
      </c>
      <c r="P197">
        <v>0.97546679999999997</v>
      </c>
      <c r="Q197">
        <v>0.20561950000000001</v>
      </c>
      <c r="R197">
        <v>-7.8646030000000006E-2</v>
      </c>
      <c r="S197">
        <v>3.0773929999999998</v>
      </c>
      <c r="T197">
        <v>-8.3975549999999996E-2</v>
      </c>
      <c r="U197">
        <v>-0.19900509999999999</v>
      </c>
      <c r="V197">
        <v>6.3609440000000003E-2</v>
      </c>
      <c r="W197">
        <v>0.21012719999999999</v>
      </c>
      <c r="X197">
        <v>0.97560259999999999</v>
      </c>
      <c r="Y197">
        <v>4.8819830000000002E-2</v>
      </c>
      <c r="Z197">
        <v>-4.2610780000000001E-4</v>
      </c>
      <c r="AA197">
        <v>0.99880749999999996</v>
      </c>
      <c r="AB197">
        <v>43</v>
      </c>
      <c r="AC197">
        <v>38.780399999999901</v>
      </c>
      <c r="AD197">
        <v>-1.069304641385</v>
      </c>
      <c r="AE197">
        <v>-2.5276999999999799</v>
      </c>
      <c r="AF197">
        <v>1.91631893716841</v>
      </c>
      <c r="AG197">
        <v>-1.069304641385</v>
      </c>
      <c r="AH197">
        <v>38.785979202109701</v>
      </c>
      <c r="AI197">
        <v>91.577284966344394</v>
      </c>
      <c r="AJ197">
        <v>87.171457875348906</v>
      </c>
      <c r="AK197">
        <v>38.848009902072498</v>
      </c>
      <c r="AL197">
        <v>77.870193618957202</v>
      </c>
      <c r="AM197">
        <v>86.269586429976698</v>
      </c>
      <c r="AN197">
        <v>1.0000000170818499</v>
      </c>
    </row>
    <row r="198" spans="1:40" x14ac:dyDescent="0.25">
      <c r="A198" t="str">
        <f>"20190303170945757"</f>
        <v>20190303170945757</v>
      </c>
      <c r="B198" t="str">
        <f>"1551604185750586"</f>
        <v>1551604185750586</v>
      </c>
      <c r="C198" t="s">
        <v>40</v>
      </c>
      <c r="D198">
        <v>5.2721980000000004</v>
      </c>
      <c r="E198">
        <v>0.50080199999999997</v>
      </c>
      <c r="F198" t="s">
        <v>42</v>
      </c>
      <c r="G198">
        <v>-385.57920000000001</v>
      </c>
      <c r="H198" s="1">
        <v>-2.655108E-6</v>
      </c>
      <c r="I198">
        <v>365.23989999999998</v>
      </c>
      <c r="J198">
        <v>-423.94799999999998</v>
      </c>
      <c r="K198">
        <v>1.0692469999999901</v>
      </c>
      <c r="L198">
        <v>367.74689999999998</v>
      </c>
      <c r="M198">
        <v>0.99985639999999998</v>
      </c>
      <c r="N198">
        <v>-4.7116420000000003E-3</v>
      </c>
      <c r="O198">
        <v>-1.6279510000000001E-2</v>
      </c>
      <c r="P198">
        <v>0.97537830000000003</v>
      </c>
      <c r="Q198">
        <v>0.2054772</v>
      </c>
      <c r="R198">
        <v>-8.0102259999999995E-2</v>
      </c>
      <c r="S198">
        <v>3.0772400000000002</v>
      </c>
      <c r="T198">
        <v>-8.4740640000000006E-2</v>
      </c>
      <c r="U198">
        <v>-0.19927980000000001</v>
      </c>
      <c r="V198">
        <v>6.4521129999999996E-2</v>
      </c>
      <c r="W198">
        <v>0.20998169999999999</v>
      </c>
      <c r="X198">
        <v>0.97557400000000005</v>
      </c>
      <c r="Y198">
        <v>4.8352510000000001E-2</v>
      </c>
      <c r="Z198">
        <v>-4.0794360000000001E-4</v>
      </c>
      <c r="AA198">
        <v>0.99883029999999995</v>
      </c>
      <c r="AB198">
        <v>43</v>
      </c>
      <c r="AC198">
        <v>38.3688</v>
      </c>
      <c r="AD198">
        <v>-1.06924965510799</v>
      </c>
      <c r="AE198">
        <v>-2.5070000000000001</v>
      </c>
      <c r="AF198">
        <v>1.8805813160212701</v>
      </c>
      <c r="AG198">
        <v>-1.06924965510799</v>
      </c>
      <c r="AH198">
        <v>38.3748529159867</v>
      </c>
      <c r="AI198">
        <v>91.594123927168397</v>
      </c>
      <c r="AJ198">
        <v>87.194432464692596</v>
      </c>
      <c r="AK198">
        <v>38.43578042963</v>
      </c>
      <c r="AL198">
        <v>77.878719687394394</v>
      </c>
      <c r="AM198">
        <v>86.216163444391299</v>
      </c>
      <c r="AN198">
        <v>0.99999996001368197</v>
      </c>
    </row>
    <row r="199" spans="1:40" x14ac:dyDescent="0.25">
      <c r="A199" t="str">
        <f>"20190303170945780"</f>
        <v>20190303170945780</v>
      </c>
      <c r="B199" t="str">
        <f>"1551604185771082"</f>
        <v>1551604185771082</v>
      </c>
      <c r="C199" t="s">
        <v>40</v>
      </c>
      <c r="D199">
        <v>5.2698130000000001</v>
      </c>
      <c r="E199">
        <v>0.5284297</v>
      </c>
      <c r="F199" t="s">
        <v>42</v>
      </c>
      <c r="G199">
        <v>-385.25560000000002</v>
      </c>
      <c r="H199" s="1">
        <v>-2.8051800000000001E-6</v>
      </c>
      <c r="I199">
        <v>365.1764</v>
      </c>
      <c r="J199">
        <v>-423.49799999999999</v>
      </c>
      <c r="K199">
        <v>1.0692140000000001</v>
      </c>
      <c r="L199">
        <v>367.73930000000001</v>
      </c>
      <c r="M199">
        <v>0.9998475</v>
      </c>
      <c r="N199">
        <v>-4.7167169999999996E-3</v>
      </c>
      <c r="O199">
        <v>-1.6824809999999999E-2</v>
      </c>
      <c r="P199">
        <v>0.97539379999999998</v>
      </c>
      <c r="Q199">
        <v>0.2049771</v>
      </c>
      <c r="R199">
        <v>-8.1188739999999995E-2</v>
      </c>
      <c r="S199">
        <v>3.076813</v>
      </c>
      <c r="T199">
        <v>-8.5026500000000005E-2</v>
      </c>
      <c r="U199">
        <v>-0.2044067</v>
      </c>
      <c r="V199">
        <v>6.5075450000000007E-2</v>
      </c>
      <c r="W199">
        <v>0.20948520000000001</v>
      </c>
      <c r="X199">
        <v>0.97564399999999996</v>
      </c>
      <c r="Y199">
        <v>4.9473450000000002E-2</v>
      </c>
      <c r="Z199">
        <v>-4.1454529999999999E-4</v>
      </c>
      <c r="AA199">
        <v>0.99877539999999998</v>
      </c>
      <c r="AB199">
        <v>43</v>
      </c>
      <c r="AC199">
        <v>38.242400000000004</v>
      </c>
      <c r="AD199">
        <v>-1.06921680518</v>
      </c>
      <c r="AE199">
        <v>-2.5629000000000102</v>
      </c>
      <c r="AF199">
        <v>1.9176167579437799</v>
      </c>
      <c r="AG199">
        <v>-1.06921680518</v>
      </c>
      <c r="AH199">
        <v>38.250340877119498</v>
      </c>
      <c r="AI199">
        <v>91.599172165279995</v>
      </c>
      <c r="AJ199">
        <v>87.129974933414601</v>
      </c>
      <c r="AK199">
        <v>38.3133012911008</v>
      </c>
      <c r="AL199">
        <v>77.907815114161394</v>
      </c>
      <c r="AM199">
        <v>86.184024041941598</v>
      </c>
      <c r="AN199">
        <v>1.0000000389738699</v>
      </c>
    </row>
    <row r="200" spans="1:40" x14ac:dyDescent="0.25">
      <c r="A200" t="str">
        <f>"20190303170945800"</f>
        <v>20190303170945800</v>
      </c>
      <c r="B200" t="str">
        <f>"1551604185790602"</f>
        <v>1551604185790602</v>
      </c>
      <c r="C200" t="s">
        <v>40</v>
      </c>
      <c r="D200">
        <v>5.1602110000000003</v>
      </c>
      <c r="E200">
        <v>0.53794799999999998</v>
      </c>
      <c r="F200" t="s">
        <v>43</v>
      </c>
      <c r="G200">
        <v>-422.46510000000001</v>
      </c>
      <c r="H200">
        <v>0.9814541</v>
      </c>
      <c r="I200">
        <v>367.59989999999999</v>
      </c>
      <c r="J200">
        <v>-423.10730000000001</v>
      </c>
      <c r="K200">
        <v>1.0691900000000001</v>
      </c>
      <c r="L200">
        <v>367.73239999999998</v>
      </c>
      <c r="M200">
        <v>0.99983929999999999</v>
      </c>
      <c r="N200">
        <v>-4.7247419999999997E-3</v>
      </c>
      <c r="O200">
        <v>-1.729692E-2</v>
      </c>
      <c r="P200">
        <v>0.97536060000000002</v>
      </c>
      <c r="Q200">
        <v>0.2047832</v>
      </c>
      <c r="R200">
        <v>-8.2073389999999996E-2</v>
      </c>
      <c r="S200">
        <v>3.0962519999999998</v>
      </c>
      <c r="T200">
        <v>-0.26317580000000002</v>
      </c>
      <c r="U200">
        <v>-0.41711429999999999</v>
      </c>
      <c r="V200">
        <v>6.5500320000000001E-2</v>
      </c>
      <c r="W200">
        <v>0.20929819999999999</v>
      </c>
      <c r="X200">
        <v>0.97565570000000001</v>
      </c>
      <c r="Y200">
        <v>0.1159685</v>
      </c>
      <c r="Z200">
        <v>-3.7941149999999998E-3</v>
      </c>
      <c r="AA200">
        <v>0.99324570000000001</v>
      </c>
      <c r="AB200">
        <v>43</v>
      </c>
      <c r="AC200">
        <v>0.64220000000000199</v>
      </c>
      <c r="AD200">
        <v>-8.7735899999999895E-2</v>
      </c>
      <c r="AE200">
        <v>-0.13249999999999301</v>
      </c>
      <c r="AF200">
        <v>0.11923734657410499</v>
      </c>
      <c r="AG200">
        <v>-8.7735899999999895E-2</v>
      </c>
      <c r="AH200">
        <v>0.63306250170462997</v>
      </c>
      <c r="AI200">
        <v>97.755673306335297</v>
      </c>
      <c r="AJ200">
        <v>79.333302443714501</v>
      </c>
      <c r="AK200">
        <v>0.65014095704805996</v>
      </c>
      <c r="AL200">
        <v>77.918772297709296</v>
      </c>
      <c r="AM200">
        <v>86.159230231670506</v>
      </c>
      <c r="AN200">
        <v>1.00000003669291</v>
      </c>
    </row>
    <row r="201" spans="1:40" x14ac:dyDescent="0.25">
      <c r="A201" t="str">
        <f>"20190303170945824"</f>
        <v>20190303170945824</v>
      </c>
      <c r="B201" t="str">
        <f>"1551604185820858"</f>
        <v>1551604185820858</v>
      </c>
      <c r="C201" t="s">
        <v>40</v>
      </c>
      <c r="D201">
        <v>5.1550419999999999</v>
      </c>
      <c r="E201">
        <v>0.54183930000000002</v>
      </c>
      <c r="F201" t="s">
        <v>43</v>
      </c>
      <c r="G201">
        <v>-422.10180000000003</v>
      </c>
      <c r="H201">
        <v>0.93155770000000004</v>
      </c>
      <c r="I201">
        <v>367.57569999999998</v>
      </c>
      <c r="J201">
        <v>-422.64460000000003</v>
      </c>
      <c r="K201">
        <v>1.069167</v>
      </c>
      <c r="L201">
        <v>367.72399999999999</v>
      </c>
      <c r="M201">
        <v>0.99982950000000004</v>
      </c>
      <c r="N201">
        <v>-4.7382850000000001E-3</v>
      </c>
      <c r="O201">
        <v>-1.784734E-2</v>
      </c>
      <c r="P201">
        <v>0.97514889999999999</v>
      </c>
      <c r="Q201">
        <v>0.2053635</v>
      </c>
      <c r="R201">
        <v>-8.3130449999999995E-2</v>
      </c>
      <c r="S201">
        <v>3.1246339999999999</v>
      </c>
      <c r="T201">
        <v>-0.42771179999999998</v>
      </c>
      <c r="U201">
        <v>-0.48620609999999997</v>
      </c>
      <c r="V201">
        <v>6.6023830000000006E-2</v>
      </c>
      <c r="W201">
        <v>0.2098904</v>
      </c>
      <c r="X201">
        <v>0.9754931</v>
      </c>
      <c r="Y201">
        <v>0.1349735</v>
      </c>
      <c r="Z201">
        <v>-7.1312379999999998E-3</v>
      </c>
      <c r="AA201">
        <v>0.99082360000000003</v>
      </c>
      <c r="AB201">
        <v>43</v>
      </c>
      <c r="AC201">
        <v>0.54279999999999895</v>
      </c>
      <c r="AD201">
        <v>-0.13760929999999999</v>
      </c>
      <c r="AE201">
        <v>-0.14830000000000601</v>
      </c>
      <c r="AF201">
        <v>0.1307679199558</v>
      </c>
      <c r="AG201">
        <v>-0.13760929999999999</v>
      </c>
      <c r="AH201">
        <v>0.51458465897843098</v>
      </c>
      <c r="AI201">
        <v>104.530218869987</v>
      </c>
      <c r="AJ201">
        <v>75.741625710050002</v>
      </c>
      <c r="AK201">
        <v>0.54848330839871995</v>
      </c>
      <c r="AL201">
        <v>77.884069988595598</v>
      </c>
      <c r="AM201">
        <v>86.127982597001505</v>
      </c>
      <c r="AN201">
        <v>0.99999995714381795</v>
      </c>
    </row>
    <row r="202" spans="1:40" x14ac:dyDescent="0.25">
      <c r="A202" t="str">
        <f>"20190303170945844"</f>
        <v>20190303170945844</v>
      </c>
      <c r="B202" t="str">
        <f>"1551604185840378"</f>
        <v>1551604185840378</v>
      </c>
      <c r="C202" t="s">
        <v>40</v>
      </c>
      <c r="D202">
        <v>5.150188</v>
      </c>
      <c r="E202">
        <v>0.54309980000000002</v>
      </c>
      <c r="F202" t="s">
        <v>43</v>
      </c>
      <c r="G202">
        <v>-421.7199</v>
      </c>
      <c r="H202">
        <v>0.9180895</v>
      </c>
      <c r="I202">
        <v>367.57209999999998</v>
      </c>
      <c r="J202">
        <v>-422.26209999999998</v>
      </c>
      <c r="K202">
        <v>1.0691600000000001</v>
      </c>
      <c r="L202">
        <v>367.71690000000001</v>
      </c>
      <c r="M202">
        <v>0.99982159999999998</v>
      </c>
      <c r="N202">
        <v>-4.7521909999999898E-3</v>
      </c>
      <c r="O202">
        <v>-1.8287100000000001E-2</v>
      </c>
      <c r="P202">
        <v>0.97500469999999895</v>
      </c>
      <c r="Q202">
        <v>0.20552039999999999</v>
      </c>
      <c r="R202">
        <v>-8.4426810000000005E-2</v>
      </c>
      <c r="S202">
        <v>3.140625</v>
      </c>
      <c r="T202">
        <v>-0.51331419999999905</v>
      </c>
      <c r="U202">
        <v>-0.51458740000000003</v>
      </c>
      <c r="V202">
        <v>6.6890340000000006E-2</v>
      </c>
      <c r="W202">
        <v>0.21006050000000001</v>
      </c>
      <c r="X202">
        <v>0.97539750000000003</v>
      </c>
      <c r="Y202">
        <v>0.1419532</v>
      </c>
      <c r="Z202">
        <v>-8.9282230000000008E-3</v>
      </c>
      <c r="AA202">
        <v>0.98983310000000002</v>
      </c>
      <c r="AB202">
        <v>43</v>
      </c>
      <c r="AC202">
        <v>0.54219999999997903</v>
      </c>
      <c r="AD202">
        <v>-0.1510705</v>
      </c>
      <c r="AE202">
        <v>-0.14480000000003199</v>
      </c>
      <c r="AF202">
        <v>0.12574822461353</v>
      </c>
      <c r="AG202">
        <v>-0.1510705</v>
      </c>
      <c r="AH202">
        <v>0.50794942486049</v>
      </c>
      <c r="AI202">
        <v>106.10329343791599</v>
      </c>
      <c r="AJ202">
        <v>76.095381792688102</v>
      </c>
      <c r="AK202">
        <v>0.54465358731932301</v>
      </c>
      <c r="AL202">
        <v>77.874102366011599</v>
      </c>
      <c r="AM202">
        <v>86.076939821331806</v>
      </c>
      <c r="AN202">
        <v>1.0000000071259001</v>
      </c>
    </row>
    <row r="203" spans="1:40" x14ac:dyDescent="0.25">
      <c r="A203" t="str">
        <f>"20190303170945867"</f>
        <v>20190303170945867</v>
      </c>
      <c r="B203" t="str">
        <f>"1551604185860874"</f>
        <v>1551604185860874</v>
      </c>
      <c r="C203" t="s">
        <v>40</v>
      </c>
      <c r="D203">
        <v>5.1247319999999998</v>
      </c>
      <c r="E203">
        <v>0.54390469999999902</v>
      </c>
      <c r="F203" t="s">
        <v>43</v>
      </c>
      <c r="G203">
        <v>-421.33420000000001</v>
      </c>
      <c r="H203">
        <v>0.91066429999999998</v>
      </c>
      <c r="I203">
        <v>367.56110000000001</v>
      </c>
      <c r="J203">
        <v>-421.80990000000003</v>
      </c>
      <c r="K203">
        <v>1.0691630000000001</v>
      </c>
      <c r="L203">
        <v>367.70830000000001</v>
      </c>
      <c r="M203">
        <v>0.99981240000000005</v>
      </c>
      <c r="N203">
        <v>-4.7714810000000002E-3</v>
      </c>
      <c r="O203">
        <v>-1.8775549999999998E-2</v>
      </c>
      <c r="P203">
        <v>0.97486819999999996</v>
      </c>
      <c r="Q203">
        <v>0.2055032</v>
      </c>
      <c r="R203">
        <v>-8.602783E-2</v>
      </c>
      <c r="S203">
        <v>3.144501</v>
      </c>
      <c r="T203">
        <v>-0.53713679999999997</v>
      </c>
      <c r="U203">
        <v>-0.52694700000000005</v>
      </c>
      <c r="V203">
        <v>6.8008120000000005E-2</v>
      </c>
      <c r="W203">
        <v>0.21006240000000001</v>
      </c>
      <c r="X203">
        <v>0.97531979999999996</v>
      </c>
      <c r="Y203">
        <v>0.1448769</v>
      </c>
      <c r="Z203">
        <v>-9.4792720000000004E-3</v>
      </c>
      <c r="AA203">
        <v>0.98940430000000001</v>
      </c>
      <c r="AB203">
        <v>43</v>
      </c>
      <c r="AC203">
        <v>0.475700000000017</v>
      </c>
      <c r="AD203">
        <v>-0.15849869999999899</v>
      </c>
      <c r="AE203">
        <v>-0.147199999999998</v>
      </c>
      <c r="AF203">
        <v>0.12552489689961699</v>
      </c>
      <c r="AG203">
        <v>-0.15849869999999899</v>
      </c>
      <c r="AH203">
        <v>0.43437167514525699</v>
      </c>
      <c r="AI203">
        <v>109.31802610460799</v>
      </c>
      <c r="AJ203">
        <v>73.881742989201001</v>
      </c>
      <c r="AK203">
        <v>0.47912116401996502</v>
      </c>
      <c r="AL203">
        <v>77.873991107711504</v>
      </c>
      <c r="AM203">
        <v>86.011276125091797</v>
      </c>
      <c r="AN203">
        <v>1.00000001427586</v>
      </c>
    </row>
    <row r="204" spans="1:40" x14ac:dyDescent="0.25">
      <c r="A204" t="str">
        <f>"20190303170945889"</f>
        <v>20190303170945889</v>
      </c>
      <c r="B204" t="str">
        <f>"1551604185881370"</f>
        <v>1551604185881370</v>
      </c>
      <c r="C204" t="s">
        <v>40</v>
      </c>
      <c r="D204">
        <v>5.1623950000000001</v>
      </c>
      <c r="E204">
        <v>0.54447489999999998</v>
      </c>
      <c r="F204" t="s">
        <v>43</v>
      </c>
      <c r="G204">
        <v>-420.94099999999997</v>
      </c>
      <c r="H204">
        <v>0.91665759999999996</v>
      </c>
      <c r="I204">
        <v>367.5598</v>
      </c>
      <c r="J204">
        <v>-421.37990000000002</v>
      </c>
      <c r="K204">
        <v>1.0691759999999999</v>
      </c>
      <c r="L204">
        <v>367.7</v>
      </c>
      <c r="M204">
        <v>0.99980429999999998</v>
      </c>
      <c r="N204">
        <v>-4.7923480000000001E-3</v>
      </c>
      <c r="O204">
        <v>-1.919191E-2</v>
      </c>
      <c r="P204">
        <v>0.97498300000000004</v>
      </c>
      <c r="Q204">
        <v>0.2046452</v>
      </c>
      <c r="R204">
        <v>-8.6766869999999996E-2</v>
      </c>
      <c r="S204">
        <v>3.1464539999999999</v>
      </c>
      <c r="T204">
        <v>-0.55234890000000003</v>
      </c>
      <c r="U204">
        <v>-0.53668209999999905</v>
      </c>
      <c r="V204">
        <v>6.8322569999999999E-2</v>
      </c>
      <c r="W204">
        <v>0.20923020000000001</v>
      </c>
      <c r="X204">
        <v>0.97547669999999997</v>
      </c>
      <c r="Y204">
        <v>0.1472107</v>
      </c>
      <c r="Z204">
        <v>-9.8632930000000004E-3</v>
      </c>
      <c r="AA204">
        <v>0.98905600000000005</v>
      </c>
      <c r="AB204">
        <v>44</v>
      </c>
      <c r="AC204">
        <v>0.43890000000004598</v>
      </c>
      <c r="AD204">
        <v>-0.1525184</v>
      </c>
      <c r="AE204">
        <v>-0.140199999999993</v>
      </c>
      <c r="AF204">
        <v>0.118739698586386</v>
      </c>
      <c r="AG204">
        <v>-0.1525184</v>
      </c>
      <c r="AH204">
        <v>0.39790856469741398</v>
      </c>
      <c r="AI204">
        <v>110.168047534846</v>
      </c>
      <c r="AJ204">
        <v>73.384396486831605</v>
      </c>
      <c r="AK204">
        <v>0.442371115940566</v>
      </c>
      <c r="AL204">
        <v>77.922756437157801</v>
      </c>
      <c r="AM204">
        <v>85.993535775854099</v>
      </c>
      <c r="AN204">
        <v>1.0000000212031599</v>
      </c>
    </row>
    <row r="205" spans="1:40" x14ac:dyDescent="0.25">
      <c r="A205" t="str">
        <f>"20190303170945912"</f>
        <v>20190303170945912</v>
      </c>
      <c r="B205" t="str">
        <f>"1551604185900890"</f>
        <v>1551604185900890</v>
      </c>
      <c r="C205" t="s">
        <v>40</v>
      </c>
      <c r="D205">
        <v>5.085877</v>
      </c>
      <c r="E205">
        <v>0.54481650000000004</v>
      </c>
      <c r="F205" t="s">
        <v>43</v>
      </c>
      <c r="G205">
        <v>-420.54829999999998</v>
      </c>
      <c r="H205">
        <v>0.91956559999999998</v>
      </c>
      <c r="I205">
        <v>367.55700000000002</v>
      </c>
      <c r="J205">
        <v>-420.92860000000002</v>
      </c>
      <c r="K205">
        <v>1.0691999999999999</v>
      </c>
      <c r="L205">
        <v>367.69110000000001</v>
      </c>
      <c r="M205">
        <v>0.99979709999999999</v>
      </c>
      <c r="N205">
        <v>-4.8164389999999996E-3</v>
      </c>
      <c r="O205">
        <v>-1.956024E-2</v>
      </c>
      <c r="P205">
        <v>0.97505109999999995</v>
      </c>
      <c r="Q205">
        <v>0.20378360000000001</v>
      </c>
      <c r="R205">
        <v>-8.8021450000000001E-2</v>
      </c>
      <c r="S205">
        <v>3.1477050000000002</v>
      </c>
      <c r="T205">
        <v>-0.5662469</v>
      </c>
      <c r="U205">
        <v>-0.54119869999999903</v>
      </c>
      <c r="V205">
        <v>6.9191600000000006E-2</v>
      </c>
      <c r="W205">
        <v>0.20839869999999999</v>
      </c>
      <c r="X205">
        <v>0.97559340000000005</v>
      </c>
      <c r="Y205">
        <v>0.14805560000000001</v>
      </c>
      <c r="Z205">
        <v>-1.010756E-2</v>
      </c>
      <c r="AA205">
        <v>0.98892740000000001</v>
      </c>
      <c r="AB205">
        <v>44</v>
      </c>
      <c r="AC205">
        <v>0.380300000000033</v>
      </c>
      <c r="AD205">
        <v>-0.1496344</v>
      </c>
      <c r="AE205">
        <v>-0.13410000000004599</v>
      </c>
      <c r="AF205">
        <v>0.11130898178635799</v>
      </c>
      <c r="AG205">
        <v>-0.1496344</v>
      </c>
      <c r="AH205">
        <v>0.33651446479823499</v>
      </c>
      <c r="AI205">
        <v>112.88775239801301</v>
      </c>
      <c r="AJ205">
        <v>71.697319871028895</v>
      </c>
      <c r="AK205">
        <v>0.38473643979758199</v>
      </c>
      <c r="AL205">
        <v>77.9714714005285</v>
      </c>
      <c r="AM205">
        <v>85.943228320869196</v>
      </c>
      <c r="AN205">
        <v>0.99999998889790498</v>
      </c>
    </row>
    <row r="206" spans="1:40" x14ac:dyDescent="0.25">
      <c r="A206" t="str">
        <f>"20190303170945933"</f>
        <v>20190303170945933</v>
      </c>
      <c r="B206" t="str">
        <f>"1551604185920410"</f>
        <v>1551604185920410</v>
      </c>
      <c r="C206" t="s">
        <v>40</v>
      </c>
      <c r="D206">
        <v>5.1174200000000001</v>
      </c>
      <c r="E206">
        <v>0.54491699999999998</v>
      </c>
      <c r="F206" t="s">
        <v>43</v>
      </c>
      <c r="G206">
        <v>-420.1524</v>
      </c>
      <c r="H206">
        <v>0.92689069999999996</v>
      </c>
      <c r="I206">
        <v>367.55590000000001</v>
      </c>
      <c r="J206">
        <v>-420.52429999999998</v>
      </c>
      <c r="K206">
        <v>1.0692440000000001</v>
      </c>
      <c r="L206">
        <v>367.68299999999999</v>
      </c>
      <c r="M206">
        <v>0.99979200000000001</v>
      </c>
      <c r="N206">
        <v>-4.8397639999999999E-3</v>
      </c>
      <c r="O206">
        <v>-1.9815610000000001E-2</v>
      </c>
      <c r="P206">
        <v>0.97508649999999997</v>
      </c>
      <c r="Q206">
        <v>0.2033548</v>
      </c>
      <c r="R206">
        <v>-8.8621119999999998E-2</v>
      </c>
      <c r="S206">
        <v>3.1481020000000002</v>
      </c>
      <c r="T206">
        <v>-0.57727680000000003</v>
      </c>
      <c r="U206">
        <v>-0.54605099999999995</v>
      </c>
      <c r="V206">
        <v>6.9513149999999996E-2</v>
      </c>
      <c r="W206">
        <v>0.20800179999999999</v>
      </c>
      <c r="X206">
        <v>0.9756553</v>
      </c>
      <c r="Y206">
        <v>0.14916889999999999</v>
      </c>
      <c r="Z206">
        <v>-1.035086E-2</v>
      </c>
      <c r="AA206">
        <v>0.98875760000000001</v>
      </c>
      <c r="AB206">
        <v>44</v>
      </c>
      <c r="AC206">
        <v>0.37189999999998202</v>
      </c>
      <c r="AD206">
        <v>-0.14235329999999999</v>
      </c>
      <c r="AE206">
        <v>-0.12710000000004101</v>
      </c>
      <c r="AF206">
        <v>0.105822459649298</v>
      </c>
      <c r="AG206">
        <v>-0.14235329999999999</v>
      </c>
      <c r="AH206">
        <v>0.33093014310992602</v>
      </c>
      <c r="AI206">
        <v>112.28003621153999</v>
      </c>
      <c r="AJ206">
        <v>72.267137386838399</v>
      </c>
      <c r="AK206">
        <v>0.37546985845187902</v>
      </c>
      <c r="AL206">
        <v>77.994722286624395</v>
      </c>
      <c r="AM206">
        <v>85.924696611625706</v>
      </c>
      <c r="AN206">
        <v>1.0000000456221201</v>
      </c>
    </row>
    <row r="207" spans="1:40" x14ac:dyDescent="0.25">
      <c r="A207" t="str">
        <f>"20190303170945958"</f>
        <v>20190303170945958</v>
      </c>
      <c r="B207" t="str">
        <f>"1551604185950667"</f>
        <v>1551604185950667</v>
      </c>
      <c r="C207" t="s">
        <v>40</v>
      </c>
      <c r="D207">
        <v>5.0801959999999999</v>
      </c>
      <c r="E207">
        <v>0.54502249999999997</v>
      </c>
      <c r="F207" t="s">
        <v>43</v>
      </c>
      <c r="G207">
        <v>-419.7586</v>
      </c>
      <c r="H207">
        <v>0.92701080000000002</v>
      </c>
      <c r="I207">
        <v>367.55009999999999</v>
      </c>
      <c r="J207">
        <v>-420.0421</v>
      </c>
      <c r="K207">
        <v>1.069307</v>
      </c>
      <c r="L207">
        <v>367.67340000000002</v>
      </c>
      <c r="M207">
        <v>0.99978750000000005</v>
      </c>
      <c r="N207">
        <v>-4.8694309999999996E-3</v>
      </c>
      <c r="O207">
        <v>-2.0028310000000001E-2</v>
      </c>
      <c r="P207">
        <v>0.97494360000000002</v>
      </c>
      <c r="Q207">
        <v>0.20385110000000001</v>
      </c>
      <c r="R207">
        <v>-8.9050690000000002E-2</v>
      </c>
      <c r="S207">
        <v>3.148895</v>
      </c>
      <c r="T207">
        <v>-0.58493980000000001</v>
      </c>
      <c r="U207">
        <v>-0.54690550000000004</v>
      </c>
      <c r="V207">
        <v>6.9700319999999996E-2</v>
      </c>
      <c r="W207">
        <v>0.20853910000000001</v>
      </c>
      <c r="X207">
        <v>0.97552720000000004</v>
      </c>
      <c r="Y207">
        <v>0.14912529999999999</v>
      </c>
      <c r="Z207">
        <v>-1.0438279999999999E-2</v>
      </c>
      <c r="AA207">
        <v>0.98876319999999995</v>
      </c>
      <c r="AB207">
        <v>44</v>
      </c>
      <c r="AC207">
        <v>0.28350000000000303</v>
      </c>
      <c r="AD207">
        <v>-0.14229619999999901</v>
      </c>
      <c r="AE207">
        <v>-0.123300000000028</v>
      </c>
      <c r="AF207">
        <v>9.7038865376274805E-2</v>
      </c>
      <c r="AG207">
        <v>-0.14229619999999901</v>
      </c>
      <c r="AH207">
        <v>0.235929474684309</v>
      </c>
      <c r="AI207">
        <v>119.152413014255</v>
      </c>
      <c r="AJ207">
        <v>67.642411662162004</v>
      </c>
      <c r="AK207">
        <v>0.29210865607299102</v>
      </c>
      <c r="AL207">
        <v>77.963246549848805</v>
      </c>
      <c r="AM207">
        <v>85.913225874657797</v>
      </c>
      <c r="AN207">
        <v>1.0000000043883699</v>
      </c>
    </row>
    <row r="208" spans="1:40" x14ac:dyDescent="0.25">
      <c r="A208" t="str">
        <f>"20190303170945980"</f>
        <v>20190303170945980</v>
      </c>
      <c r="B208" t="str">
        <f>"1551604185971162"</f>
        <v>1551604185971162</v>
      </c>
      <c r="C208" t="s">
        <v>40</v>
      </c>
      <c r="D208">
        <v>5.0782790000000002</v>
      </c>
      <c r="E208">
        <v>0.5449311</v>
      </c>
      <c r="F208" t="s">
        <v>43</v>
      </c>
      <c r="G208">
        <v>-418.99200000000002</v>
      </c>
      <c r="H208">
        <v>0.872637199999999</v>
      </c>
      <c r="I208">
        <v>367.4907</v>
      </c>
      <c r="J208">
        <v>-419.59129999999999</v>
      </c>
      <c r="K208">
        <v>1.0693820000000001</v>
      </c>
      <c r="L208">
        <v>367.66430000000003</v>
      </c>
      <c r="M208">
        <v>0.99978579999999995</v>
      </c>
      <c r="N208">
        <v>-4.898777E-3</v>
      </c>
      <c r="O208">
        <v>-2.0116289999999998E-2</v>
      </c>
      <c r="P208">
        <v>0.97487069999999998</v>
      </c>
      <c r="Q208">
        <v>0.2041885</v>
      </c>
      <c r="R208">
        <v>-8.9078439999999995E-2</v>
      </c>
      <c r="S208">
        <v>3.1505130000000001</v>
      </c>
      <c r="T208">
        <v>-0.59012600000000004</v>
      </c>
      <c r="U208">
        <v>-0.54718020000000001</v>
      </c>
      <c r="V208">
        <v>6.9603470000000001E-2</v>
      </c>
      <c r="W208">
        <v>0.2089182</v>
      </c>
      <c r="X208">
        <v>0.97545300000000001</v>
      </c>
      <c r="Y208">
        <v>0.1490031</v>
      </c>
      <c r="Z208">
        <v>-1.049566E-2</v>
      </c>
      <c r="AA208">
        <v>0.98878100000000002</v>
      </c>
      <c r="AB208">
        <v>44</v>
      </c>
      <c r="AC208">
        <v>0.59930000000002703</v>
      </c>
      <c r="AD208">
        <v>-0.1967448</v>
      </c>
      <c r="AE208">
        <v>-0.17360000000002099</v>
      </c>
      <c r="AF208">
        <v>0.14690228766910399</v>
      </c>
      <c r="AG208">
        <v>-0.1967448</v>
      </c>
      <c r="AH208">
        <v>0.54816587832837405</v>
      </c>
      <c r="AI208">
        <v>109.12048831243</v>
      </c>
      <c r="AJ208">
        <v>74.997885448208393</v>
      </c>
      <c r="AK208">
        <v>0.60064517696638098</v>
      </c>
      <c r="AL208">
        <v>77.941036535490099</v>
      </c>
      <c r="AM208">
        <v>85.918575938616399</v>
      </c>
      <c r="AN208">
        <v>1.00000000626814</v>
      </c>
    </row>
    <row r="209" spans="1:40" x14ac:dyDescent="0.25">
      <c r="A209" t="str">
        <f>"20190303170946002"</f>
        <v>20190303170946002</v>
      </c>
      <c r="B209" t="str">
        <f>"1551604185990682"</f>
        <v>1551604185990682</v>
      </c>
      <c r="C209" t="s">
        <v>40</v>
      </c>
      <c r="D209">
        <v>5.0868779999999996</v>
      </c>
      <c r="E209">
        <v>0.54448149999999995</v>
      </c>
      <c r="F209" t="s">
        <v>43</v>
      </c>
      <c r="G209">
        <v>-418.59160000000003</v>
      </c>
      <c r="H209">
        <v>0.88153840000000006</v>
      </c>
      <c r="I209">
        <v>367.49099999999999</v>
      </c>
      <c r="J209">
        <v>-419.1533</v>
      </c>
      <c r="K209">
        <v>1.0694589999999999</v>
      </c>
      <c r="L209">
        <v>367.65550000000002</v>
      </c>
      <c r="M209">
        <v>0.99978549999999999</v>
      </c>
      <c r="N209">
        <v>-4.9288429999999996E-3</v>
      </c>
      <c r="O209">
        <v>-2.011572E-2</v>
      </c>
      <c r="P209">
        <v>0.97501990000000005</v>
      </c>
      <c r="Q209">
        <v>0.20374410000000001</v>
      </c>
      <c r="R209">
        <v>-8.8458019999999998E-2</v>
      </c>
      <c r="S209">
        <v>3.1515200000000001</v>
      </c>
      <c r="T209">
        <v>-0.59222730000000001</v>
      </c>
      <c r="U209">
        <v>-0.54531859999999999</v>
      </c>
      <c r="V209">
        <v>6.8940470000000004E-2</v>
      </c>
      <c r="W209">
        <v>0.2085176</v>
      </c>
      <c r="X209">
        <v>0.97558579999999995</v>
      </c>
      <c r="Y209">
        <v>0.14837910000000001</v>
      </c>
      <c r="Z209">
        <v>-1.047184E-2</v>
      </c>
      <c r="AA209">
        <v>0.98887510000000001</v>
      </c>
      <c r="AB209">
        <v>44</v>
      </c>
      <c r="AC209">
        <v>0.561699999999973</v>
      </c>
      <c r="AD209">
        <v>-0.18792059999999899</v>
      </c>
      <c r="AE209">
        <v>-0.16450000000003201</v>
      </c>
      <c r="AF209">
        <v>0.13885360250481801</v>
      </c>
      <c r="AG209">
        <v>-0.18792059999999899</v>
      </c>
      <c r="AH209">
        <v>0.51210422939252598</v>
      </c>
      <c r="AI209">
        <v>109.50259568624</v>
      </c>
      <c r="AJ209">
        <v>74.829390069916698</v>
      </c>
      <c r="AK209">
        <v>0.562890057288845</v>
      </c>
      <c r="AL209">
        <v>77.964506234812205</v>
      </c>
      <c r="AM209">
        <v>85.957872041771594</v>
      </c>
      <c r="AN209">
        <v>1.0000000155376101</v>
      </c>
    </row>
    <row r="210" spans="1:40" x14ac:dyDescent="0.25">
      <c r="A210" t="str">
        <f>"20190303170946021"</f>
        <v>20190303170946021</v>
      </c>
      <c r="B210" t="str">
        <f>"1551604186011178"</f>
        <v>1551604186011178</v>
      </c>
      <c r="C210" t="s">
        <v>40</v>
      </c>
      <c r="D210">
        <v>5.0383469999999999</v>
      </c>
      <c r="E210">
        <v>0.54409379999999996</v>
      </c>
      <c r="F210" t="s">
        <v>43</v>
      </c>
      <c r="G210">
        <v>-418.19150000000002</v>
      </c>
      <c r="H210">
        <v>0.88737129999999997</v>
      </c>
      <c r="I210">
        <v>367.49110000000002</v>
      </c>
      <c r="J210">
        <v>-418.74849999999998</v>
      </c>
      <c r="K210">
        <v>1.0695349999999999</v>
      </c>
      <c r="L210">
        <v>367.64749999999998</v>
      </c>
      <c r="M210">
        <v>0.99978699999999998</v>
      </c>
      <c r="N210">
        <v>-4.9577359999999999E-3</v>
      </c>
      <c r="O210">
        <v>-2.0033510000000001E-2</v>
      </c>
      <c r="P210">
        <v>0.97510759999999996</v>
      </c>
      <c r="Q210">
        <v>0.20380499999999999</v>
      </c>
      <c r="R210">
        <v>-8.7344350000000001E-2</v>
      </c>
      <c r="S210">
        <v>3.1526489999999998</v>
      </c>
      <c r="T210">
        <v>-0.59679389999999999</v>
      </c>
      <c r="U210">
        <v>-0.5390625</v>
      </c>
      <c r="V210">
        <v>6.7866540000000003E-2</v>
      </c>
      <c r="W210">
        <v>0.20862020000000001</v>
      </c>
      <c r="X210">
        <v>0.97563920000000004</v>
      </c>
      <c r="Y210">
        <v>0.1464927</v>
      </c>
      <c r="Z210">
        <v>-1.038294E-2</v>
      </c>
      <c r="AA210">
        <v>0.98915730000000002</v>
      </c>
      <c r="AB210">
        <v>44</v>
      </c>
      <c r="AC210">
        <v>0.55699999999995897</v>
      </c>
      <c r="AD210">
        <v>-0.18216370000000001</v>
      </c>
      <c r="AE210">
        <v>-0.15639999999996201</v>
      </c>
      <c r="AF210">
        <v>0.132112036670893</v>
      </c>
      <c r="AG210">
        <v>-0.18216370000000001</v>
      </c>
      <c r="AH210">
        <v>0.50950814207950901</v>
      </c>
      <c r="AI210">
        <v>109.08990050107499</v>
      </c>
      <c r="AJ210">
        <v>75.463718528233102</v>
      </c>
      <c r="AK210">
        <v>0.55698810640473695</v>
      </c>
      <c r="AL210">
        <v>77.958495941514897</v>
      </c>
      <c r="AM210">
        <v>86.0208520839941</v>
      </c>
      <c r="AN210">
        <v>1.00000005183812</v>
      </c>
    </row>
    <row r="211" spans="1:40" x14ac:dyDescent="0.25">
      <c r="A211" t="str">
        <f>"20190303170946045"</f>
        <v>20190303170946045</v>
      </c>
      <c r="B211" t="str">
        <f>"1551604186040458"</f>
        <v>1551604186040458</v>
      </c>
      <c r="C211" t="s">
        <v>40</v>
      </c>
      <c r="D211">
        <v>4.993506</v>
      </c>
      <c r="E211">
        <v>0.54353909999999905</v>
      </c>
      <c r="F211" t="s">
        <v>43</v>
      </c>
      <c r="G211">
        <v>-417.79250000000002</v>
      </c>
      <c r="H211">
        <v>0.88789619999999903</v>
      </c>
      <c r="I211">
        <v>367.4855</v>
      </c>
      <c r="J211">
        <v>-418.29329999999999</v>
      </c>
      <c r="K211">
        <v>1.0696220000000001</v>
      </c>
      <c r="L211">
        <v>367.63850000000002</v>
      </c>
      <c r="M211">
        <v>0.99979070000000003</v>
      </c>
      <c r="N211">
        <v>-4.9911390000000003E-3</v>
      </c>
      <c r="O211">
        <v>-1.9840960000000001E-2</v>
      </c>
      <c r="P211">
        <v>0.97512969999999999</v>
      </c>
      <c r="Q211">
        <v>0.2040749</v>
      </c>
      <c r="R211">
        <v>-8.6462300000000006E-2</v>
      </c>
      <c r="S211">
        <v>3.154175</v>
      </c>
      <c r="T211">
        <v>-0.59948789999999996</v>
      </c>
      <c r="U211">
        <v>-0.53244019999999903</v>
      </c>
      <c r="V211">
        <v>6.7125509999999999E-2</v>
      </c>
      <c r="W211">
        <v>0.20893780000000001</v>
      </c>
      <c r="X211">
        <v>0.97562249999999995</v>
      </c>
      <c r="Y211">
        <v>0.14459610000000001</v>
      </c>
      <c r="Z211">
        <v>-1.027987E-2</v>
      </c>
      <c r="AA211">
        <v>0.98943729999999996</v>
      </c>
      <c r="AB211">
        <v>45</v>
      </c>
      <c r="AC211">
        <v>0.50079999999996905</v>
      </c>
      <c r="AD211">
        <v>-0.18172579999999899</v>
      </c>
      <c r="AE211">
        <v>-0.15300000000001901</v>
      </c>
      <c r="AF211">
        <v>0.12765888647262399</v>
      </c>
      <c r="AG211">
        <v>-0.18172579999999899</v>
      </c>
      <c r="AH211">
        <v>0.44959091824436298</v>
      </c>
      <c r="AI211">
        <v>111.247658782827</v>
      </c>
      <c r="AJ211">
        <v>74.148394068383396</v>
      </c>
      <c r="AK211">
        <v>0.501450946203993</v>
      </c>
      <c r="AL211">
        <v>77.939888736186504</v>
      </c>
      <c r="AM211">
        <v>86.064095660617497</v>
      </c>
      <c r="AN211">
        <v>1.0000000504339199</v>
      </c>
    </row>
    <row r="212" spans="1:40" x14ac:dyDescent="0.25">
      <c r="A212" t="str">
        <f>"20190303170946067"</f>
        <v>20190303170946067</v>
      </c>
      <c r="B212" t="str">
        <f>"1551604186060954"</f>
        <v>1551604186060954</v>
      </c>
      <c r="C212" t="s">
        <v>40</v>
      </c>
      <c r="D212">
        <v>4.970459</v>
      </c>
      <c r="E212">
        <v>0.54327959999999997</v>
      </c>
      <c r="F212" t="s">
        <v>43</v>
      </c>
      <c r="G212">
        <v>-417.38839999999999</v>
      </c>
      <c r="H212">
        <v>0.89693899999999904</v>
      </c>
      <c r="I212">
        <v>367.48779999999999</v>
      </c>
      <c r="J212">
        <v>-417.83019999999999</v>
      </c>
      <c r="K212">
        <v>1.0697209999999999</v>
      </c>
      <c r="L212">
        <v>367.62950000000001</v>
      </c>
      <c r="M212">
        <v>0.99979649999999998</v>
      </c>
      <c r="N212">
        <v>-5.0261619999999998E-3</v>
      </c>
      <c r="O212">
        <v>-1.9545650000000001E-2</v>
      </c>
      <c r="P212">
        <v>0.97520689999999999</v>
      </c>
      <c r="Q212">
        <v>0.20440349999999999</v>
      </c>
      <c r="R212">
        <v>-8.4800470000000003E-2</v>
      </c>
      <c r="S212">
        <v>3.1560670000000002</v>
      </c>
      <c r="T212">
        <v>-0.60231759999999901</v>
      </c>
      <c r="U212">
        <v>-0.52468870000000001</v>
      </c>
      <c r="V212">
        <v>6.5701430000000005E-2</v>
      </c>
      <c r="W212">
        <v>0.2093169</v>
      </c>
      <c r="X212">
        <v>0.97563820000000001</v>
      </c>
      <c r="Y212">
        <v>0.14244079999999901</v>
      </c>
      <c r="Z212">
        <v>-1.0170800000000001E-2</v>
      </c>
      <c r="AA212">
        <v>0.98975100000000005</v>
      </c>
      <c r="AB212">
        <v>45</v>
      </c>
      <c r="AC212">
        <v>0.44180000000000003</v>
      </c>
      <c r="AD212">
        <v>-0.17278199999999999</v>
      </c>
      <c r="AE212">
        <v>-0.14170000000001401</v>
      </c>
      <c r="AF212">
        <v>0.116834646896394</v>
      </c>
      <c r="AG212">
        <v>-0.17278199999999999</v>
      </c>
      <c r="AH212">
        <v>0.39035051326750297</v>
      </c>
      <c r="AI212">
        <v>112.979191502923</v>
      </c>
      <c r="AJ212">
        <v>73.337189426294998</v>
      </c>
      <c r="AK212">
        <v>0.44258047567375602</v>
      </c>
      <c r="AL212">
        <v>77.917677004194999</v>
      </c>
      <c r="AM212">
        <v>86.1474042231075</v>
      </c>
      <c r="AN212">
        <v>1.00000006991444</v>
      </c>
    </row>
    <row r="213" spans="1:40" x14ac:dyDescent="0.25">
      <c r="A213" t="str">
        <f>"20190303170946091"</f>
        <v>20190303170946091</v>
      </c>
      <c r="B213" t="str">
        <f>"1551604186080474"</f>
        <v>1551604186080474</v>
      </c>
      <c r="C213" t="s">
        <v>40</v>
      </c>
      <c r="D213">
        <v>4.9460309999999996</v>
      </c>
      <c r="E213">
        <v>0.54312069999999901</v>
      </c>
      <c r="F213" t="s">
        <v>43</v>
      </c>
      <c r="G213">
        <v>-416.98250000000002</v>
      </c>
      <c r="H213">
        <v>0.90780660000000002</v>
      </c>
      <c r="I213">
        <v>367.4905</v>
      </c>
      <c r="J213">
        <v>-417.38099999999997</v>
      </c>
      <c r="K213">
        <v>1.0698179999999999</v>
      </c>
      <c r="L213">
        <v>367.62099999999998</v>
      </c>
      <c r="M213">
        <v>0.99980340000000001</v>
      </c>
      <c r="N213">
        <v>-5.0609019999999999E-3</v>
      </c>
      <c r="O213">
        <v>-1.9177670000000001E-2</v>
      </c>
      <c r="P213">
        <v>0.97519509999999998</v>
      </c>
      <c r="Q213">
        <v>0.20527529999999999</v>
      </c>
      <c r="R213">
        <v>-8.2806770000000002E-2</v>
      </c>
      <c r="S213">
        <v>3.1577760000000001</v>
      </c>
      <c r="T213">
        <v>-0.60325969999999995</v>
      </c>
      <c r="U213">
        <v>-0.51715089999999997</v>
      </c>
      <c r="V213">
        <v>6.4020450000000007E-2</v>
      </c>
      <c r="W213">
        <v>0.21023629999999999</v>
      </c>
      <c r="X213">
        <v>0.97555219999999998</v>
      </c>
      <c r="Y213">
        <v>0.14044179999999901</v>
      </c>
      <c r="Z213">
        <v>-1.0059729999999999E-2</v>
      </c>
      <c r="AA213">
        <v>0.99003779999999997</v>
      </c>
      <c r="AB213">
        <v>45</v>
      </c>
      <c r="AC213">
        <v>0.398499999999955</v>
      </c>
      <c r="AD213">
        <v>-0.1620114</v>
      </c>
      <c r="AE213">
        <v>-0.13049999999998299</v>
      </c>
      <c r="AF213">
        <v>0.106879049976913</v>
      </c>
      <c r="AG213">
        <v>-0.1620114</v>
      </c>
      <c r="AH213">
        <v>0.348853702110974</v>
      </c>
      <c r="AI213">
        <v>113.94306225253101</v>
      </c>
      <c r="AJ213">
        <v>72.966395637101797</v>
      </c>
      <c r="AK213">
        <v>0.39921138577257498</v>
      </c>
      <c r="AL213">
        <v>77.863799707700494</v>
      </c>
      <c r="AM213">
        <v>86.245357811395905</v>
      </c>
      <c r="AN213">
        <v>1.0000000073903601</v>
      </c>
    </row>
    <row r="214" spans="1:40" x14ac:dyDescent="0.25">
      <c r="A214" t="str">
        <f>"20190303170946112"</f>
        <v>20190303170946112</v>
      </c>
      <c r="B214" t="str">
        <f>"1551604186100970"</f>
        <v>1551604186100970</v>
      </c>
      <c r="C214" t="s">
        <v>40</v>
      </c>
      <c r="D214">
        <v>4.9053050000000002</v>
      </c>
      <c r="E214">
        <v>0.54300800000000005</v>
      </c>
      <c r="F214" t="s">
        <v>43</v>
      </c>
      <c r="G214">
        <v>-416.5763</v>
      </c>
      <c r="H214">
        <v>0.91657789999999995</v>
      </c>
      <c r="I214">
        <v>367.4907</v>
      </c>
      <c r="J214">
        <v>-416.93380000000002</v>
      </c>
      <c r="K214">
        <v>1.0699080000000001</v>
      </c>
      <c r="L214">
        <v>367.61270000000002</v>
      </c>
      <c r="M214">
        <v>0.99981149999999996</v>
      </c>
      <c r="N214">
        <v>-5.0957909999999997E-3</v>
      </c>
      <c r="O214">
        <v>-1.8749430000000001E-2</v>
      </c>
      <c r="P214">
        <v>0.97516970000000003</v>
      </c>
      <c r="Q214">
        <v>0.20600060000000001</v>
      </c>
      <c r="R214">
        <v>-8.1290509999999996E-2</v>
      </c>
      <c r="S214">
        <v>3.1595759999999999</v>
      </c>
      <c r="T214">
        <v>-0.601738</v>
      </c>
      <c r="U214">
        <v>-0.51113889999999995</v>
      </c>
      <c r="V214">
        <v>6.287943E-2</v>
      </c>
      <c r="W214">
        <v>0.21100730000000001</v>
      </c>
      <c r="X214">
        <v>0.97545990000000005</v>
      </c>
      <c r="Y214">
        <v>0.1389716</v>
      </c>
      <c r="Z214">
        <v>-9.9715419999999999E-3</v>
      </c>
      <c r="AA214">
        <v>0.99024619999999997</v>
      </c>
      <c r="AB214">
        <v>45</v>
      </c>
      <c r="AC214">
        <v>0.35750000000001497</v>
      </c>
      <c r="AD214">
        <v>-0.1533301</v>
      </c>
      <c r="AE214">
        <v>-0.122000000000014</v>
      </c>
      <c r="AF214">
        <v>9.8969073785464504E-2</v>
      </c>
      <c r="AG214">
        <v>-0.1533301</v>
      </c>
      <c r="AH214">
        <v>0.30883923603567298</v>
      </c>
      <c r="AI214">
        <v>115.30429946442599</v>
      </c>
      <c r="AJ214">
        <v>72.231684082387403</v>
      </c>
      <c r="AK214">
        <v>0.35872924448260501</v>
      </c>
      <c r="AL214">
        <v>77.818610383036798</v>
      </c>
      <c r="AM214">
        <v>86.311741495395793</v>
      </c>
      <c r="AN214">
        <v>0.99999995993921098</v>
      </c>
    </row>
    <row r="215" spans="1:40" x14ac:dyDescent="0.25">
      <c r="A215" t="str">
        <f>"20190303170946134"</f>
        <v>20190303170946134</v>
      </c>
      <c r="B215" t="str">
        <f>"1551604186130250"</f>
        <v>1551604186130250</v>
      </c>
      <c r="C215" t="s">
        <v>40</v>
      </c>
      <c r="D215">
        <v>4.847728</v>
      </c>
      <c r="E215">
        <v>0.54302379999999995</v>
      </c>
      <c r="F215" t="s">
        <v>43</v>
      </c>
      <c r="G215">
        <v>-416.16930000000002</v>
      </c>
      <c r="H215">
        <v>0.92469020000000002</v>
      </c>
      <c r="I215">
        <v>367.49009999999998</v>
      </c>
      <c r="J215">
        <v>-416.50479999999999</v>
      </c>
      <c r="K215">
        <v>1.069976</v>
      </c>
      <c r="L215">
        <v>367.60489999999999</v>
      </c>
      <c r="M215">
        <v>0.99981960000000003</v>
      </c>
      <c r="N215">
        <v>-5.129476E-3</v>
      </c>
      <c r="O215">
        <v>-1.829505E-2</v>
      </c>
      <c r="P215">
        <v>0.97508209999999995</v>
      </c>
      <c r="Q215">
        <v>0.20695089999999999</v>
      </c>
      <c r="R215">
        <v>-7.9913590000000007E-2</v>
      </c>
      <c r="S215">
        <v>3.1610719999999999</v>
      </c>
      <c r="T215">
        <v>-0.60061500000000001</v>
      </c>
      <c r="U215">
        <v>-0.50576779999999999</v>
      </c>
      <c r="V215">
        <v>6.1910649999999998E-2</v>
      </c>
      <c r="W215">
        <v>0.21200089999999999</v>
      </c>
      <c r="X215">
        <v>0.97530649999999997</v>
      </c>
      <c r="Y215">
        <v>0.13773070000000001</v>
      </c>
      <c r="Z215">
        <v>-9.9172289999999996E-3</v>
      </c>
      <c r="AA215">
        <v>0.99041999999999997</v>
      </c>
      <c r="AB215">
        <v>45</v>
      </c>
      <c r="AC215">
        <v>0.33549999999996699</v>
      </c>
      <c r="AD215">
        <v>-0.14528579999999999</v>
      </c>
      <c r="AE215">
        <v>-0.114800000000002</v>
      </c>
      <c r="AF215">
        <v>9.30263091436032E-2</v>
      </c>
      <c r="AG215">
        <v>-0.14528579999999999</v>
      </c>
      <c r="AH215">
        <v>0.289025229541994</v>
      </c>
      <c r="AI215">
        <v>115.571143037795</v>
      </c>
      <c r="AJ215">
        <v>72.158593059556793</v>
      </c>
      <c r="AK215">
        <v>0.33659685260905697</v>
      </c>
      <c r="AL215">
        <v>77.760364570004199</v>
      </c>
      <c r="AM215">
        <v>86.367843379592102</v>
      </c>
      <c r="AN215">
        <v>1.00000003956324</v>
      </c>
    </row>
    <row r="216" spans="1:40" x14ac:dyDescent="0.25">
      <c r="A216" t="str">
        <f>"20190303170946158"</f>
        <v>20190303170946158</v>
      </c>
      <c r="B216" t="str">
        <f>"1551604186150747"</f>
        <v>1551604186150747</v>
      </c>
      <c r="C216" t="s">
        <v>40</v>
      </c>
      <c r="D216">
        <v>4.8356899999999996</v>
      </c>
      <c r="E216">
        <v>0.51844690000000004</v>
      </c>
      <c r="F216" t="s">
        <v>43</v>
      </c>
      <c r="G216">
        <v>-415.76280000000003</v>
      </c>
      <c r="H216">
        <v>0.92960370000000003</v>
      </c>
      <c r="I216">
        <v>367.48689999999999</v>
      </c>
      <c r="J216">
        <v>-416.02089999999998</v>
      </c>
      <c r="K216">
        <v>1.0700459999999901</v>
      </c>
      <c r="L216">
        <v>367.59640000000002</v>
      </c>
      <c r="M216">
        <v>0.99982919999999997</v>
      </c>
      <c r="N216">
        <v>-5.1678139999999997E-3</v>
      </c>
      <c r="O216">
        <v>-1.7745219999999999E-2</v>
      </c>
      <c r="P216">
        <v>0.97505719999999996</v>
      </c>
      <c r="Q216">
        <v>0.2074037</v>
      </c>
      <c r="R216">
        <v>-7.9039639999999994E-2</v>
      </c>
      <c r="S216">
        <v>3.1624759999999998</v>
      </c>
      <c r="T216">
        <v>-0.59828479999999995</v>
      </c>
      <c r="U216">
        <v>-0.50238039999999995</v>
      </c>
      <c r="V216">
        <v>6.1538540000000003E-2</v>
      </c>
      <c r="W216">
        <v>0.21250040000000001</v>
      </c>
      <c r="X216">
        <v>0.97522129999999996</v>
      </c>
      <c r="Y216">
        <v>0.1371897</v>
      </c>
      <c r="Z216">
        <v>-9.9289180000000001E-3</v>
      </c>
      <c r="AA216">
        <v>0.99049500000000001</v>
      </c>
      <c r="AB216">
        <v>45</v>
      </c>
      <c r="AC216">
        <v>0.25809999999995598</v>
      </c>
      <c r="AD216">
        <v>-0.14044229999999899</v>
      </c>
      <c r="AE216">
        <v>-0.10950000000002499</v>
      </c>
      <c r="AF216">
        <v>8.3860183697354998E-2</v>
      </c>
      <c r="AG216">
        <v>-0.14044229999999899</v>
      </c>
      <c r="AH216">
        <v>0.207848468423498</v>
      </c>
      <c r="AI216">
        <v>122.071896458449</v>
      </c>
      <c r="AJ216">
        <v>68.027506252245203</v>
      </c>
      <c r="AK216">
        <v>0.26449490706824202</v>
      </c>
      <c r="AL216">
        <v>77.731077524394195</v>
      </c>
      <c r="AM216">
        <v>86.389301722154698</v>
      </c>
      <c r="AN216">
        <v>0.99999999793959005</v>
      </c>
    </row>
    <row r="217" spans="1:40" x14ac:dyDescent="0.25">
      <c r="A217" t="str">
        <f>"20190303170946181"</f>
        <v>20190303170946181</v>
      </c>
      <c r="B217" t="str">
        <f>"1551604186171242"</f>
        <v>1551604186171242</v>
      </c>
      <c r="C217" t="s">
        <v>40</v>
      </c>
      <c r="D217">
        <v>4.7462019999999896</v>
      </c>
      <c r="E217">
        <v>0.50976290000000002</v>
      </c>
      <c r="F217" t="s">
        <v>43</v>
      </c>
      <c r="G217">
        <v>-414.94330000000002</v>
      </c>
      <c r="H217">
        <v>0.94619489999999995</v>
      </c>
      <c r="I217">
        <v>367.4862</v>
      </c>
      <c r="J217">
        <v>-415.5523</v>
      </c>
      <c r="K217">
        <v>1.0700989999999999</v>
      </c>
      <c r="L217">
        <v>367.58839999999998</v>
      </c>
      <c r="M217">
        <v>0.99983880000000003</v>
      </c>
      <c r="N217">
        <v>-5.2079700000000001E-3</v>
      </c>
      <c r="O217">
        <v>-1.7188080000000001E-2</v>
      </c>
      <c r="P217">
        <v>0.97516619999999998</v>
      </c>
      <c r="Q217">
        <v>0.2069385</v>
      </c>
      <c r="R217">
        <v>-7.8915940000000004E-2</v>
      </c>
      <c r="S217">
        <v>3.1273499999999999</v>
      </c>
      <c r="T217">
        <v>-0.35944619999999999</v>
      </c>
      <c r="U217">
        <v>-0.31976320000000003</v>
      </c>
      <c r="V217">
        <v>6.1928770000000001E-2</v>
      </c>
      <c r="W217">
        <v>0.21208340000000001</v>
      </c>
      <c r="X217">
        <v>0.97528740000000003</v>
      </c>
      <c r="Y217">
        <v>8.4131730000000002E-2</v>
      </c>
      <c r="Z217">
        <v>-3.1525659999999999E-3</v>
      </c>
      <c r="AA217">
        <v>0.99644960000000005</v>
      </c>
      <c r="AB217">
        <v>45</v>
      </c>
      <c r="AC217">
        <v>0.60899999999998</v>
      </c>
      <c r="AD217">
        <v>-0.123904099999999</v>
      </c>
      <c r="AE217">
        <v>-0.102199999999982</v>
      </c>
      <c r="AF217">
        <v>8.8167582368994302E-2</v>
      </c>
      <c r="AG217">
        <v>-0.123904099999999</v>
      </c>
      <c r="AH217">
        <v>0.58703266924614395</v>
      </c>
      <c r="AI217">
        <v>101.789927647816</v>
      </c>
      <c r="AJ217">
        <v>81.458478675002198</v>
      </c>
      <c r="AK217">
        <v>0.60641001256563698</v>
      </c>
      <c r="AL217">
        <v>77.7555275220016</v>
      </c>
      <c r="AM217">
        <v>86.366712205324106</v>
      </c>
      <c r="AN217">
        <v>1.0000000268540099</v>
      </c>
    </row>
    <row r="218" spans="1:40" x14ac:dyDescent="0.25">
      <c r="A218" t="str">
        <f>"20190303170946202"</f>
        <v>20190303170946202</v>
      </c>
      <c r="B218" t="str">
        <f>"1551604186190762"</f>
        <v>1551604186190762</v>
      </c>
      <c r="C218" t="s">
        <v>40</v>
      </c>
      <c r="D218">
        <v>4.78104</v>
      </c>
      <c r="E218">
        <v>0.50311349999999999</v>
      </c>
      <c r="F218" t="s">
        <v>43</v>
      </c>
      <c r="G218">
        <v>-414.51600000000002</v>
      </c>
      <c r="H218">
        <v>0.98692800000000003</v>
      </c>
      <c r="I218">
        <v>367.50220000000002</v>
      </c>
      <c r="J218">
        <v>-415.1191</v>
      </c>
      <c r="K218">
        <v>1.070136</v>
      </c>
      <c r="L218">
        <v>367.5813</v>
      </c>
      <c r="M218">
        <v>0.99984740000000005</v>
      </c>
      <c r="N218">
        <v>-5.2484169999999896E-3</v>
      </c>
      <c r="O218">
        <v>-1.66602E-2</v>
      </c>
      <c r="P218">
        <v>0.97525079999999997</v>
      </c>
      <c r="Q218">
        <v>0.20631949999999999</v>
      </c>
      <c r="R218">
        <v>-7.9487660000000002E-2</v>
      </c>
      <c r="S218">
        <v>3.1085509999999998</v>
      </c>
      <c r="T218">
        <v>-0.2496728</v>
      </c>
      <c r="U218">
        <v>-0.25735469999999999</v>
      </c>
      <c r="V218">
        <v>6.2992110000000004E-2</v>
      </c>
      <c r="W218">
        <v>0.21151200000000001</v>
      </c>
      <c r="X218">
        <v>0.97534330000000002</v>
      </c>
      <c r="Y218">
        <v>6.5714510000000004E-2</v>
      </c>
      <c r="Z218">
        <v>-1.5571090000000001E-3</v>
      </c>
      <c r="AA218">
        <v>0.99783719999999998</v>
      </c>
      <c r="AB218">
        <v>45</v>
      </c>
      <c r="AC218">
        <v>0.60310000000004005</v>
      </c>
      <c r="AD218">
        <v>-8.3207999999999893E-2</v>
      </c>
      <c r="AE218">
        <v>-7.9099999999982601E-2</v>
      </c>
      <c r="AF218">
        <v>6.7772879284256904E-2</v>
      </c>
      <c r="AG218">
        <v>-8.3207999999999893E-2</v>
      </c>
      <c r="AH218">
        <v>0.59323294031205398</v>
      </c>
      <c r="AI218">
        <v>97.933388904340902</v>
      </c>
      <c r="AJ218">
        <v>83.482597992098803</v>
      </c>
      <c r="AK218">
        <v>0.60286155616506398</v>
      </c>
      <c r="AL218">
        <v>77.789025252638297</v>
      </c>
      <c r="AM218">
        <v>86.304709938075206</v>
      </c>
      <c r="AN218">
        <v>0.999999942460569</v>
      </c>
    </row>
    <row r="219" spans="1:40" x14ac:dyDescent="0.25">
      <c r="A219" t="str">
        <f>"20190303170946224"</f>
        <v>20190303170946224</v>
      </c>
      <c r="B219" t="str">
        <f>"1551604186221018"</f>
        <v>1551604186221018</v>
      </c>
      <c r="C219" t="s">
        <v>40</v>
      </c>
      <c r="D219">
        <v>4.7440980000000001</v>
      </c>
      <c r="E219">
        <v>0.4983475</v>
      </c>
      <c r="F219" t="s">
        <v>43</v>
      </c>
      <c r="G219">
        <v>-414.09289999999999</v>
      </c>
      <c r="H219">
        <v>1.007636</v>
      </c>
      <c r="I219">
        <v>367.51159999999999</v>
      </c>
      <c r="J219">
        <v>-414.67869999999999</v>
      </c>
      <c r="K219">
        <v>1.070171</v>
      </c>
      <c r="L219">
        <v>367.57420000000002</v>
      </c>
      <c r="M219">
        <v>0.99985619999999997</v>
      </c>
      <c r="N219">
        <v>-5.2945040000000002E-3</v>
      </c>
      <c r="O219">
        <v>-1.6116620000000002E-2</v>
      </c>
      <c r="P219">
        <v>0.97549960000000002</v>
      </c>
      <c r="Q219">
        <v>0.20488020000000001</v>
      </c>
      <c r="R219">
        <v>-8.0155829999999997E-2</v>
      </c>
      <c r="S219">
        <v>3.0989070000000001</v>
      </c>
      <c r="T219">
        <v>-0.18877140000000001</v>
      </c>
      <c r="U219">
        <v>-0.2102966</v>
      </c>
      <c r="V219">
        <v>6.4168269999999999E-2</v>
      </c>
      <c r="W219">
        <v>0.21012620000000001</v>
      </c>
      <c r="X219">
        <v>0.97556620000000005</v>
      </c>
      <c r="Y219">
        <v>5.1538559999999997E-2</v>
      </c>
      <c r="Z219">
        <v>-8.0884920000000001E-4</v>
      </c>
      <c r="AA219">
        <v>0.99867070000000002</v>
      </c>
      <c r="AB219">
        <v>46</v>
      </c>
      <c r="AC219">
        <v>0.58580000000000598</v>
      </c>
      <c r="AD219">
        <v>-6.2534999999999993E-2</v>
      </c>
      <c r="AE219">
        <v>-6.26000000000317E-2</v>
      </c>
      <c r="AF219">
        <v>5.2558435128849897E-2</v>
      </c>
      <c r="AG219">
        <v>-6.2534999999999993E-2</v>
      </c>
      <c r="AH219">
        <v>0.58019564434428805</v>
      </c>
      <c r="AI219">
        <v>96.126844784465106</v>
      </c>
      <c r="AJ219">
        <v>84.823850094987094</v>
      </c>
      <c r="AK219">
        <v>0.58591808390275602</v>
      </c>
      <c r="AL219">
        <v>77.8702519966631</v>
      </c>
      <c r="AM219">
        <v>86.236767265069204</v>
      </c>
      <c r="AN219">
        <v>0.99999999869183598</v>
      </c>
    </row>
    <row r="220" spans="1:40" x14ac:dyDescent="0.25">
      <c r="A220" t="str">
        <f>"20190303170946247"</f>
        <v>20190303170946247</v>
      </c>
      <c r="B220" t="str">
        <f>"1551604186240539"</f>
        <v>1551604186240539</v>
      </c>
      <c r="C220" t="s">
        <v>40</v>
      </c>
      <c r="D220">
        <v>4.7446549999999998</v>
      </c>
      <c r="E220">
        <v>0.49677460000000001</v>
      </c>
      <c r="F220" t="s">
        <v>42</v>
      </c>
      <c r="G220">
        <v>-391.04629999999997</v>
      </c>
      <c r="H220" s="1">
        <v>-4.4268630000000004E-6</v>
      </c>
      <c r="I220">
        <v>366.21440000000001</v>
      </c>
      <c r="J220">
        <v>-414.20530000000002</v>
      </c>
      <c r="K220">
        <v>1.070209</v>
      </c>
      <c r="L220">
        <v>367.56689999999998</v>
      </c>
      <c r="M220">
        <v>0.99986520000000001</v>
      </c>
      <c r="N220">
        <v>-5.3522020000000003E-3</v>
      </c>
      <c r="O220">
        <v>-1.5527900000000001E-2</v>
      </c>
      <c r="P220">
        <v>0.97557389999999999</v>
      </c>
      <c r="Q220">
        <v>0.20401159999999999</v>
      </c>
      <c r="R220">
        <v>-8.1456799999999996E-2</v>
      </c>
      <c r="S220">
        <v>3.0901489999999998</v>
      </c>
      <c r="T220">
        <v>-0.13993410000000001</v>
      </c>
      <c r="U220">
        <v>-0.17779539999999999</v>
      </c>
      <c r="V220">
        <v>6.6024490000000005E-2</v>
      </c>
      <c r="W220">
        <v>0.20932290000000001</v>
      </c>
      <c r="X220">
        <v>0.97561500000000001</v>
      </c>
      <c r="Y220">
        <v>4.1896250000000003E-2</v>
      </c>
      <c r="Z220">
        <v>-4.4051160000000003E-4</v>
      </c>
      <c r="AA220">
        <v>0.99912179999999995</v>
      </c>
      <c r="AB220">
        <v>46</v>
      </c>
      <c r="AC220">
        <v>23.158999999999999</v>
      </c>
      <c r="AD220">
        <v>-1.0702134268629999</v>
      </c>
      <c r="AE220">
        <v>-1.3524999999999601</v>
      </c>
      <c r="AF220">
        <v>0.99061290531537405</v>
      </c>
      <c r="AG220">
        <v>-1.0702134268629999</v>
      </c>
      <c r="AH220">
        <v>23.127987415284601</v>
      </c>
      <c r="AI220">
        <v>92.646964142652706</v>
      </c>
      <c r="AJ220">
        <v>87.547418757235903</v>
      </c>
      <c r="AK220">
        <v>23.173917937819201</v>
      </c>
      <c r="AL220">
        <v>77.917324203541995</v>
      </c>
      <c r="AM220">
        <v>86.128426338242406</v>
      </c>
      <c r="AN220">
        <v>0.99999996898458399</v>
      </c>
    </row>
    <row r="221" spans="1:40" x14ac:dyDescent="0.25">
      <c r="A221" t="str">
        <f>"20190303170946269"</f>
        <v>20190303170946269</v>
      </c>
      <c r="B221" t="str">
        <f>"1551604186261034"</f>
        <v>1551604186261034</v>
      </c>
      <c r="C221" t="s">
        <v>40</v>
      </c>
      <c r="D221">
        <v>4.8901849999999998</v>
      </c>
      <c r="E221">
        <v>0.49562299999999998</v>
      </c>
      <c r="F221" t="s">
        <v>42</v>
      </c>
      <c r="G221">
        <v>-387.5258</v>
      </c>
      <c r="H221" s="1">
        <v>-1.76522E-6</v>
      </c>
      <c r="I221">
        <v>366.09399999999999</v>
      </c>
      <c r="J221">
        <v>-413.73689999999999</v>
      </c>
      <c r="K221">
        <v>1.070249</v>
      </c>
      <c r="L221">
        <v>367.55990000000003</v>
      </c>
      <c r="M221">
        <v>0.99987380000000003</v>
      </c>
      <c r="N221">
        <v>-5.4216269999999896E-3</v>
      </c>
      <c r="O221">
        <v>-1.494351E-2</v>
      </c>
      <c r="P221">
        <v>0.97545119999999996</v>
      </c>
      <c r="Q221">
        <v>0.20432990000000001</v>
      </c>
      <c r="R221">
        <v>-8.2126500000000005E-2</v>
      </c>
      <c r="S221">
        <v>3.0868530000000001</v>
      </c>
      <c r="T221">
        <v>-0.1238248</v>
      </c>
      <c r="U221">
        <v>-0.17041020000000001</v>
      </c>
      <c r="V221">
        <v>6.7249219999999998E-2</v>
      </c>
      <c r="W221">
        <v>0.20971509999999999</v>
      </c>
      <c r="X221">
        <v>0.97544710000000001</v>
      </c>
      <c r="Y221">
        <v>4.0166449999999999E-2</v>
      </c>
      <c r="Z221">
        <v>-3.9596809999999999E-4</v>
      </c>
      <c r="AA221">
        <v>0.999193</v>
      </c>
      <c r="AB221">
        <v>46</v>
      </c>
      <c r="AC221">
        <v>26.211099999999899</v>
      </c>
      <c r="AD221">
        <v>-1.07025076522</v>
      </c>
      <c r="AE221">
        <v>-1.46590000000003</v>
      </c>
      <c r="AF221">
        <v>1.0722626276818299</v>
      </c>
      <c r="AG221">
        <v>-1.07025076522</v>
      </c>
      <c r="AH221">
        <v>26.186555790489798</v>
      </c>
      <c r="AI221">
        <v>92.338432228069806</v>
      </c>
      <c r="AJ221">
        <v>87.655215820966802</v>
      </c>
      <c r="AK221">
        <v>26.230342887800902</v>
      </c>
      <c r="AL221">
        <v>77.8943426383575</v>
      </c>
      <c r="AM221">
        <v>86.056157988382495</v>
      </c>
      <c r="AN221">
        <v>0.999999962828513</v>
      </c>
    </row>
    <row r="222" spans="1:40" x14ac:dyDescent="0.25">
      <c r="A222" t="str">
        <f>"20190303170946293"</f>
        <v>20190303170946293</v>
      </c>
      <c r="B222" t="str">
        <f>"1551604186280555"</f>
        <v>1551604186280555</v>
      </c>
      <c r="C222" t="s">
        <v>40</v>
      </c>
      <c r="D222">
        <v>4.7804679999999999</v>
      </c>
      <c r="E222">
        <v>0.49472080000000002</v>
      </c>
      <c r="F222" t="s">
        <v>42</v>
      </c>
      <c r="G222">
        <v>-383.68529999999998</v>
      </c>
      <c r="H222" s="1">
        <v>-3.3402370000000002E-6</v>
      </c>
      <c r="I222">
        <v>365.9579</v>
      </c>
      <c r="J222">
        <v>-413.28199999999998</v>
      </c>
      <c r="K222">
        <v>1.0702860000000001</v>
      </c>
      <c r="L222">
        <v>367.55340000000001</v>
      </c>
      <c r="M222">
        <v>0.99988160000000004</v>
      </c>
      <c r="N222">
        <v>-5.5048340000000001E-3</v>
      </c>
      <c r="O222">
        <v>-1.4374680000000001E-2</v>
      </c>
      <c r="P222">
        <v>0.97528789999999999</v>
      </c>
      <c r="Q222">
        <v>0.20500989999999999</v>
      </c>
      <c r="R222">
        <v>-8.2368399999999994E-2</v>
      </c>
      <c r="S222">
        <v>3.084686</v>
      </c>
      <c r="T222">
        <v>-0.1098571</v>
      </c>
      <c r="U222">
        <v>-0.16442870000000001</v>
      </c>
      <c r="V222">
        <v>6.8033510000000005E-2</v>
      </c>
      <c r="W222">
        <v>0.210481</v>
      </c>
      <c r="X222">
        <v>0.97522779999999998</v>
      </c>
      <c r="Y222">
        <v>3.8847390000000002E-2</v>
      </c>
      <c r="Z222">
        <v>-3.6579499999999998E-4</v>
      </c>
      <c r="AA222">
        <v>0.9992451</v>
      </c>
      <c r="AB222">
        <v>46</v>
      </c>
      <c r="AC222">
        <v>29.596699999999998</v>
      </c>
      <c r="AD222">
        <v>-1.070289340237</v>
      </c>
      <c r="AE222">
        <v>-1.5955000000000099</v>
      </c>
      <c r="AF222">
        <v>1.1683621730926701</v>
      </c>
      <c r="AG222">
        <v>-1.070289340237</v>
      </c>
      <c r="AH222">
        <v>29.578009326100599</v>
      </c>
      <c r="AI222">
        <v>92.070747681935003</v>
      </c>
      <c r="AJ222">
        <v>87.737933073406893</v>
      </c>
      <c r="AK222">
        <v>29.620419057370398</v>
      </c>
      <c r="AL222">
        <v>77.849458887835794</v>
      </c>
      <c r="AM222">
        <v>86.009416585282807</v>
      </c>
      <c r="AN222">
        <v>1.0000000358683701</v>
      </c>
    </row>
    <row r="223" spans="1:40" x14ac:dyDescent="0.25">
      <c r="A223" t="str">
        <f>"20190303170946313"</f>
        <v>20190303170946313</v>
      </c>
      <c r="B223" t="str">
        <f>"1551604186301050"</f>
        <v>1551604186301050</v>
      </c>
      <c r="C223" t="s">
        <v>40</v>
      </c>
      <c r="D223">
        <v>4.829294</v>
      </c>
      <c r="E223">
        <v>0.49386400000000003</v>
      </c>
      <c r="F223" t="s">
        <v>42</v>
      </c>
      <c r="G223">
        <v>-379.58139999999997</v>
      </c>
      <c r="H223" s="1">
        <v>-1.138123E-6</v>
      </c>
      <c r="I223">
        <v>365.8218</v>
      </c>
      <c r="J223">
        <v>-412.84140000000002</v>
      </c>
      <c r="K223">
        <v>1.0703229999999999</v>
      </c>
      <c r="L223">
        <v>367.54739999999998</v>
      </c>
      <c r="M223">
        <v>0.99988889999999997</v>
      </c>
      <c r="N223">
        <v>-5.6060399999999996E-3</v>
      </c>
      <c r="O223">
        <v>-1.3823179999999999E-2</v>
      </c>
      <c r="P223">
        <v>0.97528820000000005</v>
      </c>
      <c r="Q223">
        <v>0.20540900000000001</v>
      </c>
      <c r="R223">
        <v>-8.1367140000000004E-2</v>
      </c>
      <c r="S223">
        <v>3.083221</v>
      </c>
      <c r="T223">
        <v>-9.7919110000000004E-2</v>
      </c>
      <c r="U223">
        <v>-0.15841669999999999</v>
      </c>
      <c r="V223">
        <v>6.7557820000000005E-2</v>
      </c>
      <c r="W223">
        <v>0.21098210000000001</v>
      </c>
      <c r="X223">
        <v>0.97515260000000004</v>
      </c>
      <c r="Y223">
        <v>3.7485030000000003E-2</v>
      </c>
      <c r="Z223">
        <v>-3.3874680000000001E-4</v>
      </c>
      <c r="AA223">
        <v>0.99929710000000005</v>
      </c>
      <c r="AB223">
        <v>46</v>
      </c>
      <c r="AC223">
        <v>33.26</v>
      </c>
      <c r="AD223">
        <v>-1.070324138123</v>
      </c>
      <c r="AE223">
        <v>-1.72559999999998</v>
      </c>
      <c r="AF223">
        <v>1.2643631632780801</v>
      </c>
      <c r="AG223">
        <v>-1.070324138123</v>
      </c>
      <c r="AH223">
        <v>33.246338719870103</v>
      </c>
      <c r="AI223">
        <v>91.842597763629399</v>
      </c>
      <c r="AJ223">
        <v>87.822082621163801</v>
      </c>
      <c r="AK223">
        <v>33.287583965281001</v>
      </c>
      <c r="AL223">
        <v>77.820088597210798</v>
      </c>
      <c r="AM223">
        <v>86.036924899402607</v>
      </c>
      <c r="AN223">
        <v>1.00000004942516</v>
      </c>
    </row>
    <row r="224" spans="1:40" x14ac:dyDescent="0.25">
      <c r="A224" t="str">
        <f>"20190303170946337"</f>
        <v>20190303170946337</v>
      </c>
      <c r="B224" t="str">
        <f>"1551604186330330"</f>
        <v>1551604186330330</v>
      </c>
      <c r="C224" t="s">
        <v>40</v>
      </c>
      <c r="D224">
        <v>4.8856580000000003</v>
      </c>
      <c r="E224">
        <v>0.49266270000000001</v>
      </c>
      <c r="F224" t="s">
        <v>42</v>
      </c>
      <c r="G224">
        <v>-375.64949999999999</v>
      </c>
      <c r="H224" s="1">
        <v>-2.5357569999999998E-6</v>
      </c>
      <c r="I224">
        <v>365.74290000000002</v>
      </c>
      <c r="J224">
        <v>-412.35649999999998</v>
      </c>
      <c r="K224">
        <v>1.07037</v>
      </c>
      <c r="L224">
        <v>367.541</v>
      </c>
      <c r="M224">
        <v>0.99989629999999996</v>
      </c>
      <c r="N224">
        <v>-5.7500609999999999E-3</v>
      </c>
      <c r="O224">
        <v>-1.321492E-2</v>
      </c>
      <c r="P224">
        <v>0.97548270000000004</v>
      </c>
      <c r="Q224">
        <v>0.20525289999999999</v>
      </c>
      <c r="R224">
        <v>-7.9404409999999995E-2</v>
      </c>
      <c r="S224">
        <v>3.082214</v>
      </c>
      <c r="T224">
        <v>-8.8701130000000003E-2</v>
      </c>
      <c r="U224">
        <v>-0.14953610000000001</v>
      </c>
      <c r="V224">
        <v>6.6175040000000004E-2</v>
      </c>
      <c r="W224">
        <v>0.21096860000000001</v>
      </c>
      <c r="X224">
        <v>0.97525030000000001</v>
      </c>
      <c r="Y224">
        <v>3.524099E-2</v>
      </c>
      <c r="Z224">
        <v>-3.0406550000000002E-4</v>
      </c>
      <c r="AA224">
        <v>0.99937880000000001</v>
      </c>
      <c r="AB224">
        <v>46</v>
      </c>
      <c r="AC224">
        <v>36.707000000000001</v>
      </c>
      <c r="AD224">
        <v>-1.070372535757</v>
      </c>
      <c r="AE224">
        <v>-1.7980999999999701</v>
      </c>
      <c r="AF224">
        <v>1.3117422658031801</v>
      </c>
      <c r="AG224">
        <v>-1.070372535757</v>
      </c>
      <c r="AH224">
        <v>36.696428468946003</v>
      </c>
      <c r="AI224">
        <v>91.669681151413201</v>
      </c>
      <c r="AJ224">
        <v>87.952789623207806</v>
      </c>
      <c r="AK224">
        <v>36.735462805219598</v>
      </c>
      <c r="AL224">
        <v>77.8208794988752</v>
      </c>
      <c r="AM224">
        <v>86.118178607883493</v>
      </c>
      <c r="AN224">
        <v>1.00000001687752</v>
      </c>
    </row>
    <row r="225" spans="1:40" x14ac:dyDescent="0.25">
      <c r="A225" t="str">
        <f>"20190303170946371"</f>
        <v>20190303170946371</v>
      </c>
      <c r="B225" t="str">
        <f>"1551604186361563"</f>
        <v>1551604186361563</v>
      </c>
      <c r="C225" t="s">
        <v>40</v>
      </c>
      <c r="D225">
        <v>4.9446450000000004</v>
      </c>
      <c r="E225">
        <v>0.49190109999999898</v>
      </c>
      <c r="F225" t="s">
        <v>42</v>
      </c>
      <c r="G225">
        <v>-371.3426</v>
      </c>
      <c r="H225" s="1">
        <v>-4.3825769999999998E-6</v>
      </c>
      <c r="I225">
        <v>365.7475</v>
      </c>
      <c r="J225">
        <v>-411.64780000000002</v>
      </c>
      <c r="K225">
        <v>1.070444</v>
      </c>
      <c r="L225">
        <v>367.53230000000002</v>
      </c>
      <c r="M225">
        <v>0.99990590000000001</v>
      </c>
      <c r="N225">
        <v>-6.0340749999999999E-3</v>
      </c>
      <c r="O225">
        <v>-1.23231E-2</v>
      </c>
      <c r="P225">
        <v>0.97584979999999999</v>
      </c>
      <c r="Q225">
        <v>0.2050382</v>
      </c>
      <c r="R225">
        <v>-7.5346540000000004E-2</v>
      </c>
      <c r="S225">
        <v>3.0813600000000001</v>
      </c>
      <c r="T225">
        <v>-8.0416680000000004E-2</v>
      </c>
      <c r="U225">
        <v>-0.1347351</v>
      </c>
      <c r="V225">
        <v>6.2969529999999996E-2</v>
      </c>
      <c r="W225">
        <v>0.21103150000000001</v>
      </c>
      <c r="X225">
        <v>0.97544889999999995</v>
      </c>
      <c r="Y225">
        <v>3.1358589999999999E-2</v>
      </c>
      <c r="Z225">
        <v>-2.5655650000000002E-4</v>
      </c>
      <c r="AA225">
        <v>0.99950810000000001</v>
      </c>
      <c r="AB225">
        <v>46</v>
      </c>
      <c r="AC225">
        <v>40.305199999999999</v>
      </c>
      <c r="AD225">
        <v>-1.0704483825769999</v>
      </c>
      <c r="AE225">
        <v>-1.7848000000000099</v>
      </c>
      <c r="AF225">
        <v>1.2870643740843699</v>
      </c>
      <c r="AG225">
        <v>-1.0704483825769999</v>
      </c>
      <c r="AH225">
        <v>40.295766795098402</v>
      </c>
      <c r="AI225">
        <v>91.520916935855297</v>
      </c>
      <c r="AJ225">
        <v>88.170569755806795</v>
      </c>
      <c r="AK225">
        <v>40.330524619049399</v>
      </c>
      <c r="AL225">
        <v>77.817192454227296</v>
      </c>
      <c r="AM225">
        <v>86.306429668742993</v>
      </c>
      <c r="AN225">
        <v>1.00000000610594</v>
      </c>
    </row>
    <row r="226" spans="1:40" x14ac:dyDescent="0.25">
      <c r="A226" t="str">
        <f>"20190303170946392"</f>
        <v>20190303170946392</v>
      </c>
      <c r="B226" t="str">
        <f>"1551604186381082"</f>
        <v>1551604186381082</v>
      </c>
      <c r="C226" t="s">
        <v>40</v>
      </c>
      <c r="D226">
        <v>4.9455410000000004</v>
      </c>
      <c r="E226">
        <v>0.4914944</v>
      </c>
      <c r="F226" t="s">
        <v>42</v>
      </c>
      <c r="G226">
        <v>-367.32429999999999</v>
      </c>
      <c r="H226" s="1">
        <v>-1.901962E-6</v>
      </c>
      <c r="I226">
        <v>365.83780000000002</v>
      </c>
      <c r="J226">
        <v>-411.19170000000003</v>
      </c>
      <c r="K226">
        <v>1.070495</v>
      </c>
      <c r="L226">
        <v>367.52690000000001</v>
      </c>
      <c r="M226">
        <v>0.99991149999999995</v>
      </c>
      <c r="N226">
        <v>-6.2486969999999897E-3</v>
      </c>
      <c r="O226">
        <v>-1.174772E-2</v>
      </c>
      <c r="P226">
        <v>0.9760432</v>
      </c>
      <c r="Q226">
        <v>0.20490249999999999</v>
      </c>
      <c r="R226">
        <v>-7.3175550000000006E-2</v>
      </c>
      <c r="S226">
        <v>3.0807799999999999</v>
      </c>
      <c r="T226">
        <v>-7.4403049999999998E-2</v>
      </c>
      <c r="U226">
        <v>-0.11776730000000001</v>
      </c>
      <c r="V226">
        <v>6.1351330000000003E-2</v>
      </c>
      <c r="W226">
        <v>0.21110509999999999</v>
      </c>
      <c r="X226">
        <v>0.97553610000000002</v>
      </c>
      <c r="Y226">
        <v>2.644873E-2</v>
      </c>
      <c r="Z226">
        <v>-1.9172509999999999E-4</v>
      </c>
      <c r="AA226">
        <v>0.99965020000000004</v>
      </c>
      <c r="AB226">
        <v>46</v>
      </c>
      <c r="AC226">
        <v>43.867400000000004</v>
      </c>
      <c r="AD226">
        <v>-1.0704969019620001</v>
      </c>
      <c r="AE226">
        <v>-1.6890999999999901</v>
      </c>
      <c r="AF226">
        <v>1.1729340019001899</v>
      </c>
      <c r="AG226">
        <v>-1.0704969019620001</v>
      </c>
      <c r="AH226">
        <v>43.858137019274302</v>
      </c>
      <c r="AI226">
        <v>91.397708000299204</v>
      </c>
      <c r="AJ226">
        <v>88.468057304535506</v>
      </c>
      <c r="AK226">
        <v>43.8868764050412</v>
      </c>
      <c r="AL226">
        <v>77.8128784108535</v>
      </c>
      <c r="AM226">
        <v>86.401415676352002</v>
      </c>
      <c r="AN226">
        <v>1.0000000156709901</v>
      </c>
    </row>
    <row r="227" spans="1:40" x14ac:dyDescent="0.25">
      <c r="A227" t="str">
        <f>"20190303170946414"</f>
        <v>20190303170946414</v>
      </c>
      <c r="B227" t="str">
        <f>"1551604186400603"</f>
        <v>1551604186400603</v>
      </c>
      <c r="C227" t="s">
        <v>40</v>
      </c>
      <c r="D227">
        <v>4.83779</v>
      </c>
      <c r="E227">
        <v>0.49122759999999999</v>
      </c>
      <c r="F227" t="s">
        <v>42</v>
      </c>
      <c r="G227">
        <v>-364.77809999999999</v>
      </c>
      <c r="H227" s="1">
        <v>-2.882173E-6</v>
      </c>
      <c r="I227">
        <v>365.89729999999997</v>
      </c>
      <c r="J227">
        <v>-410.75670000000002</v>
      </c>
      <c r="K227">
        <v>1.0705439999999999</v>
      </c>
      <c r="L227">
        <v>367.5222</v>
      </c>
      <c r="M227">
        <v>0.99991629999999998</v>
      </c>
      <c r="N227">
        <v>-6.4979139999999996E-3</v>
      </c>
      <c r="O227">
        <v>-1.11988E-2</v>
      </c>
      <c r="P227">
        <v>0.97614100000000004</v>
      </c>
      <c r="Q227">
        <v>0.2049126</v>
      </c>
      <c r="R227">
        <v>-7.183175E-2</v>
      </c>
      <c r="S227">
        <v>3.0804140000000002</v>
      </c>
      <c r="T227">
        <v>-7.1047540000000006E-2</v>
      </c>
      <c r="U227">
        <v>-0.10815429999999999</v>
      </c>
      <c r="V227">
        <v>6.053621E-2</v>
      </c>
      <c r="W227">
        <v>0.21135960000000001</v>
      </c>
      <c r="X227">
        <v>0.97553190000000001</v>
      </c>
      <c r="Y227">
        <v>2.3887760000000001E-2</v>
      </c>
      <c r="Z227">
        <v>-1.6758699999999999E-4</v>
      </c>
      <c r="AA227">
        <v>0.99971460000000001</v>
      </c>
      <c r="AB227">
        <v>46</v>
      </c>
      <c r="AC227">
        <v>45.9786</v>
      </c>
      <c r="AD227">
        <v>-1.070546882173</v>
      </c>
      <c r="AE227">
        <v>-1.62490000000002</v>
      </c>
      <c r="AF227">
        <v>1.1092815270435801</v>
      </c>
      <c r="AG227">
        <v>-1.070546882173</v>
      </c>
      <c r="AH227">
        <v>45.969024043200903</v>
      </c>
      <c r="AI227">
        <v>91.333700090999898</v>
      </c>
      <c r="AJ227">
        <v>88.617660069939106</v>
      </c>
      <c r="AK227">
        <v>45.994866535490203</v>
      </c>
      <c r="AL227">
        <v>77.797959827605098</v>
      </c>
      <c r="AM227">
        <v>86.449088433592607</v>
      </c>
      <c r="AN227">
        <v>1.0000000005754599</v>
      </c>
    </row>
    <row r="228" spans="1:40" x14ac:dyDescent="0.25">
      <c r="A228" t="str">
        <f>"20190303170946435"</f>
        <v>20190303170946435</v>
      </c>
      <c r="B228" t="str">
        <f>"1551604186421099"</f>
        <v>1551604186421099</v>
      </c>
      <c r="C228" t="s">
        <v>40</v>
      </c>
      <c r="D228">
        <v>4.9529959999999997</v>
      </c>
      <c r="E228">
        <v>0.49093330000000002</v>
      </c>
      <c r="F228" t="s">
        <v>42</v>
      </c>
      <c r="G228">
        <v>-362.79820000000001</v>
      </c>
      <c r="H228" s="1">
        <v>-3.7265370000000002E-6</v>
      </c>
      <c r="I228">
        <v>365.92559999999997</v>
      </c>
      <c r="J228">
        <v>-410.29480000000001</v>
      </c>
      <c r="K228">
        <v>1.0706070000000001</v>
      </c>
      <c r="L228">
        <v>367.51740000000001</v>
      </c>
      <c r="M228">
        <v>0.99992040000000004</v>
      </c>
      <c r="N228">
        <v>-6.8299190000000003E-3</v>
      </c>
      <c r="O228">
        <v>-1.061495E-2</v>
      </c>
      <c r="P228">
        <v>0.97638250000000004</v>
      </c>
      <c r="Q228">
        <v>0.204093</v>
      </c>
      <c r="R228">
        <v>-7.0876170000000002E-2</v>
      </c>
      <c r="S228">
        <v>3.0802610000000001</v>
      </c>
      <c r="T228">
        <v>-6.8758609999999998E-2</v>
      </c>
      <c r="U228">
        <v>-0.10253909999999999</v>
      </c>
      <c r="V228">
        <v>6.0143519999999999E-2</v>
      </c>
      <c r="W228">
        <v>0.210866</v>
      </c>
      <c r="X228">
        <v>0.97566299999999995</v>
      </c>
      <c r="Y228">
        <v>2.2653369999999999E-2</v>
      </c>
      <c r="Z228">
        <v>-1.657683E-4</v>
      </c>
      <c r="AA228">
        <v>0.9997433</v>
      </c>
      <c r="AB228">
        <v>47</v>
      </c>
      <c r="AC228">
        <v>47.496600000000001</v>
      </c>
      <c r="AD228">
        <v>-1.070610726537</v>
      </c>
      <c r="AE228">
        <v>-1.5918000000000301</v>
      </c>
      <c r="AF228">
        <v>1.0869728955112501</v>
      </c>
      <c r="AG228">
        <v>-1.070610726537</v>
      </c>
      <c r="AH228">
        <v>47.4867208601298</v>
      </c>
      <c r="AI228">
        <v>91.291203716507297</v>
      </c>
      <c r="AJ228">
        <v>88.6887263523938</v>
      </c>
      <c r="AK228">
        <v>47.511223678739697</v>
      </c>
      <c r="AL228">
        <v>77.826893140514102</v>
      </c>
      <c r="AM228">
        <v>86.472537190823203</v>
      </c>
      <c r="AN228">
        <v>1.00000000126149</v>
      </c>
    </row>
    <row r="229" spans="1:40" x14ac:dyDescent="0.25">
      <c r="A229" t="str">
        <f>"20190303170946459"</f>
        <v>20190303170946459</v>
      </c>
      <c r="B229" t="str">
        <f>"1551604186450379"</f>
        <v>1551604186450379</v>
      </c>
      <c r="C229" t="s">
        <v>40</v>
      </c>
      <c r="D229">
        <v>5.0076739999999997</v>
      </c>
      <c r="E229">
        <v>0.49068070000000003</v>
      </c>
      <c r="F229" t="s">
        <v>42</v>
      </c>
      <c r="G229">
        <v>-362.79</v>
      </c>
      <c r="H229" s="1">
        <v>-3.7158710000000001E-6</v>
      </c>
      <c r="I229">
        <v>366.00540000000001</v>
      </c>
      <c r="J229">
        <v>-409.80650000000003</v>
      </c>
      <c r="K229">
        <v>1.070689</v>
      </c>
      <c r="L229">
        <v>367.51260000000002</v>
      </c>
      <c r="M229">
        <v>0.99992360000000002</v>
      </c>
      <c r="N229">
        <v>-7.2754029999999997E-3</v>
      </c>
      <c r="O229">
        <v>-9.9961600000000005E-3</v>
      </c>
      <c r="P229">
        <v>0.97666929999999996</v>
      </c>
      <c r="Q229">
        <v>0.20300360000000001</v>
      </c>
      <c r="R229">
        <v>-7.0048250000000006E-2</v>
      </c>
      <c r="S229">
        <v>3.079987</v>
      </c>
      <c r="T229">
        <v>-6.9413299999999997E-2</v>
      </c>
      <c r="U229">
        <v>-9.8022460000000006E-2</v>
      </c>
      <c r="V229">
        <v>5.9912760000000002E-2</v>
      </c>
      <c r="W229">
        <v>0.21021390000000001</v>
      </c>
      <c r="X229">
        <v>0.97581790000000002</v>
      </c>
      <c r="Y229">
        <v>2.1810400000000001E-2</v>
      </c>
      <c r="Z229">
        <v>-1.7257120000000001E-4</v>
      </c>
      <c r="AA229">
        <v>0.99976209999999999</v>
      </c>
      <c r="AB229">
        <v>47</v>
      </c>
      <c r="AC229">
        <v>47.016500000000001</v>
      </c>
      <c r="AD229">
        <v>-1.070692715871</v>
      </c>
      <c r="AE229">
        <v>-1.5072000000000101</v>
      </c>
      <c r="AF229">
        <v>1.0365907907065299</v>
      </c>
      <c r="AG229">
        <v>-1.070692715871</v>
      </c>
      <c r="AH229">
        <v>47.004865900315302</v>
      </c>
      <c r="AI229">
        <v>91.304559900830697</v>
      </c>
      <c r="AJ229">
        <v>88.736670108019297</v>
      </c>
      <c r="AK229">
        <v>47.028484152328602</v>
      </c>
      <c r="AL229">
        <v>77.865112356969703</v>
      </c>
      <c r="AM229">
        <v>86.486593865155896</v>
      </c>
      <c r="AN229">
        <v>0.99999999826221797</v>
      </c>
    </row>
    <row r="230" spans="1:40" x14ac:dyDescent="0.25">
      <c r="A230" t="str">
        <f>"20190303170946482"</f>
        <v>20190303170946482</v>
      </c>
      <c r="B230" t="str">
        <f>"1551604186470875"</f>
        <v>1551604186470875</v>
      </c>
      <c r="C230" t="s">
        <v>40</v>
      </c>
      <c r="D230">
        <v>5.0055480000000001</v>
      </c>
      <c r="E230">
        <v>0.49048439999999999</v>
      </c>
      <c r="F230" t="s">
        <v>42</v>
      </c>
      <c r="G230">
        <v>-363.23320000000001</v>
      </c>
      <c r="H230" s="1">
        <v>-3.5103090000000001E-6</v>
      </c>
      <c r="I230">
        <v>366.0924</v>
      </c>
      <c r="J230">
        <v>-409.32729999999998</v>
      </c>
      <c r="K230">
        <v>1.0707869999999999</v>
      </c>
      <c r="L230">
        <v>367.50819999999999</v>
      </c>
      <c r="M230">
        <v>0.99992570000000003</v>
      </c>
      <c r="N230">
        <v>-7.7905250000000004E-3</v>
      </c>
      <c r="O230">
        <v>-9.3887329999999998E-3</v>
      </c>
      <c r="P230">
        <v>0.97682599999999997</v>
      </c>
      <c r="Q230">
        <v>0.2025245</v>
      </c>
      <c r="R230">
        <v>-6.9247649999999994E-2</v>
      </c>
      <c r="S230">
        <v>3.0796510000000001</v>
      </c>
      <c r="T230">
        <v>-7.0799230000000005E-2</v>
      </c>
      <c r="U230">
        <v>-9.3902589999999994E-2</v>
      </c>
      <c r="V230">
        <v>5.9696949999999999E-2</v>
      </c>
      <c r="W230">
        <v>0.21024039999999999</v>
      </c>
      <c r="X230">
        <v>0.97582539999999995</v>
      </c>
      <c r="Y230">
        <v>2.1084780000000001E-2</v>
      </c>
      <c r="Z230">
        <v>-1.8181219999999999E-4</v>
      </c>
      <c r="AA230">
        <v>0.99977769999999999</v>
      </c>
      <c r="AB230">
        <v>47</v>
      </c>
      <c r="AC230">
        <v>46.094099999999898</v>
      </c>
      <c r="AD230">
        <v>-1.0707905103090001</v>
      </c>
      <c r="AE230">
        <v>-1.41579999999999</v>
      </c>
      <c r="AF230">
        <v>0.98242964083020801</v>
      </c>
      <c r="AG230">
        <v>-1.0707905103090001</v>
      </c>
      <c r="AH230">
        <v>46.080516978837501</v>
      </c>
      <c r="AI230">
        <v>91.330861950618996</v>
      </c>
      <c r="AJ230">
        <v>88.778647688124906</v>
      </c>
      <c r="AK230">
        <v>46.103425093512101</v>
      </c>
      <c r="AL230">
        <v>77.863559105204303</v>
      </c>
      <c r="AM230">
        <v>86.499244711487506</v>
      </c>
      <c r="AN230">
        <v>0.99999998145831104</v>
      </c>
    </row>
    <row r="231" spans="1:40" x14ac:dyDescent="0.25">
      <c r="A231" t="str">
        <f>"20190303170946503"</f>
        <v>20190303170946503</v>
      </c>
      <c r="B231" t="str">
        <f>"1551604186490395"</f>
        <v>1551604186490395</v>
      </c>
      <c r="C231" t="s">
        <v>40</v>
      </c>
      <c r="D231">
        <v>5.069502</v>
      </c>
      <c r="E231">
        <v>0.49032100000000001</v>
      </c>
      <c r="F231" t="s">
        <v>42</v>
      </c>
      <c r="G231">
        <v>-363.09089999999998</v>
      </c>
      <c r="H231" s="1">
        <v>-3.5639139999999998E-6</v>
      </c>
      <c r="I231">
        <v>366.1345</v>
      </c>
      <c r="J231">
        <v>-408.90499999999997</v>
      </c>
      <c r="K231">
        <v>1.0708789999999999</v>
      </c>
      <c r="L231">
        <v>367.50459999999998</v>
      </c>
      <c r="M231">
        <v>0.9999266</v>
      </c>
      <c r="N231">
        <v>-8.2775539999999995E-3</v>
      </c>
      <c r="O231">
        <v>-8.8575149999999998E-3</v>
      </c>
      <c r="P231">
        <v>0.97679020000000005</v>
      </c>
      <c r="Q231">
        <v>0.20290030000000001</v>
      </c>
      <c r="R231">
        <v>-6.8647490000000005E-2</v>
      </c>
      <c r="S231">
        <v>3.0794679999999999</v>
      </c>
      <c r="T231">
        <v>-7.1317430000000001E-2</v>
      </c>
      <c r="U231">
        <v>-9.1491699999999995E-2</v>
      </c>
      <c r="V231">
        <v>5.9608210000000002E-2</v>
      </c>
      <c r="W231">
        <v>0.21109259999999999</v>
      </c>
      <c r="X231">
        <v>0.97564689999999998</v>
      </c>
      <c r="Y231">
        <v>2.0835449999999998E-2</v>
      </c>
      <c r="Z231">
        <v>-1.9569889999999999E-4</v>
      </c>
      <c r="AA231">
        <v>0.99978290000000003</v>
      </c>
      <c r="AB231">
        <v>47</v>
      </c>
      <c r="AC231">
        <v>45.814100000000003</v>
      </c>
      <c r="AD231">
        <v>-1.0708825639140001</v>
      </c>
      <c r="AE231">
        <v>-1.3700999999999699</v>
      </c>
      <c r="AF231">
        <v>0.96370723619726195</v>
      </c>
      <c r="AG231">
        <v>-1.0708825639140001</v>
      </c>
      <c r="AH231">
        <v>45.799437757615003</v>
      </c>
      <c r="AI231">
        <v>91.339149669098504</v>
      </c>
      <c r="AJ231">
        <v>88.794565764121998</v>
      </c>
      <c r="AK231">
        <v>45.822090960762999</v>
      </c>
      <c r="AL231">
        <v>77.8136115320019</v>
      </c>
      <c r="AM231">
        <v>86.503797753000399</v>
      </c>
      <c r="AN231">
        <v>1.0000000489768801</v>
      </c>
    </row>
    <row r="232" spans="1:40" x14ac:dyDescent="0.25">
      <c r="A232" t="str">
        <f>"20190303170946526"</f>
        <v>20190303170946526</v>
      </c>
      <c r="B232" t="str">
        <f>"1551604186520651"</f>
        <v>1551604186520651</v>
      </c>
      <c r="C232" t="s">
        <v>40</v>
      </c>
      <c r="D232">
        <v>5.0767239999999996</v>
      </c>
      <c r="E232">
        <v>0.49000080000000001</v>
      </c>
      <c r="F232" t="s">
        <v>42</v>
      </c>
      <c r="G232">
        <v>-361.12400000000002</v>
      </c>
      <c r="H232" s="1">
        <v>-4.4053939999999996E-6</v>
      </c>
      <c r="I232">
        <v>366.14749999999998</v>
      </c>
      <c r="J232">
        <v>-408.42349999999999</v>
      </c>
      <c r="K232">
        <v>1.070981</v>
      </c>
      <c r="L232">
        <v>367.5009</v>
      </c>
      <c r="M232">
        <v>0.99992669999999995</v>
      </c>
      <c r="N232">
        <v>-8.870078E-3</v>
      </c>
      <c r="O232">
        <v>-8.2609969999999904E-3</v>
      </c>
      <c r="P232">
        <v>0.97692290000000004</v>
      </c>
      <c r="Q232">
        <v>0.20223630000000001</v>
      </c>
      <c r="R232">
        <v>-6.8721089999999999E-2</v>
      </c>
      <c r="S232">
        <v>3.079437</v>
      </c>
      <c r="T232">
        <v>-6.9017289999999995E-2</v>
      </c>
      <c r="U232">
        <v>-8.7463379999999993E-2</v>
      </c>
      <c r="V232">
        <v>6.0259310000000003E-2</v>
      </c>
      <c r="W232">
        <v>0.21101010000000001</v>
      </c>
      <c r="X232">
        <v>0.97562470000000001</v>
      </c>
      <c r="Y232">
        <v>2.0125690000000002E-2</v>
      </c>
      <c r="Z232">
        <v>-2.029306E-4</v>
      </c>
      <c r="AA232">
        <v>0.99979750000000001</v>
      </c>
      <c r="AB232">
        <v>47</v>
      </c>
      <c r="AC232">
        <v>47.299499999999902</v>
      </c>
      <c r="AD232">
        <v>-1.070985405394</v>
      </c>
      <c r="AE232">
        <v>-1.3534000000000199</v>
      </c>
      <c r="AF232">
        <v>0.96210462199294999</v>
      </c>
      <c r="AG232">
        <v>-1.070985405394</v>
      </c>
      <c r="AH232">
        <v>47.284844174012299</v>
      </c>
      <c r="AI232">
        <v>91.297239381000907</v>
      </c>
      <c r="AJ232">
        <v>88.834363738519798</v>
      </c>
      <c r="AK232">
        <v>47.306755792411501</v>
      </c>
      <c r="AL232">
        <v>77.818446767292301</v>
      </c>
      <c r="AM232">
        <v>86.465624825526604</v>
      </c>
      <c r="AN232">
        <v>1.0000000009968799</v>
      </c>
    </row>
    <row r="233" spans="1:40" x14ac:dyDescent="0.25">
      <c r="A233" t="str">
        <f>"20190303170946549"</f>
        <v>20190303170946549</v>
      </c>
      <c r="B233" t="str">
        <f>"1551604186541147"</f>
        <v>1551604186541147</v>
      </c>
      <c r="C233" t="s">
        <v>40</v>
      </c>
      <c r="D233">
        <v>5.0818629999999896</v>
      </c>
      <c r="E233">
        <v>0.48981400000000003</v>
      </c>
      <c r="F233" t="s">
        <v>42</v>
      </c>
      <c r="G233">
        <v>-361.22149999999999</v>
      </c>
      <c r="H233" s="1">
        <v>-4.3532889999999901E-6</v>
      </c>
      <c r="I233">
        <v>366.20549999999997</v>
      </c>
      <c r="J233">
        <v>-407.93490000000003</v>
      </c>
      <c r="K233">
        <v>1.071083</v>
      </c>
      <c r="L233">
        <v>367.4973</v>
      </c>
      <c r="M233">
        <v>0.99992539999999996</v>
      </c>
      <c r="N233">
        <v>-9.5190120000000003E-3</v>
      </c>
      <c r="O233">
        <v>-7.65899099999999E-3</v>
      </c>
      <c r="P233">
        <v>0.97712710000000003</v>
      </c>
      <c r="Q233">
        <v>0.20135069999999999</v>
      </c>
      <c r="R233">
        <v>-6.8415690000000001E-2</v>
      </c>
      <c r="S233">
        <v>3.0793759999999999</v>
      </c>
      <c r="T233">
        <v>-6.986916E-2</v>
      </c>
      <c r="U233">
        <v>-8.4503170000000002E-2</v>
      </c>
      <c r="V233">
        <v>6.0541789999999998E-2</v>
      </c>
      <c r="W233">
        <v>0.21075930000000001</v>
      </c>
      <c r="X233">
        <v>0.97566140000000001</v>
      </c>
      <c r="Y233">
        <v>1.9767509999999999E-2</v>
      </c>
      <c r="Z233">
        <v>-2.1748000000000001E-4</v>
      </c>
      <c r="AA233">
        <v>0.99980460000000004</v>
      </c>
      <c r="AB233">
        <v>47</v>
      </c>
      <c r="AC233">
        <v>46.7134</v>
      </c>
      <c r="AD233">
        <v>-1.071087353289</v>
      </c>
      <c r="AE233">
        <v>-1.29180000000002</v>
      </c>
      <c r="AF233">
        <v>0.93347801360340499</v>
      </c>
      <c r="AG233">
        <v>-1.071087353289</v>
      </c>
      <c r="AH233">
        <v>46.697392391083</v>
      </c>
      <c r="AI233">
        <v>91.313687378433798</v>
      </c>
      <c r="AJ233">
        <v>88.854813398704707</v>
      </c>
      <c r="AK233">
        <v>46.719001117821797</v>
      </c>
      <c r="AL233">
        <v>77.833146876757198</v>
      </c>
      <c r="AM233">
        <v>86.449232113003006</v>
      </c>
      <c r="AN233">
        <v>0.99999997916142602</v>
      </c>
    </row>
    <row r="234" spans="1:40" x14ac:dyDescent="0.25">
      <c r="A234" t="str">
        <f>"20190303170946573"</f>
        <v>20190303170946573</v>
      </c>
      <c r="B234" t="str">
        <f>"1551604186560667"</f>
        <v>1551604186560667</v>
      </c>
      <c r="C234" t="s">
        <v>40</v>
      </c>
      <c r="D234">
        <v>5.0092049999999997</v>
      </c>
      <c r="E234">
        <v>0.48967260000000001</v>
      </c>
      <c r="F234" t="s">
        <v>42</v>
      </c>
      <c r="G234">
        <v>-362.18549999999999</v>
      </c>
      <c r="H234" s="1">
        <v>-3.9266060000000004E-6</v>
      </c>
      <c r="I234">
        <v>366.27940000000001</v>
      </c>
      <c r="J234">
        <v>-407.44639999999998</v>
      </c>
      <c r="K234">
        <v>1.0711599999999999</v>
      </c>
      <c r="L234">
        <v>367.49400000000003</v>
      </c>
      <c r="M234">
        <v>0.99992329999999996</v>
      </c>
      <c r="N234">
        <v>-1.0196759999999999E-2</v>
      </c>
      <c r="O234">
        <v>-7.0501359999999898E-3</v>
      </c>
      <c r="P234">
        <v>0.97723479999999996</v>
      </c>
      <c r="Q234">
        <v>0.20084940000000001</v>
      </c>
      <c r="R234">
        <v>-6.8352650000000001E-2</v>
      </c>
      <c r="S234">
        <v>3.0793149999999998</v>
      </c>
      <c r="T234">
        <v>-7.2093009999999999E-2</v>
      </c>
      <c r="U234">
        <v>-8.1970210000000002E-2</v>
      </c>
      <c r="V234">
        <v>6.1077909999999999E-2</v>
      </c>
      <c r="W234">
        <v>0.21091960000000001</v>
      </c>
      <c r="X234">
        <v>0.9755933</v>
      </c>
      <c r="Y234">
        <v>1.9554459999999999E-2</v>
      </c>
      <c r="Z234">
        <v>-2.354418E-4</v>
      </c>
      <c r="AA234">
        <v>0.99980880000000005</v>
      </c>
      <c r="AB234">
        <v>47</v>
      </c>
      <c r="AC234">
        <v>45.2608999999999</v>
      </c>
      <c r="AD234">
        <v>-1.071163926606</v>
      </c>
      <c r="AE234">
        <v>-1.2146000000000099</v>
      </c>
      <c r="AF234">
        <v>0.89495686123735096</v>
      </c>
      <c r="AG234">
        <v>-1.071163926606</v>
      </c>
      <c r="AH234">
        <v>45.243016201506798</v>
      </c>
      <c r="AI234">
        <v>91.356004010435896</v>
      </c>
      <c r="AJ234">
        <v>88.866773952282799</v>
      </c>
      <c r="AK234">
        <v>45.2645430215631</v>
      </c>
      <c r="AL234">
        <v>77.823750643485496</v>
      </c>
      <c r="AM234">
        <v>86.417620866209901</v>
      </c>
      <c r="AN234">
        <v>0.99999993787950703</v>
      </c>
    </row>
    <row r="235" spans="1:40" x14ac:dyDescent="0.25">
      <c r="A235" t="str">
        <f>"20190303170946595"</f>
        <v>20190303170946595</v>
      </c>
      <c r="B235" t="str">
        <f>"1551604186581162"</f>
        <v>1551604186581162</v>
      </c>
      <c r="C235" t="s">
        <v>40</v>
      </c>
      <c r="D235">
        <v>5.0767829999999998</v>
      </c>
      <c r="E235">
        <v>0.48952279999999998</v>
      </c>
      <c r="F235" t="s">
        <v>42</v>
      </c>
      <c r="G235">
        <v>-362.84410000000003</v>
      </c>
      <c r="H235" s="1">
        <v>-3.637198E-6</v>
      </c>
      <c r="I235">
        <v>366.31819999999999</v>
      </c>
      <c r="J235">
        <v>-406.98590000000002</v>
      </c>
      <c r="K235">
        <v>1.0712250000000001</v>
      </c>
      <c r="L235">
        <v>367.49130000000002</v>
      </c>
      <c r="M235">
        <v>0.99992060000000005</v>
      </c>
      <c r="N235">
        <v>-1.0824479999999999E-2</v>
      </c>
      <c r="O235">
        <v>-6.4677809999999997E-3</v>
      </c>
      <c r="P235">
        <v>0.97721950000000002</v>
      </c>
      <c r="Q235">
        <v>0.20074649999999999</v>
      </c>
      <c r="R235">
        <v>-6.8871790000000002E-2</v>
      </c>
      <c r="S235">
        <v>3.0793460000000001</v>
      </c>
      <c r="T235">
        <v>-7.3953030000000003E-2</v>
      </c>
      <c r="U235">
        <v>-8.1176760000000001E-2</v>
      </c>
      <c r="V235">
        <v>6.217135E-2</v>
      </c>
      <c r="W235">
        <v>0.21142859999999999</v>
      </c>
      <c r="X235">
        <v>0.97541409999999995</v>
      </c>
      <c r="Y235">
        <v>1.9878320000000001E-2</v>
      </c>
      <c r="Z235">
        <v>-2.6097289999999998E-4</v>
      </c>
      <c r="AA235">
        <v>0.99980239999999998</v>
      </c>
      <c r="AB235">
        <v>46</v>
      </c>
      <c r="AC235">
        <v>44.141799999999897</v>
      </c>
      <c r="AD235">
        <v>-1.071228637198</v>
      </c>
      <c r="AE235">
        <v>-1.17310000000003</v>
      </c>
      <c r="AF235">
        <v>0.88703723231187903</v>
      </c>
      <c r="AG235">
        <v>-1.071228637198</v>
      </c>
      <c r="AH235">
        <v>44.122497647360703</v>
      </c>
      <c r="AI235">
        <v>91.390502252005106</v>
      </c>
      <c r="AJ235">
        <v>88.848282691353702</v>
      </c>
      <c r="AK235">
        <v>44.1444126077809</v>
      </c>
      <c r="AL235">
        <v>77.793914978537003</v>
      </c>
      <c r="AM235">
        <v>86.352991174345405</v>
      </c>
      <c r="AN235">
        <v>0.99999999806879603</v>
      </c>
    </row>
    <row r="236" spans="1:40" x14ac:dyDescent="0.25">
      <c r="A236" t="str">
        <f>"20190303170946618"</f>
        <v>20190303170946618</v>
      </c>
      <c r="B236" t="str">
        <f>"1551604186610443"</f>
        <v>1551604186610443</v>
      </c>
      <c r="C236" t="s">
        <v>40</v>
      </c>
      <c r="D236">
        <v>4.8513799999999998</v>
      </c>
      <c r="E236">
        <v>0.48941259999999998</v>
      </c>
      <c r="F236" t="s">
        <v>42</v>
      </c>
      <c r="G236">
        <v>-362.28680000000003</v>
      </c>
      <c r="H236" s="1">
        <v>-3.8770810000000002E-6</v>
      </c>
      <c r="I236">
        <v>366.31380000000001</v>
      </c>
      <c r="J236">
        <v>-406.51060000000001</v>
      </c>
      <c r="K236">
        <v>1.071285</v>
      </c>
      <c r="L236">
        <v>367.48860000000002</v>
      </c>
      <c r="M236">
        <v>0.99991750000000001</v>
      </c>
      <c r="N236">
        <v>-1.1426230000000001E-2</v>
      </c>
      <c r="O236">
        <v>-5.8636740000000001E-3</v>
      </c>
      <c r="P236">
        <v>0.97714140000000005</v>
      </c>
      <c r="Q236">
        <v>0.200991</v>
      </c>
      <c r="R236">
        <v>-6.9261699999999995E-2</v>
      </c>
      <c r="S236">
        <v>3.0793460000000001</v>
      </c>
      <c r="T236">
        <v>-7.3797349999999998E-2</v>
      </c>
      <c r="U236">
        <v>-8.1115720000000002E-2</v>
      </c>
      <c r="V236">
        <v>6.3155260000000005E-2</v>
      </c>
      <c r="W236">
        <v>0.21225949999999999</v>
      </c>
      <c r="X236">
        <v>0.97517039999999999</v>
      </c>
      <c r="Y236">
        <v>2.0462049999999999E-2</v>
      </c>
      <c r="Z236">
        <v>-2.885726E-4</v>
      </c>
      <c r="AA236">
        <v>0.99979059999999997</v>
      </c>
      <c r="AB236">
        <v>46</v>
      </c>
      <c r="AC236">
        <v>44.223799999999898</v>
      </c>
      <c r="AD236">
        <v>-1.0712888770810001</v>
      </c>
      <c r="AE236">
        <v>-1.1748000000000001</v>
      </c>
      <c r="AF236">
        <v>0.91491241278206203</v>
      </c>
      <c r="AG236">
        <v>-1.0712888770810001</v>
      </c>
      <c r="AH236">
        <v>44.204007447627298</v>
      </c>
      <c r="AI236">
        <v>91.388000471121003</v>
      </c>
      <c r="AJ236">
        <v>88.814289938896906</v>
      </c>
      <c r="AK236">
        <v>44.226451349968301</v>
      </c>
      <c r="AL236">
        <v>77.745202275150405</v>
      </c>
      <c r="AM236">
        <v>86.294510686673206</v>
      </c>
      <c r="AN236">
        <v>0.99999999562103803</v>
      </c>
    </row>
    <row r="237" spans="1:40" x14ac:dyDescent="0.25">
      <c r="A237" t="str">
        <f>"20190303170946637"</f>
        <v>20190303170946637</v>
      </c>
      <c r="B237" t="str">
        <f>"1551604186630939"</f>
        <v>1551604186630939</v>
      </c>
      <c r="C237" t="s">
        <v>40</v>
      </c>
      <c r="D237">
        <v>5.1569599999999998</v>
      </c>
      <c r="E237">
        <v>0.48938310000000002</v>
      </c>
      <c r="F237" t="s">
        <v>42</v>
      </c>
      <c r="G237">
        <v>-361.2217</v>
      </c>
      <c r="H237" s="1">
        <v>-4.3379060000000002E-6</v>
      </c>
      <c r="I237">
        <v>366.29160000000002</v>
      </c>
      <c r="J237">
        <v>-406.09989999999999</v>
      </c>
      <c r="K237">
        <v>1.0713239999999999</v>
      </c>
      <c r="L237">
        <v>367.48660000000001</v>
      </c>
      <c r="M237">
        <v>0.999915</v>
      </c>
      <c r="N237">
        <v>-1.189935E-2</v>
      </c>
      <c r="O237">
        <v>-5.3451230000000002E-3</v>
      </c>
      <c r="P237">
        <v>0.97720169999999995</v>
      </c>
      <c r="Q237">
        <v>0.2006558</v>
      </c>
      <c r="R237">
        <v>-6.9385600000000006E-2</v>
      </c>
      <c r="S237">
        <v>3.0794069999999998</v>
      </c>
      <c r="T237">
        <v>-7.2841999999999907E-2</v>
      </c>
      <c r="U237">
        <v>-8.1390379999999998E-2</v>
      </c>
      <c r="V237">
        <v>6.3787769999999994E-2</v>
      </c>
      <c r="W237">
        <v>0.2123862</v>
      </c>
      <c r="X237">
        <v>0.97510160000000001</v>
      </c>
      <c r="Y237">
        <v>2.1068819999999999E-2</v>
      </c>
      <c r="Z237">
        <v>-3.1171120000000001E-4</v>
      </c>
      <c r="AA237">
        <v>0.99977800000000006</v>
      </c>
      <c r="AB237">
        <v>46</v>
      </c>
      <c r="AC237">
        <v>44.8781999999999</v>
      </c>
      <c r="AD237">
        <v>-1.0713283379059999</v>
      </c>
      <c r="AE237">
        <v>-1.1949999999999901</v>
      </c>
      <c r="AF237">
        <v>0.95454288559496303</v>
      </c>
      <c r="AG237">
        <v>-1.0713283379059999</v>
      </c>
      <c r="AH237">
        <v>44.8584014273249</v>
      </c>
      <c r="AI237">
        <v>91.367793762206404</v>
      </c>
      <c r="AJ237">
        <v>88.780985845839794</v>
      </c>
      <c r="AK237">
        <v>44.881344399907</v>
      </c>
      <c r="AL237">
        <v>77.737773002004403</v>
      </c>
      <c r="AM237">
        <v>86.257241259510096</v>
      </c>
      <c r="AN237">
        <v>0.99999995393728502</v>
      </c>
    </row>
    <row r="238" spans="1:40" x14ac:dyDescent="0.25">
      <c r="A238" t="str">
        <f>"20190303170946661"</f>
        <v>20190303170946661</v>
      </c>
      <c r="B238" t="str">
        <f>"1551604186650459"</f>
        <v>1551604186650459</v>
      </c>
      <c r="C238" t="s">
        <v>40</v>
      </c>
      <c r="D238">
        <v>5.0581500000000004</v>
      </c>
      <c r="E238">
        <v>0.48928050000000001</v>
      </c>
      <c r="F238" t="s">
        <v>42</v>
      </c>
      <c r="G238">
        <v>-361.00959999999998</v>
      </c>
      <c r="H238" s="1">
        <v>-4.4298689999999999E-6</v>
      </c>
      <c r="I238">
        <v>366.28620000000001</v>
      </c>
      <c r="J238">
        <v>-405.62209999999999</v>
      </c>
      <c r="K238">
        <v>1.071353</v>
      </c>
      <c r="L238">
        <v>367.4846</v>
      </c>
      <c r="M238">
        <v>0.99991200000000002</v>
      </c>
      <c r="N238">
        <v>-1.239109E-2</v>
      </c>
      <c r="O238">
        <v>-4.7486780000000001E-3</v>
      </c>
      <c r="P238">
        <v>0.9773868</v>
      </c>
      <c r="Q238">
        <v>0.19986100000000001</v>
      </c>
      <c r="R238">
        <v>-6.9069729999999996E-2</v>
      </c>
      <c r="S238">
        <v>3.0791930000000001</v>
      </c>
      <c r="T238">
        <v>-7.3160409999999995E-2</v>
      </c>
      <c r="U238">
        <v>-8.1970210000000002E-2</v>
      </c>
      <c r="V238">
        <v>6.4055420000000002E-2</v>
      </c>
      <c r="W238">
        <v>0.21207309999999999</v>
      </c>
      <c r="X238">
        <v>0.97515229999999997</v>
      </c>
      <c r="Y238">
        <v>2.1854519999999999E-2</v>
      </c>
      <c r="Z238">
        <v>-3.4104529999999999E-4</v>
      </c>
      <c r="AA238">
        <v>0.99976109999999896</v>
      </c>
      <c r="AB238">
        <v>46</v>
      </c>
      <c r="AC238">
        <v>44.612499999999997</v>
      </c>
      <c r="AD238">
        <v>-1.0713574298690001</v>
      </c>
      <c r="AE238">
        <v>-1.1983999999999899</v>
      </c>
      <c r="AF238">
        <v>0.98595163760575499</v>
      </c>
      <c r="AG238">
        <v>-1.0713574298690001</v>
      </c>
      <c r="AH238">
        <v>44.591990172945799</v>
      </c>
      <c r="AI238">
        <v>91.375974953479897</v>
      </c>
      <c r="AJ238">
        <v>88.733367484427006</v>
      </c>
      <c r="AK238">
        <v>44.615753887593598</v>
      </c>
      <c r="AL238">
        <v>77.756131722681005</v>
      </c>
      <c r="AM238">
        <v>86.241776613091503</v>
      </c>
      <c r="AN238">
        <v>1.00000005238513</v>
      </c>
    </row>
    <row r="239" spans="1:40" x14ac:dyDescent="0.25">
      <c r="A239" t="str">
        <f>"20190303170946682"</f>
        <v>20190303170946682</v>
      </c>
      <c r="B239" t="str">
        <f>"1551604186670954"</f>
        <v>1551604186670954</v>
      </c>
      <c r="C239" t="s">
        <v>40</v>
      </c>
      <c r="D239">
        <v>5.151491</v>
      </c>
      <c r="E239">
        <v>0.4891489</v>
      </c>
      <c r="F239" t="s">
        <v>42</v>
      </c>
      <c r="G239">
        <v>-361.72300000000001</v>
      </c>
      <c r="H239" s="1">
        <v>-4.1129930000000003E-6</v>
      </c>
      <c r="I239">
        <v>366.34719999999999</v>
      </c>
      <c r="J239">
        <v>-405.16950000000003</v>
      </c>
      <c r="K239">
        <v>1.0713820000000001</v>
      </c>
      <c r="L239">
        <v>367.48289999999997</v>
      </c>
      <c r="M239">
        <v>0.99990919999999905</v>
      </c>
      <c r="N239">
        <v>-1.280539E-2</v>
      </c>
      <c r="O239">
        <v>-4.1881610000000001E-3</v>
      </c>
      <c r="P239">
        <v>0.97756319999999997</v>
      </c>
      <c r="Q239">
        <v>0.19920860000000001</v>
      </c>
      <c r="R239">
        <v>-6.8453369999999999E-2</v>
      </c>
      <c r="S239">
        <v>3.0791629999999999</v>
      </c>
      <c r="T239">
        <v>-7.5146909999999997E-2</v>
      </c>
      <c r="U239">
        <v>-7.9772949999999995E-2</v>
      </c>
      <c r="V239">
        <v>6.3987409999999995E-2</v>
      </c>
      <c r="W239">
        <v>0.2118266</v>
      </c>
      <c r="X239">
        <v>0.97521029999999997</v>
      </c>
      <c r="Y239">
        <v>2.1701769999999999E-2</v>
      </c>
      <c r="Z239">
        <v>-3.551855E-4</v>
      </c>
      <c r="AA239">
        <v>0.9997644</v>
      </c>
      <c r="AB239">
        <v>46</v>
      </c>
      <c r="AC239">
        <v>43.4465</v>
      </c>
      <c r="AD239">
        <v>-1.071386112993</v>
      </c>
      <c r="AE239">
        <v>-1.1356999999999799</v>
      </c>
      <c r="AF239">
        <v>0.95313495817295601</v>
      </c>
      <c r="AG239">
        <v>-1.071386112993</v>
      </c>
      <c r="AH239">
        <v>43.424486929068202</v>
      </c>
      <c r="AI239">
        <v>91.412997205855405</v>
      </c>
      <c r="AJ239">
        <v>88.742602460170801</v>
      </c>
      <c r="AK239">
        <v>43.448157607710201</v>
      </c>
      <c r="AL239">
        <v>77.770582980336201</v>
      </c>
      <c r="AM239">
        <v>86.245978082799994</v>
      </c>
      <c r="AN239">
        <v>1.00000001316607</v>
      </c>
    </row>
    <row r="240" spans="1:40" x14ac:dyDescent="0.25">
      <c r="A240" t="str">
        <f>"20190303170946705"</f>
        <v>20190303170946705</v>
      </c>
      <c r="B240" t="str">
        <f>"1551604186690475"</f>
        <v>1551604186690475</v>
      </c>
      <c r="C240" t="s">
        <v>40</v>
      </c>
      <c r="D240">
        <v>5.1337900000000003</v>
      </c>
      <c r="E240">
        <v>0.48902879999999899</v>
      </c>
      <c r="F240" t="s">
        <v>42</v>
      </c>
      <c r="G240">
        <v>-362.43349999999998</v>
      </c>
      <c r="H240" s="1">
        <v>-3.795962E-6</v>
      </c>
      <c r="I240">
        <v>366.41629999999998</v>
      </c>
      <c r="J240">
        <v>-404.73059999999998</v>
      </c>
      <c r="K240">
        <v>1.071401</v>
      </c>
      <c r="L240">
        <v>367.48149999999998</v>
      </c>
      <c r="M240">
        <v>0.99990690000000004</v>
      </c>
      <c r="N240">
        <v>-1.316203E-2</v>
      </c>
      <c r="O240">
        <v>-3.6458929999999999E-3</v>
      </c>
      <c r="P240">
        <v>0.97763739999999999</v>
      </c>
      <c r="Q240">
        <v>0.1991763</v>
      </c>
      <c r="R240">
        <v>-6.7487969999999994E-2</v>
      </c>
      <c r="S240">
        <v>3.0791629999999999</v>
      </c>
      <c r="T240">
        <v>-7.7193979999999995E-2</v>
      </c>
      <c r="U240">
        <v>-7.6843259999999997E-2</v>
      </c>
      <c r="V240">
        <v>6.3552059999999994E-2</v>
      </c>
      <c r="W240">
        <v>0.2121412</v>
      </c>
      <c r="X240">
        <v>0.97517039999999999</v>
      </c>
      <c r="Y240">
        <v>2.1292950000000001E-2</v>
      </c>
      <c r="Z240">
        <v>-3.6361919999999999E-4</v>
      </c>
      <c r="AA240">
        <v>0.99977320000000003</v>
      </c>
      <c r="AB240">
        <v>46</v>
      </c>
      <c r="AC240">
        <v>42.2971</v>
      </c>
      <c r="AD240">
        <v>-1.0714047959619999</v>
      </c>
      <c r="AE240">
        <v>-1.0651999999999999</v>
      </c>
      <c r="AF240">
        <v>0.91038512322977905</v>
      </c>
      <c r="AG240">
        <v>-1.0714047959619999</v>
      </c>
      <c r="AH240">
        <v>42.273595875211399</v>
      </c>
      <c r="AI240">
        <v>91.451487906973398</v>
      </c>
      <c r="AJ240">
        <v>88.766294594059801</v>
      </c>
      <c r="AK240">
        <v>42.296969365784399</v>
      </c>
      <c r="AL240">
        <v>77.752138766951504</v>
      </c>
      <c r="AM240">
        <v>86.271294835064694</v>
      </c>
      <c r="AN240">
        <v>1.0000000310519199</v>
      </c>
    </row>
    <row r="241" spans="1:40" x14ac:dyDescent="0.25">
      <c r="A241" t="str">
        <f>"20190303170946726"</f>
        <v>20190303170946726</v>
      </c>
      <c r="B241" t="str">
        <f>"1551604186720731"</f>
        <v>1551604186720731</v>
      </c>
      <c r="C241" t="s">
        <v>40</v>
      </c>
      <c r="D241">
        <v>4.9416739999999999</v>
      </c>
      <c r="E241">
        <v>0.48885980000000001</v>
      </c>
      <c r="F241" t="s">
        <v>42</v>
      </c>
      <c r="G241">
        <v>-362.05709999999999</v>
      </c>
      <c r="H241" s="1">
        <v>-3.9475720000000002E-6</v>
      </c>
      <c r="I241">
        <v>366.47190000000001</v>
      </c>
      <c r="J241">
        <v>-404.27449999999999</v>
      </c>
      <c r="K241">
        <v>1.071421</v>
      </c>
      <c r="L241">
        <v>367.4803</v>
      </c>
      <c r="M241">
        <v>0.99990420000000002</v>
      </c>
      <c r="N241">
        <v>-1.3488999999999999E-2</v>
      </c>
      <c r="O241">
        <v>-3.0801750000000001E-3</v>
      </c>
      <c r="P241">
        <v>0.977572</v>
      </c>
      <c r="Q241">
        <v>0.1999281</v>
      </c>
      <c r="R241">
        <v>-6.6193890000000005E-2</v>
      </c>
      <c r="S241">
        <v>3.079285</v>
      </c>
      <c r="T241">
        <v>-7.7311519999999995E-2</v>
      </c>
      <c r="U241">
        <v>-7.2845460000000001E-2</v>
      </c>
      <c r="V241">
        <v>6.2811539999999999E-2</v>
      </c>
      <c r="W241">
        <v>0.2132086</v>
      </c>
      <c r="X241">
        <v>0.97498549999999995</v>
      </c>
      <c r="Y241">
        <v>2.056055E-2</v>
      </c>
      <c r="Z241">
        <v>-3.609916E-4</v>
      </c>
      <c r="AA241">
        <v>0.99978849999999997</v>
      </c>
      <c r="AB241">
        <v>46</v>
      </c>
      <c r="AC241">
        <v>42.217399999999998</v>
      </c>
      <c r="AD241">
        <v>-1.0714249475719999</v>
      </c>
      <c r="AE241">
        <v>-1.00839999999999</v>
      </c>
      <c r="AF241">
        <v>0.877781353796663</v>
      </c>
      <c r="AG241">
        <v>-1.0714249475719999</v>
      </c>
      <c r="AH241">
        <v>42.193145715077598</v>
      </c>
      <c r="AI241">
        <v>91.454304135153293</v>
      </c>
      <c r="AJ241">
        <v>88.808197106799199</v>
      </c>
      <c r="AK241">
        <v>42.215873754514703</v>
      </c>
      <c r="AL241">
        <v>77.689548517658494</v>
      </c>
      <c r="AM241">
        <v>86.313924952670206</v>
      </c>
      <c r="AN241">
        <v>0.99999996094068899</v>
      </c>
    </row>
    <row r="242" spans="1:40" x14ac:dyDescent="0.25">
      <c r="A242" t="str">
        <f>"20190303170946750"</f>
        <v>20190303170946750</v>
      </c>
      <c r="B242" t="str">
        <f>"1551604186741227"</f>
        <v>1551604186741227</v>
      </c>
      <c r="C242" t="s">
        <v>40</v>
      </c>
      <c r="D242">
        <v>5.064889</v>
      </c>
      <c r="E242">
        <v>0.4887609</v>
      </c>
      <c r="F242" t="s">
        <v>42</v>
      </c>
      <c r="G242">
        <v>-360.49919999999997</v>
      </c>
      <c r="H242" s="1">
        <v>-4.6080090000000002E-6</v>
      </c>
      <c r="I242">
        <v>366.5163</v>
      </c>
      <c r="J242">
        <v>-403.79309999999998</v>
      </c>
      <c r="K242">
        <v>1.0714349999999999</v>
      </c>
      <c r="L242">
        <v>367.47930000000002</v>
      </c>
      <c r="M242">
        <v>0.99990190000000001</v>
      </c>
      <c r="N242">
        <v>-1.379069E-2</v>
      </c>
      <c r="O242">
        <v>-2.4807660000000001E-3</v>
      </c>
      <c r="P242">
        <v>0.97745859999999996</v>
      </c>
      <c r="Q242">
        <v>0.20078209999999999</v>
      </c>
      <c r="R242">
        <v>-6.528101E-2</v>
      </c>
      <c r="S242">
        <v>3.0797119999999998</v>
      </c>
      <c r="T242">
        <v>-7.537758E-2</v>
      </c>
      <c r="U242">
        <v>-6.7810060000000005E-2</v>
      </c>
      <c r="V242">
        <v>6.2485239999999997E-2</v>
      </c>
      <c r="W242">
        <v>0.21435360000000001</v>
      </c>
      <c r="X242">
        <v>0.97475540000000005</v>
      </c>
      <c r="Y242">
        <v>1.9523510000000001E-2</v>
      </c>
      <c r="Z242">
        <v>-3.4704089999999902E-4</v>
      </c>
      <c r="AA242">
        <v>0.99980930000000001</v>
      </c>
      <c r="AB242">
        <v>46</v>
      </c>
      <c r="AC242">
        <v>43.293900000000001</v>
      </c>
      <c r="AD242">
        <v>-1.0714396080090001</v>
      </c>
      <c r="AE242">
        <v>-0.96300000000002195</v>
      </c>
      <c r="AF242">
        <v>0.85506135744799205</v>
      </c>
      <c r="AG242">
        <v>-1.0714396080090001</v>
      </c>
      <c r="AH242">
        <v>43.269667865105198</v>
      </c>
      <c r="AI242">
        <v>91.418186289280001</v>
      </c>
      <c r="AJ242">
        <v>88.867912933584805</v>
      </c>
      <c r="AK242">
        <v>43.291376392015202</v>
      </c>
      <c r="AL242">
        <v>77.622392543313495</v>
      </c>
      <c r="AM242">
        <v>86.3321581185171</v>
      </c>
      <c r="AN242">
        <v>0.99999998043998795</v>
      </c>
    </row>
    <row r="243" spans="1:40" x14ac:dyDescent="0.25">
      <c r="A243" t="str">
        <f>"20190303170946773"</f>
        <v>20190303170946773</v>
      </c>
      <c r="B243" t="str">
        <f>"1551604186760747"</f>
        <v>1551604186760747</v>
      </c>
      <c r="C243" t="s">
        <v>40</v>
      </c>
      <c r="D243">
        <v>5.094023</v>
      </c>
      <c r="E243">
        <v>0.4887089</v>
      </c>
      <c r="F243" t="s">
        <v>42</v>
      </c>
      <c r="G243">
        <v>-358.48610000000002</v>
      </c>
      <c r="H243" s="1">
        <v>-1.3203619999999999E-6</v>
      </c>
      <c r="I243">
        <v>366.5378</v>
      </c>
      <c r="J243">
        <v>-403.31319999999999</v>
      </c>
      <c r="K243">
        <v>1.071447</v>
      </c>
      <c r="L243">
        <v>367.47859999999997</v>
      </c>
      <c r="M243">
        <v>0.99989969999999995</v>
      </c>
      <c r="N243">
        <v>-1.405168E-2</v>
      </c>
      <c r="O243">
        <v>-1.880563E-3</v>
      </c>
      <c r="P243">
        <v>0.97750539999999997</v>
      </c>
      <c r="Q243">
        <v>0.2007833</v>
      </c>
      <c r="R243">
        <v>-6.4571539999999997E-2</v>
      </c>
      <c r="S243">
        <v>3.0798649999999999</v>
      </c>
      <c r="T243">
        <v>-7.2833780000000001E-2</v>
      </c>
      <c r="U243">
        <v>-6.3995360000000001E-2</v>
      </c>
      <c r="V243">
        <v>6.2364540000000003E-2</v>
      </c>
      <c r="W243">
        <v>0.2146083</v>
      </c>
      <c r="X243">
        <v>0.97470710000000005</v>
      </c>
      <c r="Y243">
        <v>1.888544E-2</v>
      </c>
      <c r="Z243">
        <v>-3.379473E-4</v>
      </c>
      <c r="AA243">
        <v>0.99982159999999998</v>
      </c>
      <c r="AB243">
        <v>46</v>
      </c>
      <c r="AC243">
        <v>44.827099999999902</v>
      </c>
      <c r="AD243">
        <v>-1.071448320362</v>
      </c>
      <c r="AE243">
        <v>-0.940799999999967</v>
      </c>
      <c r="AF243">
        <v>0.85600102874713802</v>
      </c>
      <c r="AG243">
        <v>-1.071448320362</v>
      </c>
      <c r="AH243">
        <v>44.8032055043575</v>
      </c>
      <c r="AI243">
        <v>91.369691565077702</v>
      </c>
      <c r="AJ243">
        <v>88.905451534698003</v>
      </c>
      <c r="AK243">
        <v>44.824189482132503</v>
      </c>
      <c r="AL243">
        <v>77.607451782419503</v>
      </c>
      <c r="AM243">
        <v>86.339042932820504</v>
      </c>
      <c r="AN243">
        <v>0.99999999453435495</v>
      </c>
    </row>
    <row r="244" spans="1:40" x14ac:dyDescent="0.25">
      <c r="A244" t="str">
        <f>"20190303170946794"</f>
        <v>20190303170946794</v>
      </c>
      <c r="B244" t="str">
        <f>"1551604186781243"</f>
        <v>1551604186781243</v>
      </c>
      <c r="C244" t="s">
        <v>40</v>
      </c>
      <c r="D244">
        <v>5.1837359999999997</v>
      </c>
      <c r="E244">
        <v>0.48866330000000002</v>
      </c>
      <c r="F244" t="s">
        <v>42</v>
      </c>
      <c r="G244">
        <v>-358.09960000000001</v>
      </c>
      <c r="H244" s="1">
        <v>-1.4409639999999999E-6</v>
      </c>
      <c r="I244">
        <v>366.57889999999998</v>
      </c>
      <c r="J244">
        <v>-402.87060000000002</v>
      </c>
      <c r="K244">
        <v>1.071456</v>
      </c>
      <c r="L244">
        <v>367.47820000000002</v>
      </c>
      <c r="M244">
        <v>0.99989749999999999</v>
      </c>
      <c r="N244">
        <v>-1.426028E-2</v>
      </c>
      <c r="O244">
        <v>-1.327754E-3</v>
      </c>
      <c r="P244">
        <v>0.97761229999999999</v>
      </c>
      <c r="Q244">
        <v>0.2005942</v>
      </c>
      <c r="R244">
        <v>-6.3532279999999997E-2</v>
      </c>
      <c r="S244">
        <v>3.079987</v>
      </c>
      <c r="T244">
        <v>-7.2987789999999997E-2</v>
      </c>
      <c r="U244">
        <v>-6.1279300000000002E-2</v>
      </c>
      <c r="V244">
        <v>6.186792E-2</v>
      </c>
      <c r="W244">
        <v>0.2146218</v>
      </c>
      <c r="X244">
        <v>0.97473580000000004</v>
      </c>
      <c r="Y244">
        <v>1.8556099999999999E-2</v>
      </c>
      <c r="Z244">
        <v>-3.3964599999999998E-4</v>
      </c>
      <c r="AA244">
        <v>0.99982769999999999</v>
      </c>
      <c r="AB244">
        <v>46</v>
      </c>
      <c r="AC244">
        <v>44.771000000000001</v>
      </c>
      <c r="AD244">
        <v>-1.0714574409640001</v>
      </c>
      <c r="AE244">
        <v>-0.89930000000003896</v>
      </c>
      <c r="AF244">
        <v>0.83936774728525598</v>
      </c>
      <c r="AG244">
        <v>-1.0714574409640001</v>
      </c>
      <c r="AH244">
        <v>44.746536976917596</v>
      </c>
      <c r="AI244">
        <v>91.371446212962994</v>
      </c>
      <c r="AJ244">
        <v>88.925356171991197</v>
      </c>
      <c r="AK244">
        <v>44.767232779005099</v>
      </c>
      <c r="AL244">
        <v>77.606660133741798</v>
      </c>
      <c r="AM244">
        <v>86.368224098636702</v>
      </c>
      <c r="AN244">
        <v>1.000000018181</v>
      </c>
    </row>
    <row r="245" spans="1:40" x14ac:dyDescent="0.25">
      <c r="A245" t="str">
        <f>"20190303170946819"</f>
        <v>20190303170946819</v>
      </c>
      <c r="B245" t="str">
        <f>"1551604186811499"</f>
        <v>1551604186811499</v>
      </c>
      <c r="C245" t="s">
        <v>40</v>
      </c>
      <c r="D245">
        <v>5.0984350000000003</v>
      </c>
      <c r="E245">
        <v>0.4886954</v>
      </c>
      <c r="F245" t="s">
        <v>42</v>
      </c>
      <c r="G245">
        <v>-357.96620000000001</v>
      </c>
      <c r="H245" s="1">
        <v>-1.4715539999999901E-6</v>
      </c>
      <c r="I245">
        <v>366.63459999999998</v>
      </c>
      <c r="J245">
        <v>-402.39850000000001</v>
      </c>
      <c r="K245">
        <v>1.0714619999999999</v>
      </c>
      <c r="L245">
        <v>367.47800000000001</v>
      </c>
      <c r="M245">
        <v>0.99989530000000004</v>
      </c>
      <c r="N245">
        <v>-1.4452680000000001E-2</v>
      </c>
      <c r="O245">
        <v>-7.442646E-4</v>
      </c>
      <c r="P245">
        <v>0.97750769999999998</v>
      </c>
      <c r="Q245">
        <v>0.20139760000000001</v>
      </c>
      <c r="R245">
        <v>-6.2591649999999999E-2</v>
      </c>
      <c r="S245">
        <v>3.0800480000000001</v>
      </c>
      <c r="T245">
        <v>-7.3492409999999994E-2</v>
      </c>
      <c r="U245">
        <v>-5.7861330000000002E-2</v>
      </c>
      <c r="V245">
        <v>6.1499949999999998E-2</v>
      </c>
      <c r="W245">
        <v>0.215609</v>
      </c>
      <c r="X245">
        <v>0.9745412</v>
      </c>
      <c r="Y245">
        <v>1.803012E-2</v>
      </c>
      <c r="Z245">
        <v>-3.3839779999999999E-4</v>
      </c>
      <c r="AA245">
        <v>0.99983739999999999</v>
      </c>
      <c r="AB245">
        <v>46</v>
      </c>
      <c r="AC245">
        <v>44.432299999999998</v>
      </c>
      <c r="AD245">
        <v>-1.0714634715539999</v>
      </c>
      <c r="AE245">
        <v>-0.84340000000003001</v>
      </c>
      <c r="AF245">
        <v>0.809856155015512</v>
      </c>
      <c r="AG245">
        <v>-1.0714634715539999</v>
      </c>
      <c r="AH245">
        <v>44.407101599001102</v>
      </c>
      <c r="AI245">
        <v>91.381946200129207</v>
      </c>
      <c r="AJ245">
        <v>88.955207729775694</v>
      </c>
      <c r="AK245">
        <v>44.4274079075822</v>
      </c>
      <c r="AL245">
        <v>77.548741783976098</v>
      </c>
      <c r="AM245">
        <v>86.389048408484996</v>
      </c>
      <c r="AN245">
        <v>1.0000000176142201</v>
      </c>
    </row>
    <row r="246" spans="1:40" x14ac:dyDescent="0.25">
      <c r="A246" t="str">
        <f>"20190303170946838"</f>
        <v>20190303170946838</v>
      </c>
      <c r="B246" t="str">
        <f>"1551604186831019"</f>
        <v>1551604186831019</v>
      </c>
      <c r="C246" t="s">
        <v>40</v>
      </c>
      <c r="D246">
        <v>5.1032129999999896</v>
      </c>
      <c r="E246">
        <v>0.48865599999999998</v>
      </c>
      <c r="F246" t="s">
        <v>42</v>
      </c>
      <c r="G246">
        <v>-356.35250000000002</v>
      </c>
      <c r="H246" s="1">
        <v>-2.0739140000000001E-6</v>
      </c>
      <c r="I246">
        <v>366.6463</v>
      </c>
      <c r="J246">
        <v>-401.96370000000002</v>
      </c>
      <c r="K246">
        <v>1.0714680000000001</v>
      </c>
      <c r="L246">
        <v>367.47820000000002</v>
      </c>
      <c r="M246">
        <v>0.99989349999999999</v>
      </c>
      <c r="N246">
        <v>-1.460525E-2</v>
      </c>
      <c r="O246">
        <v>-2.1648030000000001E-4</v>
      </c>
      <c r="P246">
        <v>0.97741650000000002</v>
      </c>
      <c r="Q246">
        <v>0.20211960000000001</v>
      </c>
      <c r="R246">
        <v>-6.1684620000000003E-2</v>
      </c>
      <c r="S246">
        <v>3.0802610000000001</v>
      </c>
      <c r="T246">
        <v>-7.1675779999999994E-2</v>
      </c>
      <c r="U246">
        <v>-5.5633540000000002E-2</v>
      </c>
      <c r="V246">
        <v>6.1112180000000002E-2</v>
      </c>
      <c r="W246">
        <v>0.2164759</v>
      </c>
      <c r="X246">
        <v>0.9743733</v>
      </c>
      <c r="Y246">
        <v>1.7834039999999999E-2</v>
      </c>
      <c r="Z246">
        <v>-3.358554E-4</v>
      </c>
      <c r="AA246">
        <v>0.99984090000000003</v>
      </c>
      <c r="AB246">
        <v>46</v>
      </c>
      <c r="AC246">
        <v>45.611199999999997</v>
      </c>
      <c r="AD246">
        <v>-1.071470073914</v>
      </c>
      <c r="AE246">
        <v>-0.83190000000001796</v>
      </c>
      <c r="AF246">
        <v>0.82157177330349196</v>
      </c>
      <c r="AG246">
        <v>-1.071470073914</v>
      </c>
      <c r="AH246">
        <v>45.586230873344398</v>
      </c>
      <c r="AI246">
        <v>91.346227764188001</v>
      </c>
      <c r="AJ246">
        <v>88.967506223125795</v>
      </c>
      <c r="AK246">
        <v>45.606221873071597</v>
      </c>
      <c r="AL246">
        <v>77.497869468658195</v>
      </c>
      <c r="AM246">
        <v>86.411139842260098</v>
      </c>
      <c r="AN246">
        <v>0.999999920789023</v>
      </c>
    </row>
    <row r="247" spans="1:40" x14ac:dyDescent="0.25">
      <c r="A247" t="str">
        <f>"20190303170946862"</f>
        <v>20190303170946862</v>
      </c>
      <c r="B247" t="str">
        <f>"1551604186850959"</f>
        <v>1551604186850959</v>
      </c>
      <c r="C247" t="s">
        <v>40</v>
      </c>
      <c r="D247">
        <v>5.081906</v>
      </c>
      <c r="E247">
        <v>0.4886083</v>
      </c>
      <c r="F247" t="s">
        <v>42</v>
      </c>
      <c r="G247">
        <v>-354.4794</v>
      </c>
      <c r="H247" s="1">
        <v>-2.8742040000000001E-6</v>
      </c>
      <c r="I247">
        <v>366.66480000000001</v>
      </c>
      <c r="J247">
        <v>-401.49149999999997</v>
      </c>
      <c r="K247">
        <v>1.071466</v>
      </c>
      <c r="L247">
        <v>367.47859999999997</v>
      </c>
      <c r="M247">
        <v>0.99989130000000004</v>
      </c>
      <c r="N247">
        <v>-1.4747899999999901E-2</v>
      </c>
      <c r="O247">
        <v>3.457674E-4</v>
      </c>
      <c r="P247">
        <v>0.9775161</v>
      </c>
      <c r="Q247">
        <v>0.20178460000000001</v>
      </c>
      <c r="R247">
        <v>-6.1203109999999998E-2</v>
      </c>
      <c r="S247">
        <v>3.0803530000000001</v>
      </c>
      <c r="T247">
        <v>-6.9507239999999998E-2</v>
      </c>
      <c r="U247">
        <v>-5.2764890000000002E-2</v>
      </c>
      <c r="V247">
        <v>6.118647E-2</v>
      </c>
      <c r="W247">
        <v>0.21627950000000001</v>
      </c>
      <c r="X247">
        <v>0.97441230000000001</v>
      </c>
      <c r="Y247">
        <v>1.7465379999999999E-2</v>
      </c>
      <c r="Z247">
        <v>-3.2854489999999999E-4</v>
      </c>
      <c r="AA247">
        <v>0.99984740000000005</v>
      </c>
      <c r="AB247">
        <v>46</v>
      </c>
      <c r="AC247">
        <v>47.012099999999897</v>
      </c>
      <c r="AD247">
        <v>-1.0714688742039999</v>
      </c>
      <c r="AE247">
        <v>-0.813799999999957</v>
      </c>
      <c r="AF247">
        <v>0.82962615278736296</v>
      </c>
      <c r="AG247">
        <v>-1.0714688742039999</v>
      </c>
      <c r="AH247">
        <v>46.9874156925761</v>
      </c>
      <c r="AI247">
        <v>91.306103857081894</v>
      </c>
      <c r="AJ247">
        <v>88.988470895402301</v>
      </c>
      <c r="AK247">
        <v>47.006952236543903</v>
      </c>
      <c r="AL247">
        <v>77.509396016610907</v>
      </c>
      <c r="AM247">
        <v>86.406931965887793</v>
      </c>
      <c r="AN247">
        <v>0.9999999683113</v>
      </c>
    </row>
    <row r="248" spans="1:40" x14ac:dyDescent="0.25">
      <c r="A248" t="str">
        <f>"20190303170946883"</f>
        <v>20190303170946883</v>
      </c>
      <c r="B248" t="str">
        <f>"1551604186870479"</f>
        <v>1551604186870479</v>
      </c>
      <c r="C248" t="s">
        <v>40</v>
      </c>
      <c r="D248">
        <v>5.1750540000000003</v>
      </c>
      <c r="E248">
        <v>0.48857919999999999</v>
      </c>
      <c r="F248" t="s">
        <v>42</v>
      </c>
      <c r="G248">
        <v>-354.74349999999998</v>
      </c>
      <c r="H248" s="1">
        <v>-2.7534889999999999E-6</v>
      </c>
      <c r="I248">
        <v>366.70650000000001</v>
      </c>
      <c r="J248">
        <v>-401.07029999999997</v>
      </c>
      <c r="K248">
        <v>1.0715330000000001</v>
      </c>
      <c r="L248">
        <v>367.47910000000002</v>
      </c>
      <c r="M248">
        <v>0.99988509999999997</v>
      </c>
      <c r="N248">
        <v>-1.514011E-2</v>
      </c>
      <c r="O248">
        <v>8.0950529999999996E-4</v>
      </c>
      <c r="P248">
        <v>0.97776580000000002</v>
      </c>
      <c r="Q248">
        <v>0.2007235</v>
      </c>
      <c r="R248">
        <v>-6.0698549999999997E-2</v>
      </c>
      <c r="S248">
        <v>3.0803829999999999</v>
      </c>
      <c r="T248">
        <v>-7.0602659999999998E-2</v>
      </c>
      <c r="U248">
        <v>-5.0872800000000003E-2</v>
      </c>
      <c r="V248">
        <v>6.114721E-2</v>
      </c>
      <c r="W248">
        <v>0.21560070000000001</v>
      </c>
      <c r="X248">
        <v>0.97456520000000002</v>
      </c>
      <c r="Y248">
        <v>1.731475E-2</v>
      </c>
      <c r="Z248">
        <v>-3.3580170000000001E-4</v>
      </c>
      <c r="AA248">
        <v>0.99985000000000002</v>
      </c>
      <c r="AB248">
        <v>46</v>
      </c>
      <c r="AC248">
        <v>46.326799999999899</v>
      </c>
      <c r="AD248">
        <v>-1.071535753489</v>
      </c>
      <c r="AE248">
        <v>-0.77260000000001094</v>
      </c>
      <c r="AF248">
        <v>0.80967278463566705</v>
      </c>
      <c r="AG248">
        <v>-1.071535753489</v>
      </c>
      <c r="AH248">
        <v>46.301395251505902</v>
      </c>
      <c r="AI248">
        <v>91.325535418300205</v>
      </c>
      <c r="AJ248">
        <v>88.998170459858301</v>
      </c>
      <c r="AK248">
        <v>46.320869606748097</v>
      </c>
      <c r="AL248">
        <v>77.549228394268596</v>
      </c>
      <c r="AM248">
        <v>86.409793290391306</v>
      </c>
      <c r="AN248">
        <v>0.99999998609115703</v>
      </c>
    </row>
    <row r="249" spans="1:40" x14ac:dyDescent="0.25">
      <c r="A249" t="str">
        <f>"20190303170946905"</f>
        <v>20190303170946905</v>
      </c>
      <c r="B249" t="str">
        <f>"1551604186890975"</f>
        <v>1551604186890975</v>
      </c>
      <c r="C249" t="s">
        <v>40</v>
      </c>
      <c r="D249">
        <v>5.1046809999999896</v>
      </c>
      <c r="E249">
        <v>0.48855320000000002</v>
      </c>
      <c r="F249" t="s">
        <v>42</v>
      </c>
      <c r="G249">
        <v>-356.4169</v>
      </c>
      <c r="H249" s="1">
        <v>-2.0249409999999999E-6</v>
      </c>
      <c r="I249">
        <v>366.76679999999999</v>
      </c>
      <c r="J249">
        <v>-400.62810000000002</v>
      </c>
      <c r="K249">
        <v>1.0719080000000001</v>
      </c>
      <c r="L249">
        <v>367.47969999999998</v>
      </c>
      <c r="M249">
        <v>0.99986609999999998</v>
      </c>
      <c r="N249">
        <v>-1.6322719999999999E-2</v>
      </c>
      <c r="O249">
        <v>1.2117230000000001E-3</v>
      </c>
      <c r="P249">
        <v>0.97801159999999998</v>
      </c>
      <c r="Q249">
        <v>0.1995622</v>
      </c>
      <c r="R249">
        <v>-6.0567839999999998E-2</v>
      </c>
      <c r="S249">
        <v>3.0803530000000001</v>
      </c>
      <c r="T249">
        <v>-7.39181E-2</v>
      </c>
      <c r="U249">
        <v>-4.9133299999999998E-2</v>
      </c>
      <c r="V249">
        <v>6.1434379999999997E-2</v>
      </c>
      <c r="W249">
        <v>0.21558949999999999</v>
      </c>
      <c r="X249">
        <v>0.97454969999999996</v>
      </c>
      <c r="Y249">
        <v>1.7151900000000001E-2</v>
      </c>
      <c r="Z249">
        <v>-3.5507980000000001E-4</v>
      </c>
      <c r="AA249">
        <v>0.99985279999999999</v>
      </c>
      <c r="AB249">
        <v>46</v>
      </c>
      <c r="AC249">
        <v>44.211199999999998</v>
      </c>
      <c r="AD249">
        <v>-1.0719100249410001</v>
      </c>
      <c r="AE249">
        <v>-0.71289999999998999</v>
      </c>
      <c r="AF249">
        <v>0.76602816165513299</v>
      </c>
      <c r="AG249">
        <v>-1.0719100249410001</v>
      </c>
      <c r="AH249">
        <v>44.1843374356271</v>
      </c>
      <c r="AI249">
        <v>91.389511692173201</v>
      </c>
      <c r="AJ249">
        <v>89.006756996678604</v>
      </c>
      <c r="AK249">
        <v>44.2039756681611</v>
      </c>
      <c r="AL249">
        <v>77.549886580938093</v>
      </c>
      <c r="AM249">
        <v>86.392919539949503</v>
      </c>
      <c r="AN249">
        <v>1.0000000666631499</v>
      </c>
    </row>
    <row r="250" spans="1:40" x14ac:dyDescent="0.25">
      <c r="A250" t="str">
        <f>"20190303170946927"</f>
        <v>20190303170946927</v>
      </c>
      <c r="B250" t="str">
        <f>"1551604186910495"</f>
        <v>1551604186910495</v>
      </c>
      <c r="C250" t="s">
        <v>40</v>
      </c>
      <c r="D250">
        <v>5.2465929999999998</v>
      </c>
      <c r="E250">
        <v>0.48852380000000001</v>
      </c>
      <c r="F250" t="s">
        <v>42</v>
      </c>
      <c r="G250">
        <v>-358.19240000000002</v>
      </c>
      <c r="H250" s="1">
        <v>-1.349018E-6</v>
      </c>
      <c r="I250">
        <v>366.80579999999998</v>
      </c>
      <c r="J250">
        <v>-400.18239999999997</v>
      </c>
      <c r="K250">
        <v>1.072654</v>
      </c>
      <c r="L250">
        <v>367.48070000000001</v>
      </c>
      <c r="M250">
        <v>0.99984839999999997</v>
      </c>
      <c r="N250">
        <v>-1.7343669999999999E-2</v>
      </c>
      <c r="O250">
        <v>1.578641E-3</v>
      </c>
      <c r="P250">
        <v>0.97808910000000004</v>
      </c>
      <c r="Q250">
        <v>0.19920080000000001</v>
      </c>
      <c r="R250">
        <v>-6.0503510000000003E-2</v>
      </c>
      <c r="S250">
        <v>3.080292</v>
      </c>
      <c r="T250">
        <v>-7.780695E-2</v>
      </c>
      <c r="U250">
        <v>-4.891968E-2</v>
      </c>
      <c r="V250">
        <v>6.17476E-2</v>
      </c>
      <c r="W250">
        <v>0.21621850000000001</v>
      </c>
      <c r="X250">
        <v>0.97439039999999999</v>
      </c>
      <c r="Y250">
        <v>1.7448729999999999E-2</v>
      </c>
      <c r="Z250">
        <v>-3.8418779999999997E-4</v>
      </c>
      <c r="AA250">
        <v>0.99984770000000001</v>
      </c>
      <c r="AB250">
        <v>45</v>
      </c>
      <c r="AC250">
        <v>41.989999999999903</v>
      </c>
      <c r="AD250">
        <v>-1.072655349018</v>
      </c>
      <c r="AE250">
        <v>-0.67490000000003603</v>
      </c>
      <c r="AF250">
        <v>0.74071301841193804</v>
      </c>
      <c r="AG250">
        <v>-1.072655349018</v>
      </c>
      <c r="AH250">
        <v>41.961506231644499</v>
      </c>
      <c r="AI250">
        <v>91.464096060067405</v>
      </c>
      <c r="AJ250">
        <v>88.988708310467004</v>
      </c>
      <c r="AK250">
        <v>41.981749016706701</v>
      </c>
      <c r="AL250">
        <v>77.512975260113507</v>
      </c>
      <c r="AM250">
        <v>86.373986824456793</v>
      </c>
      <c r="AN250">
        <v>0.99999992873008203</v>
      </c>
    </row>
    <row r="251" spans="1:40" x14ac:dyDescent="0.25">
      <c r="A251" t="str">
        <f>"20190303170946950"</f>
        <v>20190303170946950</v>
      </c>
      <c r="B251" t="str">
        <f>"1551604186940751"</f>
        <v>1551604186940751</v>
      </c>
      <c r="C251" t="s">
        <v>40</v>
      </c>
      <c r="D251">
        <v>5.3059320000000003</v>
      </c>
      <c r="E251">
        <v>0.48849900000000002</v>
      </c>
      <c r="F251" t="s">
        <v>42</v>
      </c>
      <c r="G251">
        <v>-358.37810000000002</v>
      </c>
      <c r="H251" s="1">
        <v>-1.282578E-6</v>
      </c>
      <c r="I251">
        <v>366.81799999999998</v>
      </c>
      <c r="J251">
        <v>-399.7174</v>
      </c>
      <c r="K251">
        <v>1.073501</v>
      </c>
      <c r="L251">
        <v>367.48180000000002</v>
      </c>
      <c r="M251">
        <v>0.99985639999999998</v>
      </c>
      <c r="N251">
        <v>-1.683902E-2</v>
      </c>
      <c r="O251">
        <v>1.946559E-3</v>
      </c>
      <c r="P251">
        <v>0.97778169999999998</v>
      </c>
      <c r="Q251">
        <v>0.2006066</v>
      </c>
      <c r="R251">
        <v>-6.0829109999999999E-2</v>
      </c>
      <c r="S251">
        <v>3.080292</v>
      </c>
      <c r="T251">
        <v>-7.9036949999999995E-2</v>
      </c>
      <c r="U251">
        <v>-4.8828129999999997E-2</v>
      </c>
      <c r="V251">
        <v>6.2440269999999999E-2</v>
      </c>
      <c r="W251">
        <v>0.21712490000000001</v>
      </c>
      <c r="X251">
        <v>0.97414480000000003</v>
      </c>
      <c r="Y251">
        <v>1.7786590000000001E-2</v>
      </c>
      <c r="Z251">
        <v>-3.951146E-4</v>
      </c>
      <c r="AA251">
        <v>0.99984170000000006</v>
      </c>
      <c r="AB251">
        <v>45</v>
      </c>
      <c r="AC251">
        <v>41.339299999999902</v>
      </c>
      <c r="AD251">
        <v>-1.0735022825780001</v>
      </c>
      <c r="AE251">
        <v>-0.66379999999997996</v>
      </c>
      <c r="AF251">
        <v>0.74377810211193096</v>
      </c>
      <c r="AG251">
        <v>-1.0735022825780001</v>
      </c>
      <c r="AH251">
        <v>41.310079440931503</v>
      </c>
      <c r="AI251">
        <v>91.488337739328998</v>
      </c>
      <c r="AJ251">
        <v>88.968514640372206</v>
      </c>
      <c r="AK251">
        <v>41.3307183149767</v>
      </c>
      <c r="AL251">
        <v>77.459780199964996</v>
      </c>
      <c r="AM251">
        <v>86.332499521678599</v>
      </c>
      <c r="AN251">
        <v>1.0000000504423601</v>
      </c>
    </row>
    <row r="252" spans="1:40" x14ac:dyDescent="0.25">
      <c r="A252" t="str">
        <f>"20190303170946972"</f>
        <v>20190303170946972</v>
      </c>
      <c r="B252" t="str">
        <f>"1551604186960581"</f>
        <v>1551604186960581</v>
      </c>
      <c r="C252" t="s">
        <v>40</v>
      </c>
      <c r="D252">
        <v>5.1182610000000004</v>
      </c>
      <c r="E252">
        <v>0.48852400000000001</v>
      </c>
      <c r="F252" t="s">
        <v>42</v>
      </c>
      <c r="G252">
        <v>-355.52910000000003</v>
      </c>
      <c r="H252" s="1">
        <v>-2.4062380000000001E-6</v>
      </c>
      <c r="I252">
        <v>366.76429999999999</v>
      </c>
      <c r="J252">
        <v>-399.2894</v>
      </c>
      <c r="K252">
        <v>1.074314</v>
      </c>
      <c r="L252">
        <v>367.48309999999998</v>
      </c>
      <c r="M252">
        <v>0.99988540000000004</v>
      </c>
      <c r="N252">
        <v>-1.497134E-2</v>
      </c>
      <c r="O252">
        <v>2.2442180000000001E-3</v>
      </c>
      <c r="P252">
        <v>0.97727450000000005</v>
      </c>
      <c r="Q252">
        <v>0.2030585</v>
      </c>
      <c r="R252">
        <v>-6.0842390000000003E-2</v>
      </c>
      <c r="S252">
        <v>3.0803829999999999</v>
      </c>
      <c r="T252">
        <v>-7.4834230000000002E-2</v>
      </c>
      <c r="U252">
        <v>-5.0018310000000003E-2</v>
      </c>
      <c r="V252">
        <v>6.2751139999999997E-2</v>
      </c>
      <c r="W252">
        <v>0.2177471</v>
      </c>
      <c r="X252">
        <v>0.97398589999999996</v>
      </c>
      <c r="Y252">
        <v>1.8470779999999999E-2</v>
      </c>
      <c r="Z252">
        <v>-3.835434E-4</v>
      </c>
      <c r="AA252">
        <v>0.99982939999999998</v>
      </c>
      <c r="AB252">
        <v>45</v>
      </c>
      <c r="AC252">
        <v>43.760299999999901</v>
      </c>
      <c r="AD252">
        <v>-1.074316406238</v>
      </c>
      <c r="AE252">
        <v>-0.718799999999987</v>
      </c>
      <c r="AF252">
        <v>0.81652486111865596</v>
      </c>
      <c r="AG252">
        <v>-1.074316406238</v>
      </c>
      <c r="AH252">
        <v>43.732225987293603</v>
      </c>
      <c r="AI252">
        <v>91.406987573985006</v>
      </c>
      <c r="AJ252">
        <v>88.930354168981907</v>
      </c>
      <c r="AK252">
        <v>43.753039418916401</v>
      </c>
      <c r="AL252">
        <v>77.4232565340983</v>
      </c>
      <c r="AM252">
        <v>86.313690780213904</v>
      </c>
      <c r="AN252">
        <v>1.00000001926425</v>
      </c>
    </row>
    <row r="253" spans="1:40" x14ac:dyDescent="0.25">
      <c r="A253" t="str">
        <f>"20190303170947018"</f>
        <v>20190303170947018</v>
      </c>
      <c r="B253" t="str">
        <f>"1551604187011334"</f>
        <v>1551604187011334</v>
      </c>
      <c r="C253" t="s">
        <v>40</v>
      </c>
      <c r="D253">
        <v>5.1631539999999996</v>
      </c>
      <c r="E253">
        <v>0.48853550000000001</v>
      </c>
      <c r="F253" t="s">
        <v>42</v>
      </c>
      <c r="G253">
        <v>-350.0856</v>
      </c>
      <c r="H253" s="1">
        <v>-4.7561199999999998E-6</v>
      </c>
      <c r="I253">
        <v>366.68169999999998</v>
      </c>
      <c r="J253">
        <v>-398.38630000000001</v>
      </c>
      <c r="K253">
        <v>1.0775049999999999</v>
      </c>
      <c r="L253">
        <v>367.48599999999999</v>
      </c>
      <c r="M253">
        <v>0.99990829999999997</v>
      </c>
      <c r="N253">
        <v>-1.326139E-2</v>
      </c>
      <c r="O253">
        <v>2.722931E-3</v>
      </c>
      <c r="P253">
        <v>0.97702710000000004</v>
      </c>
      <c r="Q253">
        <v>0.20382790000000001</v>
      </c>
      <c r="R253">
        <v>-6.2229890000000003E-2</v>
      </c>
      <c r="S253">
        <v>3.0806269999999998</v>
      </c>
      <c r="T253">
        <v>-6.7262530000000001E-2</v>
      </c>
      <c r="U253">
        <v>-5.0170899999999997E-2</v>
      </c>
      <c r="V253">
        <v>6.4677990000000005E-2</v>
      </c>
      <c r="W253">
        <v>0.21682789999999999</v>
      </c>
      <c r="X253">
        <v>0.97406490000000001</v>
      </c>
      <c r="Y253">
        <v>1.8999149999999999E-2</v>
      </c>
      <c r="Z253">
        <v>-3.5672580000000001E-4</v>
      </c>
      <c r="AA253">
        <v>0.99981949999999997</v>
      </c>
      <c r="AB253">
        <v>45</v>
      </c>
      <c r="AC253">
        <v>48.300699999999999</v>
      </c>
      <c r="AD253">
        <v>-1.07750975612</v>
      </c>
      <c r="AE253">
        <v>-0.80430000000001201</v>
      </c>
      <c r="AF253">
        <v>0.93536269828209495</v>
      </c>
      <c r="AG253">
        <v>-1.07750975612</v>
      </c>
      <c r="AH253">
        <v>48.274312971041397</v>
      </c>
      <c r="AI253">
        <v>91.278421757797503</v>
      </c>
      <c r="AJ253">
        <v>88.889976336663494</v>
      </c>
      <c r="AK253">
        <v>48.295395468697897</v>
      </c>
      <c r="AL253">
        <v>77.477211755834304</v>
      </c>
      <c r="AM253">
        <v>86.201131980950805</v>
      </c>
      <c r="AN253">
        <v>1.0000000050104301</v>
      </c>
    </row>
    <row r="254" spans="1:40" x14ac:dyDescent="0.25">
      <c r="A254" t="str">
        <f>"20190303170947040"</f>
        <v>20190303170947040</v>
      </c>
      <c r="B254" t="str">
        <f>"1551604187030854"</f>
        <v>1551604187030854</v>
      </c>
      <c r="C254" t="s">
        <v>40</v>
      </c>
      <c r="D254">
        <v>5.1479080000000002</v>
      </c>
      <c r="E254">
        <v>0.48853550000000001</v>
      </c>
      <c r="F254" t="s">
        <v>42</v>
      </c>
      <c r="G254">
        <v>-347.33589999999998</v>
      </c>
      <c r="H254" s="1">
        <v>-1.8136169999999999E-6</v>
      </c>
      <c r="I254">
        <v>366.58580000000001</v>
      </c>
      <c r="J254">
        <v>-397.94490000000002</v>
      </c>
      <c r="K254">
        <v>1.079971</v>
      </c>
      <c r="L254">
        <v>367.48739999999998</v>
      </c>
      <c r="M254">
        <v>0.99990210000000002</v>
      </c>
      <c r="N254">
        <v>-1.368495E-2</v>
      </c>
      <c r="O254">
        <v>2.9445320000000001E-3</v>
      </c>
      <c r="P254">
        <v>0.97707860000000002</v>
      </c>
      <c r="Q254">
        <v>0.203462</v>
      </c>
      <c r="R254">
        <v>-6.2616560000000002E-2</v>
      </c>
      <c r="S254">
        <v>3.0806269999999998</v>
      </c>
      <c r="T254">
        <v>-6.5021990000000002E-2</v>
      </c>
      <c r="U254">
        <v>-5.4321290000000001E-2</v>
      </c>
      <c r="V254">
        <v>6.5330650000000004E-2</v>
      </c>
      <c r="W254">
        <v>0.2168609</v>
      </c>
      <c r="X254">
        <v>0.97401400000000005</v>
      </c>
      <c r="Y254">
        <v>2.056709E-2</v>
      </c>
      <c r="Z254">
        <v>-3.7962949999999999E-4</v>
      </c>
      <c r="AA254">
        <v>0.99978840000000002</v>
      </c>
      <c r="AB254">
        <v>44</v>
      </c>
      <c r="AC254">
        <v>50.609000000000002</v>
      </c>
      <c r="AD254">
        <v>-1.0799728136169999</v>
      </c>
      <c r="AE254">
        <v>-0.90159999999997298</v>
      </c>
      <c r="AF254">
        <v>1.0501517927595201</v>
      </c>
      <c r="AG254">
        <v>-1.0799728136169999</v>
      </c>
      <c r="AH254">
        <v>50.583098502518702</v>
      </c>
      <c r="AI254">
        <v>91.222842443967707</v>
      </c>
      <c r="AJ254">
        <v>88.810657611884693</v>
      </c>
      <c r="AK254">
        <v>50.605523554069599</v>
      </c>
      <c r="AL254">
        <v>77.475274948050895</v>
      </c>
      <c r="AM254">
        <v>86.162711958746698</v>
      </c>
      <c r="AN254">
        <v>1.0000000079871101</v>
      </c>
    </row>
    <row r="255" spans="1:40" x14ac:dyDescent="0.25">
      <c r="A255" t="str">
        <f>"20190303170947062"</f>
        <v>20190303170947062</v>
      </c>
      <c r="B255" t="str">
        <f>"1551604187050881"</f>
        <v>1551604187050881</v>
      </c>
      <c r="C255" t="s">
        <v>40</v>
      </c>
      <c r="D255">
        <v>5.1499739999999896</v>
      </c>
      <c r="E255">
        <v>0.48850789999999999</v>
      </c>
      <c r="F255" t="s">
        <v>42</v>
      </c>
      <c r="G255">
        <v>-347.78930000000003</v>
      </c>
      <c r="H255" s="1">
        <v>-1.6382329999999999E-6</v>
      </c>
      <c r="I255">
        <v>366.59059999999999</v>
      </c>
      <c r="J255">
        <v>-397.50749999999999</v>
      </c>
      <c r="K255">
        <v>1.0826709999999999</v>
      </c>
      <c r="L255">
        <v>367.4889</v>
      </c>
      <c r="M255">
        <v>0.99990429999999997</v>
      </c>
      <c r="N255">
        <v>-1.3479629999999999E-2</v>
      </c>
      <c r="O255">
        <v>3.1366530000000001E-3</v>
      </c>
      <c r="P255">
        <v>0.97691879999999998</v>
      </c>
      <c r="Q255">
        <v>0.2040226</v>
      </c>
      <c r="R255">
        <v>-6.3283909999999999E-2</v>
      </c>
      <c r="S255">
        <v>3.0806269999999998</v>
      </c>
      <c r="T255">
        <v>-6.6333409999999995E-2</v>
      </c>
      <c r="U255">
        <v>-5.5084229999999998E-2</v>
      </c>
      <c r="V255">
        <v>6.6222840000000005E-2</v>
      </c>
      <c r="W255">
        <v>0.21720819999999999</v>
      </c>
      <c r="X255">
        <v>0.97387639999999998</v>
      </c>
      <c r="Y255">
        <v>2.1006319999999998E-2</v>
      </c>
      <c r="Z255">
        <v>-3.9298700000000002E-4</v>
      </c>
      <c r="AA255">
        <v>0.99977930000000004</v>
      </c>
      <c r="AB255">
        <v>44</v>
      </c>
      <c r="AC255">
        <v>49.718199999999896</v>
      </c>
      <c r="AD255">
        <v>-1.0826726382330001</v>
      </c>
      <c r="AE255">
        <v>-0.89830000000000598</v>
      </c>
      <c r="AF255">
        <v>1.05375894801843</v>
      </c>
      <c r="AG255">
        <v>-1.0826726382330001</v>
      </c>
      <c r="AH255">
        <v>49.6915812998541</v>
      </c>
      <c r="AI255">
        <v>91.247873816608106</v>
      </c>
      <c r="AJ255">
        <v>88.785168614509999</v>
      </c>
      <c r="AK255">
        <v>49.714543546553102</v>
      </c>
      <c r="AL255">
        <v>77.454890826259103</v>
      </c>
      <c r="AM255">
        <v>86.109919821895801</v>
      </c>
      <c r="AN255">
        <v>1.00000005458093</v>
      </c>
    </row>
    <row r="256" spans="1:40" x14ac:dyDescent="0.25">
      <c r="A256" t="str">
        <f>"20190303170947083"</f>
        <v>20190303170947083</v>
      </c>
      <c r="B256" t="str">
        <f>"1551604187070401"</f>
        <v>1551604187070401</v>
      </c>
      <c r="C256" t="s">
        <v>40</v>
      </c>
      <c r="D256">
        <v>5.3579850000000002</v>
      </c>
      <c r="E256">
        <v>0.48851470000000002</v>
      </c>
      <c r="F256" t="s">
        <v>42</v>
      </c>
      <c r="G256">
        <v>-345.89139999999998</v>
      </c>
      <c r="H256" s="1">
        <v>-2.467436E-6</v>
      </c>
      <c r="I256">
        <v>366.54500000000002</v>
      </c>
      <c r="J256">
        <v>-397.10120000000001</v>
      </c>
      <c r="K256">
        <v>1.0853269999999999</v>
      </c>
      <c r="L256">
        <v>367.49020000000002</v>
      </c>
      <c r="M256">
        <v>0.99991379999999996</v>
      </c>
      <c r="N256">
        <v>-1.272943E-2</v>
      </c>
      <c r="O256">
        <v>3.2598280000000002E-3</v>
      </c>
      <c r="P256">
        <v>0.97667420000000005</v>
      </c>
      <c r="Q256">
        <v>0.20503979999999999</v>
      </c>
      <c r="R256">
        <v>-6.376896E-2</v>
      </c>
      <c r="S256">
        <v>3.0807190000000002</v>
      </c>
      <c r="T256">
        <v>-6.4619659999999995E-2</v>
      </c>
      <c r="U256">
        <v>-5.6335450000000002E-2</v>
      </c>
      <c r="V256">
        <v>6.6851560000000004E-2</v>
      </c>
      <c r="W256">
        <v>0.21748419999999999</v>
      </c>
      <c r="X256">
        <v>0.97377179999999997</v>
      </c>
      <c r="Y256">
        <v>2.153513E-2</v>
      </c>
      <c r="Z256">
        <v>-3.8978960000000002E-4</v>
      </c>
      <c r="AA256">
        <v>0.99976799999999999</v>
      </c>
      <c r="AB256">
        <v>44</v>
      </c>
      <c r="AC256">
        <v>51.209800000000001</v>
      </c>
      <c r="AD256">
        <v>-1.0853294674359999</v>
      </c>
      <c r="AE256">
        <v>-0.94519999999999904</v>
      </c>
      <c r="AF256">
        <v>1.11164446635146</v>
      </c>
      <c r="AG256">
        <v>-1.0853294674359999</v>
      </c>
      <c r="AH256">
        <v>51.183463846965303</v>
      </c>
      <c r="AI256">
        <v>91.214470861094398</v>
      </c>
      <c r="AJ256">
        <v>88.755798854822402</v>
      </c>
      <c r="AK256">
        <v>51.207037259014101</v>
      </c>
      <c r="AL256">
        <v>77.4386893763225</v>
      </c>
      <c r="AM256">
        <v>86.072681890042801</v>
      </c>
      <c r="AN256">
        <v>1.0000000133996501</v>
      </c>
    </row>
    <row r="257" spans="1:40" x14ac:dyDescent="0.25">
      <c r="A257" t="str">
        <f>"20190303170947105"</f>
        <v>20190303170947105</v>
      </c>
      <c r="B257" t="str">
        <f>"1551604187100657"</f>
        <v>1551604187100657</v>
      </c>
      <c r="C257" t="s">
        <v>40</v>
      </c>
      <c r="D257">
        <v>5.1916120000000001</v>
      </c>
      <c r="E257">
        <v>0.53021059999999998</v>
      </c>
      <c r="F257" t="s">
        <v>42</v>
      </c>
      <c r="G257">
        <v>-342.68239999999997</v>
      </c>
      <c r="H257" s="1">
        <v>-3.9972319999999996E-6</v>
      </c>
      <c r="I257">
        <v>366.47250000000003</v>
      </c>
      <c r="J257">
        <v>-396.65989999999999</v>
      </c>
      <c r="K257">
        <v>1.0883659999999999</v>
      </c>
      <c r="L257">
        <v>367.49169999999998</v>
      </c>
      <c r="M257">
        <v>0.99992510000000001</v>
      </c>
      <c r="N257">
        <v>-1.177418E-2</v>
      </c>
      <c r="O257">
        <v>3.3454219999999998E-3</v>
      </c>
      <c r="P257">
        <v>0.97660029999999998</v>
      </c>
      <c r="Q257">
        <v>0.20531869999999999</v>
      </c>
      <c r="R257">
        <v>-6.4003959999999999E-2</v>
      </c>
      <c r="S257">
        <v>3.0807799999999999</v>
      </c>
      <c r="T257">
        <v>-6.1443209999999998E-2</v>
      </c>
      <c r="U257">
        <v>-5.7617189999999999E-2</v>
      </c>
      <c r="V257">
        <v>6.7189840000000001E-2</v>
      </c>
      <c r="W257">
        <v>0.21682560000000001</v>
      </c>
      <c r="X257">
        <v>0.97389539999999997</v>
      </c>
      <c r="Y257">
        <v>2.2036759999999999E-2</v>
      </c>
      <c r="Z257">
        <v>-3.7680230000000002E-4</v>
      </c>
      <c r="AA257">
        <v>0.99975709999999995</v>
      </c>
      <c r="AB257">
        <v>44</v>
      </c>
      <c r="AC257">
        <v>53.977499999999999</v>
      </c>
      <c r="AD257">
        <v>-1.088369997232</v>
      </c>
      <c r="AE257">
        <v>-1.0191999999999499</v>
      </c>
      <c r="AF257">
        <v>1.19929691170596</v>
      </c>
      <c r="AG257">
        <v>-1.088369997232</v>
      </c>
      <c r="AH257">
        <v>53.951861013216998</v>
      </c>
      <c r="AI257">
        <v>91.155384718262695</v>
      </c>
      <c r="AJ257">
        <v>88.726580779334697</v>
      </c>
      <c r="AK257">
        <v>53.976162971470899</v>
      </c>
      <c r="AL257">
        <v>77.477347100933002</v>
      </c>
      <c r="AM257">
        <v>86.053371026042001</v>
      </c>
      <c r="AN257">
        <v>1.00000003277787</v>
      </c>
    </row>
    <row r="258" spans="1:40" x14ac:dyDescent="0.25">
      <c r="A258" t="str">
        <f>"20190303170947128"</f>
        <v>20190303170947128</v>
      </c>
      <c r="B258" t="str">
        <f>"1551604187121153"</f>
        <v>1551604187121153</v>
      </c>
      <c r="C258" t="s">
        <v>40</v>
      </c>
      <c r="D258">
        <v>5.21699</v>
      </c>
      <c r="E258">
        <v>0.53594419999999898</v>
      </c>
      <c r="F258" t="s">
        <v>43</v>
      </c>
      <c r="G258">
        <v>-395.72430000000003</v>
      </c>
      <c r="H258">
        <v>0.98827830000000005</v>
      </c>
      <c r="I258">
        <v>367.37920000000003</v>
      </c>
      <c r="J258">
        <v>-396.18889999999999</v>
      </c>
      <c r="K258">
        <v>1.091728</v>
      </c>
      <c r="L258">
        <v>367.49329999999998</v>
      </c>
      <c r="M258">
        <v>0.9999344</v>
      </c>
      <c r="N258">
        <v>-1.093821E-2</v>
      </c>
      <c r="O258">
        <v>3.4050019999999999E-3</v>
      </c>
      <c r="P258">
        <v>0.97651589999999999</v>
      </c>
      <c r="Q258">
        <v>0.205626</v>
      </c>
      <c r="R258">
        <v>-6.4301230000000001E-2</v>
      </c>
      <c r="S258">
        <v>3.1176149999999998</v>
      </c>
      <c r="T258">
        <v>-0.33378180000000002</v>
      </c>
      <c r="U258">
        <v>-0.37347409999999998</v>
      </c>
      <c r="V258">
        <v>6.7561689999999994E-2</v>
      </c>
      <c r="W258">
        <v>0.21631300000000001</v>
      </c>
      <c r="X258">
        <v>0.97398359999999995</v>
      </c>
      <c r="Y258">
        <v>0.1215532</v>
      </c>
      <c r="Z258">
        <v>-7.4599439999999996E-3</v>
      </c>
      <c r="AA258">
        <v>0.99255689999999996</v>
      </c>
      <c r="AB258">
        <v>44</v>
      </c>
      <c r="AC258">
        <v>0.46459999999996099</v>
      </c>
      <c r="AD258">
        <v>-0.10344969999999901</v>
      </c>
      <c r="AE258">
        <v>-0.11409999999995001</v>
      </c>
      <c r="AF258">
        <v>0.110513871197619</v>
      </c>
      <c r="AG258">
        <v>-0.10344969999999901</v>
      </c>
      <c r="AH258">
        <v>0.44347241479490401</v>
      </c>
      <c r="AI258">
        <v>102.75396064500001</v>
      </c>
      <c r="AJ258">
        <v>76.006838649311206</v>
      </c>
      <c r="AK258">
        <v>0.46859677638797098</v>
      </c>
      <c r="AL258">
        <v>77.507430148122594</v>
      </c>
      <c r="AM258">
        <v>86.031956932032401</v>
      </c>
      <c r="AN258">
        <v>0.999999974496807</v>
      </c>
    </row>
    <row r="259" spans="1:40" x14ac:dyDescent="0.25">
      <c r="A259" t="str">
        <f>"20190303170947149"</f>
        <v>20190303170947149</v>
      </c>
      <c r="B259" t="str">
        <f>"1551604187140673"</f>
        <v>1551604187140673</v>
      </c>
      <c r="C259" t="s">
        <v>40</v>
      </c>
      <c r="D259">
        <v>5.1977409999999997</v>
      </c>
      <c r="E259">
        <v>0.53888950000000002</v>
      </c>
      <c r="F259" t="s">
        <v>43</v>
      </c>
      <c r="G259">
        <v>-395.33969999999999</v>
      </c>
      <c r="H259">
        <v>0.96932099999999999</v>
      </c>
      <c r="I259">
        <v>367.38170000000002</v>
      </c>
      <c r="J259">
        <v>-395.76870000000002</v>
      </c>
      <c r="K259">
        <v>1.0947389999999999</v>
      </c>
      <c r="L259">
        <v>367.49470000000002</v>
      </c>
      <c r="M259">
        <v>0.99993969999999999</v>
      </c>
      <c r="N259">
        <v>-1.043377E-2</v>
      </c>
      <c r="O259">
        <v>3.4431990000000001E-3</v>
      </c>
      <c r="P259">
        <v>0.97651080000000001</v>
      </c>
      <c r="Q259">
        <v>0.20567559999999999</v>
      </c>
      <c r="R259">
        <v>-6.4223939999999993E-2</v>
      </c>
      <c r="S259">
        <v>3.1403500000000002</v>
      </c>
      <c r="T259">
        <v>-0.45277539999999999</v>
      </c>
      <c r="U259">
        <v>-0.4119873</v>
      </c>
      <c r="V259">
        <v>6.7532250000000002E-2</v>
      </c>
      <c r="W259">
        <v>0.21586749999999999</v>
      </c>
      <c r="X259">
        <v>0.97408450000000002</v>
      </c>
      <c r="Y259">
        <v>0.13201840000000001</v>
      </c>
      <c r="Z259">
        <v>-1.058012E-2</v>
      </c>
      <c r="AA259">
        <v>0.99119080000000004</v>
      </c>
      <c r="AB259">
        <v>44</v>
      </c>
      <c r="AC259">
        <v>0.42900000000003002</v>
      </c>
      <c r="AD259">
        <v>-0.125418</v>
      </c>
      <c r="AE259">
        <v>-0.112999999999999</v>
      </c>
      <c r="AF259">
        <v>0.10600434207074701</v>
      </c>
      <c r="AG259">
        <v>-0.125418</v>
      </c>
      <c r="AH259">
        <v>0.39688782938346201</v>
      </c>
      <c r="AI259">
        <v>106.977516482428</v>
      </c>
      <c r="AJ259">
        <v>75.045998011365</v>
      </c>
      <c r="AK259">
        <v>0.42951896858528599</v>
      </c>
      <c r="AL259">
        <v>77.533573382238004</v>
      </c>
      <c r="AM259">
        <v>86.034090024422397</v>
      </c>
      <c r="AN259">
        <v>0.99999999774328097</v>
      </c>
    </row>
    <row r="260" spans="1:40" x14ac:dyDescent="0.25">
      <c r="A260" t="str">
        <f>"20190303170947172"</f>
        <v>20190303170947172</v>
      </c>
      <c r="B260" t="str">
        <f>"1551604187160700"</f>
        <v>1551604187160700</v>
      </c>
      <c r="C260" t="s">
        <v>40</v>
      </c>
      <c r="D260">
        <v>5.1796860000000002</v>
      </c>
      <c r="E260">
        <v>0.54052140000000004</v>
      </c>
      <c r="F260" t="s">
        <v>43</v>
      </c>
      <c r="G260">
        <v>-394.95060000000001</v>
      </c>
      <c r="H260">
        <v>0.95829609999999998</v>
      </c>
      <c r="I260">
        <v>367.38279999999997</v>
      </c>
      <c r="J260">
        <v>-395.34379999999999</v>
      </c>
      <c r="K260">
        <v>1.0976969999999999</v>
      </c>
      <c r="L260">
        <v>367.49619999999999</v>
      </c>
      <c r="M260">
        <v>0.99994269999999996</v>
      </c>
      <c r="N260">
        <v>-1.0123200000000001E-2</v>
      </c>
      <c r="O260">
        <v>3.4715190000000002E-3</v>
      </c>
      <c r="P260">
        <v>0.97635459999999996</v>
      </c>
      <c r="Q260">
        <v>0.20653270000000001</v>
      </c>
      <c r="R260">
        <v>-6.3843520000000001E-2</v>
      </c>
      <c r="S260">
        <v>3.154785</v>
      </c>
      <c r="T260">
        <v>-0.5263388</v>
      </c>
      <c r="U260">
        <v>-0.4295349</v>
      </c>
      <c r="V260">
        <v>6.7187040000000003E-2</v>
      </c>
      <c r="W260">
        <v>0.21641779999999999</v>
      </c>
      <c r="X260">
        <v>0.97398629999999997</v>
      </c>
      <c r="Y260">
        <v>0.13634019999999999</v>
      </c>
      <c r="Z260">
        <v>-1.248062E-2</v>
      </c>
      <c r="AA260">
        <v>0.99058349999999995</v>
      </c>
      <c r="AB260">
        <v>44</v>
      </c>
      <c r="AC260">
        <v>0.39319999999997801</v>
      </c>
      <c r="AD260">
        <v>-0.139400899999999</v>
      </c>
      <c r="AE260">
        <v>-0.11340000000001201</v>
      </c>
      <c r="AF260">
        <v>0.102831853584018</v>
      </c>
      <c r="AG260">
        <v>-0.139400899999999</v>
      </c>
      <c r="AH260">
        <v>0.35196246843602202</v>
      </c>
      <c r="AI260">
        <v>110.815483694999</v>
      </c>
      <c r="AJ260">
        <v>73.713374089973101</v>
      </c>
      <c r="AK260">
        <v>0.39228125142544501</v>
      </c>
      <c r="AL260">
        <v>77.501280665928306</v>
      </c>
      <c r="AM260">
        <v>86.053902125318899</v>
      </c>
      <c r="AN260">
        <v>1.0000000375442399</v>
      </c>
    </row>
    <row r="261" spans="1:40" x14ac:dyDescent="0.25">
      <c r="A261" t="str">
        <f>"20190303170947196"</f>
        <v>20190303170947196</v>
      </c>
      <c r="B261" t="str">
        <f>"1551604187190956"</f>
        <v>1551604187190956</v>
      </c>
      <c r="C261" t="s">
        <v>40</v>
      </c>
      <c r="D261">
        <v>5.1895829999999998</v>
      </c>
      <c r="E261">
        <v>0.54242500000000005</v>
      </c>
      <c r="F261" t="s">
        <v>43</v>
      </c>
      <c r="G261">
        <v>-394.5566</v>
      </c>
      <c r="H261">
        <v>0.95684829999999998</v>
      </c>
      <c r="I261">
        <v>367.38659999999999</v>
      </c>
      <c r="J261">
        <v>-394.86840000000001</v>
      </c>
      <c r="K261">
        <v>1.1008290000000001</v>
      </c>
      <c r="L261">
        <v>367.49790000000002</v>
      </c>
      <c r="M261">
        <v>0.99994439999999996</v>
      </c>
      <c r="N261">
        <v>-9.9464770000000004E-3</v>
      </c>
      <c r="O261">
        <v>3.494942E-3</v>
      </c>
      <c r="P261">
        <v>0.97632070000000004</v>
      </c>
      <c r="Q261">
        <v>0.20693420000000001</v>
      </c>
      <c r="R261">
        <v>-6.3059219999999999E-2</v>
      </c>
      <c r="S261">
        <v>3.1637270000000002</v>
      </c>
      <c r="T261">
        <v>-0.56631679999999995</v>
      </c>
      <c r="U261">
        <v>-0.43875120000000001</v>
      </c>
      <c r="V261">
        <v>6.64323E-2</v>
      </c>
      <c r="W261">
        <v>0.21664449999999999</v>
      </c>
      <c r="X261">
        <v>0.97398759999999995</v>
      </c>
      <c r="Y261">
        <v>0.13849549999999999</v>
      </c>
      <c r="Z261">
        <v>-1.35218E-2</v>
      </c>
      <c r="AA261">
        <v>0.99027069999999995</v>
      </c>
      <c r="AB261">
        <v>44</v>
      </c>
      <c r="AC261">
        <v>0.31180000000000502</v>
      </c>
      <c r="AD261">
        <v>-0.14398069999999999</v>
      </c>
      <c r="AE261">
        <v>-0.111300000000028</v>
      </c>
      <c r="AF261">
        <v>9.4513367159518497E-2</v>
      </c>
      <c r="AG261">
        <v>-0.14398069999999999</v>
      </c>
      <c r="AH261">
        <v>0.26187879754003801</v>
      </c>
      <c r="AI261">
        <v>117.345728432722</v>
      </c>
      <c r="AJ261">
        <v>70.155233365737601</v>
      </c>
      <c r="AK261">
        <v>0.31343854763786799</v>
      </c>
      <c r="AL261">
        <v>77.487975179360404</v>
      </c>
      <c r="AM261">
        <v>86.098097775367094</v>
      </c>
      <c r="AN261">
        <v>0.99999996740864905</v>
      </c>
    </row>
    <row r="262" spans="1:40" x14ac:dyDescent="0.25">
      <c r="A262" t="str">
        <f>"20190303170947219"</f>
        <v>20190303170947219</v>
      </c>
      <c r="B262" t="str">
        <f>"1551604187210476"</f>
        <v>1551604187210476</v>
      </c>
      <c r="C262" t="s">
        <v>40</v>
      </c>
      <c r="D262">
        <v>5.1582249999999998</v>
      </c>
      <c r="E262">
        <v>0.54328120000000002</v>
      </c>
      <c r="F262" t="s">
        <v>43</v>
      </c>
      <c r="G262">
        <v>-394.1576</v>
      </c>
      <c r="H262">
        <v>0.96566490000000005</v>
      </c>
      <c r="I262">
        <v>367.39659999999998</v>
      </c>
      <c r="J262">
        <v>-394.4196</v>
      </c>
      <c r="K262">
        <v>1.103523</v>
      </c>
      <c r="L262">
        <v>367.49950000000001</v>
      </c>
      <c r="M262">
        <v>0.99994490000000003</v>
      </c>
      <c r="N262">
        <v>-9.9082920000000008E-3</v>
      </c>
      <c r="O262">
        <v>3.5103349999999998E-3</v>
      </c>
      <c r="P262">
        <v>0.97626900000000005</v>
      </c>
      <c r="Q262">
        <v>0.2074184</v>
      </c>
      <c r="R262">
        <v>-6.2264960000000001E-2</v>
      </c>
      <c r="S262">
        <v>3.17157</v>
      </c>
      <c r="T262">
        <v>-0.60328559999999998</v>
      </c>
      <c r="U262">
        <v>-0.44992070000000001</v>
      </c>
      <c r="V262">
        <v>6.5657690000000005E-2</v>
      </c>
      <c r="W262">
        <v>0.21708949999999999</v>
      </c>
      <c r="X262">
        <v>0.9739411</v>
      </c>
      <c r="Y262">
        <v>0.14125650000000001</v>
      </c>
      <c r="Z262">
        <v>-1.4584730000000001E-2</v>
      </c>
      <c r="AA262">
        <v>0.98986560000000001</v>
      </c>
      <c r="AB262">
        <v>44</v>
      </c>
      <c r="AC262">
        <v>0.26200000000000001</v>
      </c>
      <c r="AD262">
        <v>-0.13785810000000001</v>
      </c>
      <c r="AE262">
        <v>-0.10290000000003301</v>
      </c>
      <c r="AF262">
        <v>8.3734404853727906E-2</v>
      </c>
      <c r="AG262">
        <v>-0.13785810000000001</v>
      </c>
      <c r="AH262">
        <v>0.21102116530919901</v>
      </c>
      <c r="AI262">
        <v>121.267440333652</v>
      </c>
      <c r="AJ262">
        <v>68.356539022160106</v>
      </c>
      <c r="AK262">
        <v>0.265605418808183</v>
      </c>
      <c r="AL262">
        <v>77.461857704220407</v>
      </c>
      <c r="AM262">
        <v>86.143272836234402</v>
      </c>
      <c r="AN262">
        <v>1.00000002476779</v>
      </c>
    </row>
    <row r="263" spans="1:40" x14ac:dyDescent="0.25">
      <c r="A263" t="str">
        <f>"20190303170947240"</f>
        <v>20190303170947240</v>
      </c>
      <c r="B263" t="str">
        <f>"1551604187230972"</f>
        <v>1551604187230972</v>
      </c>
      <c r="C263" t="s">
        <v>40</v>
      </c>
      <c r="D263">
        <v>5.1683500000000002</v>
      </c>
      <c r="E263">
        <v>0.54386420000000002</v>
      </c>
      <c r="F263" t="s">
        <v>43</v>
      </c>
      <c r="G263">
        <v>-393.39400000000001</v>
      </c>
      <c r="H263">
        <v>0.90376000000000001</v>
      </c>
      <c r="I263">
        <v>367.35270000000003</v>
      </c>
      <c r="J263">
        <v>-393.98469999999998</v>
      </c>
      <c r="K263">
        <v>1.105882</v>
      </c>
      <c r="L263">
        <v>367.50099999999998</v>
      </c>
      <c r="M263">
        <v>0.99994430000000001</v>
      </c>
      <c r="N263">
        <v>-9.9459890000000006E-3</v>
      </c>
      <c r="O263">
        <v>3.524527E-3</v>
      </c>
      <c r="P263">
        <v>0.97631449999999997</v>
      </c>
      <c r="Q263">
        <v>0.20723430000000001</v>
      </c>
      <c r="R263">
        <v>-6.2162179999999997E-2</v>
      </c>
      <c r="S263">
        <v>3.175446</v>
      </c>
      <c r="T263">
        <v>-0.61868570000000001</v>
      </c>
      <c r="U263">
        <v>-0.45281979999999999</v>
      </c>
      <c r="V263">
        <v>6.5573679999999995E-2</v>
      </c>
      <c r="W263">
        <v>0.21694099999999999</v>
      </c>
      <c r="X263">
        <v>0.97397979999999995</v>
      </c>
      <c r="Y263">
        <v>0.14184929999999901</v>
      </c>
      <c r="Z263">
        <v>-1.4981039999999999E-2</v>
      </c>
      <c r="AA263">
        <v>0.98977490000000001</v>
      </c>
      <c r="AB263">
        <v>44</v>
      </c>
      <c r="AC263">
        <v>0.59069999999996903</v>
      </c>
      <c r="AD263">
        <v>-0.202122</v>
      </c>
      <c r="AE263">
        <v>-0.148299999999949</v>
      </c>
      <c r="AF263">
        <v>0.13546132146781201</v>
      </c>
      <c r="AG263">
        <v>-0.202122</v>
      </c>
      <c r="AH263">
        <v>0.53162057947760999</v>
      </c>
      <c r="AI263">
        <v>110.22517578882299</v>
      </c>
      <c r="AJ263">
        <v>75.704763105886499</v>
      </c>
      <c r="AK263">
        <v>0.58465674803419099</v>
      </c>
      <c r="AL263">
        <v>77.470573251772393</v>
      </c>
      <c r="AM263">
        <v>86.148345298934601</v>
      </c>
      <c r="AN263">
        <v>0.99999997789889095</v>
      </c>
    </row>
    <row r="264" spans="1:40" x14ac:dyDescent="0.25">
      <c r="A264" t="str">
        <f>"20190303170947262"</f>
        <v>20190303170947262</v>
      </c>
      <c r="B264" t="str">
        <f>"1551604187250492"</f>
        <v>1551604187250492</v>
      </c>
      <c r="C264" t="s">
        <v>40</v>
      </c>
      <c r="D264">
        <v>5.121416</v>
      </c>
      <c r="E264">
        <v>0.54444300000000001</v>
      </c>
      <c r="F264" t="s">
        <v>43</v>
      </c>
      <c r="G264">
        <v>-392.99619999999999</v>
      </c>
      <c r="H264">
        <v>0.90931810000000002</v>
      </c>
      <c r="I264">
        <v>367.35899999999998</v>
      </c>
      <c r="J264">
        <v>-393.56060000000002</v>
      </c>
      <c r="K264">
        <v>1.107939</v>
      </c>
      <c r="L264">
        <v>367.5025</v>
      </c>
      <c r="M264">
        <v>0.99994340000000004</v>
      </c>
      <c r="N264">
        <v>-1.003561E-2</v>
      </c>
      <c r="O264">
        <v>3.5377540000000002E-3</v>
      </c>
      <c r="P264">
        <v>0.97632490000000005</v>
      </c>
      <c r="Q264">
        <v>0.20714550000000001</v>
      </c>
      <c r="R264">
        <v>-6.2294700000000001E-2</v>
      </c>
      <c r="S264">
        <v>3.1778559999999998</v>
      </c>
      <c r="T264">
        <v>-0.63199830000000001</v>
      </c>
      <c r="U264">
        <v>-0.4559937</v>
      </c>
      <c r="V264">
        <v>6.5723420000000005E-2</v>
      </c>
      <c r="W264">
        <v>0.2169382</v>
      </c>
      <c r="X264">
        <v>0.97397040000000001</v>
      </c>
      <c r="Y264">
        <v>0.142596</v>
      </c>
      <c r="Z264">
        <v>-1.53571E-2</v>
      </c>
      <c r="AA264">
        <v>0.98966180000000004</v>
      </c>
      <c r="AB264">
        <v>44</v>
      </c>
      <c r="AC264">
        <v>0.56440000000003399</v>
      </c>
      <c r="AD264">
        <v>-0.19862089999999999</v>
      </c>
      <c r="AE264">
        <v>-0.14349999999995999</v>
      </c>
      <c r="AF264">
        <v>0.130334776761444</v>
      </c>
      <c r="AG264">
        <v>-0.19862089999999999</v>
      </c>
      <c r="AH264">
        <v>0.50512978089007698</v>
      </c>
      <c r="AI264">
        <v>110.84372810761801</v>
      </c>
      <c r="AJ264">
        <v>75.531970628026997</v>
      </c>
      <c r="AK264">
        <v>0.55820561757503195</v>
      </c>
      <c r="AL264">
        <v>77.470738452171204</v>
      </c>
      <c r="AM264">
        <v>86.139539317875801</v>
      </c>
      <c r="AN264">
        <v>1.0000000453159399</v>
      </c>
    </row>
    <row r="265" spans="1:40" x14ac:dyDescent="0.25">
      <c r="A265" t="str">
        <f>"20190303170947283"</f>
        <v>20190303170947283</v>
      </c>
      <c r="B265" t="str">
        <f>"1551604187280749"</f>
        <v>1551604187280749</v>
      </c>
      <c r="C265" t="s">
        <v>40</v>
      </c>
      <c r="D265">
        <v>5.0985430000000003</v>
      </c>
      <c r="E265">
        <v>0.54520950000000001</v>
      </c>
      <c r="F265" t="s">
        <v>43</v>
      </c>
      <c r="G265">
        <v>-392.59879999999998</v>
      </c>
      <c r="H265">
        <v>0.91371049999999998</v>
      </c>
      <c r="I265">
        <v>367.36309999999997</v>
      </c>
      <c r="J265">
        <v>-393.12110000000001</v>
      </c>
      <c r="K265">
        <v>1.1097349999999999</v>
      </c>
      <c r="L265">
        <v>367.50409999999999</v>
      </c>
      <c r="M265">
        <v>0.99994519999999998</v>
      </c>
      <c r="N265">
        <v>-9.8479840000000006E-3</v>
      </c>
      <c r="O265">
        <v>3.5515740000000001E-3</v>
      </c>
      <c r="P265">
        <v>0.97632339999999995</v>
      </c>
      <c r="Q265">
        <v>0.20706569999999999</v>
      </c>
      <c r="R265">
        <v>-6.2582020000000002E-2</v>
      </c>
      <c r="S265">
        <v>3.1796259999999998</v>
      </c>
      <c r="T265">
        <v>-0.64213299999999995</v>
      </c>
      <c r="U265">
        <v>-0.46017459999999999</v>
      </c>
      <c r="V265">
        <v>6.6028829999999997E-2</v>
      </c>
      <c r="W265">
        <v>0.2166747</v>
      </c>
      <c r="X265">
        <v>0.97400830000000005</v>
      </c>
      <c r="Y265">
        <v>0.1436982</v>
      </c>
      <c r="Z265">
        <v>-1.568344E-2</v>
      </c>
      <c r="AA265">
        <v>0.98949719999999997</v>
      </c>
      <c r="AB265">
        <v>44</v>
      </c>
      <c r="AC265">
        <v>0.52230000000002896</v>
      </c>
      <c r="AD265">
        <v>-0.19602449999999999</v>
      </c>
      <c r="AE265">
        <v>-0.141000000000019</v>
      </c>
      <c r="AF265">
        <v>0.12627552879516701</v>
      </c>
      <c r="AG265">
        <v>-0.19602449999999999</v>
      </c>
      <c r="AH265">
        <v>0.46123992190846702</v>
      </c>
      <c r="AI265">
        <v>112.289231483322</v>
      </c>
      <c r="AJ265">
        <v>74.689071553739396</v>
      </c>
      <c r="AK265">
        <v>0.51683012618739399</v>
      </c>
      <c r="AL265">
        <v>77.486202528210995</v>
      </c>
      <c r="AM265">
        <v>86.121805224804007</v>
      </c>
      <c r="AN265">
        <v>0.99999995024007304</v>
      </c>
    </row>
    <row r="266" spans="1:40" x14ac:dyDescent="0.25">
      <c r="A266" t="str">
        <f>"20190303170947307"</f>
        <v>20190303170947307</v>
      </c>
      <c r="B266" t="str">
        <f>"1551604187301245"</f>
        <v>1551604187301245</v>
      </c>
      <c r="C266" t="s">
        <v>40</v>
      </c>
      <c r="D266">
        <v>5.1003949999999998</v>
      </c>
      <c r="E266">
        <v>0.54554369999999996</v>
      </c>
      <c r="F266" t="s">
        <v>43</v>
      </c>
      <c r="G266">
        <v>-392.19729999999998</v>
      </c>
      <c r="H266">
        <v>0.91991710000000004</v>
      </c>
      <c r="I266">
        <v>367.36849999999998</v>
      </c>
      <c r="J266">
        <v>-392.6644</v>
      </c>
      <c r="K266">
        <v>1.1111439999999999</v>
      </c>
      <c r="L266">
        <v>367.50569999999999</v>
      </c>
      <c r="M266">
        <v>0.99995449999999997</v>
      </c>
      <c r="N266">
        <v>-8.8650859999999995E-3</v>
      </c>
      <c r="O266">
        <v>3.566119E-3</v>
      </c>
      <c r="P266">
        <v>0.97604860000000004</v>
      </c>
      <c r="Q266">
        <v>0.2082965</v>
      </c>
      <c r="R266">
        <v>-6.2784179999999995E-2</v>
      </c>
      <c r="S266">
        <v>3.1814879999999999</v>
      </c>
      <c r="T266">
        <v>-0.6537771</v>
      </c>
      <c r="U266">
        <v>-0.46646120000000002</v>
      </c>
      <c r="V266">
        <v>6.6248950000000001E-2</v>
      </c>
      <c r="W266">
        <v>0.21694430000000001</v>
      </c>
      <c r="X266">
        <v>0.97393339999999995</v>
      </c>
      <c r="Y266">
        <v>0.1454183</v>
      </c>
      <c r="Z266">
        <v>-1.605581E-2</v>
      </c>
      <c r="AA266">
        <v>0.98924000000000001</v>
      </c>
      <c r="AB266">
        <v>44</v>
      </c>
      <c r="AC266">
        <v>0.467100000000016</v>
      </c>
      <c r="AD266">
        <v>-0.19122690000000001</v>
      </c>
      <c r="AE266">
        <v>-0.13720000000000701</v>
      </c>
      <c r="AF266">
        <v>0.120303312147617</v>
      </c>
      <c r="AG266">
        <v>-0.19122690000000001</v>
      </c>
      <c r="AH266">
        <v>0.40423782822443499</v>
      </c>
      <c r="AI266">
        <v>114.389666344839</v>
      </c>
      <c r="AJ266">
        <v>73.426716873762501</v>
      </c>
      <c r="AK266">
        <v>0.46308620791911398</v>
      </c>
      <c r="AL266">
        <v>77.470379973620098</v>
      </c>
      <c r="AM266">
        <v>86.108617831853394</v>
      </c>
      <c r="AN266">
        <v>1.0000000101570701</v>
      </c>
    </row>
    <row r="267" spans="1:40" x14ac:dyDescent="0.25">
      <c r="A267" t="str">
        <f>"20190303170947329"</f>
        <v>20190303170947329</v>
      </c>
      <c r="B267" t="str">
        <f>"1551604187320764"</f>
        <v>1551604187320764</v>
      </c>
      <c r="C267" t="s">
        <v>40</v>
      </c>
      <c r="D267">
        <v>5.0600160000000001</v>
      </c>
      <c r="E267">
        <v>0.54548560000000001</v>
      </c>
      <c r="F267" t="s">
        <v>43</v>
      </c>
      <c r="G267">
        <v>-391.79050000000001</v>
      </c>
      <c r="H267">
        <v>0.93156779999999995</v>
      </c>
      <c r="I267">
        <v>367.37610000000001</v>
      </c>
      <c r="J267">
        <v>-392.19749999999999</v>
      </c>
      <c r="K267">
        <v>1.1123369999999999</v>
      </c>
      <c r="L267">
        <v>367.50740000000002</v>
      </c>
      <c r="M267">
        <v>0.99996439999999998</v>
      </c>
      <c r="N267">
        <v>-7.6549359999999898E-3</v>
      </c>
      <c r="O267">
        <v>3.5801359999999998E-3</v>
      </c>
      <c r="P267">
        <v>0.97557839999999996</v>
      </c>
      <c r="Q267">
        <v>0.21037900000000001</v>
      </c>
      <c r="R267">
        <v>-6.3149049999999998E-2</v>
      </c>
      <c r="S267">
        <v>3.1829830000000001</v>
      </c>
      <c r="T267">
        <v>-0.65421899999999999</v>
      </c>
      <c r="U267">
        <v>-0.47036739999999999</v>
      </c>
      <c r="V267">
        <v>6.6629789999999994E-2</v>
      </c>
      <c r="W267">
        <v>0.21784249999999999</v>
      </c>
      <c r="X267">
        <v>0.97370690000000004</v>
      </c>
      <c r="Y267">
        <v>0.14654610000000001</v>
      </c>
      <c r="Z267">
        <v>-1.6093759999999999E-2</v>
      </c>
      <c r="AA267">
        <v>0.98907290000000003</v>
      </c>
      <c r="AB267">
        <v>45</v>
      </c>
      <c r="AC267">
        <v>0.40699999999998199</v>
      </c>
      <c r="AD267">
        <v>-0.18076919999999999</v>
      </c>
      <c r="AE267">
        <v>-0.13130000000000999</v>
      </c>
      <c r="AF267">
        <v>0.112631894537642</v>
      </c>
      <c r="AG267">
        <v>-0.18076919999999999</v>
      </c>
      <c r="AH267">
        <v>0.34490216283205899</v>
      </c>
      <c r="AI267">
        <v>116.483596545758</v>
      </c>
      <c r="AJ267">
        <v>71.914936358600201</v>
      </c>
      <c r="AK267">
        <v>0.40536520479934002</v>
      </c>
      <c r="AL267">
        <v>77.417655898376907</v>
      </c>
      <c r="AM267">
        <v>86.085409521106996</v>
      </c>
      <c r="AN267">
        <v>1.0000000054146501</v>
      </c>
    </row>
    <row r="268" spans="1:40" x14ac:dyDescent="0.25">
      <c r="A268" t="str">
        <f>"20190303170947351"</f>
        <v>20190303170947351</v>
      </c>
      <c r="B268" t="str">
        <f>"1551604187341260"</f>
        <v>1551604187341260</v>
      </c>
      <c r="C268" t="s">
        <v>40</v>
      </c>
      <c r="D268">
        <v>5.0028639999999998</v>
      </c>
      <c r="E268">
        <v>0.54551499999999997</v>
      </c>
      <c r="F268" t="s">
        <v>43</v>
      </c>
      <c r="G268">
        <v>-391.37970000000001</v>
      </c>
      <c r="H268">
        <v>0.94630349999999996</v>
      </c>
      <c r="I268">
        <v>367.38630000000001</v>
      </c>
      <c r="J268">
        <v>-391.7654</v>
      </c>
      <c r="K268">
        <v>1.113291</v>
      </c>
      <c r="L268">
        <v>367.50900000000001</v>
      </c>
      <c r="M268">
        <v>0.99997199999999997</v>
      </c>
      <c r="N268">
        <v>-6.566054E-3</v>
      </c>
      <c r="O268">
        <v>3.5925280000000002E-3</v>
      </c>
      <c r="P268">
        <v>0.97530070000000002</v>
      </c>
      <c r="Q268">
        <v>0.21148410000000001</v>
      </c>
      <c r="R268">
        <v>-6.3744560000000006E-2</v>
      </c>
      <c r="S268">
        <v>3.184021</v>
      </c>
      <c r="T268">
        <v>-0.64658369999999998</v>
      </c>
      <c r="U268">
        <v>-0.47070309999999999</v>
      </c>
      <c r="V268">
        <v>6.7239579999999993E-2</v>
      </c>
      <c r="W268">
        <v>0.21788440000000001</v>
      </c>
      <c r="X268">
        <v>0.97365559999999995</v>
      </c>
      <c r="Y268">
        <v>0.14669979999999999</v>
      </c>
      <c r="Z268">
        <v>-1.5851799999999999E-2</v>
      </c>
      <c r="AA268">
        <v>0.98905399999999999</v>
      </c>
      <c r="AB268">
        <v>45</v>
      </c>
      <c r="AC268">
        <v>0.385699999999985</v>
      </c>
      <c r="AD268">
        <v>-0.16698750000000001</v>
      </c>
      <c r="AE268">
        <v>-0.122700000000008</v>
      </c>
      <c r="AF268">
        <v>0.106035830921477</v>
      </c>
      <c r="AG268">
        <v>-0.16698750000000001</v>
      </c>
      <c r="AH268">
        <v>0.32921831740039098</v>
      </c>
      <c r="AI268">
        <v>115.771236892332</v>
      </c>
      <c r="AJ268">
        <v>72.147100024316103</v>
      </c>
      <c r="AK268">
        <v>0.38407437184405202</v>
      </c>
      <c r="AL268">
        <v>77.415196052138</v>
      </c>
      <c r="AM268">
        <v>86.049488970811296</v>
      </c>
      <c r="AN268">
        <v>1.00000000014664</v>
      </c>
    </row>
    <row r="269" spans="1:40" x14ac:dyDescent="0.25">
      <c r="A269" t="str">
        <f>"20190303170947364"</f>
        <v>20190303170947364</v>
      </c>
      <c r="B269" t="str">
        <f>"1551604187360780"</f>
        <v>1551604187360780</v>
      </c>
      <c r="C269" t="s">
        <v>40</v>
      </c>
      <c r="D269">
        <v>4.9593470000000002</v>
      </c>
      <c r="E269">
        <v>0.54561329999999997</v>
      </c>
      <c r="F269" t="s">
        <v>43</v>
      </c>
      <c r="G269">
        <v>-390.97030000000001</v>
      </c>
      <c r="H269">
        <v>0.95286599999999999</v>
      </c>
      <c r="I269">
        <v>367.39109999999999</v>
      </c>
      <c r="J269">
        <v>-391.48809999999997</v>
      </c>
      <c r="K269">
        <v>1.113845</v>
      </c>
      <c r="L269">
        <v>367.50990000000002</v>
      </c>
      <c r="M269">
        <v>0.99997579999999997</v>
      </c>
      <c r="N269">
        <v>-5.95503E-3</v>
      </c>
      <c r="O269">
        <v>3.6003150000000002E-3</v>
      </c>
      <c r="P269">
        <v>0.9751495</v>
      </c>
      <c r="Q269">
        <v>0.2121073</v>
      </c>
      <c r="R269">
        <v>-6.3986459999999995E-2</v>
      </c>
      <c r="S269">
        <v>3.1845400000000001</v>
      </c>
      <c r="T269">
        <v>-0.64264009999999905</v>
      </c>
      <c r="U269">
        <v>-0.4709778</v>
      </c>
      <c r="V269">
        <v>6.7490120000000001E-2</v>
      </c>
      <c r="W269">
        <v>0.21791140000000001</v>
      </c>
      <c r="X269">
        <v>0.97363219999999995</v>
      </c>
      <c r="Y269">
        <v>0.14681169999999999</v>
      </c>
      <c r="Z269">
        <v>-1.5726819999999999E-2</v>
      </c>
      <c r="AA269">
        <v>0.98903940000000001</v>
      </c>
      <c r="AB269">
        <v>45</v>
      </c>
      <c r="AC269">
        <v>0.51779999999996495</v>
      </c>
      <c r="AD269">
        <v>-0.16097899999999901</v>
      </c>
      <c r="AE269">
        <v>-0.118800000000021</v>
      </c>
      <c r="AF269">
        <v>0.110515985483391</v>
      </c>
      <c r="AG269">
        <v>-0.16097899999999901</v>
      </c>
      <c r="AH269">
        <v>0.47385939426724999</v>
      </c>
      <c r="AI269">
        <v>108.306290887693</v>
      </c>
      <c r="AJ269">
        <v>76.871849679652598</v>
      </c>
      <c r="AK269">
        <v>0.51251414324259403</v>
      </c>
      <c r="AL269">
        <v>77.413610692278795</v>
      </c>
      <c r="AM269">
        <v>86.034720927793103</v>
      </c>
      <c r="AN269">
        <v>0.99999997771220595</v>
      </c>
    </row>
    <row r="270" spans="1:40" x14ac:dyDescent="0.25">
      <c r="A270" t="str">
        <f>"20190303170947384"</f>
        <v>20190303170947384</v>
      </c>
      <c r="B270" t="str">
        <f>"1551604187381277"</f>
        <v>1551604187381277</v>
      </c>
      <c r="C270" t="s">
        <v>40</v>
      </c>
      <c r="D270">
        <v>4.9404640000000004</v>
      </c>
      <c r="E270">
        <v>0.54568260000000002</v>
      </c>
      <c r="F270" t="s">
        <v>43</v>
      </c>
      <c r="G270">
        <v>-390.57190000000003</v>
      </c>
      <c r="H270">
        <v>0.92962679999999998</v>
      </c>
      <c r="I270">
        <v>367.37419999999997</v>
      </c>
      <c r="J270">
        <v>-391.08870000000002</v>
      </c>
      <c r="K270">
        <v>1.1146309999999999</v>
      </c>
      <c r="L270">
        <v>367.51139999999998</v>
      </c>
      <c r="M270">
        <v>0.99997910000000001</v>
      </c>
      <c r="N270">
        <v>-5.3519279999999997E-3</v>
      </c>
      <c r="O270">
        <v>3.6124249999999998E-3</v>
      </c>
      <c r="P270">
        <v>0.97508620000000001</v>
      </c>
      <c r="Q270">
        <v>0.21218899999999999</v>
      </c>
      <c r="R270">
        <v>-6.4675079999999996E-2</v>
      </c>
      <c r="S270">
        <v>3.1848139999999998</v>
      </c>
      <c r="T270">
        <v>-0.64050050000000003</v>
      </c>
      <c r="U270">
        <v>-0.47171020000000002</v>
      </c>
      <c r="V270">
        <v>6.8192080000000002E-2</v>
      </c>
      <c r="W270">
        <v>0.2174046</v>
      </c>
      <c r="X270">
        <v>0.97369660000000002</v>
      </c>
      <c r="Y270">
        <v>0.14705770000000001</v>
      </c>
      <c r="Z270">
        <v>-1.5659840000000001E-2</v>
      </c>
      <c r="AA270">
        <v>0.98900399999999999</v>
      </c>
      <c r="AB270">
        <v>46</v>
      </c>
      <c r="AC270">
        <v>0.51679999999998905</v>
      </c>
      <c r="AD270">
        <v>-0.18500419999999901</v>
      </c>
      <c r="AE270">
        <v>-0.13720000000000701</v>
      </c>
      <c r="AF270">
        <v>0.124197973236571</v>
      </c>
      <c r="AG270">
        <v>-0.18500419999999901</v>
      </c>
      <c r="AH270">
        <v>0.461101362970955</v>
      </c>
      <c r="AI270">
        <v>111.177115829163</v>
      </c>
      <c r="AJ270">
        <v>74.925105118183296</v>
      </c>
      <c r="AK270">
        <v>0.51211928054642197</v>
      </c>
      <c r="AL270">
        <v>77.443361678732899</v>
      </c>
      <c r="AM270">
        <v>85.993876073882603</v>
      </c>
      <c r="AN270">
        <v>0.999999994363723</v>
      </c>
    </row>
    <row r="271" spans="1:40" x14ac:dyDescent="0.25">
      <c r="A271" t="str">
        <f>"20190303170947408"</f>
        <v>20190303170947408</v>
      </c>
      <c r="B271" t="str">
        <f>"1551604187400797"</f>
        <v>1551604187400797</v>
      </c>
      <c r="C271" t="s">
        <v>40</v>
      </c>
      <c r="D271">
        <v>4.86815</v>
      </c>
      <c r="E271">
        <v>0.54573729999999998</v>
      </c>
      <c r="F271" t="s">
        <v>43</v>
      </c>
      <c r="G271">
        <v>-390.16320000000002</v>
      </c>
      <c r="H271">
        <v>0.92875799999999997</v>
      </c>
      <c r="I271">
        <v>367.37290000000002</v>
      </c>
      <c r="J271">
        <v>-390.601</v>
      </c>
      <c r="K271">
        <v>1.1156360000000001</v>
      </c>
      <c r="L271">
        <v>367.51319999999998</v>
      </c>
      <c r="M271">
        <v>0.99997910000000001</v>
      </c>
      <c r="N271">
        <v>-5.3739640000000002E-3</v>
      </c>
      <c r="O271">
        <v>3.6283209999999999E-3</v>
      </c>
      <c r="P271">
        <v>0.9752345</v>
      </c>
      <c r="Q271">
        <v>0.21154500000000001</v>
      </c>
      <c r="R271">
        <v>-6.4549510000000004E-2</v>
      </c>
      <c r="S271">
        <v>3.184326</v>
      </c>
      <c r="T271">
        <v>-0.63961859999999904</v>
      </c>
      <c r="U271">
        <v>-0.47534179999999998</v>
      </c>
      <c r="V271">
        <v>6.8084169999999999E-2</v>
      </c>
      <c r="W271">
        <v>0.21678230000000001</v>
      </c>
      <c r="X271">
        <v>0.97384289999999996</v>
      </c>
      <c r="Y271">
        <v>0.14818339999999999</v>
      </c>
      <c r="Z271">
        <v>-1.5759309999999999E-2</v>
      </c>
      <c r="AA271">
        <v>0.98883430000000005</v>
      </c>
      <c r="AB271">
        <v>46</v>
      </c>
      <c r="AC271">
        <v>0.43779999999998098</v>
      </c>
      <c r="AD271">
        <v>-0.18687799999999999</v>
      </c>
      <c r="AE271">
        <v>-0.14029999999996701</v>
      </c>
      <c r="AF271">
        <v>0.121767110011088</v>
      </c>
      <c r="AG271">
        <v>-0.18687799999999999</v>
      </c>
      <c r="AH271">
        <v>0.37527811590113203</v>
      </c>
      <c r="AI271">
        <v>115.345130133452</v>
      </c>
      <c r="AJ271">
        <v>72.023222763347206</v>
      </c>
      <c r="AK271">
        <v>0.43655959528884097</v>
      </c>
      <c r="AL271">
        <v>77.479888123734497</v>
      </c>
      <c r="AM271">
        <v>86.000793878403101</v>
      </c>
      <c r="AN271">
        <v>1.0000000068391399</v>
      </c>
    </row>
    <row r="272" spans="1:40" x14ac:dyDescent="0.25">
      <c r="A272" t="str">
        <f>"20190303170947431"</f>
        <v>20190303170947431</v>
      </c>
      <c r="B272" t="str">
        <f>"1551604187421292"</f>
        <v>1551604187421292</v>
      </c>
      <c r="C272" t="s">
        <v>40</v>
      </c>
      <c r="D272">
        <v>4.8005849999999999</v>
      </c>
      <c r="E272">
        <v>0.54576080000000005</v>
      </c>
      <c r="F272" t="s">
        <v>43</v>
      </c>
      <c r="G272">
        <v>-389.7484</v>
      </c>
      <c r="H272">
        <v>0.94410470000000002</v>
      </c>
      <c r="I272">
        <v>367.3854</v>
      </c>
      <c r="J272">
        <v>-390.14120000000003</v>
      </c>
      <c r="K272">
        <v>1.11659</v>
      </c>
      <c r="L272">
        <v>367.51490000000001</v>
      </c>
      <c r="M272">
        <v>0.99997550000000002</v>
      </c>
      <c r="N272">
        <v>-5.9982990000000003E-3</v>
      </c>
      <c r="O272">
        <v>3.6428670000000002E-3</v>
      </c>
      <c r="P272">
        <v>0.97529829999999995</v>
      </c>
      <c r="Q272">
        <v>0.2110814</v>
      </c>
      <c r="R272">
        <v>-6.5100069999999996E-2</v>
      </c>
      <c r="S272">
        <v>3.1835939999999998</v>
      </c>
      <c r="T272">
        <v>-0.64062229999999998</v>
      </c>
      <c r="U272">
        <v>-0.4765625</v>
      </c>
      <c r="V272">
        <v>6.8649979999999999E-2</v>
      </c>
      <c r="W272">
        <v>0.21692700000000001</v>
      </c>
      <c r="X272">
        <v>0.97377089999999999</v>
      </c>
      <c r="Y272">
        <v>0.14857429999999999</v>
      </c>
      <c r="Z272">
        <v>-1.5873479999999999E-2</v>
      </c>
      <c r="AA272">
        <v>0.98877380000000004</v>
      </c>
      <c r="AB272">
        <v>46</v>
      </c>
      <c r="AC272">
        <v>0.39280000000002202</v>
      </c>
      <c r="AD272">
        <v>-0.17248530000000001</v>
      </c>
      <c r="AE272">
        <v>-0.129500000000007</v>
      </c>
      <c r="AF272">
        <v>0.111532340609758</v>
      </c>
      <c r="AG272">
        <v>-0.17248530000000001</v>
      </c>
      <c r="AH272">
        <v>0.33420123739705498</v>
      </c>
      <c r="AI272">
        <v>116.084933306343</v>
      </c>
      <c r="AJ272">
        <v>71.544697489974496</v>
      </c>
      <c r="AK272">
        <v>0.392276826738088</v>
      </c>
      <c r="AL272">
        <v>77.471394661270807</v>
      </c>
      <c r="AM272">
        <v>85.967370701031996</v>
      </c>
      <c r="AN272">
        <v>0.99999995438490397</v>
      </c>
    </row>
    <row r="273" spans="1:40" x14ac:dyDescent="0.25">
      <c r="A273" t="str">
        <f>"20190303170947451"</f>
        <v>20190303170947451</v>
      </c>
      <c r="B273" t="str">
        <f>"1551604187440812"</f>
        <v>1551604187440812</v>
      </c>
      <c r="C273" t="s">
        <v>40</v>
      </c>
      <c r="D273">
        <v>4.7637499999999999</v>
      </c>
      <c r="E273">
        <v>0.54578859999999996</v>
      </c>
      <c r="F273" t="s">
        <v>43</v>
      </c>
      <c r="G273">
        <v>-389.33620000000002</v>
      </c>
      <c r="H273">
        <v>0.95448630000000001</v>
      </c>
      <c r="I273">
        <v>367.39359999999999</v>
      </c>
      <c r="J273">
        <v>-389.72629999999998</v>
      </c>
      <c r="K273">
        <v>1.1173379999999999</v>
      </c>
      <c r="L273">
        <v>367.51639999999998</v>
      </c>
      <c r="M273">
        <v>0.9999709</v>
      </c>
      <c r="N273">
        <v>-6.7139670000000004E-3</v>
      </c>
      <c r="O273">
        <v>3.6553670000000001E-3</v>
      </c>
      <c r="P273">
        <v>0.97527710000000001</v>
      </c>
      <c r="Q273">
        <v>0.21121960000000001</v>
      </c>
      <c r="R273">
        <v>-6.4969990000000005E-2</v>
      </c>
      <c r="S273">
        <v>3.1828609999999999</v>
      </c>
      <c r="T273">
        <v>-0.64117409999999997</v>
      </c>
      <c r="U273">
        <v>-0.47805789999999998</v>
      </c>
      <c r="V273">
        <v>6.8532090000000004E-2</v>
      </c>
      <c r="W273">
        <v>0.21776200000000001</v>
      </c>
      <c r="X273">
        <v>0.97359289999999998</v>
      </c>
      <c r="Y273">
        <v>0.14904790000000001</v>
      </c>
      <c r="Z273">
        <v>-1.5991910000000002E-2</v>
      </c>
      <c r="AA273">
        <v>0.98870060000000004</v>
      </c>
      <c r="AB273">
        <v>46</v>
      </c>
      <c r="AC273">
        <v>0.39009999999996098</v>
      </c>
      <c r="AD273">
        <v>-0.16285169999999899</v>
      </c>
      <c r="AE273">
        <v>-0.12279999999998301</v>
      </c>
      <c r="AF273">
        <v>0.107223619095795</v>
      </c>
      <c r="AG273">
        <v>-0.16285169999999899</v>
      </c>
      <c r="AH273">
        <v>0.33632091442650802</v>
      </c>
      <c r="AI273">
        <v>114.765618620122</v>
      </c>
      <c r="AJ273">
        <v>72.317020809655901</v>
      </c>
      <c r="AK273">
        <v>0.38875356997148303</v>
      </c>
      <c r="AL273">
        <v>77.422382044527893</v>
      </c>
      <c r="AM273">
        <v>85.973539398463103</v>
      </c>
      <c r="AN273">
        <v>1.0000000354670799</v>
      </c>
    </row>
    <row r="274" spans="1:40" x14ac:dyDescent="0.25">
      <c r="A274" t="str">
        <f>"20190303170947473"</f>
        <v>20190303170947473</v>
      </c>
      <c r="B274" t="str">
        <f>"1551604187461309"</f>
        <v>1551604187461309</v>
      </c>
      <c r="C274" t="s">
        <v>40</v>
      </c>
      <c r="D274">
        <v>4.8093729999999999</v>
      </c>
      <c r="E274">
        <v>0.54580299999999904</v>
      </c>
      <c r="F274" t="s">
        <v>43</v>
      </c>
      <c r="G274">
        <v>-388.92779999999999</v>
      </c>
      <c r="H274">
        <v>0.9568951</v>
      </c>
      <c r="I274">
        <v>367.39620000000002</v>
      </c>
      <c r="J274">
        <v>-389.27409999999998</v>
      </c>
      <c r="K274">
        <v>1.1180219999999901</v>
      </c>
      <c r="L274">
        <v>367.5181</v>
      </c>
      <c r="M274">
        <v>0.9999654</v>
      </c>
      <c r="N274">
        <v>-7.4664269999999899E-3</v>
      </c>
      <c r="O274">
        <v>3.668368E-3</v>
      </c>
      <c r="P274">
        <v>0.97541029999999995</v>
      </c>
      <c r="Q274">
        <v>0.21103089999999999</v>
      </c>
      <c r="R274">
        <v>-6.3566600000000001E-2</v>
      </c>
      <c r="S274">
        <v>3.1826780000000001</v>
      </c>
      <c r="T274">
        <v>-0.63957600000000003</v>
      </c>
      <c r="U274">
        <v>-0.47860720000000001</v>
      </c>
      <c r="V274">
        <v>6.7142080000000007E-2</v>
      </c>
      <c r="W274">
        <v>0.21830649999999999</v>
      </c>
      <c r="X274">
        <v>0.97356779999999998</v>
      </c>
      <c r="Y274">
        <v>0.1492359</v>
      </c>
      <c r="Z274">
        <v>-1.6030719999999998E-2</v>
      </c>
      <c r="AA274">
        <v>0.98867169999999904</v>
      </c>
      <c r="AB274">
        <v>46</v>
      </c>
      <c r="AC274">
        <v>0.34629999999998501</v>
      </c>
      <c r="AD274">
        <v>-0.16112689999999899</v>
      </c>
      <c r="AE274">
        <v>-0.12189999999998199</v>
      </c>
      <c r="AF274">
        <v>0.10327651165146599</v>
      </c>
      <c r="AG274">
        <v>-0.16112689999999899</v>
      </c>
      <c r="AH274">
        <v>0.289992334762813</v>
      </c>
      <c r="AI274">
        <v>117.628544407652</v>
      </c>
      <c r="AJ274">
        <v>70.397389849290704</v>
      </c>
      <c r="AK274">
        <v>0.34745283130763599</v>
      </c>
      <c r="AL274">
        <v>77.390415265153806</v>
      </c>
      <c r="AM274">
        <v>86.0548446327509</v>
      </c>
      <c r="AN274">
        <v>1.0000000240228999</v>
      </c>
    </row>
    <row r="275" spans="1:40" x14ac:dyDescent="0.25">
      <c r="A275" t="str">
        <f>"20190303170947497"</f>
        <v>20190303170947497</v>
      </c>
      <c r="B275" t="str">
        <f>"1551604187490588"</f>
        <v>1551604187490588</v>
      </c>
      <c r="C275" t="s">
        <v>40</v>
      </c>
      <c r="D275">
        <v>4.6174819999999999</v>
      </c>
      <c r="E275">
        <v>0.50994810000000002</v>
      </c>
      <c r="F275" t="s">
        <v>43</v>
      </c>
      <c r="G275">
        <v>-388.51650000000001</v>
      </c>
      <c r="H275">
        <v>0.96579999999999999</v>
      </c>
      <c r="I275">
        <v>367.40440000000001</v>
      </c>
      <c r="J275">
        <v>-388.80119999999999</v>
      </c>
      <c r="K275">
        <v>1.1185929999999999</v>
      </c>
      <c r="L275">
        <v>367.51979999999998</v>
      </c>
      <c r="M275">
        <v>0.99995970000000001</v>
      </c>
      <c r="N275">
        <v>-8.2034150000000004E-3</v>
      </c>
      <c r="O275">
        <v>3.6807929999999999E-3</v>
      </c>
      <c r="P275">
        <v>0.97565449999999998</v>
      </c>
      <c r="Q275">
        <v>0.21029690000000001</v>
      </c>
      <c r="R275">
        <v>-6.2240410000000003E-2</v>
      </c>
      <c r="S275">
        <v>3.183014</v>
      </c>
      <c r="T275">
        <v>-0.63970660000000001</v>
      </c>
      <c r="U275">
        <v>-0.4760742</v>
      </c>
      <c r="V275">
        <v>6.5828650000000002E-2</v>
      </c>
      <c r="W275">
        <v>0.2182925</v>
      </c>
      <c r="X275">
        <v>0.97366059999999999</v>
      </c>
      <c r="Y275">
        <v>0.14846719999999999</v>
      </c>
      <c r="Z275">
        <v>-1.600938E-2</v>
      </c>
      <c r="AA275">
        <v>0.98878770000000005</v>
      </c>
      <c r="AB275">
        <v>46</v>
      </c>
      <c r="AC275">
        <v>0.28469999999998602</v>
      </c>
      <c r="AD275">
        <v>-0.15279299999999901</v>
      </c>
      <c r="AE275">
        <v>-0.115399999999965</v>
      </c>
      <c r="AF275">
        <v>9.3353296997957094E-2</v>
      </c>
      <c r="AG275">
        <v>-0.15279299999999901</v>
      </c>
      <c r="AH275">
        <v>0.227896032453793</v>
      </c>
      <c r="AI275">
        <v>121.816121274349</v>
      </c>
      <c r="AJ275">
        <v>67.724469053658297</v>
      </c>
      <c r="AK275">
        <v>0.28982260180594799</v>
      </c>
      <c r="AL275">
        <v>77.391236862929702</v>
      </c>
      <c r="AM275">
        <v>86.132150504226203</v>
      </c>
      <c r="AN275">
        <v>0.99999999535471595</v>
      </c>
    </row>
    <row r="276" spans="1:40" x14ac:dyDescent="0.25">
      <c r="A276" t="str">
        <f>"20190303170947518"</f>
        <v>20190303170947518</v>
      </c>
      <c r="B276" t="str">
        <f>"1551604187511084"</f>
        <v>1551604187511084</v>
      </c>
      <c r="C276" t="s">
        <v>40</v>
      </c>
      <c r="D276">
        <v>4.5108090000000001</v>
      </c>
      <c r="E276">
        <v>0.50267580000000001</v>
      </c>
      <c r="F276" t="s">
        <v>43</v>
      </c>
      <c r="G276">
        <v>-387.6807</v>
      </c>
      <c r="H276">
        <v>1.012262</v>
      </c>
      <c r="I276">
        <v>367.44510000000002</v>
      </c>
      <c r="J276">
        <v>-388.3458</v>
      </c>
      <c r="K276">
        <v>1.119024</v>
      </c>
      <c r="L276">
        <v>367.5215</v>
      </c>
      <c r="M276">
        <v>0.99995369999999995</v>
      </c>
      <c r="N276">
        <v>-8.8814419999999998E-3</v>
      </c>
      <c r="O276">
        <v>3.6924919999999999E-3</v>
      </c>
      <c r="P276">
        <v>0.9757209</v>
      </c>
      <c r="Q276">
        <v>0.2101597</v>
      </c>
      <c r="R276">
        <v>-6.1657169999999997E-2</v>
      </c>
      <c r="S276">
        <v>3.1255799999999998</v>
      </c>
      <c r="T276">
        <v>-0.296711</v>
      </c>
      <c r="U276">
        <v>-0.207428</v>
      </c>
      <c r="V276">
        <v>6.5257389999999998E-2</v>
      </c>
      <c r="W276">
        <v>0.21881600000000001</v>
      </c>
      <c r="X276">
        <v>0.97358160000000005</v>
      </c>
      <c r="Y276">
        <v>6.9548789999999999E-2</v>
      </c>
      <c r="Z276">
        <v>-3.9167560000000004E-3</v>
      </c>
      <c r="AA276">
        <v>0.99757090000000004</v>
      </c>
      <c r="AB276">
        <v>46</v>
      </c>
      <c r="AC276">
        <v>0.66509999999999503</v>
      </c>
      <c r="AD276">
        <v>-0.106762</v>
      </c>
      <c r="AE276">
        <v>-7.6399999999978194E-2</v>
      </c>
      <c r="AF276">
        <v>7.6899800251084893E-2</v>
      </c>
      <c r="AG276">
        <v>-0.106762</v>
      </c>
      <c r="AH276">
        <v>0.64832566461749497</v>
      </c>
      <c r="AI276">
        <v>99.287211270301697</v>
      </c>
      <c r="AJ276">
        <v>83.235585043344003</v>
      </c>
      <c r="AK276">
        <v>0.66154204048145904</v>
      </c>
      <c r="AL276">
        <v>77.360500144783799</v>
      </c>
      <c r="AM276">
        <v>86.165304870210306</v>
      </c>
      <c r="AN276">
        <v>1.0000000503320801</v>
      </c>
    </row>
    <row r="277" spans="1:40" x14ac:dyDescent="0.25">
      <c r="A277" t="str">
        <f>"20190303170947541"</f>
        <v>20190303170947541</v>
      </c>
      <c r="B277" t="str">
        <f>"1551604187530605"</f>
        <v>1551604187530605</v>
      </c>
      <c r="C277" t="s">
        <v>40</v>
      </c>
      <c r="D277">
        <v>4.6601129999999999</v>
      </c>
      <c r="E277">
        <v>0.49953389999999998</v>
      </c>
      <c r="F277" t="s">
        <v>43</v>
      </c>
      <c r="G277">
        <v>-387.25349999999997</v>
      </c>
      <c r="H277">
        <v>1.0502899999999999</v>
      </c>
      <c r="I277">
        <v>367.46710000000002</v>
      </c>
      <c r="J277">
        <v>-387.88560000000001</v>
      </c>
      <c r="K277">
        <v>1.1193869999999999</v>
      </c>
      <c r="L277">
        <v>367.52319999999997</v>
      </c>
      <c r="M277">
        <v>0.99994780000000005</v>
      </c>
      <c r="N277">
        <v>-9.5306950000000005E-3</v>
      </c>
      <c r="O277">
        <v>3.7043330000000002E-3</v>
      </c>
      <c r="P277">
        <v>0.97588180000000002</v>
      </c>
      <c r="Q277">
        <v>0.2096624</v>
      </c>
      <c r="R277">
        <v>-6.0798860000000003E-2</v>
      </c>
      <c r="S277">
        <v>3.1070859999999998</v>
      </c>
      <c r="T277">
        <v>-0.1956348</v>
      </c>
      <c r="U277">
        <v>-0.154174799999999</v>
      </c>
      <c r="V277">
        <v>6.4411419999999997E-2</v>
      </c>
      <c r="W277">
        <v>0.21895229999999999</v>
      </c>
      <c r="X277">
        <v>0.97360720000000001</v>
      </c>
      <c r="Y277">
        <v>5.3132829999999999E-2</v>
      </c>
      <c r="Z277">
        <v>-2.1213149999999999E-3</v>
      </c>
      <c r="AA277">
        <v>0.99858519999999995</v>
      </c>
      <c r="AB277">
        <v>45</v>
      </c>
      <c r="AC277">
        <v>0.63210000000003597</v>
      </c>
      <c r="AD277">
        <v>-6.9097000000000103E-2</v>
      </c>
      <c r="AE277">
        <v>-5.6099999999958003E-2</v>
      </c>
      <c r="AF277">
        <v>5.7756467651507999E-2</v>
      </c>
      <c r="AG277">
        <v>-6.9097000000000103E-2</v>
      </c>
      <c r="AH277">
        <v>0.624483939368638</v>
      </c>
      <c r="AI277">
        <v>96.287281673006007</v>
      </c>
      <c r="AJ277">
        <v>84.715933668138305</v>
      </c>
      <c r="AK277">
        <v>0.63094405100131701</v>
      </c>
      <c r="AL277">
        <v>77.352495495005201</v>
      </c>
      <c r="AM277">
        <v>86.214970063711107</v>
      </c>
      <c r="AN277">
        <v>0.99999996029677196</v>
      </c>
    </row>
    <row r="278" spans="1:40" x14ac:dyDescent="0.25">
      <c r="A278" t="str">
        <f>"20190303170947563"</f>
        <v>20190303170947563</v>
      </c>
      <c r="B278" t="str">
        <f>"1551604187551101"</f>
        <v>1551604187551101</v>
      </c>
      <c r="C278" t="s">
        <v>40</v>
      </c>
      <c r="D278">
        <v>4.557887</v>
      </c>
      <c r="E278">
        <v>0.49789739999999999</v>
      </c>
      <c r="F278" t="s">
        <v>42</v>
      </c>
      <c r="G278">
        <v>-364.06700000000001</v>
      </c>
      <c r="H278" s="1">
        <v>-3.0760490000000002E-6</v>
      </c>
      <c r="I278">
        <v>366.52429999999998</v>
      </c>
      <c r="J278">
        <v>-387.4366</v>
      </c>
      <c r="K278">
        <v>1.1196759999999999</v>
      </c>
      <c r="L278">
        <v>367.52499999999998</v>
      </c>
      <c r="M278">
        <v>0.999942</v>
      </c>
      <c r="N278">
        <v>-1.011768E-2</v>
      </c>
      <c r="O278">
        <v>3.7167480000000002E-3</v>
      </c>
      <c r="P278">
        <v>0.97593370000000002</v>
      </c>
      <c r="Q278">
        <v>0.20963660000000001</v>
      </c>
      <c r="R278">
        <v>-6.0050869999999999E-2</v>
      </c>
      <c r="S278">
        <v>3.097321</v>
      </c>
      <c r="T278">
        <v>-0.1455622</v>
      </c>
      <c r="U278">
        <v>-0.12988279999999999</v>
      </c>
      <c r="V278">
        <v>6.3676189999999994E-2</v>
      </c>
      <c r="W278">
        <v>0.21949850000000001</v>
      </c>
      <c r="X278">
        <v>0.97353259999999997</v>
      </c>
      <c r="Y278">
        <v>4.5546969999999999E-2</v>
      </c>
      <c r="Z278">
        <v>-1.436814E-3</v>
      </c>
      <c r="AA278">
        <v>0.99896119999999999</v>
      </c>
      <c r="AB278">
        <v>45</v>
      </c>
      <c r="AC278">
        <v>23.369599999999998</v>
      </c>
      <c r="AD278">
        <v>-1.1196790760490001</v>
      </c>
      <c r="AE278">
        <v>-1.0006999999999899</v>
      </c>
      <c r="AF278">
        <v>1.08507017798262</v>
      </c>
      <c r="AG278">
        <v>-1.1196790760490001</v>
      </c>
      <c r="AH278">
        <v>23.312302684582999</v>
      </c>
      <c r="AI278">
        <v>92.746807347674704</v>
      </c>
      <c r="AJ278">
        <v>87.335093615308395</v>
      </c>
      <c r="AK278">
        <v>23.364385611055599</v>
      </c>
      <c r="AL278">
        <v>77.320420615545004</v>
      </c>
      <c r="AM278">
        <v>86.257765253111202</v>
      </c>
      <c r="AN278">
        <v>0.999999985968963</v>
      </c>
    </row>
    <row r="279" spans="1:40" x14ac:dyDescent="0.25">
      <c r="A279" t="str">
        <f>"20190303170947587"</f>
        <v>20190303170947587</v>
      </c>
      <c r="B279" t="str">
        <f>"1551604187580381"</f>
        <v>1551604187580381</v>
      </c>
      <c r="C279" t="s">
        <v>40</v>
      </c>
      <c r="D279">
        <v>4.606433</v>
      </c>
      <c r="E279">
        <v>0.495977</v>
      </c>
      <c r="F279" t="s">
        <v>42</v>
      </c>
      <c r="G279">
        <v>-357.21530000000001</v>
      </c>
      <c r="H279" s="1">
        <v>-1.795645E-6</v>
      </c>
      <c r="I279">
        <v>366.37689999999998</v>
      </c>
      <c r="J279">
        <v>-386.97269999999997</v>
      </c>
      <c r="K279">
        <v>1.1199129999999999</v>
      </c>
      <c r="L279">
        <v>367.52670000000001</v>
      </c>
      <c r="M279">
        <v>0.99993620000000005</v>
      </c>
      <c r="N279">
        <v>-1.066951E-2</v>
      </c>
      <c r="O279">
        <v>3.7298330000000001E-3</v>
      </c>
      <c r="P279">
        <v>0.97575259999999997</v>
      </c>
      <c r="Q279">
        <v>0.21053269999999999</v>
      </c>
      <c r="R279">
        <v>-5.9856319999999998E-2</v>
      </c>
      <c r="S279">
        <v>3.0914000000000001</v>
      </c>
      <c r="T279">
        <v>-0.11453389999999999</v>
      </c>
      <c r="U279">
        <v>-0.1174316</v>
      </c>
      <c r="V279">
        <v>6.3494449999999994E-2</v>
      </c>
      <c r="W279">
        <v>0.2209293</v>
      </c>
      <c r="X279">
        <v>0.9732208</v>
      </c>
      <c r="Y279">
        <v>4.1648209999999998E-2</v>
      </c>
      <c r="Z279">
        <v>-1.091662E-3</v>
      </c>
      <c r="AA279">
        <v>0.99913169999999996</v>
      </c>
      <c r="AB279">
        <v>45</v>
      </c>
      <c r="AC279">
        <v>29.757399999999901</v>
      </c>
      <c r="AD279">
        <v>-1.119914795645</v>
      </c>
      <c r="AE279">
        <v>-1.1498000000000199</v>
      </c>
      <c r="AF279">
        <v>1.25900786715107</v>
      </c>
      <c r="AG279">
        <v>-1.119914795645</v>
      </c>
      <c r="AH279">
        <v>29.710884992589101</v>
      </c>
      <c r="AI279">
        <v>92.156737363858298</v>
      </c>
      <c r="AJ279">
        <v>87.573525449207807</v>
      </c>
      <c r="AK279">
        <v>29.758628950304701</v>
      </c>
      <c r="AL279">
        <v>77.236379063849895</v>
      </c>
      <c r="AM279">
        <v>86.267223705959907</v>
      </c>
      <c r="AN279">
        <v>1.0000000131659601</v>
      </c>
    </row>
    <row r="280" spans="1:40" x14ac:dyDescent="0.25">
      <c r="A280" t="str">
        <f>"20190303170947610"</f>
        <v>20190303170947610</v>
      </c>
      <c r="B280" t="str">
        <f>"1551604187600876"</f>
        <v>1551604187600876</v>
      </c>
      <c r="C280" t="s">
        <v>40</v>
      </c>
      <c r="D280">
        <v>4.5109839999999997</v>
      </c>
      <c r="E280">
        <v>0.495222</v>
      </c>
      <c r="F280" t="s">
        <v>42</v>
      </c>
      <c r="G280">
        <v>-345.34050000000002</v>
      </c>
      <c r="H280" s="1">
        <v>-2.799958E-6</v>
      </c>
      <c r="I280">
        <v>366.13850000000002</v>
      </c>
      <c r="J280">
        <v>-386.50310000000002</v>
      </c>
      <c r="K280">
        <v>1.1201019999999999</v>
      </c>
      <c r="L280">
        <v>367.52839999999998</v>
      </c>
      <c r="M280">
        <v>0.9999306</v>
      </c>
      <c r="N280">
        <v>-1.1172430000000001E-2</v>
      </c>
      <c r="O280">
        <v>3.7428629999999999E-3</v>
      </c>
      <c r="P280">
        <v>0.97558210000000001</v>
      </c>
      <c r="Q280">
        <v>0.21109649999999999</v>
      </c>
      <c r="R280">
        <v>-6.0647260000000001E-2</v>
      </c>
      <c r="S280">
        <v>3.0861209999999999</v>
      </c>
      <c r="T280">
        <v>-8.3017350000000004E-2</v>
      </c>
      <c r="U280">
        <v>-0.10290530000000001</v>
      </c>
      <c r="V280">
        <v>6.4297560000000004E-2</v>
      </c>
      <c r="W280">
        <v>0.2219806</v>
      </c>
      <c r="X280">
        <v>0.97292880000000004</v>
      </c>
      <c r="Y280">
        <v>3.7047389999999999E-2</v>
      </c>
      <c r="Z280">
        <v>-7.6397209999999995E-4</v>
      </c>
      <c r="AA280">
        <v>0.99931320000000001</v>
      </c>
      <c r="AB280">
        <v>45</v>
      </c>
      <c r="AC280">
        <v>41.162599999999998</v>
      </c>
      <c r="AD280">
        <v>-1.1201047999580001</v>
      </c>
      <c r="AE280">
        <v>-1.38989999999995</v>
      </c>
      <c r="AF280">
        <v>1.54282472370099</v>
      </c>
      <c r="AG280">
        <v>-1.1201047999580001</v>
      </c>
      <c r="AH280">
        <v>41.1266904124885</v>
      </c>
      <c r="AI280">
        <v>91.558995838791503</v>
      </c>
      <c r="AJ280">
        <v>87.851616257156394</v>
      </c>
      <c r="AK280">
        <v>41.170858713119202</v>
      </c>
      <c r="AL280">
        <v>77.174610240037197</v>
      </c>
      <c r="AM280">
        <v>86.219014539564796</v>
      </c>
      <c r="AN280">
        <v>1.0000000064338701</v>
      </c>
    </row>
    <row r="281" spans="1:40" x14ac:dyDescent="0.25">
      <c r="A281" t="str">
        <f>"20190303170947633"</f>
        <v>20190303170947633</v>
      </c>
      <c r="B281" t="str">
        <f>"1551604187620396"</f>
        <v>1551604187620396</v>
      </c>
      <c r="C281" t="s">
        <v>40</v>
      </c>
      <c r="D281">
        <v>4.4799049999999996</v>
      </c>
      <c r="E281">
        <v>0.4946854</v>
      </c>
      <c r="F281" t="s">
        <v>42</v>
      </c>
      <c r="G281">
        <v>-336.83049999999997</v>
      </c>
      <c r="H281" s="1">
        <v>-2.049344E-6</v>
      </c>
      <c r="I281">
        <v>365.91559999999998</v>
      </c>
      <c r="J281">
        <v>-386.04399999999998</v>
      </c>
      <c r="K281">
        <v>1.120242</v>
      </c>
      <c r="L281">
        <v>367.53019999999998</v>
      </c>
      <c r="M281">
        <v>0.99992559999999997</v>
      </c>
      <c r="N281">
        <v>-1.161127E-2</v>
      </c>
      <c r="O281">
        <v>3.7553109999999999E-3</v>
      </c>
      <c r="P281">
        <v>0.97553809999999996</v>
      </c>
      <c r="Q281">
        <v>0.21119850000000001</v>
      </c>
      <c r="R281">
        <v>-6.0996790000000002E-2</v>
      </c>
      <c r="S281">
        <v>3.0839539999999999</v>
      </c>
      <c r="T281">
        <v>-6.9542290000000007E-2</v>
      </c>
      <c r="U281">
        <v>-0.1001282</v>
      </c>
      <c r="V281">
        <v>6.4659369999999994E-2</v>
      </c>
      <c r="W281">
        <v>0.22250929999999999</v>
      </c>
      <c r="X281">
        <v>0.97278399999999998</v>
      </c>
      <c r="Y281">
        <v>3.6189569999999997E-2</v>
      </c>
      <c r="Z281">
        <v>-6.5913810000000001E-4</v>
      </c>
      <c r="AA281">
        <v>0.99934469999999997</v>
      </c>
      <c r="AB281">
        <v>45</v>
      </c>
      <c r="AC281">
        <v>49.213500000000003</v>
      </c>
      <c r="AD281">
        <v>-1.120244049344</v>
      </c>
      <c r="AE281">
        <v>-1.61459999999999</v>
      </c>
      <c r="AF281">
        <v>1.7984821747870601</v>
      </c>
      <c r="AG281">
        <v>-1.120244049344</v>
      </c>
      <c r="AH281">
        <v>49.181633066959797</v>
      </c>
      <c r="AI281">
        <v>91.303968680939406</v>
      </c>
      <c r="AJ281">
        <v>87.9057315364809</v>
      </c>
      <c r="AK281">
        <v>49.227253792956901</v>
      </c>
      <c r="AL281">
        <v>77.143540425140202</v>
      </c>
      <c r="AM281">
        <v>86.197236418949103</v>
      </c>
      <c r="AN281">
        <v>0.99999996668564195</v>
      </c>
    </row>
    <row r="282" spans="1:40" x14ac:dyDescent="0.25">
      <c r="A282" t="str">
        <f>"20190303170947652"</f>
        <v>20190303170947652</v>
      </c>
      <c r="B282" t="str">
        <f>"1551604187640893"</f>
        <v>1551604187640893</v>
      </c>
      <c r="C282" t="s">
        <v>40</v>
      </c>
      <c r="D282">
        <v>4.6010030000000004</v>
      </c>
      <c r="E282">
        <v>0.49433880000000002</v>
      </c>
      <c r="F282" t="s">
        <v>42</v>
      </c>
      <c r="G282">
        <v>-329.19299999999998</v>
      </c>
      <c r="H282" s="1">
        <v>-1.29566399999999E-6</v>
      </c>
      <c r="I282">
        <v>365.72669999999999</v>
      </c>
      <c r="J282">
        <v>-385.64429999999999</v>
      </c>
      <c r="K282">
        <v>1.120333</v>
      </c>
      <c r="L282">
        <v>367.5317</v>
      </c>
      <c r="M282">
        <v>0.99992159999999997</v>
      </c>
      <c r="N282">
        <v>-1.1951430000000001E-2</v>
      </c>
      <c r="O282">
        <v>3.7657540000000001E-3</v>
      </c>
      <c r="P282">
        <v>0.97557280000000002</v>
      </c>
      <c r="Q282">
        <v>0.21113889999999999</v>
      </c>
      <c r="R282">
        <v>-6.0650669999999997E-2</v>
      </c>
      <c r="S282">
        <v>3.082306</v>
      </c>
      <c r="T282">
        <v>-6.0736419999999999E-2</v>
      </c>
      <c r="U282">
        <v>-9.7778320000000002E-2</v>
      </c>
      <c r="V282">
        <v>6.4323770000000002E-2</v>
      </c>
      <c r="W282">
        <v>0.2227807</v>
      </c>
      <c r="X282">
        <v>0.97274419999999995</v>
      </c>
      <c r="Y282">
        <v>3.5459249999999998E-2</v>
      </c>
      <c r="Z282">
        <v>-5.90411E-4</v>
      </c>
      <c r="AA282">
        <v>0.99937089999999995</v>
      </c>
      <c r="AB282">
        <v>45</v>
      </c>
      <c r="AC282">
        <v>56.451299999999897</v>
      </c>
      <c r="AD282">
        <v>-1.1203342956639999</v>
      </c>
      <c r="AE282">
        <v>-1.8049999999999999</v>
      </c>
      <c r="AF282">
        <v>2.0167905368364898</v>
      </c>
      <c r="AG282">
        <v>-1.1203342956639999</v>
      </c>
      <c r="AH282">
        <v>56.421902090752702</v>
      </c>
      <c r="AI282">
        <v>91.136811021291294</v>
      </c>
      <c r="AJ282">
        <v>87.952844456215999</v>
      </c>
      <c r="AK282">
        <v>56.4690501827506</v>
      </c>
      <c r="AL282">
        <v>77.127590857729999</v>
      </c>
      <c r="AM282">
        <v>86.216762013283002</v>
      </c>
      <c r="AN282">
        <v>1.0000000331565699</v>
      </c>
    </row>
    <row r="283" spans="1:40" x14ac:dyDescent="0.25">
      <c r="A283" t="str">
        <f>"20190303170947675"</f>
        <v>20190303170947675</v>
      </c>
      <c r="B283" t="str">
        <f>"1551604187660413"</f>
        <v>1551604187660413</v>
      </c>
      <c r="C283" t="s">
        <v>40</v>
      </c>
      <c r="D283">
        <v>4.5014979999999998</v>
      </c>
      <c r="E283">
        <v>0.49409629999999999</v>
      </c>
      <c r="F283" t="s">
        <v>42</v>
      </c>
      <c r="G283">
        <v>-322.20460000000003</v>
      </c>
      <c r="H283" s="1">
        <v>-4.0435509999999998E-6</v>
      </c>
      <c r="I283">
        <v>365.57420000000002</v>
      </c>
      <c r="J283">
        <v>-385.19119999999998</v>
      </c>
      <c r="K283">
        <v>1.120422</v>
      </c>
      <c r="L283">
        <v>367.53339999999997</v>
      </c>
      <c r="M283">
        <v>0.99991739999999996</v>
      </c>
      <c r="N283">
        <v>-1.2296140000000001E-2</v>
      </c>
      <c r="O283">
        <v>3.7776590000000001E-3</v>
      </c>
      <c r="P283">
        <v>0.97561059999999999</v>
      </c>
      <c r="Q283">
        <v>0.2109499</v>
      </c>
      <c r="R283">
        <v>-6.0700530000000003E-2</v>
      </c>
      <c r="S283">
        <v>3.080994</v>
      </c>
      <c r="T283">
        <v>-5.4409859999999997E-2</v>
      </c>
      <c r="U283">
        <v>-9.5062259999999996E-2</v>
      </c>
      <c r="V283">
        <v>6.4385310000000001E-2</v>
      </c>
      <c r="W283">
        <v>0.2229276</v>
      </c>
      <c r="X283">
        <v>0.97270639999999997</v>
      </c>
      <c r="Y283">
        <v>3.4606459999999999E-2</v>
      </c>
      <c r="Z283">
        <v>-5.3857850000000001E-4</v>
      </c>
      <c r="AA283">
        <v>0.99940090000000004</v>
      </c>
      <c r="AB283">
        <v>45</v>
      </c>
      <c r="AC283">
        <v>62.986599999999903</v>
      </c>
      <c r="AD283">
        <v>-1.1204260435510001</v>
      </c>
      <c r="AE283">
        <v>-1.9591999999999501</v>
      </c>
      <c r="AF283">
        <v>2.1964515328275702</v>
      </c>
      <c r="AG283">
        <v>-1.1204260435510001</v>
      </c>
      <c r="AH283">
        <v>62.958846287451898</v>
      </c>
      <c r="AI283">
        <v>91.018917801119997</v>
      </c>
      <c r="AJ283">
        <v>88.001926802856204</v>
      </c>
      <c r="AK283">
        <v>63.007111342309003</v>
      </c>
      <c r="AL283">
        <v>77.118956046500102</v>
      </c>
      <c r="AM283">
        <v>86.213006299611706</v>
      </c>
      <c r="AN283">
        <v>0.99999996179325701</v>
      </c>
    </row>
    <row r="284" spans="1:40" x14ac:dyDescent="0.25">
      <c r="A284" t="str">
        <f>"20190303170947697"</f>
        <v>20190303170947697</v>
      </c>
      <c r="B284" t="str">
        <f>"1551604187690669"</f>
        <v>1551604187690669</v>
      </c>
      <c r="C284" t="s">
        <v>40</v>
      </c>
      <c r="D284">
        <v>4.5406550000000001</v>
      </c>
      <c r="E284">
        <v>0.49340729999999999</v>
      </c>
      <c r="F284" t="s">
        <v>41</v>
      </c>
      <c r="G284">
        <v>-314.03840000000002</v>
      </c>
      <c r="H284">
        <v>-0.05</v>
      </c>
      <c r="I284">
        <v>365.37049999999999</v>
      </c>
      <c r="J284">
        <v>-384.72519999999997</v>
      </c>
      <c r="K284">
        <v>1.120492</v>
      </c>
      <c r="L284">
        <v>367.53519999999997</v>
      </c>
      <c r="M284">
        <v>0.9999133</v>
      </c>
      <c r="N284">
        <v>-1.26068E-2</v>
      </c>
      <c r="O284">
        <v>3.7896599999999998E-3</v>
      </c>
      <c r="P284">
        <v>0.9756051</v>
      </c>
      <c r="Q284">
        <v>0.21115390000000001</v>
      </c>
      <c r="R284">
        <v>-6.007212E-2</v>
      </c>
      <c r="S284">
        <v>3.080139</v>
      </c>
      <c r="T284">
        <v>-5.0666450000000002E-2</v>
      </c>
      <c r="U284">
        <v>-9.3627929999999998E-2</v>
      </c>
      <c r="V284">
        <v>6.3768889999999995E-2</v>
      </c>
      <c r="W284">
        <v>0.2234333</v>
      </c>
      <c r="X284">
        <v>0.97263100000000002</v>
      </c>
      <c r="Y284">
        <v>3.4163079999999998E-2</v>
      </c>
      <c r="Z284">
        <v>-5.1087970000000002E-4</v>
      </c>
      <c r="AA284">
        <v>0.99941610000000003</v>
      </c>
      <c r="AB284">
        <v>45</v>
      </c>
      <c r="AC284">
        <v>70.686799999999906</v>
      </c>
      <c r="AD284">
        <v>-1.1704920000000001</v>
      </c>
      <c r="AE284">
        <v>-2.1646999999999799</v>
      </c>
      <c r="AF284">
        <v>2.4319184985934599</v>
      </c>
      <c r="AG284">
        <v>-1.1704920000000001</v>
      </c>
      <c r="AH284">
        <v>70.658732052172795</v>
      </c>
      <c r="AI284">
        <v>90.948480685223899</v>
      </c>
      <c r="AJ284">
        <v>88.028783115653795</v>
      </c>
      <c r="AK284">
        <v>70.710258762973098</v>
      </c>
      <c r="AL284">
        <v>77.089232164741802</v>
      </c>
      <c r="AM284">
        <v>86.248868748058896</v>
      </c>
      <c r="AN284">
        <v>0.99999998652086097</v>
      </c>
    </row>
    <row r="285" spans="1:40" x14ac:dyDescent="0.25">
      <c r="A285" t="str">
        <f>"20190303170947719"</f>
        <v>20190303170947719</v>
      </c>
      <c r="B285" t="str">
        <f>"1551604187711165"</f>
        <v>1551604187711165</v>
      </c>
      <c r="C285" t="s">
        <v>40</v>
      </c>
      <c r="D285">
        <v>4.602862</v>
      </c>
      <c r="E285">
        <v>0.4931352</v>
      </c>
      <c r="F285" t="s">
        <v>41</v>
      </c>
      <c r="G285">
        <v>-307.32029999999997</v>
      </c>
      <c r="H285">
        <v>-0.05</v>
      </c>
      <c r="I285">
        <v>365.37299999999999</v>
      </c>
      <c r="J285">
        <v>-384.2724</v>
      </c>
      <c r="K285">
        <v>1.1205510000000001</v>
      </c>
      <c r="L285">
        <v>367.5369</v>
      </c>
      <c r="M285">
        <v>0.99990999999999997</v>
      </c>
      <c r="N285">
        <v>-1.286907E-2</v>
      </c>
      <c r="O285">
        <v>3.8016270000000001E-3</v>
      </c>
      <c r="P285">
        <v>0.97558219999999995</v>
      </c>
      <c r="Q285">
        <v>0.21142259999999999</v>
      </c>
      <c r="R285">
        <v>-5.9498589999999997E-2</v>
      </c>
      <c r="S285">
        <v>3.079834</v>
      </c>
      <c r="T285">
        <v>-4.6572330000000002E-2</v>
      </c>
      <c r="U285">
        <v>-8.6029049999999996E-2</v>
      </c>
      <c r="V285">
        <v>6.3207250000000006E-2</v>
      </c>
      <c r="W285">
        <v>0.22395709999999999</v>
      </c>
      <c r="X285">
        <v>0.97254719999999995</v>
      </c>
      <c r="Y285">
        <v>3.1715670000000001E-2</v>
      </c>
      <c r="Z285">
        <v>-4.5244060000000001E-4</v>
      </c>
      <c r="AA285">
        <v>0.99949679999999996</v>
      </c>
      <c r="AB285">
        <v>45</v>
      </c>
      <c r="AC285">
        <v>76.952100000000002</v>
      </c>
      <c r="AD285">
        <v>-1.1705509999999999</v>
      </c>
      <c r="AE285">
        <v>-2.1638999999999502</v>
      </c>
      <c r="AF285">
        <v>2.4558839467798799</v>
      </c>
      <c r="AG285">
        <v>-1.1705509999999999</v>
      </c>
      <c r="AH285">
        <v>76.925531278387993</v>
      </c>
      <c r="AI285">
        <v>90.871340246972906</v>
      </c>
      <c r="AJ285">
        <v>88.171426237326401</v>
      </c>
      <c r="AK285">
        <v>76.973624820881994</v>
      </c>
      <c r="AL285">
        <v>77.0584404903164</v>
      </c>
      <c r="AM285">
        <v>86.281494004650298</v>
      </c>
      <c r="AN285">
        <v>0.99999999766040604</v>
      </c>
    </row>
    <row r="286" spans="1:40" x14ac:dyDescent="0.25">
      <c r="A286" t="str">
        <f>"20190303170947742"</f>
        <v>20190303170947742</v>
      </c>
      <c r="B286" t="str">
        <f>"1551604187730685"</f>
        <v>1551604187730685</v>
      </c>
      <c r="C286" t="s">
        <v>40</v>
      </c>
      <c r="D286">
        <v>4.5634959999999998</v>
      </c>
      <c r="E286">
        <v>0.4929209</v>
      </c>
      <c r="F286" t="s">
        <v>41</v>
      </c>
      <c r="G286">
        <v>-300.17149999999998</v>
      </c>
      <c r="H286">
        <v>-0.05</v>
      </c>
      <c r="I286">
        <v>365.30070000000001</v>
      </c>
      <c r="J286">
        <v>-383.83620000000002</v>
      </c>
      <c r="K286">
        <v>1.1205909999999999</v>
      </c>
      <c r="L286">
        <v>367.5385</v>
      </c>
      <c r="M286">
        <v>0.99990699999999999</v>
      </c>
      <c r="N286">
        <v>-1.309078E-2</v>
      </c>
      <c r="O286">
        <v>3.813468E-3</v>
      </c>
      <c r="P286">
        <v>0.97561549999999997</v>
      </c>
      <c r="Q286">
        <v>0.2114424</v>
      </c>
      <c r="R286">
        <v>-5.8878220000000002E-2</v>
      </c>
      <c r="S286">
        <v>3.0793759999999999</v>
      </c>
      <c r="T286">
        <v>-4.286003E-2</v>
      </c>
      <c r="U286">
        <v>-8.1878660000000006E-2</v>
      </c>
      <c r="V286">
        <v>6.259874E-2</v>
      </c>
      <c r="W286">
        <v>0.22419269999999999</v>
      </c>
      <c r="X286">
        <v>0.97253230000000002</v>
      </c>
      <c r="Y286">
        <v>3.038652E-2</v>
      </c>
      <c r="Z286">
        <v>-4.1352469999999999E-4</v>
      </c>
      <c r="AA286">
        <v>0.99953809999999998</v>
      </c>
      <c r="AB286">
        <v>45</v>
      </c>
      <c r="AC286">
        <v>83.664699999999996</v>
      </c>
      <c r="AD286">
        <v>-1.1705909999999999</v>
      </c>
      <c r="AE286">
        <v>-2.2377999999999898</v>
      </c>
      <c r="AF286">
        <v>2.5563636576383999</v>
      </c>
      <c r="AG286">
        <v>-1.1705909999999999</v>
      </c>
      <c r="AH286">
        <v>83.639195459783096</v>
      </c>
      <c r="AI286">
        <v>90.801469281074702</v>
      </c>
      <c r="AJ286">
        <v>88.249346322305499</v>
      </c>
      <c r="AK286">
        <v>83.686440332942695</v>
      </c>
      <c r="AL286">
        <v>77.044589715685902</v>
      </c>
      <c r="AM286">
        <v>86.317137607257294</v>
      </c>
      <c r="AN286">
        <v>1.00000002176308</v>
      </c>
    </row>
    <row r="287" spans="1:40" x14ac:dyDescent="0.25">
      <c r="A287" t="str">
        <f>"20190303170947764"</f>
        <v>20190303170947764</v>
      </c>
      <c r="B287" t="str">
        <f>"1551604187751181"</f>
        <v>1551604187751181</v>
      </c>
      <c r="C287" t="s">
        <v>40</v>
      </c>
      <c r="D287">
        <v>4.6629529999999999</v>
      </c>
      <c r="E287">
        <v>0.49274800000000002</v>
      </c>
      <c r="F287" t="s">
        <v>41</v>
      </c>
      <c r="G287">
        <v>-295.33440000000002</v>
      </c>
      <c r="H287">
        <v>-0.05</v>
      </c>
      <c r="I287">
        <v>365.28680000000003</v>
      </c>
      <c r="J287">
        <v>-383.3827</v>
      </c>
      <c r="K287">
        <v>1.120628</v>
      </c>
      <c r="L287">
        <v>367.5403</v>
      </c>
      <c r="M287">
        <v>0.99990429999999997</v>
      </c>
      <c r="N287">
        <v>-1.329226E-2</v>
      </c>
      <c r="O287">
        <v>3.8267280000000002E-3</v>
      </c>
      <c r="P287">
        <v>0.97570769999999996</v>
      </c>
      <c r="Q287">
        <v>0.21121809999999999</v>
      </c>
      <c r="R287">
        <v>-5.8148129999999999E-2</v>
      </c>
      <c r="S287">
        <v>3.0790709999999999</v>
      </c>
      <c r="T287">
        <v>-4.0726070000000003E-2</v>
      </c>
      <c r="U287">
        <v>-7.8338619999999998E-2</v>
      </c>
      <c r="V287">
        <v>6.1882319999999998E-2</v>
      </c>
      <c r="W287">
        <v>0.2241658</v>
      </c>
      <c r="X287">
        <v>0.97258429999999996</v>
      </c>
      <c r="Y287">
        <v>2.9254579999999999E-2</v>
      </c>
      <c r="Z287">
        <v>-3.8766430000000001E-4</v>
      </c>
      <c r="AA287">
        <v>0.99957189999999996</v>
      </c>
      <c r="AB287">
        <v>45</v>
      </c>
      <c r="AC287">
        <v>88.048299999999898</v>
      </c>
      <c r="AD287">
        <v>-1.170628</v>
      </c>
      <c r="AE287">
        <v>-2.2534999999999701</v>
      </c>
      <c r="AF287">
        <v>2.5899926523510501</v>
      </c>
      <c r="AG287">
        <v>-1.170628</v>
      </c>
      <c r="AH287">
        <v>88.0234816365775</v>
      </c>
      <c r="AI287">
        <v>90.761604499027797</v>
      </c>
      <c r="AJ287">
        <v>88.3146219375177</v>
      </c>
      <c r="AK287">
        <v>88.069357618177904</v>
      </c>
      <c r="AL287">
        <v>77.0461705954895</v>
      </c>
      <c r="AM287">
        <v>86.359366751131006</v>
      </c>
      <c r="AN287">
        <v>0.99999997401235496</v>
      </c>
    </row>
    <row r="288" spans="1:40" x14ac:dyDescent="0.25">
      <c r="A288" t="str">
        <f>"20190303170947787"</f>
        <v>20190303170947787</v>
      </c>
      <c r="B288" t="str">
        <f>"1551604187780461"</f>
        <v>1551604187780461</v>
      </c>
      <c r="C288" t="s">
        <v>40</v>
      </c>
      <c r="D288">
        <v>4.6542339999999998</v>
      </c>
      <c r="E288">
        <v>0.49257339999999999</v>
      </c>
      <c r="F288" t="s">
        <v>41</v>
      </c>
      <c r="G288">
        <v>-292.40800000000002</v>
      </c>
      <c r="H288">
        <v>-0.05</v>
      </c>
      <c r="I288">
        <v>365.33730000000003</v>
      </c>
      <c r="J288">
        <v>-382.9212</v>
      </c>
      <c r="K288">
        <v>1.120665</v>
      </c>
      <c r="L288">
        <v>367.5421</v>
      </c>
      <c r="M288">
        <v>0.99990199999999996</v>
      </c>
      <c r="N288">
        <v>-1.347053E-2</v>
      </c>
      <c r="O288">
        <v>3.8398299999999998E-3</v>
      </c>
      <c r="P288">
        <v>0.97570279999999998</v>
      </c>
      <c r="Q288">
        <v>0.2112695</v>
      </c>
      <c r="R288">
        <v>-5.8048629999999997E-2</v>
      </c>
      <c r="S288">
        <v>3.078827</v>
      </c>
      <c r="T288">
        <v>-3.9617180000000002E-2</v>
      </c>
      <c r="U288">
        <v>-7.455444E-2</v>
      </c>
      <c r="V288">
        <v>6.1795540000000003E-2</v>
      </c>
      <c r="W288">
        <v>0.2243907</v>
      </c>
      <c r="X288">
        <v>0.97253800000000001</v>
      </c>
      <c r="Y288">
        <v>2.804224E-2</v>
      </c>
      <c r="Z288">
        <v>-3.6699049999999999E-4</v>
      </c>
      <c r="AA288">
        <v>0.99960669999999996</v>
      </c>
      <c r="AB288">
        <v>45</v>
      </c>
      <c r="AC288">
        <v>90.513199999999898</v>
      </c>
      <c r="AD288">
        <v>-1.1706650000000001</v>
      </c>
      <c r="AE288">
        <v>-2.2047999999999699</v>
      </c>
      <c r="AF288">
        <v>2.5519439109563802</v>
      </c>
      <c r="AG288">
        <v>-1.1706650000000001</v>
      </c>
      <c r="AH288">
        <v>90.488937852400895</v>
      </c>
      <c r="AI288">
        <v>90.740905692163295</v>
      </c>
      <c r="AJ288">
        <v>88.384588502877804</v>
      </c>
      <c r="AK288">
        <v>90.532484489947393</v>
      </c>
      <c r="AL288">
        <v>77.032948512161596</v>
      </c>
      <c r="AM288">
        <v>86.364285837179395</v>
      </c>
      <c r="AN288">
        <v>1.00000001822719</v>
      </c>
    </row>
    <row r="289" spans="1:40" x14ac:dyDescent="0.25">
      <c r="A289" t="str">
        <f>"20190303170947811"</f>
        <v>20190303170947811</v>
      </c>
      <c r="B289" t="str">
        <f>"1551604187800956"</f>
        <v>1551604187800956</v>
      </c>
      <c r="C289" t="s">
        <v>40</v>
      </c>
      <c r="D289">
        <v>4.7730819999999996</v>
      </c>
      <c r="E289">
        <v>0.49247600000000002</v>
      </c>
      <c r="F289" t="s">
        <v>41</v>
      </c>
      <c r="G289">
        <v>-286.27679999999998</v>
      </c>
      <c r="H289">
        <v>-0.05</v>
      </c>
      <c r="I289">
        <v>365.25330000000002</v>
      </c>
      <c r="J289">
        <v>-382.44319999999999</v>
      </c>
      <c r="K289">
        <v>1.12069</v>
      </c>
      <c r="L289">
        <v>367.54390000000001</v>
      </c>
      <c r="M289">
        <v>0.99989969999999995</v>
      </c>
      <c r="N289">
        <v>-1.3630069999999999E-2</v>
      </c>
      <c r="O289">
        <v>3.8528709999999999E-3</v>
      </c>
      <c r="P289">
        <v>0.97563909999999998</v>
      </c>
      <c r="Q289">
        <v>0.21171619999999999</v>
      </c>
      <c r="R289">
        <v>-5.7486679999999998E-2</v>
      </c>
      <c r="S289">
        <v>3.07843</v>
      </c>
      <c r="T289">
        <v>-3.7289379999999997E-2</v>
      </c>
      <c r="U289">
        <v>-7.2906490000000004E-2</v>
      </c>
      <c r="V289">
        <v>6.1246210000000002E-2</v>
      </c>
      <c r="W289">
        <v>0.224991</v>
      </c>
      <c r="X289">
        <v>0.97243400000000002</v>
      </c>
      <c r="Y289">
        <v>2.7524050000000001E-2</v>
      </c>
      <c r="Z289">
        <v>-3.484513E-4</v>
      </c>
      <c r="AA289">
        <v>0.99962110000000004</v>
      </c>
      <c r="AB289">
        <v>45</v>
      </c>
      <c r="AC289">
        <v>96.166399999999996</v>
      </c>
      <c r="AD289">
        <v>-1.17069</v>
      </c>
      <c r="AE289">
        <v>-2.29059999999998</v>
      </c>
      <c r="AF289">
        <v>2.66074005663633</v>
      </c>
      <c r="AG289">
        <v>-1.17069</v>
      </c>
      <c r="AH289">
        <v>96.142619989099998</v>
      </c>
      <c r="AI289">
        <v>90.697366196465893</v>
      </c>
      <c r="AJ289">
        <v>88.414748077775997</v>
      </c>
      <c r="AK289">
        <v>96.186555355172104</v>
      </c>
      <c r="AL289">
        <v>76.997650623350594</v>
      </c>
      <c r="AM289">
        <v>86.396135523713696</v>
      </c>
      <c r="AN289">
        <v>0.999999966338181</v>
      </c>
    </row>
    <row r="290" spans="1:40" x14ac:dyDescent="0.25">
      <c r="A290" t="str">
        <f>"20190303170947834"</f>
        <v>20190303170947834</v>
      </c>
      <c r="B290" t="str">
        <f>"1551604187820476"</f>
        <v>1551604187820476</v>
      </c>
      <c r="C290" t="s">
        <v>40</v>
      </c>
      <c r="D290">
        <v>4.5804390000000001</v>
      </c>
      <c r="E290">
        <v>0.49242180000000002</v>
      </c>
      <c r="F290" t="s">
        <v>41</v>
      </c>
      <c r="G290">
        <v>-277.78489999999999</v>
      </c>
      <c r="H290">
        <v>-0.05</v>
      </c>
      <c r="I290">
        <v>365.14080000000001</v>
      </c>
      <c r="J290">
        <v>-381.99029999999999</v>
      </c>
      <c r="K290">
        <v>1.1207119999999999</v>
      </c>
      <c r="L290">
        <v>367.54570000000001</v>
      </c>
      <c r="M290">
        <v>0.99989790000000001</v>
      </c>
      <c r="N290">
        <v>-1.3760390000000001E-2</v>
      </c>
      <c r="O290">
        <v>3.8650889999999999E-3</v>
      </c>
      <c r="P290">
        <v>0.97565170000000001</v>
      </c>
      <c r="Q290">
        <v>0.211726</v>
      </c>
      <c r="R290">
        <v>-5.7236629999999997E-2</v>
      </c>
      <c r="S290">
        <v>3.0781860000000001</v>
      </c>
      <c r="T290">
        <v>-3.4432049999999999E-2</v>
      </c>
      <c r="U290">
        <v>-7.0678710000000006E-2</v>
      </c>
      <c r="V290">
        <v>6.1008050000000001E-2</v>
      </c>
      <c r="W290">
        <v>0.22512799999999999</v>
      </c>
      <c r="X290">
        <v>0.97241730000000004</v>
      </c>
      <c r="Y290">
        <v>2.6815619999999998E-2</v>
      </c>
      <c r="Z290">
        <v>-3.2454260000000003E-4</v>
      </c>
      <c r="AA290">
        <v>0.99964030000000004</v>
      </c>
      <c r="AB290">
        <v>45</v>
      </c>
      <c r="AC290">
        <v>104.2054</v>
      </c>
      <c r="AD290">
        <v>-1.170712</v>
      </c>
      <c r="AE290">
        <v>-2.4048999999999898</v>
      </c>
      <c r="AF290">
        <v>2.8073291499853501</v>
      </c>
      <c r="AG290">
        <v>-1.170712</v>
      </c>
      <c r="AH290">
        <v>104.18218284162</v>
      </c>
      <c r="AI290">
        <v>90.643581229984903</v>
      </c>
      <c r="AJ290">
        <v>88.456461616938995</v>
      </c>
      <c r="AK290">
        <v>104.22657475513699</v>
      </c>
      <c r="AL290">
        <v>76.989594890914702</v>
      </c>
      <c r="AM290">
        <v>86.410051183757304</v>
      </c>
      <c r="AN290">
        <v>1.00000000194404</v>
      </c>
    </row>
    <row r="291" spans="1:40" x14ac:dyDescent="0.25">
      <c r="A291" t="str">
        <f>"20190303170947852"</f>
        <v>20190303170947852</v>
      </c>
      <c r="B291" t="str">
        <f>"1551604187840973"</f>
        <v>1551604187840973</v>
      </c>
      <c r="C291" t="s">
        <v>40</v>
      </c>
      <c r="D291">
        <v>4.5979989999999997</v>
      </c>
      <c r="E291">
        <v>0.49232130000000002</v>
      </c>
      <c r="F291" t="s">
        <v>42</v>
      </c>
      <c r="G291">
        <v>-277.7312</v>
      </c>
      <c r="H291" s="1">
        <v>-1.93702E-6</v>
      </c>
      <c r="I291">
        <v>365.1857</v>
      </c>
      <c r="J291">
        <v>-381.59660000000002</v>
      </c>
      <c r="K291">
        <v>1.1207320000000001</v>
      </c>
      <c r="L291">
        <v>367.54719999999998</v>
      </c>
      <c r="M291">
        <v>0.99989649999999997</v>
      </c>
      <c r="N291">
        <v>-1.385872E-2</v>
      </c>
      <c r="O291">
        <v>3.8750220000000001E-3</v>
      </c>
      <c r="P291">
        <v>0.97571839999999999</v>
      </c>
      <c r="Q291">
        <v>0.211317</v>
      </c>
      <c r="R291">
        <v>-5.7607640000000002E-2</v>
      </c>
      <c r="S291">
        <v>3.0780029999999998</v>
      </c>
      <c r="T291">
        <v>-3.3086419999999998E-2</v>
      </c>
      <c r="U291">
        <v>-6.9671629999999998E-2</v>
      </c>
      <c r="V291">
        <v>6.1388980000000003E-2</v>
      </c>
      <c r="W291">
        <v>0.22481580000000001</v>
      </c>
      <c r="X291">
        <v>0.97246560000000004</v>
      </c>
      <c r="Y291">
        <v>2.650025E-2</v>
      </c>
      <c r="Z291">
        <v>-3.1403079999999997E-4</v>
      </c>
      <c r="AA291">
        <v>0.99964869999999995</v>
      </c>
      <c r="AB291">
        <v>45</v>
      </c>
      <c r="AC291">
        <v>103.86539999999999</v>
      </c>
      <c r="AD291">
        <v>-1.12073393702</v>
      </c>
      <c r="AE291">
        <v>-2.3614999999999702</v>
      </c>
      <c r="AF291">
        <v>2.7636800072512302</v>
      </c>
      <c r="AG291">
        <v>-1.12073393702</v>
      </c>
      <c r="AH291">
        <v>103.843384100961</v>
      </c>
      <c r="AI291">
        <v>90.618124165067698</v>
      </c>
      <c r="AJ291">
        <v>88.475494305537296</v>
      </c>
      <c r="AK291">
        <v>103.88619924359401</v>
      </c>
      <c r="AL291">
        <v>77.007953840585202</v>
      </c>
      <c r="AM291">
        <v>86.387873902006305</v>
      </c>
      <c r="AN291">
        <v>1.0000000469892101</v>
      </c>
    </row>
    <row r="292" spans="1:40" x14ac:dyDescent="0.25">
      <c r="A292" t="str">
        <f>"20190303170947876"</f>
        <v>20190303170947876</v>
      </c>
      <c r="B292" t="str">
        <f>"1551604187860493"</f>
        <v>1551604187860493</v>
      </c>
      <c r="C292" t="s">
        <v>40</v>
      </c>
      <c r="D292">
        <v>4.6393890000000004</v>
      </c>
      <c r="E292">
        <v>0.49225429999999998</v>
      </c>
      <c r="F292" t="s">
        <v>42</v>
      </c>
      <c r="G292">
        <v>-277.21730000000002</v>
      </c>
      <c r="H292" s="1">
        <v>-2.1153220000000001E-6</v>
      </c>
      <c r="I292">
        <v>365.1728</v>
      </c>
      <c r="J292">
        <v>-381.1447</v>
      </c>
      <c r="K292">
        <v>1.120752</v>
      </c>
      <c r="L292">
        <v>367.5489</v>
      </c>
      <c r="M292">
        <v>0.99989519999999998</v>
      </c>
      <c r="N292">
        <v>-1.3957590000000001E-2</v>
      </c>
      <c r="O292">
        <v>3.8866109999999999E-3</v>
      </c>
      <c r="P292">
        <v>0.97569139999999999</v>
      </c>
      <c r="Q292">
        <v>0.2111555</v>
      </c>
      <c r="R292">
        <v>-5.8651969999999998E-2</v>
      </c>
      <c r="S292">
        <v>3.0776669999999999</v>
      </c>
      <c r="T292">
        <v>-3.3045289999999998E-2</v>
      </c>
      <c r="U292">
        <v>-7.0007319999999998E-2</v>
      </c>
      <c r="V292">
        <v>6.244421E-2</v>
      </c>
      <c r="W292">
        <v>0.2247498</v>
      </c>
      <c r="X292">
        <v>0.97241359999999999</v>
      </c>
      <c r="Y292">
        <v>2.6623270000000001E-2</v>
      </c>
      <c r="Z292">
        <v>-3.162312E-4</v>
      </c>
      <c r="AA292">
        <v>0.99964549999999996</v>
      </c>
      <c r="AB292">
        <v>45</v>
      </c>
      <c r="AC292">
        <v>103.927399999999</v>
      </c>
      <c r="AD292">
        <v>-1.120754115322</v>
      </c>
      <c r="AE292">
        <v>-2.3761000000000001</v>
      </c>
      <c r="AF292">
        <v>2.7797236114894899</v>
      </c>
      <c r="AG292">
        <v>-1.120754115322</v>
      </c>
      <c r="AH292">
        <v>103.905301678852</v>
      </c>
      <c r="AI292">
        <v>90.617764690553301</v>
      </c>
      <c r="AJ292">
        <v>88.467561813455205</v>
      </c>
      <c r="AK292">
        <v>103.94851932623401</v>
      </c>
      <c r="AL292">
        <v>77.011833800885299</v>
      </c>
      <c r="AM292">
        <v>86.3257568965671</v>
      </c>
      <c r="AN292">
        <v>0.99999998071376195</v>
      </c>
    </row>
    <row r="293" spans="1:40" x14ac:dyDescent="0.25">
      <c r="A293" t="str">
        <f>"20190303170947899"</f>
        <v>20190303170947899</v>
      </c>
      <c r="B293" t="str">
        <f>"1551604187890748"</f>
        <v>1551604187890748</v>
      </c>
      <c r="C293" t="s">
        <v>40</v>
      </c>
      <c r="D293">
        <v>4.517379</v>
      </c>
      <c r="E293">
        <v>0.49219010000000002</v>
      </c>
      <c r="F293" t="s">
        <v>42</v>
      </c>
      <c r="G293">
        <v>-274.87329999999997</v>
      </c>
      <c r="H293" s="1">
        <v>-2.9912249999999999E-6</v>
      </c>
      <c r="I293">
        <v>365.0523</v>
      </c>
      <c r="J293">
        <v>-380.67059999999998</v>
      </c>
      <c r="K293">
        <v>1.1207659999999999</v>
      </c>
      <c r="L293">
        <v>367.55079999999998</v>
      </c>
      <c r="M293">
        <v>0.9998939</v>
      </c>
      <c r="N293">
        <v>-1.404624E-2</v>
      </c>
      <c r="O293">
        <v>3.8989799999999998E-3</v>
      </c>
      <c r="P293">
        <v>0.97562919999999997</v>
      </c>
      <c r="Q293">
        <v>0.21111350000000001</v>
      </c>
      <c r="R293">
        <v>-5.9826499999999998E-2</v>
      </c>
      <c r="S293">
        <v>3.077423</v>
      </c>
      <c r="T293">
        <v>-3.245497E-2</v>
      </c>
      <c r="U293">
        <v>-7.2296139999999995E-2</v>
      </c>
      <c r="V293">
        <v>6.3630569999999997E-2</v>
      </c>
      <c r="W293">
        <v>0.22479360000000001</v>
      </c>
      <c r="X293">
        <v>0.97232660000000004</v>
      </c>
      <c r="Y293">
        <v>2.738049E-2</v>
      </c>
      <c r="Z293">
        <v>-3.2305209999999998E-4</v>
      </c>
      <c r="AA293">
        <v>0.99962499999999999</v>
      </c>
      <c r="AB293">
        <v>45</v>
      </c>
      <c r="AC293">
        <v>105.79730000000001</v>
      </c>
      <c r="AD293">
        <v>-1.1207689912249901</v>
      </c>
      <c r="AE293">
        <v>-2.4984999999999702</v>
      </c>
      <c r="AF293">
        <v>2.9106967305229601</v>
      </c>
      <c r="AG293">
        <v>-1.1207689912249901</v>
      </c>
      <c r="AH293">
        <v>105.774889318871</v>
      </c>
      <c r="AI293">
        <v>90.606841888429202</v>
      </c>
      <c r="AJ293">
        <v>88.423741555092704</v>
      </c>
      <c r="AK293">
        <v>105.82086509289201</v>
      </c>
      <c r="AL293">
        <v>77.009258790777395</v>
      </c>
      <c r="AM293">
        <v>86.255813637483698</v>
      </c>
      <c r="AN293">
        <v>1.0000000145535199</v>
      </c>
    </row>
    <row r="294" spans="1:40" x14ac:dyDescent="0.25">
      <c r="A294" t="str">
        <f>"20190303170947921"</f>
        <v>20190303170947921</v>
      </c>
      <c r="B294" t="str">
        <f>"1551604187911245"</f>
        <v>1551604187911245</v>
      </c>
      <c r="C294" t="s">
        <v>40</v>
      </c>
      <c r="D294">
        <v>4.6530760000000004</v>
      </c>
      <c r="E294">
        <v>0.49214429999999998</v>
      </c>
      <c r="F294" t="s">
        <v>42</v>
      </c>
      <c r="G294">
        <v>-270.22109999999998</v>
      </c>
      <c r="H294" s="1">
        <v>-5.0222059999999997E-6</v>
      </c>
      <c r="I294">
        <v>364.85390000000001</v>
      </c>
      <c r="J294">
        <v>-380.23849999999999</v>
      </c>
      <c r="K294">
        <v>1.120779</v>
      </c>
      <c r="L294">
        <v>367.55250000000001</v>
      </c>
      <c r="M294">
        <v>0.99989280000000003</v>
      </c>
      <c r="N294">
        <v>-1.4115620000000001E-2</v>
      </c>
      <c r="O294">
        <v>3.9107639999999997E-3</v>
      </c>
      <c r="P294">
        <v>0.975684</v>
      </c>
      <c r="Q294">
        <v>0.21057699999999999</v>
      </c>
      <c r="R294">
        <v>-6.0814159999999999E-2</v>
      </c>
      <c r="S294">
        <v>3.077118</v>
      </c>
      <c r="T294">
        <v>-3.122461E-2</v>
      </c>
      <c r="U294">
        <v>-7.5134279999999998E-2</v>
      </c>
      <c r="V294">
        <v>6.4630149999999997E-2</v>
      </c>
      <c r="W294">
        <v>0.22432469999999999</v>
      </c>
      <c r="X294">
        <v>0.97236900000000004</v>
      </c>
      <c r="Y294">
        <v>2.8316109999999999E-2</v>
      </c>
      <c r="Z294">
        <v>-3.2802340000000001E-4</v>
      </c>
      <c r="AA294">
        <v>0.99959900000000002</v>
      </c>
      <c r="AB294">
        <v>45</v>
      </c>
      <c r="AC294">
        <v>110.01739999999999</v>
      </c>
      <c r="AD294">
        <v>-1.1207840222059999</v>
      </c>
      <c r="AE294">
        <v>-2.6985999999999901</v>
      </c>
      <c r="AF294">
        <v>3.1285497923781498</v>
      </c>
      <c r="AG294">
        <v>-1.1207840222059999</v>
      </c>
      <c r="AH294">
        <v>109.994595313029</v>
      </c>
      <c r="AI294">
        <v>90.583556083447405</v>
      </c>
      <c r="AJ294">
        <v>88.370789181724803</v>
      </c>
      <c r="AK294">
        <v>110.044786240443</v>
      </c>
      <c r="AL294">
        <v>77.036829373912397</v>
      </c>
      <c r="AM294">
        <v>86.197332372452706</v>
      </c>
      <c r="AN294">
        <v>1.0000000497400501</v>
      </c>
    </row>
    <row r="295" spans="1:40" x14ac:dyDescent="0.25">
      <c r="A295" t="str">
        <f>"20190303170947942"</f>
        <v>20190303170947942</v>
      </c>
      <c r="B295" t="str">
        <f>"1551604187930765"</f>
        <v>1551604187930765</v>
      </c>
      <c r="C295" t="s">
        <v>40</v>
      </c>
      <c r="D295">
        <v>4.7776269999999998</v>
      </c>
      <c r="E295">
        <v>0.49209580000000003</v>
      </c>
      <c r="F295" t="s">
        <v>42</v>
      </c>
      <c r="G295">
        <v>-273.78429999999997</v>
      </c>
      <c r="H295" s="1">
        <v>-3.495499E-6</v>
      </c>
      <c r="I295">
        <v>364.84309999999999</v>
      </c>
      <c r="J295">
        <v>-379.81720000000001</v>
      </c>
      <c r="K295">
        <v>1.1207849999999999</v>
      </c>
      <c r="L295">
        <v>367.55410000000001</v>
      </c>
      <c r="M295">
        <v>0.9998918</v>
      </c>
      <c r="N295">
        <v>-1.4174000000000001E-2</v>
      </c>
      <c r="O295">
        <v>3.9226219999999997E-3</v>
      </c>
      <c r="P295">
        <v>0.97583929999999997</v>
      </c>
      <c r="Q295">
        <v>0.20989640000000001</v>
      </c>
      <c r="R295">
        <v>-6.0671500000000003E-2</v>
      </c>
      <c r="S295">
        <v>3.0768430000000002</v>
      </c>
      <c r="T295">
        <v>-3.2393930000000001E-2</v>
      </c>
      <c r="U295">
        <v>-7.830811E-2</v>
      </c>
      <c r="V295">
        <v>6.4499929999999997E-2</v>
      </c>
      <c r="W295">
        <v>0.2237034</v>
      </c>
      <c r="X295">
        <v>0.97252070000000002</v>
      </c>
      <c r="Y295">
        <v>2.9360259999999999E-2</v>
      </c>
      <c r="Z295">
        <v>-3.483596E-4</v>
      </c>
      <c r="AA295">
        <v>0.99956880000000004</v>
      </c>
      <c r="AB295">
        <v>45</v>
      </c>
      <c r="AC295">
        <v>106.0329</v>
      </c>
      <c r="AD295">
        <v>-1.1207884954989999</v>
      </c>
      <c r="AE295">
        <v>-2.7110000000000101</v>
      </c>
      <c r="AF295">
        <v>3.12659882853989</v>
      </c>
      <c r="AG295">
        <v>-1.1207884954989999</v>
      </c>
      <c r="AH295">
        <v>106.009612159394</v>
      </c>
      <c r="AI295">
        <v>90.605474806343295</v>
      </c>
      <c r="AJ295">
        <v>88.310634314091303</v>
      </c>
      <c r="AK295">
        <v>106.061631409627</v>
      </c>
      <c r="AL295">
        <v>77.073354628765998</v>
      </c>
      <c r="AM295">
        <v>86.205562005297395</v>
      </c>
      <c r="AN295">
        <v>0.99999998203502705</v>
      </c>
    </row>
    <row r="296" spans="1:40" x14ac:dyDescent="0.25">
      <c r="A296" t="str">
        <f>"20190303170947954"</f>
        <v>20190303170947954</v>
      </c>
      <c r="B296" t="str">
        <f>"1551604187940525"</f>
        <v>1551604187940525</v>
      </c>
      <c r="C296" t="s">
        <v>40</v>
      </c>
      <c r="D296">
        <v>4.7780050000000003</v>
      </c>
      <c r="E296">
        <v>0.49204799999999899</v>
      </c>
      <c r="F296" t="s">
        <v>42</v>
      </c>
      <c r="G296">
        <v>-277.64909999999998</v>
      </c>
      <c r="H296" s="1">
        <v>-2.0223819999999998E-6</v>
      </c>
      <c r="I296">
        <v>364.9699</v>
      </c>
      <c r="J296">
        <v>-379.56049999999999</v>
      </c>
      <c r="K296">
        <v>1.120792</v>
      </c>
      <c r="L296">
        <v>367.55520000000001</v>
      </c>
      <c r="M296">
        <v>0.99989139999999999</v>
      </c>
      <c r="N296">
        <v>-1.420604E-2</v>
      </c>
      <c r="O296">
        <v>3.9296039999999997E-3</v>
      </c>
      <c r="P296">
        <v>0.97583839999999999</v>
      </c>
      <c r="Q296">
        <v>0.20984369999999999</v>
      </c>
      <c r="R296">
        <v>-6.0869779999999998E-2</v>
      </c>
      <c r="S296">
        <v>3.0766909999999998</v>
      </c>
      <c r="T296">
        <v>-3.3751370000000003E-2</v>
      </c>
      <c r="U296">
        <v>-7.7819819999999998E-2</v>
      </c>
      <c r="V296">
        <v>6.4704949999999997E-2</v>
      </c>
      <c r="W296">
        <v>0.22368150000000001</v>
      </c>
      <c r="X296">
        <v>0.97251209999999999</v>
      </c>
      <c r="Y296">
        <v>2.9209760000000001E-2</v>
      </c>
      <c r="Z296">
        <v>-3.5500309999999998E-4</v>
      </c>
      <c r="AA296">
        <v>0.99957320000000005</v>
      </c>
      <c r="AB296">
        <v>45</v>
      </c>
      <c r="AC296">
        <v>101.9114</v>
      </c>
      <c r="AD296">
        <v>-1.1207940223819901</v>
      </c>
      <c r="AE296">
        <v>-2.5853000000000099</v>
      </c>
      <c r="AF296">
        <v>2.9854310272805802</v>
      </c>
      <c r="AG296">
        <v>-1.1207940223819901</v>
      </c>
      <c r="AH296">
        <v>101.888137310427</v>
      </c>
      <c r="AI296">
        <v>90.629971586650001</v>
      </c>
      <c r="AJ296">
        <v>88.321652794299197</v>
      </c>
      <c r="AK296">
        <v>101.938027753374</v>
      </c>
      <c r="AL296">
        <v>77.074641796457797</v>
      </c>
      <c r="AM296">
        <v>86.193502813628001</v>
      </c>
      <c r="AN296">
        <v>0.99999996432158</v>
      </c>
    </row>
    <row r="297" spans="1:40" x14ac:dyDescent="0.25">
      <c r="A297" t="str">
        <f>"20190303170947966"</f>
        <v>20190303170947966</v>
      </c>
      <c r="B297" t="str">
        <f>"1551604187961021"</f>
        <v>1551604187961021</v>
      </c>
      <c r="C297" t="s">
        <v>40</v>
      </c>
      <c r="D297">
        <v>4.6536309999999999</v>
      </c>
      <c r="E297">
        <v>0.49198330000000001</v>
      </c>
      <c r="F297" t="s">
        <v>42</v>
      </c>
      <c r="G297">
        <v>-276.58150000000001</v>
      </c>
      <c r="H297" s="1">
        <v>-2.3936039999999999E-6</v>
      </c>
      <c r="I297">
        <v>364.94009999999997</v>
      </c>
      <c r="J297">
        <v>-379.31150000000002</v>
      </c>
      <c r="K297">
        <v>1.1207990000000001</v>
      </c>
      <c r="L297">
        <v>367.55610000000001</v>
      </c>
      <c r="M297">
        <v>0.99989099999999997</v>
      </c>
      <c r="N297">
        <v>-1.423367E-2</v>
      </c>
      <c r="O297">
        <v>3.9363200000000001E-3</v>
      </c>
      <c r="P297">
        <v>0.97578640000000005</v>
      </c>
      <c r="Q297">
        <v>0.2100128</v>
      </c>
      <c r="R297">
        <v>-6.1118649999999997E-2</v>
      </c>
      <c r="S297">
        <v>3.0765989999999999</v>
      </c>
      <c r="T297">
        <v>-3.3484819999999998E-2</v>
      </c>
      <c r="U297">
        <v>-7.8125E-2</v>
      </c>
      <c r="V297">
        <v>6.4960409999999996E-2</v>
      </c>
      <c r="W297">
        <v>0.22387670000000001</v>
      </c>
      <c r="X297">
        <v>0.97245020000000004</v>
      </c>
      <c r="Y297">
        <v>2.931634E-2</v>
      </c>
      <c r="Z297">
        <v>-3.5501489999999999E-4</v>
      </c>
      <c r="AA297">
        <v>0.99957010000000002</v>
      </c>
      <c r="AB297">
        <v>45</v>
      </c>
      <c r="AC297">
        <v>102.73</v>
      </c>
      <c r="AD297">
        <v>-1.12080139360399</v>
      </c>
      <c r="AE297">
        <v>-2.6160000000000401</v>
      </c>
      <c r="AF297">
        <v>3.0200395830716502</v>
      </c>
      <c r="AG297">
        <v>-1.12080139360399</v>
      </c>
      <c r="AH297">
        <v>102.706688066593</v>
      </c>
      <c r="AI297">
        <v>90.624953459161304</v>
      </c>
      <c r="AJ297">
        <v>88.3157311281159</v>
      </c>
      <c r="AK297">
        <v>102.75719249014</v>
      </c>
      <c r="AL297">
        <v>77.063167270761099</v>
      </c>
      <c r="AM297">
        <v>86.178276389342201</v>
      </c>
      <c r="AN297">
        <v>1.00000001157514</v>
      </c>
    </row>
    <row r="298" spans="1:40" x14ac:dyDescent="0.25">
      <c r="A298" t="str">
        <f>"20190303170947980"</f>
        <v>20190303170947980</v>
      </c>
      <c r="B298" t="str">
        <f>"1551604187970781"</f>
        <v>1551604187970781</v>
      </c>
      <c r="C298" t="s">
        <v>40</v>
      </c>
      <c r="D298">
        <v>4.7774780000000003</v>
      </c>
      <c r="E298">
        <v>0.49196000000000001</v>
      </c>
      <c r="F298" t="s">
        <v>42</v>
      </c>
      <c r="G298">
        <v>-272.71039999999999</v>
      </c>
      <c r="H298" s="1">
        <v>-3.9572570000000001E-6</v>
      </c>
      <c r="I298">
        <v>364.83730000000003</v>
      </c>
      <c r="J298">
        <v>-379.03960000000001</v>
      </c>
      <c r="K298">
        <v>1.1208049999999901</v>
      </c>
      <c r="L298">
        <v>367.55720000000002</v>
      </c>
      <c r="M298">
        <v>0.99989070000000002</v>
      </c>
      <c r="N298">
        <v>-1.426199E-2</v>
      </c>
      <c r="O298">
        <v>3.9435080000000001E-3</v>
      </c>
      <c r="P298">
        <v>0.97575970000000001</v>
      </c>
      <c r="Q298">
        <v>0.210225</v>
      </c>
      <c r="R298">
        <v>-6.0816919999999997E-2</v>
      </c>
      <c r="S298">
        <v>3.0764770000000001</v>
      </c>
      <c r="T298">
        <v>-3.2346010000000001E-2</v>
      </c>
      <c r="U298">
        <v>-7.846069E-2</v>
      </c>
      <c r="V298">
        <v>6.4665470000000003E-2</v>
      </c>
      <c r="W298">
        <v>0.2241165</v>
      </c>
      <c r="X298">
        <v>0.97241460000000002</v>
      </c>
      <c r="Y298">
        <v>2.94337E-2</v>
      </c>
      <c r="Z298">
        <v>-3.4987180000000003E-4</v>
      </c>
      <c r="AA298">
        <v>0.99956670000000003</v>
      </c>
      <c r="AB298">
        <v>45</v>
      </c>
      <c r="AC298">
        <v>106.3292</v>
      </c>
      <c r="AD298">
        <v>-1.1208089572569999</v>
      </c>
      <c r="AE298">
        <v>-2.7198999999999902</v>
      </c>
      <c r="AF298">
        <v>3.1388829345007698</v>
      </c>
      <c r="AG298">
        <v>-1.1208089572569999</v>
      </c>
      <c r="AH298">
        <v>106.30584196335801</v>
      </c>
      <c r="AI298">
        <v>90.603798155313598</v>
      </c>
      <c r="AJ298">
        <v>88.308724117578905</v>
      </c>
      <c r="AK298">
        <v>106.35807836894</v>
      </c>
      <c r="AL298">
        <v>77.049069252685001</v>
      </c>
      <c r="AM298">
        <v>86.195438232818901</v>
      </c>
      <c r="AN298">
        <v>0.999999991437865</v>
      </c>
    </row>
    <row r="299" spans="1:40" x14ac:dyDescent="0.25">
      <c r="A299" t="str">
        <f>"20190303170948000"</f>
        <v>20190303170948000</v>
      </c>
      <c r="B299" t="str">
        <f>"1551604187991277"</f>
        <v>1551604187991277</v>
      </c>
      <c r="C299" t="s">
        <v>40</v>
      </c>
      <c r="D299">
        <v>4.7377880000000001</v>
      </c>
      <c r="E299">
        <v>0.49199880000000001</v>
      </c>
      <c r="F299" t="s">
        <v>42</v>
      </c>
      <c r="G299">
        <v>-268.2801</v>
      </c>
      <c r="H299" s="1">
        <v>-1.8565360000000001E-6</v>
      </c>
      <c r="I299">
        <v>364.78609999999998</v>
      </c>
      <c r="J299">
        <v>-378.66180000000003</v>
      </c>
      <c r="K299">
        <v>1.120814</v>
      </c>
      <c r="L299">
        <v>367.55869999999999</v>
      </c>
      <c r="M299">
        <v>0.9998901</v>
      </c>
      <c r="N299">
        <v>-1.4296909999999999E-2</v>
      </c>
      <c r="O299">
        <v>3.9536889999999998E-3</v>
      </c>
      <c r="P299">
        <v>0.97572559999999997</v>
      </c>
      <c r="Q299">
        <v>0.21032590000000001</v>
      </c>
      <c r="R299">
        <v>-6.1014350000000002E-2</v>
      </c>
      <c r="S299">
        <v>3.0763850000000001</v>
      </c>
      <c r="T299">
        <v>-3.1130789999999998E-2</v>
      </c>
      <c r="U299">
        <v>-7.6965329999999998E-2</v>
      </c>
      <c r="V299">
        <v>6.4872730000000003E-2</v>
      </c>
      <c r="W299">
        <v>0.22425030000000001</v>
      </c>
      <c r="X299">
        <v>0.97236999999999996</v>
      </c>
      <c r="Y299">
        <v>2.8959329999999998E-2</v>
      </c>
      <c r="Z299">
        <v>-3.3704919999999998E-4</v>
      </c>
      <c r="AA299">
        <v>0.99958060000000004</v>
      </c>
      <c r="AB299">
        <v>45</v>
      </c>
      <c r="AC299">
        <v>110.3817</v>
      </c>
      <c r="AD299">
        <v>-1.120815856536</v>
      </c>
      <c r="AE299">
        <v>-2.7726000000000099</v>
      </c>
      <c r="AF299">
        <v>3.2087071725787202</v>
      </c>
      <c r="AG299">
        <v>-1.120815856536</v>
      </c>
      <c r="AH299">
        <v>110.358502779936</v>
      </c>
      <c r="AI299">
        <v>90.581637885949306</v>
      </c>
      <c r="AJ299">
        <v>88.334576907831504</v>
      </c>
      <c r="AK299">
        <v>110.410829023845</v>
      </c>
      <c r="AL299">
        <v>77.041203527182603</v>
      </c>
      <c r="AM299">
        <v>86.183105629852705</v>
      </c>
      <c r="AN299">
        <v>1.00000004252387</v>
      </c>
    </row>
    <row r="300" spans="1:40" x14ac:dyDescent="0.25">
      <c r="A300" t="str">
        <f>"20190303170948022"</f>
        <v>20190303170948022</v>
      </c>
      <c r="B300" t="str">
        <f>"1551604188010796"</f>
        <v>1551604188010796</v>
      </c>
      <c r="C300" t="s">
        <v>40</v>
      </c>
      <c r="D300">
        <v>4.7531290000000004</v>
      </c>
      <c r="E300">
        <v>0.51249719999999999</v>
      </c>
      <c r="F300" t="s">
        <v>42</v>
      </c>
      <c r="G300">
        <v>-269.2373</v>
      </c>
      <c r="H300" s="1">
        <v>-1.52664E-6</v>
      </c>
      <c r="I300">
        <v>364.80169999999998</v>
      </c>
      <c r="J300">
        <v>-378.20639999999997</v>
      </c>
      <c r="K300">
        <v>1.1208209999999901</v>
      </c>
      <c r="L300">
        <v>367.56049999999999</v>
      </c>
      <c r="M300">
        <v>0.99988960000000005</v>
      </c>
      <c r="N300">
        <v>-1.433309E-2</v>
      </c>
      <c r="O300">
        <v>3.9657069999999997E-3</v>
      </c>
      <c r="P300">
        <v>0.97591150000000004</v>
      </c>
      <c r="Q300">
        <v>0.20959729999999999</v>
      </c>
      <c r="R300">
        <v>-6.0545990000000001E-2</v>
      </c>
      <c r="S300">
        <v>3.0765690000000001</v>
      </c>
      <c r="T300">
        <v>-3.1512739999999997E-2</v>
      </c>
      <c r="U300">
        <v>-7.7514650000000004E-2</v>
      </c>
      <c r="V300">
        <v>6.4416749999999995E-2</v>
      </c>
      <c r="W300">
        <v>0.22356019999999999</v>
      </c>
      <c r="X300">
        <v>0.97255919999999896</v>
      </c>
      <c r="Y300">
        <v>2.9148130000000001E-2</v>
      </c>
      <c r="Z300">
        <v>-3.4197850000000001E-4</v>
      </c>
      <c r="AA300">
        <v>0.99957499999999999</v>
      </c>
      <c r="AB300">
        <v>45</v>
      </c>
      <c r="AC300">
        <v>108.969099999999</v>
      </c>
      <c r="AD300">
        <v>-1.12082252663999</v>
      </c>
      <c r="AE300">
        <v>-2.7587999999999999</v>
      </c>
      <c r="AF300">
        <v>3.1906248014664</v>
      </c>
      <c r="AG300">
        <v>-1.12082252663999</v>
      </c>
      <c r="AH300">
        <v>108.94578265245801</v>
      </c>
      <c r="AI300">
        <v>90.589179444640294</v>
      </c>
      <c r="AJ300">
        <v>88.322494979148203</v>
      </c>
      <c r="AK300">
        <v>108.99825635080801</v>
      </c>
      <c r="AL300">
        <v>77.081773330122203</v>
      </c>
      <c r="AM300">
        <v>86.210590674888195</v>
      </c>
      <c r="AN300">
        <v>1.00000003910462</v>
      </c>
    </row>
    <row r="301" spans="1:40" x14ac:dyDescent="0.25">
      <c r="A301" t="str">
        <f>"20190303170948043"</f>
        <v>20190303170948043</v>
      </c>
      <c r="B301" t="str">
        <f>"1551604188031293"</f>
        <v>1551604188031293</v>
      </c>
      <c r="C301" t="s">
        <v>40</v>
      </c>
      <c r="D301">
        <v>4.8132760000000001</v>
      </c>
      <c r="E301">
        <v>0.51501929999999996</v>
      </c>
      <c r="F301" t="s">
        <v>43</v>
      </c>
      <c r="G301">
        <v>-377.22460000000001</v>
      </c>
      <c r="H301">
        <v>0.98900350000000004</v>
      </c>
      <c r="I301">
        <v>367.49290000000002</v>
      </c>
      <c r="J301">
        <v>-377.78300000000002</v>
      </c>
      <c r="K301">
        <v>1.120824</v>
      </c>
      <c r="L301">
        <v>367.56220000000002</v>
      </c>
      <c r="M301">
        <v>0.99988909999999998</v>
      </c>
      <c r="N301">
        <v>-1.436191E-2</v>
      </c>
      <c r="O301">
        <v>3.9767650000000002E-3</v>
      </c>
      <c r="P301">
        <v>0.97608930000000005</v>
      </c>
      <c r="Q301">
        <v>0.2087888</v>
      </c>
      <c r="R301">
        <v>-6.0476189999999999E-2</v>
      </c>
      <c r="S301">
        <v>3.1515810000000002</v>
      </c>
      <c r="T301">
        <v>-0.42343120000000001</v>
      </c>
      <c r="U301">
        <v>-0.2153931</v>
      </c>
      <c r="V301">
        <v>6.4358349999999995E-2</v>
      </c>
      <c r="W301">
        <v>0.22278210000000001</v>
      </c>
      <c r="X301">
        <v>0.97274150000000004</v>
      </c>
      <c r="Y301">
        <v>7.1416469999999996E-2</v>
      </c>
      <c r="Z301">
        <v>-5.7611240000000003E-3</v>
      </c>
      <c r="AA301">
        <v>0.99743000000000004</v>
      </c>
      <c r="AB301">
        <v>45</v>
      </c>
      <c r="AC301">
        <v>0.558400000000006</v>
      </c>
      <c r="AD301">
        <v>-0.13182049999999901</v>
      </c>
      <c r="AE301">
        <v>-6.9299999999998294E-2</v>
      </c>
      <c r="AF301">
        <v>6.7799284465464099E-2</v>
      </c>
      <c r="AG301">
        <v>-0.13182049999999901</v>
      </c>
      <c r="AH301">
        <v>0.52908238659799101</v>
      </c>
      <c r="AI301">
        <v>103.88129134692301</v>
      </c>
      <c r="AJ301">
        <v>82.697627527336493</v>
      </c>
      <c r="AK301">
        <v>0.549455693393476</v>
      </c>
      <c r="AL301">
        <v>77.127507402612906</v>
      </c>
      <c r="AM301">
        <v>86.214723606689901</v>
      </c>
      <c r="AN301">
        <v>0.99999994355868904</v>
      </c>
    </row>
    <row r="302" spans="1:40" x14ac:dyDescent="0.25">
      <c r="A302" t="str">
        <f>"20190303170948065"</f>
        <v>20190303170948065</v>
      </c>
      <c r="B302" t="str">
        <f>"1551604188050813"</f>
        <v>1551604188050813</v>
      </c>
      <c r="C302" t="s">
        <v>40</v>
      </c>
      <c r="D302">
        <v>4.8166390000000003</v>
      </c>
      <c r="E302">
        <v>0.51663429999999999</v>
      </c>
      <c r="F302" t="s">
        <v>43</v>
      </c>
      <c r="G302">
        <v>-376.83819999999997</v>
      </c>
      <c r="H302">
        <v>0.96475509999999998</v>
      </c>
      <c r="I302">
        <v>367.49360000000001</v>
      </c>
      <c r="J302">
        <v>-377.34629999999999</v>
      </c>
      <c r="K302">
        <v>1.1208290000000001</v>
      </c>
      <c r="L302">
        <v>367.56400000000002</v>
      </c>
      <c r="M302">
        <v>0.99988869999999996</v>
      </c>
      <c r="N302">
        <v>-1.438745E-2</v>
      </c>
      <c r="O302">
        <v>3.9883829999999999E-3</v>
      </c>
      <c r="P302">
        <v>0.97617209999999999</v>
      </c>
      <c r="Q302">
        <v>0.20842949999999999</v>
      </c>
      <c r="R302">
        <v>-6.0378950000000001E-2</v>
      </c>
      <c r="S302">
        <v>3.1713260000000001</v>
      </c>
      <c r="T302">
        <v>-0.52393509999999999</v>
      </c>
      <c r="U302">
        <v>-0.2296753</v>
      </c>
      <c r="V302">
        <v>6.4272709999999997E-2</v>
      </c>
      <c r="W302">
        <v>0.2224488</v>
      </c>
      <c r="X302">
        <v>0.97282349999999995</v>
      </c>
      <c r="Y302">
        <v>7.5064199999999998E-2</v>
      </c>
      <c r="Z302">
        <v>-7.29242E-3</v>
      </c>
      <c r="AA302">
        <v>0.99715200000000004</v>
      </c>
      <c r="AB302">
        <v>45</v>
      </c>
      <c r="AC302">
        <v>0.50810000000001299</v>
      </c>
      <c r="AD302">
        <v>-0.15607389999999999</v>
      </c>
      <c r="AE302">
        <v>-7.0400000000006402E-2</v>
      </c>
      <c r="AF302">
        <v>6.62892749785855E-2</v>
      </c>
      <c r="AG302">
        <v>-0.15607389999999999</v>
      </c>
      <c r="AH302">
        <v>0.46478653617453503</v>
      </c>
      <c r="AI302">
        <v>108.388504560615</v>
      </c>
      <c r="AJ302">
        <v>81.883042166328906</v>
      </c>
      <c r="AK302">
        <v>0.49475231626291399</v>
      </c>
      <c r="AL302">
        <v>77.147096443976693</v>
      </c>
      <c r="AM302">
        <v>86.220063678616995</v>
      </c>
      <c r="AN302">
        <v>1.0000000060122101</v>
      </c>
    </row>
    <row r="303" spans="1:40" x14ac:dyDescent="0.25">
      <c r="A303" t="str">
        <f>"20190303170948079"</f>
        <v>20190303170948079</v>
      </c>
      <c r="B303" t="str">
        <f>"1551604188071309"</f>
        <v>1551604188071309</v>
      </c>
      <c r="C303" t="s">
        <v>40</v>
      </c>
      <c r="D303">
        <v>4.8059810000000001</v>
      </c>
      <c r="E303">
        <v>0.51723980000000003</v>
      </c>
      <c r="F303" t="s">
        <v>43</v>
      </c>
      <c r="G303">
        <v>-376.4436</v>
      </c>
      <c r="H303">
        <v>0.95765540000000005</v>
      </c>
      <c r="I303">
        <v>367.49560000000002</v>
      </c>
      <c r="J303">
        <v>-377.0804</v>
      </c>
      <c r="K303">
        <v>1.1208320000000001</v>
      </c>
      <c r="L303">
        <v>367.565</v>
      </c>
      <c r="M303">
        <v>0.99988829999999995</v>
      </c>
      <c r="N303">
        <v>-1.440131E-2</v>
      </c>
      <c r="O303">
        <v>3.9953189999999998E-3</v>
      </c>
      <c r="P303">
        <v>0.97622699999999996</v>
      </c>
      <c r="Q303">
        <v>0.2081337</v>
      </c>
      <c r="R303">
        <v>-6.0507159999999997E-2</v>
      </c>
      <c r="S303">
        <v>3.1812740000000002</v>
      </c>
      <c r="T303">
        <v>-0.57532499999999998</v>
      </c>
      <c r="U303">
        <v>-0.2390747</v>
      </c>
      <c r="V303">
        <v>6.4407980000000004E-2</v>
      </c>
      <c r="W303">
        <v>0.22216759999999999</v>
      </c>
      <c r="X303">
        <v>0.97287880000000004</v>
      </c>
      <c r="Y303">
        <v>7.7516409999999994E-2</v>
      </c>
      <c r="Z303">
        <v>-8.165917E-3</v>
      </c>
      <c r="AA303">
        <v>0.99695769999999995</v>
      </c>
      <c r="AB303">
        <v>45</v>
      </c>
      <c r="AC303">
        <v>0.63679999999999304</v>
      </c>
      <c r="AD303">
        <v>-0.1631766</v>
      </c>
      <c r="AE303">
        <v>-6.9399999999973205E-2</v>
      </c>
      <c r="AF303">
        <v>6.7559924350760206E-2</v>
      </c>
      <c r="AG303">
        <v>-0.1631766</v>
      </c>
      <c r="AH303">
        <v>0.59773051502209895</v>
      </c>
      <c r="AI303">
        <v>105.177180106422</v>
      </c>
      <c r="AJ303">
        <v>83.551375048130396</v>
      </c>
      <c r="AK303">
        <v>0.62327579349307605</v>
      </c>
      <c r="AL303">
        <v>77.1636213890243</v>
      </c>
      <c r="AM303">
        <v>86.2123461446281</v>
      </c>
      <c r="AN303">
        <v>0.99999999493344005</v>
      </c>
    </row>
    <row r="304" spans="1:40" x14ac:dyDescent="0.25">
      <c r="A304" t="str">
        <f>"20190303170948090"</f>
        <v>20190303170948090</v>
      </c>
      <c r="B304" t="str">
        <f>"1551604188081070"</f>
        <v>1551604188081070</v>
      </c>
      <c r="C304" t="s">
        <v>40</v>
      </c>
      <c r="D304">
        <v>4.841507</v>
      </c>
      <c r="E304">
        <v>0.51731099999999997</v>
      </c>
      <c r="F304" t="s">
        <v>43</v>
      </c>
      <c r="G304">
        <v>-376.06049999999999</v>
      </c>
      <c r="H304">
        <v>0.92760880000000001</v>
      </c>
      <c r="I304">
        <v>367.48739999999998</v>
      </c>
      <c r="J304">
        <v>-376.82780000000002</v>
      </c>
      <c r="K304">
        <v>1.1208389999999999</v>
      </c>
      <c r="L304">
        <v>367.56599999999997</v>
      </c>
      <c r="M304">
        <v>0.9998882</v>
      </c>
      <c r="N304">
        <v>-1.4412990000000001E-2</v>
      </c>
      <c r="O304">
        <v>4.0019690000000002E-3</v>
      </c>
      <c r="P304">
        <v>0.97621950000000002</v>
      </c>
      <c r="Q304">
        <v>0.2081344</v>
      </c>
      <c r="R304">
        <v>-6.0630870000000003E-2</v>
      </c>
      <c r="S304">
        <v>3.1867679999999998</v>
      </c>
      <c r="T304">
        <v>-0.60379479999999996</v>
      </c>
      <c r="U304">
        <v>-0.24264530000000001</v>
      </c>
      <c r="V304">
        <v>6.4537839999999999E-2</v>
      </c>
      <c r="W304">
        <v>0.22217919999999999</v>
      </c>
      <c r="X304">
        <v>0.9728675</v>
      </c>
      <c r="Y304">
        <v>7.8357469999999999E-2</v>
      </c>
      <c r="Z304">
        <v>-8.6116300000000003E-3</v>
      </c>
      <c r="AA304">
        <v>0.9968882</v>
      </c>
      <c r="AB304">
        <v>45</v>
      </c>
      <c r="AC304">
        <v>0.76730000000003395</v>
      </c>
      <c r="AD304">
        <v>-0.19323019999999899</v>
      </c>
      <c r="AE304">
        <v>-7.8599999999994397E-2</v>
      </c>
      <c r="AF304">
        <v>7.6847420262716903E-2</v>
      </c>
      <c r="AG304">
        <v>-0.19323019999999899</v>
      </c>
      <c r="AH304">
        <v>0.72168592349711702</v>
      </c>
      <c r="AI304">
        <v>104.908760707833</v>
      </c>
      <c r="AJ304">
        <v>83.921866148215997</v>
      </c>
      <c r="AK304">
        <v>0.751048605861806</v>
      </c>
      <c r="AL304">
        <v>77.162939149264901</v>
      </c>
      <c r="AM304">
        <v>86.204687782645905</v>
      </c>
      <c r="AN304">
        <v>0.99999995113037599</v>
      </c>
    </row>
    <row r="305" spans="1:40" x14ac:dyDescent="0.25">
      <c r="A305" t="str">
        <f>"20190303170948111"</f>
        <v>20190303170948111</v>
      </c>
      <c r="B305" t="str">
        <f>"1551604188100588"</f>
        <v>1551604188100588</v>
      </c>
      <c r="C305" t="s">
        <v>40</v>
      </c>
      <c r="D305">
        <v>4.7797799999999997</v>
      </c>
      <c r="E305">
        <v>0.51750490000000005</v>
      </c>
      <c r="F305" t="s">
        <v>43</v>
      </c>
      <c r="G305">
        <v>-376.04</v>
      </c>
      <c r="H305">
        <v>0.96936999999999995</v>
      </c>
      <c r="I305">
        <v>367.50599999999997</v>
      </c>
      <c r="J305">
        <v>-376.44310000000002</v>
      </c>
      <c r="K305">
        <v>1.120851</v>
      </c>
      <c r="L305">
        <v>367.56760000000003</v>
      </c>
      <c r="M305">
        <v>0.99988790000000005</v>
      </c>
      <c r="N305">
        <v>-1.442891E-2</v>
      </c>
      <c r="O305">
        <v>4.0122830000000002E-3</v>
      </c>
      <c r="P305">
        <v>0.97616000000000003</v>
      </c>
      <c r="Q305">
        <v>0.20863880000000001</v>
      </c>
      <c r="R305">
        <v>-5.9849199999999998E-2</v>
      </c>
      <c r="S305">
        <v>3.1887509999999999</v>
      </c>
      <c r="T305">
        <v>-0.61315969999999997</v>
      </c>
      <c r="U305">
        <v>-0.242981</v>
      </c>
      <c r="V305">
        <v>6.3766199999999995E-2</v>
      </c>
      <c r="W305">
        <v>0.22269800000000001</v>
      </c>
      <c r="X305">
        <v>0.97279979999999999</v>
      </c>
      <c r="Y305">
        <v>7.8379699999999997E-2</v>
      </c>
      <c r="Z305">
        <v>-8.7347789999999998E-3</v>
      </c>
      <c r="AA305">
        <v>0.99688529999999997</v>
      </c>
      <c r="AB305">
        <v>45</v>
      </c>
      <c r="AC305">
        <v>0.40309999999999402</v>
      </c>
      <c r="AD305">
        <v>-0.15148099999999901</v>
      </c>
      <c r="AE305">
        <v>-6.1600000000055298E-2</v>
      </c>
      <c r="AF305">
        <v>5.5551199365721303E-2</v>
      </c>
      <c r="AG305">
        <v>-0.15148099999999901</v>
      </c>
      <c r="AH305">
        <v>0.353999217563154</v>
      </c>
      <c r="AI305">
        <v>112.915723609121</v>
      </c>
      <c r="AJ305">
        <v>81.081611988694107</v>
      </c>
      <c r="AK305">
        <v>0.38903454235748203</v>
      </c>
      <c r="AL305">
        <v>77.132450747304006</v>
      </c>
      <c r="AM305">
        <v>86.249675542885797</v>
      </c>
      <c r="AN305">
        <v>0.99999998917323996</v>
      </c>
    </row>
    <row r="306" spans="1:40" x14ac:dyDescent="0.25">
      <c r="A306" t="str">
        <f>"20190303170948125"</f>
        <v>20190303170948125</v>
      </c>
      <c r="B306" t="str">
        <f>"1551604188121085"</f>
        <v>1551604188121085</v>
      </c>
      <c r="C306" t="s">
        <v>40</v>
      </c>
      <c r="D306">
        <v>4.8127040000000001</v>
      </c>
      <c r="E306">
        <v>0.51819219999999999</v>
      </c>
      <c r="F306" t="s">
        <v>43</v>
      </c>
      <c r="G306">
        <v>-375.64479999999998</v>
      </c>
      <c r="H306">
        <v>0.964696</v>
      </c>
      <c r="I306">
        <v>367.50650000000002</v>
      </c>
      <c r="J306">
        <v>-376.16590000000002</v>
      </c>
      <c r="K306">
        <v>1.120854</v>
      </c>
      <c r="L306">
        <v>367.56869999999998</v>
      </c>
      <c r="M306">
        <v>0.99988779999999999</v>
      </c>
      <c r="N306">
        <v>-1.443901E-2</v>
      </c>
      <c r="O306">
        <v>4.0199550000000004E-3</v>
      </c>
      <c r="P306">
        <v>0.97611630000000005</v>
      </c>
      <c r="Q306">
        <v>0.20900930000000001</v>
      </c>
      <c r="R306">
        <v>-5.9265419999999999E-2</v>
      </c>
      <c r="S306">
        <v>3.1918950000000001</v>
      </c>
      <c r="T306">
        <v>-0.62456969999999901</v>
      </c>
      <c r="U306">
        <v>-0.24215700000000001</v>
      </c>
      <c r="V306">
        <v>6.3189819999999994E-2</v>
      </c>
      <c r="W306">
        <v>0.22307769999999999</v>
      </c>
      <c r="X306">
        <v>0.97275040000000002</v>
      </c>
      <c r="Y306">
        <v>7.8009750000000003E-2</v>
      </c>
      <c r="Z306">
        <v>-8.8403690000000007E-3</v>
      </c>
      <c r="AA306">
        <v>0.99691339999999995</v>
      </c>
      <c r="AB306">
        <v>44</v>
      </c>
      <c r="AC306">
        <v>0.52110000000004597</v>
      </c>
      <c r="AD306">
        <v>-0.15615799999999999</v>
      </c>
      <c r="AE306">
        <v>-6.2199999999961599E-2</v>
      </c>
      <c r="AF306">
        <v>5.9064875406467397E-2</v>
      </c>
      <c r="AG306">
        <v>-0.15615799999999999</v>
      </c>
      <c r="AH306">
        <v>0.47848075560176401</v>
      </c>
      <c r="AI306">
        <v>107.94732724849599</v>
      </c>
      <c r="AJ306">
        <v>82.962863972336905</v>
      </c>
      <c r="AK306">
        <v>0.50677195458313995</v>
      </c>
      <c r="AL306">
        <v>77.110133987334606</v>
      </c>
      <c r="AM306">
        <v>86.283290918795004</v>
      </c>
      <c r="AN306">
        <v>0.99999997714454003</v>
      </c>
    </row>
    <row r="307" spans="1:40" x14ac:dyDescent="0.25">
      <c r="A307" t="str">
        <f>"20190303170948144"</f>
        <v>20190303170948144</v>
      </c>
      <c r="B307" t="str">
        <f>"1551604188130845"</f>
        <v>1551604188130845</v>
      </c>
      <c r="C307" t="s">
        <v>40</v>
      </c>
      <c r="D307">
        <v>4.7860740000000002</v>
      </c>
      <c r="E307">
        <v>0.51821490000000003</v>
      </c>
      <c r="F307" t="s">
        <v>43</v>
      </c>
      <c r="G307">
        <v>-375.25889999999998</v>
      </c>
      <c r="H307">
        <v>0.94182109999999997</v>
      </c>
      <c r="I307">
        <v>367.49860000000001</v>
      </c>
      <c r="J307">
        <v>-375.78829999999999</v>
      </c>
      <c r="K307">
        <v>1.1208530000000001</v>
      </c>
      <c r="L307">
        <v>367.57029999999997</v>
      </c>
      <c r="M307">
        <v>0.99988750000000004</v>
      </c>
      <c r="N307">
        <v>-1.4451230000000001E-2</v>
      </c>
      <c r="O307">
        <v>4.0306480000000004E-3</v>
      </c>
      <c r="P307">
        <v>0.97614540000000005</v>
      </c>
      <c r="Q307">
        <v>0.20910200000000001</v>
      </c>
      <c r="R307">
        <v>-5.8451679999999999E-2</v>
      </c>
      <c r="S307">
        <v>3.1934200000000001</v>
      </c>
      <c r="T307">
        <v>-0.63041749999999996</v>
      </c>
      <c r="U307">
        <v>-0.24627689999999999</v>
      </c>
      <c r="V307">
        <v>6.2386780000000003E-2</v>
      </c>
      <c r="W307">
        <v>0.2231833</v>
      </c>
      <c r="X307">
        <v>0.97277800000000003</v>
      </c>
      <c r="Y307">
        <v>7.9210000000000003E-2</v>
      </c>
      <c r="Z307">
        <v>-9.0409960000000008E-3</v>
      </c>
      <c r="AA307">
        <v>0.99681690000000001</v>
      </c>
      <c r="AB307">
        <v>44</v>
      </c>
      <c r="AC307">
        <v>0.52940000000000897</v>
      </c>
      <c r="AD307">
        <v>-0.17903189999999999</v>
      </c>
      <c r="AE307">
        <v>-7.1699999999964306E-2</v>
      </c>
      <c r="AF307">
        <v>6.6378797924182498E-2</v>
      </c>
      <c r="AG307">
        <v>-0.17903189999999999</v>
      </c>
      <c r="AH307">
        <v>0.475684903642974</v>
      </c>
      <c r="AI307">
        <v>110.443184192088</v>
      </c>
      <c r="AJ307">
        <v>82.056036667145307</v>
      </c>
      <c r="AK307">
        <v>0.51257652461393</v>
      </c>
      <c r="AL307">
        <v>77.103926927995005</v>
      </c>
      <c r="AM307">
        <v>86.330498198797002</v>
      </c>
      <c r="AN307">
        <v>0.99999996650082801</v>
      </c>
    </row>
    <row r="308" spans="1:40" x14ac:dyDescent="0.25">
      <c r="A308" t="str">
        <f>"20190303170948157"</f>
        <v>20190303170948157</v>
      </c>
      <c r="B308" t="str">
        <f>"1551604188150366"</f>
        <v>1551604188150366</v>
      </c>
      <c r="C308" t="s">
        <v>40</v>
      </c>
      <c r="D308">
        <v>4.836392</v>
      </c>
      <c r="E308">
        <v>0.51860490000000004</v>
      </c>
      <c r="F308" t="s">
        <v>43</v>
      </c>
      <c r="G308">
        <v>-374.86410000000001</v>
      </c>
      <c r="H308">
        <v>0.93757250000000003</v>
      </c>
      <c r="I308">
        <v>367.49919999999997</v>
      </c>
      <c r="J308">
        <v>-375.53890000000001</v>
      </c>
      <c r="K308">
        <v>1.1208549999999999</v>
      </c>
      <c r="L308">
        <v>367.57130000000001</v>
      </c>
      <c r="M308">
        <v>0.99988739999999998</v>
      </c>
      <c r="N308">
        <v>-1.4458550000000001E-2</v>
      </c>
      <c r="O308">
        <v>4.0376240000000001E-3</v>
      </c>
      <c r="P308">
        <v>0.97614040000000002</v>
      </c>
      <c r="Q308">
        <v>0.20919370000000001</v>
      </c>
      <c r="R308">
        <v>-5.8207839999999997E-2</v>
      </c>
      <c r="S308">
        <v>3.1944270000000001</v>
      </c>
      <c r="T308">
        <v>-0.63361690000000004</v>
      </c>
      <c r="U308">
        <v>-0.24395749999999999</v>
      </c>
      <c r="V308">
        <v>6.2149959999999997E-2</v>
      </c>
      <c r="W308">
        <v>0.2232818</v>
      </c>
      <c r="X308">
        <v>0.97277060000000004</v>
      </c>
      <c r="Y308">
        <v>7.8472810000000004E-2</v>
      </c>
      <c r="Z308">
        <v>-9.0048809999999993E-3</v>
      </c>
      <c r="AA308">
        <v>0.99687559999999997</v>
      </c>
      <c r="AB308">
        <v>44</v>
      </c>
      <c r="AC308">
        <v>0.67480000000000395</v>
      </c>
      <c r="AD308">
        <v>-0.18328249999999899</v>
      </c>
      <c r="AE308">
        <v>-7.21000000000344E-2</v>
      </c>
      <c r="AF308">
        <v>6.9737664686528603E-2</v>
      </c>
      <c r="AG308">
        <v>-0.18328249999999899</v>
      </c>
      <c r="AH308">
        <v>0.62865002365470102</v>
      </c>
      <c r="AI308">
        <v>106.160099079994</v>
      </c>
      <c r="AJ308">
        <v>83.669922181649198</v>
      </c>
      <c r="AK308">
        <v>0.65852613381948399</v>
      </c>
      <c r="AL308">
        <v>77.0981377614129</v>
      </c>
      <c r="AM308">
        <v>86.344362038549605</v>
      </c>
      <c r="AN308">
        <v>1.0000000099818001</v>
      </c>
    </row>
    <row r="309" spans="1:40" x14ac:dyDescent="0.25">
      <c r="A309" t="str">
        <f>"20190303170948177"</f>
        <v>20190303170948177</v>
      </c>
      <c r="B309" t="str">
        <f>"1551604188170861"</f>
        <v>1551604188170861</v>
      </c>
      <c r="C309" t="s">
        <v>40</v>
      </c>
      <c r="D309">
        <v>4.8432000000000004</v>
      </c>
      <c r="E309">
        <v>0.51895930000000001</v>
      </c>
      <c r="F309" t="s">
        <v>43</v>
      </c>
      <c r="G309">
        <v>-374.48070000000001</v>
      </c>
      <c r="H309">
        <v>0.90934709999999996</v>
      </c>
      <c r="I309">
        <v>367.4898</v>
      </c>
      <c r="J309">
        <v>-375.11799999999999</v>
      </c>
      <c r="K309">
        <v>1.120865</v>
      </c>
      <c r="L309">
        <v>367.57299999999998</v>
      </c>
      <c r="M309">
        <v>0.99988719999999998</v>
      </c>
      <c r="N309">
        <v>-1.4469030000000001E-2</v>
      </c>
      <c r="O309">
        <v>4.0495280000000002E-3</v>
      </c>
      <c r="P309">
        <v>0.97630720000000004</v>
      </c>
      <c r="Q309">
        <v>0.20853269999999999</v>
      </c>
      <c r="R309">
        <v>-5.7781579999999999E-2</v>
      </c>
      <c r="S309">
        <v>3.195557</v>
      </c>
      <c r="T309">
        <v>-0.63872530000000005</v>
      </c>
      <c r="U309">
        <v>-0.24581910000000001</v>
      </c>
      <c r="V309">
        <v>6.1735900000000003E-2</v>
      </c>
      <c r="W309">
        <v>0.22263330000000001</v>
      </c>
      <c r="X309">
        <v>0.97294559999999997</v>
      </c>
      <c r="Y309">
        <v>7.8998659999999998E-2</v>
      </c>
      <c r="Z309">
        <v>-9.1273389999999999E-3</v>
      </c>
      <c r="AA309">
        <v>0.99683290000000002</v>
      </c>
      <c r="AB309">
        <v>44</v>
      </c>
      <c r="AC309">
        <v>0.63730000000003795</v>
      </c>
      <c r="AD309">
        <v>-0.21151790000000001</v>
      </c>
      <c r="AE309">
        <v>-8.32000000000334E-2</v>
      </c>
      <c r="AF309">
        <v>7.7397464671174906E-2</v>
      </c>
      <c r="AG309">
        <v>-0.21151790000000001</v>
      </c>
      <c r="AH309">
        <v>0.57471109779343998</v>
      </c>
      <c r="AI309">
        <v>110.039408488832</v>
      </c>
      <c r="AJ309">
        <v>82.330012445694194</v>
      </c>
      <c r="AK309">
        <v>0.61727063390775105</v>
      </c>
      <c r="AL309">
        <v>77.136253703360495</v>
      </c>
      <c r="AM309">
        <v>86.369302920282394</v>
      </c>
      <c r="AN309">
        <v>1.0000000240885201</v>
      </c>
    </row>
    <row r="310" spans="1:40" x14ac:dyDescent="0.25">
      <c r="A310" t="str">
        <f>"20190303170948191"</f>
        <v>20190303170948191</v>
      </c>
      <c r="B310" t="str">
        <f>"1551604188180621"</f>
        <v>1551604188180621</v>
      </c>
      <c r="C310" t="s">
        <v>40</v>
      </c>
      <c r="D310">
        <v>4.8319660000000004</v>
      </c>
      <c r="E310">
        <v>0.51915089999999997</v>
      </c>
      <c r="F310" t="s">
        <v>43</v>
      </c>
      <c r="G310">
        <v>-374.08319999999998</v>
      </c>
      <c r="H310">
        <v>0.91203840000000003</v>
      </c>
      <c r="I310">
        <v>367.49239999999998</v>
      </c>
      <c r="J310">
        <v>-374.85640000000001</v>
      </c>
      <c r="K310">
        <v>1.1208689999999999</v>
      </c>
      <c r="L310">
        <v>367.57409999999999</v>
      </c>
      <c r="M310">
        <v>0.99988699999999997</v>
      </c>
      <c r="N310">
        <v>-1.4474610000000001E-2</v>
      </c>
      <c r="O310">
        <v>4.0564059999999898E-3</v>
      </c>
      <c r="P310">
        <v>0.97632099999999999</v>
      </c>
      <c r="Q310">
        <v>0.208562</v>
      </c>
      <c r="R310">
        <v>-5.743844E-2</v>
      </c>
      <c r="S310">
        <v>3.1959529999999998</v>
      </c>
      <c r="T310">
        <v>-0.64507409999999998</v>
      </c>
      <c r="U310">
        <v>-0.2472839</v>
      </c>
      <c r="V310">
        <v>6.1399410000000001E-2</v>
      </c>
      <c r="W310">
        <v>0.2226687</v>
      </c>
      <c r="X310">
        <v>0.97295869999999995</v>
      </c>
      <c r="Y310">
        <v>7.9408380000000001E-2</v>
      </c>
      <c r="Z310">
        <v>-9.2554979999999992E-3</v>
      </c>
      <c r="AA310">
        <v>0.9967992</v>
      </c>
      <c r="AB310">
        <v>44</v>
      </c>
      <c r="AC310">
        <v>0.77320000000003097</v>
      </c>
      <c r="AD310">
        <v>-0.20883060000000001</v>
      </c>
      <c r="AE310">
        <v>-8.1700000000012096E-2</v>
      </c>
      <c r="AF310">
        <v>7.91277122212629E-2</v>
      </c>
      <c r="AG310">
        <v>-0.20883060000000001</v>
      </c>
      <c r="AH310">
        <v>0.72085868295762001</v>
      </c>
      <c r="AI310">
        <v>106.064671231782</v>
      </c>
      <c r="AJ310">
        <v>83.735796565962403</v>
      </c>
      <c r="AK310">
        <v>0.75465797228487896</v>
      </c>
      <c r="AL310">
        <v>77.134172038994393</v>
      </c>
      <c r="AM310">
        <v>86.389087933300303</v>
      </c>
      <c r="AN310">
        <v>0.99999993470686099</v>
      </c>
    </row>
    <row r="311" spans="1:40" x14ac:dyDescent="0.25">
      <c r="A311" t="str">
        <f>"20190303170948210"</f>
        <v>20190303170948210</v>
      </c>
      <c r="B311" t="str">
        <f>"1551604188201117"</f>
        <v>1551604188201117</v>
      </c>
      <c r="C311" t="s">
        <v>40</v>
      </c>
      <c r="D311">
        <v>4.8160429999999996</v>
      </c>
      <c r="E311">
        <v>0.519354599999999</v>
      </c>
      <c r="F311" t="s">
        <v>43</v>
      </c>
      <c r="G311">
        <v>-374.06020000000001</v>
      </c>
      <c r="H311">
        <v>0.95967170000000002</v>
      </c>
      <c r="I311">
        <v>367.51179999999999</v>
      </c>
      <c r="J311">
        <v>-374.4676</v>
      </c>
      <c r="K311">
        <v>1.1208769999999999</v>
      </c>
      <c r="L311">
        <v>367.57569999999998</v>
      </c>
      <c r="M311">
        <v>0.99988699999999997</v>
      </c>
      <c r="N311">
        <v>-1.448196E-2</v>
      </c>
      <c r="O311">
        <v>4.0664289999999999E-3</v>
      </c>
      <c r="P311">
        <v>0.97636590000000001</v>
      </c>
      <c r="Q311">
        <v>0.20861850000000001</v>
      </c>
      <c r="R311">
        <v>-5.6466059999999998E-2</v>
      </c>
      <c r="S311">
        <v>3.196472</v>
      </c>
      <c r="T311">
        <v>-0.64735619999999905</v>
      </c>
      <c r="U311">
        <v>-0.24823000000000001</v>
      </c>
      <c r="V311">
        <v>6.0436919999999998E-2</v>
      </c>
      <c r="W311">
        <v>0.2227324</v>
      </c>
      <c r="X311">
        <v>0.97300450000000005</v>
      </c>
      <c r="Y311">
        <v>7.9681520000000006E-2</v>
      </c>
      <c r="Z311">
        <v>-9.3158089999999995E-3</v>
      </c>
      <c r="AA311">
        <v>0.99677680000000002</v>
      </c>
      <c r="AB311">
        <v>44</v>
      </c>
      <c r="AC311">
        <v>0.40739999999999499</v>
      </c>
      <c r="AD311">
        <v>-0.1612053</v>
      </c>
      <c r="AE311">
        <v>-6.3899999999989604E-2</v>
      </c>
      <c r="AF311">
        <v>5.6866362066301003E-2</v>
      </c>
      <c r="AG311">
        <v>-0.1612053</v>
      </c>
      <c r="AH311">
        <v>0.353167939976678</v>
      </c>
      <c r="AI311">
        <v>114.258732608363</v>
      </c>
      <c r="AJ311">
        <v>80.852866192301406</v>
      </c>
      <c r="AK311">
        <v>0.392362747607512</v>
      </c>
      <c r="AL311">
        <v>77.130429791588199</v>
      </c>
      <c r="AM311">
        <v>86.445712782391595</v>
      </c>
      <c r="AN311">
        <v>1.0000000501645401</v>
      </c>
    </row>
    <row r="312" spans="1:40" x14ac:dyDescent="0.25">
      <c r="A312" t="str">
        <f>"20190303170948225"</f>
        <v>20190303170948225</v>
      </c>
      <c r="B312" t="str">
        <f>"1551604188220637"</f>
        <v>1551604188220637</v>
      </c>
      <c r="C312" t="s">
        <v>40</v>
      </c>
      <c r="D312">
        <v>4.8207800000000001</v>
      </c>
      <c r="E312">
        <v>0.51969509999999997</v>
      </c>
      <c r="F312" t="s">
        <v>43</v>
      </c>
      <c r="G312">
        <v>-373.6653</v>
      </c>
      <c r="H312">
        <v>0.95743800000000001</v>
      </c>
      <c r="I312">
        <v>367.5136</v>
      </c>
      <c r="J312">
        <v>-374.19799999999998</v>
      </c>
      <c r="K312">
        <v>1.1208800000000001</v>
      </c>
      <c r="L312">
        <v>367.57679999999999</v>
      </c>
      <c r="M312">
        <v>0.99988679999999996</v>
      </c>
      <c r="N312">
        <v>-1.448636E-2</v>
      </c>
      <c r="O312">
        <v>4.0736100000000001E-3</v>
      </c>
      <c r="P312">
        <v>0.97636710000000004</v>
      </c>
      <c r="Q312">
        <v>0.20867530000000001</v>
      </c>
      <c r="R312">
        <v>-5.6235050000000002E-2</v>
      </c>
      <c r="S312">
        <v>3.1975099999999999</v>
      </c>
      <c r="T312">
        <v>-0.65144659999999999</v>
      </c>
      <c r="U312">
        <v>-0.24685670000000001</v>
      </c>
      <c r="V312">
        <v>6.0212839999999997E-2</v>
      </c>
      <c r="W312">
        <v>0.22279379999999999</v>
      </c>
      <c r="X312">
        <v>0.97300430000000004</v>
      </c>
      <c r="Y312">
        <v>7.9227099999999995E-2</v>
      </c>
      <c r="Z312">
        <v>-9.3200620000000005E-3</v>
      </c>
      <c r="AA312">
        <v>0.99681299999999995</v>
      </c>
      <c r="AB312">
        <v>44</v>
      </c>
      <c r="AC312">
        <v>0.53270000000003304</v>
      </c>
      <c r="AD312">
        <v>-0.163441999999999</v>
      </c>
      <c r="AE312">
        <v>-6.3199999999994802E-2</v>
      </c>
      <c r="AF312">
        <v>5.9816873509815099E-2</v>
      </c>
      <c r="AG312">
        <v>-0.163441999999999</v>
      </c>
      <c r="AH312">
        <v>0.487210053977921</v>
      </c>
      <c r="AI312">
        <v>108.415956754565</v>
      </c>
      <c r="AJ312">
        <v>83.000579154662006</v>
      </c>
      <c r="AK312">
        <v>0.51736349157788197</v>
      </c>
      <c r="AL312">
        <v>77.126820702941501</v>
      </c>
      <c r="AM312">
        <v>86.458856576231199</v>
      </c>
      <c r="AN312">
        <v>1.00000001561889</v>
      </c>
    </row>
    <row r="313" spans="1:40" x14ac:dyDescent="0.25">
      <c r="A313" t="str">
        <f>"20190303170948246"</f>
        <v>20190303170948246</v>
      </c>
      <c r="B313" t="str">
        <f>"1551604188241134"</f>
        <v>1551604188241134</v>
      </c>
      <c r="C313" t="s">
        <v>40</v>
      </c>
      <c r="D313">
        <v>4.8105549999999999</v>
      </c>
      <c r="E313">
        <v>0.51987709999999998</v>
      </c>
      <c r="F313" t="s">
        <v>43</v>
      </c>
      <c r="G313">
        <v>-373.28149999999999</v>
      </c>
      <c r="H313">
        <v>0.93336149999999996</v>
      </c>
      <c r="I313">
        <v>367.5052</v>
      </c>
      <c r="J313">
        <v>-373.77440000000001</v>
      </c>
      <c r="K313">
        <v>1.120878</v>
      </c>
      <c r="L313">
        <v>367.57850000000002</v>
      </c>
      <c r="M313">
        <v>0.99988679999999996</v>
      </c>
      <c r="N313">
        <v>-1.449228E-2</v>
      </c>
      <c r="O313">
        <v>4.0847130000000002E-3</v>
      </c>
      <c r="P313">
        <v>0.97637490000000005</v>
      </c>
      <c r="Q313">
        <v>0.20859459999999999</v>
      </c>
      <c r="R313">
        <v>-5.6395540000000001E-2</v>
      </c>
      <c r="S313">
        <v>3.198242</v>
      </c>
      <c r="T313">
        <v>-0.65446070000000001</v>
      </c>
      <c r="U313">
        <v>-0.2483215</v>
      </c>
      <c r="V313">
        <v>6.038437E-2</v>
      </c>
      <c r="W313">
        <v>0.2227189</v>
      </c>
      <c r="X313">
        <v>0.97301079999999995</v>
      </c>
      <c r="Y313">
        <v>7.9649659999999997E-2</v>
      </c>
      <c r="Z313">
        <v>-9.4060140000000007E-3</v>
      </c>
      <c r="AA313">
        <v>0.99677850000000001</v>
      </c>
      <c r="AB313">
        <v>44</v>
      </c>
      <c r="AC313">
        <v>0.49290000000001999</v>
      </c>
      <c r="AD313">
        <v>-0.1875165</v>
      </c>
      <c r="AE313">
        <v>-7.3300000000017407E-2</v>
      </c>
      <c r="AF313">
        <v>6.5971436699248001E-2</v>
      </c>
      <c r="AG313">
        <v>-0.1875165</v>
      </c>
      <c r="AH313">
        <v>0.43149675206731603</v>
      </c>
      <c r="AI313">
        <v>113.24741380466</v>
      </c>
      <c r="AJ313">
        <v>81.307375519725596</v>
      </c>
      <c r="AK313">
        <v>0.47508327193983202</v>
      </c>
      <c r="AL313">
        <v>77.131222541262105</v>
      </c>
      <c r="AM313">
        <v>86.448818263100804</v>
      </c>
      <c r="AN313">
        <v>0.99999999873707301</v>
      </c>
    </row>
    <row r="314" spans="1:40" x14ac:dyDescent="0.25">
      <c r="A314" t="str">
        <f>"20190303170948267"</f>
        <v>20190303170948267</v>
      </c>
      <c r="B314" t="str">
        <f>"1551604188260653"</f>
        <v>1551604188260653</v>
      </c>
      <c r="C314" t="s">
        <v>40</v>
      </c>
      <c r="D314">
        <v>4.8205859999999996</v>
      </c>
      <c r="E314">
        <v>0.51989169999999996</v>
      </c>
      <c r="F314" t="s">
        <v>43</v>
      </c>
      <c r="G314">
        <v>-372.88389999999998</v>
      </c>
      <c r="H314">
        <v>0.93781239999999999</v>
      </c>
      <c r="I314">
        <v>367.50869999999998</v>
      </c>
      <c r="J314">
        <v>-373.34699999999998</v>
      </c>
      <c r="K314">
        <v>1.1208800000000001</v>
      </c>
      <c r="L314">
        <v>367.58030000000002</v>
      </c>
      <c r="M314">
        <v>0.99988659999999996</v>
      </c>
      <c r="N314">
        <v>-1.449716E-2</v>
      </c>
      <c r="O314">
        <v>4.0961210000000003E-3</v>
      </c>
      <c r="P314">
        <v>0.97652209999999995</v>
      </c>
      <c r="Q314">
        <v>0.20794179999999901</v>
      </c>
      <c r="R314">
        <v>-5.6257740000000001E-2</v>
      </c>
      <c r="S314">
        <v>3.1986080000000001</v>
      </c>
      <c r="T314">
        <v>-0.65758339999999904</v>
      </c>
      <c r="U314">
        <v>-0.2506409</v>
      </c>
      <c r="V314">
        <v>6.0258220000000001E-2</v>
      </c>
      <c r="W314">
        <v>0.22207270000000001</v>
      </c>
      <c r="X314">
        <v>0.97316630000000004</v>
      </c>
      <c r="Y314">
        <v>8.0338660000000006E-2</v>
      </c>
      <c r="Z314">
        <v>-9.5237350000000002E-3</v>
      </c>
      <c r="AA314">
        <v>0.99672210000000006</v>
      </c>
      <c r="AB314">
        <v>44</v>
      </c>
      <c r="AC314">
        <v>0.46309999999999701</v>
      </c>
      <c r="AD314">
        <v>-0.183067599999999</v>
      </c>
      <c r="AE314">
        <v>-7.1600000000046293E-2</v>
      </c>
      <c r="AF314">
        <v>6.3764687480061505E-2</v>
      </c>
      <c r="AG314">
        <v>-0.183067599999999</v>
      </c>
      <c r="AH314">
        <v>0.40152212873139398</v>
      </c>
      <c r="AI314">
        <v>114.241621260431</v>
      </c>
      <c r="AJ314">
        <v>80.976360482721404</v>
      </c>
      <c r="AK314">
        <v>0.445869601341222</v>
      </c>
      <c r="AL314">
        <v>77.169198033617803</v>
      </c>
      <c r="AM314">
        <v>86.456782980707601</v>
      </c>
      <c r="AN314">
        <v>0.99999999230927406</v>
      </c>
    </row>
    <row r="315" spans="1:40" x14ac:dyDescent="0.25">
      <c r="A315" t="str">
        <f>"20190303170948281"</f>
        <v>20190303170948281</v>
      </c>
      <c r="B315" t="str">
        <f>"1551604188270414"</f>
        <v>1551604188270414</v>
      </c>
      <c r="C315" t="s">
        <v>40</v>
      </c>
      <c r="D315">
        <v>4.7956190000000003</v>
      </c>
      <c r="E315">
        <v>0.51993859999999903</v>
      </c>
      <c r="F315" t="s">
        <v>43</v>
      </c>
      <c r="G315">
        <v>-372.48630000000003</v>
      </c>
      <c r="H315">
        <v>0.94266499999999998</v>
      </c>
      <c r="I315">
        <v>367.51209999999998</v>
      </c>
      <c r="J315">
        <v>-373.08339999999998</v>
      </c>
      <c r="K315">
        <v>1.1208819999999999</v>
      </c>
      <c r="L315">
        <v>367.5813</v>
      </c>
      <c r="M315">
        <v>0.99988650000000001</v>
      </c>
      <c r="N315">
        <v>-1.4499700000000001E-2</v>
      </c>
      <c r="O315">
        <v>4.1031349999999999E-3</v>
      </c>
      <c r="P315">
        <v>0.97653659999999998</v>
      </c>
      <c r="Q315">
        <v>0.2080034</v>
      </c>
      <c r="R315">
        <v>-5.5777489999999999E-2</v>
      </c>
      <c r="S315">
        <v>3.1986690000000002</v>
      </c>
      <c r="T315">
        <v>-0.6623869</v>
      </c>
      <c r="U315">
        <v>-0.25180049999999998</v>
      </c>
      <c r="V315">
        <v>5.9784810000000001E-2</v>
      </c>
      <c r="W315">
        <v>0.22213740000000001</v>
      </c>
      <c r="X315">
        <v>0.97318079999999996</v>
      </c>
      <c r="Y315">
        <v>8.0669519999999995E-2</v>
      </c>
      <c r="Z315">
        <v>-9.6255890000000004E-3</v>
      </c>
      <c r="AA315">
        <v>0.99669439999999998</v>
      </c>
      <c r="AB315">
        <v>44</v>
      </c>
      <c r="AC315">
        <v>0.597099999999954</v>
      </c>
      <c r="AD315">
        <v>-0.17821699999999899</v>
      </c>
      <c r="AE315">
        <v>-6.9200000000023396E-2</v>
      </c>
      <c r="AF315">
        <v>6.5860260855172395E-2</v>
      </c>
      <c r="AG315">
        <v>-0.17821699999999899</v>
      </c>
      <c r="AH315">
        <v>0.54858781343841601</v>
      </c>
      <c r="AI315">
        <v>107.87704927482601</v>
      </c>
      <c r="AJ315">
        <v>83.154166311077503</v>
      </c>
      <c r="AK315">
        <v>0.58055788867437996</v>
      </c>
      <c r="AL315">
        <v>77.165396900230405</v>
      </c>
      <c r="AM315">
        <v>86.484601915542697</v>
      </c>
      <c r="AN315">
        <v>1.0000000587370601</v>
      </c>
    </row>
    <row r="316" spans="1:40" x14ac:dyDescent="0.25">
      <c r="A316" t="str">
        <f>"20190303170948300"</f>
        <v>20190303170948300</v>
      </c>
      <c r="B316" t="str">
        <f>"1551604188290909"</f>
        <v>1551604188290909</v>
      </c>
      <c r="C316" t="s">
        <v>40</v>
      </c>
      <c r="D316">
        <v>4.8142399999999999</v>
      </c>
      <c r="E316">
        <v>0.50877229999999996</v>
      </c>
      <c r="F316" t="s">
        <v>43</v>
      </c>
      <c r="G316">
        <v>-372.1035</v>
      </c>
      <c r="H316">
        <v>0.91770830000000003</v>
      </c>
      <c r="I316">
        <v>367.5043</v>
      </c>
      <c r="J316">
        <v>-372.68889999999999</v>
      </c>
      <c r="K316">
        <v>1.1208880000000001</v>
      </c>
      <c r="L316">
        <v>367.5829</v>
      </c>
      <c r="M316">
        <v>0.99988650000000001</v>
      </c>
      <c r="N316">
        <v>-1.450274E-2</v>
      </c>
      <c r="O316">
        <v>4.1133659999999898E-3</v>
      </c>
      <c r="P316">
        <v>0.97658780000000001</v>
      </c>
      <c r="Q316">
        <v>0.2079124</v>
      </c>
      <c r="R316">
        <v>-5.5216710000000002E-2</v>
      </c>
      <c r="S316">
        <v>3.1989749999999999</v>
      </c>
      <c r="T316">
        <v>-0.66328949999999998</v>
      </c>
      <c r="U316">
        <v>-0.2511292</v>
      </c>
      <c r="V316">
        <v>5.9234210000000002E-2</v>
      </c>
      <c r="W316">
        <v>0.22204989999999999</v>
      </c>
      <c r="X316">
        <v>0.97323440000000006</v>
      </c>
      <c r="Y316">
        <v>8.0464160000000007E-2</v>
      </c>
      <c r="Z316">
        <v>-9.616477E-3</v>
      </c>
      <c r="AA316">
        <v>0.99671109999999896</v>
      </c>
      <c r="AB316">
        <v>44</v>
      </c>
      <c r="AC316">
        <v>0.58539999999999204</v>
      </c>
      <c r="AD316">
        <v>-0.20317969999999899</v>
      </c>
      <c r="AE316">
        <v>-7.8599999999994397E-2</v>
      </c>
      <c r="AF316">
        <v>7.2436166078460595E-2</v>
      </c>
      <c r="AG316">
        <v>-0.20317969999999899</v>
      </c>
      <c r="AH316">
        <v>0.52316543034919905</v>
      </c>
      <c r="AI316">
        <v>111.041542953346</v>
      </c>
      <c r="AJ316">
        <v>82.117088952717296</v>
      </c>
      <c r="AK316">
        <v>0.56588961481962097</v>
      </c>
      <c r="AL316">
        <v>77.170538235878595</v>
      </c>
      <c r="AM316">
        <v>86.517088948392797</v>
      </c>
      <c r="AN316">
        <v>1.00000002353384</v>
      </c>
    </row>
    <row r="317" spans="1:40" x14ac:dyDescent="0.25">
      <c r="A317" t="str">
        <f>"20190303170948322"</f>
        <v>20190303170948322</v>
      </c>
      <c r="B317" t="str">
        <f>"1551604188310429"</f>
        <v>1551604188310429</v>
      </c>
      <c r="C317" t="s">
        <v>40</v>
      </c>
      <c r="D317">
        <v>4.7519960000000001</v>
      </c>
      <c r="E317">
        <v>0.50522219999999995</v>
      </c>
      <c r="F317" t="s">
        <v>43</v>
      </c>
      <c r="G317">
        <v>-371.68459999999999</v>
      </c>
      <c r="H317">
        <v>0.96760809999999997</v>
      </c>
      <c r="I317">
        <v>367.52839999999998</v>
      </c>
      <c r="J317">
        <v>-372.26850000000002</v>
      </c>
      <c r="K317">
        <v>1.120897</v>
      </c>
      <c r="L317">
        <v>367.5847</v>
      </c>
      <c r="M317">
        <v>0.99988630000000001</v>
      </c>
      <c r="N317">
        <v>-1.4505199999999999E-2</v>
      </c>
      <c r="O317">
        <v>4.125142E-3</v>
      </c>
      <c r="P317">
        <v>0.97650919999999997</v>
      </c>
      <c r="Q317">
        <v>0.20839009999999999</v>
      </c>
      <c r="R317">
        <v>-5.4805329999999999E-2</v>
      </c>
      <c r="S317">
        <v>3.1651609999999999</v>
      </c>
      <c r="T317">
        <v>-0.48327490000000001</v>
      </c>
      <c r="U317">
        <v>-0.1708374</v>
      </c>
      <c r="V317">
        <v>5.8834299999999999E-2</v>
      </c>
      <c r="W317">
        <v>0.2225288</v>
      </c>
      <c r="X317">
        <v>0.97314920000000005</v>
      </c>
      <c r="Y317">
        <v>5.7250570000000001E-2</v>
      </c>
      <c r="Z317">
        <v>-5.3268469999999896E-3</v>
      </c>
      <c r="AA317">
        <v>0.99834560000000006</v>
      </c>
      <c r="AB317">
        <v>44</v>
      </c>
      <c r="AC317">
        <v>0.58390000000002795</v>
      </c>
      <c r="AD317">
        <v>-0.15328890000000001</v>
      </c>
      <c r="AE317">
        <v>-5.63000000000215E-2</v>
      </c>
      <c r="AF317">
        <v>5.49557870674433E-2</v>
      </c>
      <c r="AG317">
        <v>-0.15328890000000001</v>
      </c>
      <c r="AH317">
        <v>0.54635489975065499</v>
      </c>
      <c r="AI317">
        <v>105.597494766363</v>
      </c>
      <c r="AJ317">
        <v>84.256152076576896</v>
      </c>
      <c r="AK317">
        <v>0.57010639522545303</v>
      </c>
      <c r="AL317">
        <v>77.142394253802493</v>
      </c>
      <c r="AM317">
        <v>86.540243804695805</v>
      </c>
      <c r="AN317">
        <v>0.99999995357328397</v>
      </c>
    </row>
    <row r="318" spans="1:40" x14ac:dyDescent="0.25">
      <c r="A318" t="str">
        <f>"20190303170948334"</f>
        <v>20190303170948334</v>
      </c>
      <c r="B318" t="str">
        <f>"1551604188330925"</f>
        <v>1551604188330925</v>
      </c>
      <c r="C318" t="s">
        <v>40</v>
      </c>
      <c r="D318">
        <v>4.8033839999999897</v>
      </c>
      <c r="E318">
        <v>0.50368359999999901</v>
      </c>
      <c r="F318" t="s">
        <v>43</v>
      </c>
      <c r="G318">
        <v>-371.26499999999999</v>
      </c>
      <c r="H318">
        <v>1.0187550000000001</v>
      </c>
      <c r="I318">
        <v>367.53629999999998</v>
      </c>
      <c r="J318">
        <v>-372.0179</v>
      </c>
      <c r="K318">
        <v>1.1209</v>
      </c>
      <c r="L318">
        <v>367.58580000000001</v>
      </c>
      <c r="M318">
        <v>0.99988630000000001</v>
      </c>
      <c r="N318">
        <v>-1.450633E-2</v>
      </c>
      <c r="O318">
        <v>4.1323430000000001E-3</v>
      </c>
      <c r="P318">
        <v>0.97649030000000003</v>
      </c>
      <c r="Q318">
        <v>0.2085207</v>
      </c>
      <c r="R318">
        <v>-5.464343E-2</v>
      </c>
      <c r="S318">
        <v>3.1318049999999999</v>
      </c>
      <c r="T318">
        <v>-0.31899379999999999</v>
      </c>
      <c r="U318">
        <v>-0.15020749999999999</v>
      </c>
      <c r="V318">
        <v>5.8679469999999997E-2</v>
      </c>
      <c r="W318">
        <v>0.22266079999999999</v>
      </c>
      <c r="X318">
        <v>0.9731284</v>
      </c>
      <c r="Y318">
        <v>5.1713559999999999E-2</v>
      </c>
      <c r="Z318">
        <v>-3.3616150000000001E-3</v>
      </c>
      <c r="AA318">
        <v>0.99865630000000005</v>
      </c>
      <c r="AB318">
        <v>44</v>
      </c>
      <c r="AC318">
        <v>0.752900000000011</v>
      </c>
      <c r="AD318">
        <v>-0.102145</v>
      </c>
      <c r="AE318">
        <v>-4.9500000000023102E-2</v>
      </c>
      <c r="AF318">
        <v>5.1664304601421997E-2</v>
      </c>
      <c r="AG318">
        <v>-0.102145</v>
      </c>
      <c r="AH318">
        <v>0.739142880424566</v>
      </c>
      <c r="AI318">
        <v>97.849178510965501</v>
      </c>
      <c r="AJ318">
        <v>86.001666258814296</v>
      </c>
      <c r="AK318">
        <v>0.74795387496641297</v>
      </c>
      <c r="AL318">
        <v>77.134637153055493</v>
      </c>
      <c r="AM318">
        <v>86.549252989675907</v>
      </c>
      <c r="AN318">
        <v>0.99999999747134005</v>
      </c>
    </row>
    <row r="319" spans="1:40" x14ac:dyDescent="0.25">
      <c r="A319" t="str">
        <f>"20190303170948356"</f>
        <v>20190303170948356</v>
      </c>
      <c r="B319" t="str">
        <f>"1551604188350445"</f>
        <v>1551604188350445</v>
      </c>
      <c r="C319" t="s">
        <v>40</v>
      </c>
      <c r="D319">
        <v>4.8512639999999996</v>
      </c>
      <c r="E319">
        <v>0.50338969999999905</v>
      </c>
      <c r="F319" t="s">
        <v>42</v>
      </c>
      <c r="G319">
        <v>-355.03410000000002</v>
      </c>
      <c r="H319" s="1">
        <v>-2.612755E-6</v>
      </c>
      <c r="I319">
        <v>366.79719999999998</v>
      </c>
      <c r="J319">
        <v>-371.60469999999998</v>
      </c>
      <c r="K319">
        <v>1.120906</v>
      </c>
      <c r="L319">
        <v>367.58749999999998</v>
      </c>
      <c r="M319">
        <v>0.99988619999999995</v>
      </c>
      <c r="N319">
        <v>-1.450768E-2</v>
      </c>
      <c r="O319">
        <v>4.1441280000000004E-3</v>
      </c>
      <c r="P319">
        <v>0.97665020000000002</v>
      </c>
      <c r="Q319">
        <v>0.2080041</v>
      </c>
      <c r="R319">
        <v>-5.3747299999999998E-2</v>
      </c>
      <c r="S319">
        <v>3.10791</v>
      </c>
      <c r="T319">
        <v>-0.20511480000000001</v>
      </c>
      <c r="U319">
        <v>-0.1442871</v>
      </c>
      <c r="V319">
        <v>5.7795579999999999E-2</v>
      </c>
      <c r="W319">
        <v>0.2221475</v>
      </c>
      <c r="X319">
        <v>0.97329860000000001</v>
      </c>
      <c r="Y319">
        <v>5.0376549999999999E-2</v>
      </c>
      <c r="Z319">
        <v>-2.2388180000000001E-3</v>
      </c>
      <c r="AA319">
        <v>0.99872780000000005</v>
      </c>
      <c r="AB319">
        <v>44</v>
      </c>
      <c r="AC319">
        <v>16.570599999999899</v>
      </c>
      <c r="AD319">
        <v>-1.1209086127550001</v>
      </c>
      <c r="AE319">
        <v>-0.790300000000002</v>
      </c>
      <c r="AF319">
        <v>0.85506741528963004</v>
      </c>
      <c r="AG319">
        <v>-1.1209086127550001</v>
      </c>
      <c r="AH319">
        <v>16.491890434680599</v>
      </c>
      <c r="AI319">
        <v>93.883057491054899</v>
      </c>
      <c r="AJ319">
        <v>87.032000348384997</v>
      </c>
      <c r="AK319">
        <v>16.5520399501798</v>
      </c>
      <c r="AL319">
        <v>77.164802653101006</v>
      </c>
      <c r="AM319">
        <v>86.601701840395407</v>
      </c>
      <c r="AN319">
        <v>1.0000000027928699</v>
      </c>
    </row>
    <row r="320" spans="1:40" x14ac:dyDescent="0.25">
      <c r="A320" t="str">
        <f>"20190303170948379"</f>
        <v>20190303170948379</v>
      </c>
      <c r="B320" t="str">
        <f>"1551604188370941"</f>
        <v>1551604188370941</v>
      </c>
      <c r="C320" t="s">
        <v>40</v>
      </c>
      <c r="D320">
        <v>4.6307280000000004</v>
      </c>
      <c r="E320">
        <v>0.50294919999999999</v>
      </c>
      <c r="F320" t="s">
        <v>42</v>
      </c>
      <c r="G320">
        <v>-347.83460000000002</v>
      </c>
      <c r="H320" s="1">
        <v>-1.647889E-6</v>
      </c>
      <c r="I320">
        <v>366.48899999999998</v>
      </c>
      <c r="J320">
        <v>-371.13240000000002</v>
      </c>
      <c r="K320">
        <v>1.120906</v>
      </c>
      <c r="L320">
        <v>367.58949999999999</v>
      </c>
      <c r="M320">
        <v>0.99988619999999995</v>
      </c>
      <c r="N320">
        <v>-1.450862E-2</v>
      </c>
      <c r="O320">
        <v>4.1572329999999998E-3</v>
      </c>
      <c r="P320">
        <v>0.97673600000000005</v>
      </c>
      <c r="Q320">
        <v>0.2077891</v>
      </c>
      <c r="R320">
        <v>-5.301517E-2</v>
      </c>
      <c r="S320">
        <v>3.0949399999999998</v>
      </c>
      <c r="T320">
        <v>-0.14594579999999999</v>
      </c>
      <c r="U320">
        <v>-0.14303589999999999</v>
      </c>
      <c r="V320">
        <v>5.7076630000000003E-2</v>
      </c>
      <c r="W320">
        <v>0.22193460000000001</v>
      </c>
      <c r="X320">
        <v>0.97338959999999997</v>
      </c>
      <c r="Y320">
        <v>5.0244480000000001E-2</v>
      </c>
      <c r="Z320">
        <v>-1.683918E-3</v>
      </c>
      <c r="AA320">
        <v>0.9987355</v>
      </c>
      <c r="AB320">
        <v>44</v>
      </c>
      <c r="AC320">
        <v>23.297799999999899</v>
      </c>
      <c r="AD320">
        <v>-1.1209076478890001</v>
      </c>
      <c r="AE320">
        <v>-1.1004999999999501</v>
      </c>
      <c r="AF320">
        <v>1.1945959858245601</v>
      </c>
      <c r="AG320">
        <v>-1.1209076478890001</v>
      </c>
      <c r="AH320">
        <v>23.2393488841827</v>
      </c>
      <c r="AI320">
        <v>92.757781917936498</v>
      </c>
      <c r="AJ320">
        <v>87.057356558055702</v>
      </c>
      <c r="AK320">
        <v>23.297013329721199</v>
      </c>
      <c r="AL320">
        <v>77.177313327346894</v>
      </c>
      <c r="AM320">
        <v>86.644190885143402</v>
      </c>
      <c r="AN320">
        <v>1.0000000108787299</v>
      </c>
    </row>
    <row r="321" spans="1:40" x14ac:dyDescent="0.25">
      <c r="A321" t="str">
        <f>"20190303170948401"</f>
        <v>20190303170948401</v>
      </c>
      <c r="B321" t="str">
        <f>"1551604188390461"</f>
        <v>1551604188390461</v>
      </c>
      <c r="C321" t="s">
        <v>40</v>
      </c>
      <c r="D321">
        <v>4.7928179999999996</v>
      </c>
      <c r="E321">
        <v>0.50289209999999995</v>
      </c>
      <c r="F321" t="s">
        <v>42</v>
      </c>
      <c r="G321">
        <v>-340.98320000000001</v>
      </c>
      <c r="H321" s="1">
        <v>-4.8445879999999998E-6</v>
      </c>
      <c r="I321">
        <v>366.22379999999998</v>
      </c>
      <c r="J321">
        <v>-370.71730000000002</v>
      </c>
      <c r="K321">
        <v>1.1209100000000001</v>
      </c>
      <c r="L321">
        <v>367.59120000000001</v>
      </c>
      <c r="M321">
        <v>0.99988600000000005</v>
      </c>
      <c r="N321">
        <v>-1.450918E-2</v>
      </c>
      <c r="O321">
        <v>4.1686750000000002E-3</v>
      </c>
      <c r="P321">
        <v>0.97672870000000001</v>
      </c>
      <c r="Q321">
        <v>0.20791809999999999</v>
      </c>
      <c r="R321">
        <v>-5.2639650000000003E-2</v>
      </c>
      <c r="S321">
        <v>3.0882869999999998</v>
      </c>
      <c r="T321">
        <v>-0.1148187</v>
      </c>
      <c r="U321">
        <v>-0.13989260000000001</v>
      </c>
      <c r="V321">
        <v>5.6712409999999998E-2</v>
      </c>
      <c r="W321">
        <v>0.22206390000000001</v>
      </c>
      <c r="X321">
        <v>0.97338139999999995</v>
      </c>
      <c r="Y321">
        <v>4.9367420000000002E-2</v>
      </c>
      <c r="Z321">
        <v>-1.369852E-3</v>
      </c>
      <c r="AA321">
        <v>0.9987798</v>
      </c>
      <c r="AB321">
        <v>44</v>
      </c>
      <c r="AC321">
        <v>29.734100000000002</v>
      </c>
      <c r="AD321">
        <v>-1.1209148445879999</v>
      </c>
      <c r="AE321">
        <v>-1.3674000000000299</v>
      </c>
      <c r="AF321">
        <v>1.48924102269873</v>
      </c>
      <c r="AG321">
        <v>-1.1209148445879999</v>
      </c>
      <c r="AH321">
        <v>29.6860418704422</v>
      </c>
      <c r="AI321">
        <v>92.159689937685499</v>
      </c>
      <c r="AJ321">
        <v>87.128086205240294</v>
      </c>
      <c r="AK321">
        <v>29.7445015229059</v>
      </c>
      <c r="AL321">
        <v>77.169715398662902</v>
      </c>
      <c r="AM321">
        <v>86.665528627190596</v>
      </c>
      <c r="AN321">
        <v>1.0000000114985801</v>
      </c>
    </row>
    <row r="322" spans="1:40" x14ac:dyDescent="0.25">
      <c r="A322" t="str">
        <f>"20190303170948413"</f>
        <v>20190303170948413</v>
      </c>
      <c r="B322" t="str">
        <f>"1551604188401197"</f>
        <v>1551604188401197</v>
      </c>
      <c r="C322" t="s">
        <v>40</v>
      </c>
      <c r="D322">
        <v>4.6283450000000004</v>
      </c>
      <c r="E322">
        <v>0.50274350000000001</v>
      </c>
      <c r="F322" t="s">
        <v>42</v>
      </c>
      <c r="G322">
        <v>-333.27319999999997</v>
      </c>
      <c r="H322" s="1">
        <v>-3.5276599999999901E-6</v>
      </c>
      <c r="I322">
        <v>365.89800000000002</v>
      </c>
      <c r="J322">
        <v>-370.46039999999999</v>
      </c>
      <c r="K322">
        <v>1.1209129999999901</v>
      </c>
      <c r="L322">
        <v>367.59230000000002</v>
      </c>
      <c r="M322">
        <v>0.9998861</v>
      </c>
      <c r="N322">
        <v>-1.450923E-2</v>
      </c>
      <c r="O322">
        <v>4.1752359999999997E-3</v>
      </c>
      <c r="P322">
        <v>0.97664300000000004</v>
      </c>
      <c r="Q322">
        <v>0.20837910000000001</v>
      </c>
      <c r="R322">
        <v>-5.2408469999999999E-2</v>
      </c>
      <c r="S322">
        <v>3.083618</v>
      </c>
      <c r="T322">
        <v>-9.2310069999999994E-2</v>
      </c>
      <c r="U322">
        <v>-0.1394348</v>
      </c>
      <c r="V322">
        <v>5.6486960000000003E-2</v>
      </c>
      <c r="W322">
        <v>0.2225241</v>
      </c>
      <c r="X322">
        <v>0.97328939999999997</v>
      </c>
      <c r="Y322">
        <v>4.9309529999999997E-2</v>
      </c>
      <c r="Z322">
        <v>-1.1599119999999999E-3</v>
      </c>
      <c r="AA322">
        <v>0.99878290000000003</v>
      </c>
      <c r="AB322">
        <v>44</v>
      </c>
      <c r="AC322">
        <v>37.187199999999997</v>
      </c>
      <c r="AD322">
        <v>-1.1209165276599899</v>
      </c>
      <c r="AE322">
        <v>-1.6942999999999899</v>
      </c>
      <c r="AF322">
        <v>1.8478914325990901</v>
      </c>
      <c r="AG322">
        <v>-1.1209165276599899</v>
      </c>
      <c r="AH322">
        <v>37.146120919635401</v>
      </c>
      <c r="AI322">
        <v>91.726292084284594</v>
      </c>
      <c r="AJ322">
        <v>87.152080249315105</v>
      </c>
      <c r="AK322">
        <v>37.208943225854</v>
      </c>
      <c r="AL322">
        <v>77.142671128330704</v>
      </c>
      <c r="AM322">
        <v>86.678441249230701</v>
      </c>
      <c r="AN322">
        <v>1.0000000039415999</v>
      </c>
    </row>
    <row r="323" spans="1:40" x14ac:dyDescent="0.25">
      <c r="A323" t="str">
        <f>"20190303170948429"</f>
        <v>20190303170948429</v>
      </c>
      <c r="B323" t="str">
        <f>"1551604188420718"</f>
        <v>1551604188420718</v>
      </c>
      <c r="C323" t="s">
        <v>40</v>
      </c>
      <c r="D323">
        <v>4.6213839999999999</v>
      </c>
      <c r="E323">
        <v>0.50279969999999996</v>
      </c>
      <c r="F323" t="s">
        <v>42</v>
      </c>
      <c r="G323">
        <v>-328.92619999999999</v>
      </c>
      <c r="H323" s="1">
        <v>-1.384981E-6</v>
      </c>
      <c r="I323">
        <v>365.7321</v>
      </c>
      <c r="J323">
        <v>-370.16210000000001</v>
      </c>
      <c r="K323">
        <v>1.120914</v>
      </c>
      <c r="L323">
        <v>367.59359999999998</v>
      </c>
      <c r="M323">
        <v>0.99988600000000005</v>
      </c>
      <c r="N323">
        <v>-1.4508979999999999E-2</v>
      </c>
      <c r="O323">
        <v>4.1831669999999998E-3</v>
      </c>
      <c r="P323">
        <v>0.97655400000000003</v>
      </c>
      <c r="Q323">
        <v>0.20880170000000001</v>
      </c>
      <c r="R323">
        <v>-5.2382310000000001E-2</v>
      </c>
      <c r="S323">
        <v>3.0820919999999998</v>
      </c>
      <c r="T323">
        <v>-8.3178520000000006E-2</v>
      </c>
      <c r="U323">
        <v>-0.13803099999999999</v>
      </c>
      <c r="V323">
        <v>5.646818E-2</v>
      </c>
      <c r="W323">
        <v>0.22294530000000001</v>
      </c>
      <c r="X323">
        <v>0.97319409999999895</v>
      </c>
      <c r="Y323">
        <v>4.889135E-2</v>
      </c>
      <c r="Z323">
        <v>-1.066418E-3</v>
      </c>
      <c r="AA323">
        <v>0.99880360000000001</v>
      </c>
      <c r="AB323">
        <v>44</v>
      </c>
      <c r="AC323">
        <v>41.235900000000001</v>
      </c>
      <c r="AD323">
        <v>-1.1209153849810001</v>
      </c>
      <c r="AE323">
        <v>-1.86149999999997</v>
      </c>
      <c r="AF323">
        <v>2.0324997316470101</v>
      </c>
      <c r="AG323">
        <v>-1.1209153849810001</v>
      </c>
      <c r="AH323">
        <v>41.197371883884202</v>
      </c>
      <c r="AI323">
        <v>91.556650731324893</v>
      </c>
      <c r="AJ323">
        <v>87.175564705443406</v>
      </c>
      <c r="AK323">
        <v>41.262706607764898</v>
      </c>
      <c r="AL323">
        <v>77.117916350810503</v>
      </c>
      <c r="AM323">
        <v>86.679218655653699</v>
      </c>
      <c r="AN323">
        <v>1.0000000092096999</v>
      </c>
    </row>
    <row r="324" spans="1:40" x14ac:dyDescent="0.25">
      <c r="A324" t="str">
        <f>"20190303170948447"</f>
        <v>20190303170948447</v>
      </c>
      <c r="B324" t="str">
        <f>"1551604188441213"</f>
        <v>1551604188441213</v>
      </c>
      <c r="C324" t="s">
        <v>40</v>
      </c>
      <c r="D324">
        <v>4.7869429999999999</v>
      </c>
      <c r="E324">
        <v>0.50274890000000005</v>
      </c>
      <c r="F324" t="s">
        <v>42</v>
      </c>
      <c r="G324">
        <v>-320.23570000000001</v>
      </c>
      <c r="H324" s="1">
        <v>-4.9311909999999999E-6</v>
      </c>
      <c r="I324">
        <v>365.33179999999999</v>
      </c>
      <c r="J324">
        <v>-369.83199999999999</v>
      </c>
      <c r="K324">
        <v>1.1209119999999999</v>
      </c>
      <c r="L324">
        <v>367.5949</v>
      </c>
      <c r="M324">
        <v>0.99988600000000005</v>
      </c>
      <c r="N324">
        <v>-1.4508490000000001E-2</v>
      </c>
      <c r="O324">
        <v>4.1917550000000001E-3</v>
      </c>
      <c r="P324">
        <v>0.97653800000000002</v>
      </c>
      <c r="Q324">
        <v>0.20901239999999999</v>
      </c>
      <c r="R324">
        <v>-5.1841129999999999E-2</v>
      </c>
      <c r="S324">
        <v>3.0793149999999998</v>
      </c>
      <c r="T324">
        <v>-6.9134950000000001E-2</v>
      </c>
      <c r="U324">
        <v>-0.139495799999999</v>
      </c>
      <c r="V324">
        <v>5.5935119999999998E-2</v>
      </c>
      <c r="W324">
        <v>0.22315489999999999</v>
      </c>
      <c r="X324">
        <v>0.97317679999999995</v>
      </c>
      <c r="Y324">
        <v>4.9421420000000001E-2</v>
      </c>
      <c r="Z324">
        <v>-9.4649670000000003E-4</v>
      </c>
      <c r="AA324">
        <v>0.99877760000000004</v>
      </c>
      <c r="AB324">
        <v>44</v>
      </c>
      <c r="AC324">
        <v>49.5962999999999</v>
      </c>
      <c r="AD324">
        <v>-1.1209169311910001</v>
      </c>
      <c r="AE324">
        <v>-2.2631000000000001</v>
      </c>
      <c r="AF324">
        <v>2.4697386139901898</v>
      </c>
      <c r="AG324">
        <v>-1.1209169311910001</v>
      </c>
      <c r="AH324">
        <v>49.561113758868601</v>
      </c>
      <c r="AI324">
        <v>91.294024775971707</v>
      </c>
      <c r="AJ324">
        <v>87.147185939447695</v>
      </c>
      <c r="AK324">
        <v>49.635270328744802</v>
      </c>
      <c r="AL324">
        <v>77.105596215909699</v>
      </c>
      <c r="AM324">
        <v>86.710439337093305</v>
      </c>
      <c r="AN324">
        <v>0.99999996555083104</v>
      </c>
    </row>
    <row r="325" spans="1:40" x14ac:dyDescent="0.25">
      <c r="A325" t="str">
        <f>"20190303170948469"</f>
        <v>20190303170948469</v>
      </c>
      <c r="B325" t="str">
        <f>"1551604188461239"</f>
        <v>1551604188461239</v>
      </c>
      <c r="C325" t="s">
        <v>40</v>
      </c>
      <c r="D325">
        <v>4.7861560000000001</v>
      </c>
      <c r="E325">
        <v>0.50285100000000005</v>
      </c>
      <c r="F325" t="s">
        <v>41</v>
      </c>
      <c r="G325">
        <v>-308.76190000000003</v>
      </c>
      <c r="H325">
        <v>-0.05</v>
      </c>
      <c r="I325">
        <v>364.85750000000002</v>
      </c>
      <c r="J325">
        <v>-369.36880000000002</v>
      </c>
      <c r="K325">
        <v>1.1209129999999901</v>
      </c>
      <c r="L325">
        <v>367.59690000000001</v>
      </c>
      <c r="M325">
        <v>0.99988589999999999</v>
      </c>
      <c r="N325">
        <v>-1.45075E-2</v>
      </c>
      <c r="O325">
        <v>4.2038620000000001E-3</v>
      </c>
      <c r="P325">
        <v>0.97658710000000004</v>
      </c>
      <c r="Q325">
        <v>0.20888429999999999</v>
      </c>
      <c r="R325">
        <v>-5.1430749999999997E-2</v>
      </c>
      <c r="S325">
        <v>3.0773929999999998</v>
      </c>
      <c r="T325">
        <v>-5.9003590000000002E-2</v>
      </c>
      <c r="U325">
        <v>-0.13793949999999999</v>
      </c>
      <c r="V325">
        <v>5.5536839999999997E-2</v>
      </c>
      <c r="W325">
        <v>0.22302659999999999</v>
      </c>
      <c r="X325">
        <v>0.97322909999999996</v>
      </c>
      <c r="Y325">
        <v>4.896238E-2</v>
      </c>
      <c r="Z325">
        <v>-8.4411839999999996E-4</v>
      </c>
      <c r="AA325">
        <v>0.99880029999999997</v>
      </c>
      <c r="AB325">
        <v>44</v>
      </c>
      <c r="AC325">
        <v>60.606900000000003</v>
      </c>
      <c r="AD325">
        <v>-1.1709130000000001</v>
      </c>
      <c r="AE325">
        <v>-2.7393999999999799</v>
      </c>
      <c r="AF325">
        <v>2.9930707551264901</v>
      </c>
      <c r="AG325">
        <v>-1.1709130000000001</v>
      </c>
      <c r="AH325">
        <v>60.572284291288597</v>
      </c>
      <c r="AI325">
        <v>91.106088299241193</v>
      </c>
      <c r="AJ325">
        <v>87.171132734883997</v>
      </c>
      <c r="AK325">
        <v>60.657490337661102</v>
      </c>
      <c r="AL325">
        <v>77.113138333159</v>
      </c>
      <c r="AM325">
        <v>86.733986547571803</v>
      </c>
      <c r="AN325">
        <v>1.0000000429957701</v>
      </c>
    </row>
    <row r="326" spans="1:40" x14ac:dyDescent="0.25">
      <c r="A326" t="str">
        <f>"20190303170948490"</f>
        <v>20190303170948490</v>
      </c>
      <c r="B326" t="str">
        <f>"1551604188480759"</f>
        <v>1551604188480759</v>
      </c>
      <c r="C326" t="s">
        <v>40</v>
      </c>
      <c r="D326">
        <v>4.7247560000000002</v>
      </c>
      <c r="E326">
        <v>0.50282380000000004</v>
      </c>
      <c r="F326" t="s">
        <v>41</v>
      </c>
      <c r="G326">
        <v>-301.03820000000002</v>
      </c>
      <c r="H326">
        <v>-0.05</v>
      </c>
      <c r="I326">
        <v>364.51560000000001</v>
      </c>
      <c r="J326">
        <v>-368.95350000000002</v>
      </c>
      <c r="K326">
        <v>1.1209100000000001</v>
      </c>
      <c r="L326">
        <v>367.59859999999998</v>
      </c>
      <c r="M326">
        <v>0.99988589999999999</v>
      </c>
      <c r="N326">
        <v>-1.4506389999999999E-2</v>
      </c>
      <c r="O326">
        <v>4.2149550000000003E-3</v>
      </c>
      <c r="P326">
        <v>0.97672680000000001</v>
      </c>
      <c r="Q326">
        <v>0.20834259999999999</v>
      </c>
      <c r="R326">
        <v>-5.0972959999999998E-2</v>
      </c>
      <c r="S326">
        <v>3.0758670000000001</v>
      </c>
      <c r="T326">
        <v>-5.2708030000000003E-2</v>
      </c>
      <c r="U326">
        <v>-0.138702399999999</v>
      </c>
      <c r="V326">
        <v>5.5090569999999998E-2</v>
      </c>
      <c r="W326">
        <v>0.2224865</v>
      </c>
      <c r="X326">
        <v>0.97337810000000002</v>
      </c>
      <c r="Y326">
        <v>4.924535E-2</v>
      </c>
      <c r="Z326">
        <v>-7.9019660000000005E-4</v>
      </c>
      <c r="AA326">
        <v>0.99878639999999996</v>
      </c>
      <c r="AB326">
        <v>44</v>
      </c>
      <c r="AC326">
        <v>67.915300000000002</v>
      </c>
      <c r="AD326">
        <v>-1.1709099999999999</v>
      </c>
      <c r="AE326">
        <v>-3.08299999999997</v>
      </c>
      <c r="AF326">
        <v>3.3682635295046</v>
      </c>
      <c r="AG326">
        <v>-1.1709099999999999</v>
      </c>
      <c r="AH326">
        <v>67.881564677170402</v>
      </c>
      <c r="AI326">
        <v>90.987000464019204</v>
      </c>
      <c r="AJ326">
        <v>87.159329880710601</v>
      </c>
      <c r="AK326">
        <v>67.975164968193795</v>
      </c>
      <c r="AL326">
        <v>77.144881702069895</v>
      </c>
      <c r="AM326">
        <v>86.760669565781896</v>
      </c>
      <c r="AN326">
        <v>1.0000000695723901</v>
      </c>
    </row>
    <row r="327" spans="1:40" x14ac:dyDescent="0.25">
      <c r="A327" t="str">
        <f>"20190303170948511"</f>
        <v>20190303170948511</v>
      </c>
      <c r="B327" t="str">
        <f>"1551604188501255"</f>
        <v>1551604188501255</v>
      </c>
      <c r="C327" t="s">
        <v>40</v>
      </c>
      <c r="D327">
        <v>4.8412839999999999</v>
      </c>
      <c r="E327">
        <v>0.50284580000000001</v>
      </c>
      <c r="F327" t="s">
        <v>41</v>
      </c>
      <c r="G327">
        <v>-295.34699999999998</v>
      </c>
      <c r="H327">
        <v>-0.05</v>
      </c>
      <c r="I327">
        <v>364.30450000000002</v>
      </c>
      <c r="J327">
        <v>-368.54509999999999</v>
      </c>
      <c r="K327">
        <v>1.1209169999999999</v>
      </c>
      <c r="L327">
        <v>367.60039999999998</v>
      </c>
      <c r="M327">
        <v>0.99988600000000005</v>
      </c>
      <c r="N327">
        <v>-1.450512E-2</v>
      </c>
      <c r="O327">
        <v>4.2258690000000002E-3</v>
      </c>
      <c r="P327">
        <v>0.97683030000000004</v>
      </c>
      <c r="Q327">
        <v>0.2078895</v>
      </c>
      <c r="R327">
        <v>-5.0842440000000003E-2</v>
      </c>
      <c r="S327">
        <v>3.0747680000000002</v>
      </c>
      <c r="T327">
        <v>-4.8912530000000003E-2</v>
      </c>
      <c r="U327">
        <v>-0.137603799999999</v>
      </c>
      <c r="V327">
        <v>5.4971190000000003E-2</v>
      </c>
      <c r="W327">
        <v>0.2220336</v>
      </c>
      <c r="X327">
        <v>0.97348820000000003</v>
      </c>
      <c r="Y327">
        <v>4.8917679999999998E-2</v>
      </c>
      <c r="Z327">
        <v>-7.498022E-4</v>
      </c>
      <c r="AA327">
        <v>0.99880250000000004</v>
      </c>
      <c r="AB327">
        <v>44</v>
      </c>
      <c r="AC327">
        <v>73.198099999999997</v>
      </c>
      <c r="AD327">
        <v>-1.170917</v>
      </c>
      <c r="AE327">
        <v>-3.2958999999999601</v>
      </c>
      <c r="AF327">
        <v>3.6043082117698102</v>
      </c>
      <c r="AG327">
        <v>-1.170917</v>
      </c>
      <c r="AH327">
        <v>73.164832532544693</v>
      </c>
      <c r="AI327">
        <v>90.915762881957207</v>
      </c>
      <c r="AJ327">
        <v>87.179726541140994</v>
      </c>
      <c r="AK327">
        <v>73.2629156109804</v>
      </c>
      <c r="AL327">
        <v>77.171495935023401</v>
      </c>
      <c r="AM327">
        <v>86.768039016075605</v>
      </c>
      <c r="AN327">
        <v>1.0000000133991001</v>
      </c>
    </row>
    <row r="328" spans="1:40" x14ac:dyDescent="0.25">
      <c r="A328" t="str">
        <f>"20190303170948526"</f>
        <v>20190303170948526</v>
      </c>
      <c r="B328" t="str">
        <f>"1551604188520776"</f>
        <v>1551604188520776</v>
      </c>
      <c r="C328" t="s">
        <v>40</v>
      </c>
      <c r="D328">
        <v>4.8406279999999997</v>
      </c>
      <c r="E328">
        <v>0.50287890000000002</v>
      </c>
      <c r="F328" t="s">
        <v>41</v>
      </c>
      <c r="G328">
        <v>-289.2072</v>
      </c>
      <c r="H328">
        <v>-0.05</v>
      </c>
      <c r="I328">
        <v>364.03590000000003</v>
      </c>
      <c r="J328">
        <v>-368.25619999999998</v>
      </c>
      <c r="K328">
        <v>1.120919</v>
      </c>
      <c r="L328">
        <v>367.60160000000002</v>
      </c>
      <c r="M328">
        <v>0.99988589999999999</v>
      </c>
      <c r="N328">
        <v>-1.450418E-2</v>
      </c>
      <c r="O328">
        <v>4.2339810000000004E-3</v>
      </c>
      <c r="P328">
        <v>0.97688220000000003</v>
      </c>
      <c r="Q328">
        <v>0.20774319999999999</v>
      </c>
      <c r="R328">
        <v>-5.0439829999999998E-2</v>
      </c>
      <c r="S328">
        <v>3.073639</v>
      </c>
      <c r="T328">
        <v>-4.5362590000000001E-2</v>
      </c>
      <c r="U328">
        <v>-0.13809199999999999</v>
      </c>
      <c r="V328">
        <v>5.457658E-2</v>
      </c>
      <c r="W328">
        <v>0.22188720000000001</v>
      </c>
      <c r="X328">
        <v>0.97354379999999996</v>
      </c>
      <c r="Y328">
        <v>4.9101760000000001E-2</v>
      </c>
      <c r="Z328">
        <v>-7.1953390000000005E-4</v>
      </c>
      <c r="AA328">
        <v>0.9987935</v>
      </c>
      <c r="AB328">
        <v>44</v>
      </c>
      <c r="AC328">
        <v>79.048999999999893</v>
      </c>
      <c r="AD328">
        <v>-1.170919</v>
      </c>
      <c r="AE328">
        <v>-3.5656999999999899</v>
      </c>
      <c r="AF328">
        <v>3.8995413186277301</v>
      </c>
      <c r="AG328">
        <v>-1.170919</v>
      </c>
      <c r="AH328">
        <v>79.015890761075994</v>
      </c>
      <c r="AI328">
        <v>90.847959488758406</v>
      </c>
      <c r="AJ328">
        <v>87.174667878000193</v>
      </c>
      <c r="AK328">
        <v>79.120720842055903</v>
      </c>
      <c r="AL328">
        <v>77.180098862115798</v>
      </c>
      <c r="AM328">
        <v>86.791373826380294</v>
      </c>
      <c r="AN328">
        <v>1.0000000315633799</v>
      </c>
    </row>
    <row r="329" spans="1:40" x14ac:dyDescent="0.25">
      <c r="A329" t="str">
        <f>"20190303170948547"</f>
        <v>20190303170948547</v>
      </c>
      <c r="B329" t="str">
        <f>"1551604188541272"</f>
        <v>1551604188541272</v>
      </c>
      <c r="C329" t="s">
        <v>40</v>
      </c>
      <c r="D329">
        <v>4.781466</v>
      </c>
      <c r="E329">
        <v>0.50300559999999905</v>
      </c>
      <c r="F329" t="s">
        <v>41</v>
      </c>
      <c r="G329">
        <v>-281.75420000000003</v>
      </c>
      <c r="H329">
        <v>-0.05</v>
      </c>
      <c r="I329">
        <v>363.73219999999998</v>
      </c>
      <c r="J329">
        <v>-367.8476</v>
      </c>
      <c r="K329">
        <v>1.1209249999999999</v>
      </c>
      <c r="L329">
        <v>367.60340000000002</v>
      </c>
      <c r="M329">
        <v>0.99988580000000005</v>
      </c>
      <c r="N329">
        <v>-1.450278E-2</v>
      </c>
      <c r="O329">
        <v>4.245431E-3</v>
      </c>
      <c r="P329">
        <v>0.97688969999999997</v>
      </c>
      <c r="Q329">
        <v>0.2078306</v>
      </c>
      <c r="R329">
        <v>-4.9928670000000001E-2</v>
      </c>
      <c r="S329">
        <v>3.0728149999999999</v>
      </c>
      <c r="T329">
        <v>-4.1594619999999999E-2</v>
      </c>
      <c r="U329">
        <v>-0.1374512</v>
      </c>
      <c r="V329">
        <v>5.407679E-2</v>
      </c>
      <c r="W329">
        <v>0.22197320000000001</v>
      </c>
      <c r="X329">
        <v>0.97355199999999997</v>
      </c>
      <c r="Y329">
        <v>4.8918629999999998E-2</v>
      </c>
      <c r="Z329">
        <v>-6.817619E-4</v>
      </c>
      <c r="AA329">
        <v>0.99880250000000004</v>
      </c>
      <c r="AB329">
        <v>44</v>
      </c>
      <c r="AC329">
        <v>86.093399999999903</v>
      </c>
      <c r="AD329">
        <v>-1.170925</v>
      </c>
      <c r="AE329">
        <v>-3.8712000000000399</v>
      </c>
      <c r="AF329">
        <v>4.2359251764733301</v>
      </c>
      <c r="AG329">
        <v>-1.170925</v>
      </c>
      <c r="AH329">
        <v>86.060300251125597</v>
      </c>
      <c r="AI329">
        <v>90.778568244912506</v>
      </c>
      <c r="AJ329">
        <v>87.182151053802698</v>
      </c>
      <c r="AK329">
        <v>86.172439949035905</v>
      </c>
      <c r="AL329">
        <v>77.175044324352299</v>
      </c>
      <c r="AM329">
        <v>86.820723280429704</v>
      </c>
      <c r="AN329">
        <v>0.99999994871946996</v>
      </c>
    </row>
    <row r="330" spans="1:40" x14ac:dyDescent="0.25">
      <c r="A330" t="str">
        <f>"20190303170948569"</f>
        <v>20190303170948569</v>
      </c>
      <c r="B330" t="str">
        <f>"1551604188560791"</f>
        <v>1551604188560791</v>
      </c>
      <c r="C330" t="s">
        <v>40</v>
      </c>
      <c r="D330">
        <v>4.8413130000000004</v>
      </c>
      <c r="E330">
        <v>0.50308750000000002</v>
      </c>
      <c r="F330" t="s">
        <v>42</v>
      </c>
      <c r="G330">
        <v>-277.18709999999999</v>
      </c>
      <c r="H330" s="1">
        <v>-2.5543790000000001E-6</v>
      </c>
      <c r="I330">
        <v>363.56130000000002</v>
      </c>
      <c r="J330">
        <v>-367.42419999999998</v>
      </c>
      <c r="K330">
        <v>1.1209309999999999</v>
      </c>
      <c r="L330">
        <v>367.60520000000002</v>
      </c>
      <c r="M330">
        <v>0.99988589999999999</v>
      </c>
      <c r="N330">
        <v>-1.4501180000000001E-2</v>
      </c>
      <c r="O330">
        <v>4.2571789999999998E-3</v>
      </c>
      <c r="P330">
        <v>0.97688600000000003</v>
      </c>
      <c r="Q330">
        <v>0.20794389999999999</v>
      </c>
      <c r="R330">
        <v>-4.9533269999999997E-2</v>
      </c>
      <c r="S330">
        <v>3.0720209999999999</v>
      </c>
      <c r="T330">
        <v>-3.7982460000000003E-2</v>
      </c>
      <c r="U330">
        <v>-0.1369629</v>
      </c>
      <c r="V330">
        <v>5.3692959999999998E-2</v>
      </c>
      <c r="W330">
        <v>0.22208430000000001</v>
      </c>
      <c r="X330">
        <v>0.97354790000000002</v>
      </c>
      <c r="Y330">
        <v>4.8784599999999997E-2</v>
      </c>
      <c r="Z330">
        <v>-6.4626879999999905E-4</v>
      </c>
      <c r="AA330">
        <v>0.99880910000000001</v>
      </c>
      <c r="AB330">
        <v>44</v>
      </c>
      <c r="AC330">
        <v>90.237099999999998</v>
      </c>
      <c r="AD330">
        <v>-1.120933554379</v>
      </c>
      <c r="AE330">
        <v>-4.0438999999999998</v>
      </c>
      <c r="AF330">
        <v>4.4273773770892202</v>
      </c>
      <c r="AG330">
        <v>-1.120933554379</v>
      </c>
      <c r="AH330">
        <v>90.205173185859394</v>
      </c>
      <c r="AI330">
        <v>90.711092810447397</v>
      </c>
      <c r="AJ330">
        <v>87.190109735018297</v>
      </c>
      <c r="AK330">
        <v>90.320714301667095</v>
      </c>
      <c r="AL330">
        <v>77.168515723370206</v>
      </c>
      <c r="AM330">
        <v>86.843230302480094</v>
      </c>
      <c r="AN330">
        <v>0.99999994192722896</v>
      </c>
    </row>
    <row r="331" spans="1:40" x14ac:dyDescent="0.25">
      <c r="A331" t="str">
        <f>"20190303170948584"</f>
        <v>20190303170948584</v>
      </c>
      <c r="B331" t="str">
        <f>"1551604188570552"</f>
        <v>1551604188570552</v>
      </c>
      <c r="C331" t="s">
        <v>40</v>
      </c>
      <c r="D331">
        <v>4.8390649999999997</v>
      </c>
      <c r="E331">
        <v>0.50309970000000004</v>
      </c>
      <c r="F331" t="s">
        <v>42</v>
      </c>
      <c r="G331">
        <v>-268.68220000000002</v>
      </c>
      <c r="H331" s="1">
        <v>-2.1391220000000002E-6</v>
      </c>
      <c r="I331">
        <v>363.2099</v>
      </c>
      <c r="J331">
        <v>-367.13639999999998</v>
      </c>
      <c r="K331">
        <v>1.120933</v>
      </c>
      <c r="L331">
        <v>367.60640000000001</v>
      </c>
      <c r="M331">
        <v>0.99988580000000005</v>
      </c>
      <c r="N331">
        <v>-1.4499980000000001E-2</v>
      </c>
      <c r="O331">
        <v>4.2654700000000004E-3</v>
      </c>
      <c r="P331">
        <v>0.97692109999999999</v>
      </c>
      <c r="Q331">
        <v>0.2078052</v>
      </c>
      <c r="R331">
        <v>-4.942088E-2</v>
      </c>
      <c r="S331">
        <v>3.071472</v>
      </c>
      <c r="T331">
        <v>-3.4867759999999998E-2</v>
      </c>
      <c r="U331">
        <v>-0.136718799999999</v>
      </c>
      <c r="V331">
        <v>5.3588950000000003E-2</v>
      </c>
      <c r="W331">
        <v>0.22194530000000001</v>
      </c>
      <c r="X331">
        <v>0.97358540000000005</v>
      </c>
      <c r="Y331">
        <v>4.8722550000000003E-2</v>
      </c>
      <c r="Z331">
        <v>-6.1644049999999995E-4</v>
      </c>
      <c r="AA331">
        <v>0.99881209999999998</v>
      </c>
      <c r="AB331">
        <v>44</v>
      </c>
      <c r="AC331">
        <v>98.454199999999901</v>
      </c>
      <c r="AD331">
        <v>-1.1209351391219999</v>
      </c>
      <c r="AE331">
        <v>-4.3964999999999996</v>
      </c>
      <c r="AF331">
        <v>4.8158345594198497</v>
      </c>
      <c r="AG331">
        <v>-1.1209351391219999</v>
      </c>
      <c r="AH331">
        <v>98.421816401555006</v>
      </c>
      <c r="AI331">
        <v>90.651739039212003</v>
      </c>
      <c r="AJ331">
        <v>87.198719624826694</v>
      </c>
      <c r="AK331">
        <v>98.545942087288594</v>
      </c>
      <c r="AL331">
        <v>77.176684588917595</v>
      </c>
      <c r="AM331">
        <v>86.849454140736796</v>
      </c>
      <c r="AN331">
        <v>1.00000001142367</v>
      </c>
    </row>
    <row r="332" spans="1:40" x14ac:dyDescent="0.25">
      <c r="A332" t="str">
        <f>"20190303170948601"</f>
        <v>20190303170948601</v>
      </c>
      <c r="B332" t="str">
        <f>"1551604188591048"</f>
        <v>1551604188591048</v>
      </c>
      <c r="C332" t="s">
        <v>40</v>
      </c>
      <c r="D332">
        <v>4.9546539999999997</v>
      </c>
      <c r="E332">
        <v>0.50321979999999999</v>
      </c>
      <c r="F332" t="s">
        <v>42</v>
      </c>
      <c r="G332">
        <v>-265.1431</v>
      </c>
      <c r="H332" s="1">
        <v>-3.381232E-6</v>
      </c>
      <c r="I332">
        <v>363.06799999999998</v>
      </c>
      <c r="J332">
        <v>-366.77510000000001</v>
      </c>
      <c r="K332">
        <v>1.120935</v>
      </c>
      <c r="L332">
        <v>367.608</v>
      </c>
      <c r="M332">
        <v>0.99988589999999999</v>
      </c>
      <c r="N332">
        <v>-1.449836E-2</v>
      </c>
      <c r="O332">
        <v>4.2750790000000002E-3</v>
      </c>
      <c r="P332">
        <v>0.97702040000000001</v>
      </c>
      <c r="Q332">
        <v>0.2074828</v>
      </c>
      <c r="R332">
        <v>-4.881009E-2</v>
      </c>
      <c r="S332">
        <v>3.0711360000000001</v>
      </c>
      <c r="T332">
        <v>-3.375268E-2</v>
      </c>
      <c r="U332">
        <v>-0.13665769999999999</v>
      </c>
      <c r="V332">
        <v>5.2988100000000003E-2</v>
      </c>
      <c r="W332">
        <v>0.2216226</v>
      </c>
      <c r="X332">
        <v>0.9736918</v>
      </c>
      <c r="Y332">
        <v>4.8717509999999999E-2</v>
      </c>
      <c r="Z332">
        <v>-6.0595639999999997E-4</v>
      </c>
      <c r="AA332">
        <v>0.99881240000000004</v>
      </c>
      <c r="AB332">
        <v>44</v>
      </c>
      <c r="AC332">
        <v>101.63200000000001</v>
      </c>
      <c r="AD332">
        <v>-1.120938381232</v>
      </c>
      <c r="AE332">
        <v>-4.5399999999999601</v>
      </c>
      <c r="AF332">
        <v>4.9738850867221602</v>
      </c>
      <c r="AG332">
        <v>-1.120938381232</v>
      </c>
      <c r="AH332">
        <v>101.599325504642</v>
      </c>
      <c r="AI332">
        <v>90.631358685477693</v>
      </c>
      <c r="AJ332">
        <v>87.1972719497805</v>
      </c>
      <c r="AK332">
        <v>101.727179154387</v>
      </c>
      <c r="AL332">
        <v>77.1956462508724</v>
      </c>
      <c r="AM332">
        <v>86.885048469390199</v>
      </c>
      <c r="AN332">
        <v>1.0000000184797999</v>
      </c>
    </row>
    <row r="333" spans="1:40" x14ac:dyDescent="0.25">
      <c r="A333" t="str">
        <f>"20190303170948615"</f>
        <v>20190303170948615</v>
      </c>
      <c r="B333" t="str">
        <f>"1551604188600807"</f>
        <v>1551604188600807</v>
      </c>
      <c r="C333" t="s">
        <v>40</v>
      </c>
      <c r="D333">
        <v>4.7787470000000001</v>
      </c>
      <c r="E333">
        <v>0.50325200000000003</v>
      </c>
      <c r="F333" t="s">
        <v>42</v>
      </c>
      <c r="G333">
        <v>-261.33319999999998</v>
      </c>
      <c r="H333" s="1">
        <v>-4.8846779999999998E-6</v>
      </c>
      <c r="I333">
        <v>362.93950000000001</v>
      </c>
      <c r="J333">
        <v>-366.5016</v>
      </c>
      <c r="K333">
        <v>1.1209290000000001</v>
      </c>
      <c r="L333">
        <v>367.60910000000001</v>
      </c>
      <c r="M333">
        <v>0.99988569999999999</v>
      </c>
      <c r="N333">
        <v>-1.4497080000000001E-2</v>
      </c>
      <c r="O333">
        <v>4.2827780000000001E-3</v>
      </c>
      <c r="P333">
        <v>0.9770913</v>
      </c>
      <c r="Q333">
        <v>0.2071828</v>
      </c>
      <c r="R333">
        <v>-4.8663720000000001E-2</v>
      </c>
      <c r="S333">
        <v>3.0707399999999998</v>
      </c>
      <c r="T333">
        <v>-3.2644630000000001E-2</v>
      </c>
      <c r="U333">
        <v>-0.13595579999999999</v>
      </c>
      <c r="V333">
        <v>5.284929E-2</v>
      </c>
      <c r="W333">
        <v>0.2213222</v>
      </c>
      <c r="X333">
        <v>0.97376759999999996</v>
      </c>
      <c r="Y333">
        <v>4.8503409999999997E-2</v>
      </c>
      <c r="Z333">
        <v>-5.9292329999999997E-4</v>
      </c>
      <c r="AA333">
        <v>0.99882289999999996</v>
      </c>
      <c r="AB333">
        <v>44</v>
      </c>
      <c r="AC333">
        <v>105.16840000000001</v>
      </c>
      <c r="AD333">
        <v>-1.1209338846779999</v>
      </c>
      <c r="AE333">
        <v>-4.6696</v>
      </c>
      <c r="AF333">
        <v>5.1194369925820897</v>
      </c>
      <c r="AG333">
        <v>-1.1209338846779999</v>
      </c>
      <c r="AH333">
        <v>105.135514120433</v>
      </c>
      <c r="AI333">
        <v>90.610130179923203</v>
      </c>
      <c r="AJ333">
        <v>87.212258529856996</v>
      </c>
      <c r="AK333">
        <v>105.26605082961299</v>
      </c>
      <c r="AL333">
        <v>77.213295336218494</v>
      </c>
      <c r="AM333">
        <v>86.893433895688403</v>
      </c>
      <c r="AN333">
        <v>0.99999995123804997</v>
      </c>
    </row>
    <row r="334" spans="1:40" x14ac:dyDescent="0.25">
      <c r="A334" t="str">
        <f>"20190303170948636"</f>
        <v>20190303170948636</v>
      </c>
      <c r="B334" t="str">
        <f>"1551604188631064"</f>
        <v>1551604188631064</v>
      </c>
      <c r="C334" t="s">
        <v>40</v>
      </c>
      <c r="D334">
        <v>4.8958349999999999</v>
      </c>
      <c r="E334">
        <v>0.50334239999999997</v>
      </c>
      <c r="F334" t="s">
        <v>42</v>
      </c>
      <c r="G334">
        <v>-260.8741</v>
      </c>
      <c r="H334" s="1">
        <v>-5.081477E-6</v>
      </c>
      <c r="I334">
        <v>362.94040000000001</v>
      </c>
      <c r="J334">
        <v>-366.1096</v>
      </c>
      <c r="K334">
        <v>1.1209290000000001</v>
      </c>
      <c r="L334">
        <v>367.61079999999998</v>
      </c>
      <c r="M334">
        <v>0.99988589999999999</v>
      </c>
      <c r="N334">
        <v>-1.449521E-2</v>
      </c>
      <c r="O334">
        <v>4.2927520000000004E-3</v>
      </c>
      <c r="P334">
        <v>0.97719060000000002</v>
      </c>
      <c r="Q334">
        <v>0.20678170000000001</v>
      </c>
      <c r="R334">
        <v>-4.8373149999999997E-2</v>
      </c>
      <c r="S334">
        <v>3.070465</v>
      </c>
      <c r="T334">
        <v>-3.2584189999999999E-2</v>
      </c>
      <c r="U334">
        <v>-0.13571169999999999</v>
      </c>
      <c r="V334">
        <v>5.256889E-2</v>
      </c>
      <c r="W334">
        <v>0.22092139999999999</v>
      </c>
      <c r="X334">
        <v>0.97387389999999996</v>
      </c>
      <c r="Y334">
        <v>4.8438080000000001E-2</v>
      </c>
      <c r="Z334">
        <v>-5.9149229999999999E-4</v>
      </c>
      <c r="AA334">
        <v>0.99882599999999999</v>
      </c>
      <c r="AB334">
        <v>44</v>
      </c>
      <c r="AC334">
        <v>105.2355</v>
      </c>
      <c r="AD334">
        <v>-1.1209340814769999</v>
      </c>
      <c r="AE334">
        <v>-4.6703999999999697</v>
      </c>
      <c r="AF334">
        <v>5.1215743063161199</v>
      </c>
      <c r="AG334">
        <v>-1.1209340814769999</v>
      </c>
      <c r="AH334">
        <v>105.20256657219799</v>
      </c>
      <c r="AI334">
        <v>90.609741758065198</v>
      </c>
      <c r="AJ334">
        <v>87.212871259023103</v>
      </c>
      <c r="AK334">
        <v>105.333124087192</v>
      </c>
      <c r="AL334">
        <v>77.236843816743104</v>
      </c>
      <c r="AM334">
        <v>86.910220867425494</v>
      </c>
      <c r="AN334">
        <v>1.0000000631374899</v>
      </c>
    </row>
    <row r="335" spans="1:40" x14ac:dyDescent="0.25">
      <c r="A335" t="str">
        <f>"20190303170948659"</f>
        <v>20190303170948659</v>
      </c>
      <c r="B335" t="str">
        <f>"1551604188650583"</f>
        <v>1551604188650583</v>
      </c>
      <c r="C335" t="s">
        <v>40</v>
      </c>
      <c r="D335">
        <v>4.9002660000000002</v>
      </c>
      <c r="E335">
        <v>0.50342140000000002</v>
      </c>
      <c r="F335" t="s">
        <v>42</v>
      </c>
      <c r="G335">
        <v>-254.59479999999999</v>
      </c>
      <c r="H335" s="1">
        <v>-3.674349E-6</v>
      </c>
      <c r="I335">
        <v>362.66759999999999</v>
      </c>
      <c r="J335">
        <v>-365.67520000000002</v>
      </c>
      <c r="K335">
        <v>1.12093</v>
      </c>
      <c r="L335">
        <v>367.61270000000002</v>
      </c>
      <c r="M335">
        <v>0.99988589999999999</v>
      </c>
      <c r="N335">
        <v>-1.4493209999999999E-2</v>
      </c>
      <c r="O335">
        <v>4.304212E-3</v>
      </c>
      <c r="P335">
        <v>0.97726349999999995</v>
      </c>
      <c r="Q335">
        <v>0.20642540000000001</v>
      </c>
      <c r="R335">
        <v>-4.8421100000000002E-2</v>
      </c>
      <c r="S335">
        <v>3.0698240000000001</v>
      </c>
      <c r="T335">
        <v>-3.085744E-2</v>
      </c>
      <c r="U335">
        <v>-0.1360779</v>
      </c>
      <c r="V335">
        <v>5.2628349999999997E-2</v>
      </c>
      <c r="W335">
        <v>0.22056419999999999</v>
      </c>
      <c r="X335">
        <v>0.97395160000000003</v>
      </c>
      <c r="Y335">
        <v>4.8578089999999997E-2</v>
      </c>
      <c r="Z335">
        <v>-5.7715350000000002E-4</v>
      </c>
      <c r="AA335">
        <v>0.99881920000000002</v>
      </c>
      <c r="AB335">
        <v>44</v>
      </c>
      <c r="AC335">
        <v>111.0804</v>
      </c>
      <c r="AD335">
        <v>-1.1209336743489999</v>
      </c>
      <c r="AE335">
        <v>-4.9451000000000196</v>
      </c>
      <c r="AF335">
        <v>5.4226667928241596</v>
      </c>
      <c r="AG335">
        <v>-1.1209336743489999</v>
      </c>
      <c r="AH335">
        <v>111.04679806938201</v>
      </c>
      <c r="AI335">
        <v>90.577649766708106</v>
      </c>
      <c r="AJ335">
        <v>87.204338006551794</v>
      </c>
      <c r="AK335">
        <v>111.184770400044</v>
      </c>
      <c r="AL335">
        <v>77.257826859929907</v>
      </c>
      <c r="AM335">
        <v>86.906979136526104</v>
      </c>
      <c r="AN335">
        <v>1.00000001434396</v>
      </c>
    </row>
    <row r="336" spans="1:40" x14ac:dyDescent="0.25">
      <c r="A336" t="str">
        <f>"20190303170948680"</f>
        <v>20190303170948680</v>
      </c>
      <c r="B336" t="str">
        <f>"1551604188671080"</f>
        <v>1551604188671080</v>
      </c>
      <c r="C336" t="s">
        <v>40</v>
      </c>
      <c r="D336">
        <v>4.6310260000000003</v>
      </c>
      <c r="E336">
        <v>0.50348720000000002</v>
      </c>
      <c r="F336" t="s">
        <v>42</v>
      </c>
      <c r="G336">
        <v>-251.27670000000001</v>
      </c>
      <c r="H336" s="1">
        <v>-4.9843120000000002E-6</v>
      </c>
      <c r="I336">
        <v>362.5147</v>
      </c>
      <c r="J336">
        <v>-365.2457</v>
      </c>
      <c r="K336">
        <v>1.120932</v>
      </c>
      <c r="L336">
        <v>367.6146</v>
      </c>
      <c r="M336">
        <v>0.99988560000000004</v>
      </c>
      <c r="N336">
        <v>-1.4491220000000001E-2</v>
      </c>
      <c r="O336">
        <v>4.3156710000000001E-3</v>
      </c>
      <c r="P336">
        <v>0.97732660000000005</v>
      </c>
      <c r="Q336">
        <v>0.20610719999999999</v>
      </c>
      <c r="R336">
        <v>-4.8507229999999998E-2</v>
      </c>
      <c r="S336">
        <v>3.069366</v>
      </c>
      <c r="T336">
        <v>-3.0075190000000002E-2</v>
      </c>
      <c r="U336">
        <v>-0.13677979999999901</v>
      </c>
      <c r="V336">
        <v>5.2725609999999999E-2</v>
      </c>
      <c r="W336">
        <v>0.2202451</v>
      </c>
      <c r="X336">
        <v>0.97401850000000001</v>
      </c>
      <c r="Y336">
        <v>4.8824270000000003E-2</v>
      </c>
      <c r="Z336">
        <v>-5.7280989999999995E-4</v>
      </c>
      <c r="AA336">
        <v>0.99880720000000001</v>
      </c>
      <c r="AB336">
        <v>44</v>
      </c>
      <c r="AC336">
        <v>113.96899999999999</v>
      </c>
      <c r="AD336">
        <v>-1.1209369843120001</v>
      </c>
      <c r="AE336">
        <v>-5.0998999999999901</v>
      </c>
      <c r="AF336">
        <v>5.5912171055389797</v>
      </c>
      <c r="AG336">
        <v>-1.1209369843120001</v>
      </c>
      <c r="AH336">
        <v>113.93492702729201</v>
      </c>
      <c r="AI336">
        <v>90.563002938142404</v>
      </c>
      <c r="AJ336">
        <v>87.190533580448701</v>
      </c>
      <c r="AK336">
        <v>114.07754294846301</v>
      </c>
      <c r="AL336">
        <v>77.276570263202103</v>
      </c>
      <c r="AM336">
        <v>86.9014866180963</v>
      </c>
      <c r="AN336">
        <v>0.99999996618306497</v>
      </c>
    </row>
    <row r="337" spans="1:40" x14ac:dyDescent="0.25">
      <c r="A337" t="str">
        <f>"20190303170948702"</f>
        <v>20190303170948702</v>
      </c>
      <c r="B337" t="str">
        <f>"1551604188690600"</f>
        <v>1551604188690600</v>
      </c>
      <c r="C337" t="s">
        <v>40</v>
      </c>
      <c r="D337">
        <v>4.8299830000000004</v>
      </c>
      <c r="E337">
        <v>0.50353499999999995</v>
      </c>
      <c r="F337" t="s">
        <v>42</v>
      </c>
      <c r="G337">
        <v>-249.999</v>
      </c>
      <c r="H337" s="1">
        <v>-5.5457939999999997E-6</v>
      </c>
      <c r="I337">
        <v>362.4393</v>
      </c>
      <c r="J337">
        <v>-364.82929999999999</v>
      </c>
      <c r="K337">
        <v>1.1209340000000001</v>
      </c>
      <c r="L337">
        <v>367.61630000000002</v>
      </c>
      <c r="M337">
        <v>0.99988569999999999</v>
      </c>
      <c r="N337">
        <v>-1.44893E-2</v>
      </c>
      <c r="O337">
        <v>4.3265909999999899E-3</v>
      </c>
      <c r="P337">
        <v>0.97742850000000003</v>
      </c>
      <c r="Q337">
        <v>0.20563100000000001</v>
      </c>
      <c r="R337">
        <v>-4.847506E-2</v>
      </c>
      <c r="S337">
        <v>3.069061</v>
      </c>
      <c r="T337">
        <v>-2.9850959999999999E-2</v>
      </c>
      <c r="U337">
        <v>-0.13781740000000001</v>
      </c>
      <c r="V337">
        <v>5.2704679999999997E-2</v>
      </c>
      <c r="W337">
        <v>0.2197683</v>
      </c>
      <c r="X337">
        <v>0.97412739999999998</v>
      </c>
      <c r="Y337">
        <v>4.9176610000000003E-2</v>
      </c>
      <c r="Z337">
        <v>-5.7491699999999998E-4</v>
      </c>
      <c r="AA337">
        <v>0.99878990000000001</v>
      </c>
      <c r="AB337">
        <v>44</v>
      </c>
      <c r="AC337">
        <v>114.830299999999</v>
      </c>
      <c r="AD337">
        <v>-1.1209395457939999</v>
      </c>
      <c r="AE337">
        <v>-5.17700000000002</v>
      </c>
      <c r="AF337">
        <v>5.6732879027113796</v>
      </c>
      <c r="AG337">
        <v>-1.1209395457939999</v>
      </c>
      <c r="AH337">
        <v>114.79590706536</v>
      </c>
      <c r="AI337">
        <v>90.558772387467698</v>
      </c>
      <c r="AJ337">
        <v>87.170707477997794</v>
      </c>
      <c r="AK337">
        <v>114.94147632622</v>
      </c>
      <c r="AL337">
        <v>77.304576010898302</v>
      </c>
      <c r="AM337">
        <v>86.903059789965695</v>
      </c>
      <c r="AN337">
        <v>1.00000004020477</v>
      </c>
    </row>
    <row r="338" spans="1:40" x14ac:dyDescent="0.25">
      <c r="A338" t="str">
        <f>"20190303170948714"</f>
        <v>20190303170948714</v>
      </c>
      <c r="B338" t="str">
        <f>"1551604188711096"</f>
        <v>1551604188711096</v>
      </c>
      <c r="C338" t="s">
        <v>40</v>
      </c>
      <c r="D338">
        <v>4.8887530000000003</v>
      </c>
      <c r="E338">
        <v>0.50355179999999999</v>
      </c>
      <c r="F338" t="s">
        <v>42</v>
      </c>
      <c r="G338">
        <v>-250.37430000000001</v>
      </c>
      <c r="H338" s="1">
        <v>-5.3822849999999999E-6</v>
      </c>
      <c r="I338">
        <v>362.45330000000001</v>
      </c>
      <c r="J338">
        <v>-364.56880000000001</v>
      </c>
      <c r="K338">
        <v>1.1209309999999999</v>
      </c>
      <c r="L338">
        <v>367.61750000000001</v>
      </c>
      <c r="M338">
        <v>0.99988569999999999</v>
      </c>
      <c r="N338">
        <v>-1.448808E-2</v>
      </c>
      <c r="O338">
        <v>4.3336909999999998E-3</v>
      </c>
      <c r="P338">
        <v>0.97750429999999999</v>
      </c>
      <c r="Q338">
        <v>0.20526849999999999</v>
      </c>
      <c r="R338">
        <v>-4.8483409999999998E-2</v>
      </c>
      <c r="S338">
        <v>3.0687259999999998</v>
      </c>
      <c r="T338">
        <v>-3.0054210000000001E-2</v>
      </c>
      <c r="U338">
        <v>-0.13842769999999999</v>
      </c>
      <c r="V338">
        <v>5.2720450000000002E-2</v>
      </c>
      <c r="W338">
        <v>0.21940589999999999</v>
      </c>
      <c r="X338">
        <v>0.97420819999999997</v>
      </c>
      <c r="Y338">
        <v>4.9386770000000003E-2</v>
      </c>
      <c r="Z338">
        <v>-5.7935650000000001E-4</v>
      </c>
      <c r="AA338">
        <v>0.99877950000000004</v>
      </c>
      <c r="AB338">
        <v>43</v>
      </c>
      <c r="AC338">
        <v>114.19450000000001</v>
      </c>
      <c r="AD338">
        <v>-1.12093638228499</v>
      </c>
      <c r="AE338">
        <v>-5.1641999999999904</v>
      </c>
      <c r="AF338">
        <v>5.6585429826063098</v>
      </c>
      <c r="AG338">
        <v>-1.12093638228499</v>
      </c>
      <c r="AH338">
        <v>114.160067663248</v>
      </c>
      <c r="AI338">
        <v>90.561878754794606</v>
      </c>
      <c r="AJ338">
        <v>87.162357076142698</v>
      </c>
      <c r="AK338">
        <v>114.305715762321</v>
      </c>
      <c r="AL338">
        <v>77.3258590257972</v>
      </c>
      <c r="AM338">
        <v>86.9023913793406</v>
      </c>
      <c r="AN338">
        <v>1.0000000058751199</v>
      </c>
    </row>
    <row r="339" spans="1:40" x14ac:dyDescent="0.25">
      <c r="A339" t="str">
        <f>"20190303170948728"</f>
        <v>20190303170948728</v>
      </c>
      <c r="B339" t="str">
        <f>"1551604188720856"</f>
        <v>1551604188720856</v>
      </c>
      <c r="C339" t="s">
        <v>40</v>
      </c>
      <c r="D339">
        <v>4.889583</v>
      </c>
      <c r="E339">
        <v>0.5035501</v>
      </c>
      <c r="F339" t="s">
        <v>42</v>
      </c>
      <c r="G339">
        <v>-248.75630000000001</v>
      </c>
      <c r="H339" s="1">
        <v>-2.3884450000000001E-6</v>
      </c>
      <c r="I339">
        <v>362.37529999999998</v>
      </c>
      <c r="J339">
        <v>-364.31560000000002</v>
      </c>
      <c r="K339">
        <v>1.120932</v>
      </c>
      <c r="L339">
        <v>367.61860000000001</v>
      </c>
      <c r="M339">
        <v>0.99988580000000005</v>
      </c>
      <c r="N339">
        <v>-1.4486860000000001E-2</v>
      </c>
      <c r="O339">
        <v>4.3404339999999998E-3</v>
      </c>
      <c r="P339">
        <v>0.977495</v>
      </c>
      <c r="Q339">
        <v>0.20524899999999999</v>
      </c>
      <c r="R339">
        <v>-4.8752200000000002E-2</v>
      </c>
      <c r="S339">
        <v>3.0683590000000001</v>
      </c>
      <c r="T339">
        <v>-2.9698249999999999E-2</v>
      </c>
      <c r="U339">
        <v>-0.1388855</v>
      </c>
      <c r="V339">
        <v>5.2995680000000003E-2</v>
      </c>
      <c r="W339">
        <v>0.219385</v>
      </c>
      <c r="X339">
        <v>0.97419800000000001</v>
      </c>
      <c r="Y339">
        <v>4.9547649999999999E-2</v>
      </c>
      <c r="Z339">
        <v>-5.7791190000000005E-4</v>
      </c>
      <c r="AA339">
        <v>0.99877159999999998</v>
      </c>
      <c r="AB339">
        <v>43</v>
      </c>
      <c r="AC339">
        <v>115.55929999999999</v>
      </c>
      <c r="AD339">
        <v>-1.120934388445</v>
      </c>
      <c r="AE339">
        <v>-5.2433000000000298</v>
      </c>
      <c r="AF339">
        <v>5.7443412908870997</v>
      </c>
      <c r="AG339">
        <v>-1.120934388445</v>
      </c>
      <c r="AH339">
        <v>115.52460309652901</v>
      </c>
      <c r="AI339">
        <v>90.555237150805794</v>
      </c>
      <c r="AJ339">
        <v>87.153371205589906</v>
      </c>
      <c r="AK339">
        <v>115.67276201154699</v>
      </c>
      <c r="AL339">
        <v>77.327086745131297</v>
      </c>
      <c r="AM339">
        <v>86.886219345296794</v>
      </c>
      <c r="AN339">
        <v>1.00000003176383</v>
      </c>
    </row>
    <row r="340" spans="1:40" x14ac:dyDescent="0.25">
      <c r="A340" t="str">
        <f>"20190303170948747"</f>
        <v>20190303170948747</v>
      </c>
      <c r="B340" t="str">
        <f>"1551604188741352"</f>
        <v>1551604188741352</v>
      </c>
      <c r="C340" t="s">
        <v>40</v>
      </c>
      <c r="D340">
        <v>4.9475860000000003</v>
      </c>
      <c r="E340">
        <v>0.50357390000000002</v>
      </c>
      <c r="F340" t="s">
        <v>42</v>
      </c>
      <c r="G340">
        <v>-246.80549999999999</v>
      </c>
      <c r="H340" s="1">
        <v>-3.16837E-6</v>
      </c>
      <c r="I340">
        <v>362.25970000000001</v>
      </c>
      <c r="J340">
        <v>-363.95350000000002</v>
      </c>
      <c r="K340">
        <v>1.120935</v>
      </c>
      <c r="L340">
        <v>367.62009999999998</v>
      </c>
      <c r="M340">
        <v>0.99988569999999999</v>
      </c>
      <c r="N340">
        <v>-1.4485090000000001E-2</v>
      </c>
      <c r="O340">
        <v>4.3505169999999999E-3</v>
      </c>
      <c r="P340">
        <v>0.97744759999999997</v>
      </c>
      <c r="Q340">
        <v>0.2054262</v>
      </c>
      <c r="R340">
        <v>-4.8954280000000003E-2</v>
      </c>
      <c r="S340">
        <v>3.0682680000000002</v>
      </c>
      <c r="T340">
        <v>-2.926838E-2</v>
      </c>
      <c r="U340">
        <v>-0.13992309999999999</v>
      </c>
      <c r="V340">
        <v>5.3207539999999998E-2</v>
      </c>
      <c r="W340">
        <v>0.21955949999999999</v>
      </c>
      <c r="X340">
        <v>0.97414710000000004</v>
      </c>
      <c r="Y340">
        <v>4.989619E-2</v>
      </c>
      <c r="Z340">
        <v>-5.7794580000000001E-4</v>
      </c>
      <c r="AA340">
        <v>0.99875429999999998</v>
      </c>
      <c r="AB340">
        <v>43</v>
      </c>
      <c r="AC340">
        <v>117.148</v>
      </c>
      <c r="AD340">
        <v>-1.1209381683699999</v>
      </c>
      <c r="AE340">
        <v>-5.3603999999999603</v>
      </c>
      <c r="AF340">
        <v>5.8695207865833803</v>
      </c>
      <c r="AG340">
        <v>-1.1209381683699999</v>
      </c>
      <c r="AH340">
        <v>117.11286802697801</v>
      </c>
      <c r="AI340">
        <v>90.547698667250003</v>
      </c>
      <c r="AJ340">
        <v>87.130822434563399</v>
      </c>
      <c r="AK340">
        <v>117.265219200519</v>
      </c>
      <c r="AL340">
        <v>77.316838291651706</v>
      </c>
      <c r="AM340">
        <v>86.873633052245296</v>
      </c>
      <c r="AN340">
        <v>0.99999999439575504</v>
      </c>
    </row>
    <row r="341" spans="1:40" x14ac:dyDescent="0.25">
      <c r="A341" t="str">
        <f>"20190303170948760"</f>
        <v>20190303170948760</v>
      </c>
      <c r="B341" t="str">
        <f>"1551604188751112"</f>
        <v>1551604188751112</v>
      </c>
      <c r="C341" t="s">
        <v>40</v>
      </c>
      <c r="D341">
        <v>4.9478569999999999</v>
      </c>
      <c r="E341">
        <v>0.50356859999999903</v>
      </c>
      <c r="F341" t="s">
        <v>42</v>
      </c>
      <c r="G341">
        <v>-239.75200000000001</v>
      </c>
      <c r="H341" s="1">
        <v>-2.1166819999999999E-6</v>
      </c>
      <c r="I341">
        <v>361.92599999999999</v>
      </c>
      <c r="J341">
        <v>-363.68509999999998</v>
      </c>
      <c r="K341">
        <v>1.1209370000000001</v>
      </c>
      <c r="L341">
        <v>367.62130000000002</v>
      </c>
      <c r="M341">
        <v>0.99988569999999999</v>
      </c>
      <c r="N341">
        <v>-1.448376E-2</v>
      </c>
      <c r="O341">
        <v>4.3579159999999999E-3</v>
      </c>
      <c r="P341">
        <v>0.9773965</v>
      </c>
      <c r="Q341">
        <v>0.20562449999999999</v>
      </c>
      <c r="R341">
        <v>-4.913667E-2</v>
      </c>
      <c r="S341">
        <v>3.0680239999999999</v>
      </c>
      <c r="T341">
        <v>-2.768934E-2</v>
      </c>
      <c r="U341">
        <v>-0.14065549999999999</v>
      </c>
      <c r="V341">
        <v>5.3397189999999997E-2</v>
      </c>
      <c r="W341">
        <v>0.21975620000000001</v>
      </c>
      <c r="X341">
        <v>0.97409239999999997</v>
      </c>
      <c r="Y341">
        <v>5.0145530000000001E-2</v>
      </c>
      <c r="Z341">
        <v>-5.6576010000000004E-4</v>
      </c>
      <c r="AA341">
        <v>0.99874169999999995</v>
      </c>
      <c r="AB341">
        <v>43</v>
      </c>
      <c r="AC341">
        <v>123.933099999999</v>
      </c>
      <c r="AD341">
        <v>-1.120939116682</v>
      </c>
      <c r="AE341">
        <v>-5.6953000000000298</v>
      </c>
      <c r="AF341">
        <v>6.2348835749802998</v>
      </c>
      <c r="AG341">
        <v>-1.120939116682</v>
      </c>
      <c r="AH341">
        <v>123.896986416895</v>
      </c>
      <c r="AI341">
        <v>90.517705623621794</v>
      </c>
      <c r="AJ341">
        <v>87.119127523579095</v>
      </c>
      <c r="AK341">
        <v>124.058830886338</v>
      </c>
      <c r="AL341">
        <v>77.305286473482994</v>
      </c>
      <c r="AM341">
        <v>86.862335994199</v>
      </c>
      <c r="AN341">
        <v>1.0000000255380399</v>
      </c>
    </row>
    <row r="342" spans="1:40" x14ac:dyDescent="0.25">
      <c r="A342" t="str">
        <f>"20190303170948774"</f>
        <v>20190303170948774</v>
      </c>
      <c r="B342" t="str">
        <f>"1551604188760872"</f>
        <v>1551604188760872</v>
      </c>
      <c r="C342" t="s">
        <v>40</v>
      </c>
      <c r="D342">
        <v>4.8856669999999998</v>
      </c>
      <c r="E342">
        <v>0.50357540000000001</v>
      </c>
      <c r="F342" t="s">
        <v>42</v>
      </c>
      <c r="G342">
        <v>-234.52109999999999</v>
      </c>
      <c r="H342" s="1">
        <v>-3.962193E-6</v>
      </c>
      <c r="I342">
        <v>361.68020000000001</v>
      </c>
      <c r="J342">
        <v>-363.42500000000001</v>
      </c>
      <c r="K342">
        <v>1.1209389999999999</v>
      </c>
      <c r="L342">
        <v>367.6225</v>
      </c>
      <c r="M342">
        <v>0.99988569999999999</v>
      </c>
      <c r="N342">
        <v>-1.4482449999999999E-2</v>
      </c>
      <c r="O342">
        <v>4.3653119999999997E-3</v>
      </c>
      <c r="P342">
        <v>0.97736290000000003</v>
      </c>
      <c r="Q342">
        <v>0.20576369999999999</v>
      </c>
      <c r="R342">
        <v>-4.9229410000000001E-2</v>
      </c>
      <c r="S342">
        <v>3.0679020000000001</v>
      </c>
      <c r="T342">
        <v>-2.6624559999999999E-2</v>
      </c>
      <c r="U342">
        <v>-0.141113299999999</v>
      </c>
      <c r="V342">
        <v>5.3497009999999998E-2</v>
      </c>
      <c r="W342">
        <v>0.21989300000000001</v>
      </c>
      <c r="X342">
        <v>0.97405600000000003</v>
      </c>
      <c r="Y342">
        <v>5.03037E-2</v>
      </c>
      <c r="Z342">
        <v>-5.5732359999999996E-4</v>
      </c>
      <c r="AA342">
        <v>0.9987338</v>
      </c>
      <c r="AB342">
        <v>43</v>
      </c>
      <c r="AC342">
        <v>128.90389999999999</v>
      </c>
      <c r="AD342">
        <v>-1.1209429621929901</v>
      </c>
      <c r="AE342">
        <v>-5.9422999999999799</v>
      </c>
      <c r="AF342">
        <v>6.5045172461561798</v>
      </c>
      <c r="AG342">
        <v>-1.1209429621929901</v>
      </c>
      <c r="AH342">
        <v>128.86700461353001</v>
      </c>
      <c r="AI342">
        <v>90.497738193867804</v>
      </c>
      <c r="AJ342">
        <v>87.110467666030203</v>
      </c>
      <c r="AK342">
        <v>129.03592575633201</v>
      </c>
      <c r="AL342">
        <v>77.297251244676602</v>
      </c>
      <c r="AM342">
        <v>86.856365003163901</v>
      </c>
      <c r="AN342">
        <v>0.99999997633196902</v>
      </c>
    </row>
    <row r="343" spans="1:40" x14ac:dyDescent="0.25">
      <c r="A343" t="str">
        <f>"20190303170948791"</f>
        <v>20190303170948791</v>
      </c>
      <c r="B343" t="str">
        <f>"1551604188780392"</f>
        <v>1551604188780392</v>
      </c>
      <c r="C343" t="s">
        <v>40</v>
      </c>
      <c r="D343">
        <v>4.947838</v>
      </c>
      <c r="E343">
        <v>0.50360240000000001</v>
      </c>
      <c r="F343" t="s">
        <v>42</v>
      </c>
      <c r="G343">
        <v>-230.3518</v>
      </c>
      <c r="H343" s="1">
        <v>-5.5648519999999901E-6</v>
      </c>
      <c r="I343">
        <v>361.47879999999998</v>
      </c>
      <c r="J343">
        <v>-363.09410000000003</v>
      </c>
      <c r="K343">
        <v>1.1209439999999999</v>
      </c>
      <c r="L343">
        <v>367.62400000000002</v>
      </c>
      <c r="M343">
        <v>0.99988560000000004</v>
      </c>
      <c r="N343">
        <v>-1.4480740000000001E-2</v>
      </c>
      <c r="O343">
        <v>4.3746219999999999E-3</v>
      </c>
      <c r="P343">
        <v>0.97735079999999996</v>
      </c>
      <c r="Q343">
        <v>0.2058991</v>
      </c>
      <c r="R343">
        <v>-4.8897679999999999E-2</v>
      </c>
      <c r="S343">
        <v>3.06778</v>
      </c>
      <c r="T343">
        <v>-2.5841469999999998E-2</v>
      </c>
      <c r="U343">
        <v>-0.14163210000000001</v>
      </c>
      <c r="V343">
        <v>5.3174279999999997E-2</v>
      </c>
      <c r="W343">
        <v>0.220027</v>
      </c>
      <c r="X343">
        <v>0.9740434</v>
      </c>
      <c r="Y343">
        <v>5.048354E-2</v>
      </c>
      <c r="Z343">
        <v>-5.5177169999999997E-4</v>
      </c>
      <c r="AA343">
        <v>0.99872479999999997</v>
      </c>
      <c r="AB343">
        <v>43</v>
      </c>
      <c r="AC343">
        <v>132.7423</v>
      </c>
      <c r="AD343">
        <v>-1.120949564852</v>
      </c>
      <c r="AE343">
        <v>-6.14520000000004</v>
      </c>
      <c r="AF343">
        <v>6.7254208855673197</v>
      </c>
      <c r="AG343">
        <v>-1.120949564852</v>
      </c>
      <c r="AH343">
        <v>132.704700815753</v>
      </c>
      <c r="AI343">
        <v>90.483342612274996</v>
      </c>
      <c r="AJ343">
        <v>87.098755103567399</v>
      </c>
      <c r="AK343">
        <v>132.87974048971299</v>
      </c>
      <c r="AL343">
        <v>77.289380708159996</v>
      </c>
      <c r="AM343">
        <v>86.875251492142297</v>
      </c>
      <c r="AN343">
        <v>0.999999964933038</v>
      </c>
    </row>
    <row r="344" spans="1:40" x14ac:dyDescent="0.25">
      <c r="A344" t="str">
        <f>"20190303170948803"</f>
        <v>20190303170948803</v>
      </c>
      <c r="B344" t="str">
        <f>"1551604188791128"</f>
        <v>1551604188791128</v>
      </c>
      <c r="C344" t="s">
        <v>40</v>
      </c>
      <c r="D344">
        <v>4.8899949999999999</v>
      </c>
      <c r="E344">
        <v>0.50360439999999995</v>
      </c>
      <c r="F344" t="s">
        <v>42</v>
      </c>
      <c r="G344">
        <v>-223.37270000000001</v>
      </c>
      <c r="H344" s="1">
        <v>-4.4860860000000002E-6</v>
      </c>
      <c r="I344">
        <v>361.18</v>
      </c>
      <c r="J344">
        <v>-362.8569</v>
      </c>
      <c r="K344">
        <v>1.120946</v>
      </c>
      <c r="L344">
        <v>367.625</v>
      </c>
      <c r="M344">
        <v>0.99988569999999999</v>
      </c>
      <c r="N344">
        <v>-1.4479499999999999E-2</v>
      </c>
      <c r="O344">
        <v>4.3810089999999999E-3</v>
      </c>
      <c r="P344">
        <v>0.9773309</v>
      </c>
      <c r="Q344">
        <v>0.20597119999999999</v>
      </c>
      <c r="R344">
        <v>-4.8995820000000002E-2</v>
      </c>
      <c r="S344">
        <v>3.0676570000000001</v>
      </c>
      <c r="T344">
        <v>-2.4611000000000001E-2</v>
      </c>
      <c r="U344">
        <v>-0.14147950000000001</v>
      </c>
      <c r="V344">
        <v>5.3278510000000001E-2</v>
      </c>
      <c r="W344">
        <v>0.22009719999999999</v>
      </c>
      <c r="X344">
        <v>0.9740219</v>
      </c>
      <c r="Y344">
        <v>5.0442479999999998E-2</v>
      </c>
      <c r="Z344">
        <v>-5.3937850000000003E-4</v>
      </c>
      <c r="AA344">
        <v>0.99872680000000003</v>
      </c>
      <c r="AB344">
        <v>43</v>
      </c>
      <c r="AC344">
        <v>139.48419999999999</v>
      </c>
      <c r="AD344">
        <v>-1.120950486086</v>
      </c>
      <c r="AE344">
        <v>-6.4449999999999896</v>
      </c>
      <c r="AF344">
        <v>7.0556289527235796</v>
      </c>
      <c r="AG344">
        <v>-1.120950486086</v>
      </c>
      <c r="AH344">
        <v>139.44563585014501</v>
      </c>
      <c r="AI344">
        <v>90.459980679424802</v>
      </c>
      <c r="AJ344">
        <v>87.103435303121003</v>
      </c>
      <c r="AK344">
        <v>139.62852068099099</v>
      </c>
      <c r="AL344">
        <v>77.285258170427795</v>
      </c>
      <c r="AM344">
        <v>86.869069692914096</v>
      </c>
      <c r="AN344">
        <v>1.0000000193776299</v>
      </c>
    </row>
    <row r="345" spans="1:40" x14ac:dyDescent="0.25">
      <c r="A345" t="str">
        <f>"20190303170948821"</f>
        <v>20190303170948821</v>
      </c>
      <c r="B345" t="str">
        <f>"1551604188811623"</f>
        <v>1551604188811623</v>
      </c>
      <c r="C345" t="s">
        <v>40</v>
      </c>
      <c r="D345">
        <v>4.8894900000000003</v>
      </c>
      <c r="E345">
        <v>0.50358579999999997</v>
      </c>
      <c r="F345" t="s">
        <v>42</v>
      </c>
      <c r="G345">
        <v>-218.75049999999999</v>
      </c>
      <c r="H345" s="1">
        <v>-2.710793E-6</v>
      </c>
      <c r="I345">
        <v>360.97410000000002</v>
      </c>
      <c r="J345">
        <v>-362.51249999999999</v>
      </c>
      <c r="K345">
        <v>1.1209439999999999</v>
      </c>
      <c r="L345">
        <v>367.62650000000002</v>
      </c>
      <c r="M345">
        <v>0.99988560000000004</v>
      </c>
      <c r="N345">
        <v>-1.447767E-2</v>
      </c>
      <c r="O345">
        <v>4.3904399999999998E-3</v>
      </c>
      <c r="P345">
        <v>0.97728079999999995</v>
      </c>
      <c r="Q345">
        <v>0.20622750000000001</v>
      </c>
      <c r="R345">
        <v>-4.8913499999999999E-2</v>
      </c>
      <c r="S345">
        <v>3.0674440000000001</v>
      </c>
      <c r="T345">
        <v>-2.3860449999999998E-2</v>
      </c>
      <c r="U345">
        <v>-0.141571</v>
      </c>
      <c r="V345">
        <v>5.3205120000000002E-2</v>
      </c>
      <c r="W345">
        <v>0.2203512</v>
      </c>
      <c r="X345">
        <v>0.97396839999999996</v>
      </c>
      <c r="Y345">
        <v>5.0485019999999999E-2</v>
      </c>
      <c r="Z345">
        <v>-5.3252780000000003E-4</v>
      </c>
      <c r="AA345">
        <v>0.99872470000000002</v>
      </c>
      <c r="AB345">
        <v>43</v>
      </c>
      <c r="AC345">
        <v>143.762</v>
      </c>
      <c r="AD345">
        <v>-1.120946710793</v>
      </c>
      <c r="AE345">
        <v>-6.6524000000000001</v>
      </c>
      <c r="AF345">
        <v>7.2831385891791198</v>
      </c>
      <c r="AG345">
        <v>-1.120946710793</v>
      </c>
      <c r="AH345">
        <v>143.72268487494799</v>
      </c>
      <c r="AI345">
        <v>90.446289414541994</v>
      </c>
      <c r="AJ345">
        <v>87.099021239494903</v>
      </c>
      <c r="AK345">
        <v>143.911468538478</v>
      </c>
      <c r="AL345">
        <v>77.270337735205004</v>
      </c>
      <c r="AM345">
        <v>86.873202514707003</v>
      </c>
      <c r="AN345">
        <v>0.99999994016710503</v>
      </c>
    </row>
    <row r="346" spans="1:40" x14ac:dyDescent="0.25">
      <c r="A346" t="str">
        <f>"20190303170948837"</f>
        <v>20190303170948837</v>
      </c>
      <c r="B346" t="str">
        <f>"1551604188831144"</f>
        <v>1551604188831144</v>
      </c>
      <c r="C346" t="s">
        <v>40</v>
      </c>
      <c r="D346">
        <v>4.9481849999999996</v>
      </c>
      <c r="E346">
        <v>0.50359940000000003</v>
      </c>
      <c r="F346" t="s">
        <v>44</v>
      </c>
      <c r="G346">
        <v>-208.11349999999999</v>
      </c>
      <c r="H346" s="1">
        <v>-6.074298E-6</v>
      </c>
      <c r="I346">
        <v>360.52030000000002</v>
      </c>
      <c r="J346">
        <v>-362.20060000000001</v>
      </c>
      <c r="K346">
        <v>1.1209469999999999</v>
      </c>
      <c r="L346">
        <v>367.62790000000001</v>
      </c>
      <c r="M346">
        <v>0.99988560000000004</v>
      </c>
      <c r="N346">
        <v>-1.4476019999999999E-2</v>
      </c>
      <c r="O346">
        <v>4.3984999999999996E-3</v>
      </c>
      <c r="P346">
        <v>0.9772499</v>
      </c>
      <c r="Q346">
        <v>0.20636499999999999</v>
      </c>
      <c r="R346">
        <v>-4.8949670000000001E-2</v>
      </c>
      <c r="S346">
        <v>3.067383</v>
      </c>
      <c r="T346">
        <v>-2.2269489999999999E-2</v>
      </c>
      <c r="U346">
        <v>-0.1411743</v>
      </c>
      <c r="V346">
        <v>5.3249199999999997E-2</v>
      </c>
      <c r="W346">
        <v>0.2204865</v>
      </c>
      <c r="X346">
        <v>0.97393540000000001</v>
      </c>
      <c r="Y346">
        <v>5.0365470000000002E-2</v>
      </c>
      <c r="Z346">
        <v>-5.1577709999999996E-4</v>
      </c>
      <c r="AA346">
        <v>0.99873069999999997</v>
      </c>
      <c r="AB346">
        <v>43</v>
      </c>
      <c r="AC346">
        <v>154.08709999999999</v>
      </c>
      <c r="AD346">
        <v>-1.1209530742979901</v>
      </c>
      <c r="AE346">
        <v>-7.1075999999999899</v>
      </c>
      <c r="AF346">
        <v>7.7849431995892404</v>
      </c>
      <c r="AG346">
        <v>-1.1209530742979901</v>
      </c>
      <c r="AH346">
        <v>154.04620784368501</v>
      </c>
      <c r="AI346">
        <v>90.416387358237799</v>
      </c>
      <c r="AJ346">
        <v>87.106937884499104</v>
      </c>
      <c r="AK346">
        <v>154.24686715598301</v>
      </c>
      <c r="AL346">
        <v>77.262390516594706</v>
      </c>
      <c r="AM346">
        <v>86.870511313088102</v>
      </c>
      <c r="AN346">
        <v>0.99999996867802399</v>
      </c>
    </row>
    <row r="347" spans="1:40" x14ac:dyDescent="0.25">
      <c r="A347" t="str">
        <f>"20190303170948861"</f>
        <v>20190303170948861</v>
      </c>
      <c r="B347" t="str">
        <f>"1551604188850664"</f>
        <v>1551604188850664</v>
      </c>
      <c r="C347" t="s">
        <v>40</v>
      </c>
      <c r="D347">
        <v>4.9465009999999996</v>
      </c>
      <c r="E347">
        <v>0.50363190000000002</v>
      </c>
      <c r="F347" t="s">
        <v>44</v>
      </c>
      <c r="G347">
        <v>-202.37899999999999</v>
      </c>
      <c r="H347" s="1">
        <v>-3.7060639999999998E-6</v>
      </c>
      <c r="I347">
        <v>360.28</v>
      </c>
      <c r="J347">
        <v>-361.7543</v>
      </c>
      <c r="K347">
        <v>1.120954</v>
      </c>
      <c r="L347">
        <v>367.62990000000002</v>
      </c>
      <c r="M347">
        <v>0.99988560000000004</v>
      </c>
      <c r="N347">
        <v>-1.447355E-2</v>
      </c>
      <c r="O347">
        <v>4.4097820000000001E-3</v>
      </c>
      <c r="P347">
        <v>0.9772419</v>
      </c>
      <c r="Q347">
        <v>0.20644470000000001</v>
      </c>
      <c r="R347">
        <v>-4.8774539999999998E-2</v>
      </c>
      <c r="S347">
        <v>3.0673219999999999</v>
      </c>
      <c r="T347">
        <v>-2.1513460000000002E-2</v>
      </c>
      <c r="U347">
        <v>-0.1410217</v>
      </c>
      <c r="V347">
        <v>5.308508E-2</v>
      </c>
      <c r="W347">
        <v>0.22056419999999999</v>
      </c>
      <c r="X347">
        <v>0.97392679999999998</v>
      </c>
      <c r="Y347">
        <v>5.0328249999999998E-2</v>
      </c>
      <c r="Z347">
        <v>-5.0795810000000001E-4</v>
      </c>
      <c r="AA347">
        <v>0.99873259999999997</v>
      </c>
      <c r="AB347">
        <v>43</v>
      </c>
      <c r="AC347">
        <v>159.37529999999899</v>
      </c>
      <c r="AD347">
        <v>-1.1209577060639999</v>
      </c>
      <c r="AE347">
        <v>-7.3499000000000398</v>
      </c>
      <c r="AF347">
        <v>8.0523149275119099</v>
      </c>
      <c r="AG347">
        <v>-1.1209577060639999</v>
      </c>
      <c r="AH347">
        <v>159.33346979879701</v>
      </c>
      <c r="AI347">
        <v>90.402572220640295</v>
      </c>
      <c r="AJ347">
        <v>87.106876026540704</v>
      </c>
      <c r="AK347">
        <v>159.54075002956</v>
      </c>
      <c r="AL347">
        <v>77.257826698690096</v>
      </c>
      <c r="AM347">
        <v>86.880110169230093</v>
      </c>
      <c r="AN347">
        <v>1.0000000018992401</v>
      </c>
    </row>
    <row r="348" spans="1:40" x14ac:dyDescent="0.25">
      <c r="A348" t="str">
        <f>"20190303170948882"</f>
        <v>20190303170948882</v>
      </c>
      <c r="B348" t="str">
        <f>"1551604188871159"</f>
        <v>1551604188871159</v>
      </c>
      <c r="C348" t="s">
        <v>40</v>
      </c>
      <c r="D348">
        <v>4.9444589999999904</v>
      </c>
      <c r="E348">
        <v>0.5036079</v>
      </c>
      <c r="F348" t="s">
        <v>44</v>
      </c>
      <c r="G348">
        <v>-198.035</v>
      </c>
      <c r="H348" s="1">
        <v>-9.5924070000000007E-6</v>
      </c>
      <c r="I348">
        <v>360.09769999999997</v>
      </c>
      <c r="J348">
        <v>-361.32600000000002</v>
      </c>
      <c r="K348">
        <v>1.1209519999999999</v>
      </c>
      <c r="L348">
        <v>367.6318</v>
      </c>
      <c r="M348">
        <v>0.99988560000000004</v>
      </c>
      <c r="N348">
        <v>-1.44712E-2</v>
      </c>
      <c r="O348">
        <v>4.4181869999999996E-3</v>
      </c>
      <c r="P348">
        <v>0.97721270000000005</v>
      </c>
      <c r="Q348">
        <v>0.20659930000000001</v>
      </c>
      <c r="R348">
        <v>-4.8708330000000001E-2</v>
      </c>
      <c r="S348">
        <v>3.0672609999999998</v>
      </c>
      <c r="T348">
        <v>-2.1001100000000002E-2</v>
      </c>
      <c r="U348">
        <v>-0.141113299999999</v>
      </c>
      <c r="V348">
        <v>5.302722E-2</v>
      </c>
      <c r="W348">
        <v>0.22071579999999999</v>
      </c>
      <c r="X348">
        <v>0.97389559999999997</v>
      </c>
      <c r="Y348">
        <v>5.0367410000000001E-2</v>
      </c>
      <c r="Z348">
        <v>-5.0332909999999999E-4</v>
      </c>
      <c r="AA348">
        <v>0.99873069999999997</v>
      </c>
      <c r="AB348">
        <v>43</v>
      </c>
      <c r="AC348">
        <v>163.290999999999</v>
      </c>
      <c r="AD348">
        <v>-1.120961592407</v>
      </c>
      <c r="AE348">
        <v>-7.53410000000002</v>
      </c>
      <c r="AF348">
        <v>8.2551639197653603</v>
      </c>
      <c r="AG348">
        <v>-1.120961592407</v>
      </c>
      <c r="AH348">
        <v>163.24843852222199</v>
      </c>
      <c r="AI348">
        <v>90.392918932336599</v>
      </c>
      <c r="AJ348">
        <v>87.105126941819293</v>
      </c>
      <c r="AK348">
        <v>163.46087289066301</v>
      </c>
      <c r="AL348">
        <v>77.248921096329397</v>
      </c>
      <c r="AM348">
        <v>86.883404337245096</v>
      </c>
      <c r="AN348">
        <v>0.99999999506496395</v>
      </c>
    </row>
    <row r="349" spans="1:40" x14ac:dyDescent="0.25">
      <c r="A349" t="str">
        <f>"20190303170948902"</f>
        <v>20190303170948902</v>
      </c>
      <c r="B349" t="str">
        <f>"1551604188890680"</f>
        <v>1551604188890680</v>
      </c>
      <c r="C349" t="s">
        <v>40</v>
      </c>
      <c r="D349">
        <v>4.8427790000000002</v>
      </c>
      <c r="E349">
        <v>0.50356719999999999</v>
      </c>
      <c r="F349" t="s">
        <v>44</v>
      </c>
      <c r="G349">
        <v>-191.41460000000001</v>
      </c>
      <c r="H349" s="1">
        <v>-7.3123009999999997E-6</v>
      </c>
      <c r="I349">
        <v>359.81799999999998</v>
      </c>
      <c r="J349">
        <v>-360.95150000000001</v>
      </c>
      <c r="K349">
        <v>1.1209519999999999</v>
      </c>
      <c r="L349">
        <v>367.63339999999999</v>
      </c>
      <c r="M349">
        <v>0.99988549999999998</v>
      </c>
      <c r="N349">
        <v>-1.446918E-2</v>
      </c>
      <c r="O349">
        <v>4.4240740000000001E-3</v>
      </c>
      <c r="P349">
        <v>0.97720450000000003</v>
      </c>
      <c r="Q349">
        <v>0.2067657</v>
      </c>
      <c r="R349">
        <v>-4.8159359999999998E-2</v>
      </c>
      <c r="S349">
        <v>3.0672000000000001</v>
      </c>
      <c r="T349">
        <v>-2.0235300000000001E-2</v>
      </c>
      <c r="U349">
        <v>-0.14105219999999999</v>
      </c>
      <c r="V349">
        <v>5.2485039999999997E-2</v>
      </c>
      <c r="W349">
        <v>0.22087999999999999</v>
      </c>
      <c r="X349">
        <v>0.97388770000000002</v>
      </c>
      <c r="Y349">
        <v>5.0354540000000003E-2</v>
      </c>
      <c r="Z349">
        <v>-4.9572189999999995E-4</v>
      </c>
      <c r="AA349">
        <v>0.99873129999999999</v>
      </c>
      <c r="AB349">
        <v>43</v>
      </c>
      <c r="AC349">
        <v>169.5369</v>
      </c>
      <c r="AD349">
        <v>-1.120959312301</v>
      </c>
      <c r="AE349">
        <v>-7.8153999999999497</v>
      </c>
      <c r="AF349">
        <v>8.5650721931056992</v>
      </c>
      <c r="AG349">
        <v>-1.120959312301</v>
      </c>
      <c r="AH349">
        <v>169.49326695174699</v>
      </c>
      <c r="AI349">
        <v>90.3784425057042</v>
      </c>
      <c r="AJ349">
        <v>87.107109849006804</v>
      </c>
      <c r="AK349">
        <v>169.713242127505</v>
      </c>
      <c r="AL349">
        <v>77.239274515484894</v>
      </c>
      <c r="AM349">
        <v>86.915183320812901</v>
      </c>
      <c r="AN349">
        <v>0.99999995301754396</v>
      </c>
    </row>
    <row r="350" spans="1:40" x14ac:dyDescent="0.25">
      <c r="A350" t="str">
        <f>"20190303170948915"</f>
        <v>20190303170948915</v>
      </c>
      <c r="B350" t="str">
        <f>"1551604188911175"</f>
        <v>1551604188911175</v>
      </c>
      <c r="C350" t="s">
        <v>40</v>
      </c>
      <c r="D350">
        <v>5.0562800000000001</v>
      </c>
      <c r="E350">
        <v>0.50358349999999996</v>
      </c>
      <c r="F350" t="s">
        <v>44</v>
      </c>
      <c r="G350">
        <v>-183.7741</v>
      </c>
      <c r="H350" s="1">
        <v>-5.6411650000000004E-6</v>
      </c>
      <c r="I350">
        <v>359.58429999999998</v>
      </c>
      <c r="J350">
        <v>-360.70010000000002</v>
      </c>
      <c r="K350">
        <v>1.1209469999999999</v>
      </c>
      <c r="L350">
        <v>367.63459999999998</v>
      </c>
      <c r="M350">
        <v>0.99988569999999999</v>
      </c>
      <c r="N350">
        <v>-1.446792E-2</v>
      </c>
      <c r="O350">
        <v>4.4271010000000001E-3</v>
      </c>
      <c r="P350">
        <v>0.97715010000000002</v>
      </c>
      <c r="Q350">
        <v>0.2070429</v>
      </c>
      <c r="R350">
        <v>-4.8076290000000001E-2</v>
      </c>
      <c r="S350">
        <v>3.0672299999999999</v>
      </c>
      <c r="T350">
        <v>-1.9405599999999999E-2</v>
      </c>
      <c r="U350">
        <v>-0.1393433</v>
      </c>
      <c r="V350">
        <v>5.2405260000000002E-2</v>
      </c>
      <c r="W350">
        <v>0.22115480000000001</v>
      </c>
      <c r="X350">
        <v>0.97382970000000002</v>
      </c>
      <c r="Y350">
        <v>4.9801999999999999E-2</v>
      </c>
      <c r="Z350">
        <v>-4.819162E-4</v>
      </c>
      <c r="AA350">
        <v>0.99875899999999995</v>
      </c>
      <c r="AB350">
        <v>43</v>
      </c>
      <c r="AC350">
        <v>176.92599999999999</v>
      </c>
      <c r="AD350">
        <v>-1.1209526411649999</v>
      </c>
      <c r="AE350">
        <v>-8.0502999999999894</v>
      </c>
      <c r="AF350">
        <v>8.8332183803812807</v>
      </c>
      <c r="AG350">
        <v>-1.1209526411649999</v>
      </c>
      <c r="AH350">
        <v>176.88153702544199</v>
      </c>
      <c r="AI350">
        <v>90.362644197091697</v>
      </c>
      <c r="AJ350">
        <v>87.141103308363398</v>
      </c>
      <c r="AK350">
        <v>177.10550647075399</v>
      </c>
      <c r="AL350">
        <v>77.223131267639005</v>
      </c>
      <c r="AM350">
        <v>86.919680271731394</v>
      </c>
      <c r="AN350">
        <v>1.0000000207203901</v>
      </c>
    </row>
    <row r="351" spans="1:40" x14ac:dyDescent="0.25">
      <c r="A351" t="str">
        <f>"20190303170948928"</f>
        <v>20190303170948928</v>
      </c>
      <c r="B351" t="str">
        <f>"1551604188920936"</f>
        <v>1551604188920936</v>
      </c>
      <c r="C351" t="s">
        <v>40</v>
      </c>
      <c r="D351">
        <v>4.8769210000000003</v>
      </c>
      <c r="E351">
        <v>0.50358349999999996</v>
      </c>
      <c r="F351" t="s">
        <v>44</v>
      </c>
      <c r="G351">
        <v>-180</v>
      </c>
      <c r="H351">
        <v>3.481298E-2</v>
      </c>
      <c r="I351">
        <v>359.4128</v>
      </c>
      <c r="J351">
        <v>-360.44709999999998</v>
      </c>
      <c r="K351">
        <v>1.1209480000000001</v>
      </c>
      <c r="L351">
        <v>367.63569999999999</v>
      </c>
      <c r="M351">
        <v>0.99988560000000004</v>
      </c>
      <c r="N351">
        <v>-1.446651E-2</v>
      </c>
      <c r="O351">
        <v>4.4297709999999999E-3</v>
      </c>
      <c r="P351">
        <v>0.97707940000000004</v>
      </c>
      <c r="Q351">
        <v>0.20739109999999999</v>
      </c>
      <c r="R351">
        <v>-4.8009120000000002E-2</v>
      </c>
      <c r="S351">
        <v>3.0672299999999999</v>
      </c>
      <c r="T351">
        <v>-1.8436190000000002E-2</v>
      </c>
      <c r="U351">
        <v>-0.13955689999999901</v>
      </c>
      <c r="V351">
        <v>5.2341140000000001E-2</v>
      </c>
      <c r="W351">
        <v>0.2214999</v>
      </c>
      <c r="X351">
        <v>0.97375469999999997</v>
      </c>
      <c r="Y351">
        <v>4.987428E-2</v>
      </c>
      <c r="Z351">
        <v>-4.7334029999999999E-4</v>
      </c>
      <c r="AA351">
        <v>0.99875539999999996</v>
      </c>
      <c r="AB351">
        <v>43</v>
      </c>
      <c r="AC351">
        <v>180.44710000000001</v>
      </c>
      <c r="AD351">
        <v>-1.08613502</v>
      </c>
      <c r="AE351">
        <v>-8.2228999999999797</v>
      </c>
      <c r="AF351">
        <v>9.0219160582473705</v>
      </c>
      <c r="AG351">
        <v>-1.08613502</v>
      </c>
      <c r="AH351">
        <v>180.402377375806</v>
      </c>
      <c r="AI351">
        <v>90.344521676601403</v>
      </c>
      <c r="AJ351">
        <v>87.137025410363904</v>
      </c>
      <c r="AK351">
        <v>180.631094835542</v>
      </c>
      <c r="AL351">
        <v>77.202855487557002</v>
      </c>
      <c r="AM351">
        <v>86.923205419702896</v>
      </c>
      <c r="AN351">
        <v>1.0000000082042899</v>
      </c>
    </row>
    <row r="352" spans="1:40" x14ac:dyDescent="0.25">
      <c r="A352" t="str">
        <f>"20190303170948941"</f>
        <v>20190303170948941</v>
      </c>
      <c r="B352" t="str">
        <f>"1551604188930696"</f>
        <v>1551604188930696</v>
      </c>
      <c r="C352" t="s">
        <v>40</v>
      </c>
      <c r="D352">
        <v>4.9051419999999997</v>
      </c>
      <c r="E352">
        <v>0.52613259999999995</v>
      </c>
      <c r="F352" t="s">
        <v>44</v>
      </c>
      <c r="G352">
        <v>-176.17310000000001</v>
      </c>
      <c r="H352">
        <v>7.9988039999999996E-2</v>
      </c>
      <c r="I352">
        <v>359.28980000000001</v>
      </c>
      <c r="J352">
        <v>-360.20159999999998</v>
      </c>
      <c r="K352">
        <v>1.1209480000000001</v>
      </c>
      <c r="L352">
        <v>367.63670000000002</v>
      </c>
      <c r="M352">
        <v>0.99988569999999999</v>
      </c>
      <c r="N352">
        <v>-1.446507E-2</v>
      </c>
      <c r="O352">
        <v>4.4319659999999999E-3</v>
      </c>
      <c r="P352">
        <v>0.97703019999999996</v>
      </c>
      <c r="Q352">
        <v>0.20764659999999999</v>
      </c>
      <c r="R352">
        <v>-4.7905730000000001E-2</v>
      </c>
      <c r="S352">
        <v>3.0672299999999999</v>
      </c>
      <c r="T352">
        <v>-1.7326709999999999E-2</v>
      </c>
      <c r="U352">
        <v>-0.13891600000000001</v>
      </c>
      <c r="V352">
        <v>5.2240330000000001E-2</v>
      </c>
      <c r="W352">
        <v>0.22175320000000001</v>
      </c>
      <c r="X352">
        <v>0.97370239999999997</v>
      </c>
      <c r="Y352">
        <v>4.9668450000000003E-2</v>
      </c>
      <c r="Z352">
        <v>-4.6060179999999999E-4</v>
      </c>
      <c r="AA352">
        <v>0.99876560000000003</v>
      </c>
      <c r="AB352">
        <v>43</v>
      </c>
      <c r="AC352">
        <v>184.02850000000001</v>
      </c>
      <c r="AD352">
        <v>-1.0409599599999999</v>
      </c>
      <c r="AE352">
        <v>-8.3468999999999998</v>
      </c>
      <c r="AF352">
        <v>9.1622187290737198</v>
      </c>
      <c r="AG352">
        <v>-1.0409599599999999</v>
      </c>
      <c r="AH352">
        <v>183.98382050696401</v>
      </c>
      <c r="AI352">
        <v>90.323768471647199</v>
      </c>
      <c r="AJ352">
        <v>87.149079995770705</v>
      </c>
      <c r="AK352">
        <v>184.21475526682599</v>
      </c>
      <c r="AL352">
        <v>77.187971572730206</v>
      </c>
      <c r="AM352">
        <v>86.9289554006657</v>
      </c>
      <c r="AN352">
        <v>0.99999994877725296</v>
      </c>
    </row>
    <row r="353" spans="1:40" x14ac:dyDescent="0.25">
      <c r="A353" t="str">
        <f>"20190303170948959"</f>
        <v>20190303170948959</v>
      </c>
      <c r="B353" t="str">
        <f>"1551604188951192"</f>
        <v>1551604188951192</v>
      </c>
      <c r="C353" t="s">
        <v>40</v>
      </c>
      <c r="D353">
        <v>4.8770419999999897</v>
      </c>
      <c r="E353">
        <v>0.53303990000000001</v>
      </c>
      <c r="F353" t="s">
        <v>42</v>
      </c>
      <c r="G353">
        <v>-340.71859999999998</v>
      </c>
      <c r="H353" s="1">
        <v>-5.0647659999999997E-6</v>
      </c>
      <c r="I353">
        <v>365.68759999999997</v>
      </c>
      <c r="J353">
        <v>-359.83879999999999</v>
      </c>
      <c r="K353">
        <v>1.120957</v>
      </c>
      <c r="L353">
        <v>367.63839999999999</v>
      </c>
      <c r="M353">
        <v>0.99988569999999999</v>
      </c>
      <c r="N353">
        <v>-1.446278E-2</v>
      </c>
      <c r="O353">
        <v>4.4341609999999998E-3</v>
      </c>
      <c r="P353">
        <v>0.97703430000000002</v>
      </c>
      <c r="Q353">
        <v>0.207731</v>
      </c>
      <c r="R353">
        <v>-4.7456249999999998E-2</v>
      </c>
      <c r="S353">
        <v>3.0931700000000002</v>
      </c>
      <c r="T353">
        <v>-0.17796489999999901</v>
      </c>
      <c r="U353">
        <v>-0.30944820000000001</v>
      </c>
      <c r="V353">
        <v>5.1793789999999999E-2</v>
      </c>
      <c r="W353">
        <v>0.22183559999999999</v>
      </c>
      <c r="X353">
        <v>0.97370760000000001</v>
      </c>
      <c r="Y353">
        <v>0.1037401</v>
      </c>
      <c r="Z353">
        <v>-3.9176790000000003E-3</v>
      </c>
      <c r="AA353">
        <v>0.9945967</v>
      </c>
      <c r="AB353">
        <v>43</v>
      </c>
      <c r="AC353">
        <v>19.120200000000001</v>
      </c>
      <c r="AD353">
        <v>-1.1209620647659999</v>
      </c>
      <c r="AE353">
        <v>-1.9508000000000101</v>
      </c>
      <c r="AF353">
        <v>2.0286707371685799</v>
      </c>
      <c r="AG353">
        <v>-1.1209620647659999</v>
      </c>
      <c r="AH353">
        <v>19.0465696985924</v>
      </c>
      <c r="AI353">
        <v>93.349285145688995</v>
      </c>
      <c r="AJ353">
        <v>83.920286079904599</v>
      </c>
      <c r="AK353">
        <v>19.187075811436902</v>
      </c>
      <c r="AL353">
        <v>77.183131261070201</v>
      </c>
      <c r="AM353">
        <v>86.955172704181095</v>
      </c>
      <c r="AN353">
        <v>1.0000000602038399</v>
      </c>
    </row>
    <row r="354" spans="1:40" x14ac:dyDescent="0.25">
      <c r="A354" t="str">
        <f>"20190303170948980"</f>
        <v>20190303170948980</v>
      </c>
      <c r="B354" t="str">
        <f>"1551604188970711"</f>
        <v>1551604188970711</v>
      </c>
      <c r="C354" t="s">
        <v>40</v>
      </c>
      <c r="D354">
        <v>4.9619400000000002</v>
      </c>
      <c r="E354">
        <v>0.53444419999999904</v>
      </c>
      <c r="F354" t="s">
        <v>43</v>
      </c>
      <c r="G354">
        <v>-358.7998</v>
      </c>
      <c r="H354">
        <v>1.0276809999999901</v>
      </c>
      <c r="I354">
        <v>367.51850000000002</v>
      </c>
      <c r="J354">
        <v>-359.44240000000002</v>
      </c>
      <c r="K354">
        <v>1.120959</v>
      </c>
      <c r="L354">
        <v>367.64010000000002</v>
      </c>
      <c r="M354">
        <v>0.99988569999999999</v>
      </c>
      <c r="N354">
        <v>-1.4460239999999999E-2</v>
      </c>
      <c r="O354">
        <v>4.4356480000000004E-3</v>
      </c>
      <c r="P354">
        <v>0.97700989999999999</v>
      </c>
      <c r="Q354">
        <v>0.20790220000000001</v>
      </c>
      <c r="R354">
        <v>-4.7209290000000001E-2</v>
      </c>
      <c r="S354">
        <v>3.112549</v>
      </c>
      <c r="T354">
        <v>-0.27964929999999999</v>
      </c>
      <c r="U354">
        <v>-0.35803220000000002</v>
      </c>
      <c r="V354">
        <v>5.1548730000000001E-2</v>
      </c>
      <c r="W354">
        <v>0.2220039</v>
      </c>
      <c r="X354">
        <v>0.97368220000000005</v>
      </c>
      <c r="Y354">
        <v>0.1181223</v>
      </c>
      <c r="Z354">
        <v>-6.4699129999999999E-3</v>
      </c>
      <c r="AA354">
        <v>0.99297800000000003</v>
      </c>
      <c r="AB354">
        <v>43</v>
      </c>
      <c r="AC354">
        <v>0.64260000000001505</v>
      </c>
      <c r="AD354">
        <v>-9.3278000000000194E-2</v>
      </c>
      <c r="AE354">
        <v>-0.1216</v>
      </c>
      <c r="AF354">
        <v>0.121968346295466</v>
      </c>
      <c r="AG354">
        <v>-9.3278000000000194E-2</v>
      </c>
      <c r="AH354">
        <v>0.62925384909906201</v>
      </c>
      <c r="AI354">
        <v>98.279977694647897</v>
      </c>
      <c r="AJ354">
        <v>79.030379177328101</v>
      </c>
      <c r="AK354">
        <v>0.64771712142573101</v>
      </c>
      <c r="AL354">
        <v>77.1732411961286</v>
      </c>
      <c r="AM354">
        <v>86.969473345203099</v>
      </c>
      <c r="AN354">
        <v>1.0000000148883299</v>
      </c>
    </row>
    <row r="355" spans="1:40" x14ac:dyDescent="0.25">
      <c r="A355" t="str">
        <f>"20190303170949002"</f>
        <v>20190303170949002</v>
      </c>
      <c r="B355" t="str">
        <f>"1551604188991209"</f>
        <v>1551604188991209</v>
      </c>
      <c r="C355" t="s">
        <v>40</v>
      </c>
      <c r="D355">
        <v>4.9365009999999998</v>
      </c>
      <c r="E355">
        <v>0.53510080000000004</v>
      </c>
      <c r="F355" t="s">
        <v>43</v>
      </c>
      <c r="G355">
        <v>-358.42919999999998</v>
      </c>
      <c r="H355">
        <v>0.99937799999999999</v>
      </c>
      <c r="I355">
        <v>367.52199999999999</v>
      </c>
      <c r="J355">
        <v>-359.01029999999997</v>
      </c>
      <c r="K355">
        <v>1.120957</v>
      </c>
      <c r="L355">
        <v>367.642</v>
      </c>
      <c r="M355">
        <v>0.99988560000000004</v>
      </c>
      <c r="N355">
        <v>-1.445752E-2</v>
      </c>
      <c r="O355">
        <v>4.4352840000000003E-3</v>
      </c>
      <c r="P355">
        <v>0.97704060000000004</v>
      </c>
      <c r="Q355">
        <v>0.20777000000000001</v>
      </c>
      <c r="R355">
        <v>-4.7149339999999998E-2</v>
      </c>
      <c r="S355">
        <v>3.1330870000000002</v>
      </c>
      <c r="T355">
        <v>-0.37627110000000002</v>
      </c>
      <c r="U355">
        <v>-0.36346440000000002</v>
      </c>
      <c r="V355">
        <v>5.1489519999999997E-2</v>
      </c>
      <c r="W355">
        <v>0.2218695</v>
      </c>
      <c r="X355">
        <v>0.97371600000000003</v>
      </c>
      <c r="Y355">
        <v>0.1186716</v>
      </c>
      <c r="Z355">
        <v>-8.406485E-3</v>
      </c>
      <c r="AA355">
        <v>0.99289799999999995</v>
      </c>
      <c r="AB355">
        <v>43</v>
      </c>
      <c r="AC355">
        <v>0.58109999999999196</v>
      </c>
      <c r="AD355">
        <v>-0.12157899999999899</v>
      </c>
      <c r="AE355">
        <v>-0.12000000000000401</v>
      </c>
      <c r="AF355">
        <v>0.117637588232052</v>
      </c>
      <c r="AG355">
        <v>-0.12157899999999899</v>
      </c>
      <c r="AH355">
        <v>0.55717001492400897</v>
      </c>
      <c r="AI355">
        <v>102.051778374655</v>
      </c>
      <c r="AJ355">
        <v>78.078000637697997</v>
      </c>
      <c r="AK355">
        <v>0.58228728385263095</v>
      </c>
      <c r="AL355">
        <v>77.181139125101396</v>
      </c>
      <c r="AM355">
        <v>86.9730526777916</v>
      </c>
      <c r="AN355">
        <v>1.0000000471780299</v>
      </c>
    </row>
    <row r="356" spans="1:40" x14ac:dyDescent="0.25">
      <c r="A356" t="str">
        <f>"20190303170949015"</f>
        <v>20190303170949015</v>
      </c>
      <c r="B356" t="str">
        <f>"1551604189010728"</f>
        <v>1551604189010728</v>
      </c>
      <c r="C356" t="s">
        <v>40</v>
      </c>
      <c r="D356">
        <v>4.9271750000000001</v>
      </c>
      <c r="E356">
        <v>0.53572580000000003</v>
      </c>
      <c r="F356" t="s">
        <v>43</v>
      </c>
      <c r="G356">
        <v>-358.05149999999998</v>
      </c>
      <c r="H356">
        <v>0.98630810000000002</v>
      </c>
      <c r="I356">
        <v>367.53070000000002</v>
      </c>
      <c r="J356">
        <v>-358.77339999999998</v>
      </c>
      <c r="K356">
        <v>1.120949</v>
      </c>
      <c r="L356">
        <v>367.6431</v>
      </c>
      <c r="M356">
        <v>0.99988580000000005</v>
      </c>
      <c r="N356">
        <v>-1.445601E-2</v>
      </c>
      <c r="O356">
        <v>4.4332449999999997E-3</v>
      </c>
      <c r="P356">
        <v>0.97708890000000004</v>
      </c>
      <c r="Q356">
        <v>0.20747170000000001</v>
      </c>
      <c r="R356">
        <v>-4.7464230000000003E-2</v>
      </c>
      <c r="S356">
        <v>3.1468509999999998</v>
      </c>
      <c r="T356">
        <v>-0.44196869999999999</v>
      </c>
      <c r="U356">
        <v>-0.3651123</v>
      </c>
      <c r="V356">
        <v>5.180332E-2</v>
      </c>
      <c r="W356">
        <v>0.22157009999999999</v>
      </c>
      <c r="X356">
        <v>0.97376750000000001</v>
      </c>
      <c r="Y356">
        <v>0.11835320000000001</v>
      </c>
      <c r="Z356">
        <v>-9.6603130000000002E-3</v>
      </c>
      <c r="AA356">
        <v>0.99292460000000005</v>
      </c>
      <c r="AB356">
        <v>43</v>
      </c>
      <c r="AC356">
        <v>0.72190000000000498</v>
      </c>
      <c r="AD356">
        <v>-0.13464089999999901</v>
      </c>
      <c r="AE356">
        <v>-0.112399999999979</v>
      </c>
      <c r="AF356">
        <v>0.11180251806576399</v>
      </c>
      <c r="AG356">
        <v>-0.13464089999999901</v>
      </c>
      <c r="AH356">
        <v>0.69769908914605805</v>
      </c>
      <c r="AI356">
        <v>100.78824059660001</v>
      </c>
      <c r="AJ356">
        <v>80.8960583414393</v>
      </c>
      <c r="AK356">
        <v>0.71931355749345804</v>
      </c>
      <c r="AL356">
        <v>77.198730971823593</v>
      </c>
      <c r="AM356">
        <v>86.954800494081198</v>
      </c>
      <c r="AN356">
        <v>1.00000001861664</v>
      </c>
    </row>
    <row r="357" spans="1:40" x14ac:dyDescent="0.25">
      <c r="A357" t="str">
        <f>"20190303170949028"</f>
        <v>20190303170949028</v>
      </c>
      <c r="B357" t="str">
        <f>"1551604189021464"</f>
        <v>1551604189021464</v>
      </c>
      <c r="C357" t="s">
        <v>40</v>
      </c>
      <c r="D357">
        <v>4.9649190000000001</v>
      </c>
      <c r="E357">
        <v>0.5360374</v>
      </c>
      <c r="F357" t="s">
        <v>43</v>
      </c>
      <c r="G357">
        <v>-358.04059999999998</v>
      </c>
      <c r="H357">
        <v>1.009315</v>
      </c>
      <c r="I357">
        <v>367.55739999999997</v>
      </c>
      <c r="J357">
        <v>-358.52730000000003</v>
      </c>
      <c r="K357">
        <v>1.120946</v>
      </c>
      <c r="L357">
        <v>367.64420000000001</v>
      </c>
      <c r="M357">
        <v>0.99988580000000005</v>
      </c>
      <c r="N357">
        <v>-1.445454E-2</v>
      </c>
      <c r="O357">
        <v>4.4274839999999998E-3</v>
      </c>
      <c r="P357">
        <v>0.97707529999999998</v>
      </c>
      <c r="Q357">
        <v>0.2074607</v>
      </c>
      <c r="R357">
        <v>-4.7791340000000002E-2</v>
      </c>
      <c r="S357">
        <v>3.1544189999999999</v>
      </c>
      <c r="T357">
        <v>-0.48056939999999998</v>
      </c>
      <c r="U357">
        <v>-0.36859130000000001</v>
      </c>
      <c r="V357">
        <v>5.2126310000000002E-2</v>
      </c>
      <c r="W357">
        <v>0.221557</v>
      </c>
      <c r="X357">
        <v>0.97375319999999999</v>
      </c>
      <c r="Y357">
        <v>0.1189298</v>
      </c>
      <c r="Z357">
        <v>-1.045021E-2</v>
      </c>
      <c r="AA357">
        <v>0.9928477</v>
      </c>
      <c r="AB357">
        <v>43</v>
      </c>
      <c r="AC357">
        <v>0.48670000000004099</v>
      </c>
      <c r="AD357">
        <v>-0.11163099999999999</v>
      </c>
      <c r="AE357">
        <v>-8.6800000000039207E-2</v>
      </c>
      <c r="AF357">
        <v>8.4638856530147799E-2</v>
      </c>
      <c r="AG357">
        <v>-0.11163099999999999</v>
      </c>
      <c r="AH357">
        <v>0.46271882532817299</v>
      </c>
      <c r="AI357">
        <v>103.350064412214</v>
      </c>
      <c r="AJ357">
        <v>79.634256227017701</v>
      </c>
      <c r="AK357">
        <v>0.48346036808492898</v>
      </c>
      <c r="AL357">
        <v>77.199500115231899</v>
      </c>
      <c r="AM357">
        <v>86.935805049408202</v>
      </c>
      <c r="AN357">
        <v>0.99999997547672703</v>
      </c>
    </row>
    <row r="358" spans="1:40" x14ac:dyDescent="0.25">
      <c r="A358" t="str">
        <f>"20190303170949040"</f>
        <v>20190303170949040</v>
      </c>
      <c r="B358" t="str">
        <f>"1551604189031225"</f>
        <v>1551604189031225</v>
      </c>
      <c r="C358" t="s">
        <v>40</v>
      </c>
      <c r="D358">
        <v>4.9757850000000001</v>
      </c>
      <c r="E358">
        <v>0.53630069999999996</v>
      </c>
      <c r="F358" t="s">
        <v>43</v>
      </c>
      <c r="G358">
        <v>-357.66759999999999</v>
      </c>
      <c r="H358">
        <v>0.98659160000000001</v>
      </c>
      <c r="I358">
        <v>367.54289999999997</v>
      </c>
      <c r="J358">
        <v>-358.2919</v>
      </c>
      <c r="K358">
        <v>1.1209439999999999</v>
      </c>
      <c r="L358">
        <v>367.64519999999999</v>
      </c>
      <c r="M358">
        <v>0.99988580000000005</v>
      </c>
      <c r="N358">
        <v>-1.445314E-2</v>
      </c>
      <c r="O358">
        <v>4.4204049999999996E-3</v>
      </c>
      <c r="P358">
        <v>0.97704360000000001</v>
      </c>
      <c r="Q358">
        <v>0.20746780000000001</v>
      </c>
      <c r="R358">
        <v>-4.840328E-2</v>
      </c>
      <c r="S358">
        <v>3.1569820000000002</v>
      </c>
      <c r="T358">
        <v>-0.49346230000000002</v>
      </c>
      <c r="U358">
        <v>-0.37142940000000002</v>
      </c>
      <c r="V358">
        <v>5.2732830000000001E-2</v>
      </c>
      <c r="W358">
        <v>0.2215617</v>
      </c>
      <c r="X358">
        <v>0.97371949999999996</v>
      </c>
      <c r="Y358">
        <v>0.1196246</v>
      </c>
      <c r="Z358">
        <v>-1.075567E-2</v>
      </c>
      <c r="AA358">
        <v>0.992761</v>
      </c>
      <c r="AB358">
        <v>43</v>
      </c>
      <c r="AC358">
        <v>0.62430000000000496</v>
      </c>
      <c r="AD358">
        <v>-0.13435240000000001</v>
      </c>
      <c r="AE358">
        <v>-0.10230000000001301</v>
      </c>
      <c r="AF358">
        <v>0.10052505737777601</v>
      </c>
      <c r="AG358">
        <v>-0.13435240000000001</v>
      </c>
      <c r="AH358">
        <v>0.59691933611935499</v>
      </c>
      <c r="AI358">
        <v>102.513996419488</v>
      </c>
      <c r="AJ358">
        <v>80.440717947972303</v>
      </c>
      <c r="AK358">
        <v>0.62005527848711794</v>
      </c>
      <c r="AL358">
        <v>77.199224300217196</v>
      </c>
      <c r="AM358">
        <v>86.900113414224506</v>
      </c>
      <c r="AN358">
        <v>1.00000000147347</v>
      </c>
    </row>
    <row r="359" spans="1:40" x14ac:dyDescent="0.25">
      <c r="A359" t="str">
        <f>"20190303170949054"</f>
        <v>20190303170949054</v>
      </c>
      <c r="B359" t="str">
        <f>"1551604189040985"</f>
        <v>1551604189040985</v>
      </c>
      <c r="C359" t="s">
        <v>40</v>
      </c>
      <c r="D359">
        <v>4.9845759999999997</v>
      </c>
      <c r="E359">
        <v>0.53656479999999995</v>
      </c>
      <c r="F359" t="s">
        <v>43</v>
      </c>
      <c r="G359">
        <v>-357.2955</v>
      </c>
      <c r="H359">
        <v>0.96171010000000001</v>
      </c>
      <c r="I359">
        <v>367.52710000000002</v>
      </c>
      <c r="J359">
        <v>-358.02269999999999</v>
      </c>
      <c r="K359">
        <v>1.1209389999999999</v>
      </c>
      <c r="L359">
        <v>367.64640000000003</v>
      </c>
      <c r="M359">
        <v>0.99988589999999999</v>
      </c>
      <c r="N359">
        <v>-1.4451540000000001E-2</v>
      </c>
      <c r="O359">
        <v>4.4088920000000002E-3</v>
      </c>
      <c r="P359">
        <v>0.97697129999999999</v>
      </c>
      <c r="Q359">
        <v>0.20774039999999999</v>
      </c>
      <c r="R359">
        <v>-4.8696070000000001E-2</v>
      </c>
      <c r="S359">
        <v>3.159119</v>
      </c>
      <c r="T359">
        <v>-0.50497170000000002</v>
      </c>
      <c r="U359">
        <v>-0.37445070000000003</v>
      </c>
      <c r="V359">
        <v>5.3016510000000003E-2</v>
      </c>
      <c r="W359">
        <v>0.2218309</v>
      </c>
      <c r="X359">
        <v>0.97364280000000003</v>
      </c>
      <c r="Y359">
        <v>0.120391</v>
      </c>
      <c r="Z359">
        <v>-1.1042299999999901E-2</v>
      </c>
      <c r="AA359">
        <v>0.99266509999999997</v>
      </c>
      <c r="AB359">
        <v>43</v>
      </c>
      <c r="AC359">
        <v>0.72719999999998197</v>
      </c>
      <c r="AD359">
        <v>-0.15922889999999901</v>
      </c>
      <c r="AE359">
        <v>-0.119300000000009</v>
      </c>
      <c r="AF359">
        <v>0.11704095298053099</v>
      </c>
      <c r="AG359">
        <v>-0.15922889999999901</v>
      </c>
      <c r="AH359">
        <v>0.69425380913218704</v>
      </c>
      <c r="AI359">
        <v>102.743695362125</v>
      </c>
      <c r="AJ359">
        <v>80.430755366369297</v>
      </c>
      <c r="AK359">
        <v>0.721831544589423</v>
      </c>
      <c r="AL359">
        <v>77.183406650767694</v>
      </c>
      <c r="AM359">
        <v>86.883225115249402</v>
      </c>
      <c r="AN359">
        <v>1.0000000002596099</v>
      </c>
    </row>
    <row r="360" spans="1:40" x14ac:dyDescent="0.25">
      <c r="A360" t="str">
        <f>"20190303170949072"</f>
        <v>20190303170949072</v>
      </c>
      <c r="B360" t="str">
        <f>"1551604189061010"</f>
        <v>1551604189061010</v>
      </c>
      <c r="C360" t="s">
        <v>40</v>
      </c>
      <c r="D360">
        <v>4.9552889999999996</v>
      </c>
      <c r="E360">
        <v>0.53681730000000005</v>
      </c>
      <c r="F360" t="s">
        <v>43</v>
      </c>
      <c r="G360">
        <v>-357.27760000000001</v>
      </c>
      <c r="H360">
        <v>0.99991680000000005</v>
      </c>
      <c r="I360">
        <v>367.5575</v>
      </c>
      <c r="J360">
        <v>-357.69199999999898</v>
      </c>
      <c r="K360">
        <v>1.1209359999999999</v>
      </c>
      <c r="L360">
        <v>367.64780000000002</v>
      </c>
      <c r="M360">
        <v>0.99988600000000005</v>
      </c>
      <c r="N360">
        <v>-1.444955E-2</v>
      </c>
      <c r="O360">
        <v>4.3907979999999996E-3</v>
      </c>
      <c r="P360">
        <v>0.97684950000000004</v>
      </c>
      <c r="Q360">
        <v>0.2081683</v>
      </c>
      <c r="R360">
        <v>-4.9305870000000002E-2</v>
      </c>
      <c r="S360">
        <v>3.1611020000000001</v>
      </c>
      <c r="T360">
        <v>-0.51350890000000005</v>
      </c>
      <c r="U360">
        <v>-0.3767395</v>
      </c>
      <c r="V360">
        <v>5.3611529999999998E-2</v>
      </c>
      <c r="W360">
        <v>0.22225449999999999</v>
      </c>
      <c r="X360">
        <v>0.97351359999999998</v>
      </c>
      <c r="Y360">
        <v>0.1209484</v>
      </c>
      <c r="Z360">
        <v>-1.125252E-2</v>
      </c>
      <c r="AA360">
        <v>0.99259500000000001</v>
      </c>
      <c r="AB360">
        <v>43</v>
      </c>
      <c r="AC360">
        <v>0.41439999999994298</v>
      </c>
      <c r="AD360">
        <v>-0.12101919999999999</v>
      </c>
      <c r="AE360">
        <v>-9.03000000000133E-2</v>
      </c>
      <c r="AF360">
        <v>8.5183377825197498E-2</v>
      </c>
      <c r="AG360">
        <v>-0.12101919999999999</v>
      </c>
      <c r="AH360">
        <v>0.38283008862446899</v>
      </c>
      <c r="AI360">
        <v>107.148697819261</v>
      </c>
      <c r="AJ360">
        <v>77.455501429018497</v>
      </c>
      <c r="AK360">
        <v>0.41043968056532898</v>
      </c>
      <c r="AL360">
        <v>77.158514701412003</v>
      </c>
      <c r="AM360">
        <v>86.847897324172905</v>
      </c>
      <c r="AN360">
        <v>0.99999999415207497</v>
      </c>
    </row>
    <row r="361" spans="1:40" x14ac:dyDescent="0.25">
      <c r="A361" t="str">
        <f>"20190303170949093"</f>
        <v>20190303170949093</v>
      </c>
      <c r="B361" t="str">
        <f>"1551604189080529"</f>
        <v>1551604189080529</v>
      </c>
      <c r="C361" t="s">
        <v>40</v>
      </c>
      <c r="D361">
        <v>4.980575</v>
      </c>
      <c r="E361">
        <v>0.53709980000000002</v>
      </c>
      <c r="F361" t="s">
        <v>43</v>
      </c>
      <c r="G361">
        <v>-356.89949999999999</v>
      </c>
      <c r="H361">
        <v>0.98891320000000005</v>
      </c>
      <c r="I361">
        <v>367.55239999999998</v>
      </c>
      <c r="J361">
        <v>-357.29149999999998</v>
      </c>
      <c r="K361">
        <v>1.1209389999999999</v>
      </c>
      <c r="L361">
        <v>367.64960000000002</v>
      </c>
      <c r="M361">
        <v>0.99988619999999995</v>
      </c>
      <c r="N361">
        <v>-1.4447089999999999E-2</v>
      </c>
      <c r="O361">
        <v>4.3638130000000002E-3</v>
      </c>
      <c r="P361">
        <v>0.97675069999999997</v>
      </c>
      <c r="Q361">
        <v>0.2085062</v>
      </c>
      <c r="R361">
        <v>-4.9834179999999999E-2</v>
      </c>
      <c r="S361">
        <v>3.1643680000000001</v>
      </c>
      <c r="T361">
        <v>-0.52736939999999999</v>
      </c>
      <c r="U361">
        <v>-0.37942500000000001</v>
      </c>
      <c r="V361">
        <v>5.4116600000000001E-2</v>
      </c>
      <c r="W361">
        <v>0.22258729999999999</v>
      </c>
      <c r="X361">
        <v>0.97340959999999999</v>
      </c>
      <c r="Y361">
        <v>0.1215355</v>
      </c>
      <c r="Z361">
        <v>-1.1567869999999999E-2</v>
      </c>
      <c r="AA361">
        <v>0.9925197</v>
      </c>
      <c r="AB361">
        <v>43</v>
      </c>
      <c r="AC361">
        <v>0.39199999999999502</v>
      </c>
      <c r="AD361">
        <v>-0.132025799999999</v>
      </c>
      <c r="AE361">
        <v>-9.7200000000043404E-2</v>
      </c>
      <c r="AF361">
        <v>8.93604381076962E-2</v>
      </c>
      <c r="AG361">
        <v>-0.132025799999999</v>
      </c>
      <c r="AH361">
        <v>0.35376703803769299</v>
      </c>
      <c r="AI361">
        <v>109.891889533897</v>
      </c>
      <c r="AJ361">
        <v>75.823806249102304</v>
      </c>
      <c r="AK361">
        <v>0.388029917617703</v>
      </c>
      <c r="AL361">
        <v>77.138956580849893</v>
      </c>
      <c r="AM361">
        <v>86.817923100525704</v>
      </c>
      <c r="AN361">
        <v>0.99999998094450404</v>
      </c>
    </row>
    <row r="362" spans="1:40" x14ac:dyDescent="0.25">
      <c r="A362" t="str">
        <f>"20190303170949114"</f>
        <v>20190303170949114</v>
      </c>
      <c r="B362" t="str">
        <f>"1551604189110786"</f>
        <v>1551604189110786</v>
      </c>
      <c r="C362" t="s">
        <v>40</v>
      </c>
      <c r="D362">
        <v>4.9893349999999996</v>
      </c>
      <c r="E362">
        <v>0.53726300000000005</v>
      </c>
      <c r="F362" t="s">
        <v>43</v>
      </c>
      <c r="G362">
        <v>-356.5163</v>
      </c>
      <c r="H362">
        <v>0.98913070000000003</v>
      </c>
      <c r="I362">
        <v>367.55590000000001</v>
      </c>
      <c r="J362">
        <v>-356.87270000000001</v>
      </c>
      <c r="K362">
        <v>1.12094</v>
      </c>
      <c r="L362">
        <v>367.65129999999999</v>
      </c>
      <c r="M362">
        <v>0.99988639999999995</v>
      </c>
      <c r="N362">
        <v>-1.4444510000000001E-2</v>
      </c>
      <c r="O362">
        <v>4.3315940000000002E-3</v>
      </c>
      <c r="P362">
        <v>0.97657470000000002</v>
      </c>
      <c r="Q362">
        <v>0.2090911</v>
      </c>
      <c r="R362">
        <v>-5.0824010000000003E-2</v>
      </c>
      <c r="S362">
        <v>3.1668699999999999</v>
      </c>
      <c r="T362">
        <v>-0.53853240000000002</v>
      </c>
      <c r="U362">
        <v>-0.38195800000000002</v>
      </c>
      <c r="V362">
        <v>5.5077769999999998E-2</v>
      </c>
      <c r="W362">
        <v>0.22316649999999999</v>
      </c>
      <c r="X362">
        <v>0.97322310000000001</v>
      </c>
      <c r="Y362">
        <v>0.12211229999999999</v>
      </c>
      <c r="Z362">
        <v>-1.1831049999999999E-2</v>
      </c>
      <c r="AA362">
        <v>0.99244580000000004</v>
      </c>
      <c r="AB362">
        <v>43</v>
      </c>
      <c r="AC362">
        <v>0.35640000000000699</v>
      </c>
      <c r="AD362">
        <v>-0.13180929999999999</v>
      </c>
      <c r="AE362">
        <v>-9.5399999999983706E-2</v>
      </c>
      <c r="AF362">
        <v>8.5970377847598797E-2</v>
      </c>
      <c r="AG362">
        <v>-0.13180929999999999</v>
      </c>
      <c r="AH362">
        <v>0.31569077807388901</v>
      </c>
      <c r="AI362">
        <v>111.942322413542</v>
      </c>
      <c r="AJ362">
        <v>74.766355490932796</v>
      </c>
      <c r="AK362">
        <v>0.35273965582940398</v>
      </c>
      <c r="AL362">
        <v>77.104915169130706</v>
      </c>
      <c r="AM362">
        <v>86.760905911747699</v>
      </c>
      <c r="AN362">
        <v>1.00000002492201</v>
      </c>
    </row>
    <row r="363" spans="1:40" x14ac:dyDescent="0.25">
      <c r="A363" t="str">
        <f>"20190303170949127"</f>
        <v>20190303170949127</v>
      </c>
      <c r="B363" t="str">
        <f>"1551604189120546"</f>
        <v>1551604189120546</v>
      </c>
      <c r="C363" t="s">
        <v>40</v>
      </c>
      <c r="D363">
        <v>4.9755070000000003</v>
      </c>
      <c r="E363">
        <v>0.53730279999999997</v>
      </c>
      <c r="F363" t="s">
        <v>43</v>
      </c>
      <c r="G363">
        <v>-356.13199999999898</v>
      </c>
      <c r="H363">
        <v>0.99230949999999996</v>
      </c>
      <c r="I363">
        <v>367.56119999999999</v>
      </c>
      <c r="J363">
        <v>-356.64249999999998</v>
      </c>
      <c r="K363">
        <v>1.1209370000000001</v>
      </c>
      <c r="L363">
        <v>367.65230000000003</v>
      </c>
      <c r="M363">
        <v>0.99988650000000001</v>
      </c>
      <c r="N363">
        <v>-1.44431E-2</v>
      </c>
      <c r="O363">
        <v>4.3113550000000002E-3</v>
      </c>
      <c r="P363">
        <v>0.97646650000000002</v>
      </c>
      <c r="Q363">
        <v>0.20947750000000001</v>
      </c>
      <c r="R363">
        <v>-5.1306570000000003E-2</v>
      </c>
      <c r="S363">
        <v>3.1698300000000001</v>
      </c>
      <c r="T363">
        <v>-0.55058909999999905</v>
      </c>
      <c r="U363">
        <v>-0.38482670000000002</v>
      </c>
      <c r="V363">
        <v>5.5541729999999997E-2</v>
      </c>
      <c r="W363">
        <v>0.22354950000000001</v>
      </c>
      <c r="X363">
        <v>0.9731088</v>
      </c>
      <c r="Y363">
        <v>0.122777</v>
      </c>
      <c r="Z363">
        <v>-1.212193E-2</v>
      </c>
      <c r="AA363">
        <v>0.99236020000000003</v>
      </c>
      <c r="AB363">
        <v>43</v>
      </c>
      <c r="AC363">
        <v>0.51050000000003504</v>
      </c>
      <c r="AD363">
        <v>-0.12862750000000001</v>
      </c>
      <c r="AE363">
        <v>-9.1100000000039899E-2</v>
      </c>
      <c r="AF363">
        <v>8.7892612323598296E-2</v>
      </c>
      <c r="AG363">
        <v>-0.12862750000000001</v>
      </c>
      <c r="AH363">
        <v>0.48053674798764101</v>
      </c>
      <c r="AI363">
        <v>104.75152593185101</v>
      </c>
      <c r="AJ363">
        <v>79.634883195119201</v>
      </c>
      <c r="AK363">
        <v>0.50515909496301703</v>
      </c>
      <c r="AL363">
        <v>77.082401795576402</v>
      </c>
      <c r="AM363">
        <v>86.733296678798894</v>
      </c>
      <c r="AN363">
        <v>0.99999999967954101</v>
      </c>
    </row>
    <row r="364" spans="1:40" x14ac:dyDescent="0.25">
      <c r="A364" t="str">
        <f>"20190303170949148"</f>
        <v>20190303170949148</v>
      </c>
      <c r="B364" t="str">
        <f>"1551604189141042"</f>
        <v>1551604189141042</v>
      </c>
      <c r="C364" t="s">
        <v>40</v>
      </c>
      <c r="D364">
        <v>4.9822899999999999</v>
      </c>
      <c r="E364">
        <v>0.53727219999999998</v>
      </c>
      <c r="F364" t="s">
        <v>43</v>
      </c>
      <c r="G364">
        <v>-355.76139999999998</v>
      </c>
      <c r="H364">
        <v>0.96722960000000002</v>
      </c>
      <c r="I364">
        <v>367.54480000000001</v>
      </c>
      <c r="J364">
        <v>-356.20710000000003</v>
      </c>
      <c r="K364">
        <v>1.12094</v>
      </c>
      <c r="L364">
        <v>367.6542</v>
      </c>
      <c r="M364">
        <v>0.99988659999999996</v>
      </c>
      <c r="N364">
        <v>-1.4440440000000001E-2</v>
      </c>
      <c r="O364">
        <v>4.2710710000000004E-3</v>
      </c>
      <c r="P364">
        <v>0.97649070000000004</v>
      </c>
      <c r="Q364">
        <v>0.20941499999999999</v>
      </c>
      <c r="R364">
        <v>-5.1100140000000002E-2</v>
      </c>
      <c r="S364">
        <v>3.1707459999999998</v>
      </c>
      <c r="T364">
        <v>-0.55321069999999894</v>
      </c>
      <c r="U364">
        <v>-0.38595580000000002</v>
      </c>
      <c r="V364">
        <v>5.5298229999999997E-2</v>
      </c>
      <c r="W364">
        <v>0.22348399999999999</v>
      </c>
      <c r="X364">
        <v>0.97313769999999999</v>
      </c>
      <c r="Y364">
        <v>0.12303020000000001</v>
      </c>
      <c r="Z364">
        <v>-1.218868E-2</v>
      </c>
      <c r="AA364">
        <v>0.99232799999999999</v>
      </c>
      <c r="AB364">
        <v>43</v>
      </c>
      <c r="AC364">
        <v>0.44570000000004401</v>
      </c>
      <c r="AD364">
        <v>-0.1537104</v>
      </c>
      <c r="AE364">
        <v>-0.109399999999993</v>
      </c>
      <c r="AF364">
        <v>0.100076309265461</v>
      </c>
      <c r="AG364">
        <v>-0.1537104</v>
      </c>
      <c r="AH364">
        <v>0.40032084850303301</v>
      </c>
      <c r="AI364">
        <v>110.43059079410099</v>
      </c>
      <c r="AJ364">
        <v>75.964282270217097</v>
      </c>
      <c r="AK364">
        <v>0.44033956952622899</v>
      </c>
      <c r="AL364">
        <v>77.086251925340306</v>
      </c>
      <c r="AM364">
        <v>86.747683772355998</v>
      </c>
      <c r="AN364">
        <v>0.99999998782921096</v>
      </c>
    </row>
    <row r="365" spans="1:40" x14ac:dyDescent="0.25">
      <c r="A365" t="str">
        <f>"20190303170949162"</f>
        <v>20190303170949162</v>
      </c>
      <c r="B365" t="str">
        <f>"1551604189150802"</f>
        <v>1551604189150802</v>
      </c>
      <c r="C365" t="s">
        <v>40</v>
      </c>
      <c r="D365">
        <v>4.9847960000000002</v>
      </c>
      <c r="E365">
        <v>0.53731130000000005</v>
      </c>
      <c r="F365" t="s">
        <v>43</v>
      </c>
      <c r="G365">
        <v>-355.37580000000003</v>
      </c>
      <c r="H365">
        <v>0.97428170000000003</v>
      </c>
      <c r="I365">
        <v>367.55329999999998</v>
      </c>
      <c r="J365">
        <v>-355.97340000000003</v>
      </c>
      <c r="K365">
        <v>1.1209389999999999</v>
      </c>
      <c r="L365">
        <v>367.65519999999998</v>
      </c>
      <c r="M365">
        <v>0.99988679999999996</v>
      </c>
      <c r="N365">
        <v>-1.443902E-2</v>
      </c>
      <c r="O365">
        <v>4.2483419999999996E-3</v>
      </c>
      <c r="P365">
        <v>0.97638840000000005</v>
      </c>
      <c r="Q365">
        <v>0.20993029999999999</v>
      </c>
      <c r="R365">
        <v>-5.0945190000000001E-2</v>
      </c>
      <c r="S365">
        <v>3.1721499999999998</v>
      </c>
      <c r="T365">
        <v>-0.55972559999999905</v>
      </c>
      <c r="U365">
        <v>-0.38458249999999999</v>
      </c>
      <c r="V365">
        <v>5.5121429999999999E-2</v>
      </c>
      <c r="W365">
        <v>0.22399620000000001</v>
      </c>
      <c r="X365">
        <v>0.97302999999999995</v>
      </c>
      <c r="Y365">
        <v>0.12249599999999999</v>
      </c>
      <c r="Z365">
        <v>-1.2261589999999999E-2</v>
      </c>
      <c r="AA365">
        <v>0.99239330000000003</v>
      </c>
      <c r="AB365">
        <v>43</v>
      </c>
      <c r="AC365">
        <v>0.59759999999999902</v>
      </c>
      <c r="AD365">
        <v>-0.14665729999999999</v>
      </c>
      <c r="AE365">
        <v>-0.1019</v>
      </c>
      <c r="AF365">
        <v>9.8663882988798399E-2</v>
      </c>
      <c r="AG365">
        <v>-0.14665729999999999</v>
      </c>
      <c r="AH365">
        <v>0.56414524217467199</v>
      </c>
      <c r="AI365">
        <v>104.363473308937</v>
      </c>
      <c r="AJ365">
        <v>80.079818462507703</v>
      </c>
      <c r="AK365">
        <v>0.59118760112001401</v>
      </c>
      <c r="AL365">
        <v>77.056142190367495</v>
      </c>
      <c r="AM365">
        <v>86.757701822629798</v>
      </c>
      <c r="AN365">
        <v>1.00000002527984</v>
      </c>
    </row>
    <row r="366" spans="1:40" x14ac:dyDescent="0.25">
      <c r="A366" t="str">
        <f>"20190303170949175"</f>
        <v>20190303170949175</v>
      </c>
      <c r="B366" t="str">
        <f>"1551604189161069"</f>
        <v>1551604189161069</v>
      </c>
      <c r="C366" t="s">
        <v>40</v>
      </c>
      <c r="D366">
        <v>4.9830680000000003</v>
      </c>
      <c r="E366">
        <v>0.53735809999999995</v>
      </c>
      <c r="F366" t="s">
        <v>43</v>
      </c>
      <c r="G366">
        <v>-355.00510000000003</v>
      </c>
      <c r="H366">
        <v>0.94993349999999999</v>
      </c>
      <c r="I366">
        <v>367.5378</v>
      </c>
      <c r="J366">
        <v>-355.72280000000001</v>
      </c>
      <c r="K366">
        <v>1.120941</v>
      </c>
      <c r="L366">
        <v>367.65620000000001</v>
      </c>
      <c r="M366">
        <v>0.99988699999999997</v>
      </c>
      <c r="N366">
        <v>-1.4437500000000001E-2</v>
      </c>
      <c r="O366">
        <v>4.2231170000000002E-3</v>
      </c>
      <c r="P366">
        <v>0.97633230000000004</v>
      </c>
      <c r="Q366">
        <v>0.21017820000000001</v>
      </c>
      <c r="R366">
        <v>-5.09989E-2</v>
      </c>
      <c r="S366">
        <v>3.173035</v>
      </c>
      <c r="T366">
        <v>-0.56048299999999995</v>
      </c>
      <c r="U366">
        <v>-0.38397219999999999</v>
      </c>
      <c r="V366">
        <v>5.5151100000000002E-2</v>
      </c>
      <c r="W366">
        <v>0.22424150000000001</v>
      </c>
      <c r="X366">
        <v>0.97297180000000005</v>
      </c>
      <c r="Y366">
        <v>0.12224989999999999</v>
      </c>
      <c r="Z366">
        <v>-1.2246399999999999E-2</v>
      </c>
      <c r="AA366">
        <v>0.99242379999999997</v>
      </c>
      <c r="AB366">
        <v>43</v>
      </c>
      <c r="AC366">
        <v>0.71769999999997902</v>
      </c>
      <c r="AD366">
        <v>-0.17100750000000001</v>
      </c>
      <c r="AE366">
        <v>-0.118400000000008</v>
      </c>
      <c r="AF366">
        <v>0.115070349501006</v>
      </c>
      <c r="AG366">
        <v>-0.17100750000000001</v>
      </c>
      <c r="AH366">
        <v>0.67963090353469502</v>
      </c>
      <c r="AI366">
        <v>103.93305782383</v>
      </c>
      <c r="AJ366">
        <v>80.390215415385697</v>
      </c>
      <c r="AK366">
        <v>0.71019920827181904</v>
      </c>
      <c r="AL366">
        <v>77.041720462694798</v>
      </c>
      <c r="AM366">
        <v>86.755766696287694</v>
      </c>
      <c r="AN366">
        <v>1.0000000088743499</v>
      </c>
    </row>
    <row r="367" spans="1:40" x14ac:dyDescent="0.25">
      <c r="A367" t="str">
        <f>"20190303170949193"</f>
        <v>20190303170949193</v>
      </c>
      <c r="B367" t="str">
        <f>"1551604189180589"</f>
        <v>1551604189180589</v>
      </c>
      <c r="C367" t="s">
        <v>40</v>
      </c>
      <c r="D367">
        <v>4.936744</v>
      </c>
      <c r="E367">
        <v>0.53731890000000004</v>
      </c>
      <c r="F367" t="s">
        <v>43</v>
      </c>
      <c r="G367">
        <v>-354.98610000000002</v>
      </c>
      <c r="H367">
        <v>0.9904598</v>
      </c>
      <c r="I367">
        <v>367.56700000000001</v>
      </c>
      <c r="J367">
        <v>-355.37790000000001</v>
      </c>
      <c r="K367">
        <v>1.1209420000000001</v>
      </c>
      <c r="L367">
        <v>367.6576</v>
      </c>
      <c r="M367">
        <v>0.99988699999999997</v>
      </c>
      <c r="N367">
        <v>-1.4435430000000001E-2</v>
      </c>
      <c r="O367">
        <v>4.1884699999999997E-3</v>
      </c>
      <c r="P367">
        <v>0.97620180000000001</v>
      </c>
      <c r="Q367">
        <v>0.21082429999999999</v>
      </c>
      <c r="R367">
        <v>-5.0827990000000003E-2</v>
      </c>
      <c r="S367">
        <v>3.1736759999999999</v>
      </c>
      <c r="T367">
        <v>-0.56222190000000005</v>
      </c>
      <c r="U367">
        <v>-0.38363649999999999</v>
      </c>
      <c r="V367">
        <v>5.4947030000000001E-2</v>
      </c>
      <c r="W367">
        <v>0.22488369999999999</v>
      </c>
      <c r="X367">
        <v>0.97283509999999995</v>
      </c>
      <c r="Y367">
        <v>0.1220798</v>
      </c>
      <c r="Z367">
        <v>-1.2257290000000001E-2</v>
      </c>
      <c r="AA367">
        <v>0.99244460000000001</v>
      </c>
      <c r="AB367">
        <v>43</v>
      </c>
      <c r="AC367">
        <v>0.39179999999998899</v>
      </c>
      <c r="AD367">
        <v>-0.13048219999999999</v>
      </c>
      <c r="AE367">
        <v>-9.0600000000051695E-2</v>
      </c>
      <c r="AF367">
        <v>8.3454258344055496E-2</v>
      </c>
      <c r="AG367">
        <v>-0.13048219999999999</v>
      </c>
      <c r="AH367">
        <v>0.35413346840901599</v>
      </c>
      <c r="AI367">
        <v>109.729417846651</v>
      </c>
      <c r="AJ367">
        <v>76.739745877233602</v>
      </c>
      <c r="AK367">
        <v>0.38652390766936501</v>
      </c>
      <c r="AL367">
        <v>77.003960508969001</v>
      </c>
      <c r="AM367">
        <v>86.7672922786589</v>
      </c>
      <c r="AN367">
        <v>0.99999999321176003</v>
      </c>
    </row>
    <row r="368" spans="1:40" x14ac:dyDescent="0.25">
      <c r="A368" t="str">
        <f>"20190303170949205"</f>
        <v>20190303170949205</v>
      </c>
      <c r="B368" t="str">
        <f>"1551604189201086"</f>
        <v>1551604189201086</v>
      </c>
      <c r="C368" t="s">
        <v>40</v>
      </c>
      <c r="D368">
        <v>4.9145059999999896</v>
      </c>
      <c r="E368">
        <v>0.53732740000000001</v>
      </c>
      <c r="F368" t="s">
        <v>43</v>
      </c>
      <c r="G368">
        <v>-354.60759999999999</v>
      </c>
      <c r="H368">
        <v>0.98393489999999995</v>
      </c>
      <c r="I368">
        <v>367.56459999999998</v>
      </c>
      <c r="J368">
        <v>-355.13630000000001</v>
      </c>
      <c r="K368">
        <v>1.1209439999999999</v>
      </c>
      <c r="L368">
        <v>367.65859999999998</v>
      </c>
      <c r="M368">
        <v>0.99988719999999998</v>
      </c>
      <c r="N368">
        <v>-1.4433970000000001E-2</v>
      </c>
      <c r="O368">
        <v>4.1640219999999999E-3</v>
      </c>
      <c r="P368">
        <v>0.97611930000000002</v>
      </c>
      <c r="Q368">
        <v>0.21122650000000001</v>
      </c>
      <c r="R368">
        <v>-5.0744440000000002E-2</v>
      </c>
      <c r="S368">
        <v>3.1752929999999999</v>
      </c>
      <c r="T368">
        <v>-0.56501049999999997</v>
      </c>
      <c r="U368">
        <v>-0.38180540000000002</v>
      </c>
      <c r="V368">
        <v>5.4839829999999999E-2</v>
      </c>
      <c r="W368">
        <v>0.22528319999999999</v>
      </c>
      <c r="X368">
        <v>0.97274870000000002</v>
      </c>
      <c r="Y368">
        <v>0.1214245</v>
      </c>
      <c r="Z368">
        <v>-1.224133E-2</v>
      </c>
      <c r="AA368">
        <v>0.9925252</v>
      </c>
      <c r="AB368">
        <v>43</v>
      </c>
      <c r="AC368">
        <v>0.52870000000001405</v>
      </c>
      <c r="AD368">
        <v>-0.137009099999999</v>
      </c>
      <c r="AE368">
        <v>-9.3999999999994005E-2</v>
      </c>
      <c r="AF368">
        <v>9.0321245743620507E-2</v>
      </c>
      <c r="AG368">
        <v>-0.137009099999999</v>
      </c>
      <c r="AH368">
        <v>0.49601464568376502</v>
      </c>
      <c r="AI368">
        <v>105.203053733269</v>
      </c>
      <c r="AJ368">
        <v>79.679861807119394</v>
      </c>
      <c r="AK368">
        <v>0.52245569156463501</v>
      </c>
      <c r="AL368">
        <v>76.980467843654196</v>
      </c>
      <c r="AM368">
        <v>86.773299890592995</v>
      </c>
      <c r="AN368">
        <v>0.99999998025417902</v>
      </c>
    </row>
    <row r="369" spans="1:40" x14ac:dyDescent="0.25">
      <c r="A369" t="str">
        <f>"20190303170949227"</f>
        <v>20190303170949227</v>
      </c>
      <c r="B369" t="str">
        <f>"1551604189220605"</f>
        <v>1551604189220605</v>
      </c>
      <c r="C369" t="s">
        <v>40</v>
      </c>
      <c r="D369">
        <v>4.881964</v>
      </c>
      <c r="E369">
        <v>0.53736740000000005</v>
      </c>
      <c r="F369" t="s">
        <v>43</v>
      </c>
      <c r="G369">
        <v>-354.23750000000001</v>
      </c>
      <c r="H369">
        <v>0.96029830000000005</v>
      </c>
      <c r="I369">
        <v>367.55090000000001</v>
      </c>
      <c r="J369">
        <v>-354.71910000000003</v>
      </c>
      <c r="K369">
        <v>1.1209519999999999</v>
      </c>
      <c r="L369">
        <v>367.66019999999997</v>
      </c>
      <c r="M369">
        <v>0.99988750000000004</v>
      </c>
      <c r="N369">
        <v>-1.443146E-2</v>
      </c>
      <c r="O369">
        <v>4.1221060000000004E-3</v>
      </c>
      <c r="P369">
        <v>0.97592409999999996</v>
      </c>
      <c r="Q369">
        <v>0.2121789</v>
      </c>
      <c r="R369">
        <v>-5.0522940000000002E-2</v>
      </c>
      <c r="S369">
        <v>3.1764220000000001</v>
      </c>
      <c r="T369">
        <v>-0.5676795</v>
      </c>
      <c r="U369">
        <v>-0.38092039999999999</v>
      </c>
      <c r="V369">
        <v>5.4578090000000003E-2</v>
      </c>
      <c r="W369">
        <v>0.2262304</v>
      </c>
      <c r="X369">
        <v>0.97254359999999995</v>
      </c>
      <c r="Y369">
        <v>0.1210577</v>
      </c>
      <c r="Z369">
        <v>-1.224862E-2</v>
      </c>
      <c r="AA369">
        <v>0.9925699</v>
      </c>
      <c r="AB369">
        <v>43</v>
      </c>
      <c r="AC369">
        <v>0.48160000000001402</v>
      </c>
      <c r="AD369">
        <v>-0.16065369999999901</v>
      </c>
      <c r="AE369">
        <v>-0.109299999999961</v>
      </c>
      <c r="AF369">
        <v>0.100634628053981</v>
      </c>
      <c r="AG369">
        <v>-0.16065369999999901</v>
      </c>
      <c r="AH369">
        <v>0.43510000717166702</v>
      </c>
      <c r="AI369">
        <v>109.785543893989</v>
      </c>
      <c r="AJ369">
        <v>76.977013796699097</v>
      </c>
      <c r="AK369">
        <v>0.474603999064523</v>
      </c>
      <c r="AL369">
        <v>76.924759450386404</v>
      </c>
      <c r="AM369">
        <v>86.787992181553605</v>
      </c>
      <c r="AN369">
        <v>1.0000000078465801</v>
      </c>
    </row>
    <row r="370" spans="1:40" x14ac:dyDescent="0.25">
      <c r="A370" t="str">
        <f>"20190303170949250"</f>
        <v>20190303170949250</v>
      </c>
      <c r="B370" t="str">
        <f>"1551604189241101"</f>
        <v>1551604189241101</v>
      </c>
      <c r="C370" t="s">
        <v>40</v>
      </c>
      <c r="D370">
        <v>4.8600969999999997</v>
      </c>
      <c r="E370">
        <v>0.53727969999999903</v>
      </c>
      <c r="F370" t="s">
        <v>43</v>
      </c>
      <c r="G370">
        <v>-353.8535</v>
      </c>
      <c r="H370">
        <v>0.96638489999999999</v>
      </c>
      <c r="I370">
        <v>367.55630000000002</v>
      </c>
      <c r="J370">
        <v>-354.2783</v>
      </c>
      <c r="K370">
        <v>1.120959</v>
      </c>
      <c r="L370">
        <v>367.66199999999998</v>
      </c>
      <c r="M370">
        <v>0.99988759999999999</v>
      </c>
      <c r="N370">
        <v>-1.442882E-2</v>
      </c>
      <c r="O370">
        <v>4.0784050000000002E-3</v>
      </c>
      <c r="P370">
        <v>0.97579170000000004</v>
      </c>
      <c r="Q370">
        <v>0.2128234</v>
      </c>
      <c r="R370">
        <v>-5.0367589999999997E-2</v>
      </c>
      <c r="S370">
        <v>3.1777340000000001</v>
      </c>
      <c r="T370">
        <v>-0.56768890000000005</v>
      </c>
      <c r="U370">
        <v>-0.38021850000000001</v>
      </c>
      <c r="V370">
        <v>5.4380690000000002E-2</v>
      </c>
      <c r="W370">
        <v>0.22686990000000001</v>
      </c>
      <c r="X370">
        <v>0.97240570000000004</v>
      </c>
      <c r="Y370">
        <v>0.1207569</v>
      </c>
      <c r="Z370">
        <v>-1.220832E-2</v>
      </c>
      <c r="AA370">
        <v>0.99260709999999996</v>
      </c>
      <c r="AB370">
        <v>43</v>
      </c>
      <c r="AC370">
        <v>0.42480000000000401</v>
      </c>
      <c r="AD370">
        <v>-0.15457409999999999</v>
      </c>
      <c r="AE370">
        <v>-0.105699999999956</v>
      </c>
      <c r="AF370">
        <v>9.5521653379483498E-2</v>
      </c>
      <c r="AG370">
        <v>-0.15457409999999999</v>
      </c>
      <c r="AH370">
        <v>0.37731915042649899</v>
      </c>
      <c r="AI370">
        <v>111.659789172644</v>
      </c>
      <c r="AJ370">
        <v>75.793545286083798</v>
      </c>
      <c r="AK370">
        <v>0.418792645510562</v>
      </c>
      <c r="AL370">
        <v>76.887140963885798</v>
      </c>
      <c r="AM370">
        <v>86.7991323762121</v>
      </c>
      <c r="AN370">
        <v>1.0000000281816801</v>
      </c>
    </row>
    <row r="371" spans="1:40" x14ac:dyDescent="0.25">
      <c r="A371" t="str">
        <f>"20190303170949273"</f>
        <v>20190303170949273</v>
      </c>
      <c r="B371" t="str">
        <f>"1551604189261127"</f>
        <v>1551604189261127</v>
      </c>
      <c r="C371" t="s">
        <v>40</v>
      </c>
      <c r="D371">
        <v>4.7942749999999998</v>
      </c>
      <c r="E371">
        <v>0.51015820000000001</v>
      </c>
      <c r="F371" t="s">
        <v>43</v>
      </c>
      <c r="G371">
        <v>-353.46809999999999</v>
      </c>
      <c r="H371">
        <v>0.9761879</v>
      </c>
      <c r="I371">
        <v>367.56540000000001</v>
      </c>
      <c r="J371">
        <v>-353.84649999999999</v>
      </c>
      <c r="K371">
        <v>1.120959</v>
      </c>
      <c r="L371">
        <v>367.66379999999998</v>
      </c>
      <c r="M371">
        <v>0.99988779999999999</v>
      </c>
      <c r="N371">
        <v>-1.442622E-2</v>
      </c>
      <c r="O371">
        <v>4.0358420000000004E-3</v>
      </c>
      <c r="P371">
        <v>0.97574179999999999</v>
      </c>
      <c r="Q371">
        <v>0.21304419999999999</v>
      </c>
      <c r="R371">
        <v>-5.0402750000000003E-2</v>
      </c>
      <c r="S371">
        <v>3.178741</v>
      </c>
      <c r="T371">
        <v>-0.56799129999999998</v>
      </c>
      <c r="U371">
        <v>-0.37905879999999997</v>
      </c>
      <c r="V371">
        <v>5.4374770000000003E-2</v>
      </c>
      <c r="W371">
        <v>0.22708729999999999</v>
      </c>
      <c r="X371">
        <v>0.97235519999999998</v>
      </c>
      <c r="Y371">
        <v>0.1203274</v>
      </c>
      <c r="Z371">
        <v>-1.2162839999999999E-2</v>
      </c>
      <c r="AA371">
        <v>0.99265970000000003</v>
      </c>
      <c r="AB371">
        <v>43</v>
      </c>
      <c r="AC371">
        <v>0.37839999999999901</v>
      </c>
      <c r="AD371">
        <v>-0.14477109999999899</v>
      </c>
      <c r="AE371">
        <v>-9.8399999999969595E-2</v>
      </c>
      <c r="AF371">
        <v>8.7878233130053302E-2</v>
      </c>
      <c r="AG371">
        <v>-0.14477109999999899</v>
      </c>
      <c r="AH371">
        <v>0.33242376606326302</v>
      </c>
      <c r="AI371">
        <v>112.832948887675</v>
      </c>
      <c r="AJ371">
        <v>75.192253167134496</v>
      </c>
      <c r="AK371">
        <v>0.37307749261641698</v>
      </c>
      <c r="AL371">
        <v>76.874349946252195</v>
      </c>
      <c r="AM371">
        <v>86.799314229345399</v>
      </c>
      <c r="AN371">
        <v>0.99999994620043997</v>
      </c>
    </row>
    <row r="372" spans="1:40" x14ac:dyDescent="0.25">
      <c r="A372" t="str">
        <f>"20190303170949298"</f>
        <v>20190303170949298</v>
      </c>
      <c r="B372" t="str">
        <f>"1551604189291383"</f>
        <v>1551604189291383</v>
      </c>
      <c r="C372" t="s">
        <v>40</v>
      </c>
      <c r="D372">
        <v>4.7468560000000002</v>
      </c>
      <c r="E372">
        <v>0.49868400000000002</v>
      </c>
      <c r="F372" t="s">
        <v>43</v>
      </c>
      <c r="G372">
        <v>-353.06279999999998</v>
      </c>
      <c r="H372">
        <v>1.026939</v>
      </c>
      <c r="I372">
        <v>367.62020000000001</v>
      </c>
      <c r="J372">
        <v>-353.38780000000003</v>
      </c>
      <c r="K372">
        <v>1.1209629999999999</v>
      </c>
      <c r="L372">
        <v>367.66559999999998</v>
      </c>
      <c r="M372">
        <v>0.99988809999999995</v>
      </c>
      <c r="N372">
        <v>-1.442331E-2</v>
      </c>
      <c r="O372">
        <v>3.9910809999999996E-3</v>
      </c>
      <c r="P372">
        <v>0.97578100000000001</v>
      </c>
      <c r="Q372">
        <v>0.21282619999999999</v>
      </c>
      <c r="R372">
        <v>-5.0561670000000003E-2</v>
      </c>
      <c r="S372">
        <v>3.148193</v>
      </c>
      <c r="T372">
        <v>-0.37804529999999997</v>
      </c>
      <c r="U372">
        <v>-0.17309569999999999</v>
      </c>
      <c r="V372">
        <v>5.4490719999999999E-2</v>
      </c>
      <c r="W372">
        <v>0.2268667</v>
      </c>
      <c r="X372">
        <v>0.97240020000000005</v>
      </c>
      <c r="Y372">
        <v>5.8393519999999997E-2</v>
      </c>
      <c r="Z372">
        <v>-4.3338839999999997E-3</v>
      </c>
      <c r="AA372">
        <v>0.99828419999999896</v>
      </c>
      <c r="AB372">
        <v>43</v>
      </c>
      <c r="AC372">
        <v>0.32500000000004498</v>
      </c>
      <c r="AD372">
        <v>-9.4023999999999802E-2</v>
      </c>
      <c r="AE372">
        <v>-4.5399999999972303E-2</v>
      </c>
      <c r="AF372">
        <v>4.3154129326073001E-2</v>
      </c>
      <c r="AG372">
        <v>-9.4023999999999802E-2</v>
      </c>
      <c r="AH372">
        <v>0.30017341266661002</v>
      </c>
      <c r="AI372">
        <v>107.22576977935699</v>
      </c>
      <c r="AJ372">
        <v>81.818984437321703</v>
      </c>
      <c r="AK372">
        <v>0.31750097499977897</v>
      </c>
      <c r="AL372">
        <v>76.887328089473797</v>
      </c>
      <c r="AM372">
        <v>86.792651373907702</v>
      </c>
      <c r="AN372">
        <v>0.99999994354752197</v>
      </c>
    </row>
    <row r="373" spans="1:40" x14ac:dyDescent="0.25">
      <c r="A373" t="str">
        <f>"20190303170949315"</f>
        <v>20190303170949315</v>
      </c>
      <c r="B373" t="str">
        <f>"1551604189310903"</f>
        <v>1551604189310903</v>
      </c>
      <c r="C373" t="s">
        <v>40</v>
      </c>
      <c r="D373">
        <v>4.6550859999999998</v>
      </c>
      <c r="E373">
        <v>0.49504239999999999</v>
      </c>
      <c r="F373" t="s">
        <v>42</v>
      </c>
      <c r="G373">
        <v>-335.07420000000002</v>
      </c>
      <c r="H373" s="1">
        <v>-2.5390160000000002E-6</v>
      </c>
      <c r="I373">
        <v>367.11599999999999</v>
      </c>
      <c r="J373">
        <v>-353.02440000000001</v>
      </c>
      <c r="K373">
        <v>1.1209519999999999</v>
      </c>
      <c r="L373">
        <v>367.66699999999997</v>
      </c>
      <c r="M373">
        <v>0.99988829999999995</v>
      </c>
      <c r="N373">
        <v>-1.4421109999999999E-2</v>
      </c>
      <c r="O373">
        <v>3.955381E-3</v>
      </c>
      <c r="P373">
        <v>0.9758365</v>
      </c>
      <c r="Q373">
        <v>0.2125725</v>
      </c>
      <c r="R373">
        <v>-5.0560180000000003E-2</v>
      </c>
      <c r="S373">
        <v>3.111145</v>
      </c>
      <c r="T373">
        <v>-0.19042990000000001</v>
      </c>
      <c r="U373">
        <v>-9.3353270000000002E-2</v>
      </c>
      <c r="V373">
        <v>5.4455089999999998E-2</v>
      </c>
      <c r="W373">
        <v>0.2266117</v>
      </c>
      <c r="X373">
        <v>0.97246169999999998</v>
      </c>
      <c r="Y373">
        <v>3.386376E-2</v>
      </c>
      <c r="Z373">
        <v>-1.464545E-3</v>
      </c>
      <c r="AA373">
        <v>0.99942540000000002</v>
      </c>
      <c r="AB373">
        <v>43</v>
      </c>
      <c r="AC373">
        <v>17.950199999999899</v>
      </c>
      <c r="AD373">
        <v>-1.1209545390159901</v>
      </c>
      <c r="AE373">
        <v>-0.55099999999998694</v>
      </c>
      <c r="AF373">
        <v>0.61958897374361599</v>
      </c>
      <c r="AG373">
        <v>-1.1209545390159901</v>
      </c>
      <c r="AH373">
        <v>17.878224833864198</v>
      </c>
      <c r="AI373">
        <v>93.585569428743796</v>
      </c>
      <c r="AJ373">
        <v>88.015147951479307</v>
      </c>
      <c r="AK373">
        <v>17.924043985248499</v>
      </c>
      <c r="AL373">
        <v>76.902329812440499</v>
      </c>
      <c r="AM373">
        <v>86.794946480542507</v>
      </c>
      <c r="AN373">
        <v>0.99999998868534401</v>
      </c>
    </row>
    <row r="374" spans="1:40" x14ac:dyDescent="0.25">
      <c r="A374" t="str">
        <f>"20190303170949330"</f>
        <v>20190303170949330</v>
      </c>
      <c r="B374" t="str">
        <f>"1551604189320663"</f>
        <v>1551604189320663</v>
      </c>
      <c r="C374" t="s">
        <v>40</v>
      </c>
      <c r="D374">
        <v>4.6744919999999999</v>
      </c>
      <c r="E374">
        <v>0.49417090000000002</v>
      </c>
      <c r="F374" t="s">
        <v>42</v>
      </c>
      <c r="G374">
        <v>-326.5949</v>
      </c>
      <c r="H374" s="1">
        <v>-1.890832E-6</v>
      </c>
      <c r="I374">
        <v>367.09230000000002</v>
      </c>
      <c r="J374">
        <v>-352.75009999999997</v>
      </c>
      <c r="K374">
        <v>1.1209519999999999</v>
      </c>
      <c r="L374">
        <v>367.66800000000001</v>
      </c>
      <c r="M374">
        <v>0.99988840000000001</v>
      </c>
      <c r="N374">
        <v>-1.441946E-2</v>
      </c>
      <c r="O374">
        <v>3.9279739999999999E-3</v>
      </c>
      <c r="P374">
        <v>0.97591019999999995</v>
      </c>
      <c r="Q374">
        <v>0.21218719999999999</v>
      </c>
      <c r="R374">
        <v>-5.0757120000000003E-2</v>
      </c>
      <c r="S374">
        <v>3.0994259999999998</v>
      </c>
      <c r="T374">
        <v>-0.1314555</v>
      </c>
      <c r="U374">
        <v>-6.7382810000000001E-2</v>
      </c>
      <c r="V374">
        <v>5.4625519999999997E-2</v>
      </c>
      <c r="W374">
        <v>0.2262257</v>
      </c>
      <c r="X374">
        <v>0.97254200000000002</v>
      </c>
      <c r="Y374">
        <v>2.5630159999999999E-2</v>
      </c>
      <c r="Z374">
        <v>-8.3803049999999998E-4</v>
      </c>
      <c r="AA374">
        <v>0.99967119999999998</v>
      </c>
      <c r="AB374">
        <v>43</v>
      </c>
      <c r="AC374">
        <v>26.155199999999901</v>
      </c>
      <c r="AD374">
        <v>-1.120953890832</v>
      </c>
      <c r="AE374">
        <v>-0.575699999999983</v>
      </c>
      <c r="AF374">
        <v>0.67719990590663004</v>
      </c>
      <c r="AG374">
        <v>-1.120953890832</v>
      </c>
      <c r="AH374">
        <v>26.104810788386001</v>
      </c>
      <c r="AI374">
        <v>92.457973578705094</v>
      </c>
      <c r="AJ374">
        <v>88.513990525295299</v>
      </c>
      <c r="AK374">
        <v>26.137641126072701</v>
      </c>
      <c r="AL374">
        <v>76.925035514314004</v>
      </c>
      <c r="AM374">
        <v>86.785201424662205</v>
      </c>
      <c r="AN374">
        <v>0.99999997826987996</v>
      </c>
    </row>
    <row r="375" spans="1:40" x14ac:dyDescent="0.25">
      <c r="A375" t="str">
        <f>"20190303170949350"</f>
        <v>20190303170949350</v>
      </c>
      <c r="B375" t="str">
        <f>"1551604189341160"</f>
        <v>1551604189341160</v>
      </c>
      <c r="C375" t="s">
        <v>40</v>
      </c>
      <c r="D375">
        <v>4.6383140000000003</v>
      </c>
      <c r="E375">
        <v>0.492753</v>
      </c>
      <c r="F375" t="s">
        <v>42</v>
      </c>
      <c r="G375">
        <v>-322.68369999999999</v>
      </c>
      <c r="H375" s="1">
        <v>-3.5730579999999998E-6</v>
      </c>
      <c r="I375">
        <v>367.06779999999998</v>
      </c>
      <c r="J375">
        <v>-352.37110000000001</v>
      </c>
      <c r="K375">
        <v>1.1209519999999999</v>
      </c>
      <c r="L375">
        <v>367.66950000000003</v>
      </c>
      <c r="M375">
        <v>0.99988860000000002</v>
      </c>
      <c r="N375">
        <v>-1.441718E-2</v>
      </c>
      <c r="O375">
        <v>3.8906129999999998E-3</v>
      </c>
      <c r="P375">
        <v>0.97591559999999999</v>
      </c>
      <c r="Q375">
        <v>0.21202950000000001</v>
      </c>
      <c r="R375">
        <v>-5.1307560000000002E-2</v>
      </c>
      <c r="S375">
        <v>3.095917</v>
      </c>
      <c r="T375">
        <v>-0.11542379999999999</v>
      </c>
      <c r="U375">
        <v>-6.1798100000000002E-2</v>
      </c>
      <c r="V375">
        <v>5.5140010000000003E-2</v>
      </c>
      <c r="W375">
        <v>0.2260655</v>
      </c>
      <c r="X375">
        <v>0.97255020000000003</v>
      </c>
      <c r="Y375">
        <v>2.382331E-2</v>
      </c>
      <c r="Z375">
        <v>-7.0465220000000002E-4</v>
      </c>
      <c r="AA375">
        <v>0.99971589999999999</v>
      </c>
      <c r="AB375">
        <v>42</v>
      </c>
      <c r="AC375">
        <v>29.6874</v>
      </c>
      <c r="AD375">
        <v>-1.1209555730580001</v>
      </c>
      <c r="AE375">
        <v>-0.60170000000004997</v>
      </c>
      <c r="AF375">
        <v>0.71618896191592396</v>
      </c>
      <c r="AG375">
        <v>-1.1209555730580001</v>
      </c>
      <c r="AH375">
        <v>29.6425895332581</v>
      </c>
      <c r="AI375">
        <v>92.165017454905296</v>
      </c>
      <c r="AJ375">
        <v>88.615956847392397</v>
      </c>
      <c r="AK375">
        <v>29.672421240322901</v>
      </c>
      <c r="AL375">
        <v>76.934458186405095</v>
      </c>
      <c r="AM375">
        <v>86.755014579394</v>
      </c>
      <c r="AN375">
        <v>0.999999961256544</v>
      </c>
    </row>
    <row r="376" spans="1:40" x14ac:dyDescent="0.25">
      <c r="A376" t="str">
        <f>"20190303170949372"</f>
        <v>20190303170949372</v>
      </c>
      <c r="B376" t="str">
        <f>"1551604189361184"</f>
        <v>1551604189361184</v>
      </c>
      <c r="C376" t="s">
        <v>40</v>
      </c>
      <c r="D376">
        <v>4.6709170000000002</v>
      </c>
      <c r="E376">
        <v>0.49191570000000001</v>
      </c>
      <c r="F376" t="s">
        <v>41</v>
      </c>
      <c r="G376">
        <v>-314.82810000000001</v>
      </c>
      <c r="H376">
        <v>-0.05</v>
      </c>
      <c r="I376">
        <v>367.02960000000002</v>
      </c>
      <c r="J376">
        <v>-351.96030000000002</v>
      </c>
      <c r="K376">
        <v>1.12096</v>
      </c>
      <c r="L376">
        <v>367.67110000000002</v>
      </c>
      <c r="M376">
        <v>0.99988880000000002</v>
      </c>
      <c r="N376">
        <v>-1.4414679999999999E-2</v>
      </c>
      <c r="O376">
        <v>3.849445E-3</v>
      </c>
      <c r="P376">
        <v>0.97587049999999997</v>
      </c>
      <c r="Q376">
        <v>0.21202589999999999</v>
      </c>
      <c r="R376">
        <v>-5.2173339999999999E-2</v>
      </c>
      <c r="S376">
        <v>3.0922239999999999</v>
      </c>
      <c r="T376">
        <v>-9.6445320000000001E-2</v>
      </c>
      <c r="U376">
        <v>-5.2703859999999998E-2</v>
      </c>
      <c r="V376">
        <v>5.596545E-2</v>
      </c>
      <c r="W376">
        <v>0.22605900000000001</v>
      </c>
      <c r="X376">
        <v>0.97250460000000005</v>
      </c>
      <c r="Y376">
        <v>2.0875299999999999E-2</v>
      </c>
      <c r="Z376">
        <v>-5.4051719999999998E-4</v>
      </c>
      <c r="AA376">
        <v>0.99978199999999995</v>
      </c>
      <c r="AB376">
        <v>42</v>
      </c>
      <c r="AC376">
        <v>37.132199999999997</v>
      </c>
      <c r="AD376">
        <v>-1.17096</v>
      </c>
      <c r="AE376">
        <v>-0.64150000000000695</v>
      </c>
      <c r="AF376">
        <v>0.78366935768926205</v>
      </c>
      <c r="AG376">
        <v>-1.17096</v>
      </c>
      <c r="AH376">
        <v>37.092579456822698</v>
      </c>
      <c r="AI376">
        <v>91.8077426667829</v>
      </c>
      <c r="AJ376">
        <v>88.789669836530393</v>
      </c>
      <c r="AK376">
        <v>37.119331025012897</v>
      </c>
      <c r="AL376">
        <v>76.934841021939704</v>
      </c>
      <c r="AM376">
        <v>86.706389557238595</v>
      </c>
      <c r="AN376">
        <v>1.0000000000479301</v>
      </c>
    </row>
    <row r="377" spans="1:40" x14ac:dyDescent="0.25">
      <c r="A377" t="str">
        <f>"20190303170949387"</f>
        <v>20190303170949387</v>
      </c>
      <c r="B377" t="str">
        <f>"1551604189380704"</f>
        <v>1551604189380704</v>
      </c>
      <c r="C377" t="s">
        <v>40</v>
      </c>
      <c r="D377">
        <v>4.5960000000000001</v>
      </c>
      <c r="E377">
        <v>0.49135240000000002</v>
      </c>
      <c r="F377" t="s">
        <v>41</v>
      </c>
      <c r="G377">
        <v>-307.67559999999997</v>
      </c>
      <c r="H377">
        <v>-0.05</v>
      </c>
      <c r="I377">
        <v>366.9606</v>
      </c>
      <c r="J377">
        <v>-351.68790000000001</v>
      </c>
      <c r="K377">
        <v>1.12096</v>
      </c>
      <c r="L377">
        <v>367.6721</v>
      </c>
      <c r="M377">
        <v>0.99988880000000002</v>
      </c>
      <c r="N377">
        <v>-1.441301E-2</v>
      </c>
      <c r="O377">
        <v>3.8225139999999999E-3</v>
      </c>
      <c r="P377">
        <v>0.97581620000000002</v>
      </c>
      <c r="Q377">
        <v>0.21216989999999999</v>
      </c>
      <c r="R377">
        <v>-5.2599569999999998E-2</v>
      </c>
      <c r="S377">
        <v>3.089264</v>
      </c>
      <c r="T377">
        <v>-8.1685069999999999E-2</v>
      </c>
      <c r="U377">
        <v>-4.9560550000000002E-2</v>
      </c>
      <c r="V377">
        <v>5.6365289999999998E-2</v>
      </c>
      <c r="W377">
        <v>0.2262007</v>
      </c>
      <c r="X377">
        <v>0.9724486</v>
      </c>
      <c r="Y377">
        <v>1.9852069999999999E-2</v>
      </c>
      <c r="Z377">
        <v>-4.5147809999999998E-4</v>
      </c>
      <c r="AA377">
        <v>0.99980279999999999</v>
      </c>
      <c r="AB377">
        <v>42</v>
      </c>
      <c r="AC377">
        <v>44.012300000000003</v>
      </c>
      <c r="AD377">
        <v>-1.17096</v>
      </c>
      <c r="AE377">
        <v>-0.71150000000000002</v>
      </c>
      <c r="AF377">
        <v>0.87912779382980499</v>
      </c>
      <c r="AG377">
        <v>-1.17096</v>
      </c>
      <c r="AH377">
        <v>43.978136970303602</v>
      </c>
      <c r="AI377">
        <v>91.524890123866399</v>
      </c>
      <c r="AJ377">
        <v>88.854803592970995</v>
      </c>
      <c r="AK377">
        <v>44.002506114746097</v>
      </c>
      <c r="AL377">
        <v>76.926506863986006</v>
      </c>
      <c r="AM377">
        <v>86.682720426215994</v>
      </c>
      <c r="AN377">
        <v>1.0000000411196099</v>
      </c>
    </row>
    <row r="378" spans="1:40" x14ac:dyDescent="0.25">
      <c r="A378" t="str">
        <f>"20190303170949406"</f>
        <v>20190303170949406</v>
      </c>
      <c r="B378" t="str">
        <f>"1551604189401202"</f>
        <v>1551604189401202</v>
      </c>
      <c r="C378" t="s">
        <v>40</v>
      </c>
      <c r="D378">
        <v>4.5566789999999999</v>
      </c>
      <c r="E378">
        <v>0.49078539999999998</v>
      </c>
      <c r="F378" t="s">
        <v>41</v>
      </c>
      <c r="G378">
        <v>-299.51179999999999</v>
      </c>
      <c r="H378">
        <v>-0.05</v>
      </c>
      <c r="I378">
        <v>366.87970000000001</v>
      </c>
      <c r="J378">
        <v>-351.33510000000001</v>
      </c>
      <c r="K378">
        <v>1.120959</v>
      </c>
      <c r="L378">
        <v>367.67340000000002</v>
      </c>
      <c r="M378">
        <v>0.99988909999999998</v>
      </c>
      <c r="N378">
        <v>-1.4410849999999999E-2</v>
      </c>
      <c r="O378">
        <v>3.7875389999999999E-3</v>
      </c>
      <c r="P378">
        <v>0.97578260000000006</v>
      </c>
      <c r="Q378">
        <v>0.2121344</v>
      </c>
      <c r="R378">
        <v>-5.3363430000000003E-2</v>
      </c>
      <c r="S378">
        <v>3.0868530000000001</v>
      </c>
      <c r="T378">
        <v>-6.9276569999999996E-2</v>
      </c>
      <c r="U378">
        <v>-4.6875E-2</v>
      </c>
      <c r="V378">
        <v>5.7095020000000003E-2</v>
      </c>
      <c r="W378">
        <v>0.2261621</v>
      </c>
      <c r="X378">
        <v>0.97241500000000003</v>
      </c>
      <c r="Y378">
        <v>1.896304E-2</v>
      </c>
      <c r="Z378">
        <v>-3.7983759999999999E-4</v>
      </c>
      <c r="AA378">
        <v>0.99982009999999999</v>
      </c>
      <c r="AB378">
        <v>42</v>
      </c>
      <c r="AC378">
        <v>51.823300000000003</v>
      </c>
      <c r="AD378">
        <v>-1.1709590000000001</v>
      </c>
      <c r="AE378">
        <v>-0.79370000000000096</v>
      </c>
      <c r="AF378">
        <v>0.98949237649181898</v>
      </c>
      <c r="AG378">
        <v>-1.1709590000000001</v>
      </c>
      <c r="AH378">
        <v>51.793485069329698</v>
      </c>
      <c r="AI378">
        <v>91.294899297019001</v>
      </c>
      <c r="AJ378">
        <v>88.905521784852496</v>
      </c>
      <c r="AK378">
        <v>51.816168671271903</v>
      </c>
      <c r="AL378">
        <v>76.928777231388395</v>
      </c>
      <c r="AM378">
        <v>86.639755395746704</v>
      </c>
      <c r="AN378">
        <v>1.0000000345051001</v>
      </c>
    </row>
    <row r="379" spans="1:40" x14ac:dyDescent="0.25">
      <c r="A379" t="str">
        <f>"20190303170949420"</f>
        <v>20190303170949420</v>
      </c>
      <c r="B379" t="str">
        <f>"1551604189410960"</f>
        <v>1551604189410960</v>
      </c>
      <c r="C379" t="s">
        <v>40</v>
      </c>
      <c r="D379">
        <v>4.5643310000000001</v>
      </c>
      <c r="E379">
        <v>0.49053930000000001</v>
      </c>
      <c r="F379" t="s">
        <v>41</v>
      </c>
      <c r="G379">
        <v>-292.65949999999998</v>
      </c>
      <c r="H379">
        <v>-0.05</v>
      </c>
      <c r="I379">
        <v>366.81389999999999</v>
      </c>
      <c r="J379">
        <v>-351.05669999999998</v>
      </c>
      <c r="K379">
        <v>1.1209530000000001</v>
      </c>
      <c r="L379">
        <v>367.67439999999999</v>
      </c>
      <c r="M379">
        <v>0.99988909999999998</v>
      </c>
      <c r="N379">
        <v>-1.4409180000000001E-2</v>
      </c>
      <c r="O379">
        <v>3.7597749999999999E-3</v>
      </c>
      <c r="P379">
        <v>0.97581200000000001</v>
      </c>
      <c r="Q379">
        <v>0.2119103</v>
      </c>
      <c r="R379">
        <v>-5.3714999999999999E-2</v>
      </c>
      <c r="S379">
        <v>3.0853579999999998</v>
      </c>
      <c r="T379">
        <v>-6.1572790000000002E-2</v>
      </c>
      <c r="U379">
        <v>-4.5196529999999999E-2</v>
      </c>
      <c r="V379">
        <v>5.7419530000000003E-2</v>
      </c>
      <c r="W379">
        <v>0.22593679999999999</v>
      </c>
      <c r="X379">
        <v>0.97244819999999998</v>
      </c>
      <c r="Y379">
        <v>1.8400440000000001E-2</v>
      </c>
      <c r="Z379">
        <v>-3.3702729999999999E-4</v>
      </c>
      <c r="AA379">
        <v>0.99983069999999996</v>
      </c>
      <c r="AB379">
        <v>42</v>
      </c>
      <c r="AC379">
        <v>58.397199999999998</v>
      </c>
      <c r="AD379">
        <v>-1.1709529999999999</v>
      </c>
      <c r="AE379">
        <v>-0.86050000000000104</v>
      </c>
      <c r="AF379">
        <v>1.07964305790586</v>
      </c>
      <c r="AG379">
        <v>-1.1709529999999999</v>
      </c>
      <c r="AH379">
        <v>58.370088141977902</v>
      </c>
      <c r="AI379">
        <v>91.149050828668393</v>
      </c>
      <c r="AJ379">
        <v>88.940348736897704</v>
      </c>
      <c r="AK379">
        <v>58.391814064669802</v>
      </c>
      <c r="AL379">
        <v>76.942028134751098</v>
      </c>
      <c r="AM379">
        <v>86.620816070144102</v>
      </c>
      <c r="AN379">
        <v>0.99999997085144998</v>
      </c>
    </row>
    <row r="380" spans="1:40" x14ac:dyDescent="0.25">
      <c r="A380" t="str">
        <f>"20190303170949440"</f>
        <v>20190303170949440</v>
      </c>
      <c r="B380" t="str">
        <f>"1551604189431457"</f>
        <v>1551604189431457</v>
      </c>
      <c r="C380" t="s">
        <v>40</v>
      </c>
      <c r="D380">
        <v>4.5107470000000003</v>
      </c>
      <c r="E380">
        <v>0.49013679999999898</v>
      </c>
      <c r="F380" t="s">
        <v>41</v>
      </c>
      <c r="G380">
        <v>-289.99189999999999</v>
      </c>
      <c r="H380">
        <v>-0.05</v>
      </c>
      <c r="I380">
        <v>366.79849999999999</v>
      </c>
      <c r="J380">
        <v>-350.68209999999999</v>
      </c>
      <c r="K380">
        <v>1.1209530000000001</v>
      </c>
      <c r="L380">
        <v>367.67579999999998</v>
      </c>
      <c r="M380">
        <v>0.99988940000000004</v>
      </c>
      <c r="N380">
        <v>-1.4407069999999999E-2</v>
      </c>
      <c r="O380">
        <v>3.7222990000000001E-3</v>
      </c>
      <c r="P380">
        <v>0.97579199999999999</v>
      </c>
      <c r="Q380">
        <v>0.21183009999999999</v>
      </c>
      <c r="R380">
        <v>-5.4389380000000001E-2</v>
      </c>
      <c r="S380">
        <v>3.084778</v>
      </c>
      <c r="T380">
        <v>-5.9152360000000001E-2</v>
      </c>
      <c r="U380">
        <v>-4.4250490000000003E-2</v>
      </c>
      <c r="V380">
        <v>5.8057419999999998E-2</v>
      </c>
      <c r="W380">
        <v>0.2258542</v>
      </c>
      <c r="X380">
        <v>0.97242960000000001</v>
      </c>
      <c r="Y380">
        <v>1.8059660000000002E-2</v>
      </c>
      <c r="Z380">
        <v>-3.209965E-4</v>
      </c>
      <c r="AA380">
        <v>0.99983690000000003</v>
      </c>
      <c r="AB380">
        <v>42</v>
      </c>
      <c r="AC380">
        <v>60.690199999999997</v>
      </c>
      <c r="AD380">
        <v>-1.1709529999999999</v>
      </c>
      <c r="AE380">
        <v>-0.87729999999999098</v>
      </c>
      <c r="AF380">
        <v>1.1028139708917699</v>
      </c>
      <c r="AG380">
        <v>-1.1709529999999999</v>
      </c>
      <c r="AH380">
        <v>60.663935752433503</v>
      </c>
      <c r="AI380">
        <v>91.105619914346306</v>
      </c>
      <c r="AJ380">
        <v>88.95853069684</v>
      </c>
      <c r="AK380">
        <v>60.685257110421702</v>
      </c>
      <c r="AL380">
        <v>76.946887465496502</v>
      </c>
      <c r="AM380">
        <v>86.583298995546798</v>
      </c>
      <c r="AN380">
        <v>1.00000005531542</v>
      </c>
    </row>
    <row r="381" spans="1:40" x14ac:dyDescent="0.25">
      <c r="A381" t="str">
        <f>"20190303170949453"</f>
        <v>20190303170949453</v>
      </c>
      <c r="B381" t="str">
        <f>"1551604189441219"</f>
        <v>1551604189441219</v>
      </c>
      <c r="C381" t="s">
        <v>40</v>
      </c>
      <c r="D381">
        <v>4.5136029999999998</v>
      </c>
      <c r="E381">
        <v>0.48992989999999997</v>
      </c>
      <c r="F381" t="s">
        <v>41</v>
      </c>
      <c r="G381">
        <v>-284.1739</v>
      </c>
      <c r="H381">
        <v>-0.05</v>
      </c>
      <c r="I381">
        <v>366.74509999999998</v>
      </c>
      <c r="J381">
        <v>-350.41809999999998</v>
      </c>
      <c r="K381">
        <v>1.1209530000000001</v>
      </c>
      <c r="L381">
        <v>367.67669999999998</v>
      </c>
      <c r="M381">
        <v>0.99988949999999999</v>
      </c>
      <c r="N381">
        <v>-1.440548E-2</v>
      </c>
      <c r="O381">
        <v>3.6960259999999998E-3</v>
      </c>
      <c r="P381">
        <v>0.97578260000000006</v>
      </c>
      <c r="Q381">
        <v>0.2118264</v>
      </c>
      <c r="R381">
        <v>-5.4573669999999998E-2</v>
      </c>
      <c r="S381">
        <v>3.0838320000000001</v>
      </c>
      <c r="T381">
        <v>-5.4294349999999998E-2</v>
      </c>
      <c r="U381">
        <v>-4.315186E-2</v>
      </c>
      <c r="V381">
        <v>5.8215900000000001E-2</v>
      </c>
      <c r="W381">
        <v>0.22584899999999999</v>
      </c>
      <c r="X381">
        <v>0.97242130000000004</v>
      </c>
      <c r="Y381">
        <v>1.768252E-2</v>
      </c>
      <c r="Z381">
        <v>-2.9485660000000001E-4</v>
      </c>
      <c r="AA381">
        <v>0.99984360000000005</v>
      </c>
      <c r="AB381">
        <v>42</v>
      </c>
      <c r="AC381">
        <v>66.244199999999907</v>
      </c>
      <c r="AD381">
        <v>-1.1709529999999999</v>
      </c>
      <c r="AE381">
        <v>-0.93160000000000298</v>
      </c>
      <c r="AF381">
        <v>1.1760919065453601</v>
      </c>
      <c r="AG381">
        <v>-1.1709529999999999</v>
      </c>
      <c r="AH381">
        <v>66.219617505836496</v>
      </c>
      <c r="AI381">
        <v>91.012888634444494</v>
      </c>
      <c r="AJ381">
        <v>88.982506676303998</v>
      </c>
      <c r="AK381">
        <v>66.240411122819395</v>
      </c>
      <c r="AL381">
        <v>76.947192880035303</v>
      </c>
      <c r="AM381">
        <v>86.573965400484596</v>
      </c>
      <c r="AN381">
        <v>1.00000002325374</v>
      </c>
    </row>
    <row r="382" spans="1:40" x14ac:dyDescent="0.25">
      <c r="A382" t="str">
        <f>"20190303170949472"</f>
        <v>20190303170949472</v>
      </c>
      <c r="B382" t="str">
        <f>"1551604189461243"</f>
        <v>1551604189461243</v>
      </c>
      <c r="C382" t="s">
        <v>40</v>
      </c>
      <c r="D382">
        <v>4.4809619999999999</v>
      </c>
      <c r="E382">
        <v>0.48953059999999998</v>
      </c>
      <c r="F382" t="s">
        <v>41</v>
      </c>
      <c r="G382">
        <v>-281.41289999999998</v>
      </c>
      <c r="H382">
        <v>-0.05</v>
      </c>
      <c r="I382">
        <v>366.72059999999999</v>
      </c>
      <c r="J382">
        <v>-350.06880000000001</v>
      </c>
      <c r="K382">
        <v>1.1209559999999901</v>
      </c>
      <c r="L382">
        <v>367.678</v>
      </c>
      <c r="M382">
        <v>0.99988969999999999</v>
      </c>
      <c r="N382">
        <v>-1.440322E-2</v>
      </c>
      <c r="O382">
        <v>3.6610570000000001E-3</v>
      </c>
      <c r="P382">
        <v>0.97579229999999995</v>
      </c>
      <c r="Q382">
        <v>0.21168100000000001</v>
      </c>
      <c r="R382">
        <v>-5.496359E-2</v>
      </c>
      <c r="S382">
        <v>3.083466</v>
      </c>
      <c r="T382">
        <v>-5.2323460000000002E-2</v>
      </c>
      <c r="U382">
        <v>-4.2724610000000003E-2</v>
      </c>
      <c r="V382">
        <v>5.8571930000000001E-2</v>
      </c>
      <c r="W382">
        <v>0.22570129999999999</v>
      </c>
      <c r="X382">
        <v>0.97243420000000003</v>
      </c>
      <c r="Y382">
        <v>1.751103E-2</v>
      </c>
      <c r="Z382">
        <v>-2.8407889999999998E-4</v>
      </c>
      <c r="AA382">
        <v>0.99984660000000003</v>
      </c>
      <c r="AB382">
        <v>42</v>
      </c>
      <c r="AC382">
        <v>68.655900000000003</v>
      </c>
      <c r="AD382">
        <v>-1.1709560000000001</v>
      </c>
      <c r="AE382">
        <v>-0.95740000000006298</v>
      </c>
      <c r="AF382">
        <v>1.20842134142784</v>
      </c>
      <c r="AG382">
        <v>-1.1709560000000001</v>
      </c>
      <c r="AH382">
        <v>68.631974016263101</v>
      </c>
      <c r="AI382">
        <v>90.977298626335795</v>
      </c>
      <c r="AJ382">
        <v>88.991282268061696</v>
      </c>
      <c r="AK382">
        <v>68.652598475668597</v>
      </c>
      <c r="AL382">
        <v>76.955879598350805</v>
      </c>
      <c r="AM382">
        <v>86.553108839828795</v>
      </c>
      <c r="AN382">
        <v>1.0000000105676199</v>
      </c>
    </row>
    <row r="383" spans="1:40" x14ac:dyDescent="0.25">
      <c r="A383" t="str">
        <f>"20190303170949495"</f>
        <v>20190303170949495</v>
      </c>
      <c r="B383" t="str">
        <f>"1551604189490523"</f>
        <v>1551604189490523</v>
      </c>
      <c r="C383" t="s">
        <v>40</v>
      </c>
      <c r="D383">
        <v>4.4767380000000001</v>
      </c>
      <c r="E383">
        <v>0.48952440000000003</v>
      </c>
      <c r="F383" t="s">
        <v>42</v>
      </c>
      <c r="G383">
        <v>-279.08670000000001</v>
      </c>
      <c r="H383" s="1">
        <v>-1.0629499999999999E-6</v>
      </c>
      <c r="I383">
        <v>366.73700000000002</v>
      </c>
      <c r="J383">
        <v>-349.64670000000001</v>
      </c>
      <c r="K383">
        <v>1.1209579999999999</v>
      </c>
      <c r="L383">
        <v>367.67950000000002</v>
      </c>
      <c r="M383">
        <v>0.99988969999999999</v>
      </c>
      <c r="N383">
        <v>-1.440046E-2</v>
      </c>
      <c r="O383">
        <v>3.618998E-3</v>
      </c>
      <c r="P383">
        <v>0.97580339999999999</v>
      </c>
      <c r="Q383">
        <v>0.21164279999999999</v>
      </c>
      <c r="R383">
        <v>-5.4910220000000003E-2</v>
      </c>
      <c r="S383">
        <v>3.0826720000000001</v>
      </c>
      <c r="T383">
        <v>-4.868186E-2</v>
      </c>
      <c r="U383">
        <v>-4.0863040000000003E-2</v>
      </c>
      <c r="V383">
        <v>5.8477580000000001E-2</v>
      </c>
      <c r="W383">
        <v>0.22566040000000001</v>
      </c>
      <c r="X383">
        <v>0.97244940000000002</v>
      </c>
      <c r="Y383">
        <v>1.6869499999999999E-2</v>
      </c>
      <c r="Z383">
        <v>-2.597093E-4</v>
      </c>
      <c r="AA383">
        <v>0.99985769999999996</v>
      </c>
      <c r="AB383">
        <v>42</v>
      </c>
      <c r="AC383">
        <v>70.56</v>
      </c>
      <c r="AD383">
        <v>-1.1209590629499999</v>
      </c>
      <c r="AE383">
        <v>-0.94250000000005196</v>
      </c>
      <c r="AF383">
        <v>1.1975746265860101</v>
      </c>
      <c r="AG383">
        <v>-1.1209590629499999</v>
      </c>
      <c r="AH383">
        <v>70.538326984217704</v>
      </c>
      <c r="AI383">
        <v>90.910307464996606</v>
      </c>
      <c r="AJ383">
        <v>89.027346079830593</v>
      </c>
      <c r="AK383">
        <v>70.557397258823698</v>
      </c>
      <c r="AL383">
        <v>76.958285437664003</v>
      </c>
      <c r="AM383">
        <v>86.558701535979495</v>
      </c>
      <c r="AN383">
        <v>1.0000000395255799</v>
      </c>
    </row>
    <row r="384" spans="1:40" x14ac:dyDescent="0.25">
      <c r="A384" t="str">
        <f>"20190303170949508"</f>
        <v>20190303170949508</v>
      </c>
      <c r="B384" t="str">
        <f>"1551604189501259"</f>
        <v>1551604189501259</v>
      </c>
      <c r="C384" t="s">
        <v>40</v>
      </c>
      <c r="D384">
        <v>4.4927739999999998</v>
      </c>
      <c r="E384">
        <v>0.48953750000000001</v>
      </c>
      <c r="F384" t="s">
        <v>42</v>
      </c>
      <c r="G384">
        <v>-268.8852</v>
      </c>
      <c r="H384" s="1">
        <v>-1.1661750000000001E-6</v>
      </c>
      <c r="I384">
        <v>366.60680000000002</v>
      </c>
      <c r="J384">
        <v>-349.40190000000001</v>
      </c>
      <c r="K384">
        <v>1.1209549999999999</v>
      </c>
      <c r="L384">
        <v>367.68040000000002</v>
      </c>
      <c r="M384">
        <v>0.99988999999999995</v>
      </c>
      <c r="N384">
        <v>-1.4398879999999999E-2</v>
      </c>
      <c r="O384">
        <v>3.5948080000000001E-3</v>
      </c>
      <c r="P384">
        <v>0.97582860000000005</v>
      </c>
      <c r="Q384">
        <v>0.21155889999999999</v>
      </c>
      <c r="R384">
        <v>-5.4786099999999997E-2</v>
      </c>
      <c r="S384">
        <v>3.0813600000000001</v>
      </c>
      <c r="T384">
        <v>-4.2768840000000002E-2</v>
      </c>
      <c r="U384">
        <v>-4.092407E-2</v>
      </c>
      <c r="V384">
        <v>5.832992E-2</v>
      </c>
      <c r="W384">
        <v>0.2255759</v>
      </c>
      <c r="X384">
        <v>0.97247790000000001</v>
      </c>
      <c r="Y384">
        <v>1.687147E-2</v>
      </c>
      <c r="Z384">
        <v>-2.3669429999999999E-4</v>
      </c>
      <c r="AA384">
        <v>0.99985769999999996</v>
      </c>
      <c r="AB384">
        <v>42</v>
      </c>
      <c r="AC384">
        <v>80.5167</v>
      </c>
      <c r="AD384">
        <v>-1.1209561661749901</v>
      </c>
      <c r="AE384">
        <v>-1.0735999999999899</v>
      </c>
      <c r="AF384">
        <v>1.36280101507588</v>
      </c>
      <c r="AG384">
        <v>-1.1209561661749901</v>
      </c>
      <c r="AH384">
        <v>80.496720517747903</v>
      </c>
      <c r="AI384">
        <v>90.797705861030593</v>
      </c>
      <c r="AJ384">
        <v>89.030081136224993</v>
      </c>
      <c r="AK384">
        <v>80.516059164899502</v>
      </c>
      <c r="AL384">
        <v>76.963255421387302</v>
      </c>
      <c r="AM384">
        <v>86.567470610506206</v>
      </c>
      <c r="AN384">
        <v>1.00000006610821</v>
      </c>
    </row>
    <row r="385" spans="1:40" x14ac:dyDescent="0.25">
      <c r="A385" t="str">
        <f>"20190303170949529"</f>
        <v>20190303170949529</v>
      </c>
      <c r="B385" t="str">
        <f>"1551604189520779"</f>
        <v>1551604189520779</v>
      </c>
      <c r="C385" t="s">
        <v>40</v>
      </c>
      <c r="D385">
        <v>4.4911379999999896</v>
      </c>
      <c r="E385">
        <v>0.48938470000000001</v>
      </c>
      <c r="F385" t="s">
        <v>42</v>
      </c>
      <c r="G385">
        <v>-265.15989999999999</v>
      </c>
      <c r="H385" s="1">
        <v>-2.601332E-6</v>
      </c>
      <c r="I385">
        <v>366.55709999999999</v>
      </c>
      <c r="J385">
        <v>-348.99529999999999</v>
      </c>
      <c r="K385">
        <v>1.120957</v>
      </c>
      <c r="L385">
        <v>367.68180000000001</v>
      </c>
      <c r="M385">
        <v>0.99988999999999995</v>
      </c>
      <c r="N385">
        <v>-1.4396279999999999E-2</v>
      </c>
      <c r="O385">
        <v>3.5542400000000002E-3</v>
      </c>
      <c r="P385">
        <v>0.9759331</v>
      </c>
      <c r="Q385">
        <v>0.21118819999999999</v>
      </c>
      <c r="R385">
        <v>-5.4354899999999998E-2</v>
      </c>
      <c r="S385">
        <v>3.080902</v>
      </c>
      <c r="T385">
        <v>-4.0995719999999999E-2</v>
      </c>
      <c r="U385">
        <v>-4.1076660000000001E-2</v>
      </c>
      <c r="V385">
        <v>5.7859279999999999E-2</v>
      </c>
      <c r="W385">
        <v>0.22520380000000001</v>
      </c>
      <c r="X385">
        <v>0.97259220000000002</v>
      </c>
      <c r="Y385">
        <v>1.6882589999999999E-2</v>
      </c>
      <c r="Z385">
        <v>-2.299813E-4</v>
      </c>
      <c r="AA385">
        <v>0.99985740000000001</v>
      </c>
      <c r="AB385">
        <v>42</v>
      </c>
      <c r="AC385">
        <v>83.835399999999893</v>
      </c>
      <c r="AD385">
        <v>-1.120959601332</v>
      </c>
      <c r="AE385">
        <v>-1.12470000000001</v>
      </c>
      <c r="AF385">
        <v>1.4224406626371799</v>
      </c>
      <c r="AG385">
        <v>-1.120959601332</v>
      </c>
      <c r="AH385">
        <v>83.815890370630399</v>
      </c>
      <c r="AI385">
        <v>90.766121788765204</v>
      </c>
      <c r="AJ385">
        <v>89.027725850469494</v>
      </c>
      <c r="AK385">
        <v>83.835454113925294</v>
      </c>
      <c r="AL385">
        <v>76.985137612656999</v>
      </c>
      <c r="AM385">
        <v>86.5955000529828</v>
      </c>
      <c r="AN385">
        <v>1.0000000176586901</v>
      </c>
    </row>
    <row r="386" spans="1:40" x14ac:dyDescent="0.25">
      <c r="A386" t="str">
        <f>"20190303170949551"</f>
        <v>20190303170949551</v>
      </c>
      <c r="B386" t="str">
        <f>"1551604189541275"</f>
        <v>1551604189541275</v>
      </c>
      <c r="C386" t="s">
        <v>40</v>
      </c>
      <c r="D386">
        <v>4.4754339999999999</v>
      </c>
      <c r="E386">
        <v>0.48933599999999999</v>
      </c>
      <c r="F386" t="s">
        <v>42</v>
      </c>
      <c r="G386">
        <v>-259.52940000000001</v>
      </c>
      <c r="H386" s="1">
        <v>-9.6305679999999993E-7</v>
      </c>
      <c r="I386">
        <v>366.54629999999997</v>
      </c>
      <c r="J386">
        <v>-348.5881</v>
      </c>
      <c r="K386">
        <v>1.120957</v>
      </c>
      <c r="L386">
        <v>367.68329999999997</v>
      </c>
      <c r="M386">
        <v>0.99989019999999995</v>
      </c>
      <c r="N386">
        <v>-1.4393660000000001E-2</v>
      </c>
      <c r="O386">
        <v>3.5137279999999998E-3</v>
      </c>
      <c r="P386">
        <v>0.97602160000000004</v>
      </c>
      <c r="Q386">
        <v>0.21096039999999999</v>
      </c>
      <c r="R386">
        <v>-5.3640420000000001E-2</v>
      </c>
      <c r="S386">
        <v>3.0802</v>
      </c>
      <c r="T386">
        <v>-3.8593170000000003E-2</v>
      </c>
      <c r="U386">
        <v>-3.9093019999999999E-2</v>
      </c>
      <c r="V386">
        <v>5.7105929999999999E-2</v>
      </c>
      <c r="W386">
        <v>0.22497519999999999</v>
      </c>
      <c r="X386">
        <v>0.97268960000000004</v>
      </c>
      <c r="Y386">
        <v>1.620168E-2</v>
      </c>
      <c r="Z386">
        <v>-2.115579E-4</v>
      </c>
      <c r="AA386">
        <v>0.9998688</v>
      </c>
      <c r="AB386">
        <v>42</v>
      </c>
      <c r="AC386">
        <v>89.058699999999902</v>
      </c>
      <c r="AD386">
        <v>-1.1209579630568001</v>
      </c>
      <c r="AE386">
        <v>-1.137</v>
      </c>
      <c r="AF386">
        <v>1.4497238221500399</v>
      </c>
      <c r="AG386">
        <v>-1.1209579630568001</v>
      </c>
      <c r="AH386">
        <v>89.040050645788199</v>
      </c>
      <c r="AI386">
        <v>90.721183973902797</v>
      </c>
      <c r="AJ386">
        <v>89.067209450165905</v>
      </c>
      <c r="AK386">
        <v>89.058906713028804</v>
      </c>
      <c r="AL386">
        <v>76.998580067584101</v>
      </c>
      <c r="AM386">
        <v>86.640061412707496</v>
      </c>
      <c r="AN386">
        <v>0.999999992902182</v>
      </c>
    </row>
    <row r="387" spans="1:40" x14ac:dyDescent="0.25">
      <c r="A387" t="str">
        <f>"20190303170949567"</f>
        <v>20190303170949567</v>
      </c>
      <c r="B387" t="str">
        <f>"1551604189561302"</f>
        <v>1551604189561302</v>
      </c>
      <c r="C387" t="s">
        <v>40</v>
      </c>
      <c r="D387">
        <v>4.4063670000000004</v>
      </c>
      <c r="E387">
        <v>0.48929430000000002</v>
      </c>
      <c r="F387" t="s">
        <v>42</v>
      </c>
      <c r="G387">
        <v>-252.50470000000001</v>
      </c>
      <c r="H387" s="1">
        <v>-3.7459189999999999E-6</v>
      </c>
      <c r="I387">
        <v>366.52629999999999</v>
      </c>
      <c r="J387">
        <v>-348.30099999999999</v>
      </c>
      <c r="K387">
        <v>1.1209579999999999</v>
      </c>
      <c r="L387">
        <v>367.68419999999998</v>
      </c>
      <c r="M387">
        <v>0.99989030000000001</v>
      </c>
      <c r="N387">
        <v>-1.4391869999999999E-2</v>
      </c>
      <c r="O387">
        <v>3.4851320000000002E-3</v>
      </c>
      <c r="P387">
        <v>0.97609210000000002</v>
      </c>
      <c r="Q387">
        <v>0.2106971</v>
      </c>
      <c r="R387">
        <v>-5.3393500000000003E-2</v>
      </c>
      <c r="S387">
        <v>3.079437</v>
      </c>
      <c r="T387">
        <v>-3.5926340000000001E-2</v>
      </c>
      <c r="U387">
        <v>-3.7078859999999998E-2</v>
      </c>
      <c r="V387">
        <v>5.6831300000000001E-2</v>
      </c>
      <c r="W387">
        <v>0.2247113</v>
      </c>
      <c r="X387">
        <v>0.97276669999999998</v>
      </c>
      <c r="Y387">
        <v>1.552271E-2</v>
      </c>
      <c r="Z387">
        <v>-1.927586E-4</v>
      </c>
      <c r="AA387">
        <v>0.99987950000000003</v>
      </c>
      <c r="AB387">
        <v>42</v>
      </c>
      <c r="AC387">
        <v>95.796299999999903</v>
      </c>
      <c r="AD387">
        <v>-1.120961745919</v>
      </c>
      <c r="AE387">
        <v>-1.1578999999999799</v>
      </c>
      <c r="AF387">
        <v>1.49158611142669</v>
      </c>
      <c r="AG387">
        <v>-1.120961745919</v>
      </c>
      <c r="AH387">
        <v>95.778569641094904</v>
      </c>
      <c r="AI387">
        <v>90.670459573520404</v>
      </c>
      <c r="AJ387">
        <v>89.107789128839102</v>
      </c>
      <c r="AK387">
        <v>95.796742047199501</v>
      </c>
      <c r="AL387">
        <v>77.014097965472303</v>
      </c>
      <c r="AM387">
        <v>86.6564474748442</v>
      </c>
      <c r="AN387">
        <v>1.00000000881813</v>
      </c>
    </row>
    <row r="388" spans="1:40" x14ac:dyDescent="0.25">
      <c r="A388" t="str">
        <f>"20190303170949583"</f>
        <v>20190303170949583</v>
      </c>
      <c r="B388" t="str">
        <f>"1551604189571062"</f>
        <v>1551604189571062</v>
      </c>
      <c r="C388" t="s">
        <v>40</v>
      </c>
      <c r="D388">
        <v>4.457719</v>
      </c>
      <c r="E388">
        <v>0.48926370000000002</v>
      </c>
      <c r="F388" t="s">
        <v>42</v>
      </c>
      <c r="G388">
        <v>-245.57740000000001</v>
      </c>
      <c r="H388" s="1">
        <v>-2.6303489999999999E-6</v>
      </c>
      <c r="I388">
        <v>366.4633</v>
      </c>
      <c r="J388">
        <v>-347.97649999999999</v>
      </c>
      <c r="K388">
        <v>1.1209610000000001</v>
      </c>
      <c r="L388">
        <v>367.68529999999998</v>
      </c>
      <c r="M388">
        <v>0.99989059999999996</v>
      </c>
      <c r="N388">
        <v>-1.4389900000000001E-2</v>
      </c>
      <c r="O388">
        <v>3.4526639999999998E-3</v>
      </c>
      <c r="P388">
        <v>0.97617690000000001</v>
      </c>
      <c r="Q388">
        <v>0.21043139999999999</v>
      </c>
      <c r="R388">
        <v>-5.2891689999999998E-2</v>
      </c>
      <c r="S388">
        <v>3.078735</v>
      </c>
      <c r="T388">
        <v>-3.3596399999999998E-2</v>
      </c>
      <c r="U388">
        <v>-3.6590579999999998E-2</v>
      </c>
      <c r="V388">
        <v>5.629783E-2</v>
      </c>
      <c r="W388">
        <v>0.22444500000000001</v>
      </c>
      <c r="X388">
        <v>0.97285920000000004</v>
      </c>
      <c r="Y388">
        <v>1.533467E-2</v>
      </c>
      <c r="Z388">
        <v>-1.8200289999999999E-4</v>
      </c>
      <c r="AA388">
        <v>0.99988239999999995</v>
      </c>
      <c r="AB388">
        <v>42</v>
      </c>
      <c r="AC388">
        <v>102.399099999999</v>
      </c>
      <c r="AD388">
        <v>-1.120963630349</v>
      </c>
      <c r="AE388">
        <v>-1.22199999999998</v>
      </c>
      <c r="AF388">
        <v>1.57539021250841</v>
      </c>
      <c r="AG388">
        <v>-1.120963630349</v>
      </c>
      <c r="AH388">
        <v>102.38200253549201</v>
      </c>
      <c r="AI388">
        <v>90.627222714366397</v>
      </c>
      <c r="AJ388">
        <v>89.1184379566009</v>
      </c>
      <c r="AK388">
        <v>102.400258090298</v>
      </c>
      <c r="AL388">
        <v>77.029755853647401</v>
      </c>
      <c r="AM388">
        <v>86.688077103340405</v>
      </c>
      <c r="AN388">
        <v>1.0000000133561699</v>
      </c>
    </row>
    <row r="389" spans="1:40" x14ac:dyDescent="0.25">
      <c r="A389" t="str">
        <f>"20190303170949597"</f>
        <v>20190303170949597</v>
      </c>
      <c r="B389" t="str">
        <f>"1551604189590582"</f>
        <v>1551604189590582</v>
      </c>
      <c r="C389" t="s">
        <v>40</v>
      </c>
      <c r="D389">
        <v>4.5454559999999997</v>
      </c>
      <c r="E389">
        <v>0.48924420000000002</v>
      </c>
      <c r="F389" t="s">
        <v>42</v>
      </c>
      <c r="G389">
        <v>-243.53659999999999</v>
      </c>
      <c r="H389" s="1">
        <v>-3.5869349999999998E-6</v>
      </c>
      <c r="I389">
        <v>366.50920000000002</v>
      </c>
      <c r="J389">
        <v>-347.7149</v>
      </c>
      <c r="K389">
        <v>1.1209579999999999</v>
      </c>
      <c r="L389">
        <v>367.68619999999999</v>
      </c>
      <c r="M389">
        <v>0.99989059999999996</v>
      </c>
      <c r="N389">
        <v>-1.438831E-2</v>
      </c>
      <c r="O389">
        <v>3.4265720000000001E-3</v>
      </c>
      <c r="P389">
        <v>0.97616950000000002</v>
      </c>
      <c r="Q389">
        <v>0.2105042</v>
      </c>
      <c r="R389">
        <v>-5.2733179999999998E-2</v>
      </c>
      <c r="S389">
        <v>3.07843</v>
      </c>
      <c r="T389">
        <v>-3.304112E-2</v>
      </c>
      <c r="U389">
        <v>-3.4667969999999999E-2</v>
      </c>
      <c r="V389">
        <v>5.6113980000000001E-2</v>
      </c>
      <c r="W389">
        <v>0.2245161</v>
      </c>
      <c r="X389">
        <v>0.97285339999999998</v>
      </c>
      <c r="Y389">
        <v>1.4685500000000001E-2</v>
      </c>
      <c r="Z389">
        <v>-1.7194319999999999E-4</v>
      </c>
      <c r="AA389">
        <v>0.99989220000000001</v>
      </c>
      <c r="AB389">
        <v>42</v>
      </c>
      <c r="AC389">
        <v>104.17829999999999</v>
      </c>
      <c r="AD389">
        <v>-1.12096158693499</v>
      </c>
      <c r="AE389">
        <v>-1.1769999999999601</v>
      </c>
      <c r="AF389">
        <v>1.5338269343313</v>
      </c>
      <c r="AG389">
        <v>-1.12096158693499</v>
      </c>
      <c r="AH389">
        <v>104.161596672616</v>
      </c>
      <c r="AI389">
        <v>90.616512507786595</v>
      </c>
      <c r="AJ389">
        <v>89.156354535594602</v>
      </c>
      <c r="AK389">
        <v>104.178920139021</v>
      </c>
      <c r="AL389">
        <v>77.025575229458198</v>
      </c>
      <c r="AM389">
        <v>86.6988491467811</v>
      </c>
      <c r="AN389">
        <v>0.99999999790110505</v>
      </c>
    </row>
    <row r="390" spans="1:40" x14ac:dyDescent="0.25">
      <c r="A390" t="str">
        <f>"20190303170949611"</f>
        <v>20190303170949611</v>
      </c>
      <c r="B390" t="str">
        <f>"1551604189601318"</f>
        <v>1551604189601318</v>
      </c>
      <c r="C390" t="s">
        <v>40</v>
      </c>
      <c r="D390">
        <v>4.4347519999999996</v>
      </c>
      <c r="E390">
        <v>0.48924289999999998</v>
      </c>
      <c r="F390" t="s">
        <v>42</v>
      </c>
      <c r="G390">
        <v>-233.54249999999999</v>
      </c>
      <c r="H390" s="1">
        <v>-3.3242619999999999E-6</v>
      </c>
      <c r="I390">
        <v>366.39339999999999</v>
      </c>
      <c r="J390">
        <v>-347.45600000000002</v>
      </c>
      <c r="K390">
        <v>1.1209559999999901</v>
      </c>
      <c r="L390">
        <v>367.68709999999999</v>
      </c>
      <c r="M390">
        <v>0.99989079999999997</v>
      </c>
      <c r="N390">
        <v>-1.4386690000000001E-2</v>
      </c>
      <c r="O390">
        <v>3.4007170000000001E-3</v>
      </c>
      <c r="P390">
        <v>0.9762284</v>
      </c>
      <c r="Q390">
        <v>0.2103122</v>
      </c>
      <c r="R390">
        <v>-5.2412489999999999E-2</v>
      </c>
      <c r="S390">
        <v>3.0778810000000001</v>
      </c>
      <c r="T390">
        <v>-3.0219079999999999E-2</v>
      </c>
      <c r="U390">
        <v>-3.4851069999999998E-2</v>
      </c>
      <c r="V390">
        <v>5.5768119999999997E-2</v>
      </c>
      <c r="W390">
        <v>0.22432369999999999</v>
      </c>
      <c r="X390">
        <v>0.9729177</v>
      </c>
      <c r="Y390">
        <v>1.4721349999999999E-2</v>
      </c>
      <c r="Z390">
        <v>-1.6263559999999999E-4</v>
      </c>
      <c r="AA390">
        <v>0.99989159999999999</v>
      </c>
      <c r="AB390">
        <v>42</v>
      </c>
      <c r="AC390">
        <v>113.913499999999</v>
      </c>
      <c r="AD390">
        <v>-1.12095932426199</v>
      </c>
      <c r="AE390">
        <v>-1.2937000000000001</v>
      </c>
      <c r="AF390">
        <v>1.6809574068751401</v>
      </c>
      <c r="AG390">
        <v>-1.12095932426199</v>
      </c>
      <c r="AH390">
        <v>113.897413444995</v>
      </c>
      <c r="AI390">
        <v>90.563815892841404</v>
      </c>
      <c r="AJ390">
        <v>89.154460401917902</v>
      </c>
      <c r="AK390">
        <v>113.91533240556601</v>
      </c>
      <c r="AL390">
        <v>77.0368878850702</v>
      </c>
      <c r="AM390">
        <v>86.719367649939599</v>
      </c>
      <c r="AN390">
        <v>1.0000000282816499</v>
      </c>
    </row>
    <row r="391" spans="1:40" x14ac:dyDescent="0.25">
      <c r="A391" t="str">
        <f>"20190303170949629"</f>
        <v>20190303170949629</v>
      </c>
      <c r="B391" t="str">
        <f>"1551604189620838"</f>
        <v>1551604189620838</v>
      </c>
      <c r="C391" t="s">
        <v>40</v>
      </c>
      <c r="D391">
        <v>4.444604</v>
      </c>
      <c r="E391">
        <v>0.4892319</v>
      </c>
      <c r="F391" t="s">
        <v>42</v>
      </c>
      <c r="G391">
        <v>-230.3391</v>
      </c>
      <c r="H391" s="1">
        <v>-4.6977080000000002E-6</v>
      </c>
      <c r="I391">
        <v>366.39789999999999</v>
      </c>
      <c r="J391">
        <v>-347.10899999999998</v>
      </c>
      <c r="K391">
        <v>1.1209549999999999</v>
      </c>
      <c r="L391">
        <v>367.68830000000003</v>
      </c>
      <c r="M391">
        <v>0.99989090000000003</v>
      </c>
      <c r="N391">
        <v>-1.43845E-2</v>
      </c>
      <c r="O391">
        <v>3.3658680000000002E-3</v>
      </c>
      <c r="P391">
        <v>0.97632350000000001</v>
      </c>
      <c r="Q391">
        <v>0.2099046</v>
      </c>
      <c r="R391">
        <v>-5.2274550000000003E-2</v>
      </c>
      <c r="S391">
        <v>3.0775760000000001</v>
      </c>
      <c r="T391">
        <v>-2.9456380000000001E-2</v>
      </c>
      <c r="U391">
        <v>-3.3874509999999997E-2</v>
      </c>
      <c r="V391">
        <v>5.5596359999999997E-2</v>
      </c>
      <c r="W391">
        <v>0.2239157</v>
      </c>
      <c r="X391">
        <v>0.97302140000000004</v>
      </c>
      <c r="Y391">
        <v>1.437048E-2</v>
      </c>
      <c r="Z391">
        <v>-1.5593519999999999E-4</v>
      </c>
      <c r="AA391">
        <v>0.99989669999999997</v>
      </c>
      <c r="AB391">
        <v>42</v>
      </c>
      <c r="AC391">
        <v>116.76990000000001</v>
      </c>
      <c r="AD391">
        <v>-1.1209596977080001</v>
      </c>
      <c r="AE391">
        <v>-1.29040000000003</v>
      </c>
      <c r="AF391">
        <v>1.68331030988829</v>
      </c>
      <c r="AG391">
        <v>-1.1209596977080001</v>
      </c>
      <c r="AH391">
        <v>116.754136503121</v>
      </c>
      <c r="AI391">
        <v>90.550024304787499</v>
      </c>
      <c r="AJ391">
        <v>89.173991625229704</v>
      </c>
      <c r="AK391">
        <v>116.771650989581</v>
      </c>
      <c r="AL391">
        <v>77.060873329420801</v>
      </c>
      <c r="AM391">
        <v>86.729797491348194</v>
      </c>
      <c r="AN391">
        <v>0.99999992040484598</v>
      </c>
    </row>
    <row r="392" spans="1:40" x14ac:dyDescent="0.25">
      <c r="A392" t="str">
        <f>"20190303170949642"</f>
        <v>20190303170949642</v>
      </c>
      <c r="B392" t="str">
        <f>"1551604189630598"</f>
        <v>1551604189630598</v>
      </c>
      <c r="C392" t="s">
        <v>40</v>
      </c>
      <c r="D392">
        <v>4.4902150000000001</v>
      </c>
      <c r="E392">
        <v>0.4892339</v>
      </c>
      <c r="F392" t="s">
        <v>42</v>
      </c>
      <c r="G392">
        <v>-224.6585</v>
      </c>
      <c r="H392" s="1">
        <v>-2.854104E-6</v>
      </c>
      <c r="I392">
        <v>366.34500000000003</v>
      </c>
      <c r="J392">
        <v>-346.87759999999997</v>
      </c>
      <c r="K392">
        <v>1.120954</v>
      </c>
      <c r="L392">
        <v>367.68900000000002</v>
      </c>
      <c r="M392">
        <v>0.99989099999999997</v>
      </c>
      <c r="N392">
        <v>-1.438303E-2</v>
      </c>
      <c r="O392">
        <v>3.3426369999999999E-3</v>
      </c>
      <c r="P392">
        <v>0.9763792</v>
      </c>
      <c r="Q392">
        <v>0.2097029</v>
      </c>
      <c r="R392">
        <v>-5.2042419999999999E-2</v>
      </c>
      <c r="S392">
        <v>3.0769959999999998</v>
      </c>
      <c r="T392">
        <v>-2.8167959999999999E-2</v>
      </c>
      <c r="U392">
        <v>-3.3752440000000002E-2</v>
      </c>
      <c r="V392">
        <v>5.5341620000000001E-2</v>
      </c>
      <c r="W392">
        <v>0.2237131</v>
      </c>
      <c r="X392">
        <v>0.97308260000000002</v>
      </c>
      <c r="Y392">
        <v>1.4309759999999999E-2</v>
      </c>
      <c r="Z392">
        <v>-1.509374E-4</v>
      </c>
      <c r="AA392">
        <v>0.99989760000000005</v>
      </c>
      <c r="AB392">
        <v>42</v>
      </c>
      <c r="AC392">
        <v>122.219099999999</v>
      </c>
      <c r="AD392">
        <v>-1.120956854104</v>
      </c>
      <c r="AE392">
        <v>-1.3439999999999901</v>
      </c>
      <c r="AF392">
        <v>1.75242143181719</v>
      </c>
      <c r="AG392">
        <v>-1.120956854104</v>
      </c>
      <c r="AH392">
        <v>122.203645561111</v>
      </c>
      <c r="AI392">
        <v>90.525497361589004</v>
      </c>
      <c r="AJ392">
        <v>89.178424916704898</v>
      </c>
      <c r="AK392">
        <v>122.221350481694</v>
      </c>
      <c r="AL392">
        <v>77.072784594648994</v>
      </c>
      <c r="AM392">
        <v>86.744953405130701</v>
      </c>
      <c r="AN392">
        <v>0.99999999621929703</v>
      </c>
    </row>
    <row r="393" spans="1:40" x14ac:dyDescent="0.25">
      <c r="A393" t="str">
        <f>"20190303170949655"</f>
        <v>20190303170949655</v>
      </c>
      <c r="B393" t="str">
        <f>"1551604189641334"</f>
        <v>1551604189641334</v>
      </c>
      <c r="C393" t="s">
        <v>40</v>
      </c>
      <c r="D393">
        <v>4.4313630000000002</v>
      </c>
      <c r="E393">
        <v>0.48923270000000002</v>
      </c>
      <c r="F393" t="s">
        <v>42</v>
      </c>
      <c r="G393">
        <v>-222.22329999999999</v>
      </c>
      <c r="H393" s="1">
        <v>-3.9003359999999999E-6</v>
      </c>
      <c r="I393">
        <v>366.33629999999999</v>
      </c>
      <c r="J393">
        <v>-346.61930000000001</v>
      </c>
      <c r="K393">
        <v>1.120959</v>
      </c>
      <c r="L393">
        <v>367.68990000000002</v>
      </c>
      <c r="M393">
        <v>0.99989110000000003</v>
      </c>
      <c r="N393">
        <v>-1.4381379999999999E-2</v>
      </c>
      <c r="O393">
        <v>3.3170830000000002E-3</v>
      </c>
      <c r="P393">
        <v>0.97638349999999996</v>
      </c>
      <c r="Q393">
        <v>0.20968580000000001</v>
      </c>
      <c r="R393">
        <v>-5.2029649999999997E-2</v>
      </c>
      <c r="S393">
        <v>3.0767519999999999</v>
      </c>
      <c r="T393">
        <v>-2.766776E-2</v>
      </c>
      <c r="U393">
        <v>-3.3386230000000003E-2</v>
      </c>
      <c r="V393">
        <v>5.5303860000000003E-2</v>
      </c>
      <c r="W393">
        <v>0.22369449999999999</v>
      </c>
      <c r="X393">
        <v>0.97308899999999998</v>
      </c>
      <c r="Y393">
        <v>1.4166120000000001E-2</v>
      </c>
      <c r="Z393">
        <v>-1.4769110000000001E-4</v>
      </c>
      <c r="AA393">
        <v>0.9998996</v>
      </c>
      <c r="AB393">
        <v>42</v>
      </c>
      <c r="AC393">
        <v>124.396</v>
      </c>
      <c r="AD393">
        <v>-1.120962900336</v>
      </c>
      <c r="AE393">
        <v>-1.3536000000000199</v>
      </c>
      <c r="AF393">
        <v>1.7661236813668999</v>
      </c>
      <c r="AG393">
        <v>-1.120962900336</v>
      </c>
      <c r="AH393">
        <v>124.38072618573899</v>
      </c>
      <c r="AI393">
        <v>90.516303716478504</v>
      </c>
      <c r="AJ393">
        <v>89.186492664990695</v>
      </c>
      <c r="AK393">
        <v>124.39831508976999</v>
      </c>
      <c r="AL393">
        <v>77.073877715305798</v>
      </c>
      <c r="AM393">
        <v>86.747190924796996</v>
      </c>
      <c r="AN393">
        <v>0.999999974091074</v>
      </c>
    </row>
    <row r="394" spans="1:40" x14ac:dyDescent="0.25">
      <c r="A394" t="str">
        <f>"20190303170949674"</f>
        <v>20190303170949674</v>
      </c>
      <c r="B394" t="str">
        <f>"1551604189661360"</f>
        <v>1551604189661360</v>
      </c>
      <c r="C394" t="s">
        <v>40</v>
      </c>
      <c r="D394">
        <v>4.466215</v>
      </c>
      <c r="E394">
        <v>0.48910740000000003</v>
      </c>
      <c r="F394" t="s">
        <v>42</v>
      </c>
      <c r="G394">
        <v>-216.94839999999999</v>
      </c>
      <c r="H394" s="1">
        <v>-1.916016E-6</v>
      </c>
      <c r="I394">
        <v>366.26600000000002</v>
      </c>
      <c r="J394">
        <v>-346.28930000000003</v>
      </c>
      <c r="K394">
        <v>1.120962</v>
      </c>
      <c r="L394">
        <v>367.6909</v>
      </c>
      <c r="M394">
        <v>0.99989130000000004</v>
      </c>
      <c r="N394">
        <v>-1.4379319999999999E-2</v>
      </c>
      <c r="O394">
        <v>3.2853349999999999E-3</v>
      </c>
      <c r="P394">
        <v>0.97646809999999995</v>
      </c>
      <c r="Q394">
        <v>0.20938370000000001</v>
      </c>
      <c r="R394">
        <v>-5.1660600000000001E-2</v>
      </c>
      <c r="S394">
        <v>3.076508</v>
      </c>
      <c r="T394">
        <v>-2.659535E-2</v>
      </c>
      <c r="U394">
        <v>-3.3782960000000001E-2</v>
      </c>
      <c r="V394">
        <v>5.4903859999999999E-2</v>
      </c>
      <c r="W394">
        <v>0.22339200000000001</v>
      </c>
      <c r="X394">
        <v>0.97318119999999997</v>
      </c>
      <c r="Y394">
        <v>1.4264229999999999E-2</v>
      </c>
      <c r="Z394">
        <v>-1.45377E-4</v>
      </c>
      <c r="AA394">
        <v>0.99989830000000002</v>
      </c>
      <c r="AB394">
        <v>42</v>
      </c>
      <c r="AC394">
        <v>129.3409</v>
      </c>
      <c r="AD394">
        <v>-1.1209639160160001</v>
      </c>
      <c r="AE394">
        <v>-1.42490000000003</v>
      </c>
      <c r="AF394">
        <v>1.84972547466783</v>
      </c>
      <c r="AG394">
        <v>-1.1209639160160001</v>
      </c>
      <c r="AH394">
        <v>129.32580729063</v>
      </c>
      <c r="AI394">
        <v>90.496562336692605</v>
      </c>
      <c r="AJ394">
        <v>89.180563886276303</v>
      </c>
      <c r="AK394">
        <v>129.34389230190101</v>
      </c>
      <c r="AL394">
        <v>77.091660463007202</v>
      </c>
      <c r="AM394">
        <v>86.770973066366594</v>
      </c>
      <c r="AN394">
        <v>1.00000003377016</v>
      </c>
    </row>
    <row r="395" spans="1:40" x14ac:dyDescent="0.25">
      <c r="A395" t="str">
        <f>"20190303170949696"</f>
        <v>20190303170949696</v>
      </c>
      <c r="B395" t="str">
        <f>"1551604189680880"</f>
        <v>1551604189680880</v>
      </c>
      <c r="C395" t="s">
        <v>40</v>
      </c>
      <c r="D395">
        <v>4.4717129999999896</v>
      </c>
      <c r="E395">
        <v>0.48907980000000001</v>
      </c>
      <c r="F395" t="s">
        <v>42</v>
      </c>
      <c r="G395">
        <v>-214.9248</v>
      </c>
      <c r="H395" s="1">
        <v>-2.7435990000000001E-6</v>
      </c>
      <c r="I395">
        <v>366.32389999999998</v>
      </c>
      <c r="J395">
        <v>-345.87049999999999</v>
      </c>
      <c r="K395">
        <v>1.120967</v>
      </c>
      <c r="L395">
        <v>367.69229999999999</v>
      </c>
      <c r="M395">
        <v>0.99989150000000004</v>
      </c>
      <c r="N395">
        <v>-1.4376709999999999E-2</v>
      </c>
      <c r="O395">
        <v>3.247186E-3</v>
      </c>
      <c r="P395">
        <v>0.97667300000000001</v>
      </c>
      <c r="Q395">
        <v>0.20846580000000001</v>
      </c>
      <c r="R395">
        <v>-5.1496809999999997E-2</v>
      </c>
      <c r="S395">
        <v>3.076263</v>
      </c>
      <c r="T395">
        <v>-2.625048E-2</v>
      </c>
      <c r="U395">
        <v>-3.2012939999999997E-2</v>
      </c>
      <c r="V395">
        <v>5.4702279999999999E-2</v>
      </c>
      <c r="W395">
        <v>0.2224748</v>
      </c>
      <c r="X395">
        <v>0.97340260000000001</v>
      </c>
      <c r="Y395">
        <v>1.3651780000000001E-2</v>
      </c>
      <c r="Z395">
        <v>-1.3741299999999999E-4</v>
      </c>
      <c r="AA395">
        <v>0.99990679999999998</v>
      </c>
      <c r="AB395">
        <v>42</v>
      </c>
      <c r="AC395">
        <v>130.94569999999999</v>
      </c>
      <c r="AD395">
        <v>-1.120969743599</v>
      </c>
      <c r="AE395">
        <v>-1.3684000000000001</v>
      </c>
      <c r="AF395">
        <v>1.7935103051657</v>
      </c>
      <c r="AG395">
        <v>-1.120969743599</v>
      </c>
      <c r="AH395">
        <v>130.93097157549701</v>
      </c>
      <c r="AI395">
        <v>90.490481670272104</v>
      </c>
      <c r="AJ395">
        <v>89.215203681822501</v>
      </c>
      <c r="AK395">
        <v>130.94805294499201</v>
      </c>
      <c r="AL395">
        <v>77.145568371451503</v>
      </c>
      <c r="AM395">
        <v>86.783533730951206</v>
      </c>
      <c r="AN395">
        <v>0.99999999887949897</v>
      </c>
    </row>
    <row r="396" spans="1:40" x14ac:dyDescent="0.25">
      <c r="A396" t="str">
        <f>"20190303170949710"</f>
        <v>20190303170949710</v>
      </c>
      <c r="B396" t="str">
        <f>"1551604189701377"</f>
        <v>1551604189701377</v>
      </c>
      <c r="C396" t="s">
        <v>40</v>
      </c>
      <c r="D396">
        <v>4.3828180000000003</v>
      </c>
      <c r="E396">
        <v>0.48911359999999898</v>
      </c>
      <c r="F396" t="s">
        <v>42</v>
      </c>
      <c r="G396">
        <v>-219.32990000000001</v>
      </c>
      <c r="H396" s="1">
        <v>-1.066843E-6</v>
      </c>
      <c r="I396">
        <v>366.41160000000002</v>
      </c>
      <c r="J396">
        <v>-345.61079999999998</v>
      </c>
      <c r="K396">
        <v>1.1209629999999999</v>
      </c>
      <c r="L396">
        <v>367.69310000000002</v>
      </c>
      <c r="M396">
        <v>0.99989159999999999</v>
      </c>
      <c r="N396">
        <v>-1.437512E-2</v>
      </c>
      <c r="O396">
        <v>3.2273359999999999E-3</v>
      </c>
      <c r="P396">
        <v>0.97674950000000005</v>
      </c>
      <c r="Q396">
        <v>0.2081915</v>
      </c>
      <c r="R396">
        <v>-5.1155510000000001E-2</v>
      </c>
      <c r="S396">
        <v>3.075806</v>
      </c>
      <c r="T396">
        <v>-2.7247190000000001E-2</v>
      </c>
      <c r="U396">
        <v>-3.1127930000000002E-2</v>
      </c>
      <c r="V396">
        <v>5.434046E-2</v>
      </c>
      <c r="W396">
        <v>0.2222005</v>
      </c>
      <c r="X396">
        <v>0.9734855</v>
      </c>
      <c r="Y396">
        <v>1.334576E-2</v>
      </c>
      <c r="Z396">
        <v>-1.3723859999999999E-4</v>
      </c>
      <c r="AA396">
        <v>0.99991099999999999</v>
      </c>
      <c r="AB396">
        <v>42</v>
      </c>
      <c r="AC396">
        <v>126.28089999999899</v>
      </c>
      <c r="AD396">
        <v>-1.1209640668430001</v>
      </c>
      <c r="AE396">
        <v>-1.2814999999999901</v>
      </c>
      <c r="AF396">
        <v>1.68895320935797</v>
      </c>
      <c r="AG396">
        <v>-1.1209640668430001</v>
      </c>
      <c r="AH396">
        <v>126.26615762038099</v>
      </c>
      <c r="AI396">
        <v>90.508600874964102</v>
      </c>
      <c r="AJ396">
        <v>89.233649603773401</v>
      </c>
      <c r="AK396">
        <v>126.28242824556899</v>
      </c>
      <c r="AL396">
        <v>77.161687880605598</v>
      </c>
      <c r="AM396">
        <v>86.805035870323294</v>
      </c>
      <c r="AN396">
        <v>0.99999998325175499</v>
      </c>
    </row>
    <row r="397" spans="1:40" x14ac:dyDescent="0.25">
      <c r="A397" t="str">
        <f>"20190303170949722"</f>
        <v>20190303170949722</v>
      </c>
      <c r="B397" t="str">
        <f>"1551604189711136"</f>
        <v>1551604189711136</v>
      </c>
      <c r="C397" t="s">
        <v>40</v>
      </c>
      <c r="D397">
        <v>4.6115500000000003</v>
      </c>
      <c r="E397">
        <v>0.48911979999999999</v>
      </c>
      <c r="F397" t="s">
        <v>42</v>
      </c>
      <c r="G397">
        <v>-218.6892</v>
      </c>
      <c r="H397" s="1">
        <v>-1.277959E-6</v>
      </c>
      <c r="I397">
        <v>366.4375</v>
      </c>
      <c r="J397">
        <v>-345.36790000000002</v>
      </c>
      <c r="K397">
        <v>1.1209659999999999</v>
      </c>
      <c r="L397">
        <v>367.69389999999999</v>
      </c>
      <c r="M397">
        <v>0.99989159999999999</v>
      </c>
      <c r="N397">
        <v>-1.437364E-2</v>
      </c>
      <c r="O397">
        <v>3.2112479999999999E-3</v>
      </c>
      <c r="P397">
        <v>0.97678759999999998</v>
      </c>
      <c r="Q397">
        <v>0.20801310000000001</v>
      </c>
      <c r="R397">
        <v>-5.1151160000000001E-2</v>
      </c>
      <c r="S397">
        <v>3.075653</v>
      </c>
      <c r="T397">
        <v>-2.7163980000000001E-2</v>
      </c>
      <c r="U397">
        <v>-3.042603E-2</v>
      </c>
      <c r="V397">
        <v>5.4318730000000003E-2</v>
      </c>
      <c r="W397">
        <v>0.22202150000000001</v>
      </c>
      <c r="X397">
        <v>0.97352760000000005</v>
      </c>
      <c r="Y397">
        <v>1.3102040000000001E-2</v>
      </c>
      <c r="Z397">
        <v>-1.3423100000000001E-4</v>
      </c>
      <c r="AA397">
        <v>0.99991419999999998</v>
      </c>
      <c r="AB397">
        <v>42</v>
      </c>
      <c r="AC397">
        <v>126.67870000000001</v>
      </c>
      <c r="AD397">
        <v>-1.1209672779590001</v>
      </c>
      <c r="AE397">
        <v>-1.25639999999998</v>
      </c>
      <c r="AF397">
        <v>1.6631020328535999</v>
      </c>
      <c r="AG397">
        <v>-1.1209672779590001</v>
      </c>
      <c r="AH397">
        <v>126.664094462958</v>
      </c>
      <c r="AI397">
        <v>90.507006207821107</v>
      </c>
      <c r="AJ397">
        <v>89.247748523295996</v>
      </c>
      <c r="AK397">
        <v>126.679971985042</v>
      </c>
      <c r="AL397">
        <v>77.172207169972197</v>
      </c>
      <c r="AM397">
        <v>86.806448671680201</v>
      </c>
      <c r="AN397">
        <v>1.00000002942641</v>
      </c>
    </row>
    <row r="398" spans="1:40" x14ac:dyDescent="0.25">
      <c r="A398" t="str">
        <f>"20190303170949740"</f>
        <v>20190303170949740</v>
      </c>
      <c r="B398" t="str">
        <f>"1551604189730656"</f>
        <v>1551604189730656</v>
      </c>
      <c r="C398" t="s">
        <v>40</v>
      </c>
      <c r="D398">
        <v>4.4694599999999998</v>
      </c>
      <c r="E398">
        <v>0.48914800000000003</v>
      </c>
      <c r="F398" t="s">
        <v>42</v>
      </c>
      <c r="G398">
        <v>-216.56720000000001</v>
      </c>
      <c r="H398" s="1">
        <v>-2.023177E-6</v>
      </c>
      <c r="I398">
        <v>366.41320000000002</v>
      </c>
      <c r="J398">
        <v>-345.0428</v>
      </c>
      <c r="K398">
        <v>1.1209739999999999</v>
      </c>
      <c r="L398">
        <v>367.69490000000002</v>
      </c>
      <c r="M398">
        <v>0.99989170000000005</v>
      </c>
      <c r="N398">
        <v>-1.437166E-2</v>
      </c>
      <c r="O398">
        <v>3.193352E-3</v>
      </c>
      <c r="P398">
        <v>0.97681059999999997</v>
      </c>
      <c r="Q398">
        <v>0.20793539999999999</v>
      </c>
      <c r="R398">
        <v>-5.1029060000000001E-2</v>
      </c>
      <c r="S398">
        <v>3.075348</v>
      </c>
      <c r="T398">
        <v>-2.6765110000000002E-2</v>
      </c>
      <c r="U398">
        <v>-3.0578609999999999E-2</v>
      </c>
      <c r="V398">
        <v>5.4176509999999997E-2</v>
      </c>
      <c r="W398">
        <v>0.221943</v>
      </c>
      <c r="X398">
        <v>0.97355340000000001</v>
      </c>
      <c r="Y398">
        <v>1.3134750000000001E-2</v>
      </c>
      <c r="Z398">
        <v>-1.3344569999999999E-4</v>
      </c>
      <c r="AA398">
        <v>0.99991379999999996</v>
      </c>
      <c r="AB398">
        <v>42</v>
      </c>
      <c r="AC398">
        <v>128.47559999999999</v>
      </c>
      <c r="AD398">
        <v>-1.1209760231769901</v>
      </c>
      <c r="AE398">
        <v>-1.2817000000000001</v>
      </c>
      <c r="AF398">
        <v>1.69187483379889</v>
      </c>
      <c r="AG398">
        <v>-1.1209760231769901</v>
      </c>
      <c r="AH398">
        <v>128.46107278953801</v>
      </c>
      <c r="AI398">
        <v>90.499917946502904</v>
      </c>
      <c r="AJ398">
        <v>89.245439251887404</v>
      </c>
      <c r="AK398">
        <v>128.47710399108701</v>
      </c>
      <c r="AL398">
        <v>77.176819670114995</v>
      </c>
      <c r="AM398">
        <v>86.814877184053401</v>
      </c>
      <c r="AN398">
        <v>1.00000000606817</v>
      </c>
    </row>
    <row r="399" spans="1:40" x14ac:dyDescent="0.25">
      <c r="A399" t="str">
        <f>"20190303170949753"</f>
        <v>20190303170949753</v>
      </c>
      <c r="B399" t="str">
        <f>"1551604189741393"</f>
        <v>1551604189741393</v>
      </c>
      <c r="C399" t="s">
        <v>40</v>
      </c>
      <c r="D399">
        <v>4.4567370000000004</v>
      </c>
      <c r="E399">
        <v>0.48913459999999997</v>
      </c>
      <c r="F399" t="s">
        <v>44</v>
      </c>
      <c r="G399">
        <v>-208.50749999999999</v>
      </c>
      <c r="H399" s="1">
        <v>-5.3008189999999996E-6</v>
      </c>
      <c r="I399">
        <v>366.31689999999998</v>
      </c>
      <c r="J399">
        <v>-344.80070000000001</v>
      </c>
      <c r="K399">
        <v>1.1209789999999999</v>
      </c>
      <c r="L399">
        <v>367.69569999999999</v>
      </c>
      <c r="M399">
        <v>0.99989170000000005</v>
      </c>
      <c r="N399">
        <v>-1.437018E-2</v>
      </c>
      <c r="O399">
        <v>3.1834789999999999E-3</v>
      </c>
      <c r="P399">
        <v>0.97686879999999998</v>
      </c>
      <c r="Q399">
        <v>0.2076481</v>
      </c>
      <c r="R399">
        <v>-5.1085119999999998E-2</v>
      </c>
      <c r="S399">
        <v>3.074951</v>
      </c>
      <c r="T399">
        <v>-2.5245900000000002E-2</v>
      </c>
      <c r="U399">
        <v>-3.1036379999999999E-2</v>
      </c>
      <c r="V399">
        <v>5.4220999999999998E-2</v>
      </c>
      <c r="W399">
        <v>0.22165570000000001</v>
      </c>
      <c r="X399">
        <v>0.97361640000000005</v>
      </c>
      <c r="Y399">
        <v>1.327508E-2</v>
      </c>
      <c r="Z399">
        <v>-1.3027459999999901E-4</v>
      </c>
      <c r="AA399">
        <v>0.99991180000000002</v>
      </c>
      <c r="AB399">
        <v>42</v>
      </c>
      <c r="AC399">
        <v>136.29320000000001</v>
      </c>
      <c r="AD399">
        <v>-1.1209843008189999</v>
      </c>
      <c r="AE399">
        <v>-1.37880000000001</v>
      </c>
      <c r="AF399">
        <v>1.8126017423882399</v>
      </c>
      <c r="AG399">
        <v>-1.1209843008189999</v>
      </c>
      <c r="AH399">
        <v>136.27890142632901</v>
      </c>
      <c r="AI399">
        <v>90.471243457982496</v>
      </c>
      <c r="AJ399">
        <v>89.237972238456805</v>
      </c>
      <c r="AK399">
        <v>136.29556524277001</v>
      </c>
      <c r="AL399">
        <v>77.193701542986702</v>
      </c>
      <c r="AM399">
        <v>86.812472782561201</v>
      </c>
      <c r="AN399">
        <v>1.00000003026622</v>
      </c>
    </row>
    <row r="400" spans="1:40" x14ac:dyDescent="0.25">
      <c r="A400" t="str">
        <f>"20190303170949766"</f>
        <v>20190303170949766</v>
      </c>
      <c r="B400" t="str">
        <f>"1551604189761418"</f>
        <v>1551604189761418</v>
      </c>
      <c r="C400" t="s">
        <v>40</v>
      </c>
      <c r="D400">
        <v>4.5109110000000001</v>
      </c>
      <c r="E400">
        <v>0.48912889999999998</v>
      </c>
      <c r="F400" t="s">
        <v>44</v>
      </c>
      <c r="G400">
        <v>-208.79300000000001</v>
      </c>
      <c r="H400" s="1">
        <v>-5.3954400000000003E-6</v>
      </c>
      <c r="I400">
        <v>366.32279999999997</v>
      </c>
      <c r="J400">
        <v>-344.56130000000002</v>
      </c>
      <c r="K400">
        <v>1.1209849999999999</v>
      </c>
      <c r="L400">
        <v>367.69650000000001</v>
      </c>
      <c r="M400">
        <v>0.9998918</v>
      </c>
      <c r="N400">
        <v>-1.436873E-2</v>
      </c>
      <c r="O400">
        <v>3.1755120000000001E-3</v>
      </c>
      <c r="P400">
        <v>0.97692060000000003</v>
      </c>
      <c r="Q400">
        <v>0.2073391</v>
      </c>
      <c r="R400">
        <v>-5.1348570000000003E-2</v>
      </c>
      <c r="S400">
        <v>3.0748289999999998</v>
      </c>
      <c r="T400">
        <v>-2.5342940000000001E-2</v>
      </c>
      <c r="U400">
        <v>-3.1036379999999999E-2</v>
      </c>
      <c r="V400">
        <v>5.4474729999999999E-2</v>
      </c>
      <c r="W400">
        <v>0.22134690000000001</v>
      </c>
      <c r="X400">
        <v>0.97367239999999999</v>
      </c>
      <c r="Y400">
        <v>1.326751E-2</v>
      </c>
      <c r="Z400">
        <v>-1.3054599999999999E-4</v>
      </c>
      <c r="AA400">
        <v>0.99991200000000002</v>
      </c>
      <c r="AB400">
        <v>42</v>
      </c>
      <c r="AC400">
        <v>135.76830000000001</v>
      </c>
      <c r="AD400">
        <v>-1.12099039544</v>
      </c>
      <c r="AE400">
        <v>-1.3737000000000399</v>
      </c>
      <c r="AF400">
        <v>1.8047483966116</v>
      </c>
      <c r="AG400">
        <v>-1.12099039544</v>
      </c>
      <c r="AH400">
        <v>135.75399897542999</v>
      </c>
      <c r="AI400">
        <v>90.473068083793294</v>
      </c>
      <c r="AJ400">
        <v>89.238340116471505</v>
      </c>
      <c r="AK400">
        <v>135.77062264740101</v>
      </c>
      <c r="AL400">
        <v>77.211844049201801</v>
      </c>
      <c r="AM400">
        <v>86.797771357334099</v>
      </c>
      <c r="AN400">
        <v>0.99999994443496998</v>
      </c>
    </row>
    <row r="401" spans="1:40" x14ac:dyDescent="0.25">
      <c r="A401" t="str">
        <f>"20190303170949785"</f>
        <v>20190303170949785</v>
      </c>
      <c r="B401" t="str">
        <f>"1551604189771179"</f>
        <v>1551604189771179</v>
      </c>
      <c r="C401" t="s">
        <v>40</v>
      </c>
      <c r="D401">
        <v>4.5073189999999999</v>
      </c>
      <c r="E401">
        <v>0.48911179999999899</v>
      </c>
      <c r="F401" t="s">
        <v>44</v>
      </c>
      <c r="G401">
        <v>-207.3329</v>
      </c>
      <c r="H401" s="1">
        <v>-4.7805070000000002E-6</v>
      </c>
      <c r="I401">
        <v>366.28399999999999</v>
      </c>
      <c r="J401">
        <v>-344.20679999999999</v>
      </c>
      <c r="K401">
        <v>1.1209849999999999</v>
      </c>
      <c r="L401">
        <v>367.69760000000002</v>
      </c>
      <c r="M401">
        <v>0.99989189999999994</v>
      </c>
      <c r="N401">
        <v>-1.436659E-2</v>
      </c>
      <c r="O401">
        <v>3.1668590000000002E-3</v>
      </c>
      <c r="P401">
        <v>0.97685049999999995</v>
      </c>
      <c r="Q401">
        <v>0.20754230000000001</v>
      </c>
      <c r="R401">
        <v>-5.1864550000000002E-2</v>
      </c>
      <c r="S401">
        <v>3.074554</v>
      </c>
      <c r="T401">
        <v>-2.5115370000000001E-2</v>
      </c>
      <c r="U401">
        <v>-3.1646729999999998E-2</v>
      </c>
      <c r="V401">
        <v>5.4978999999999903E-2</v>
      </c>
      <c r="W401">
        <v>0.2215473</v>
      </c>
      <c r="X401">
        <v>0.97359850000000003</v>
      </c>
      <c r="Y401">
        <v>1.345823E-2</v>
      </c>
      <c r="Z401">
        <v>-1.3202259999999999E-4</v>
      </c>
      <c r="AA401">
        <v>0.99990939999999995</v>
      </c>
      <c r="AB401">
        <v>42</v>
      </c>
      <c r="AC401">
        <v>136.87389999999999</v>
      </c>
      <c r="AD401">
        <v>-1.1209897805069999</v>
      </c>
      <c r="AE401">
        <v>-1.4136000000000299</v>
      </c>
      <c r="AF401">
        <v>1.84697406700483</v>
      </c>
      <c r="AG401">
        <v>-1.1209897805069999</v>
      </c>
      <c r="AH401">
        <v>136.85955746532201</v>
      </c>
      <c r="AI401">
        <v>90.469245265862099</v>
      </c>
      <c r="AJ401">
        <v>89.226817643156394</v>
      </c>
      <c r="AK401">
        <v>136.876610130789</v>
      </c>
      <c r="AL401">
        <v>77.200069949222694</v>
      </c>
      <c r="AM401">
        <v>86.767946238483304</v>
      </c>
      <c r="AN401">
        <v>0.99999996789026901</v>
      </c>
    </row>
    <row r="402" spans="1:40" x14ac:dyDescent="0.25">
      <c r="A402" t="str">
        <f>"20190303170949798"</f>
        <v>20190303170949798</v>
      </c>
      <c r="B402" t="str">
        <f>"1551604189790699"</f>
        <v>1551604189790699</v>
      </c>
      <c r="C402" t="s">
        <v>40</v>
      </c>
      <c r="D402">
        <v>4.5609159999999997</v>
      </c>
      <c r="E402">
        <v>0.48912080000000002</v>
      </c>
      <c r="F402" t="s">
        <v>44</v>
      </c>
      <c r="G402">
        <v>-200.0539</v>
      </c>
      <c r="H402" s="1">
        <v>-9.4631299999999998E-7</v>
      </c>
      <c r="I402">
        <v>366.15940000000001</v>
      </c>
      <c r="J402">
        <v>-343.9529</v>
      </c>
      <c r="K402">
        <v>1.1209880000000001</v>
      </c>
      <c r="L402">
        <v>367.69839999999999</v>
      </c>
      <c r="M402">
        <v>0.99989189999999994</v>
      </c>
      <c r="N402">
        <v>-1.4365050000000001E-2</v>
      </c>
      <c r="O402">
        <v>3.1625749999999999E-3</v>
      </c>
      <c r="P402">
        <v>0.97690509999999997</v>
      </c>
      <c r="Q402">
        <v>0.20727370000000001</v>
      </c>
      <c r="R402">
        <v>-5.1908889999999999E-2</v>
      </c>
      <c r="S402">
        <v>3.0744319999999998</v>
      </c>
      <c r="T402">
        <v>-2.3907899999999999E-2</v>
      </c>
      <c r="U402">
        <v>-3.2806399999999999E-2</v>
      </c>
      <c r="V402">
        <v>5.5017549999999998E-2</v>
      </c>
      <c r="W402">
        <v>0.22127810000000001</v>
      </c>
      <c r="X402">
        <v>0.97365760000000001</v>
      </c>
      <c r="Y402">
        <v>1.383152E-2</v>
      </c>
      <c r="Z402">
        <v>-1.3229480000000001E-4</v>
      </c>
      <c r="AA402">
        <v>0.99990429999999997</v>
      </c>
      <c r="AB402">
        <v>42</v>
      </c>
      <c r="AC402">
        <v>143.899</v>
      </c>
      <c r="AD402">
        <v>-1.1209889463129901</v>
      </c>
      <c r="AE402">
        <v>-1.5389999999999799</v>
      </c>
      <c r="AF402">
        <v>1.99400961172578</v>
      </c>
      <c r="AG402">
        <v>-1.1209889463129901</v>
      </c>
      <c r="AH402">
        <v>143.88468175578799</v>
      </c>
      <c r="AI402">
        <v>90.446332916653901</v>
      </c>
      <c r="AJ402">
        <v>89.206023737029</v>
      </c>
      <c r="AK402">
        <v>143.90286423318199</v>
      </c>
      <c r="AL402">
        <v>77.215887283236498</v>
      </c>
      <c r="AM402">
        <v>86.765880709699204</v>
      </c>
      <c r="AN402">
        <v>1.0000000251926799</v>
      </c>
    </row>
    <row r="403" spans="1:40" x14ac:dyDescent="0.25">
      <c r="A403" t="str">
        <f>"20190303170949810"</f>
        <v>20190303170949810</v>
      </c>
      <c r="B403" t="str">
        <f>"1551604189801435"</f>
        <v>1551604189801435</v>
      </c>
      <c r="C403" t="s">
        <v>40</v>
      </c>
      <c r="D403">
        <v>4.509862</v>
      </c>
      <c r="E403">
        <v>0.489097</v>
      </c>
      <c r="F403" t="s">
        <v>44</v>
      </c>
      <c r="G403">
        <v>-199.6566</v>
      </c>
      <c r="H403" s="1">
        <v>-9.2966890000000002E-6</v>
      </c>
      <c r="I403">
        <v>366.13420000000002</v>
      </c>
      <c r="J403">
        <v>-343.7328</v>
      </c>
      <c r="K403">
        <v>1.1209929999999999</v>
      </c>
      <c r="L403">
        <v>367.69909999999999</v>
      </c>
      <c r="M403">
        <v>0.99989189999999994</v>
      </c>
      <c r="N403">
        <v>-1.436373E-2</v>
      </c>
      <c r="O403">
        <v>3.160773E-3</v>
      </c>
      <c r="P403">
        <v>0.97691879999999998</v>
      </c>
      <c r="Q403">
        <v>0.2071374</v>
      </c>
      <c r="R403">
        <v>-5.2191559999999998E-2</v>
      </c>
      <c r="S403">
        <v>3.0741879999999999</v>
      </c>
      <c r="T403">
        <v>-2.3882509999999999E-2</v>
      </c>
      <c r="U403">
        <v>-3.3325199999999902E-2</v>
      </c>
      <c r="V403">
        <v>5.5297499999999999E-2</v>
      </c>
      <c r="W403">
        <v>0.22114130000000001</v>
      </c>
      <c r="X403">
        <v>0.9736728</v>
      </c>
      <c r="Y403">
        <v>1.3999269999999999E-2</v>
      </c>
      <c r="Z403">
        <v>-1.3408140000000001E-4</v>
      </c>
      <c r="AA403">
        <v>0.99990199999999996</v>
      </c>
      <c r="AB403">
        <v>42</v>
      </c>
      <c r="AC403">
        <v>144.0762</v>
      </c>
      <c r="AD403">
        <v>-1.1210022966890001</v>
      </c>
      <c r="AE403">
        <v>-1.56489999999996</v>
      </c>
      <c r="AF403">
        <v>2.02020901680253</v>
      </c>
      <c r="AG403">
        <v>-1.1210022966890001</v>
      </c>
      <c r="AH403">
        <v>144.06181315622601</v>
      </c>
      <c r="AI403">
        <v>90.445788434323205</v>
      </c>
      <c r="AJ403">
        <v>89.196581929908405</v>
      </c>
      <c r="AK403">
        <v>144.08033835496099</v>
      </c>
      <c r="AL403">
        <v>77.223924191083199</v>
      </c>
      <c r="AM403">
        <v>86.749510128207802</v>
      </c>
      <c r="AN403">
        <v>1.0000000047658899</v>
      </c>
    </row>
    <row r="404" spans="1:40" x14ac:dyDescent="0.25">
      <c r="A404" t="str">
        <f>"20190303170949830"</f>
        <v>20190303170949830</v>
      </c>
      <c r="B404" t="str">
        <f>"1551604189820955"</f>
        <v>1551604189820955</v>
      </c>
      <c r="C404" t="s">
        <v>40</v>
      </c>
      <c r="D404">
        <v>4.6444749999999999</v>
      </c>
      <c r="E404">
        <v>0.48912739999999999</v>
      </c>
      <c r="F404" t="s">
        <v>44</v>
      </c>
      <c r="G404">
        <v>-198.29900000000001</v>
      </c>
      <c r="H404" s="1">
        <v>-8.8099399999999995E-6</v>
      </c>
      <c r="I404">
        <v>366.08629999999999</v>
      </c>
      <c r="J404">
        <v>-343.35739999999998</v>
      </c>
      <c r="K404">
        <v>1.1209929999999999</v>
      </c>
      <c r="L404">
        <v>367.70030000000003</v>
      </c>
      <c r="M404">
        <v>0.99989189999999994</v>
      </c>
      <c r="N404">
        <v>-1.4361469999999999E-2</v>
      </c>
      <c r="O404">
        <v>3.1591140000000002E-3</v>
      </c>
      <c r="P404">
        <v>0.97702610000000001</v>
      </c>
      <c r="Q404">
        <v>0.20658170000000001</v>
      </c>
      <c r="R404">
        <v>-5.2384340000000001E-2</v>
      </c>
      <c r="S404">
        <v>3.0740050000000001</v>
      </c>
      <c r="T404">
        <v>-2.3694400000000001E-2</v>
      </c>
      <c r="U404">
        <v>-3.4088130000000001E-2</v>
      </c>
      <c r="V404">
        <v>5.5487389999999998E-2</v>
      </c>
      <c r="W404">
        <v>0.22058510000000001</v>
      </c>
      <c r="X404">
        <v>0.97378810000000005</v>
      </c>
      <c r="Y404">
        <v>1.4246389999999999E-2</v>
      </c>
      <c r="Z404">
        <v>-1.361938E-4</v>
      </c>
      <c r="AA404">
        <v>0.99989850000000002</v>
      </c>
      <c r="AB404">
        <v>42</v>
      </c>
      <c r="AC404">
        <v>145.05839999999901</v>
      </c>
      <c r="AD404">
        <v>-1.1210018099400001</v>
      </c>
      <c r="AE404">
        <v>-1.6140000000000301</v>
      </c>
      <c r="AF404">
        <v>2.0721714853495201</v>
      </c>
      <c r="AG404">
        <v>-1.1210018099400001</v>
      </c>
      <c r="AH404">
        <v>145.043915580343</v>
      </c>
      <c r="AI404">
        <v>90.442768248412605</v>
      </c>
      <c r="AJ404">
        <v>89.181498903237795</v>
      </c>
      <c r="AK404">
        <v>145.063048315553</v>
      </c>
      <c r="AL404">
        <v>77.256598308957095</v>
      </c>
      <c r="AM404">
        <v>86.738757453472402</v>
      </c>
      <c r="AN404">
        <v>0.99999995024631405</v>
      </c>
    </row>
    <row r="405" spans="1:40" x14ac:dyDescent="0.25">
      <c r="A405" t="str">
        <f>"20190303170949843"</f>
        <v>20190303170949843</v>
      </c>
      <c r="B405" t="str">
        <f>"1551604189830716"</f>
        <v>1551604189830716</v>
      </c>
      <c r="C405" t="s">
        <v>40</v>
      </c>
      <c r="D405">
        <v>4.7526299999999999</v>
      </c>
      <c r="E405">
        <v>0.51295729999999995</v>
      </c>
      <c r="F405" t="s">
        <v>44</v>
      </c>
      <c r="G405">
        <v>-204.25</v>
      </c>
      <c r="H405" s="1">
        <v>-3.3544969999999999E-6</v>
      </c>
      <c r="I405">
        <v>366.11200000000002</v>
      </c>
      <c r="J405">
        <v>-343.12119999999999</v>
      </c>
      <c r="K405">
        <v>1.1209849999999999</v>
      </c>
      <c r="L405">
        <v>367.70100000000002</v>
      </c>
      <c r="M405">
        <v>0.99989189999999994</v>
      </c>
      <c r="N405">
        <v>-1.4360039999999999E-2</v>
      </c>
      <c r="O405">
        <v>3.1590339999999998E-3</v>
      </c>
      <c r="P405">
        <v>0.977074</v>
      </c>
      <c r="Q405">
        <v>0.20626939999999999</v>
      </c>
      <c r="R405">
        <v>-5.2718370000000001E-2</v>
      </c>
      <c r="S405">
        <v>3.0738530000000002</v>
      </c>
      <c r="T405">
        <v>-2.477062E-2</v>
      </c>
      <c r="U405">
        <v>-3.5095210000000002E-2</v>
      </c>
      <c r="V405">
        <v>5.5820649999999999E-2</v>
      </c>
      <c r="W405">
        <v>0.22027260000000001</v>
      </c>
      <c r="X405">
        <v>0.97383980000000003</v>
      </c>
      <c r="Y405">
        <v>1.457432E-2</v>
      </c>
      <c r="Z405">
        <v>-1.434688E-4</v>
      </c>
      <c r="AA405">
        <v>0.99989380000000005</v>
      </c>
      <c r="AB405">
        <v>42</v>
      </c>
      <c r="AC405">
        <v>138.87119999999999</v>
      </c>
      <c r="AD405">
        <v>-1.1209883544970001</v>
      </c>
      <c r="AE405">
        <v>-1.58899999999999</v>
      </c>
      <c r="AF405">
        <v>2.0276040504420498</v>
      </c>
      <c r="AG405">
        <v>-1.1209883544970001</v>
      </c>
      <c r="AH405">
        <v>138.856440066928</v>
      </c>
      <c r="AI405">
        <v>90.462489607311994</v>
      </c>
      <c r="AJ405">
        <v>89.163417277002793</v>
      </c>
      <c r="AK405">
        <v>138.87576729270199</v>
      </c>
      <c r="AL405">
        <v>77.274954875450405</v>
      </c>
      <c r="AM405">
        <v>86.719386721831597</v>
      </c>
      <c r="AN405">
        <v>0.99999995967060995</v>
      </c>
    </row>
    <row r="406" spans="1:40" x14ac:dyDescent="0.25">
      <c r="A406" t="str">
        <f>"20190303170949856"</f>
        <v>20190303170949856</v>
      </c>
      <c r="B406" t="str">
        <f>"1551604189841453"</f>
        <v>1551604189841453</v>
      </c>
      <c r="C406" t="s">
        <v>40</v>
      </c>
      <c r="D406">
        <v>4.5715810000000001</v>
      </c>
      <c r="E406">
        <v>0.51295729999999995</v>
      </c>
      <c r="F406" t="s">
        <v>41</v>
      </c>
      <c r="G406">
        <v>-318.63099999999997</v>
      </c>
      <c r="H406">
        <v>-0.05</v>
      </c>
      <c r="I406">
        <v>365.95909999999998</v>
      </c>
      <c r="J406">
        <v>-342.8845</v>
      </c>
      <c r="K406">
        <v>1.120987</v>
      </c>
      <c r="L406">
        <v>367.70179999999999</v>
      </c>
      <c r="M406">
        <v>0.99989189999999994</v>
      </c>
      <c r="N406">
        <v>-1.4358599999999999E-2</v>
      </c>
      <c r="O406">
        <v>3.1593680000000001E-3</v>
      </c>
      <c r="P406">
        <v>0.97710280000000005</v>
      </c>
      <c r="Q406">
        <v>0.2061578</v>
      </c>
      <c r="R406">
        <v>-5.262199E-2</v>
      </c>
      <c r="S406">
        <v>3.0897220000000001</v>
      </c>
      <c r="T406">
        <v>-0.14773310000000001</v>
      </c>
      <c r="U406">
        <v>-0.21975710000000001</v>
      </c>
      <c r="V406">
        <v>5.5724009999999997E-2</v>
      </c>
      <c r="W406">
        <v>0.22016050000000001</v>
      </c>
      <c r="X406">
        <v>0.97387080000000004</v>
      </c>
      <c r="Y406">
        <v>7.3986109999999994E-2</v>
      </c>
      <c r="Z406">
        <v>-2.4033240000000001E-3</v>
      </c>
      <c r="AA406">
        <v>0.99725640000000004</v>
      </c>
      <c r="AB406">
        <v>42</v>
      </c>
      <c r="AC406">
        <v>24.253499999999999</v>
      </c>
      <c r="AD406">
        <v>-1.170987</v>
      </c>
      <c r="AE406">
        <v>-1.7427000000000099</v>
      </c>
      <c r="AF406">
        <v>1.8151155058606101</v>
      </c>
      <c r="AG406">
        <v>-1.170987</v>
      </c>
      <c r="AH406">
        <v>24.191769481126599</v>
      </c>
      <c r="AI406">
        <v>92.763446849081006</v>
      </c>
      <c r="AJ406">
        <v>85.709120832021696</v>
      </c>
      <c r="AK406">
        <v>24.288012794005098</v>
      </c>
      <c r="AL406">
        <v>77.281540841893403</v>
      </c>
      <c r="AM406">
        <v>86.725157960114899</v>
      </c>
      <c r="AN406">
        <v>1.00000007307168</v>
      </c>
    </row>
    <row r="407" spans="1:40" x14ac:dyDescent="0.25">
      <c r="A407" t="str">
        <f>"20190303170949869"</f>
        <v>20190303170949869</v>
      </c>
      <c r="B407" t="str">
        <f>"1551604189860971"</f>
        <v>1551604189860971</v>
      </c>
      <c r="C407" t="s">
        <v>40</v>
      </c>
      <c r="D407">
        <v>4.5732869999999997</v>
      </c>
      <c r="E407">
        <v>0.55010439999999905</v>
      </c>
      <c r="F407" t="s">
        <v>41</v>
      </c>
      <c r="G407">
        <v>-318.45580000000001</v>
      </c>
      <c r="H407">
        <v>-0.05</v>
      </c>
      <c r="I407">
        <v>365.9633</v>
      </c>
      <c r="J407">
        <v>-342.63459999999998</v>
      </c>
      <c r="K407">
        <v>1.1209899999999999</v>
      </c>
      <c r="L407">
        <v>367.70260000000002</v>
      </c>
      <c r="M407">
        <v>0.99989209999999995</v>
      </c>
      <c r="N407">
        <v>-1.4357079999999999E-2</v>
      </c>
      <c r="O407">
        <v>3.1597600000000002E-3</v>
      </c>
      <c r="P407">
        <v>0.97707100000000002</v>
      </c>
      <c r="Q407">
        <v>0.2062763</v>
      </c>
      <c r="R407">
        <v>-5.2749999999999998E-2</v>
      </c>
      <c r="S407">
        <v>3.0897220000000001</v>
      </c>
      <c r="T407">
        <v>-0.1481055</v>
      </c>
      <c r="U407">
        <v>-0.2198792</v>
      </c>
      <c r="V407">
        <v>5.5851249999999998E-2</v>
      </c>
      <c r="W407">
        <v>0.22027720000000001</v>
      </c>
      <c r="X407">
        <v>0.97383699999999995</v>
      </c>
      <c r="Y407">
        <v>7.4025149999999998E-2</v>
      </c>
      <c r="Z407">
        <v>-2.4093249999999999E-3</v>
      </c>
      <c r="AA407">
        <v>0.99725350000000001</v>
      </c>
      <c r="AB407">
        <v>42</v>
      </c>
      <c r="AC407">
        <v>24.178799999999899</v>
      </c>
      <c r="AD407">
        <v>-1.17099</v>
      </c>
      <c r="AE407">
        <v>-1.7393000000000101</v>
      </c>
      <c r="AF407">
        <v>1.8114714359422099</v>
      </c>
      <c r="AG407">
        <v>-1.17099</v>
      </c>
      <c r="AH407">
        <v>24.1169077446208</v>
      </c>
      <c r="AI407">
        <v>92.772001745854297</v>
      </c>
      <c r="AJ407">
        <v>85.704460149188407</v>
      </c>
      <c r="AK407">
        <v>24.213175865753001</v>
      </c>
      <c r="AL407">
        <v>77.274684614786807</v>
      </c>
      <c r="AM407">
        <v>86.717582855559002</v>
      </c>
      <c r="AN407">
        <v>0.99999995476769998</v>
      </c>
    </row>
    <row r="408" spans="1:40" x14ac:dyDescent="0.25">
      <c r="A408" t="str">
        <f>"20190303170949886"</f>
        <v>20190303170949886</v>
      </c>
      <c r="B408" t="str">
        <f>"1551604189881466"</f>
        <v>1551604189881466</v>
      </c>
      <c r="C408" t="s">
        <v>40</v>
      </c>
      <c r="D408">
        <v>4.5985909999999999</v>
      </c>
      <c r="E408">
        <v>0.55195459999999996</v>
      </c>
      <c r="F408" t="s">
        <v>43</v>
      </c>
      <c r="G408">
        <v>-341.80009999999999</v>
      </c>
      <c r="H408">
        <v>0.98486600000000002</v>
      </c>
      <c r="I408">
        <v>367.57089999999999</v>
      </c>
      <c r="J408">
        <v>-342.32</v>
      </c>
      <c r="K408">
        <v>1.120997</v>
      </c>
      <c r="L408">
        <v>367.70359999999999</v>
      </c>
      <c r="M408">
        <v>0.99989209999999995</v>
      </c>
      <c r="N408">
        <v>-1.4355130000000001E-2</v>
      </c>
      <c r="O408">
        <v>3.1599839999999998E-3</v>
      </c>
      <c r="P408">
        <v>0.9770356</v>
      </c>
      <c r="Q408">
        <v>0.20651849999999999</v>
      </c>
      <c r="R408">
        <v>-5.2459430000000001E-2</v>
      </c>
      <c r="S408">
        <v>3.152161</v>
      </c>
      <c r="T408">
        <v>-0.51422290000000004</v>
      </c>
      <c r="U408">
        <v>-0.49658200000000002</v>
      </c>
      <c r="V408">
        <v>5.555997E-2</v>
      </c>
      <c r="W408">
        <v>0.22051670000000001</v>
      </c>
      <c r="X408">
        <v>0.97379950000000004</v>
      </c>
      <c r="Y408">
        <v>0.15650220000000001</v>
      </c>
      <c r="Z408">
        <v>-1.420768E-2</v>
      </c>
      <c r="AA408">
        <v>0.98757539999999999</v>
      </c>
      <c r="AB408">
        <v>42</v>
      </c>
      <c r="AC408">
        <v>0.51990000000000602</v>
      </c>
      <c r="AD408">
        <v>-0.136131</v>
      </c>
      <c r="AE408">
        <v>-0.13269999999999901</v>
      </c>
      <c r="AF408">
        <v>0.126218081478428</v>
      </c>
      <c r="AG408">
        <v>-0.136131</v>
      </c>
      <c r="AH408">
        <v>0.48806280926738699</v>
      </c>
      <c r="AI408">
        <v>105.111564302955</v>
      </c>
      <c r="AJ408">
        <v>75.500389883536599</v>
      </c>
      <c r="AK408">
        <v>0.52217617624999801</v>
      </c>
      <c r="AL408">
        <v>77.260616870255006</v>
      </c>
      <c r="AM408">
        <v>86.734538972994997</v>
      </c>
      <c r="AN408">
        <v>0.99999999572276999</v>
      </c>
    </row>
    <row r="409" spans="1:40" x14ac:dyDescent="0.25">
      <c r="A409" t="str">
        <f>"20190303170949907"</f>
        <v>20190303170949907</v>
      </c>
      <c r="B409" t="str">
        <f>"1551604189900987"</f>
        <v>1551604189900987</v>
      </c>
      <c r="C409" t="s">
        <v>40</v>
      </c>
      <c r="D409">
        <v>4.5885889999999998</v>
      </c>
      <c r="E409">
        <v>0.55221830000000005</v>
      </c>
      <c r="F409" t="s">
        <v>43</v>
      </c>
      <c r="G409">
        <v>-341.43979999999999</v>
      </c>
      <c r="H409">
        <v>0.96050869999999999</v>
      </c>
      <c r="I409">
        <v>367.56229999999999</v>
      </c>
      <c r="J409">
        <v>-341.9119</v>
      </c>
      <c r="K409">
        <v>1.121008</v>
      </c>
      <c r="L409">
        <v>367.70479999999998</v>
      </c>
      <c r="M409">
        <v>0.999892</v>
      </c>
      <c r="N409">
        <v>-1.43526E-2</v>
      </c>
      <c r="O409">
        <v>3.1603360000000001E-3</v>
      </c>
      <c r="P409">
        <v>0.97692579999999996</v>
      </c>
      <c r="Q409">
        <v>0.20710310000000001</v>
      </c>
      <c r="R409">
        <v>-5.2195510000000001E-2</v>
      </c>
      <c r="S409">
        <v>3.1652830000000001</v>
      </c>
      <c r="T409">
        <v>-0.57720179999999999</v>
      </c>
      <c r="U409">
        <v>-0.50708009999999903</v>
      </c>
      <c r="V409">
        <v>5.5295150000000001E-2</v>
      </c>
      <c r="W409">
        <v>0.22109809999999999</v>
      </c>
      <c r="X409">
        <v>0.97368279999999996</v>
      </c>
      <c r="Y409">
        <v>0.15850330000000001</v>
      </c>
      <c r="Z409">
        <v>-1.5922929999999998E-2</v>
      </c>
      <c r="AA409">
        <v>0.9872301</v>
      </c>
      <c r="AB409">
        <v>42</v>
      </c>
      <c r="AC409">
        <v>0.47210000000001101</v>
      </c>
      <c r="AD409">
        <v>-0.16049929999999901</v>
      </c>
      <c r="AE409">
        <v>-0.142499999999984</v>
      </c>
      <c r="AF409">
        <v>0.13019966727198901</v>
      </c>
      <c r="AG409">
        <v>-0.16049929999999901</v>
      </c>
      <c r="AH409">
        <v>0.42647199154513699</v>
      </c>
      <c r="AI409">
        <v>109.795905790079</v>
      </c>
      <c r="AJ409">
        <v>73.022843860211196</v>
      </c>
      <c r="AK409">
        <v>0.47390963086932802</v>
      </c>
      <c r="AL409">
        <v>77.226462900137406</v>
      </c>
      <c r="AM409">
        <v>86.749681279859999</v>
      </c>
      <c r="AN409">
        <v>1.0000000592264799</v>
      </c>
    </row>
    <row r="410" spans="1:40" x14ac:dyDescent="0.25">
      <c r="A410" t="str">
        <f>"20190303170949919"</f>
        <v>20190303170949919</v>
      </c>
      <c r="B410" t="str">
        <f>"1551604189910747"</f>
        <v>1551604189910747</v>
      </c>
      <c r="C410" t="s">
        <v>40</v>
      </c>
      <c r="D410">
        <v>4.5911900000000001</v>
      </c>
      <c r="E410">
        <v>0.55228379999999999</v>
      </c>
      <c r="F410" t="s">
        <v>43</v>
      </c>
      <c r="G410">
        <v>-341.06810000000002</v>
      </c>
      <c r="H410">
        <v>0.96150599999999997</v>
      </c>
      <c r="I410">
        <v>367.56939999999997</v>
      </c>
      <c r="J410">
        <v>-341.6925</v>
      </c>
      <c r="K410">
        <v>1.1210089999999999</v>
      </c>
      <c r="L410">
        <v>367.70549999999997</v>
      </c>
      <c r="M410">
        <v>0.99989220000000001</v>
      </c>
      <c r="N410">
        <v>-1.435122E-2</v>
      </c>
      <c r="O410">
        <v>3.1602430000000001E-3</v>
      </c>
      <c r="P410">
        <v>0.97682760000000002</v>
      </c>
      <c r="Q410">
        <v>0.20757329999999999</v>
      </c>
      <c r="R410">
        <v>-5.2169599999999997E-2</v>
      </c>
      <c r="S410">
        <v>3.170868</v>
      </c>
      <c r="T410">
        <v>-0.59966140000000001</v>
      </c>
      <c r="U410">
        <v>-0.50744630000000002</v>
      </c>
      <c r="V410">
        <v>5.5268270000000001E-2</v>
      </c>
      <c r="W410">
        <v>0.2215654</v>
      </c>
      <c r="X410">
        <v>0.97357800000000005</v>
      </c>
      <c r="Y410">
        <v>0.15814710000000001</v>
      </c>
      <c r="Z410">
        <v>-1.6428000000000002E-2</v>
      </c>
      <c r="AA410">
        <v>0.98727889999999996</v>
      </c>
      <c r="AB410">
        <v>42</v>
      </c>
      <c r="AC410">
        <v>0.62439999999997997</v>
      </c>
      <c r="AD410">
        <v>-0.15950299999999901</v>
      </c>
      <c r="AE410">
        <v>-0.136099999999999</v>
      </c>
      <c r="AF410">
        <v>0.12997592296753599</v>
      </c>
      <c r="AG410">
        <v>-0.15950299999999901</v>
      </c>
      <c r="AH410">
        <v>0.58737610744055802</v>
      </c>
      <c r="AI410">
        <v>104.84961248002</v>
      </c>
      <c r="AJ410">
        <v>77.522522998043797</v>
      </c>
      <c r="AK410">
        <v>0.62237098193303098</v>
      </c>
      <c r="AL410">
        <v>77.199006429292297</v>
      </c>
      <c r="AM410">
        <v>86.750908975993198</v>
      </c>
      <c r="AN410">
        <v>0.99999996511497602</v>
      </c>
    </row>
    <row r="411" spans="1:40" x14ac:dyDescent="0.25">
      <c r="A411" t="str">
        <f>"20190303170949931"</f>
        <v>20190303170949931</v>
      </c>
      <c r="B411" t="str">
        <f>"1551604189921482"</f>
        <v>1551604189921482</v>
      </c>
      <c r="C411" t="s">
        <v>40</v>
      </c>
      <c r="D411">
        <v>4.596406</v>
      </c>
      <c r="E411">
        <v>0.55253859999999999</v>
      </c>
      <c r="F411" t="s">
        <v>43</v>
      </c>
      <c r="G411">
        <v>-340.70929999999998</v>
      </c>
      <c r="H411">
        <v>0.93339530000000004</v>
      </c>
      <c r="I411">
        <v>367.54809999999998</v>
      </c>
      <c r="J411">
        <v>-341.46879999999999</v>
      </c>
      <c r="K411">
        <v>1.1210119999999999</v>
      </c>
      <c r="L411">
        <v>367.70620000000002</v>
      </c>
      <c r="M411">
        <v>0.99989209999999995</v>
      </c>
      <c r="N411">
        <v>-1.434975E-2</v>
      </c>
      <c r="O411">
        <v>3.1602679999999999E-3</v>
      </c>
      <c r="P411">
        <v>0.97678799999999999</v>
      </c>
      <c r="Q411">
        <v>0.2077648</v>
      </c>
      <c r="R411">
        <v>-5.214705E-2</v>
      </c>
      <c r="S411">
        <v>3.1727289999999999</v>
      </c>
      <c r="T411">
        <v>-0.6054659</v>
      </c>
      <c r="U411">
        <v>-0.50756840000000003</v>
      </c>
      <c r="V411">
        <v>5.5245040000000002E-2</v>
      </c>
      <c r="W411">
        <v>0.22175510000000001</v>
      </c>
      <c r="X411">
        <v>0.97353610000000002</v>
      </c>
      <c r="Y411">
        <v>0.1580433</v>
      </c>
      <c r="Z411">
        <v>-1.6554429999999998E-2</v>
      </c>
      <c r="AA411">
        <v>0.98729339999999999</v>
      </c>
      <c r="AB411">
        <v>42</v>
      </c>
      <c r="AC411">
        <v>0.75950000000000195</v>
      </c>
      <c r="AD411">
        <v>-0.1876167</v>
      </c>
      <c r="AE411">
        <v>-0.15810000000004701</v>
      </c>
      <c r="AF411">
        <v>0.15163111779734301</v>
      </c>
      <c r="AG411">
        <v>-0.1876167</v>
      </c>
      <c r="AH411">
        <v>0.71705743953316703</v>
      </c>
      <c r="AI411">
        <v>104.35864981448</v>
      </c>
      <c r="AJ411">
        <v>78.059961278155896</v>
      </c>
      <c r="AK411">
        <v>0.75654702008085595</v>
      </c>
      <c r="AL411">
        <v>77.187859796098394</v>
      </c>
      <c r="AM411">
        <v>86.752132209187295</v>
      </c>
      <c r="AN411">
        <v>0.99999993841190804</v>
      </c>
    </row>
    <row r="412" spans="1:40" x14ac:dyDescent="0.25">
      <c r="A412" t="str">
        <f>"20190303170949944"</f>
        <v>20190303170949944</v>
      </c>
      <c r="B412" t="str">
        <f>"1551604189941003"</f>
        <v>1551604189941003</v>
      </c>
      <c r="C412" t="s">
        <v>40</v>
      </c>
      <c r="D412">
        <v>4.6050620000000002</v>
      </c>
      <c r="E412">
        <v>0.55285359999999995</v>
      </c>
      <c r="F412" t="s">
        <v>43</v>
      </c>
      <c r="G412">
        <v>-340.69260000000003</v>
      </c>
      <c r="H412">
        <v>0.97149649999999999</v>
      </c>
      <c r="I412">
        <v>367.58159999999998</v>
      </c>
      <c r="J412">
        <v>-341.23919999999998</v>
      </c>
      <c r="K412">
        <v>1.1210119999999999</v>
      </c>
      <c r="L412">
        <v>367.70690000000002</v>
      </c>
      <c r="M412">
        <v>0.99989220000000001</v>
      </c>
      <c r="N412">
        <v>-1.434831E-2</v>
      </c>
      <c r="O412">
        <v>3.1601120000000001E-3</v>
      </c>
      <c r="P412">
        <v>0.97675210000000001</v>
      </c>
      <c r="Q412">
        <v>0.20790449999999999</v>
      </c>
      <c r="R412">
        <v>-5.226314E-2</v>
      </c>
      <c r="S412">
        <v>3.1741640000000002</v>
      </c>
      <c r="T412">
        <v>-0.61155300000000001</v>
      </c>
      <c r="U412">
        <v>-0.50891109999999995</v>
      </c>
      <c r="V412">
        <v>5.5360630000000001E-2</v>
      </c>
      <c r="W412">
        <v>0.2218928</v>
      </c>
      <c r="X412">
        <v>0.97349819999999998</v>
      </c>
      <c r="Y412">
        <v>0.1583194</v>
      </c>
      <c r="Z412">
        <v>-1.6727949999999998E-2</v>
      </c>
      <c r="AA412">
        <v>0.98724619999999996</v>
      </c>
      <c r="AB412">
        <v>42</v>
      </c>
      <c r="AC412">
        <v>0.54659999999995501</v>
      </c>
      <c r="AD412">
        <v>-0.1495155</v>
      </c>
      <c r="AE412">
        <v>-0.12530000000003799</v>
      </c>
      <c r="AF412">
        <v>0.11859620600696701</v>
      </c>
      <c r="AG412">
        <v>-0.1495155</v>
      </c>
      <c r="AH412">
        <v>0.50995036342036304</v>
      </c>
      <c r="AI412">
        <v>105.938020243678</v>
      </c>
      <c r="AJ412">
        <v>76.907776692712304</v>
      </c>
      <c r="AK412">
        <v>0.54448996131430905</v>
      </c>
      <c r="AL412">
        <v>77.179769126971195</v>
      </c>
      <c r="AM412">
        <v>86.745224805088299</v>
      </c>
      <c r="AN412">
        <v>0.99999997972453802</v>
      </c>
    </row>
    <row r="413" spans="1:40" x14ac:dyDescent="0.25">
      <c r="A413" t="str">
        <f>"20190303170949957"</f>
        <v>20190303170949957</v>
      </c>
      <c r="B413" t="str">
        <f>"1551604189950763"</f>
        <v>1551604189950763</v>
      </c>
      <c r="C413" t="s">
        <v>40</v>
      </c>
      <c r="D413">
        <v>4.5968799999999996</v>
      </c>
      <c r="E413">
        <v>0.5530486</v>
      </c>
      <c r="F413" t="s">
        <v>43</v>
      </c>
      <c r="G413">
        <v>-340.33390000000003</v>
      </c>
      <c r="H413">
        <v>0.94447020000000004</v>
      </c>
      <c r="I413">
        <v>367.56079999999997</v>
      </c>
      <c r="J413">
        <v>-341.00189999999998</v>
      </c>
      <c r="K413">
        <v>1.1210150000000001</v>
      </c>
      <c r="L413">
        <v>367.70769999999999</v>
      </c>
      <c r="M413">
        <v>0.99989220000000001</v>
      </c>
      <c r="N413">
        <v>-1.4346869999999999E-2</v>
      </c>
      <c r="O413">
        <v>3.159954E-3</v>
      </c>
      <c r="P413">
        <v>0.97672720000000002</v>
      </c>
      <c r="Q413">
        <v>0.208061</v>
      </c>
      <c r="R413">
        <v>-5.210153E-2</v>
      </c>
      <c r="S413">
        <v>3.1759339999999998</v>
      </c>
      <c r="T413">
        <v>-0.61945209999999995</v>
      </c>
      <c r="U413">
        <v>-0.51144409999999996</v>
      </c>
      <c r="V413">
        <v>5.5198400000000002E-2</v>
      </c>
      <c r="W413">
        <v>0.22204760000000001</v>
      </c>
      <c r="X413">
        <v>0.97347209999999995</v>
      </c>
      <c r="Y413">
        <v>0.15891540000000001</v>
      </c>
      <c r="Z413">
        <v>-1.6978279999999998E-2</v>
      </c>
      <c r="AA413">
        <v>0.98714619999999997</v>
      </c>
      <c r="AB413">
        <v>42</v>
      </c>
      <c r="AC413">
        <v>0.66799999999994897</v>
      </c>
      <c r="AD413">
        <v>-0.176544799999999</v>
      </c>
      <c r="AE413">
        <v>-0.14690000000001599</v>
      </c>
      <c r="AF413">
        <v>0.13970246183216201</v>
      </c>
      <c r="AG413">
        <v>-0.176544799999999</v>
      </c>
      <c r="AH413">
        <v>0.62583527338102896</v>
      </c>
      <c r="AI413">
        <v>105.393218116846</v>
      </c>
      <c r="AJ413">
        <v>77.4164193650291</v>
      </c>
      <c r="AK413">
        <v>0.66509746177301998</v>
      </c>
      <c r="AL413">
        <v>77.170672623244798</v>
      </c>
      <c r="AM413">
        <v>86.754655430061007</v>
      </c>
      <c r="AN413">
        <v>0.99999996475336395</v>
      </c>
    </row>
    <row r="414" spans="1:40" x14ac:dyDescent="0.25">
      <c r="A414" t="str">
        <f>"20190303170949975"</f>
        <v>20190303170949975</v>
      </c>
      <c r="B414" t="str">
        <f>"1551604189971259"</f>
        <v>1551604189971259</v>
      </c>
      <c r="C414" t="s">
        <v>40</v>
      </c>
      <c r="D414">
        <v>4.5924750000000003</v>
      </c>
      <c r="E414">
        <v>0.55323299999999997</v>
      </c>
      <c r="F414" t="s">
        <v>43</v>
      </c>
      <c r="G414">
        <v>-339.9735</v>
      </c>
      <c r="H414">
        <v>0.91943490000000005</v>
      </c>
      <c r="I414">
        <v>367.54180000000002</v>
      </c>
      <c r="J414">
        <v>-340.67290000000003</v>
      </c>
      <c r="K414">
        <v>1.121022</v>
      </c>
      <c r="L414">
        <v>367.70870000000002</v>
      </c>
      <c r="M414">
        <v>0.99989220000000001</v>
      </c>
      <c r="N414">
        <v>-1.434507E-2</v>
      </c>
      <c r="O414">
        <v>3.1599789999999998E-3</v>
      </c>
      <c r="P414">
        <v>0.976661</v>
      </c>
      <c r="Q414">
        <v>0.2084008</v>
      </c>
      <c r="R414">
        <v>-5.1988100000000002E-2</v>
      </c>
      <c r="S414">
        <v>3.1767880000000002</v>
      </c>
      <c r="T414">
        <v>-0.62275340000000001</v>
      </c>
      <c r="U414">
        <v>-0.51202389999999998</v>
      </c>
      <c r="V414">
        <v>5.5084319999999999E-2</v>
      </c>
      <c r="W414">
        <v>0.2223851</v>
      </c>
      <c r="X414">
        <v>0.97340150000000003</v>
      </c>
      <c r="Y414">
        <v>0.1590164</v>
      </c>
      <c r="Z414">
        <v>-1.7067369999999998E-2</v>
      </c>
      <c r="AA414">
        <v>0.98712840000000002</v>
      </c>
      <c r="AB414">
        <v>41</v>
      </c>
      <c r="AC414">
        <v>0.699400000000025</v>
      </c>
      <c r="AD414">
        <v>-0.20158709999999899</v>
      </c>
      <c r="AE414">
        <v>-0.16689999999999799</v>
      </c>
      <c r="AF414">
        <v>0.15678612303669201</v>
      </c>
      <c r="AG414">
        <v>-0.20158709999999899</v>
      </c>
      <c r="AH414">
        <v>0.64794101000391402</v>
      </c>
      <c r="AI414">
        <v>106.824925936285</v>
      </c>
      <c r="AJ414">
        <v>76.397268708735297</v>
      </c>
      <c r="AK414">
        <v>0.69645301328099596</v>
      </c>
      <c r="AL414">
        <v>77.150839190596997</v>
      </c>
      <c r="AM414">
        <v>86.761113980858298</v>
      </c>
      <c r="AN414">
        <v>0.99999994760705901</v>
      </c>
    </row>
    <row r="415" spans="1:40" x14ac:dyDescent="0.25">
      <c r="A415" t="str">
        <f>"20190303170949986"</f>
        <v>20190303170949986</v>
      </c>
      <c r="B415" t="str">
        <f>"1551604189981019"</f>
        <v>1551604189981019</v>
      </c>
      <c r="C415" t="s">
        <v>40</v>
      </c>
      <c r="D415">
        <v>4.5983039999999997</v>
      </c>
      <c r="E415">
        <v>0.55332219999999999</v>
      </c>
      <c r="F415" t="s">
        <v>43</v>
      </c>
      <c r="G415">
        <v>-339.94830000000002</v>
      </c>
      <c r="H415">
        <v>0.97809429999999997</v>
      </c>
      <c r="I415">
        <v>367.59160000000003</v>
      </c>
      <c r="J415">
        <v>-340.44420000000002</v>
      </c>
      <c r="K415">
        <v>1.121024</v>
      </c>
      <c r="L415">
        <v>367.70940000000002</v>
      </c>
      <c r="M415">
        <v>0.99989220000000001</v>
      </c>
      <c r="N415">
        <v>-1.4343699999999999E-2</v>
      </c>
      <c r="O415">
        <v>3.1599950000000001E-3</v>
      </c>
      <c r="P415">
        <v>0.9766302</v>
      </c>
      <c r="Q415">
        <v>0.20853070000000001</v>
      </c>
      <c r="R415">
        <v>-5.2047330000000003E-2</v>
      </c>
      <c r="S415">
        <v>3.1781619999999999</v>
      </c>
      <c r="T415">
        <v>-0.62697829999999999</v>
      </c>
      <c r="U415">
        <v>-0.51293949999999999</v>
      </c>
      <c r="V415">
        <v>5.514322E-2</v>
      </c>
      <c r="W415">
        <v>0.22251299999999999</v>
      </c>
      <c r="X415">
        <v>0.97336900000000004</v>
      </c>
      <c r="Y415">
        <v>0.15918389999999999</v>
      </c>
      <c r="Z415">
        <v>-1.7184060000000001E-2</v>
      </c>
      <c r="AA415">
        <v>0.98709939999999996</v>
      </c>
      <c r="AB415">
        <v>41</v>
      </c>
      <c r="AC415">
        <v>0.495900000000006</v>
      </c>
      <c r="AD415">
        <v>-0.14292969999999899</v>
      </c>
      <c r="AE415">
        <v>-0.117799999999988</v>
      </c>
      <c r="AF415">
        <v>0.110664500517489</v>
      </c>
      <c r="AG415">
        <v>-0.14292969999999899</v>
      </c>
      <c r="AH415">
        <v>0.45940025386858602</v>
      </c>
      <c r="AI415">
        <v>106.82900793681701</v>
      </c>
      <c r="AJ415">
        <v>76.456110755880303</v>
      </c>
      <c r="AK415">
        <v>0.49368423518621302</v>
      </c>
      <c r="AL415">
        <v>77.143323546107695</v>
      </c>
      <c r="AM415">
        <v>86.757550094740793</v>
      </c>
      <c r="AN415">
        <v>1.00000001002098</v>
      </c>
    </row>
    <row r="416" spans="1:40" x14ac:dyDescent="0.25">
      <c r="A416" t="str">
        <f>"20190303170949998"</f>
        <v>20190303170949998</v>
      </c>
      <c r="B416" t="str">
        <f>"1551604189990779"</f>
        <v>1551604189990779</v>
      </c>
      <c r="C416" t="s">
        <v>40</v>
      </c>
      <c r="D416">
        <v>4.6074699999999904</v>
      </c>
      <c r="E416">
        <v>0.55341450000000003</v>
      </c>
      <c r="F416" t="s">
        <v>43</v>
      </c>
      <c r="G416">
        <v>-339.5899</v>
      </c>
      <c r="H416">
        <v>0.95198309999999997</v>
      </c>
      <c r="I416">
        <v>367.57089999999999</v>
      </c>
      <c r="J416">
        <v>-340.22489999999999</v>
      </c>
      <c r="K416">
        <v>1.121024</v>
      </c>
      <c r="L416">
        <v>367.71010000000001</v>
      </c>
      <c r="M416">
        <v>0.99989220000000001</v>
      </c>
      <c r="N416">
        <v>-1.434235E-2</v>
      </c>
      <c r="O416">
        <v>3.16001E-3</v>
      </c>
      <c r="P416">
        <v>0.97662040000000006</v>
      </c>
      <c r="Q416">
        <v>0.20861450000000001</v>
      </c>
      <c r="R416">
        <v>-5.1893799999999997E-2</v>
      </c>
      <c r="S416">
        <v>3.1787109999999998</v>
      </c>
      <c r="T416">
        <v>-0.62905759999999999</v>
      </c>
      <c r="U416">
        <v>-0.51409910000000003</v>
      </c>
      <c r="V416">
        <v>5.4989589999999998E-2</v>
      </c>
      <c r="W416">
        <v>0.22259519999999999</v>
      </c>
      <c r="X416">
        <v>0.97335890000000003</v>
      </c>
      <c r="Y416">
        <v>0.1594825</v>
      </c>
      <c r="Z416">
        <v>-1.7264459999999999E-2</v>
      </c>
      <c r="AA416">
        <v>0.98704979999999998</v>
      </c>
      <c r="AB416">
        <v>41</v>
      </c>
      <c r="AC416">
        <v>0.63499999999999002</v>
      </c>
      <c r="AD416">
        <v>-0.16904089999999999</v>
      </c>
      <c r="AE416">
        <v>-0.13920000000001601</v>
      </c>
      <c r="AF416">
        <v>0.13226296439292701</v>
      </c>
      <c r="AG416">
        <v>-0.16904089999999999</v>
      </c>
      <c r="AH416">
        <v>0.59436786100118899</v>
      </c>
      <c r="AI416">
        <v>105.515402563075</v>
      </c>
      <c r="AJ416">
        <v>77.454546459130199</v>
      </c>
      <c r="AK416">
        <v>0.63193470534062601</v>
      </c>
      <c r="AL416">
        <v>77.138492717328006</v>
      </c>
      <c r="AM416">
        <v>86.766530943485805</v>
      </c>
      <c r="AN416">
        <v>1.0000000131403</v>
      </c>
    </row>
    <row r="417" spans="1:40" x14ac:dyDescent="0.25">
      <c r="A417" t="str">
        <f>"20190303170950010"</f>
        <v>20190303170950010</v>
      </c>
      <c r="B417" t="str">
        <f>"1551604190000538"</f>
        <v>1551604190000538</v>
      </c>
      <c r="C417" t="s">
        <v>40</v>
      </c>
      <c r="D417">
        <v>4.6041530000000002</v>
      </c>
      <c r="E417">
        <v>0.55348439999999999</v>
      </c>
      <c r="F417" t="s">
        <v>43</v>
      </c>
      <c r="G417">
        <v>-339.23160000000001</v>
      </c>
      <c r="H417">
        <v>0.92395620000000001</v>
      </c>
      <c r="I417">
        <v>367.54930000000002</v>
      </c>
      <c r="J417">
        <v>-340.00619999999998</v>
      </c>
      <c r="K417">
        <v>1.1210209999999901</v>
      </c>
      <c r="L417">
        <v>367.71080000000001</v>
      </c>
      <c r="M417">
        <v>0.99989220000000001</v>
      </c>
      <c r="N417">
        <v>-1.43408999999999E-2</v>
      </c>
      <c r="O417">
        <v>3.1602039999999998E-3</v>
      </c>
      <c r="P417">
        <v>0.97664620000000002</v>
      </c>
      <c r="Q417">
        <v>0.2084897</v>
      </c>
      <c r="R417">
        <v>-5.1908339999999997E-2</v>
      </c>
      <c r="S417">
        <v>3.1792600000000002</v>
      </c>
      <c r="T417">
        <v>-0.63076980000000005</v>
      </c>
      <c r="U417">
        <v>-0.51400760000000001</v>
      </c>
      <c r="V417">
        <v>5.500418E-2</v>
      </c>
      <c r="W417">
        <v>0.22246969999999999</v>
      </c>
      <c r="X417">
        <v>0.9733868</v>
      </c>
      <c r="Y417">
        <v>0.15941340000000001</v>
      </c>
      <c r="Z417">
        <v>-1.7297630000000001E-2</v>
      </c>
      <c r="AA417">
        <v>0.98706039999999995</v>
      </c>
      <c r="AB417">
        <v>41</v>
      </c>
      <c r="AC417">
        <v>0.77459999999996398</v>
      </c>
      <c r="AD417">
        <v>-0.19706479999999901</v>
      </c>
      <c r="AE417">
        <v>-0.16149999999998901</v>
      </c>
      <c r="AF417">
        <v>0.154372051666535</v>
      </c>
      <c r="AG417">
        <v>-0.19706479999999901</v>
      </c>
      <c r="AH417">
        <v>0.72887549891882297</v>
      </c>
      <c r="AI417">
        <v>104.815507547067</v>
      </c>
      <c r="AJ417">
        <v>78.041764667063006</v>
      </c>
      <c r="AK417">
        <v>0.77066514042023404</v>
      </c>
      <c r="AL417">
        <v>77.145868691897405</v>
      </c>
      <c r="AM417">
        <v>86.765767359116097</v>
      </c>
      <c r="AN417">
        <v>1.0000000448249</v>
      </c>
    </row>
    <row r="418" spans="1:40" x14ac:dyDescent="0.25">
      <c r="A418" t="str">
        <f>"20190303170950022"</f>
        <v>20190303170950022</v>
      </c>
      <c r="B418" t="str">
        <f>"1551604190011275"</f>
        <v>1551604190011275</v>
      </c>
      <c r="C418" t="s">
        <v>40</v>
      </c>
      <c r="D418">
        <v>4.5863180000000003</v>
      </c>
      <c r="E418">
        <v>0.55348520000000001</v>
      </c>
      <c r="F418" t="s">
        <v>43</v>
      </c>
      <c r="G418">
        <v>-339.21480000000003</v>
      </c>
      <c r="H418">
        <v>0.96349130000000005</v>
      </c>
      <c r="I418">
        <v>367.58260000000001</v>
      </c>
      <c r="J418">
        <v>-339.79309999999998</v>
      </c>
      <c r="K418">
        <v>1.1210199999999999</v>
      </c>
      <c r="L418">
        <v>367.7115</v>
      </c>
      <c r="M418">
        <v>0.99989240000000001</v>
      </c>
      <c r="N418">
        <v>-1.433949E-2</v>
      </c>
      <c r="O418">
        <v>3.1602179999999998E-3</v>
      </c>
      <c r="P418">
        <v>0.97662700000000002</v>
      </c>
      <c r="Q418">
        <v>0.20860909999999999</v>
      </c>
      <c r="R418">
        <v>-5.1788979999999998E-2</v>
      </c>
      <c r="S418">
        <v>3.1795040000000001</v>
      </c>
      <c r="T418">
        <v>-0.63296370000000002</v>
      </c>
      <c r="U418">
        <v>-0.51443479999999997</v>
      </c>
      <c r="V418">
        <v>5.4885059999999999E-2</v>
      </c>
      <c r="W418">
        <v>0.2225869</v>
      </c>
      <c r="X418">
        <v>0.97336670000000003</v>
      </c>
      <c r="Y418">
        <v>0.15950729999999999</v>
      </c>
      <c r="Z418">
        <v>-1.7361330000000001E-2</v>
      </c>
      <c r="AA418">
        <v>0.98704409999999998</v>
      </c>
      <c r="AB418">
        <v>41</v>
      </c>
      <c r="AC418">
        <v>0.57829999999995596</v>
      </c>
      <c r="AD418">
        <v>-0.15752869999999999</v>
      </c>
      <c r="AE418">
        <v>-0.128899999999987</v>
      </c>
      <c r="AF418">
        <v>0.12209617404348699</v>
      </c>
      <c r="AG418">
        <v>-0.15752869999999999</v>
      </c>
      <c r="AH418">
        <v>0.53973602060261205</v>
      </c>
      <c r="AI418">
        <v>105.890044993915</v>
      </c>
      <c r="AJ418">
        <v>77.253395005563206</v>
      </c>
      <c r="AK418">
        <v>0.57535879151681701</v>
      </c>
      <c r="AL418">
        <v>77.138980537886994</v>
      </c>
      <c r="AM418">
        <v>86.772690263904593</v>
      </c>
      <c r="AN418">
        <v>1.0000000152658499</v>
      </c>
    </row>
    <row r="419" spans="1:40" x14ac:dyDescent="0.25">
      <c r="A419" t="str">
        <f>"20190303170950034"</f>
        <v>20190303170950034</v>
      </c>
      <c r="B419" t="str">
        <f>"1551604190030795"</f>
        <v>1551604190030795</v>
      </c>
      <c r="C419" t="s">
        <v>40</v>
      </c>
      <c r="D419">
        <v>4.6320389999999998</v>
      </c>
      <c r="E419">
        <v>0.55354289999999995</v>
      </c>
      <c r="F419" t="s">
        <v>43</v>
      </c>
      <c r="G419">
        <v>-338.85789999999997</v>
      </c>
      <c r="H419">
        <v>0.93444609999999995</v>
      </c>
      <c r="I419">
        <v>367.55990000000003</v>
      </c>
      <c r="J419">
        <v>-339.56950000000001</v>
      </c>
      <c r="K419">
        <v>1.1210209999999901</v>
      </c>
      <c r="L419">
        <v>367.7122</v>
      </c>
      <c r="M419">
        <v>0.99989220000000001</v>
      </c>
      <c r="N419">
        <v>-1.433799E-2</v>
      </c>
      <c r="O419">
        <v>3.1605309999999998E-3</v>
      </c>
      <c r="P419">
        <v>0.97664550000000006</v>
      </c>
      <c r="Q419">
        <v>0.20852660000000001</v>
      </c>
      <c r="R419">
        <v>-5.1769469999999998E-2</v>
      </c>
      <c r="S419">
        <v>3.1800839999999999</v>
      </c>
      <c r="T419">
        <v>-0.6346195</v>
      </c>
      <c r="U419">
        <v>-0.51412959999999996</v>
      </c>
      <c r="V419">
        <v>5.4865850000000001E-2</v>
      </c>
      <c r="W419">
        <v>0.22250320000000001</v>
      </c>
      <c r="X419">
        <v>0.97338690000000005</v>
      </c>
      <c r="Y419">
        <v>0.15937399999999999</v>
      </c>
      <c r="Z419">
        <v>-1.7386189999999999E-2</v>
      </c>
      <c r="AA419">
        <v>0.98706519999999998</v>
      </c>
      <c r="AB419">
        <v>41</v>
      </c>
      <c r="AC419">
        <v>0.71160000000003198</v>
      </c>
      <c r="AD419">
        <v>-0.18657489999999899</v>
      </c>
      <c r="AE419">
        <v>-0.15229999999996799</v>
      </c>
      <c r="AF419">
        <v>0.145016162776021</v>
      </c>
      <c r="AG419">
        <v>-0.18657489999999899</v>
      </c>
      <c r="AH419">
        <v>0.667254438113976</v>
      </c>
      <c r="AI419">
        <v>105.282314624099</v>
      </c>
      <c r="AJ419">
        <v>77.738436327619198</v>
      </c>
      <c r="AK419">
        <v>0.70786182688367205</v>
      </c>
      <c r="AL419">
        <v>77.143899303561994</v>
      </c>
      <c r="AM419">
        <v>86.773884258542907</v>
      </c>
      <c r="AN419">
        <v>0.99999999629903602</v>
      </c>
    </row>
    <row r="420" spans="1:40" x14ac:dyDescent="0.25">
      <c r="A420" t="str">
        <f>"20190303170950047"</f>
        <v>20190303170950047</v>
      </c>
      <c r="B420" t="str">
        <f>"1551604190041532"</f>
        <v>1551604190041532</v>
      </c>
      <c r="C420" t="s">
        <v>40</v>
      </c>
      <c r="D420">
        <v>4.6127070000000003</v>
      </c>
      <c r="E420">
        <v>0.55357309999999904</v>
      </c>
      <c r="F420" t="s">
        <v>43</v>
      </c>
      <c r="G420">
        <v>-338.8399</v>
      </c>
      <c r="H420">
        <v>0.97486530000000005</v>
      </c>
      <c r="I420">
        <v>367.59390000000002</v>
      </c>
      <c r="J420">
        <v>-339.346</v>
      </c>
      <c r="K420">
        <v>1.121024</v>
      </c>
      <c r="L420">
        <v>367.71289999999999</v>
      </c>
      <c r="M420">
        <v>0.99989240000000001</v>
      </c>
      <c r="N420">
        <v>-1.433653E-2</v>
      </c>
      <c r="O420">
        <v>3.1602470000000001E-3</v>
      </c>
      <c r="P420">
        <v>0.97663900000000003</v>
      </c>
      <c r="Q420">
        <v>0.20859059999999999</v>
      </c>
      <c r="R420">
        <v>-5.1639570000000003E-2</v>
      </c>
      <c r="S420">
        <v>3.1805729999999999</v>
      </c>
      <c r="T420">
        <v>-0.6373934</v>
      </c>
      <c r="U420">
        <v>-0.5141907</v>
      </c>
      <c r="V420">
        <v>5.4735199999999998E-2</v>
      </c>
      <c r="W420">
        <v>0.2225664</v>
      </c>
      <c r="X420">
        <v>0.97337980000000002</v>
      </c>
      <c r="Y420">
        <v>0.15934189999999901</v>
      </c>
      <c r="Z420">
        <v>-1.745002E-2</v>
      </c>
      <c r="AA420">
        <v>0.98706919999999998</v>
      </c>
      <c r="AB420">
        <v>41</v>
      </c>
      <c r="AC420">
        <v>0.50610000000000299</v>
      </c>
      <c r="AD420">
        <v>-0.146158699999999</v>
      </c>
      <c r="AE420">
        <v>-0.118999999999971</v>
      </c>
      <c r="AF420">
        <v>0.111765828693302</v>
      </c>
      <c r="AG420">
        <v>-0.146158699999999</v>
      </c>
      <c r="AH420">
        <v>0.468680346112333</v>
      </c>
      <c r="AI420">
        <v>106.874941153767</v>
      </c>
      <c r="AJ420">
        <v>76.587226830217901</v>
      </c>
      <c r="AK420">
        <v>0.50350296213743095</v>
      </c>
      <c r="AL420">
        <v>77.140184989898103</v>
      </c>
      <c r="AM420">
        <v>86.781526891806905</v>
      </c>
      <c r="AN420">
        <v>0.99999998978801996</v>
      </c>
    </row>
    <row r="421" spans="1:40" x14ac:dyDescent="0.25">
      <c r="A421" t="str">
        <f>"20190303170950064"</f>
        <v>20190303170950064</v>
      </c>
      <c r="B421" t="str">
        <f>"1551604190061051"</f>
        <v>1551604190061051</v>
      </c>
      <c r="C421" t="s">
        <v>40</v>
      </c>
      <c r="D421">
        <v>4.6031449999999996</v>
      </c>
      <c r="E421">
        <v>0.55364950000000002</v>
      </c>
      <c r="F421" t="s">
        <v>43</v>
      </c>
      <c r="G421">
        <v>-338.48270000000002</v>
      </c>
      <c r="H421">
        <v>0.94782840000000002</v>
      </c>
      <c r="I421">
        <v>367.57319999999999</v>
      </c>
      <c r="J421">
        <v>-339.02080000000001</v>
      </c>
      <c r="K421">
        <v>1.121022</v>
      </c>
      <c r="L421">
        <v>367.71390000000002</v>
      </c>
      <c r="M421">
        <v>0.99989229999999996</v>
      </c>
      <c r="N421">
        <v>-1.4334410000000001E-2</v>
      </c>
      <c r="O421">
        <v>3.1602660000000001E-3</v>
      </c>
      <c r="P421">
        <v>0.97664229999999996</v>
      </c>
      <c r="Q421">
        <v>0.2085698</v>
      </c>
      <c r="R421">
        <v>-5.1661319999999997E-2</v>
      </c>
      <c r="S421">
        <v>3.1809080000000001</v>
      </c>
      <c r="T421">
        <v>-0.63824899999999996</v>
      </c>
      <c r="U421">
        <v>-0.51400760000000001</v>
      </c>
      <c r="V421">
        <v>5.4756779999999998E-2</v>
      </c>
      <c r="W421">
        <v>0.2225432</v>
      </c>
      <c r="X421">
        <v>0.97338389999999997</v>
      </c>
      <c r="Y421">
        <v>0.15926379999999901</v>
      </c>
      <c r="Z421">
        <v>-1.746151E-2</v>
      </c>
      <c r="AA421">
        <v>0.9870816</v>
      </c>
      <c r="AB421">
        <v>41</v>
      </c>
      <c r="AC421">
        <v>0.53809999999998503</v>
      </c>
      <c r="AD421">
        <v>-0.173193599999999</v>
      </c>
      <c r="AE421">
        <v>-0.14070000000003799</v>
      </c>
      <c r="AF421">
        <v>0.12981268825394801</v>
      </c>
      <c r="AG421">
        <v>-0.173193599999999</v>
      </c>
      <c r="AH421">
        <v>0.490127290552902</v>
      </c>
      <c r="AI421">
        <v>108.85948625159099</v>
      </c>
      <c r="AJ421">
        <v>75.165533269999898</v>
      </c>
      <c r="AK421">
        <v>0.53579111420161196</v>
      </c>
      <c r="AL421">
        <v>77.141548565134698</v>
      </c>
      <c r="AM421">
        <v>86.780274173272204</v>
      </c>
      <c r="AN421">
        <v>0.999999998800709</v>
      </c>
    </row>
    <row r="422" spans="1:40" x14ac:dyDescent="0.25">
      <c r="A422" t="str">
        <f>"20190303170950087"</f>
        <v>20190303170950087</v>
      </c>
      <c r="B422" t="str">
        <f>"1551604190080571"</f>
        <v>1551604190080571</v>
      </c>
      <c r="C422" t="s">
        <v>40</v>
      </c>
      <c r="D422">
        <v>4.5815960000000002</v>
      </c>
      <c r="E422">
        <v>0.55363009999999901</v>
      </c>
      <c r="F422" t="s">
        <v>43</v>
      </c>
      <c r="G422">
        <v>-338.11739999999998</v>
      </c>
      <c r="H422">
        <v>0.93913999999999997</v>
      </c>
      <c r="I422">
        <v>367.56740000000002</v>
      </c>
      <c r="J422">
        <v>-338.60390000000001</v>
      </c>
      <c r="K422">
        <v>1.1210169999999999</v>
      </c>
      <c r="L422">
        <v>367.71519999999998</v>
      </c>
      <c r="M422">
        <v>0.99989229999999996</v>
      </c>
      <c r="N422">
        <v>-1.433182E-2</v>
      </c>
      <c r="O422">
        <v>3.1602890000000002E-3</v>
      </c>
      <c r="P422">
        <v>0.97670939999999995</v>
      </c>
      <c r="Q422">
        <v>0.20830190000000001</v>
      </c>
      <c r="R422">
        <v>-5.1471910000000003E-2</v>
      </c>
      <c r="S422">
        <v>3.181305</v>
      </c>
      <c r="T422">
        <v>-0.64066080000000003</v>
      </c>
      <c r="U422">
        <v>-0.51480099999999995</v>
      </c>
      <c r="V422">
        <v>5.4567450000000003E-2</v>
      </c>
      <c r="W422">
        <v>0.222274</v>
      </c>
      <c r="X422">
        <v>0.97345599999999999</v>
      </c>
      <c r="Y422">
        <v>0.15945670000000001</v>
      </c>
      <c r="Z422">
        <v>-1.7540210000000001E-2</v>
      </c>
      <c r="AA422">
        <v>0.98704910000000001</v>
      </c>
      <c r="AB422">
        <v>41</v>
      </c>
      <c r="AC422">
        <v>0.48650000000003402</v>
      </c>
      <c r="AD422">
        <v>-0.18187700000000001</v>
      </c>
      <c r="AE422">
        <v>-0.14779999999996099</v>
      </c>
      <c r="AF422">
        <v>0.13239641899928101</v>
      </c>
      <c r="AG422">
        <v>-0.18187700000000001</v>
      </c>
      <c r="AH422">
        <v>0.43089610476909401</v>
      </c>
      <c r="AI422">
        <v>111.972798919911</v>
      </c>
      <c r="AJ422">
        <v>72.919988221279297</v>
      </c>
      <c r="AK422">
        <v>0.486085905985774</v>
      </c>
      <c r="AL422">
        <v>77.157368334330798</v>
      </c>
      <c r="AM422">
        <v>86.791620722956594</v>
      </c>
      <c r="AN422">
        <v>0.99999996080575004</v>
      </c>
    </row>
    <row r="423" spans="1:40" x14ac:dyDescent="0.25">
      <c r="A423" t="str">
        <f>"20190303170950102"</f>
        <v>20190303170950102</v>
      </c>
      <c r="B423" t="str">
        <f>"1551604190091307"</f>
        <v>1551604190091307</v>
      </c>
      <c r="C423" t="s">
        <v>40</v>
      </c>
      <c r="D423">
        <v>4.5478339999999999</v>
      </c>
      <c r="E423">
        <v>0.55363830000000003</v>
      </c>
      <c r="F423" t="s">
        <v>43</v>
      </c>
      <c r="G423">
        <v>-337.74509999999998</v>
      </c>
      <c r="H423">
        <v>0.94725179999999998</v>
      </c>
      <c r="I423">
        <v>367.5763</v>
      </c>
      <c r="J423">
        <v>-338.3372</v>
      </c>
      <c r="K423">
        <v>1.1210169999999999</v>
      </c>
      <c r="L423">
        <v>367.71609999999998</v>
      </c>
      <c r="M423">
        <v>0.99989240000000001</v>
      </c>
      <c r="N423">
        <v>-1.4330229999999999E-2</v>
      </c>
      <c r="O423">
        <v>3.1603030000000002E-3</v>
      </c>
      <c r="P423">
        <v>0.9768057</v>
      </c>
      <c r="Q423">
        <v>0.20788909999999999</v>
      </c>
      <c r="R423">
        <v>-5.1312839999999998E-2</v>
      </c>
      <c r="S423">
        <v>3.1817630000000001</v>
      </c>
      <c r="T423">
        <v>-0.64384649999999999</v>
      </c>
      <c r="U423">
        <v>-0.51373290000000005</v>
      </c>
      <c r="V423">
        <v>5.4408770000000002E-2</v>
      </c>
      <c r="W423">
        <v>0.22186110000000001</v>
      </c>
      <c r="X423">
        <v>0.97355910000000001</v>
      </c>
      <c r="Y423">
        <v>0.15908749999999999</v>
      </c>
      <c r="Z423">
        <v>-1.757893E-2</v>
      </c>
      <c r="AA423">
        <v>0.98710799999999999</v>
      </c>
      <c r="AB423">
        <v>41</v>
      </c>
      <c r="AC423">
        <v>0.59210000000001595</v>
      </c>
      <c r="AD423">
        <v>-0.17376519999999901</v>
      </c>
      <c r="AE423">
        <v>-0.139799999999979</v>
      </c>
      <c r="AF423">
        <v>0.130985143258147</v>
      </c>
      <c r="AG423">
        <v>-0.17376519999999901</v>
      </c>
      <c r="AH423">
        <v>0.54702937451248002</v>
      </c>
      <c r="AI423">
        <v>107.166955313009</v>
      </c>
      <c r="AJ423">
        <v>76.534169910670698</v>
      </c>
      <c r="AK423">
        <v>0.58872114711883095</v>
      </c>
      <c r="AL423">
        <v>77.181631986162699</v>
      </c>
      <c r="AM423">
        <v>86.801269235552695</v>
      </c>
      <c r="AN423">
        <v>0.99999999156946595</v>
      </c>
    </row>
    <row r="424" spans="1:40" x14ac:dyDescent="0.25">
      <c r="A424" t="str">
        <f>"20190303170950119"</f>
        <v>20190303170950119</v>
      </c>
      <c r="B424" t="str">
        <f>"1551604190110827"</f>
        <v>1551604190110827</v>
      </c>
      <c r="C424" t="s">
        <v>40</v>
      </c>
      <c r="D424">
        <v>4.5341089999999999</v>
      </c>
      <c r="E424">
        <v>0.5536238</v>
      </c>
      <c r="F424" t="s">
        <v>43</v>
      </c>
      <c r="G424">
        <v>-337.38479999999998</v>
      </c>
      <c r="H424">
        <v>0.92760030000000004</v>
      </c>
      <c r="I424">
        <v>367.56189999999998</v>
      </c>
      <c r="J424">
        <v>-338.00020000000001</v>
      </c>
      <c r="K424">
        <v>1.1210180000000001</v>
      </c>
      <c r="L424">
        <v>367.71710000000002</v>
      </c>
      <c r="M424">
        <v>0.99989249999999996</v>
      </c>
      <c r="N424">
        <v>-1.4328219999999999E-2</v>
      </c>
      <c r="O424">
        <v>3.160319E-3</v>
      </c>
      <c r="P424">
        <v>0.976877</v>
      </c>
      <c r="Q424">
        <v>0.20755199999999999</v>
      </c>
      <c r="R424">
        <v>-5.1321749999999999E-2</v>
      </c>
      <c r="S424">
        <v>3.1817630000000001</v>
      </c>
      <c r="T424">
        <v>-0.64623299999999995</v>
      </c>
      <c r="U424">
        <v>-0.51361080000000003</v>
      </c>
      <c r="V424">
        <v>5.4417800000000002E-2</v>
      </c>
      <c r="W424">
        <v>0.2215231</v>
      </c>
      <c r="X424">
        <v>0.97363560000000005</v>
      </c>
      <c r="Y424">
        <v>0.15902749999999999</v>
      </c>
      <c r="Z424">
        <v>-1.7632310000000002E-2</v>
      </c>
      <c r="AA424">
        <v>0.98711669999999996</v>
      </c>
      <c r="AB424">
        <v>41</v>
      </c>
      <c r="AC424">
        <v>0.61540000000002204</v>
      </c>
      <c r="AD424">
        <v>-0.1934177</v>
      </c>
      <c r="AE424">
        <v>-0.155200000000036</v>
      </c>
      <c r="AF424">
        <v>0.14378981714824299</v>
      </c>
      <c r="AG424">
        <v>-0.1934177</v>
      </c>
      <c r="AH424">
        <v>0.56265029489945795</v>
      </c>
      <c r="AI424">
        <v>108.42074216797199</v>
      </c>
      <c r="AJ424">
        <v>75.664429947848603</v>
      </c>
      <c r="AK424">
        <v>0.61209580339948599</v>
      </c>
      <c r="AL424">
        <v>77.201492661561403</v>
      </c>
      <c r="AM424">
        <v>86.800990306604703</v>
      </c>
      <c r="AN424">
        <v>1.0000000311888999</v>
      </c>
    </row>
    <row r="425" spans="1:40" x14ac:dyDescent="0.25">
      <c r="A425" t="str">
        <f>"20190303170950142"</f>
        <v>20190303170950142</v>
      </c>
      <c r="B425" t="str">
        <f>"1551604190131323"</f>
        <v>1551604190131323</v>
      </c>
      <c r="C425" t="s">
        <v>40</v>
      </c>
      <c r="D425">
        <v>4.5145439999999999</v>
      </c>
      <c r="E425">
        <v>0.55363240000000002</v>
      </c>
      <c r="F425" t="s">
        <v>43</v>
      </c>
      <c r="G425">
        <v>-337.01909999999998</v>
      </c>
      <c r="H425">
        <v>0.92098860000000005</v>
      </c>
      <c r="I425">
        <v>367.55869999999999</v>
      </c>
      <c r="J425">
        <v>-337.59910000000002</v>
      </c>
      <c r="K425">
        <v>1.121027</v>
      </c>
      <c r="L425">
        <v>367.71839999999997</v>
      </c>
      <c r="M425">
        <v>0.99989249999999996</v>
      </c>
      <c r="N425">
        <v>-1.432578E-2</v>
      </c>
      <c r="O425">
        <v>3.1603379999999999E-3</v>
      </c>
      <c r="P425">
        <v>0.97688039999999998</v>
      </c>
      <c r="Q425">
        <v>0.2075697</v>
      </c>
      <c r="R425">
        <v>-5.1183899999999997E-2</v>
      </c>
      <c r="S425">
        <v>3.1818849999999999</v>
      </c>
      <c r="T425">
        <v>-0.64879790000000004</v>
      </c>
      <c r="U425">
        <v>-0.51348879999999997</v>
      </c>
      <c r="V425">
        <v>5.4280040000000002E-2</v>
      </c>
      <c r="W425">
        <v>0.2215384</v>
      </c>
      <c r="X425">
        <v>0.97363980000000006</v>
      </c>
      <c r="Y425">
        <v>0.15895999999999999</v>
      </c>
      <c r="Z425">
        <v>-1.768865E-2</v>
      </c>
      <c r="AA425">
        <v>0.98712650000000002</v>
      </c>
      <c r="AB425">
        <v>41</v>
      </c>
      <c r="AC425">
        <v>0.58000000000004004</v>
      </c>
      <c r="AD425">
        <v>-0.20003839999999901</v>
      </c>
      <c r="AE425">
        <v>-0.15969999999998599</v>
      </c>
      <c r="AF425">
        <v>0.14545011703817701</v>
      </c>
      <c r="AG425">
        <v>-0.20003839999999901</v>
      </c>
      <c r="AH425">
        <v>0.52179771119632901</v>
      </c>
      <c r="AI425">
        <v>110.268452965766</v>
      </c>
      <c r="AJ425">
        <v>74.424289397896999</v>
      </c>
      <c r="AK425">
        <v>0.57744605759387402</v>
      </c>
      <c r="AL425">
        <v>77.200593590563898</v>
      </c>
      <c r="AM425">
        <v>86.809085658501203</v>
      </c>
      <c r="AN425">
        <v>1.0000000227804999</v>
      </c>
    </row>
    <row r="426" spans="1:40" x14ac:dyDescent="0.25">
      <c r="A426" t="str">
        <f>"20190303170950153"</f>
        <v>20190303170950153</v>
      </c>
      <c r="B426" t="str">
        <f>"1551604190150843"</f>
        <v>1551604190150843</v>
      </c>
      <c r="C426" t="s">
        <v>40</v>
      </c>
      <c r="D426">
        <v>4.474831</v>
      </c>
      <c r="E426">
        <v>0.55364169999999902</v>
      </c>
      <c r="F426" t="s">
        <v>43</v>
      </c>
      <c r="G426">
        <v>-336.64879999999999</v>
      </c>
      <c r="H426">
        <v>0.92697779999999996</v>
      </c>
      <c r="I426">
        <v>367.56470000000002</v>
      </c>
      <c r="J426">
        <v>-337.37189999999998</v>
      </c>
      <c r="K426">
        <v>1.1210290000000001</v>
      </c>
      <c r="L426">
        <v>367.71910000000003</v>
      </c>
      <c r="M426">
        <v>0.99989249999999996</v>
      </c>
      <c r="N426">
        <v>-1.4324379999999999E-2</v>
      </c>
      <c r="O426">
        <v>3.1605280000000001E-3</v>
      </c>
      <c r="P426">
        <v>0.97687449999999998</v>
      </c>
      <c r="Q426">
        <v>0.20760190000000001</v>
      </c>
      <c r="R426">
        <v>-5.1165670000000003E-2</v>
      </c>
      <c r="S426">
        <v>3.18222</v>
      </c>
      <c r="T426">
        <v>-0.64990340000000002</v>
      </c>
      <c r="U426">
        <v>-0.51342770000000004</v>
      </c>
      <c r="V426">
        <v>5.4261909999999997E-2</v>
      </c>
      <c r="W426">
        <v>0.22156909999999999</v>
      </c>
      <c r="X426">
        <v>0.97363379999999999</v>
      </c>
      <c r="Y426">
        <v>0.15891559999999999</v>
      </c>
      <c r="Z426">
        <v>-1.7709840000000001E-2</v>
      </c>
      <c r="AA426">
        <v>0.98713329999999999</v>
      </c>
      <c r="AB426">
        <v>41</v>
      </c>
      <c r="AC426">
        <v>0.72309999999998797</v>
      </c>
      <c r="AD426">
        <v>-0.19405120000000001</v>
      </c>
      <c r="AE426">
        <v>-0.154400000000009</v>
      </c>
      <c r="AF426">
        <v>0.146588300149878</v>
      </c>
      <c r="AG426">
        <v>-0.19405120000000001</v>
      </c>
      <c r="AH426">
        <v>0.67604453307426804</v>
      </c>
      <c r="AI426">
        <v>105.66988718079</v>
      </c>
      <c r="AJ426">
        <v>77.765812334919303</v>
      </c>
      <c r="AK426">
        <v>0.71845682449391202</v>
      </c>
      <c r="AL426">
        <v>77.198789469079202</v>
      </c>
      <c r="AM426">
        <v>86.810129633217898</v>
      </c>
      <c r="AN426">
        <v>0.99999999872704903</v>
      </c>
    </row>
    <row r="427" spans="1:40" x14ac:dyDescent="0.25">
      <c r="A427" t="str">
        <f>"20190303170950166"</f>
        <v>20190303170950166</v>
      </c>
      <c r="B427" t="str">
        <f>"1551604190160603"</f>
        <v>1551604190160603</v>
      </c>
      <c r="C427" t="s">
        <v>40</v>
      </c>
      <c r="D427">
        <v>4.4704059999999997</v>
      </c>
      <c r="E427">
        <v>0.55368919999999999</v>
      </c>
      <c r="F427" t="s">
        <v>43</v>
      </c>
      <c r="G427">
        <v>-336.63029999999998</v>
      </c>
      <c r="H427">
        <v>0.96940400000000004</v>
      </c>
      <c r="I427">
        <v>367.59899999999999</v>
      </c>
      <c r="J427">
        <v>-337.14710000000002</v>
      </c>
      <c r="K427">
        <v>1.121032</v>
      </c>
      <c r="L427">
        <v>367.71980000000002</v>
      </c>
      <c r="M427">
        <v>0.99989249999999996</v>
      </c>
      <c r="N427">
        <v>-1.4323010000000001E-2</v>
      </c>
      <c r="O427">
        <v>3.1605380000000001E-3</v>
      </c>
      <c r="P427">
        <v>0.97686390000000001</v>
      </c>
      <c r="Q427">
        <v>0.20766009999999999</v>
      </c>
      <c r="R427">
        <v>-5.1129550000000003E-2</v>
      </c>
      <c r="S427">
        <v>3.1824340000000002</v>
      </c>
      <c r="T427">
        <v>-0.65078689999999995</v>
      </c>
      <c r="U427">
        <v>-0.51358029999999999</v>
      </c>
      <c r="V427">
        <v>5.422569E-2</v>
      </c>
      <c r="W427">
        <v>0.22162589999999999</v>
      </c>
      <c r="X427">
        <v>0.97362289999999996</v>
      </c>
      <c r="Y427">
        <v>0.1589421</v>
      </c>
      <c r="Z427">
        <v>-1.7733599999999999E-2</v>
      </c>
      <c r="AA427">
        <v>0.98712860000000002</v>
      </c>
      <c r="AB427">
        <v>41</v>
      </c>
      <c r="AC427">
        <v>0.516800000000046</v>
      </c>
      <c r="AD427">
        <v>-0.15162800000000001</v>
      </c>
      <c r="AE427">
        <v>-0.12080000000003099</v>
      </c>
      <c r="AF427">
        <v>0.11319375562860599</v>
      </c>
      <c r="AG427">
        <v>-0.15162800000000001</v>
      </c>
      <c r="AH427">
        <v>0.47744524004725702</v>
      </c>
      <c r="AI427">
        <v>107.171991593405</v>
      </c>
      <c r="AJ427">
        <v>76.662445086273095</v>
      </c>
      <c r="AK427">
        <v>0.51357359155343196</v>
      </c>
      <c r="AL427">
        <v>77.195452219186706</v>
      </c>
      <c r="AM427">
        <v>86.812218875102701</v>
      </c>
      <c r="AN427">
        <v>1.00000000820559</v>
      </c>
    </row>
    <row r="428" spans="1:40" x14ac:dyDescent="0.25">
      <c r="A428" t="str">
        <f>"20190303170950178"</f>
        <v>20190303170950178</v>
      </c>
      <c r="B428" t="str">
        <f>"1551604190171339"</f>
        <v>1551604190171339</v>
      </c>
      <c r="C428" t="s">
        <v>40</v>
      </c>
      <c r="D428">
        <v>4.4483639999999998</v>
      </c>
      <c r="E428">
        <v>0.55371409999999999</v>
      </c>
      <c r="F428" t="s">
        <v>43</v>
      </c>
      <c r="G428">
        <v>-336.27460000000002</v>
      </c>
      <c r="H428">
        <v>0.94256589999999996</v>
      </c>
      <c r="I428">
        <v>367.5788</v>
      </c>
      <c r="J428">
        <v>-336.92</v>
      </c>
      <c r="K428">
        <v>1.121024</v>
      </c>
      <c r="L428">
        <v>367.72050000000002</v>
      </c>
      <c r="M428">
        <v>0.99989249999999996</v>
      </c>
      <c r="N428">
        <v>-1.432162E-2</v>
      </c>
      <c r="O428">
        <v>3.1605489999999999E-3</v>
      </c>
      <c r="P428">
        <v>0.97687789999999997</v>
      </c>
      <c r="Q428">
        <v>0.20760210000000001</v>
      </c>
      <c r="R428">
        <v>-5.1099499999999999E-2</v>
      </c>
      <c r="S428">
        <v>3.182617</v>
      </c>
      <c r="T428">
        <v>-0.65116739999999995</v>
      </c>
      <c r="U428">
        <v>-0.51327509999999998</v>
      </c>
      <c r="V428">
        <v>5.4195609999999998E-2</v>
      </c>
      <c r="W428">
        <v>0.2215664</v>
      </c>
      <c r="X428">
        <v>0.97363809999999995</v>
      </c>
      <c r="Y428">
        <v>0.1588396</v>
      </c>
      <c r="Z428">
        <v>-1.7731159999999999E-2</v>
      </c>
      <c r="AA428">
        <v>0.98714519999999994</v>
      </c>
      <c r="AB428">
        <v>41</v>
      </c>
      <c r="AC428">
        <v>0.64539999999999498</v>
      </c>
      <c r="AD428">
        <v>-0.17845810000000001</v>
      </c>
      <c r="AE428">
        <v>-0.14170000000001401</v>
      </c>
      <c r="AF428">
        <v>0.133967649553762</v>
      </c>
      <c r="AG428">
        <v>-0.17845810000000001</v>
      </c>
      <c r="AH428">
        <v>0.60110403901965204</v>
      </c>
      <c r="AI428">
        <v>106.16023718686201</v>
      </c>
      <c r="AJ428">
        <v>77.435865813743007</v>
      </c>
      <c r="AK428">
        <v>0.64118693866009802</v>
      </c>
      <c r="AL428">
        <v>77.198948020050594</v>
      </c>
      <c r="AM428">
        <v>86.814033188895394</v>
      </c>
      <c r="AN428">
        <v>0.999999991761921</v>
      </c>
    </row>
    <row r="429" spans="1:40" x14ac:dyDescent="0.25">
      <c r="A429" t="str">
        <f>"20190303170950189"</f>
        <v>20190303170950189</v>
      </c>
      <c r="B429" t="str">
        <f>"1551604190181098"</f>
        <v>1551604190181098</v>
      </c>
      <c r="C429" t="s">
        <v>40</v>
      </c>
      <c r="D429">
        <v>4.4274870000000002</v>
      </c>
      <c r="E429">
        <v>0.55371020000000004</v>
      </c>
      <c r="F429" t="s">
        <v>43</v>
      </c>
      <c r="G429">
        <v>-335.91800000000001</v>
      </c>
      <c r="H429">
        <v>0.91584940000000004</v>
      </c>
      <c r="I429">
        <v>367.55860000000001</v>
      </c>
      <c r="J429">
        <v>-336.69839999999999</v>
      </c>
      <c r="K429">
        <v>1.121024</v>
      </c>
      <c r="L429">
        <v>367.72120000000001</v>
      </c>
      <c r="M429">
        <v>0.99989249999999996</v>
      </c>
      <c r="N429">
        <v>-1.4320289999999999E-2</v>
      </c>
      <c r="O429">
        <v>3.1606780000000001E-3</v>
      </c>
      <c r="P429">
        <v>0.97689579999999998</v>
      </c>
      <c r="Q429">
        <v>0.20747850000000001</v>
      </c>
      <c r="R429">
        <v>-5.125847E-2</v>
      </c>
      <c r="S429">
        <v>3.1826780000000001</v>
      </c>
      <c r="T429">
        <v>-0.65182109999999904</v>
      </c>
      <c r="U429">
        <v>-0.51327509999999998</v>
      </c>
      <c r="V429">
        <v>5.4354779999999998E-2</v>
      </c>
      <c r="W429">
        <v>0.22144220000000001</v>
      </c>
      <c r="X429">
        <v>0.97365749999999995</v>
      </c>
      <c r="Y429">
        <v>0.15883039999999901</v>
      </c>
      <c r="Z429">
        <v>-1.7746149999999999E-2</v>
      </c>
      <c r="AA429">
        <v>0.98714639999999998</v>
      </c>
      <c r="AB429">
        <v>41</v>
      </c>
      <c r="AC429">
        <v>0.78039999999998599</v>
      </c>
      <c r="AD429">
        <v>-0.20517460000000001</v>
      </c>
      <c r="AE429">
        <v>-0.162599999999997</v>
      </c>
      <c r="AF429">
        <v>0.15481051933252099</v>
      </c>
      <c r="AG429">
        <v>-0.20517460000000001</v>
      </c>
      <c r="AH429">
        <v>0.73142822726109302</v>
      </c>
      <c r="AI429">
        <v>105.346024152968</v>
      </c>
      <c r="AJ429">
        <v>78.049425955695597</v>
      </c>
      <c r="AK429">
        <v>0.77527425148489904</v>
      </c>
      <c r="AL429">
        <v>77.2062456480528</v>
      </c>
      <c r="AM429">
        <v>86.804759046571604</v>
      </c>
      <c r="AN429">
        <v>1.0000000086779599</v>
      </c>
    </row>
    <row r="430" spans="1:40" x14ac:dyDescent="0.25">
      <c r="A430" t="str">
        <f>"20190303170950202"</f>
        <v>20190303170950202</v>
      </c>
      <c r="B430" t="str">
        <f>"1551604190190860"</f>
        <v>1551604190190860</v>
      </c>
      <c r="C430" t="s">
        <v>40</v>
      </c>
      <c r="D430">
        <v>4.4068769999999997</v>
      </c>
      <c r="E430">
        <v>0.5537223</v>
      </c>
      <c r="F430" t="s">
        <v>43</v>
      </c>
      <c r="G430">
        <v>-335.90050000000002</v>
      </c>
      <c r="H430">
        <v>0.95745749999999996</v>
      </c>
      <c r="I430">
        <v>367.59199999999998</v>
      </c>
      <c r="J430">
        <v>-336.48070000000001</v>
      </c>
      <c r="K430">
        <v>1.1210230000000001</v>
      </c>
      <c r="L430">
        <v>367.72190000000001</v>
      </c>
      <c r="M430">
        <v>0.99989240000000001</v>
      </c>
      <c r="N430">
        <v>-1.431898E-2</v>
      </c>
      <c r="O430">
        <v>3.1608669999999999E-3</v>
      </c>
      <c r="P430">
        <v>0.97695189999999998</v>
      </c>
      <c r="Q430">
        <v>0.20724490000000001</v>
      </c>
      <c r="R430">
        <v>-5.1134100000000002E-2</v>
      </c>
      <c r="S430">
        <v>3.1825869999999998</v>
      </c>
      <c r="T430">
        <v>-0.65263280000000001</v>
      </c>
      <c r="U430">
        <v>-0.51409910000000003</v>
      </c>
      <c r="V430">
        <v>5.42307E-2</v>
      </c>
      <c r="W430">
        <v>0.2212083</v>
      </c>
      <c r="X430">
        <v>0.97371759999999996</v>
      </c>
      <c r="Y430">
        <v>0.1590705</v>
      </c>
      <c r="Z430">
        <v>-1.7792530000000001E-2</v>
      </c>
      <c r="AA430">
        <v>0.98710690000000001</v>
      </c>
      <c r="AB430">
        <v>41</v>
      </c>
      <c r="AC430">
        <v>0.58019999999998995</v>
      </c>
      <c r="AD430">
        <v>-0.163565499999999</v>
      </c>
      <c r="AE430">
        <v>-0.12990000000002</v>
      </c>
      <c r="AF430">
        <v>0.122465192378428</v>
      </c>
      <c r="AG430">
        <v>-0.163565499999999</v>
      </c>
      <c r="AH430">
        <v>0.53899482333322002</v>
      </c>
      <c r="AI430">
        <v>106.484626728387</v>
      </c>
      <c r="AJ430">
        <v>77.199133415792005</v>
      </c>
      <c r="AK430">
        <v>0.576425897852052</v>
      </c>
      <c r="AL430">
        <v>77.219988120931205</v>
      </c>
      <c r="AM430">
        <v>86.812234378643396</v>
      </c>
      <c r="AN430">
        <v>1.0000000226805601</v>
      </c>
    </row>
    <row r="431" spans="1:40" x14ac:dyDescent="0.25">
      <c r="A431" t="str">
        <f>"20190303170950214"</f>
        <v>20190303170950214</v>
      </c>
      <c r="B431" t="str">
        <f>"1551604190211356"</f>
        <v>1551604190211356</v>
      </c>
      <c r="C431" t="s">
        <v>40</v>
      </c>
      <c r="D431">
        <v>4.4253070000000001</v>
      </c>
      <c r="E431">
        <v>0.55377730000000003</v>
      </c>
      <c r="F431" t="s">
        <v>43</v>
      </c>
      <c r="G431">
        <v>-335.54570000000001</v>
      </c>
      <c r="H431">
        <v>0.92898480000000005</v>
      </c>
      <c r="I431">
        <v>367.57080000000002</v>
      </c>
      <c r="J431">
        <v>-336.24939999999998</v>
      </c>
      <c r="K431">
        <v>1.1210260000000001</v>
      </c>
      <c r="L431">
        <v>367.7226</v>
      </c>
      <c r="M431">
        <v>0.99989260000000002</v>
      </c>
      <c r="N431">
        <v>-1.431759E-2</v>
      </c>
      <c r="O431">
        <v>3.1606989999999999E-3</v>
      </c>
      <c r="P431">
        <v>0.9769854</v>
      </c>
      <c r="Q431">
        <v>0.2070535</v>
      </c>
      <c r="R431">
        <v>-5.1271919999999999E-2</v>
      </c>
      <c r="S431">
        <v>3.1825260000000002</v>
      </c>
      <c r="T431">
        <v>-0.65362880000000001</v>
      </c>
      <c r="U431">
        <v>-0.51385499999999995</v>
      </c>
      <c r="V431">
        <v>5.4368550000000002E-2</v>
      </c>
      <c r="W431">
        <v>0.22101580000000001</v>
      </c>
      <c r="X431">
        <v>0.9737536</v>
      </c>
      <c r="Y431">
        <v>0.15899079999999999</v>
      </c>
      <c r="Z431">
        <v>-1.7809149999999999E-2</v>
      </c>
      <c r="AA431">
        <v>0.98711939999999998</v>
      </c>
      <c r="AB431">
        <v>41</v>
      </c>
      <c r="AC431">
        <v>0.70369999999996902</v>
      </c>
      <c r="AD431">
        <v>-0.1920412</v>
      </c>
      <c r="AE431">
        <v>-0.15179999999998001</v>
      </c>
      <c r="AF431">
        <v>0.14379091400543301</v>
      </c>
      <c r="AG431">
        <v>-0.1920412</v>
      </c>
      <c r="AH431">
        <v>0.65649763141961803</v>
      </c>
      <c r="AI431">
        <v>105.94728664073899</v>
      </c>
      <c r="AJ431">
        <v>77.645750171550802</v>
      </c>
      <c r="AK431">
        <v>0.69895979105205097</v>
      </c>
      <c r="AL431">
        <v>77.2312971663155</v>
      </c>
      <c r="AM431">
        <v>86.804266021327393</v>
      </c>
      <c r="AN431">
        <v>0.99999999829585096</v>
      </c>
    </row>
    <row r="432" spans="1:40" x14ac:dyDescent="0.25">
      <c r="A432" t="str">
        <f>"20190303170950230"</f>
        <v>20190303170950230</v>
      </c>
      <c r="B432" t="str">
        <f>"1551604190221116"</f>
        <v>1551604190221116</v>
      </c>
      <c r="C432" t="s">
        <v>40</v>
      </c>
      <c r="D432">
        <v>4.3761760000000001</v>
      </c>
      <c r="E432">
        <v>0.55376300000000001</v>
      </c>
      <c r="F432" t="s">
        <v>43</v>
      </c>
      <c r="G432">
        <v>-335.52659999999997</v>
      </c>
      <c r="H432">
        <v>0.97228899999999996</v>
      </c>
      <c r="I432">
        <v>367.60550000000001</v>
      </c>
      <c r="J432">
        <v>-335.95359999999999</v>
      </c>
      <c r="K432">
        <v>1.1210279999999999</v>
      </c>
      <c r="L432">
        <v>367.72359999999998</v>
      </c>
      <c r="M432">
        <v>0.99989260000000002</v>
      </c>
      <c r="N432">
        <v>-1.431584E-2</v>
      </c>
      <c r="O432">
        <v>3.16089E-3</v>
      </c>
      <c r="P432">
        <v>0.97705640000000005</v>
      </c>
      <c r="Q432">
        <v>0.2066981</v>
      </c>
      <c r="R432">
        <v>-5.1352639999999998E-2</v>
      </c>
      <c r="S432">
        <v>3.182404</v>
      </c>
      <c r="T432">
        <v>-0.65486739999999999</v>
      </c>
      <c r="U432">
        <v>-0.51541139999999996</v>
      </c>
      <c r="V432">
        <v>5.4449560000000001E-2</v>
      </c>
      <c r="W432">
        <v>0.22066</v>
      </c>
      <c r="X432">
        <v>0.97382970000000002</v>
      </c>
      <c r="Y432">
        <v>0.15944469999999999</v>
      </c>
      <c r="Z432">
        <v>-1.788936E-2</v>
      </c>
      <c r="AA432">
        <v>0.98704480000000006</v>
      </c>
      <c r="AB432">
        <v>41</v>
      </c>
      <c r="AC432">
        <v>0.42700000000001997</v>
      </c>
      <c r="AD432">
        <v>-0.14873900000000001</v>
      </c>
      <c r="AE432">
        <v>-0.11809999999996899</v>
      </c>
      <c r="AF432">
        <v>0.107349378281813</v>
      </c>
      <c r="AG432">
        <v>-0.14873900000000001</v>
      </c>
      <c r="AH432">
        <v>0.38340867314417898</v>
      </c>
      <c r="AI432">
        <v>110.48428698752799</v>
      </c>
      <c r="AJ432">
        <v>74.358453369896097</v>
      </c>
      <c r="AK432">
        <v>0.425028692891046</v>
      </c>
      <c r="AL432">
        <v>77.252198272191194</v>
      </c>
      <c r="AM432">
        <v>86.799763801006094</v>
      </c>
      <c r="AN432">
        <v>0.99999993739313897</v>
      </c>
    </row>
    <row r="433" spans="1:40" x14ac:dyDescent="0.25">
      <c r="A433" t="str">
        <f>"20190303170950242"</f>
        <v>20190303170950242</v>
      </c>
      <c r="B433" t="str">
        <f>"1551604190230877"</f>
        <v>1551604190230877</v>
      </c>
      <c r="C433" t="s">
        <v>40</v>
      </c>
      <c r="D433">
        <v>4.4097730000000004</v>
      </c>
      <c r="E433">
        <v>0.55376269999999905</v>
      </c>
      <c r="F433" t="s">
        <v>43</v>
      </c>
      <c r="G433">
        <v>-335.166</v>
      </c>
      <c r="H433">
        <v>0.95858790000000005</v>
      </c>
      <c r="I433">
        <v>367.59559999999999</v>
      </c>
      <c r="J433">
        <v>-335.74489999999997</v>
      </c>
      <c r="K433">
        <v>1.1210279999999999</v>
      </c>
      <c r="L433">
        <v>367.7242</v>
      </c>
      <c r="M433">
        <v>0.99989260000000002</v>
      </c>
      <c r="N433">
        <v>-1.431461E-2</v>
      </c>
      <c r="O433">
        <v>3.1608999999999999E-3</v>
      </c>
      <c r="P433">
        <v>0.9770084</v>
      </c>
      <c r="Q433">
        <v>0.2069964</v>
      </c>
      <c r="R433">
        <v>-5.1061790000000003E-2</v>
      </c>
      <c r="S433">
        <v>3.1821899999999999</v>
      </c>
      <c r="T433">
        <v>-0.65635310000000002</v>
      </c>
      <c r="U433">
        <v>-0.51553340000000003</v>
      </c>
      <c r="V433">
        <v>5.4158600000000001E-2</v>
      </c>
      <c r="W433">
        <v>0.22095619999999999</v>
      </c>
      <c r="X433">
        <v>0.97377880000000006</v>
      </c>
      <c r="Y433">
        <v>0.15947549999999999</v>
      </c>
      <c r="Z433">
        <v>-1.7930999999999999E-2</v>
      </c>
      <c r="AA433">
        <v>0.987039</v>
      </c>
      <c r="AB433">
        <v>41</v>
      </c>
      <c r="AC433">
        <v>0.57889999999997599</v>
      </c>
      <c r="AD433">
        <v>-0.1624401</v>
      </c>
      <c r="AE433">
        <v>-0.12860000000000499</v>
      </c>
      <c r="AF433">
        <v>0.121325798226949</v>
      </c>
      <c r="AG433">
        <v>-0.1624401</v>
      </c>
      <c r="AH433">
        <v>0.53811361649415901</v>
      </c>
      <c r="AI433">
        <v>106.40851471374</v>
      </c>
      <c r="AJ433">
        <v>77.294259100296102</v>
      </c>
      <c r="AK433">
        <v>0.57504173731985597</v>
      </c>
      <c r="AL433">
        <v>77.234798241841105</v>
      </c>
      <c r="AM433">
        <v>86.816663473694803</v>
      </c>
      <c r="AN433">
        <v>0.99999997380091898</v>
      </c>
    </row>
    <row r="434" spans="1:40" x14ac:dyDescent="0.25">
      <c r="A434" t="str">
        <f>"20190303170950253"</f>
        <v>20190303170950253</v>
      </c>
      <c r="B434" t="str">
        <f>"1551604190240636"</f>
        <v>1551604190240636</v>
      </c>
      <c r="C434" t="s">
        <v>40</v>
      </c>
      <c r="D434">
        <v>4.4916419999999997</v>
      </c>
      <c r="E434">
        <v>0.55376269999999905</v>
      </c>
      <c r="F434" t="s">
        <v>43</v>
      </c>
      <c r="G434">
        <v>-334.81229999999999</v>
      </c>
      <c r="H434">
        <v>0.92885280000000003</v>
      </c>
      <c r="I434">
        <v>367.57310000000001</v>
      </c>
      <c r="J434">
        <v>-335.53620000000001</v>
      </c>
      <c r="K434">
        <v>1.1210310000000001</v>
      </c>
      <c r="L434">
        <v>367.72489999999999</v>
      </c>
      <c r="M434">
        <v>0.99989269999999997</v>
      </c>
      <c r="N434">
        <v>-1.4313380000000001E-2</v>
      </c>
      <c r="O434">
        <v>3.1609089999999999E-3</v>
      </c>
      <c r="P434">
        <v>0.97703090000000004</v>
      </c>
      <c r="Q434">
        <v>0.2068526</v>
      </c>
      <c r="R434">
        <v>-5.121183E-2</v>
      </c>
      <c r="S434">
        <v>3.182617</v>
      </c>
      <c r="T434">
        <v>-0.65580079999999996</v>
      </c>
      <c r="U434">
        <v>-0.5151367</v>
      </c>
      <c r="V434">
        <v>5.4308830000000002E-2</v>
      </c>
      <c r="W434">
        <v>0.2208116</v>
      </c>
      <c r="X434">
        <v>0.97380330000000004</v>
      </c>
      <c r="Y434">
        <v>0.15934419999999999</v>
      </c>
      <c r="Z434">
        <v>-1.790073E-2</v>
      </c>
      <c r="AA434">
        <v>0.98706079999999996</v>
      </c>
      <c r="AB434">
        <v>41</v>
      </c>
      <c r="AC434">
        <v>0.72390000000001398</v>
      </c>
      <c r="AD434">
        <v>-0.19217819999999899</v>
      </c>
      <c r="AE434">
        <v>-0.15179999999998001</v>
      </c>
      <c r="AF434">
        <v>0.14434319017602801</v>
      </c>
      <c r="AG434">
        <v>-0.19217819999999899</v>
      </c>
      <c r="AH434">
        <v>0.67766781689549305</v>
      </c>
      <c r="AI434">
        <v>105.502179616237</v>
      </c>
      <c r="AJ434">
        <v>77.975697764231001</v>
      </c>
      <c r="AK434">
        <v>0.71902787648417199</v>
      </c>
      <c r="AL434">
        <v>77.243293883135706</v>
      </c>
      <c r="AM434">
        <v>86.807931629862296</v>
      </c>
      <c r="AN434">
        <v>1.0000000394007</v>
      </c>
    </row>
    <row r="435" spans="1:40" x14ac:dyDescent="0.25">
      <c r="A435" t="str">
        <f>"20190303170950266"</f>
        <v>20190303170950266</v>
      </c>
      <c r="B435" t="str">
        <f>"1551604190261131"</f>
        <v>1551604190261131</v>
      </c>
      <c r="C435" t="s">
        <v>40</v>
      </c>
      <c r="D435">
        <v>4.3107670000000002</v>
      </c>
      <c r="E435">
        <v>0.53149919999999995</v>
      </c>
      <c r="F435" t="s">
        <v>43</v>
      </c>
      <c r="G435">
        <v>-334.79500000000002</v>
      </c>
      <c r="H435">
        <v>0.96821939999999995</v>
      </c>
      <c r="I435">
        <v>367.6046</v>
      </c>
      <c r="J435">
        <v>-335.32190000000003</v>
      </c>
      <c r="K435">
        <v>1.1210290000000001</v>
      </c>
      <c r="L435">
        <v>367.72559999999999</v>
      </c>
      <c r="M435">
        <v>0.99989269999999997</v>
      </c>
      <c r="N435">
        <v>-1.4312129999999999E-2</v>
      </c>
      <c r="O435">
        <v>3.160918E-3</v>
      </c>
      <c r="P435">
        <v>0.97692250000000003</v>
      </c>
      <c r="Q435">
        <v>0.20744489999999999</v>
      </c>
      <c r="R435">
        <v>-5.0884779999999998E-2</v>
      </c>
      <c r="S435">
        <v>3.1824340000000002</v>
      </c>
      <c r="T435">
        <v>-0.65612399999999904</v>
      </c>
      <c r="U435">
        <v>-0.51538090000000003</v>
      </c>
      <c r="V435">
        <v>5.3981250000000001E-2</v>
      </c>
      <c r="W435">
        <v>0.22140080000000001</v>
      </c>
      <c r="X435">
        <v>0.97368770000000004</v>
      </c>
      <c r="Y435">
        <v>0.1594216</v>
      </c>
      <c r="Z435">
        <v>-1.7918E-2</v>
      </c>
      <c r="AA435">
        <v>0.98704800000000004</v>
      </c>
      <c r="AB435">
        <v>41</v>
      </c>
      <c r="AC435">
        <v>0.52690000000001103</v>
      </c>
      <c r="AD435">
        <v>-0.15280959999999999</v>
      </c>
      <c r="AE435">
        <v>-0.12099999999998</v>
      </c>
      <c r="AF435">
        <v>0.113589691294411</v>
      </c>
      <c r="AG435">
        <v>-0.15280959999999999</v>
      </c>
      <c r="AH435">
        <v>0.487560705897577</v>
      </c>
      <c r="AI435">
        <v>106.974396675818</v>
      </c>
      <c r="AJ435">
        <v>76.885423854248799</v>
      </c>
      <c r="AK435">
        <v>0.52342032226105195</v>
      </c>
      <c r="AL435">
        <v>77.208678131334807</v>
      </c>
      <c r="AM435">
        <v>86.826770166656999</v>
      </c>
      <c r="AN435">
        <v>1.0000000133617399</v>
      </c>
    </row>
    <row r="436" spans="1:40" x14ac:dyDescent="0.25">
      <c r="A436" t="str">
        <f>"20190303170950279"</f>
        <v>20190303170950279</v>
      </c>
      <c r="B436" t="str">
        <f>"1551604190270891"</f>
        <v>1551604190270891</v>
      </c>
      <c r="C436" t="s">
        <v>40</v>
      </c>
      <c r="D436">
        <v>4.4198639999999996</v>
      </c>
      <c r="E436">
        <v>0.52692930000000004</v>
      </c>
      <c r="F436" t="s">
        <v>43</v>
      </c>
      <c r="G436">
        <v>-334.42169999999999</v>
      </c>
      <c r="H436">
        <v>0.98371779999999998</v>
      </c>
      <c r="I436">
        <v>367.6266</v>
      </c>
      <c r="J436">
        <v>-335.07870000000003</v>
      </c>
      <c r="K436">
        <v>1.1210310000000001</v>
      </c>
      <c r="L436">
        <v>367.72629999999998</v>
      </c>
      <c r="M436">
        <v>0.99989269999999997</v>
      </c>
      <c r="N436">
        <v>-1.4310710000000001E-2</v>
      </c>
      <c r="O436">
        <v>3.1607499999999999E-3</v>
      </c>
      <c r="P436">
        <v>0.97690509999999997</v>
      </c>
      <c r="Q436">
        <v>0.2075679</v>
      </c>
      <c r="R436">
        <v>-5.071763E-2</v>
      </c>
      <c r="S436">
        <v>3.1550600000000002</v>
      </c>
      <c r="T436">
        <v>-0.48141240000000002</v>
      </c>
      <c r="U436">
        <v>-0.3458252</v>
      </c>
      <c r="V436">
        <v>5.3814010000000002E-2</v>
      </c>
      <c r="W436">
        <v>0.2215222</v>
      </c>
      <c r="X436">
        <v>0.97366940000000002</v>
      </c>
      <c r="Y436">
        <v>0.1106819</v>
      </c>
      <c r="Z436">
        <v>-9.6034929999999994E-3</v>
      </c>
      <c r="AA436">
        <v>0.99380950000000001</v>
      </c>
      <c r="AB436">
        <v>41</v>
      </c>
      <c r="AC436">
        <v>0.657000000000039</v>
      </c>
      <c r="AD436">
        <v>-0.137313199999999</v>
      </c>
      <c r="AE436">
        <v>-9.9699999999984301E-2</v>
      </c>
      <c r="AF436">
        <v>9.76086455429344E-2</v>
      </c>
      <c r="AG436">
        <v>-0.137313199999999</v>
      </c>
      <c r="AH436">
        <v>0.62979082960134403</v>
      </c>
      <c r="AI436">
        <v>102.158932263598</v>
      </c>
      <c r="AJ436">
        <v>81.190060640600805</v>
      </c>
      <c r="AK436">
        <v>0.65193469889929601</v>
      </c>
      <c r="AL436">
        <v>77.201546002851401</v>
      </c>
      <c r="AM436">
        <v>86.836521857375203</v>
      </c>
      <c r="AN436">
        <v>1.00000006663073</v>
      </c>
    </row>
    <row r="437" spans="1:40" x14ac:dyDescent="0.25">
      <c r="A437" t="str">
        <f>"20190303170950300"</f>
        <v>20190303170950300</v>
      </c>
      <c r="B437" t="str">
        <f>"1551604190291387"</f>
        <v>1551604190291387</v>
      </c>
      <c r="C437" t="s">
        <v>40</v>
      </c>
      <c r="D437">
        <v>4.3025979999999997</v>
      </c>
      <c r="E437">
        <v>0.50387420000000005</v>
      </c>
      <c r="F437" t="s">
        <v>43</v>
      </c>
      <c r="G437">
        <v>-334.05459999999999</v>
      </c>
      <c r="H437">
        <v>0.98562910000000004</v>
      </c>
      <c r="I437">
        <v>367.62450000000001</v>
      </c>
      <c r="J437">
        <v>-334.68709999999999</v>
      </c>
      <c r="K437">
        <v>1.1210329999999999</v>
      </c>
      <c r="L437">
        <v>367.7276</v>
      </c>
      <c r="M437">
        <v>0.99989269999999997</v>
      </c>
      <c r="N437">
        <v>-1.4308410000000001E-2</v>
      </c>
      <c r="O437">
        <v>3.161124E-3</v>
      </c>
      <c r="P437">
        <v>0.97685869999999997</v>
      </c>
      <c r="Q437">
        <v>0.20784949999999999</v>
      </c>
      <c r="R437">
        <v>-5.0458620000000003E-2</v>
      </c>
      <c r="S437">
        <v>3.1430359999999999</v>
      </c>
      <c r="T437">
        <v>-0.41564580000000001</v>
      </c>
      <c r="U437">
        <v>-0.31192019999999998</v>
      </c>
      <c r="V437">
        <v>5.3555239999999997E-2</v>
      </c>
      <c r="W437">
        <v>0.2218011</v>
      </c>
      <c r="X437">
        <v>0.97362009999999999</v>
      </c>
      <c r="Y437">
        <v>0.1009145</v>
      </c>
      <c r="Z437">
        <v>-7.7251500000000001E-3</v>
      </c>
      <c r="AA437">
        <v>0.99486509999999995</v>
      </c>
      <c r="AB437">
        <v>41</v>
      </c>
      <c r="AC437">
        <v>0.63249999999999296</v>
      </c>
      <c r="AD437">
        <v>-0.13540389999999999</v>
      </c>
      <c r="AE437">
        <v>-0.103099999999983</v>
      </c>
      <c r="AF437">
        <v>0.10060767963797899</v>
      </c>
      <c r="AG437">
        <v>-0.13540389999999999</v>
      </c>
      <c r="AH437">
        <v>0.60515500714201997</v>
      </c>
      <c r="AI437">
        <v>102.446829825164</v>
      </c>
      <c r="AJ437">
        <v>80.560846598777601</v>
      </c>
      <c r="AK437">
        <v>0.62822663427015402</v>
      </c>
      <c r="AL437">
        <v>77.185157622609594</v>
      </c>
      <c r="AM437">
        <v>86.851543985091396</v>
      </c>
      <c r="AN437">
        <v>0.99999999540833795</v>
      </c>
    </row>
    <row r="438" spans="1:40" x14ac:dyDescent="0.25">
      <c r="A438" t="str">
        <f>"20190303170950314"</f>
        <v>20190303170950314</v>
      </c>
      <c r="B438" t="str">
        <f>"1551604190310907"</f>
        <v>1551604190310907</v>
      </c>
      <c r="C438" t="s">
        <v>40</v>
      </c>
      <c r="D438">
        <v>4.2771280000000003</v>
      </c>
      <c r="E438">
        <v>0.50362929999999995</v>
      </c>
      <c r="F438" t="s">
        <v>42</v>
      </c>
      <c r="G438">
        <v>-270.39729999999997</v>
      </c>
      <c r="H438" s="1">
        <v>-4.9793269999999996E-6</v>
      </c>
      <c r="I438">
        <v>364.6694</v>
      </c>
      <c r="J438">
        <v>-334.42399999999998</v>
      </c>
      <c r="K438">
        <v>1.1210370000000001</v>
      </c>
      <c r="L438">
        <v>367.72840000000002</v>
      </c>
      <c r="M438">
        <v>0.99989269999999997</v>
      </c>
      <c r="N438">
        <v>-1.4306889999999999E-2</v>
      </c>
      <c r="O438">
        <v>3.1613140000000001E-3</v>
      </c>
      <c r="P438">
        <v>0.97693470000000004</v>
      </c>
      <c r="Q438">
        <v>0.20748150000000001</v>
      </c>
      <c r="R438">
        <v>-5.0499860000000001E-2</v>
      </c>
      <c r="S438">
        <v>3.074951</v>
      </c>
      <c r="T438">
        <v>-5.361867E-2</v>
      </c>
      <c r="U438">
        <v>-0.14627079999999901</v>
      </c>
      <c r="V438">
        <v>5.35968E-2</v>
      </c>
      <c r="W438">
        <v>0.2214324</v>
      </c>
      <c r="X438">
        <v>0.9737017</v>
      </c>
      <c r="Y438">
        <v>5.065857E-2</v>
      </c>
      <c r="Z438">
        <v>-8.1393280000000001E-4</v>
      </c>
      <c r="AA438">
        <v>0.99871569999999998</v>
      </c>
      <c r="AB438">
        <v>41</v>
      </c>
      <c r="AC438">
        <v>64.026700000000005</v>
      </c>
      <c r="AD438">
        <v>-1.1210419793269999</v>
      </c>
      <c r="AE438">
        <v>-3.0590000000000201</v>
      </c>
      <c r="AF438">
        <v>3.2604166724113099</v>
      </c>
      <c r="AG438">
        <v>-1.1210419793269999</v>
      </c>
      <c r="AH438">
        <v>63.997133994275401</v>
      </c>
      <c r="AI438">
        <v>91.002251701536494</v>
      </c>
      <c r="AJ438">
        <v>87.083514015793796</v>
      </c>
      <c r="AK438">
        <v>64.089938457439501</v>
      </c>
      <c r="AL438">
        <v>77.20682084229</v>
      </c>
      <c r="AM438">
        <v>86.849369163015993</v>
      </c>
      <c r="AN438">
        <v>0.99999996266144398</v>
      </c>
    </row>
    <row r="439" spans="1:40" x14ac:dyDescent="0.25">
      <c r="A439" t="str">
        <f>"20190303170950331"</f>
        <v>20190303170950331</v>
      </c>
      <c r="B439" t="str">
        <f>"1551604190320667"</f>
        <v>1551604190320667</v>
      </c>
      <c r="C439" t="s">
        <v>40</v>
      </c>
      <c r="D439">
        <v>4.2989069999999998</v>
      </c>
      <c r="E439">
        <v>0.5032143</v>
      </c>
      <c r="F439" t="s">
        <v>42</v>
      </c>
      <c r="G439">
        <v>-231.87209999999999</v>
      </c>
      <c r="H439" s="1">
        <v>-4.6675699999999996E-6</v>
      </c>
      <c r="I439">
        <v>362.8603</v>
      </c>
      <c r="J439">
        <v>-334.113</v>
      </c>
      <c r="K439">
        <v>1.1210359999999999</v>
      </c>
      <c r="L439">
        <v>367.7294</v>
      </c>
      <c r="M439">
        <v>0.99989280000000003</v>
      </c>
      <c r="N439">
        <v>-1.4305089999999999E-2</v>
      </c>
      <c r="O439">
        <v>3.1613269999999998E-3</v>
      </c>
      <c r="P439">
        <v>0.97706740000000003</v>
      </c>
      <c r="Q439">
        <v>0.2069336</v>
      </c>
      <c r="R439">
        <v>-5.0179389999999997E-2</v>
      </c>
      <c r="S439">
        <v>3.0704039999999999</v>
      </c>
      <c r="T439">
        <v>-3.3563969999999999E-2</v>
      </c>
      <c r="U439">
        <v>-0.14575199999999999</v>
      </c>
      <c r="V439">
        <v>5.3276879999999999E-2</v>
      </c>
      <c r="W439">
        <v>0.2208851</v>
      </c>
      <c r="X439">
        <v>0.97384360000000003</v>
      </c>
      <c r="Y439">
        <v>5.0567439999999998E-2</v>
      </c>
      <c r="Z439">
        <v>-6.2749529999999896E-4</v>
      </c>
      <c r="AA439">
        <v>0.99872050000000001</v>
      </c>
      <c r="AB439">
        <v>41</v>
      </c>
      <c r="AC439">
        <v>102.2409</v>
      </c>
      <c r="AD439">
        <v>-1.12104066757</v>
      </c>
      <c r="AE439">
        <v>-4.8691000000000004</v>
      </c>
      <c r="AF439">
        <v>5.1917028606585802</v>
      </c>
      <c r="AG439">
        <v>-1.12104066757</v>
      </c>
      <c r="AH439">
        <v>102.212733927052</v>
      </c>
      <c r="AI439">
        <v>90.627569923466297</v>
      </c>
      <c r="AJ439">
        <v>87.092267917335803</v>
      </c>
      <c r="AK439">
        <v>102.35063989840999</v>
      </c>
      <c r="AL439">
        <v>77.238975585252902</v>
      </c>
      <c r="AM439">
        <v>86.868593209323805</v>
      </c>
      <c r="AN439">
        <v>1.00000000530275</v>
      </c>
    </row>
    <row r="440" spans="1:40" x14ac:dyDescent="0.25">
      <c r="A440" t="str">
        <f>"20190303170950343"</f>
        <v>20190303170950343</v>
      </c>
      <c r="B440" t="str">
        <f>"1551604190331404"</f>
        <v>1551604190331404</v>
      </c>
      <c r="C440" t="s">
        <v>40</v>
      </c>
      <c r="D440">
        <v>4.3052190000000001</v>
      </c>
      <c r="E440">
        <v>0.50303920000000002</v>
      </c>
      <c r="F440" t="s">
        <v>42</v>
      </c>
      <c r="G440">
        <v>-214.221</v>
      </c>
      <c r="H440" s="1">
        <v>-3.9300069999999996E-6</v>
      </c>
      <c r="I440">
        <v>362.185</v>
      </c>
      <c r="J440">
        <v>-333.89839999999998</v>
      </c>
      <c r="K440">
        <v>1.121035</v>
      </c>
      <c r="L440">
        <v>367.73009999999999</v>
      </c>
      <c r="M440">
        <v>0.99989280000000003</v>
      </c>
      <c r="N440">
        <v>-1.430384E-2</v>
      </c>
      <c r="O440">
        <v>3.1613359999999998E-3</v>
      </c>
      <c r="P440">
        <v>0.97706669999999995</v>
      </c>
      <c r="Q440">
        <v>0.20691689999999999</v>
      </c>
      <c r="R440">
        <v>-5.0262979999999999E-2</v>
      </c>
      <c r="S440">
        <v>3.0692439999999999</v>
      </c>
      <c r="T440">
        <v>-2.8698680000000001E-2</v>
      </c>
      <c r="U440">
        <v>-0.14193729999999999</v>
      </c>
      <c r="V440">
        <v>5.3360499999999998E-2</v>
      </c>
      <c r="W440">
        <v>0.22086739999999999</v>
      </c>
      <c r="X440">
        <v>0.97384300000000001</v>
      </c>
      <c r="Y440">
        <v>4.9348210000000003E-2</v>
      </c>
      <c r="Z440">
        <v>-5.6809190000000004E-4</v>
      </c>
      <c r="AA440">
        <v>0.99878149999999999</v>
      </c>
      <c r="AB440">
        <v>41</v>
      </c>
      <c r="AC440">
        <v>119.67740000000001</v>
      </c>
      <c r="AD440">
        <v>-1.1210389300070001</v>
      </c>
      <c r="AE440">
        <v>-5.5450999999999899</v>
      </c>
      <c r="AF440">
        <v>5.9229328414483096</v>
      </c>
      <c r="AG440">
        <v>-1.1210389300070001</v>
      </c>
      <c r="AH440">
        <v>119.64879416368601</v>
      </c>
      <c r="AI440">
        <v>90.536155607948402</v>
      </c>
      <c r="AJ440">
        <v>87.166020249889002</v>
      </c>
      <c r="AK440">
        <v>119.800550109551</v>
      </c>
      <c r="AL440">
        <v>77.2400149439936</v>
      </c>
      <c r="AM440">
        <v>86.863686228276407</v>
      </c>
      <c r="AN440">
        <v>0.99999996999600405</v>
      </c>
    </row>
    <row r="441" spans="1:40" x14ac:dyDescent="0.25">
      <c r="A441" t="str">
        <f>"20190303170950355"</f>
        <v>20190303170950355</v>
      </c>
      <c r="B441" t="str">
        <f>"1551604190350923"</f>
        <v>1551604190350923</v>
      </c>
      <c r="C441" t="s">
        <v>40</v>
      </c>
      <c r="D441">
        <v>4.3757669999999997</v>
      </c>
      <c r="E441">
        <v>0.50278409999999996</v>
      </c>
      <c r="F441" t="s">
        <v>44</v>
      </c>
      <c r="G441">
        <v>-200.92850000000001</v>
      </c>
      <c r="H441" s="1">
        <v>-2.669889E-6</v>
      </c>
      <c r="I441">
        <v>361.62729999999999</v>
      </c>
      <c r="J441">
        <v>-333.67700000000002</v>
      </c>
      <c r="K441">
        <v>1.121035</v>
      </c>
      <c r="L441">
        <v>367.73079999999999</v>
      </c>
      <c r="M441">
        <v>0.99989269999999997</v>
      </c>
      <c r="N441">
        <v>-1.4302560000000001E-2</v>
      </c>
      <c r="O441">
        <v>3.1615240000000002E-3</v>
      </c>
      <c r="P441">
        <v>0.97707949999999999</v>
      </c>
      <c r="Q441">
        <v>0.2068334</v>
      </c>
      <c r="R441">
        <v>-5.0356999999999999E-2</v>
      </c>
      <c r="S441">
        <v>3.0686339999999999</v>
      </c>
      <c r="T441">
        <v>-2.5870919999999999E-2</v>
      </c>
      <c r="U441">
        <v>-0.14083860000000001</v>
      </c>
      <c r="V441">
        <v>5.345453E-2</v>
      </c>
      <c r="W441">
        <v>0.2207828</v>
      </c>
      <c r="X441">
        <v>0.97385699999999997</v>
      </c>
      <c r="Y441">
        <v>4.900148E-2</v>
      </c>
      <c r="Z441">
        <v>-5.3853359999999999E-4</v>
      </c>
      <c r="AA441">
        <v>0.99879850000000003</v>
      </c>
      <c r="AB441">
        <v>41</v>
      </c>
      <c r="AC441">
        <v>132.74849999999901</v>
      </c>
      <c r="AD441">
        <v>-1.1210376698890001</v>
      </c>
      <c r="AE441">
        <v>-6.1034999999999897</v>
      </c>
      <c r="AF441">
        <v>6.5227358107251803</v>
      </c>
      <c r="AG441">
        <v>-1.1210376698890001</v>
      </c>
      <c r="AH441">
        <v>132.71909319840299</v>
      </c>
      <c r="AI441">
        <v>90.483365066633894</v>
      </c>
      <c r="AJ441">
        <v>87.186352332914296</v>
      </c>
      <c r="AK441">
        <v>132.88401148114201</v>
      </c>
      <c r="AL441">
        <v>77.244984520083094</v>
      </c>
      <c r="AM441">
        <v>86.858215664636901</v>
      </c>
      <c r="AN441">
        <v>0.99999994400117798</v>
      </c>
    </row>
    <row r="442" spans="1:40" x14ac:dyDescent="0.25">
      <c r="A442" t="str">
        <f>"20190303170950367"</f>
        <v>20190303170950367</v>
      </c>
      <c r="B442" t="str">
        <f>"1551604190360683"</f>
        <v>1551604190360683</v>
      </c>
      <c r="C442" t="s">
        <v>40</v>
      </c>
      <c r="D442">
        <v>4.3495179999999998</v>
      </c>
      <c r="E442">
        <v>0.5026948</v>
      </c>
      <c r="F442" t="s">
        <v>44</v>
      </c>
      <c r="G442">
        <v>-205.601</v>
      </c>
      <c r="H442" s="1">
        <v>-4.9423369999999996E-6</v>
      </c>
      <c r="I442">
        <v>361.91550000000001</v>
      </c>
      <c r="J442">
        <v>-333.4606</v>
      </c>
      <c r="K442">
        <v>1.121035</v>
      </c>
      <c r="L442">
        <v>367.73149999999998</v>
      </c>
      <c r="M442">
        <v>0.99989280000000003</v>
      </c>
      <c r="N442">
        <v>-1.4301299999999999E-2</v>
      </c>
      <c r="O442">
        <v>3.1613539999999999E-3</v>
      </c>
      <c r="P442">
        <v>0.97705850000000005</v>
      </c>
      <c r="Q442">
        <v>0.2068739</v>
      </c>
      <c r="R442">
        <v>-5.059872E-2</v>
      </c>
      <c r="S442">
        <v>3.0688780000000002</v>
      </c>
      <c r="T442">
        <v>-2.6861670000000001E-2</v>
      </c>
      <c r="U442">
        <v>-0.1393433</v>
      </c>
      <c r="V442">
        <v>5.3695939999999998E-2</v>
      </c>
      <c r="W442">
        <v>0.22082189999999999</v>
      </c>
      <c r="X442">
        <v>0.97383489999999995</v>
      </c>
      <c r="Y442">
        <v>4.8511800000000001E-2</v>
      </c>
      <c r="Z442">
        <v>-5.4176820000000005E-4</v>
      </c>
      <c r="AA442">
        <v>0.99882249999999995</v>
      </c>
      <c r="AB442">
        <v>41</v>
      </c>
      <c r="AC442">
        <v>127.8596</v>
      </c>
      <c r="AD442">
        <v>-1.1210399423370001</v>
      </c>
      <c r="AE442">
        <v>-5.8159999999999696</v>
      </c>
      <c r="AF442">
        <v>6.2197445592780802</v>
      </c>
      <c r="AG442">
        <v>-1.1210399423370001</v>
      </c>
      <c r="AH442">
        <v>127.83076614755799</v>
      </c>
      <c r="AI442">
        <v>90.501861349785997</v>
      </c>
      <c r="AJ442">
        <v>87.214408541114196</v>
      </c>
      <c r="AK442">
        <v>127.986900606299</v>
      </c>
      <c r="AL442">
        <v>77.242688146211407</v>
      </c>
      <c r="AM442">
        <v>86.843983959417201</v>
      </c>
      <c r="AN442">
        <v>0.99999998897505105</v>
      </c>
    </row>
    <row r="443" spans="1:40" x14ac:dyDescent="0.25">
      <c r="A443" t="str">
        <f>"20190303170950380"</f>
        <v>20190303170950380</v>
      </c>
      <c r="B443" t="str">
        <f>"1551604190371419"</f>
        <v>1551604190371419</v>
      </c>
      <c r="C443" t="s">
        <v>40</v>
      </c>
      <c r="D443">
        <v>4.351693</v>
      </c>
      <c r="E443">
        <v>0.50281369999999903</v>
      </c>
      <c r="F443" t="s">
        <v>44</v>
      </c>
      <c r="G443">
        <v>-205.5633</v>
      </c>
      <c r="H443" s="1">
        <v>-4.9222570000000002E-6</v>
      </c>
      <c r="I443">
        <v>361.92689999999999</v>
      </c>
      <c r="J443">
        <v>-333.2269</v>
      </c>
      <c r="K443">
        <v>1.1210389999999999</v>
      </c>
      <c r="L443">
        <v>367.73230000000001</v>
      </c>
      <c r="M443">
        <v>0.99989269999999997</v>
      </c>
      <c r="N443">
        <v>-1.4299950000000001E-2</v>
      </c>
      <c r="O443">
        <v>3.1615430000000002E-3</v>
      </c>
      <c r="P443">
        <v>0.9770238</v>
      </c>
      <c r="Q443">
        <v>0.20699680000000001</v>
      </c>
      <c r="R443">
        <v>-5.076406E-2</v>
      </c>
      <c r="S443">
        <v>3.0689090000000001</v>
      </c>
      <c r="T443">
        <v>-2.689946E-2</v>
      </c>
      <c r="U443">
        <v>-0.13928219999999999</v>
      </c>
      <c r="V443">
        <v>5.3861539999999999E-2</v>
      </c>
      <c r="W443">
        <v>0.22094279999999999</v>
      </c>
      <c r="X443">
        <v>0.97379830000000001</v>
      </c>
      <c r="Y443">
        <v>4.8491720000000002E-2</v>
      </c>
      <c r="Z443">
        <v>-5.4184179999999999E-4</v>
      </c>
      <c r="AA443">
        <v>0.99882349999999998</v>
      </c>
      <c r="AB443">
        <v>41</v>
      </c>
      <c r="AC443">
        <v>127.6636</v>
      </c>
      <c r="AD443">
        <v>-1.1210439222569999</v>
      </c>
      <c r="AE443">
        <v>-5.8054000000000103</v>
      </c>
      <c r="AF443">
        <v>6.2085484824253596</v>
      </c>
      <c r="AG443">
        <v>-1.1210439222569999</v>
      </c>
      <c r="AH443">
        <v>127.63478433014301</v>
      </c>
      <c r="AI443">
        <v>90.502634014591195</v>
      </c>
      <c r="AJ443">
        <v>87.215152127671502</v>
      </c>
      <c r="AK443">
        <v>127.790613836605</v>
      </c>
      <c r="AL443">
        <v>77.235585252548603</v>
      </c>
      <c r="AM443">
        <v>86.834151730426697</v>
      </c>
      <c r="AN443">
        <v>0.99999995772294903</v>
      </c>
    </row>
    <row r="444" spans="1:40" x14ac:dyDescent="0.25">
      <c r="A444" t="str">
        <f>"20190303170950391"</f>
        <v>20190303170950391</v>
      </c>
      <c r="B444" t="str">
        <f>"1551604190381180"</f>
        <v>1551604190381180</v>
      </c>
      <c r="C444" t="s">
        <v>40</v>
      </c>
      <c r="D444">
        <v>4.3798409999999999</v>
      </c>
      <c r="E444">
        <v>0.50276860000000001</v>
      </c>
      <c r="F444" t="s">
        <v>44</v>
      </c>
      <c r="G444">
        <v>-202.38579999999999</v>
      </c>
      <c r="H444" s="1">
        <v>-3.3897189999999998E-6</v>
      </c>
      <c r="I444">
        <v>361.72219999999999</v>
      </c>
      <c r="J444">
        <v>-333.0095</v>
      </c>
      <c r="K444">
        <v>1.121041</v>
      </c>
      <c r="L444">
        <v>367.73289999999997</v>
      </c>
      <c r="M444">
        <v>0.99989289999999997</v>
      </c>
      <c r="N444">
        <v>-1.4298689999999999E-2</v>
      </c>
      <c r="O444">
        <v>3.1613729999999999E-3</v>
      </c>
      <c r="P444">
        <v>0.97700520000000002</v>
      </c>
      <c r="Q444">
        <v>0.2071124</v>
      </c>
      <c r="R444">
        <v>-5.065095E-2</v>
      </c>
      <c r="S444">
        <v>3.0687869999999999</v>
      </c>
      <c r="T444">
        <v>-2.6293279999999999E-2</v>
      </c>
      <c r="U444">
        <v>-0.14096069999999999</v>
      </c>
      <c r="V444">
        <v>5.3748280000000002E-2</v>
      </c>
      <c r="W444">
        <v>0.22105620000000001</v>
      </c>
      <c r="X444">
        <v>0.97377880000000006</v>
      </c>
      <c r="Y444">
        <v>4.9038600000000002E-2</v>
      </c>
      <c r="Z444">
        <v>-5.4267010000000001E-4</v>
      </c>
      <c r="AA444">
        <v>0.99879680000000004</v>
      </c>
      <c r="AB444">
        <v>41</v>
      </c>
      <c r="AC444">
        <v>130.62370000000001</v>
      </c>
      <c r="AD444">
        <v>-1.1210443897189999</v>
      </c>
      <c r="AE444">
        <v>-6.0106999999999804</v>
      </c>
      <c r="AF444">
        <v>6.42319026349496</v>
      </c>
      <c r="AG444">
        <v>-1.1210443897189999</v>
      </c>
      <c r="AH444">
        <v>130.59444451833599</v>
      </c>
      <c r="AI444">
        <v>90.491230624177703</v>
      </c>
      <c r="AJ444">
        <v>87.184218937049593</v>
      </c>
      <c r="AK444">
        <v>130.757114730853</v>
      </c>
      <c r="AL444">
        <v>77.228922905100404</v>
      </c>
      <c r="AM444">
        <v>86.840732239357095</v>
      </c>
      <c r="AN444">
        <v>0.99999993624541705</v>
      </c>
    </row>
    <row r="445" spans="1:40" x14ac:dyDescent="0.25">
      <c r="A445" t="str">
        <f>"20190303170950404"</f>
        <v>20190303170950404</v>
      </c>
      <c r="B445" t="str">
        <f>"1551604190390940"</f>
        <v>1551604190390940</v>
      </c>
      <c r="C445" t="s">
        <v>40</v>
      </c>
      <c r="D445">
        <v>4.3789639999999999</v>
      </c>
      <c r="E445">
        <v>0.50278509999999998</v>
      </c>
      <c r="F445" t="s">
        <v>44</v>
      </c>
      <c r="G445">
        <v>-199.5966</v>
      </c>
      <c r="H445" s="1">
        <v>-9.9216860000000003E-6</v>
      </c>
      <c r="I445">
        <v>361.63010000000003</v>
      </c>
      <c r="J445">
        <v>-332.79599999999999</v>
      </c>
      <c r="K445">
        <v>1.1210420000000001</v>
      </c>
      <c r="L445">
        <v>367.73360000000002</v>
      </c>
      <c r="M445">
        <v>0.99989300000000003</v>
      </c>
      <c r="N445">
        <v>-1.429744E-2</v>
      </c>
      <c r="O445">
        <v>3.1613819999999999E-3</v>
      </c>
      <c r="P445">
        <v>0.97697250000000002</v>
      </c>
      <c r="Q445">
        <v>0.20722479999999999</v>
      </c>
      <c r="R445">
        <v>-5.082478E-2</v>
      </c>
      <c r="S445">
        <v>3.068848</v>
      </c>
      <c r="T445">
        <v>-2.578712E-2</v>
      </c>
      <c r="U445">
        <v>-0.1403809</v>
      </c>
      <c r="V445">
        <v>5.392197E-2</v>
      </c>
      <c r="W445">
        <v>0.2211669</v>
      </c>
      <c r="X445">
        <v>0.97374419999999995</v>
      </c>
      <c r="Y445">
        <v>4.884952E-2</v>
      </c>
      <c r="Z445">
        <v>-5.359281E-4</v>
      </c>
      <c r="AA445">
        <v>0.99880599999999997</v>
      </c>
      <c r="AB445">
        <v>41</v>
      </c>
      <c r="AC445">
        <v>133.1994</v>
      </c>
      <c r="AD445">
        <v>-1.121051921686</v>
      </c>
      <c r="AE445">
        <v>-6.1034999999999897</v>
      </c>
      <c r="AF445">
        <v>6.5241454675231596</v>
      </c>
      <c r="AG445">
        <v>-1.121051921686</v>
      </c>
      <c r="AH445">
        <v>133.17002346695099</v>
      </c>
      <c r="AI445">
        <v>90.481738208177802</v>
      </c>
      <c r="AJ445">
        <v>87.195259415469494</v>
      </c>
      <c r="AK445">
        <v>133.334453093267</v>
      </c>
      <c r="AL445">
        <v>77.2224210486998</v>
      </c>
      <c r="AM445">
        <v>86.830431313053793</v>
      </c>
      <c r="AN445">
        <v>1.0000000717689601</v>
      </c>
    </row>
    <row r="446" spans="1:40" x14ac:dyDescent="0.25">
      <c r="A446" t="str">
        <f>"20190303170950421"</f>
        <v>20190303170950421</v>
      </c>
      <c r="B446" t="str">
        <f>"1551604190411435"</f>
        <v>1551604190411435</v>
      </c>
      <c r="C446" t="s">
        <v>40</v>
      </c>
      <c r="D446">
        <v>4.3831699999999998</v>
      </c>
      <c r="E446">
        <v>0.50274560000000001</v>
      </c>
      <c r="F446" t="s">
        <v>44</v>
      </c>
      <c r="G446">
        <v>-196.14859999999999</v>
      </c>
      <c r="H446" s="1">
        <v>-8.7197200000000003E-6</v>
      </c>
      <c r="I446">
        <v>361.44580000000002</v>
      </c>
      <c r="J446">
        <v>-332.49059999999997</v>
      </c>
      <c r="K446">
        <v>1.121032</v>
      </c>
      <c r="L446">
        <v>367.7346</v>
      </c>
      <c r="M446">
        <v>0.99989280000000003</v>
      </c>
      <c r="N446">
        <v>-1.429561E-2</v>
      </c>
      <c r="O446">
        <v>3.1616930000000001E-3</v>
      </c>
      <c r="P446">
        <v>0.97696269999999996</v>
      </c>
      <c r="Q446">
        <v>0.207263</v>
      </c>
      <c r="R446">
        <v>-5.0850979999999997E-2</v>
      </c>
      <c r="S446">
        <v>3.0686650000000002</v>
      </c>
      <c r="T446">
        <v>-2.517521E-2</v>
      </c>
      <c r="U446">
        <v>-0.14120479999999899</v>
      </c>
      <c r="V446">
        <v>5.3948349999999999E-2</v>
      </c>
      <c r="W446">
        <v>0.22120409999999999</v>
      </c>
      <c r="X446">
        <v>0.97373419999999999</v>
      </c>
      <c r="Y446">
        <v>4.9120299999999999E-2</v>
      </c>
      <c r="Z446">
        <v>-5.33451E-4</v>
      </c>
      <c r="AA446">
        <v>0.99879269999999998</v>
      </c>
      <c r="AB446">
        <v>41</v>
      </c>
      <c r="AC446">
        <v>136.34199999999899</v>
      </c>
      <c r="AD446">
        <v>-1.1210407197200001</v>
      </c>
      <c r="AE446">
        <v>-6.2887999999999797</v>
      </c>
      <c r="AF446">
        <v>6.7194308611662201</v>
      </c>
      <c r="AG446">
        <v>-1.1210407197200001</v>
      </c>
      <c r="AH446">
        <v>136.31223719121499</v>
      </c>
      <c r="AI446">
        <v>90.470622181956998</v>
      </c>
      <c r="AJ446">
        <v>87.177922886626504</v>
      </c>
      <c r="AK446">
        <v>136.482355971266</v>
      </c>
      <c r="AL446">
        <v>77.220234390083405</v>
      </c>
      <c r="AM446">
        <v>86.828851343223803</v>
      </c>
      <c r="AN446">
        <v>0.999999985287086</v>
      </c>
    </row>
    <row r="447" spans="1:40" x14ac:dyDescent="0.25">
      <c r="A447" t="str">
        <f>"20190303170950432"</f>
        <v>20190303170950432</v>
      </c>
      <c r="B447" t="str">
        <f>"1551604190421195"</f>
        <v>1551604190421195</v>
      </c>
      <c r="C447" t="s">
        <v>40</v>
      </c>
      <c r="D447">
        <v>4.3917539999999997</v>
      </c>
      <c r="E447">
        <v>0.5027469</v>
      </c>
      <c r="F447" t="s">
        <v>44</v>
      </c>
      <c r="G447">
        <v>-201.78120000000001</v>
      </c>
      <c r="H447" s="1">
        <v>-3.087588E-6</v>
      </c>
      <c r="I447">
        <v>361.71269999999998</v>
      </c>
      <c r="J447">
        <v>-332.26319999999998</v>
      </c>
      <c r="K447">
        <v>1.12103</v>
      </c>
      <c r="L447">
        <v>367.7353</v>
      </c>
      <c r="M447">
        <v>0.99989280000000003</v>
      </c>
      <c r="N447">
        <v>-1.429425E-2</v>
      </c>
      <c r="O447">
        <v>3.161882E-3</v>
      </c>
      <c r="P447">
        <v>0.97693399999999997</v>
      </c>
      <c r="Q447">
        <v>0.2074095</v>
      </c>
      <c r="R447">
        <v>-5.080552E-2</v>
      </c>
      <c r="S447">
        <v>3.0689700000000002</v>
      </c>
      <c r="T447">
        <v>-2.6321170000000001E-2</v>
      </c>
      <c r="U447">
        <v>-0.14138789999999901</v>
      </c>
      <c r="V447">
        <v>5.3903149999999997E-2</v>
      </c>
      <c r="W447">
        <v>0.2213483</v>
      </c>
      <c r="X447">
        <v>0.97370400000000001</v>
      </c>
      <c r="Y447">
        <v>4.9175110000000001E-2</v>
      </c>
      <c r="Z447">
        <v>-5.443717E-4</v>
      </c>
      <c r="AA447">
        <v>0.99878999999999996</v>
      </c>
      <c r="AB447">
        <v>41</v>
      </c>
      <c r="AC447">
        <v>130.481999999999</v>
      </c>
      <c r="AD447">
        <v>-1.1210330875879999</v>
      </c>
      <c r="AE447">
        <v>-6.0226000000000104</v>
      </c>
      <c r="AF447">
        <v>6.43470678622342</v>
      </c>
      <c r="AG447">
        <v>-1.1210330875879999</v>
      </c>
      <c r="AH447">
        <v>130.45269422529</v>
      </c>
      <c r="AI447">
        <v>90.491755988716505</v>
      </c>
      <c r="AJ447">
        <v>87.1761183466066</v>
      </c>
      <c r="AK447">
        <v>130.61610772506199</v>
      </c>
      <c r="AL447">
        <v>77.211763161852005</v>
      </c>
      <c r="AM447">
        <v>86.831404765029902</v>
      </c>
      <c r="AN447">
        <v>1.0000000495543999</v>
      </c>
    </row>
    <row r="448" spans="1:40" x14ac:dyDescent="0.25">
      <c r="A448" t="str">
        <f>"20190303170950445"</f>
        <v>20190303170950445</v>
      </c>
      <c r="B448" t="str">
        <f>"1551604190440715"</f>
        <v>1551604190440715</v>
      </c>
      <c r="C448" t="s">
        <v>40</v>
      </c>
      <c r="D448">
        <v>4.4838290000000001</v>
      </c>
      <c r="E448">
        <v>0.50279589999999996</v>
      </c>
      <c r="F448" t="s">
        <v>44</v>
      </c>
      <c r="G448">
        <v>-199.1534</v>
      </c>
      <c r="H448" s="1">
        <v>-9.7638800000000001E-6</v>
      </c>
      <c r="I448">
        <v>361.60680000000002</v>
      </c>
      <c r="J448">
        <v>-332.04899999999998</v>
      </c>
      <c r="K448">
        <v>1.1210329999999999</v>
      </c>
      <c r="L448">
        <v>367.73599999999999</v>
      </c>
      <c r="M448">
        <v>0.99989300000000003</v>
      </c>
      <c r="N448">
        <v>-1.429296E-2</v>
      </c>
      <c r="O448">
        <v>3.1617120000000001E-3</v>
      </c>
      <c r="P448">
        <v>0.97698070000000004</v>
      </c>
      <c r="Q448">
        <v>0.20720810000000001</v>
      </c>
      <c r="R448">
        <v>-5.0730909999999997E-2</v>
      </c>
      <c r="S448">
        <v>3.0689389999999999</v>
      </c>
      <c r="T448">
        <v>-2.5846359999999999E-2</v>
      </c>
      <c r="U448">
        <v>-0.14129639999999999</v>
      </c>
      <c r="V448">
        <v>5.3828460000000002E-2</v>
      </c>
      <c r="W448">
        <v>0.22114639999999999</v>
      </c>
      <c r="X448">
        <v>0.97375389999999995</v>
      </c>
      <c r="Y448">
        <v>4.9145790000000002E-2</v>
      </c>
      <c r="Z448">
        <v>-5.3972299999999998E-4</v>
      </c>
      <c r="AA448">
        <v>0.99879150000000005</v>
      </c>
      <c r="AB448">
        <v>41</v>
      </c>
      <c r="AC448">
        <v>132.8956</v>
      </c>
      <c r="AD448">
        <v>-1.12104276388</v>
      </c>
      <c r="AE448">
        <v>-6.12919999999996</v>
      </c>
      <c r="AF448">
        <v>6.5489248162894</v>
      </c>
      <c r="AG448">
        <v>-1.12104276388</v>
      </c>
      <c r="AH448">
        <v>132.86612047350201</v>
      </c>
      <c r="AI448">
        <v>90.482829019368097</v>
      </c>
      <c r="AJ448">
        <v>87.178194662282607</v>
      </c>
      <c r="AK448">
        <v>133.032143194068</v>
      </c>
      <c r="AL448">
        <v>77.223623794875095</v>
      </c>
      <c r="AM448">
        <v>86.835948168903201</v>
      </c>
      <c r="AN448">
        <v>0.99999994555206895</v>
      </c>
    </row>
    <row r="449" spans="1:40" x14ac:dyDescent="0.25">
      <c r="A449" t="str">
        <f>"20190303170950457"</f>
        <v>20190303170950457</v>
      </c>
      <c r="B449" t="str">
        <f>"1551604190451451"</f>
        <v>1551604190451451</v>
      </c>
      <c r="C449" t="s">
        <v>40</v>
      </c>
      <c r="D449">
        <v>4.3975679999999997</v>
      </c>
      <c r="E449">
        <v>0.50266520000000003</v>
      </c>
      <c r="F449" t="s">
        <v>44</v>
      </c>
      <c r="G449">
        <v>-203.22049999999999</v>
      </c>
      <c r="H449" s="1">
        <v>-3.7858179999999999E-6</v>
      </c>
      <c r="I449">
        <v>361.83030000000002</v>
      </c>
      <c r="J449">
        <v>-331.82510000000002</v>
      </c>
      <c r="K449">
        <v>1.1210340000000001</v>
      </c>
      <c r="L449">
        <v>367.73669999999998</v>
      </c>
      <c r="M449">
        <v>0.99989300000000003</v>
      </c>
      <c r="N449">
        <v>-1.429161E-2</v>
      </c>
      <c r="O449">
        <v>3.1617220000000001E-3</v>
      </c>
      <c r="P449">
        <v>0.97708830000000002</v>
      </c>
      <c r="Q449">
        <v>0.2066964</v>
      </c>
      <c r="R449">
        <v>-5.0746149999999997E-2</v>
      </c>
      <c r="S449">
        <v>3.0689700000000002</v>
      </c>
      <c r="T449">
        <v>-2.67055E-2</v>
      </c>
      <c r="U449">
        <v>-0.14068599999999901</v>
      </c>
      <c r="V449">
        <v>5.384419E-2</v>
      </c>
      <c r="W449">
        <v>0.22063540000000001</v>
      </c>
      <c r="X449">
        <v>0.97386899999999998</v>
      </c>
      <c r="Y449">
        <v>4.8946919999999998E-2</v>
      </c>
      <c r="Z449">
        <v>-5.4516459999999999E-4</v>
      </c>
      <c r="AA449">
        <v>0.99880119999999895</v>
      </c>
      <c r="AB449">
        <v>41</v>
      </c>
      <c r="AC449">
        <v>128.6046</v>
      </c>
      <c r="AD449">
        <v>-1.1210377858180001</v>
      </c>
      <c r="AE449">
        <v>-5.9063999999999597</v>
      </c>
      <c r="AF449">
        <v>6.3125452958141297</v>
      </c>
      <c r="AG449">
        <v>-1.1210377858180001</v>
      </c>
      <c r="AH449">
        <v>128.57553153076401</v>
      </c>
      <c r="AI449">
        <v>90.498942836126005</v>
      </c>
      <c r="AJ449">
        <v>87.189262864158593</v>
      </c>
      <c r="AK449">
        <v>128.735279788593</v>
      </c>
      <c r="AL449">
        <v>77.253644213149897</v>
      </c>
      <c r="AM449">
        <v>86.835398737486202</v>
      </c>
      <c r="AN449">
        <v>1.0000000028454501</v>
      </c>
    </row>
    <row r="450" spans="1:40" x14ac:dyDescent="0.25">
      <c r="A450" t="str">
        <f>"20190303170950469"</f>
        <v>20190303170950469</v>
      </c>
      <c r="B450" t="str">
        <f>"1551604190461212"</f>
        <v>1551604190461212</v>
      </c>
      <c r="C450" t="s">
        <v>40</v>
      </c>
      <c r="D450">
        <v>4.3886229999999999</v>
      </c>
      <c r="E450">
        <v>0.50252849999999905</v>
      </c>
      <c r="F450" t="s">
        <v>44</v>
      </c>
      <c r="G450">
        <v>-207.74100000000001</v>
      </c>
      <c r="H450" s="1">
        <v>-5.7049570000000003E-6</v>
      </c>
      <c r="I450">
        <v>362.08670000000001</v>
      </c>
      <c r="J450">
        <v>-331.59269999999998</v>
      </c>
      <c r="K450">
        <v>1.1210329999999999</v>
      </c>
      <c r="L450">
        <v>367.73750000000001</v>
      </c>
      <c r="M450">
        <v>0.99989280000000003</v>
      </c>
      <c r="N450">
        <v>-1.4290199999999999E-2</v>
      </c>
      <c r="O450">
        <v>3.1620900000000002E-3</v>
      </c>
      <c r="P450">
        <v>0.97712399999999999</v>
      </c>
      <c r="Q450">
        <v>0.20652409999999999</v>
      </c>
      <c r="R450">
        <v>-5.0758980000000002E-2</v>
      </c>
      <c r="S450">
        <v>3.0689700000000002</v>
      </c>
      <c r="T450">
        <v>-2.7726649999999999E-2</v>
      </c>
      <c r="U450">
        <v>-0.13974</v>
      </c>
      <c r="V450">
        <v>5.3857490000000001E-2</v>
      </c>
      <c r="W450">
        <v>0.2204614</v>
      </c>
      <c r="X450">
        <v>0.97390759999999998</v>
      </c>
      <c r="Y450">
        <v>4.8639809999999999E-2</v>
      </c>
      <c r="Z450">
        <v>-5.5074010000000001E-4</v>
      </c>
      <c r="AA450">
        <v>0.99881629999999999</v>
      </c>
      <c r="AB450">
        <v>41</v>
      </c>
      <c r="AC450">
        <v>123.85169999999999</v>
      </c>
      <c r="AD450">
        <v>-1.1210387049570001</v>
      </c>
      <c r="AE450">
        <v>-5.6508000000000003</v>
      </c>
      <c r="AF450">
        <v>6.0419480122830604</v>
      </c>
      <c r="AG450">
        <v>-1.1210387049570001</v>
      </c>
      <c r="AH450">
        <v>123.82308690386699</v>
      </c>
      <c r="AI450">
        <v>90.518099738303704</v>
      </c>
      <c r="AJ450">
        <v>87.206467896475701</v>
      </c>
      <c r="AK450">
        <v>123.97547626028199</v>
      </c>
      <c r="AL450">
        <v>77.263864494891493</v>
      </c>
      <c r="AM450">
        <v>86.834743843943102</v>
      </c>
      <c r="AN450">
        <v>0.99999993572840795</v>
      </c>
    </row>
    <row r="451" spans="1:40" x14ac:dyDescent="0.25">
      <c r="A451" t="str">
        <f>"20190303170950483"</f>
        <v>20190303170950483</v>
      </c>
      <c r="B451" t="str">
        <f>"1551604190470971"</f>
        <v>1551604190470971</v>
      </c>
      <c r="C451" t="s">
        <v>40</v>
      </c>
      <c r="D451">
        <v>4.3479089999999996</v>
      </c>
      <c r="E451">
        <v>0.50240099999999999</v>
      </c>
      <c r="F451" t="s">
        <v>44</v>
      </c>
      <c r="G451">
        <v>-207.68379999999999</v>
      </c>
      <c r="H451" s="1">
        <v>-5.6767460000000002E-6</v>
      </c>
      <c r="I451">
        <v>362.1447</v>
      </c>
      <c r="J451">
        <v>-331.34160000000003</v>
      </c>
      <c r="K451">
        <v>1.1210389999999999</v>
      </c>
      <c r="L451">
        <v>367.73829999999998</v>
      </c>
      <c r="M451">
        <v>0.99989289999999997</v>
      </c>
      <c r="N451">
        <v>-1.428872E-2</v>
      </c>
      <c r="O451">
        <v>3.162279E-3</v>
      </c>
      <c r="P451">
        <v>0.97715189999999996</v>
      </c>
      <c r="Q451">
        <v>0.20640140000000001</v>
      </c>
      <c r="R451">
        <v>-5.0720500000000002E-2</v>
      </c>
      <c r="S451">
        <v>3.0689090000000001</v>
      </c>
      <c r="T451">
        <v>-2.7765270000000002E-2</v>
      </c>
      <c r="U451">
        <v>-0.13851930000000001</v>
      </c>
      <c r="V451">
        <v>5.381913E-2</v>
      </c>
      <c r="W451">
        <v>0.22033810000000001</v>
      </c>
      <c r="X451">
        <v>0.97393770000000002</v>
      </c>
      <c r="Y451">
        <v>4.8244450000000001E-2</v>
      </c>
      <c r="Z451">
        <v>-5.464434E-4</v>
      </c>
      <c r="AA451">
        <v>0.99883540000000004</v>
      </c>
      <c r="AB451">
        <v>41</v>
      </c>
      <c r="AC451">
        <v>123.65779999999999</v>
      </c>
      <c r="AD451">
        <v>-1.1210446767459901</v>
      </c>
      <c r="AE451">
        <v>-5.5935999999999799</v>
      </c>
      <c r="AF451">
        <v>5.9841616037805698</v>
      </c>
      <c r="AG451">
        <v>-1.1210446767459901</v>
      </c>
      <c r="AH451">
        <v>123.629351282621</v>
      </c>
      <c r="AI451">
        <v>90.518924191374694</v>
      </c>
      <c r="AJ451">
        <v>87.228814984204007</v>
      </c>
      <c r="AK451">
        <v>123.779172035643</v>
      </c>
      <c r="AL451">
        <v>77.271108129709901</v>
      </c>
      <c r="AM451">
        <v>86.837091274259706</v>
      </c>
      <c r="AN451">
        <v>1.0000000102734199</v>
      </c>
    </row>
    <row r="452" spans="1:40" x14ac:dyDescent="0.25">
      <c r="A452" t="str">
        <f>"20190303170950501"</f>
        <v>20190303170950501</v>
      </c>
      <c r="B452" t="str">
        <f>"1551604190491467"</f>
        <v>1551604190491467</v>
      </c>
      <c r="C452" t="s">
        <v>40</v>
      </c>
      <c r="D452">
        <v>4.4003579999999998</v>
      </c>
      <c r="E452">
        <v>0.50221590000000005</v>
      </c>
      <c r="F452" t="s">
        <v>44</v>
      </c>
      <c r="G452">
        <v>-208.9862</v>
      </c>
      <c r="H452" s="1">
        <v>-6.0968849999999998E-6</v>
      </c>
      <c r="I452">
        <v>362.24610000000001</v>
      </c>
      <c r="J452">
        <v>-331.02820000000003</v>
      </c>
      <c r="K452">
        <v>1.1210389999999999</v>
      </c>
      <c r="L452">
        <v>367.73919999999998</v>
      </c>
      <c r="M452">
        <v>0.99989289999999997</v>
      </c>
      <c r="N452">
        <v>-1.428695E-2</v>
      </c>
      <c r="O452">
        <v>3.1622909999999998E-3</v>
      </c>
      <c r="P452">
        <v>0.97720960000000001</v>
      </c>
      <c r="Q452">
        <v>0.20611380000000001</v>
      </c>
      <c r="R452">
        <v>-5.0778150000000001E-2</v>
      </c>
      <c r="S452">
        <v>3.0689389999999999</v>
      </c>
      <c r="T452">
        <v>-2.8118250000000001E-2</v>
      </c>
      <c r="U452">
        <v>-0.1377563</v>
      </c>
      <c r="V452">
        <v>5.3876880000000002E-2</v>
      </c>
      <c r="W452">
        <v>0.22004979999999999</v>
      </c>
      <c r="X452">
        <v>0.97399970000000002</v>
      </c>
      <c r="Y452">
        <v>4.7996150000000001E-2</v>
      </c>
      <c r="Z452">
        <v>-5.466278E-4</v>
      </c>
      <c r="AA452">
        <v>0.99884740000000005</v>
      </c>
      <c r="AB452">
        <v>41</v>
      </c>
      <c r="AC452">
        <v>122.042</v>
      </c>
      <c r="AD452">
        <v>-1.1210450968850001</v>
      </c>
      <c r="AE452">
        <v>-5.4930999999999699</v>
      </c>
      <c r="AF452">
        <v>5.8785492388605203</v>
      </c>
      <c r="AG452">
        <v>-1.1210450968850001</v>
      </c>
      <c r="AH452">
        <v>122.01374268369</v>
      </c>
      <c r="AI452">
        <v>90.525800875801394</v>
      </c>
      <c r="AJ452">
        <v>87.241656521301195</v>
      </c>
      <c r="AK452">
        <v>122.160417021819</v>
      </c>
      <c r="AL452">
        <v>77.288042308248194</v>
      </c>
      <c r="AM452">
        <v>86.833905393935297</v>
      </c>
      <c r="AN452">
        <v>1.0000000241393301</v>
      </c>
    </row>
    <row r="453" spans="1:40" x14ac:dyDescent="0.25">
      <c r="A453" t="str">
        <f>"20190303170950515"</f>
        <v>20190303170950515</v>
      </c>
      <c r="B453" t="str">
        <f>"1551604190501227"</f>
        <v>1551604190501227</v>
      </c>
      <c r="C453" t="s">
        <v>40</v>
      </c>
      <c r="D453">
        <v>4.3815419999999996</v>
      </c>
      <c r="E453">
        <v>0.50221939999999998</v>
      </c>
      <c r="F453" t="s">
        <v>42</v>
      </c>
      <c r="G453">
        <v>-214.1994</v>
      </c>
      <c r="H453" s="1">
        <v>-3.8427100000000003E-6</v>
      </c>
      <c r="I453">
        <v>362.54070000000002</v>
      </c>
      <c r="J453">
        <v>-330.76069999999999</v>
      </c>
      <c r="K453">
        <v>1.12104</v>
      </c>
      <c r="L453">
        <v>367.74009999999998</v>
      </c>
      <c r="M453">
        <v>0.99989309999999998</v>
      </c>
      <c r="N453">
        <v>-1.42855E-2</v>
      </c>
      <c r="O453">
        <v>3.1623010000000002E-3</v>
      </c>
      <c r="P453">
        <v>0.97715370000000001</v>
      </c>
      <c r="Q453">
        <v>0.20640430000000001</v>
      </c>
      <c r="R453">
        <v>-5.0675650000000003E-2</v>
      </c>
      <c r="S453">
        <v>3.0691220000000001</v>
      </c>
      <c r="T453">
        <v>-2.945006E-2</v>
      </c>
      <c r="U453">
        <v>-0.1365662</v>
      </c>
      <c r="V453">
        <v>5.377444E-2</v>
      </c>
      <c r="W453">
        <v>0.22033820000000001</v>
      </c>
      <c r="X453">
        <v>0.97394009999999998</v>
      </c>
      <c r="Y453">
        <v>4.7606620000000002E-2</v>
      </c>
      <c r="Z453">
        <v>-5.5370989999999998E-4</v>
      </c>
      <c r="AA453">
        <v>0.99886600000000003</v>
      </c>
      <c r="AB453">
        <v>41</v>
      </c>
      <c r="AC453">
        <v>116.5613</v>
      </c>
      <c r="AD453">
        <v>-1.12104384271</v>
      </c>
      <c r="AE453">
        <v>-5.1993999999999598</v>
      </c>
      <c r="AF453">
        <v>5.5674995121888298</v>
      </c>
      <c r="AG453">
        <v>-1.12104384271</v>
      </c>
      <c r="AH453">
        <v>116.53351550795399</v>
      </c>
      <c r="AI453">
        <v>90.550536266343698</v>
      </c>
      <c r="AJ453">
        <v>87.264719517806299</v>
      </c>
      <c r="AK453">
        <v>116.67182190554</v>
      </c>
      <c r="AL453">
        <v>77.271101677354906</v>
      </c>
      <c r="AM453">
        <v>86.839720117016995</v>
      </c>
      <c r="AN453">
        <v>0.99999996558228099</v>
      </c>
    </row>
    <row r="454" spans="1:40" x14ac:dyDescent="0.25">
      <c r="A454" t="str">
        <f>"20190303170950533"</f>
        <v>20190303170950533</v>
      </c>
      <c r="B454" t="str">
        <f>"1551604190520747"</f>
        <v>1551604190520747</v>
      </c>
      <c r="C454" t="s">
        <v>40</v>
      </c>
      <c r="D454">
        <v>4.4876950000000004</v>
      </c>
      <c r="E454">
        <v>0.50211450000000002</v>
      </c>
      <c r="F454" t="s">
        <v>44</v>
      </c>
      <c r="G454">
        <v>-209.07149999999999</v>
      </c>
      <c r="H454" s="1">
        <v>-6.1098590000000001E-6</v>
      </c>
      <c r="I454">
        <v>362.3458</v>
      </c>
      <c r="J454">
        <v>-330.44319999999999</v>
      </c>
      <c r="K454">
        <v>1.1210389999999999</v>
      </c>
      <c r="L454">
        <v>367.74110000000002</v>
      </c>
      <c r="M454">
        <v>0.99989309999999998</v>
      </c>
      <c r="N454">
        <v>-1.4283580000000001E-2</v>
      </c>
      <c r="O454">
        <v>3.1623139999999998E-3</v>
      </c>
      <c r="P454">
        <v>0.97709559999999995</v>
      </c>
      <c r="Q454">
        <v>0.2065342</v>
      </c>
      <c r="R454">
        <v>-5.12651999999999E-2</v>
      </c>
      <c r="S454">
        <v>3.069061</v>
      </c>
      <c r="T454">
        <v>-2.8273340000000001E-2</v>
      </c>
      <c r="U454">
        <v>-0.13604740000000001</v>
      </c>
      <c r="V454">
        <v>5.4363660000000001E-2</v>
      </c>
      <c r="W454">
        <v>0.2204651</v>
      </c>
      <c r="X454">
        <v>0.97387869999999999</v>
      </c>
      <c r="Y454">
        <v>4.7439309999999998E-2</v>
      </c>
      <c r="Z454">
        <v>-5.4137480000000001E-4</v>
      </c>
      <c r="AA454">
        <v>0.99887389999999998</v>
      </c>
      <c r="AB454">
        <v>41</v>
      </c>
      <c r="AC454">
        <v>121.3717</v>
      </c>
      <c r="AD454">
        <v>-1.121045109859</v>
      </c>
      <c r="AE454">
        <v>-5.3953000000000104</v>
      </c>
      <c r="AF454">
        <v>5.77863554190633</v>
      </c>
      <c r="AG454">
        <v>-1.121045109859</v>
      </c>
      <c r="AH454">
        <v>121.343697944939</v>
      </c>
      <c r="AI454">
        <v>90.528718206526605</v>
      </c>
      <c r="AJ454">
        <v>87.273517422817704</v>
      </c>
      <c r="AK454">
        <v>121.48638772231701</v>
      </c>
      <c r="AL454">
        <v>77.2636479214801</v>
      </c>
      <c r="AM454">
        <v>86.804962477459298</v>
      </c>
      <c r="AN454">
        <v>0.99999999508014703</v>
      </c>
    </row>
    <row r="455" spans="1:40" x14ac:dyDescent="0.25">
      <c r="A455" t="str">
        <f>"20190303170950548"</f>
        <v>20190303170950548</v>
      </c>
      <c r="B455" t="str">
        <f>"1551604190541245"</f>
        <v>1551604190541245</v>
      </c>
      <c r="C455" t="s">
        <v>40</v>
      </c>
      <c r="D455">
        <v>4.4058769999999896</v>
      </c>
      <c r="E455">
        <v>0.50209239999999999</v>
      </c>
      <c r="F455" t="s">
        <v>44</v>
      </c>
      <c r="G455">
        <v>-206.44120000000001</v>
      </c>
      <c r="H455" s="1">
        <v>-5.2525850000000001E-6</v>
      </c>
      <c r="I455">
        <v>362.19729999999998</v>
      </c>
      <c r="J455">
        <v>-330.18279999999999</v>
      </c>
      <c r="K455">
        <v>1.1210420000000001</v>
      </c>
      <c r="L455">
        <v>367.74189999999999</v>
      </c>
      <c r="M455">
        <v>0.99989300000000003</v>
      </c>
      <c r="N455">
        <v>-1.42818999999999E-2</v>
      </c>
      <c r="O455">
        <v>3.1625049999999999E-3</v>
      </c>
      <c r="P455">
        <v>0.977128</v>
      </c>
      <c r="Q455">
        <v>0.20638119999999999</v>
      </c>
      <c r="R455">
        <v>-5.1260159999999999E-2</v>
      </c>
      <c r="S455">
        <v>3.0689700000000002</v>
      </c>
      <c r="T455">
        <v>-2.774513E-2</v>
      </c>
      <c r="U455">
        <v>-0.137207</v>
      </c>
      <c r="V455">
        <v>5.4359039999999997E-2</v>
      </c>
      <c r="W455">
        <v>0.22031120000000001</v>
      </c>
      <c r="X455">
        <v>0.97391380000000005</v>
      </c>
      <c r="Y455">
        <v>4.7817610000000003E-2</v>
      </c>
      <c r="Z455">
        <v>-5.4113529999999998E-4</v>
      </c>
      <c r="AA455">
        <v>0.99885590000000002</v>
      </c>
      <c r="AB455">
        <v>41</v>
      </c>
      <c r="AC455">
        <v>123.741599999999</v>
      </c>
      <c r="AD455">
        <v>-1.1210472525849999</v>
      </c>
      <c r="AE455">
        <v>-5.5446</v>
      </c>
      <c r="AF455">
        <v>5.9354594327302799</v>
      </c>
      <c r="AG455">
        <v>-1.1210472525849999</v>
      </c>
      <c r="AH455">
        <v>123.71331090852701</v>
      </c>
      <c r="AI455">
        <v>90.518583861268297</v>
      </c>
      <c r="AJ455">
        <v>87.253196137620904</v>
      </c>
      <c r="AK455">
        <v>123.86068674753101</v>
      </c>
      <c r="AL455">
        <v>77.272688210064302</v>
      </c>
      <c r="AM455">
        <v>86.8053483410078</v>
      </c>
      <c r="AN455">
        <v>1.0000000099527999</v>
      </c>
    </row>
    <row r="456" spans="1:40" x14ac:dyDescent="0.25">
      <c r="A456" t="str">
        <f>"20190303170950561"</f>
        <v>20190303170950561</v>
      </c>
      <c r="B456" t="str">
        <f>"1551604190551003"</f>
        <v>1551604190551003</v>
      </c>
      <c r="C456" t="s">
        <v>40</v>
      </c>
      <c r="D456">
        <v>4.3788929999999997</v>
      </c>
      <c r="E456">
        <v>0.50208529999999996</v>
      </c>
      <c r="F456" t="s">
        <v>42</v>
      </c>
      <c r="G456">
        <v>-210.94579999999999</v>
      </c>
      <c r="H456" s="1">
        <v>-5.1399590000000003E-6</v>
      </c>
      <c r="I456">
        <v>362.4375</v>
      </c>
      <c r="J456">
        <v>-329.92649999999998</v>
      </c>
      <c r="K456">
        <v>1.1210420000000001</v>
      </c>
      <c r="L456">
        <v>367.74279999999999</v>
      </c>
      <c r="M456">
        <v>0.99989309999999998</v>
      </c>
      <c r="N456">
        <v>-1.428021E-2</v>
      </c>
      <c r="O456">
        <v>3.1625170000000001E-3</v>
      </c>
      <c r="P456">
        <v>0.97713899999999998</v>
      </c>
      <c r="Q456">
        <v>0.20622380000000001</v>
      </c>
      <c r="R456">
        <v>-5.168259E-2</v>
      </c>
      <c r="S456">
        <v>3.069153</v>
      </c>
      <c r="T456">
        <v>-2.8855680000000002E-2</v>
      </c>
      <c r="U456">
        <v>-0.13653560000000001</v>
      </c>
      <c r="V456">
        <v>5.4781570000000002E-2</v>
      </c>
      <c r="W456">
        <v>0.22015209999999999</v>
      </c>
      <c r="X456">
        <v>0.97392610000000002</v>
      </c>
      <c r="Y456">
        <v>4.7596640000000003E-2</v>
      </c>
      <c r="Z456">
        <v>-5.4825920000000001E-4</v>
      </c>
      <c r="AA456">
        <v>0.99886649999999999</v>
      </c>
      <c r="AB456">
        <v>41</v>
      </c>
      <c r="AC456">
        <v>118.980699999999</v>
      </c>
      <c r="AD456">
        <v>-1.1210471399590001</v>
      </c>
      <c r="AE456">
        <v>-5.3052999999999804</v>
      </c>
      <c r="AF456">
        <v>5.6810869542232396</v>
      </c>
      <c r="AG456">
        <v>-1.1210471399590001</v>
      </c>
      <c r="AH456">
        <v>118.95278589516499</v>
      </c>
      <c r="AI456">
        <v>90.539342105523204</v>
      </c>
      <c r="AJ456">
        <v>87.265678499189207</v>
      </c>
      <c r="AK456">
        <v>119.093647050934</v>
      </c>
      <c r="AL456">
        <v>77.282033389231003</v>
      </c>
      <c r="AM456">
        <v>86.780609086558201</v>
      </c>
      <c r="AN456">
        <v>1.00000000790364</v>
      </c>
    </row>
    <row r="457" spans="1:40" x14ac:dyDescent="0.25">
      <c r="A457" t="str">
        <f>"20190303170950579"</f>
        <v>20190303170950579</v>
      </c>
      <c r="B457" t="str">
        <f>"1551604190570523"</f>
        <v>1551604190570523</v>
      </c>
      <c r="C457" t="s">
        <v>40</v>
      </c>
      <c r="D457">
        <v>4.4012359999999999</v>
      </c>
      <c r="E457">
        <v>0.50212219999999996</v>
      </c>
      <c r="F457" t="s">
        <v>42</v>
      </c>
      <c r="G457">
        <v>-211.6439</v>
      </c>
      <c r="H457" s="1">
        <v>-4.8455740000000004E-6</v>
      </c>
      <c r="I457">
        <v>362.40879999999999</v>
      </c>
      <c r="J457">
        <v>-329.61810000000003</v>
      </c>
      <c r="K457">
        <v>1.1210329999999999</v>
      </c>
      <c r="L457">
        <v>367.74369999999999</v>
      </c>
      <c r="M457">
        <v>0.99989309999999998</v>
      </c>
      <c r="N457">
        <v>-1.427817E-2</v>
      </c>
      <c r="O457">
        <v>3.16271E-3</v>
      </c>
      <c r="P457">
        <v>0.97722889999999996</v>
      </c>
      <c r="Q457">
        <v>0.20595939999999999</v>
      </c>
      <c r="R457">
        <v>-5.1036610000000003E-2</v>
      </c>
      <c r="S457">
        <v>3.069</v>
      </c>
      <c r="T457">
        <v>-2.908707E-2</v>
      </c>
      <c r="U457">
        <v>-0.1383972</v>
      </c>
      <c r="V457">
        <v>5.4135719999999998E-2</v>
      </c>
      <c r="W457">
        <v>0.219887</v>
      </c>
      <c r="X457">
        <v>0.9740221</v>
      </c>
      <c r="Y457">
        <v>4.8203570000000001E-2</v>
      </c>
      <c r="Z457">
        <v>-5.5747230000000004E-4</v>
      </c>
      <c r="AA457">
        <v>0.99883739999999999</v>
      </c>
      <c r="AB457">
        <v>41</v>
      </c>
      <c r="AC457">
        <v>117.9742</v>
      </c>
      <c r="AD457">
        <v>-1.121037845574</v>
      </c>
      <c r="AE457">
        <v>-5.3349000000000002</v>
      </c>
      <c r="AF457">
        <v>5.7075152070602098</v>
      </c>
      <c r="AG457">
        <v>-1.121037845574</v>
      </c>
      <c r="AH457">
        <v>117.946107107456</v>
      </c>
      <c r="AI457">
        <v>90.543924166010697</v>
      </c>
      <c r="AJ457">
        <v>87.229568289634798</v>
      </c>
      <c r="AK457">
        <v>118.08944337871</v>
      </c>
      <c r="AL457">
        <v>77.297604080806494</v>
      </c>
      <c r="AM457">
        <v>86.818798745697293</v>
      </c>
      <c r="AN457">
        <v>1.0000000101186599</v>
      </c>
    </row>
    <row r="458" spans="1:40" x14ac:dyDescent="0.25">
      <c r="A458" t="str">
        <f>"20190303170950592"</f>
        <v>20190303170950592</v>
      </c>
      <c r="B458" t="str">
        <f>"1551604190581259"</f>
        <v>1551604190581259</v>
      </c>
      <c r="C458" t="s">
        <v>40</v>
      </c>
      <c r="D458">
        <v>4.393586</v>
      </c>
      <c r="E458">
        <v>0.50212290000000004</v>
      </c>
      <c r="F458" t="s">
        <v>42</v>
      </c>
      <c r="G458">
        <v>-217.18680000000001</v>
      </c>
      <c r="H458" s="1">
        <v>-2.7802410000000002E-6</v>
      </c>
      <c r="I458">
        <v>362.7131</v>
      </c>
      <c r="J458">
        <v>-329.3501</v>
      </c>
      <c r="K458">
        <v>1.1210359999999999</v>
      </c>
      <c r="L458">
        <v>367.74459999999999</v>
      </c>
      <c r="M458">
        <v>0.99989320000000004</v>
      </c>
      <c r="N458">
        <v>-1.427643E-2</v>
      </c>
      <c r="O458">
        <v>3.1627220000000002E-3</v>
      </c>
      <c r="P458">
        <v>0.97733369999999997</v>
      </c>
      <c r="Q458">
        <v>0.20554059999999999</v>
      </c>
      <c r="R458">
        <v>-5.071925E-2</v>
      </c>
      <c r="S458">
        <v>3.0691830000000002</v>
      </c>
      <c r="T458">
        <v>-3.0602339999999999E-2</v>
      </c>
      <c r="U458">
        <v>-0.13732910000000001</v>
      </c>
      <c r="V458">
        <v>5.3818779999999997E-2</v>
      </c>
      <c r="W458">
        <v>0.21946830000000001</v>
      </c>
      <c r="X458">
        <v>0.9741341</v>
      </c>
      <c r="Y458">
        <v>4.7853630000000001E-2</v>
      </c>
      <c r="Z458">
        <v>-5.6663069999999996E-4</v>
      </c>
      <c r="AA458">
        <v>0.99885420000000003</v>
      </c>
      <c r="AB458">
        <v>41</v>
      </c>
      <c r="AC458">
        <v>112.16330000000001</v>
      </c>
      <c r="AD458">
        <v>-1.121038780241</v>
      </c>
      <c r="AE458">
        <v>-5.0314999999999896</v>
      </c>
      <c r="AF458">
        <v>5.3857153618155298</v>
      </c>
      <c r="AG458">
        <v>-1.121038780241</v>
      </c>
      <c r="AH458">
        <v>112.135644864158</v>
      </c>
      <c r="AI458">
        <v>90.572116961322394</v>
      </c>
      <c r="AJ458">
        <v>87.250278291347001</v>
      </c>
      <c r="AK458">
        <v>112.270501499752</v>
      </c>
      <c r="AL458">
        <v>77.322194636932295</v>
      </c>
      <c r="AM458">
        <v>86.837748192958998</v>
      </c>
      <c r="AN458">
        <v>1.0000000202841901</v>
      </c>
    </row>
    <row r="459" spans="1:40" x14ac:dyDescent="0.25">
      <c r="A459" t="str">
        <f>"20190303170950611"</f>
        <v>20190303170950611</v>
      </c>
      <c r="B459" t="str">
        <f>"1551604190600779"</f>
        <v>1551604190600779</v>
      </c>
      <c r="C459" t="s">
        <v>40</v>
      </c>
      <c r="D459">
        <v>4.4015380000000004</v>
      </c>
      <c r="E459">
        <v>0.50211019999999995</v>
      </c>
      <c r="F459" t="s">
        <v>42</v>
      </c>
      <c r="G459">
        <v>-221.48070000000001</v>
      </c>
      <c r="H459" s="1">
        <v>-4.8195460000000002E-6</v>
      </c>
      <c r="I459">
        <v>362.95030000000003</v>
      </c>
      <c r="J459">
        <v>-329.02449999999999</v>
      </c>
      <c r="K459">
        <v>1.121038</v>
      </c>
      <c r="L459">
        <v>367.74560000000002</v>
      </c>
      <c r="M459">
        <v>0.99989320000000004</v>
      </c>
      <c r="N459">
        <v>-1.427431E-2</v>
      </c>
      <c r="O459">
        <v>3.1628559999999999E-3</v>
      </c>
      <c r="P459">
        <v>0.97735910000000004</v>
      </c>
      <c r="Q459">
        <v>0.2054984</v>
      </c>
      <c r="R459">
        <v>-5.0396900000000001E-2</v>
      </c>
      <c r="S459">
        <v>3.0692439999999999</v>
      </c>
      <c r="T459">
        <v>-3.1897309999999998E-2</v>
      </c>
      <c r="U459">
        <v>-0.1364136</v>
      </c>
      <c r="V459">
        <v>5.3497019999999999E-2</v>
      </c>
      <c r="W459">
        <v>0.21942410000000001</v>
      </c>
      <c r="X459">
        <v>0.97416170000000002</v>
      </c>
      <c r="Y459">
        <v>4.7555220000000002E-2</v>
      </c>
      <c r="Z459">
        <v>-5.7432350000000002E-4</v>
      </c>
      <c r="AA459">
        <v>0.99886850000000005</v>
      </c>
      <c r="AB459">
        <v>41</v>
      </c>
      <c r="AC459">
        <v>107.543799999999</v>
      </c>
      <c r="AD459">
        <v>-1.121042819546</v>
      </c>
      <c r="AE459">
        <v>-4.7952999999999903</v>
      </c>
      <c r="AF459">
        <v>5.1348993363325501</v>
      </c>
      <c r="AG459">
        <v>-1.121042819546</v>
      </c>
      <c r="AH459">
        <v>107.516433925851</v>
      </c>
      <c r="AI459">
        <v>90.596704817879996</v>
      </c>
      <c r="AJ459">
        <v>87.265676839983996</v>
      </c>
      <c r="AK459">
        <v>107.644821019543</v>
      </c>
      <c r="AL459">
        <v>77.324789377473607</v>
      </c>
      <c r="AM459">
        <v>86.856704828301304</v>
      </c>
      <c r="AN459">
        <v>0.99999994227828803</v>
      </c>
    </row>
    <row r="460" spans="1:40" x14ac:dyDescent="0.25">
      <c r="A460" t="str">
        <f>"20190303170950625"</f>
        <v>20190303170950625</v>
      </c>
      <c r="B460" t="str">
        <f>"1551604190610540"</f>
        <v>1551604190610540</v>
      </c>
      <c r="C460" t="s">
        <v>40</v>
      </c>
      <c r="D460">
        <v>4.542529</v>
      </c>
      <c r="E460">
        <v>0.50212349999999994</v>
      </c>
      <c r="F460" t="s">
        <v>42</v>
      </c>
      <c r="G460">
        <v>-221.12809999999999</v>
      </c>
      <c r="H460" s="1">
        <v>-4.9613000000000003E-6</v>
      </c>
      <c r="I460">
        <v>363.00369999999998</v>
      </c>
      <c r="J460">
        <v>-328.80090000000001</v>
      </c>
      <c r="K460">
        <v>1.1210389999999999</v>
      </c>
      <c r="L460">
        <v>367.74630000000002</v>
      </c>
      <c r="M460">
        <v>0.99989329999999998</v>
      </c>
      <c r="N460">
        <v>-1.427285E-2</v>
      </c>
      <c r="O460">
        <v>3.1628659999999999E-3</v>
      </c>
      <c r="P460">
        <v>0.97730649999999997</v>
      </c>
      <c r="Q460">
        <v>0.20579220000000001</v>
      </c>
      <c r="R460">
        <v>-5.0215210000000003E-2</v>
      </c>
      <c r="S460">
        <v>3.0692140000000001</v>
      </c>
      <c r="T460">
        <v>-3.188908E-2</v>
      </c>
      <c r="U460">
        <v>-0.1348877</v>
      </c>
      <c r="V460">
        <v>5.3315080000000001E-2</v>
      </c>
      <c r="W460">
        <v>0.2197162</v>
      </c>
      <c r="X460">
        <v>0.97410589999999997</v>
      </c>
      <c r="Y460">
        <v>4.7060110000000002E-2</v>
      </c>
      <c r="Z460">
        <v>-5.6811649999999997E-4</v>
      </c>
      <c r="AA460">
        <v>0.99889190000000005</v>
      </c>
      <c r="AB460">
        <v>40</v>
      </c>
      <c r="AC460">
        <v>107.6728</v>
      </c>
      <c r="AD460">
        <v>-1.1210439612999901</v>
      </c>
      <c r="AE460">
        <v>-4.7426000000000403</v>
      </c>
      <c r="AF460">
        <v>5.0826156548943002</v>
      </c>
      <c r="AG460">
        <v>-1.1210439612999901</v>
      </c>
      <c r="AH460">
        <v>107.64561329391699</v>
      </c>
      <c r="AI460">
        <v>90.596004738071599</v>
      </c>
      <c r="AJ460">
        <v>87.296719305024197</v>
      </c>
      <c r="AK460">
        <v>107.77136810341599</v>
      </c>
      <c r="AL460">
        <v>77.307635461382404</v>
      </c>
      <c r="AM460">
        <v>86.867194560082893</v>
      </c>
      <c r="AN460">
        <v>1.0000000053563201</v>
      </c>
    </row>
    <row r="461" spans="1:40" x14ac:dyDescent="0.25">
      <c r="A461" t="str">
        <f>"20190303170950637"</f>
        <v>20190303170950637</v>
      </c>
      <c r="B461" t="str">
        <f>"1551604190631036"</f>
        <v>1551604190631036</v>
      </c>
      <c r="C461" t="s">
        <v>40</v>
      </c>
      <c r="D461">
        <v>4.546996</v>
      </c>
      <c r="E461">
        <v>0.50209510000000002</v>
      </c>
      <c r="F461" t="s">
        <v>42</v>
      </c>
      <c r="G461">
        <v>-215.6438</v>
      </c>
      <c r="H461" s="1">
        <v>-3.2860559999999998E-6</v>
      </c>
      <c r="I461">
        <v>362.78550000000001</v>
      </c>
      <c r="J461">
        <v>-328.548</v>
      </c>
      <c r="K461">
        <v>1.121041</v>
      </c>
      <c r="L461">
        <v>367.74720000000002</v>
      </c>
      <c r="M461">
        <v>0.99989329999999998</v>
      </c>
      <c r="N461">
        <v>-1.4271209999999999E-2</v>
      </c>
      <c r="O461">
        <v>3.162878E-3</v>
      </c>
      <c r="P461">
        <v>0.97724569999999999</v>
      </c>
      <c r="Q461">
        <v>0.20613409999999999</v>
      </c>
      <c r="R461">
        <v>-4.9997029999999998E-2</v>
      </c>
      <c r="S461">
        <v>3.0691220000000001</v>
      </c>
      <c r="T461">
        <v>-3.0405640000000001E-2</v>
      </c>
      <c r="U461">
        <v>-0.134552</v>
      </c>
      <c r="V461">
        <v>5.3096789999999998E-2</v>
      </c>
      <c r="W461">
        <v>0.22005530000000001</v>
      </c>
      <c r="X461">
        <v>0.9740413</v>
      </c>
      <c r="Y461">
        <v>4.6952769999999998E-2</v>
      </c>
      <c r="Z461">
        <v>-5.5389709999999995E-4</v>
      </c>
      <c r="AA461">
        <v>0.99889700000000003</v>
      </c>
      <c r="AB461">
        <v>40</v>
      </c>
      <c r="AC461">
        <v>112.9042</v>
      </c>
      <c r="AD461">
        <v>-1.1210442860559999</v>
      </c>
      <c r="AE461">
        <v>-4.9617000000000004</v>
      </c>
      <c r="AF461">
        <v>5.3182903968624897</v>
      </c>
      <c r="AG461">
        <v>-1.1210442860559999</v>
      </c>
      <c r="AH461">
        <v>112.876833416501</v>
      </c>
      <c r="AI461">
        <v>90.568387902006293</v>
      </c>
      <c r="AJ461">
        <v>87.302454324124298</v>
      </c>
      <c r="AK461">
        <v>113.007612465591</v>
      </c>
      <c r="AL461">
        <v>77.287719327572404</v>
      </c>
      <c r="AM461">
        <v>86.879789418539005</v>
      </c>
      <c r="AN461">
        <v>1.00000002913604</v>
      </c>
    </row>
    <row r="462" spans="1:40" x14ac:dyDescent="0.25">
      <c r="A462" t="str">
        <f>"20190303170950650"</f>
        <v>20190303170950650</v>
      </c>
      <c r="B462" t="str">
        <f>"1551604190640796"</f>
        <v>1551604190640796</v>
      </c>
      <c r="C462" t="s">
        <v>40</v>
      </c>
      <c r="D462">
        <v>4.2972299999999999</v>
      </c>
      <c r="E462">
        <v>0.5021099</v>
      </c>
      <c r="F462" t="s">
        <v>44</v>
      </c>
      <c r="G462">
        <v>-207.2244</v>
      </c>
      <c r="H462" s="1">
        <v>-5.4739919999999901E-6</v>
      </c>
      <c r="I462">
        <v>362.45819999999998</v>
      </c>
      <c r="J462">
        <v>-328.31139999999999</v>
      </c>
      <c r="K462">
        <v>1.1210450000000001</v>
      </c>
      <c r="L462">
        <v>367.74790000000002</v>
      </c>
      <c r="M462">
        <v>0.99989329999999998</v>
      </c>
      <c r="N462">
        <v>-1.4269769999999999E-2</v>
      </c>
      <c r="O462">
        <v>3.1630669999999999E-3</v>
      </c>
      <c r="P462">
        <v>0.97720320000000005</v>
      </c>
      <c r="Q462">
        <v>0.20634949999999999</v>
      </c>
      <c r="R462">
        <v>-4.9940680000000001E-2</v>
      </c>
      <c r="S462">
        <v>3.069</v>
      </c>
      <c r="T462">
        <v>-2.8357980000000001E-2</v>
      </c>
      <c r="U462">
        <v>-0.13378909999999999</v>
      </c>
      <c r="V462">
        <v>5.3040289999999997E-2</v>
      </c>
      <c r="W462">
        <v>0.2202684</v>
      </c>
      <c r="X462">
        <v>0.97399619999999998</v>
      </c>
      <c r="Y462">
        <v>4.6707400000000003E-2</v>
      </c>
      <c r="Z462">
        <v>-5.3322570000000004E-4</v>
      </c>
      <c r="AA462">
        <v>0.99890849999999998</v>
      </c>
      <c r="AB462">
        <v>40</v>
      </c>
      <c r="AC462">
        <v>121.087</v>
      </c>
      <c r="AD462">
        <v>-1.121050473992</v>
      </c>
      <c r="AE462">
        <v>-5.28970000000003</v>
      </c>
      <c r="AF462">
        <v>5.6722335135230804</v>
      </c>
      <c r="AG462">
        <v>-1.121050473992</v>
      </c>
      <c r="AH462">
        <v>121.059303963975</v>
      </c>
      <c r="AI462">
        <v>90.529981901998895</v>
      </c>
      <c r="AJ462">
        <v>87.317368326864099</v>
      </c>
      <c r="AK462">
        <v>121.197302211886</v>
      </c>
      <c r="AL462">
        <v>77.2752023447363</v>
      </c>
      <c r="AM462">
        <v>86.882959026799199</v>
      </c>
      <c r="AN462">
        <v>1.00000001900814</v>
      </c>
    </row>
    <row r="463" spans="1:40" x14ac:dyDescent="0.25">
      <c r="A463" t="str">
        <f>"20190303170950667"</f>
        <v>20190303170950667</v>
      </c>
      <c r="B463" t="str">
        <f>"1551604190661292"</f>
        <v>1551604190661292</v>
      </c>
      <c r="C463" t="s">
        <v>40</v>
      </c>
      <c r="D463">
        <v>4.4907680000000001</v>
      </c>
      <c r="E463">
        <v>0.50211300000000003</v>
      </c>
      <c r="F463" t="s">
        <v>44</v>
      </c>
      <c r="G463">
        <v>-202.7843</v>
      </c>
      <c r="H463" s="1">
        <v>-3.4670349999999999E-6</v>
      </c>
      <c r="I463">
        <v>362.27809999999999</v>
      </c>
      <c r="J463">
        <v>-328.01639999999998</v>
      </c>
      <c r="K463">
        <v>1.121048</v>
      </c>
      <c r="L463">
        <v>367.74880000000002</v>
      </c>
      <c r="M463">
        <v>0.99989329999999998</v>
      </c>
      <c r="N463">
        <v>-1.426797E-2</v>
      </c>
      <c r="O463">
        <v>3.1632589999999999E-3</v>
      </c>
      <c r="P463">
        <v>0.97713620000000001</v>
      </c>
      <c r="Q463">
        <v>0.20671120000000001</v>
      </c>
      <c r="R463">
        <v>-4.9758110000000001E-2</v>
      </c>
      <c r="S463">
        <v>3.0689389999999999</v>
      </c>
      <c r="T463">
        <v>-2.7407879999999999E-2</v>
      </c>
      <c r="U463">
        <v>-0.13372800000000001</v>
      </c>
      <c r="V463">
        <v>5.2857790000000002E-2</v>
      </c>
      <c r="W463">
        <v>0.2206275</v>
      </c>
      <c r="X463">
        <v>0.97392480000000003</v>
      </c>
      <c r="Y463">
        <v>4.6688849999999997E-2</v>
      </c>
      <c r="Z463">
        <v>-5.2477229999999995E-4</v>
      </c>
      <c r="AA463">
        <v>0.99890939999999995</v>
      </c>
      <c r="AB463">
        <v>40</v>
      </c>
      <c r="AC463">
        <v>125.23209999999899</v>
      </c>
      <c r="AD463">
        <v>-1.121051467035</v>
      </c>
      <c r="AE463">
        <v>-5.4707000000000203</v>
      </c>
      <c r="AF463">
        <v>5.8663852768403304</v>
      </c>
      <c r="AG463">
        <v>-1.121051467035</v>
      </c>
      <c r="AH463">
        <v>125.204152253115</v>
      </c>
      <c r="AI463">
        <v>90.512438416068804</v>
      </c>
      <c r="AJ463">
        <v>87.317393485205599</v>
      </c>
      <c r="AK463">
        <v>125.346523581746</v>
      </c>
      <c r="AL463">
        <v>77.254107962369105</v>
      </c>
      <c r="AM463">
        <v>86.893435756040205</v>
      </c>
      <c r="AN463">
        <v>0.99999997788748696</v>
      </c>
    </row>
    <row r="464" spans="1:40" x14ac:dyDescent="0.25">
      <c r="A464" t="str">
        <f>"20190303170950681"</f>
        <v>20190303170950681</v>
      </c>
      <c r="B464" t="str">
        <f>"1551604190670582"</f>
        <v>1551604190670582</v>
      </c>
      <c r="C464" t="s">
        <v>40</v>
      </c>
      <c r="D464">
        <v>4.4176529999999996</v>
      </c>
      <c r="E464">
        <v>0.50212290000000004</v>
      </c>
      <c r="F464" t="s">
        <v>44</v>
      </c>
      <c r="G464">
        <v>-193.04249999999999</v>
      </c>
      <c r="H464" s="1">
        <v>-7.5634630000000001E-6</v>
      </c>
      <c r="I464">
        <v>361.86840000000001</v>
      </c>
      <c r="J464">
        <v>-327.77929999999998</v>
      </c>
      <c r="K464">
        <v>1.121051</v>
      </c>
      <c r="L464">
        <v>367.74950000000001</v>
      </c>
      <c r="M464">
        <v>0.99989320000000004</v>
      </c>
      <c r="N464">
        <v>-1.42665E-2</v>
      </c>
      <c r="O464">
        <v>3.1632689999999998E-3</v>
      </c>
      <c r="P464">
        <v>0.97710710000000001</v>
      </c>
      <c r="Q464">
        <v>0.20693520000000001</v>
      </c>
      <c r="R464">
        <v>-4.939172E-2</v>
      </c>
      <c r="S464">
        <v>3.0687869999999999</v>
      </c>
      <c r="T464">
        <v>-2.5488500000000001E-2</v>
      </c>
      <c r="U464">
        <v>-0.1336975</v>
      </c>
      <c r="V464">
        <v>5.2491200000000002E-2</v>
      </c>
      <c r="W464">
        <v>0.22084980000000001</v>
      </c>
      <c r="X464">
        <v>0.97389429999999999</v>
      </c>
      <c r="Y464">
        <v>4.6681559999999997E-2</v>
      </c>
      <c r="Z464">
        <v>-5.0809979999999998E-4</v>
      </c>
      <c r="AA464">
        <v>0.99890970000000001</v>
      </c>
      <c r="AB464">
        <v>40</v>
      </c>
      <c r="AC464">
        <v>134.73679999999999</v>
      </c>
      <c r="AD464">
        <v>-1.1210585634629999</v>
      </c>
      <c r="AE464">
        <v>-5.8811</v>
      </c>
      <c r="AF464">
        <v>6.3068869182300098</v>
      </c>
      <c r="AG464">
        <v>-1.1210585634629999</v>
      </c>
      <c r="AH464">
        <v>134.70821246211301</v>
      </c>
      <c r="AI464">
        <v>90.476289917896693</v>
      </c>
      <c r="AJ464">
        <v>87.319433542303997</v>
      </c>
      <c r="AK464">
        <v>134.860431927381</v>
      </c>
      <c r="AL464">
        <v>77.241049711139098</v>
      </c>
      <c r="AM464">
        <v>86.914842832815907</v>
      </c>
      <c r="AN464">
        <v>1.0000000339049799</v>
      </c>
    </row>
    <row r="465" spans="1:40" x14ac:dyDescent="0.25">
      <c r="A465" t="str">
        <f>"20190303170950695"</f>
        <v>20190303170950695</v>
      </c>
      <c r="B465" t="str">
        <f>"1551604190681318"</f>
        <v>1551604190681318</v>
      </c>
      <c r="C465" t="s">
        <v>40</v>
      </c>
      <c r="D465">
        <v>4.3189019999999996</v>
      </c>
      <c r="E465">
        <v>0.50213430000000003</v>
      </c>
      <c r="F465" t="s">
        <v>44</v>
      </c>
      <c r="G465">
        <v>-187.5771</v>
      </c>
      <c r="H465" s="1">
        <v>-6.1882149999999997E-6</v>
      </c>
      <c r="I465">
        <v>361.69159999999999</v>
      </c>
      <c r="J465">
        <v>-327.49869999999999</v>
      </c>
      <c r="K465">
        <v>1.1210530000000001</v>
      </c>
      <c r="L465">
        <v>367.75040000000001</v>
      </c>
      <c r="M465">
        <v>0.99989340000000004</v>
      </c>
      <c r="N465">
        <v>-1.426475E-2</v>
      </c>
      <c r="O465">
        <v>3.1632819999999999E-3</v>
      </c>
      <c r="P465">
        <v>0.97710589999999997</v>
      </c>
      <c r="Q465">
        <v>0.20691899999999999</v>
      </c>
      <c r="R465">
        <v>-4.9484859999999999E-2</v>
      </c>
      <c r="S465">
        <v>3.0687869999999999</v>
      </c>
      <c r="T465">
        <v>-2.4538040000000001E-2</v>
      </c>
      <c r="U465">
        <v>-0.13259889999999999</v>
      </c>
      <c r="V465">
        <v>5.2584510000000001E-2</v>
      </c>
      <c r="W465">
        <v>0.22083159999999999</v>
      </c>
      <c r="X465">
        <v>0.97389329999999996</v>
      </c>
      <c r="Y465">
        <v>4.6324869999999997E-2</v>
      </c>
      <c r="Z465">
        <v>-4.9588699999999998E-4</v>
      </c>
      <c r="AA465">
        <v>0.99892630000000004</v>
      </c>
      <c r="AB465">
        <v>40</v>
      </c>
      <c r="AC465">
        <v>139.92159999999899</v>
      </c>
      <c r="AD465">
        <v>-1.1210591882150001</v>
      </c>
      <c r="AE465">
        <v>-6.0588000000000104</v>
      </c>
      <c r="AF465">
        <v>6.5010095932809504</v>
      </c>
      <c r="AG465">
        <v>-1.1210591882150001</v>
      </c>
      <c r="AH465">
        <v>139.89276883533199</v>
      </c>
      <c r="AI465">
        <v>90.458646611545404</v>
      </c>
      <c r="AJ465">
        <v>87.339300469796299</v>
      </c>
      <c r="AK465">
        <v>140.04822980620301</v>
      </c>
      <c r="AL465">
        <v>77.242117713411702</v>
      </c>
      <c r="AM465">
        <v>86.909366016364601</v>
      </c>
      <c r="AN465">
        <v>0.99999994301769302</v>
      </c>
    </row>
    <row r="466" spans="1:40" x14ac:dyDescent="0.25">
      <c r="A466" t="str">
        <f>"20190303170950712"</f>
        <v>20190303170950712</v>
      </c>
      <c r="B466" t="str">
        <f>"1551604190700838"</f>
        <v>1551604190700838</v>
      </c>
      <c r="C466" t="s">
        <v>40</v>
      </c>
      <c r="D466">
        <v>4.4410290000000003</v>
      </c>
      <c r="E466">
        <v>0.50219049999999998</v>
      </c>
      <c r="F466" t="s">
        <v>44</v>
      </c>
      <c r="G466">
        <v>-186.03530000000001</v>
      </c>
      <c r="H466" s="1">
        <v>-6.251478E-6</v>
      </c>
      <c r="I466">
        <v>361.61939999999998</v>
      </c>
      <c r="J466">
        <v>-327.21039999999999</v>
      </c>
      <c r="K466">
        <v>1.121054</v>
      </c>
      <c r="L466">
        <v>367.75130000000001</v>
      </c>
      <c r="M466">
        <v>0.99989340000000004</v>
      </c>
      <c r="N466">
        <v>-1.426293E-2</v>
      </c>
      <c r="O466">
        <v>3.1634739999999999E-3</v>
      </c>
      <c r="P466">
        <v>0.97695449999999995</v>
      </c>
      <c r="Q466">
        <v>0.20758760000000001</v>
      </c>
      <c r="R466">
        <v>-4.9674839999999998E-2</v>
      </c>
      <c r="S466">
        <v>3.068695</v>
      </c>
      <c r="T466">
        <v>-2.4318579999999999E-2</v>
      </c>
      <c r="U466">
        <v>-0.13299559999999999</v>
      </c>
      <c r="V466">
        <v>5.2774179999999997E-2</v>
      </c>
      <c r="W466">
        <v>0.22149659999999999</v>
      </c>
      <c r="X466">
        <v>0.97373209999999999</v>
      </c>
      <c r="Y466">
        <v>4.6455290000000003E-2</v>
      </c>
      <c r="Z466">
        <v>-4.9542119999999997E-4</v>
      </c>
      <c r="AA466">
        <v>0.99892029999999998</v>
      </c>
      <c r="AB466">
        <v>40</v>
      </c>
      <c r="AC466">
        <v>141.17509999999999</v>
      </c>
      <c r="AD466">
        <v>-1.1210602514779999</v>
      </c>
      <c r="AE466">
        <v>-6.1319000000000301</v>
      </c>
      <c r="AF466">
        <v>6.5781044244468401</v>
      </c>
      <c r="AG466">
        <v>-1.1210602514779999</v>
      </c>
      <c r="AH466">
        <v>141.146109705187</v>
      </c>
      <c r="AI466">
        <v>90.454571732231997</v>
      </c>
      <c r="AJ466">
        <v>87.331665036657398</v>
      </c>
      <c r="AK466">
        <v>141.303759747627</v>
      </c>
      <c r="AL466">
        <v>77.203049666383293</v>
      </c>
      <c r="AM466">
        <v>86.897727475995296</v>
      </c>
      <c r="AN466">
        <v>1.0000000302283201</v>
      </c>
    </row>
    <row r="467" spans="1:40" x14ac:dyDescent="0.25">
      <c r="A467" t="str">
        <f>"20190303170950727"</f>
        <v>20190303170950727</v>
      </c>
      <c r="B467" t="str">
        <f>"1551604190721334"</f>
        <v>1551604190721334</v>
      </c>
      <c r="C467" t="s">
        <v>40</v>
      </c>
      <c r="D467">
        <v>4.4730059999999998</v>
      </c>
      <c r="E467">
        <v>0.50226119999999996</v>
      </c>
      <c r="F467" t="s">
        <v>44</v>
      </c>
      <c r="G467">
        <v>-179.97389999999999</v>
      </c>
      <c r="H467">
        <v>7.6089859999999995E-2</v>
      </c>
      <c r="I467">
        <v>361.32310000000001</v>
      </c>
      <c r="J467">
        <v>-326.95729999999998</v>
      </c>
      <c r="K467">
        <v>1.1210560000000001</v>
      </c>
      <c r="L467">
        <v>367.75209999999998</v>
      </c>
      <c r="M467">
        <v>0.99989340000000004</v>
      </c>
      <c r="N467">
        <v>-1.4261340000000001E-2</v>
      </c>
      <c r="O467">
        <v>3.1634850000000002E-3</v>
      </c>
      <c r="P467">
        <v>0.97689820000000005</v>
      </c>
      <c r="Q467">
        <v>0.20785729999999999</v>
      </c>
      <c r="R467">
        <v>-4.9653250000000003E-2</v>
      </c>
      <c r="S467">
        <v>3.0685730000000002</v>
      </c>
      <c r="T467">
        <v>-2.1778229999999999E-2</v>
      </c>
      <c r="U467">
        <v>-0.13397220000000001</v>
      </c>
      <c r="V467">
        <v>5.2752390000000003E-2</v>
      </c>
      <c r="W467">
        <v>0.2217635</v>
      </c>
      <c r="X467">
        <v>0.97367250000000005</v>
      </c>
      <c r="Y467">
        <v>4.6774839999999998E-2</v>
      </c>
      <c r="Z467">
        <v>-4.7697320000000002E-4</v>
      </c>
      <c r="AA467">
        <v>0.99890540000000005</v>
      </c>
      <c r="AB467">
        <v>40</v>
      </c>
      <c r="AC467">
        <v>146.98339999999999</v>
      </c>
      <c r="AD467">
        <v>-1.0449661400000001</v>
      </c>
      <c r="AE467">
        <v>-6.4289999999999701</v>
      </c>
      <c r="AF467">
        <v>6.8936470839445896</v>
      </c>
      <c r="AG467">
        <v>-1.0449661400000001</v>
      </c>
      <c r="AH467">
        <v>146.95491078293901</v>
      </c>
      <c r="AI467">
        <v>90.406964125087399</v>
      </c>
      <c r="AJ467">
        <v>87.314226915158102</v>
      </c>
      <c r="AK467">
        <v>147.12022338065299</v>
      </c>
      <c r="AL467">
        <v>77.187367036750402</v>
      </c>
      <c r="AM467">
        <v>86.898816430755303</v>
      </c>
      <c r="AN467">
        <v>1.0000000009196</v>
      </c>
    </row>
    <row r="468" spans="1:40" x14ac:dyDescent="0.25">
      <c r="A468" t="str">
        <f>"20190303170950745"</f>
        <v>20190303170950745</v>
      </c>
      <c r="B468" t="str">
        <f>"1551604190731094"</f>
        <v>1551604190731094</v>
      </c>
      <c r="C468" t="s">
        <v>40</v>
      </c>
      <c r="D468">
        <v>4.4448369999999997</v>
      </c>
      <c r="E468">
        <v>0.50229199999999996</v>
      </c>
      <c r="F468" t="s">
        <v>41</v>
      </c>
      <c r="G468">
        <v>-152.16040000000001</v>
      </c>
      <c r="H468">
        <v>-0.05</v>
      </c>
      <c r="I468">
        <v>360.10109999999997</v>
      </c>
      <c r="J468">
        <v>-326.60969999999998</v>
      </c>
      <c r="K468">
        <v>1.1210610000000001</v>
      </c>
      <c r="L468">
        <v>367.75319999999999</v>
      </c>
      <c r="M468">
        <v>0.99989349999999999</v>
      </c>
      <c r="N468">
        <v>-1.425918E-2</v>
      </c>
      <c r="O468">
        <v>3.163679E-3</v>
      </c>
      <c r="P468">
        <v>0.97682380000000002</v>
      </c>
      <c r="Q468">
        <v>0.2082619</v>
      </c>
      <c r="R468">
        <v>-4.9422569999999999E-2</v>
      </c>
      <c r="S468">
        <v>3.068451</v>
      </c>
      <c r="T468">
        <v>-2.055717E-2</v>
      </c>
      <c r="U468">
        <v>-0.13430790000000001</v>
      </c>
      <c r="V468">
        <v>5.2521760000000001E-2</v>
      </c>
      <c r="W468">
        <v>0.22216520000000001</v>
      </c>
      <c r="X468">
        <v>0.97359340000000005</v>
      </c>
      <c r="Y468">
        <v>4.6886079999999997E-2</v>
      </c>
      <c r="Z468">
        <v>-4.675406E-4</v>
      </c>
      <c r="AA468">
        <v>0.99890009999999996</v>
      </c>
      <c r="AB468">
        <v>40</v>
      </c>
      <c r="AC468">
        <v>174.449299999999</v>
      </c>
      <c r="AD468">
        <v>-1.1710609999999999</v>
      </c>
      <c r="AE468">
        <v>-7.6521000000000097</v>
      </c>
      <c r="AF468">
        <v>8.2036503340834592</v>
      </c>
      <c r="AG468">
        <v>-1.1710609999999999</v>
      </c>
      <c r="AH468">
        <v>174.41637091567301</v>
      </c>
      <c r="AI468">
        <v>90.384262968418099</v>
      </c>
      <c r="AJ468">
        <v>87.307085442290401</v>
      </c>
      <c r="AK468">
        <v>174.61312008569999</v>
      </c>
      <c r="AL468">
        <v>77.163762619491706</v>
      </c>
      <c r="AM468">
        <v>86.912097938778601</v>
      </c>
      <c r="AN468">
        <v>1.00000000994404</v>
      </c>
    </row>
    <row r="469" spans="1:40" x14ac:dyDescent="0.25">
      <c r="A469" t="str">
        <f>"20190303170950759"</f>
        <v>20190303170950759</v>
      </c>
      <c r="B469" t="str">
        <f>"1551604190750615"</f>
        <v>1551604190750615</v>
      </c>
      <c r="C469" t="s">
        <v>40</v>
      </c>
      <c r="D469">
        <v>4.3879349999999997</v>
      </c>
      <c r="E469">
        <v>0.50234860000000003</v>
      </c>
      <c r="F469" t="s">
        <v>45</v>
      </c>
      <c r="G469">
        <v>-158.19499999999999</v>
      </c>
      <c r="H469">
        <v>8.1650730000000005E-2</v>
      </c>
      <c r="I469">
        <v>360.39319999999998</v>
      </c>
      <c r="J469">
        <v>-326.36</v>
      </c>
      <c r="K469">
        <v>1.1210639999999901</v>
      </c>
      <c r="L469">
        <v>367.75400000000002</v>
      </c>
      <c r="M469">
        <v>0.99989340000000004</v>
      </c>
      <c r="N469">
        <v>-1.425764E-2</v>
      </c>
      <c r="O469">
        <v>3.1638690000000001E-3</v>
      </c>
      <c r="P469">
        <v>0.97678770000000004</v>
      </c>
      <c r="Q469">
        <v>0.2083942</v>
      </c>
      <c r="R469">
        <v>-4.9576919999999997E-2</v>
      </c>
      <c r="S469">
        <v>3.06839</v>
      </c>
      <c r="T469">
        <v>-1.893568E-2</v>
      </c>
      <c r="U469">
        <v>-0.1340942</v>
      </c>
      <c r="V469">
        <v>5.2675949999999999E-2</v>
      </c>
      <c r="W469">
        <v>0.2222954</v>
      </c>
      <c r="X469">
        <v>0.97355530000000001</v>
      </c>
      <c r="Y469">
        <v>4.6818060000000002E-2</v>
      </c>
      <c r="Z469">
        <v>-4.5276179999999999E-4</v>
      </c>
      <c r="AA469">
        <v>0.99890330000000005</v>
      </c>
      <c r="AB469">
        <v>40</v>
      </c>
      <c r="AC469">
        <v>168.16499999999999</v>
      </c>
      <c r="AD469">
        <v>-1.0394132699999901</v>
      </c>
      <c r="AE469">
        <v>-7.3608000000000402</v>
      </c>
      <c r="AF469">
        <v>7.8925682921562101</v>
      </c>
      <c r="AG469">
        <v>-1.0394132699999901</v>
      </c>
      <c r="AH469">
        <v>168.13445610903901</v>
      </c>
      <c r="AI469">
        <v>90.353810467255201</v>
      </c>
      <c r="AJ469">
        <v>87.312394229519796</v>
      </c>
      <c r="AK469">
        <v>168.32280993755501</v>
      </c>
      <c r="AL469">
        <v>77.1561107491912</v>
      </c>
      <c r="AM469">
        <v>86.902929332641506</v>
      </c>
      <c r="AN469">
        <v>0.99999996136382496</v>
      </c>
    </row>
    <row r="470" spans="1:40" x14ac:dyDescent="0.25">
      <c r="A470" t="str">
        <f>"20190303170950772"</f>
        <v>20190303170950772</v>
      </c>
      <c r="B470" t="str">
        <f>"1551604190761350"</f>
        <v>1551604190761350</v>
      </c>
      <c r="C470" t="s">
        <v>40</v>
      </c>
      <c r="D470">
        <v>4.6060309999999998</v>
      </c>
      <c r="E470">
        <v>0.50239299999999998</v>
      </c>
      <c r="F470" t="s">
        <v>45</v>
      </c>
      <c r="G470">
        <v>-158.19499999999999</v>
      </c>
      <c r="H470">
        <v>8.2766530000000005E-2</v>
      </c>
      <c r="I470">
        <v>360.36500000000001</v>
      </c>
      <c r="J470">
        <v>-326.13200000000001</v>
      </c>
      <c r="K470">
        <v>1.1210639999999901</v>
      </c>
      <c r="L470">
        <v>367.75470000000001</v>
      </c>
      <c r="M470">
        <v>0.99989340000000004</v>
      </c>
      <c r="N470">
        <v>-1.425624E-2</v>
      </c>
      <c r="O470">
        <v>3.1639979999999999E-3</v>
      </c>
      <c r="P470">
        <v>0.97675970000000001</v>
      </c>
      <c r="Q470">
        <v>0.2085359</v>
      </c>
      <c r="R470">
        <v>-4.953254E-2</v>
      </c>
      <c r="S470">
        <v>3.0684809999999998</v>
      </c>
      <c r="T470">
        <v>-1.8944030000000001E-2</v>
      </c>
      <c r="U470">
        <v>-0.13482669999999999</v>
      </c>
      <c r="V470">
        <v>5.2631749999999998E-2</v>
      </c>
      <c r="W470">
        <v>0.2224353</v>
      </c>
      <c r="X470">
        <v>0.9735258</v>
      </c>
      <c r="Y470">
        <v>4.7054840000000001E-2</v>
      </c>
      <c r="Z470">
        <v>-4.5522020000000001E-4</v>
      </c>
      <c r="AA470">
        <v>0.99889220000000001</v>
      </c>
      <c r="AB470">
        <v>40</v>
      </c>
      <c r="AC470">
        <v>167.93700000000001</v>
      </c>
      <c r="AD470">
        <v>-1.0382974699999901</v>
      </c>
      <c r="AE470">
        <v>-7.3897000000000004</v>
      </c>
      <c r="AF470">
        <v>7.9207671349939197</v>
      </c>
      <c r="AG470">
        <v>-1.0382974699999901</v>
      </c>
      <c r="AH470">
        <v>167.906369989924</v>
      </c>
      <c r="AI470">
        <v>90.353906906930604</v>
      </c>
      <c r="AJ470">
        <v>87.299147532161598</v>
      </c>
      <c r="AK470">
        <v>168.09629887905399</v>
      </c>
      <c r="AL470">
        <v>77.147890043153097</v>
      </c>
      <c r="AM470">
        <v>86.905429421688794</v>
      </c>
      <c r="AN470">
        <v>1.00000002352989</v>
      </c>
    </row>
    <row r="471" spans="1:40" x14ac:dyDescent="0.25">
      <c r="A471" t="str">
        <f>"20190303170950783"</f>
        <v>20190303170950783</v>
      </c>
      <c r="B471" t="str">
        <f>"1551604190771111"</f>
        <v>1551604190771111</v>
      </c>
      <c r="C471" t="s">
        <v>40</v>
      </c>
      <c r="D471">
        <v>4.546945</v>
      </c>
      <c r="E471">
        <v>0.50243230000000005</v>
      </c>
      <c r="F471" t="s">
        <v>45</v>
      </c>
      <c r="G471">
        <v>-158.19499999999999</v>
      </c>
      <c r="H471">
        <v>0.1163836</v>
      </c>
      <c r="I471">
        <v>360.35890000000001</v>
      </c>
      <c r="J471">
        <v>-325.92250000000001</v>
      </c>
      <c r="K471">
        <v>1.121067</v>
      </c>
      <c r="L471">
        <v>367.75540000000001</v>
      </c>
      <c r="M471">
        <v>0.99989340000000004</v>
      </c>
      <c r="N471">
        <v>-1.425497E-2</v>
      </c>
      <c r="O471">
        <v>3.1640069999999999E-3</v>
      </c>
      <c r="P471">
        <v>0.97682119999999995</v>
      </c>
      <c r="Q471">
        <v>0.20825850000000001</v>
      </c>
      <c r="R471">
        <v>-4.948615E-2</v>
      </c>
      <c r="S471">
        <v>3.068451</v>
      </c>
      <c r="T471">
        <v>-1.8355369999999999E-2</v>
      </c>
      <c r="U471">
        <v>-0.1351318</v>
      </c>
      <c r="V471">
        <v>5.2585729999999997E-2</v>
      </c>
      <c r="W471">
        <v>0.22215779999999999</v>
      </c>
      <c r="X471">
        <v>0.9735916</v>
      </c>
      <c r="Y471">
        <v>4.7154550000000003E-2</v>
      </c>
      <c r="Z471">
        <v>-4.5108710000000001E-4</v>
      </c>
      <c r="AA471">
        <v>0.99888750000000004</v>
      </c>
      <c r="AB471">
        <v>40</v>
      </c>
      <c r="AC471">
        <v>167.72749999999999</v>
      </c>
      <c r="AD471">
        <v>-1.0046834</v>
      </c>
      <c r="AE471">
        <v>-7.3964999999999996</v>
      </c>
      <c r="AF471">
        <v>7.9269240096611799</v>
      </c>
      <c r="AG471">
        <v>-1.0046834</v>
      </c>
      <c r="AH471">
        <v>167.69725005261799</v>
      </c>
      <c r="AI471">
        <v>90.342875208724905</v>
      </c>
      <c r="AJ471">
        <v>87.293685657762197</v>
      </c>
      <c r="AK471">
        <v>167.88750158424401</v>
      </c>
      <c r="AL471">
        <v>77.164197023673793</v>
      </c>
      <c r="AM471">
        <v>86.9083385493538</v>
      </c>
      <c r="AN471">
        <v>0.99999997534551599</v>
      </c>
    </row>
    <row r="472" spans="1:40" x14ac:dyDescent="0.25">
      <c r="A472" t="str">
        <f>"20190303170950800"</f>
        <v>20190303170950800</v>
      </c>
      <c r="B472" t="str">
        <f>"1551604190790631"</f>
        <v>1551604190790631</v>
      </c>
      <c r="C472" t="s">
        <v>40</v>
      </c>
      <c r="D472">
        <v>4.6050849999999999</v>
      </c>
      <c r="E472">
        <v>0.50248709999999996</v>
      </c>
      <c r="F472" t="s">
        <v>45</v>
      </c>
      <c r="G472">
        <v>-158.19499999999999</v>
      </c>
      <c r="H472">
        <v>8.2808489999999998E-2</v>
      </c>
      <c r="I472">
        <v>360.37029999999999</v>
      </c>
      <c r="J472">
        <v>-325.62610000000001</v>
      </c>
      <c r="K472">
        <v>1.1210629999999999</v>
      </c>
      <c r="L472">
        <v>367.75630000000001</v>
      </c>
      <c r="M472">
        <v>0.99989349999999999</v>
      </c>
      <c r="N472">
        <v>-1.4253190000000001E-2</v>
      </c>
      <c r="O472">
        <v>3.1639010000000002E-3</v>
      </c>
      <c r="P472">
        <v>0.97685420000000001</v>
      </c>
      <c r="Q472">
        <v>0.2081701</v>
      </c>
      <c r="R472">
        <v>-4.9208309999999998E-2</v>
      </c>
      <c r="S472">
        <v>3.06839</v>
      </c>
      <c r="T472">
        <v>-1.8992189999999999E-2</v>
      </c>
      <c r="U472">
        <v>-0.13510129999999901</v>
      </c>
      <c r="V472">
        <v>5.2307689999999997E-2</v>
      </c>
      <c r="W472">
        <v>0.2220676</v>
      </c>
      <c r="X472">
        <v>0.97362720000000003</v>
      </c>
      <c r="Y472">
        <v>4.7145270000000003E-2</v>
      </c>
      <c r="Z472">
        <v>-4.5650740000000001E-4</v>
      </c>
      <c r="AA472">
        <v>0.998888</v>
      </c>
      <c r="AB472">
        <v>40</v>
      </c>
      <c r="AC472">
        <v>167.43109999999999</v>
      </c>
      <c r="AD472">
        <v>-1.03825451</v>
      </c>
      <c r="AE472">
        <v>-7.3860000000000197</v>
      </c>
      <c r="AF472">
        <v>7.9154484346183196</v>
      </c>
      <c r="AG472">
        <v>-1.03825451</v>
      </c>
      <c r="AH472">
        <v>167.40046624350001</v>
      </c>
      <c r="AI472">
        <v>90.354959887463295</v>
      </c>
      <c r="AJ472">
        <v>87.292813737361101</v>
      </c>
      <c r="AK472">
        <v>167.59071691143799</v>
      </c>
      <c r="AL472">
        <v>77.1694980733714</v>
      </c>
      <c r="AM472">
        <v>86.924766065324704</v>
      </c>
      <c r="AN472">
        <v>1.00000001899136</v>
      </c>
    </row>
    <row r="473" spans="1:40" x14ac:dyDescent="0.25">
      <c r="A473" t="str">
        <f>"20190303170950814"</f>
        <v>20190303170950814</v>
      </c>
      <c r="B473" t="str">
        <f>"1551604190801367"</f>
        <v>1551604190801367</v>
      </c>
      <c r="C473" t="s">
        <v>40</v>
      </c>
      <c r="D473">
        <v>4.4815139999999998</v>
      </c>
      <c r="E473">
        <v>0.50250629999999996</v>
      </c>
      <c r="F473" t="s">
        <v>45</v>
      </c>
      <c r="G473">
        <v>-158.19499999999999</v>
      </c>
      <c r="H473">
        <v>7.3177339999999994E-2</v>
      </c>
      <c r="I473">
        <v>360.411</v>
      </c>
      <c r="J473">
        <v>-325.38619999999997</v>
      </c>
      <c r="K473">
        <v>1.1210639999999901</v>
      </c>
      <c r="L473">
        <v>367.75700000000001</v>
      </c>
      <c r="M473">
        <v>0.99989349999999999</v>
      </c>
      <c r="N473">
        <v>-1.425176E-2</v>
      </c>
      <c r="O473">
        <v>3.16403E-3</v>
      </c>
      <c r="P473">
        <v>0.97689519999999996</v>
      </c>
      <c r="Q473">
        <v>0.20801259999999999</v>
      </c>
      <c r="R473">
        <v>-4.9058530000000003E-2</v>
      </c>
      <c r="S473">
        <v>3.06839</v>
      </c>
      <c r="T473">
        <v>-1.9202230000000001E-2</v>
      </c>
      <c r="U473">
        <v>-0.13461300000000001</v>
      </c>
      <c r="V473">
        <v>5.2158320000000001E-2</v>
      </c>
      <c r="W473">
        <v>0.22191</v>
      </c>
      <c r="X473">
        <v>0.97367110000000001</v>
      </c>
      <c r="Y473">
        <v>4.6986729999999997E-2</v>
      </c>
      <c r="Z473">
        <v>-4.5667949999999999E-4</v>
      </c>
      <c r="AA473">
        <v>0.99889539999999999</v>
      </c>
      <c r="AB473">
        <v>40</v>
      </c>
      <c r="AC473">
        <v>167.19119999999899</v>
      </c>
      <c r="AD473">
        <v>-1.0478866600000001</v>
      </c>
      <c r="AE473">
        <v>-7.3459999999999397</v>
      </c>
      <c r="AF473">
        <v>7.8747061457852396</v>
      </c>
      <c r="AG473">
        <v>-1.0478866600000001</v>
      </c>
      <c r="AH473">
        <v>167.160563748756</v>
      </c>
      <c r="AI473">
        <v>90.358769963510895</v>
      </c>
      <c r="AJ473">
        <v>87.302867980734405</v>
      </c>
      <c r="AK473">
        <v>167.34922508376499</v>
      </c>
      <c r="AL473">
        <v>77.178758376888297</v>
      </c>
      <c r="AM473">
        <v>86.933668923424193</v>
      </c>
      <c r="AN473">
        <v>0.99999997471021596</v>
      </c>
    </row>
    <row r="474" spans="1:40" x14ac:dyDescent="0.25">
      <c r="A474" t="str">
        <f>"20190303170950829"</f>
        <v>20190303170950829</v>
      </c>
      <c r="B474" t="str">
        <f>"1551604190820886"</f>
        <v>1551604190820886</v>
      </c>
      <c r="C474" t="s">
        <v>40</v>
      </c>
      <c r="D474">
        <v>4.5452199999999996</v>
      </c>
      <c r="E474">
        <v>0.50256899999999904</v>
      </c>
      <c r="F474" t="s">
        <v>45</v>
      </c>
      <c r="G474">
        <v>-158.19499999999999</v>
      </c>
      <c r="H474">
        <v>4.9522400000000001E-2</v>
      </c>
      <c r="I474">
        <v>360.43220000000002</v>
      </c>
      <c r="J474">
        <v>-325.10700000000003</v>
      </c>
      <c r="K474">
        <v>1.121065</v>
      </c>
      <c r="L474">
        <v>367.75790000000001</v>
      </c>
      <c r="M474">
        <v>0.99989349999999999</v>
      </c>
      <c r="N474">
        <v>-1.425011E-2</v>
      </c>
      <c r="O474">
        <v>3.1640420000000002E-3</v>
      </c>
      <c r="P474">
        <v>0.97691799999999995</v>
      </c>
      <c r="Q474">
        <v>0.2079531</v>
      </c>
      <c r="R474">
        <v>-4.885726E-2</v>
      </c>
      <c r="S474">
        <v>3.06839</v>
      </c>
      <c r="T474">
        <v>-1.966393E-2</v>
      </c>
      <c r="U474">
        <v>-0.13442989999999999</v>
      </c>
      <c r="V474">
        <v>5.1957059999999999E-2</v>
      </c>
      <c r="W474">
        <v>0.22184909999999999</v>
      </c>
      <c r="X474">
        <v>0.9736958</v>
      </c>
      <c r="Y474">
        <v>4.6927160000000002E-2</v>
      </c>
      <c r="Z474">
        <v>-4.6003949999999999E-4</v>
      </c>
      <c r="AA474">
        <v>0.99889819999999996</v>
      </c>
      <c r="AB474">
        <v>40</v>
      </c>
      <c r="AC474">
        <v>166.91200000000001</v>
      </c>
      <c r="AD474">
        <v>-1.0715425999999999</v>
      </c>
      <c r="AE474">
        <v>-7.3256999999999799</v>
      </c>
      <c r="AF474">
        <v>7.8535104558976201</v>
      </c>
      <c r="AG474">
        <v>-1.0715425999999999</v>
      </c>
      <c r="AH474">
        <v>166.88111856230699</v>
      </c>
      <c r="AI474">
        <v>90.367484083930606</v>
      </c>
      <c r="AJ474">
        <v>87.305619327881402</v>
      </c>
      <c r="AK474">
        <v>167.06924780650499</v>
      </c>
      <c r="AL474">
        <v>77.182337674801701</v>
      </c>
      <c r="AM474">
        <v>86.945555669901495</v>
      </c>
      <c r="AN474">
        <v>1.00000003509614</v>
      </c>
    </row>
    <row r="475" spans="1:40" x14ac:dyDescent="0.25">
      <c r="A475" t="str">
        <f>"20190303170950847"</f>
        <v>20190303170950847</v>
      </c>
      <c r="B475" t="str">
        <f>"1551604190841383"</f>
        <v>1551604190841383</v>
      </c>
      <c r="C475" t="s">
        <v>40</v>
      </c>
      <c r="D475">
        <v>4.4567889999999997</v>
      </c>
      <c r="E475">
        <v>0.50260629999999995</v>
      </c>
      <c r="F475" t="s">
        <v>41</v>
      </c>
      <c r="G475">
        <v>-144.88399999999999</v>
      </c>
      <c r="H475">
        <v>-0.05</v>
      </c>
      <c r="I475">
        <v>359.846</v>
      </c>
      <c r="J475">
        <v>-324.80880000000002</v>
      </c>
      <c r="K475">
        <v>1.12107</v>
      </c>
      <c r="L475">
        <v>367.75889999999998</v>
      </c>
      <c r="M475">
        <v>0.99989349999999999</v>
      </c>
      <c r="N475">
        <v>-1.424835E-2</v>
      </c>
      <c r="O475">
        <v>3.1640549999999998E-3</v>
      </c>
      <c r="P475">
        <v>0.97682469999999999</v>
      </c>
      <c r="Q475">
        <v>0.20843790000000001</v>
      </c>
      <c r="R475">
        <v>-4.8655690000000001E-2</v>
      </c>
      <c r="S475">
        <v>3.06839</v>
      </c>
      <c r="T475">
        <v>-1.9937989999999999E-2</v>
      </c>
      <c r="U475">
        <v>-0.13470460000000001</v>
      </c>
      <c r="V475">
        <v>5.1755120000000002E-2</v>
      </c>
      <c r="W475">
        <v>0.22233020000000001</v>
      </c>
      <c r="X475">
        <v>0.97359680000000004</v>
      </c>
      <c r="Y475">
        <v>4.7016349999999998E-2</v>
      </c>
      <c r="Z475">
        <v>-4.6330699999999999E-4</v>
      </c>
      <c r="AA475">
        <v>0.99889399999999995</v>
      </c>
      <c r="AB475">
        <v>40</v>
      </c>
      <c r="AC475">
        <v>179.9248</v>
      </c>
      <c r="AD475">
        <v>-1.1710700000000001</v>
      </c>
      <c r="AE475">
        <v>-7.9128999999999703</v>
      </c>
      <c r="AF475">
        <v>8.4818515109147192</v>
      </c>
      <c r="AG475">
        <v>-1.1710700000000001</v>
      </c>
      <c r="AH475">
        <v>179.891253818661</v>
      </c>
      <c r="AI475">
        <v>90.372569338971005</v>
      </c>
      <c r="AJ475">
        <v>87.300509956334906</v>
      </c>
      <c r="AK475">
        <v>180.09490945178899</v>
      </c>
      <c r="AL475">
        <v>77.154066440112004</v>
      </c>
      <c r="AM475">
        <v>86.957096136776102</v>
      </c>
      <c r="AN475">
        <v>1.00000001962424</v>
      </c>
    </row>
    <row r="476" spans="1:40" x14ac:dyDescent="0.25">
      <c r="A476" t="str">
        <f>"20190303170950859"</f>
        <v>20190303170950859</v>
      </c>
      <c r="B476" t="str">
        <f>"1551604190851143"</f>
        <v>1551604190851143</v>
      </c>
      <c r="C476" t="s">
        <v>40</v>
      </c>
      <c r="D476">
        <v>4.549366</v>
      </c>
      <c r="E476">
        <v>0.50262810000000002</v>
      </c>
      <c r="F476" t="s">
        <v>45</v>
      </c>
      <c r="G476">
        <v>-158.19499999999999</v>
      </c>
      <c r="H476">
        <v>0.1130829</v>
      </c>
      <c r="I476">
        <v>360.47930000000002</v>
      </c>
      <c r="J476">
        <v>-324.5609</v>
      </c>
      <c r="K476">
        <v>1.1210719999999901</v>
      </c>
      <c r="L476">
        <v>367.75959999999998</v>
      </c>
      <c r="M476">
        <v>0.99989360000000005</v>
      </c>
      <c r="N476">
        <v>-1.42469E-2</v>
      </c>
      <c r="O476">
        <v>3.1640650000000002E-3</v>
      </c>
      <c r="P476">
        <v>0.97680849999999997</v>
      </c>
      <c r="Q476">
        <v>0.20852219999999999</v>
      </c>
      <c r="R476">
        <v>-4.8621169999999998E-2</v>
      </c>
      <c r="S476">
        <v>3.0684200000000001</v>
      </c>
      <c r="T476">
        <v>-1.856184E-2</v>
      </c>
      <c r="U476">
        <v>-0.13406370000000001</v>
      </c>
      <c r="V476">
        <v>5.172065E-2</v>
      </c>
      <c r="W476">
        <v>0.222413</v>
      </c>
      <c r="X476">
        <v>0.97357969999999905</v>
      </c>
      <c r="Y476">
        <v>4.6807979999999999E-2</v>
      </c>
      <c r="Z476">
        <v>-4.4920239999999997E-4</v>
      </c>
      <c r="AA476">
        <v>0.99890380000000001</v>
      </c>
      <c r="AB476">
        <v>40</v>
      </c>
      <c r="AC476">
        <v>166.36590000000001</v>
      </c>
      <c r="AD476">
        <v>-1.0079891000000001</v>
      </c>
      <c r="AE476">
        <v>-7.2802999999999498</v>
      </c>
      <c r="AF476">
        <v>7.8064234244248896</v>
      </c>
      <c r="AG476">
        <v>-1.0079891000000001</v>
      </c>
      <c r="AH476">
        <v>166.335934878318</v>
      </c>
      <c r="AI476">
        <v>90.346824142954205</v>
      </c>
      <c r="AJ476">
        <v>87.312984940602703</v>
      </c>
      <c r="AK476">
        <v>166.52206916967799</v>
      </c>
      <c r="AL476">
        <v>77.149200263083998</v>
      </c>
      <c r="AM476">
        <v>86.959065660048594</v>
      </c>
      <c r="AN476">
        <v>1.0000000002287499</v>
      </c>
    </row>
    <row r="477" spans="1:40" x14ac:dyDescent="0.25">
      <c r="A477" t="str">
        <f>"20190303170950870"</f>
        <v>20190303170950870</v>
      </c>
      <c r="B477" t="str">
        <f>"1551604190860902"</f>
        <v>1551604190860902</v>
      </c>
      <c r="C477" t="s">
        <v>40</v>
      </c>
      <c r="D477">
        <v>4.3206350000000002</v>
      </c>
      <c r="E477">
        <v>0.50264920000000002</v>
      </c>
      <c r="F477" t="s">
        <v>45</v>
      </c>
      <c r="G477">
        <v>-158.19499999999999</v>
      </c>
      <c r="H477">
        <v>0.13906479999999999</v>
      </c>
      <c r="I477">
        <v>360.48270000000002</v>
      </c>
      <c r="J477">
        <v>-324.35449999999997</v>
      </c>
      <c r="K477">
        <v>1.121073</v>
      </c>
      <c r="L477">
        <v>367.76029999999997</v>
      </c>
      <c r="M477">
        <v>0.99989349999999999</v>
      </c>
      <c r="N477">
        <v>-1.424569E-2</v>
      </c>
      <c r="O477">
        <v>3.1642520000000002E-3</v>
      </c>
      <c r="P477">
        <v>0.97672990000000004</v>
      </c>
      <c r="Q477">
        <v>0.20887790000000001</v>
      </c>
      <c r="R477">
        <v>-4.8671230000000003E-2</v>
      </c>
      <c r="S477">
        <v>3.068451</v>
      </c>
      <c r="T477">
        <v>-1.811051E-2</v>
      </c>
      <c r="U477">
        <v>-0.13421629999999901</v>
      </c>
      <c r="V477">
        <v>5.1770660000000003E-2</v>
      </c>
      <c r="W477">
        <v>0.22276679999999999</v>
      </c>
      <c r="X477">
        <v>0.97349609999999998</v>
      </c>
      <c r="Y477">
        <v>4.6857389999999999E-2</v>
      </c>
      <c r="Z477">
        <v>-4.4576689999999998E-4</v>
      </c>
      <c r="AA477">
        <v>0.9989015</v>
      </c>
      <c r="AB477">
        <v>40</v>
      </c>
      <c r="AC477">
        <v>166.15949999999901</v>
      </c>
      <c r="AD477">
        <v>-0.9820082</v>
      </c>
      <c r="AE477">
        <v>-7.2775999999999499</v>
      </c>
      <c r="AF477">
        <v>7.8031154275883301</v>
      </c>
      <c r="AG477">
        <v>-0.9820082</v>
      </c>
      <c r="AH477">
        <v>166.12984594068101</v>
      </c>
      <c r="AI477">
        <v>90.338303506561999</v>
      </c>
      <c r="AJ477">
        <v>87.310794881841503</v>
      </c>
      <c r="AK477">
        <v>166.31590021027901</v>
      </c>
      <c r="AL477">
        <v>77.128406743495304</v>
      </c>
      <c r="AM477">
        <v>86.955869926784999</v>
      </c>
      <c r="AN477">
        <v>0.99999995256714103</v>
      </c>
    </row>
    <row r="478" spans="1:40" x14ac:dyDescent="0.25">
      <c r="A478" t="str">
        <f>"20190303170950883"</f>
        <v>20190303170950883</v>
      </c>
      <c r="B478" t="str">
        <f>"1551604190870663"</f>
        <v>1551604190870663</v>
      </c>
      <c r="C478" t="s">
        <v>40</v>
      </c>
      <c r="D478">
        <v>4.6088519999999997</v>
      </c>
      <c r="E478">
        <v>0.50266549999999999</v>
      </c>
      <c r="F478" t="s">
        <v>45</v>
      </c>
      <c r="G478">
        <v>-158.19499999999999</v>
      </c>
      <c r="H478">
        <v>0.19925019999999999</v>
      </c>
      <c r="I478">
        <v>360.48239999999998</v>
      </c>
      <c r="J478">
        <v>-324.13470000000001</v>
      </c>
      <c r="K478">
        <v>1.12107</v>
      </c>
      <c r="L478">
        <v>367.76100000000002</v>
      </c>
      <c r="M478">
        <v>0.99989349999999999</v>
      </c>
      <c r="N478">
        <v>-1.4244400000000001E-2</v>
      </c>
      <c r="O478">
        <v>3.1642609999999998E-3</v>
      </c>
      <c r="P478">
        <v>0.97677480000000005</v>
      </c>
      <c r="Q478">
        <v>0.20872560000000001</v>
      </c>
      <c r="R478">
        <v>-4.8424450000000001E-2</v>
      </c>
      <c r="S478">
        <v>3.0684200000000001</v>
      </c>
      <c r="T478">
        <v>-1.7021419999999999E-2</v>
      </c>
      <c r="U478">
        <v>-0.1343994</v>
      </c>
      <c r="V478">
        <v>5.1524010000000002E-2</v>
      </c>
      <c r="W478">
        <v>0.2226138</v>
      </c>
      <c r="X478">
        <v>0.97354419999999997</v>
      </c>
      <c r="Y478">
        <v>4.6917529999999999E-2</v>
      </c>
      <c r="Z478">
        <v>-4.3690290000000001E-4</v>
      </c>
      <c r="AA478">
        <v>0.99889870000000003</v>
      </c>
      <c r="AB478">
        <v>40</v>
      </c>
      <c r="AC478">
        <v>165.93969999999999</v>
      </c>
      <c r="AD478">
        <v>-0.92181979999999997</v>
      </c>
      <c r="AE478">
        <v>-7.2785999999999804</v>
      </c>
      <c r="AF478">
        <v>7.8034530223506202</v>
      </c>
      <c r="AG478">
        <v>-0.92181979999999997</v>
      </c>
      <c r="AH478">
        <v>165.91072524103299</v>
      </c>
      <c r="AI478">
        <v>90.317987392061497</v>
      </c>
      <c r="AJ478">
        <v>87.307132105769199</v>
      </c>
      <c r="AK478">
        <v>166.09669587568899</v>
      </c>
      <c r="AL478">
        <v>77.137399003334195</v>
      </c>
      <c r="AM478">
        <v>86.9704953437504</v>
      </c>
      <c r="AN478">
        <v>0.99999996845527905</v>
      </c>
    </row>
    <row r="479" spans="1:40" x14ac:dyDescent="0.25">
      <c r="A479" t="str">
        <f>"20190303170950898"</f>
        <v>20190303170950898</v>
      </c>
      <c r="B479" t="str">
        <f>"1551604190891159"</f>
        <v>1551604190891159</v>
      </c>
      <c r="C479" t="s">
        <v>40</v>
      </c>
      <c r="D479">
        <v>4.7224599999999999</v>
      </c>
      <c r="E479">
        <v>0.50271589999999999</v>
      </c>
      <c r="F479" t="s">
        <v>45</v>
      </c>
      <c r="G479">
        <v>-158.19499999999999</v>
      </c>
      <c r="H479">
        <v>0.18043329999999999</v>
      </c>
      <c r="I479">
        <v>360.54379999999998</v>
      </c>
      <c r="J479">
        <v>-323.87349999999998</v>
      </c>
      <c r="K479">
        <v>1.1210709999999999</v>
      </c>
      <c r="L479">
        <v>367.76179999999999</v>
      </c>
      <c r="M479">
        <v>0.99989349999999999</v>
      </c>
      <c r="N479">
        <v>-1.4242869999999999E-2</v>
      </c>
      <c r="O479">
        <v>3.1642720000000001E-3</v>
      </c>
      <c r="P479">
        <v>0.97678430000000005</v>
      </c>
      <c r="Q479">
        <v>0.20863860000000001</v>
      </c>
      <c r="R479">
        <v>-4.8604300000000003E-2</v>
      </c>
      <c r="S479">
        <v>3.06839</v>
      </c>
      <c r="T479">
        <v>-1.739168E-2</v>
      </c>
      <c r="U479">
        <v>-0.1334534</v>
      </c>
      <c r="V479">
        <v>5.1703909999999999E-2</v>
      </c>
      <c r="W479">
        <v>0.2225251</v>
      </c>
      <c r="X479">
        <v>0.97355499999999995</v>
      </c>
      <c r="Y479">
        <v>4.6610539999999999E-2</v>
      </c>
      <c r="Z479">
        <v>-4.3702569999999998E-4</v>
      </c>
      <c r="AA479">
        <v>0.99891300000000005</v>
      </c>
      <c r="AB479">
        <v>40</v>
      </c>
      <c r="AC479">
        <v>165.67850000000001</v>
      </c>
      <c r="AD479">
        <v>-0.94063770000000002</v>
      </c>
      <c r="AE479">
        <v>-7.2180000000000097</v>
      </c>
      <c r="AF479">
        <v>7.7420198264731104</v>
      </c>
      <c r="AG479">
        <v>-0.94063770000000002</v>
      </c>
      <c r="AH479">
        <v>165.64949894909699</v>
      </c>
      <c r="AI479">
        <v>90.324994801433803</v>
      </c>
      <c r="AJ479">
        <v>87.324093943931103</v>
      </c>
      <c r="AK479">
        <v>165.832988794036</v>
      </c>
      <c r="AL479">
        <v>77.142612650541096</v>
      </c>
      <c r="AM479">
        <v>86.959971066275301</v>
      </c>
      <c r="AN479">
        <v>1.00000002623214</v>
      </c>
    </row>
    <row r="480" spans="1:40" x14ac:dyDescent="0.25">
      <c r="A480" t="str">
        <f>"20190303170950912"</f>
        <v>20190303170950912</v>
      </c>
      <c r="B480" t="str">
        <f>"1551604190900919"</f>
        <v>1551604190900919</v>
      </c>
      <c r="C480" t="s">
        <v>40</v>
      </c>
      <c r="D480">
        <v>4.5436639999999997</v>
      </c>
      <c r="E480">
        <v>0.50272329999999998</v>
      </c>
      <c r="F480" t="s">
        <v>45</v>
      </c>
      <c r="G480">
        <v>-158.19499999999999</v>
      </c>
      <c r="H480">
        <v>0.17221159999999999</v>
      </c>
      <c r="I480">
        <v>360.5147</v>
      </c>
      <c r="J480">
        <v>-323.6164</v>
      </c>
      <c r="K480">
        <v>1.121075</v>
      </c>
      <c r="L480">
        <v>367.76260000000002</v>
      </c>
      <c r="M480">
        <v>0.99989360000000005</v>
      </c>
      <c r="N480">
        <v>-1.424137E-2</v>
      </c>
      <c r="O480">
        <v>3.1644619999999998E-3</v>
      </c>
      <c r="P480">
        <v>0.97674019999999995</v>
      </c>
      <c r="Q480">
        <v>0.20880789999999999</v>
      </c>
      <c r="R480">
        <v>-4.8764740000000001E-2</v>
      </c>
      <c r="S480">
        <v>3.0683590000000001</v>
      </c>
      <c r="T480">
        <v>-1.757121E-2</v>
      </c>
      <c r="U480">
        <v>-0.13421629999999901</v>
      </c>
      <c r="V480">
        <v>5.1864470000000003E-2</v>
      </c>
      <c r="W480">
        <v>0.22269240000000001</v>
      </c>
      <c r="X480">
        <v>0.97350820000000005</v>
      </c>
      <c r="Y480">
        <v>4.6858999999999998E-2</v>
      </c>
      <c r="Z480">
        <v>-4.410261E-4</v>
      </c>
      <c r="AA480">
        <v>0.99890140000000005</v>
      </c>
      <c r="AB480">
        <v>40</v>
      </c>
      <c r="AC480">
        <v>165.42140000000001</v>
      </c>
      <c r="AD480">
        <v>-0.94886340000000002</v>
      </c>
      <c r="AE480">
        <v>-7.2479000000000102</v>
      </c>
      <c r="AF480">
        <v>7.7711313217189897</v>
      </c>
      <c r="AG480">
        <v>-0.94886340000000002</v>
      </c>
      <c r="AH480">
        <v>165.39220222109</v>
      </c>
      <c r="AI480">
        <v>90.328342936295797</v>
      </c>
      <c r="AJ480">
        <v>87.309874385472199</v>
      </c>
      <c r="AK480">
        <v>165.57738788648999</v>
      </c>
      <c r="AL480">
        <v>77.132780296416897</v>
      </c>
      <c r="AM480">
        <v>86.950402107132405</v>
      </c>
      <c r="AN480">
        <v>1.00000002186669</v>
      </c>
    </row>
    <row r="481" spans="1:40" x14ac:dyDescent="0.25">
      <c r="A481" t="str">
        <f>"20190303170950935"</f>
        <v>20190303170950935</v>
      </c>
      <c r="B481" t="str">
        <f>"1551604190921414"</f>
        <v>1551604190921414</v>
      </c>
      <c r="C481" t="s">
        <v>40</v>
      </c>
      <c r="D481">
        <v>4.5999359999999996</v>
      </c>
      <c r="E481">
        <v>0.50275939999999997</v>
      </c>
      <c r="F481" t="s">
        <v>45</v>
      </c>
      <c r="G481">
        <v>-158.19499999999999</v>
      </c>
      <c r="H481">
        <v>0.19790840000000001</v>
      </c>
      <c r="I481">
        <v>360.4957</v>
      </c>
      <c r="J481">
        <v>-323.22309999999999</v>
      </c>
      <c r="K481">
        <v>1.121075</v>
      </c>
      <c r="L481">
        <v>367.76389999999998</v>
      </c>
      <c r="M481">
        <v>0.99989360000000005</v>
      </c>
      <c r="N481">
        <v>-1.4239089999999999E-2</v>
      </c>
      <c r="O481">
        <v>3.164657E-3</v>
      </c>
      <c r="P481">
        <v>0.9766378</v>
      </c>
      <c r="Q481">
        <v>0.2092029</v>
      </c>
      <c r="R481">
        <v>-4.9121129999999999E-2</v>
      </c>
      <c r="S481">
        <v>3.0684200000000001</v>
      </c>
      <c r="T481">
        <v>-1.7122269999999998E-2</v>
      </c>
      <c r="U481">
        <v>-0.1347961</v>
      </c>
      <c r="V481">
        <v>5.222069E-2</v>
      </c>
      <c r="W481">
        <v>0.2230838</v>
      </c>
      <c r="X481">
        <v>0.97339949999999997</v>
      </c>
      <c r="Y481">
        <v>4.7046810000000001E-2</v>
      </c>
      <c r="Z481">
        <v>-4.389482E-4</v>
      </c>
      <c r="AA481">
        <v>0.99889260000000002</v>
      </c>
      <c r="AB481">
        <v>40</v>
      </c>
      <c r="AC481">
        <v>165.02809999999999</v>
      </c>
      <c r="AD481">
        <v>-0.92316659999999995</v>
      </c>
      <c r="AE481">
        <v>-7.26819999999997</v>
      </c>
      <c r="AF481">
        <v>7.7902305805906504</v>
      </c>
      <c r="AG481">
        <v>-0.92316659999999995</v>
      </c>
      <c r="AH481">
        <v>164.999116467503</v>
      </c>
      <c r="AI481">
        <v>90.320208652238193</v>
      </c>
      <c r="AJ481">
        <v>87.296857527480697</v>
      </c>
      <c r="AK481">
        <v>165.18549683348999</v>
      </c>
      <c r="AL481">
        <v>77.109775543569199</v>
      </c>
      <c r="AM481">
        <v>86.929154312378202</v>
      </c>
      <c r="AN481">
        <v>0.99999998444338201</v>
      </c>
    </row>
    <row r="482" spans="1:40" x14ac:dyDescent="0.25">
      <c r="A482" t="str">
        <f>"20190303170950948"</f>
        <v>20190303170950948</v>
      </c>
      <c r="B482" t="str">
        <f>"1551604190940934"</f>
        <v>1551604190940934</v>
      </c>
      <c r="C482" t="s">
        <v>40</v>
      </c>
      <c r="D482">
        <v>4.6005289999999999</v>
      </c>
      <c r="E482">
        <v>0.50280369999999996</v>
      </c>
      <c r="F482" t="s">
        <v>45</v>
      </c>
      <c r="G482">
        <v>-158.19499999999999</v>
      </c>
      <c r="H482">
        <v>0.26564599999999999</v>
      </c>
      <c r="I482">
        <v>360.46809999999999</v>
      </c>
      <c r="J482">
        <v>-322.97859999999997</v>
      </c>
      <c r="K482">
        <v>1.121073</v>
      </c>
      <c r="L482">
        <v>367.76459999999997</v>
      </c>
      <c r="M482">
        <v>0.99989380000000005</v>
      </c>
      <c r="N482">
        <v>-1.4237669999999999E-2</v>
      </c>
      <c r="O482">
        <v>3.1646669999999999E-3</v>
      </c>
      <c r="P482">
        <v>0.97663650000000002</v>
      </c>
      <c r="Q482">
        <v>0.20914730000000001</v>
      </c>
      <c r="R482">
        <v>-4.9390629999999998E-2</v>
      </c>
      <c r="S482">
        <v>3.06839</v>
      </c>
      <c r="T482">
        <v>-1.5903469999999999E-2</v>
      </c>
      <c r="U482">
        <v>-0.13565060000000001</v>
      </c>
      <c r="V482">
        <v>5.249003E-2</v>
      </c>
      <c r="W482">
        <v>0.22302659999999999</v>
      </c>
      <c r="X482">
        <v>0.97339810000000004</v>
      </c>
      <c r="Y482">
        <v>4.732509E-2</v>
      </c>
      <c r="Z482">
        <v>-4.3102899999999998E-4</v>
      </c>
      <c r="AA482">
        <v>0.99887939999999997</v>
      </c>
      <c r="AB482">
        <v>40</v>
      </c>
      <c r="AC482">
        <v>164.78359999999901</v>
      </c>
      <c r="AD482">
        <v>-0.85542699999999905</v>
      </c>
      <c r="AE482">
        <v>-7.2964999999999796</v>
      </c>
      <c r="AF482">
        <v>7.8177911842510897</v>
      </c>
      <c r="AG482">
        <v>-0.85542699999999905</v>
      </c>
      <c r="AH482">
        <v>164.755250084925</v>
      </c>
      <c r="AI482">
        <v>90.297148849109604</v>
      </c>
      <c r="AJ482">
        <v>87.283299253166106</v>
      </c>
      <c r="AK482">
        <v>164.942844782365</v>
      </c>
      <c r="AL482">
        <v>77.1131373018288</v>
      </c>
      <c r="AM482">
        <v>86.913341850119494</v>
      </c>
      <c r="AN482">
        <v>0.99999996432028404</v>
      </c>
    </row>
    <row r="483" spans="1:40" x14ac:dyDescent="0.25">
      <c r="A483" t="str">
        <f>"20190303170950960"</f>
        <v>20190303170950960</v>
      </c>
      <c r="B483" t="str">
        <f>"1551604190950695"</f>
        <v>1551604190950695</v>
      </c>
      <c r="C483" t="s">
        <v>40</v>
      </c>
      <c r="D483">
        <v>4.598865</v>
      </c>
      <c r="E483">
        <v>0.50283180000000005</v>
      </c>
      <c r="F483" t="s">
        <v>45</v>
      </c>
      <c r="G483">
        <v>-158.19499999999999</v>
      </c>
      <c r="H483">
        <v>0.25432680000000002</v>
      </c>
      <c r="I483">
        <v>360.45010000000002</v>
      </c>
      <c r="J483">
        <v>-322.74950000000001</v>
      </c>
      <c r="K483">
        <v>1.121073</v>
      </c>
      <c r="L483">
        <v>367.7654</v>
      </c>
      <c r="M483">
        <v>0.99989380000000005</v>
      </c>
      <c r="N483">
        <v>-1.423634E-2</v>
      </c>
      <c r="O483">
        <v>3.164498E-3</v>
      </c>
      <c r="P483">
        <v>0.97658460000000002</v>
      </c>
      <c r="Q483">
        <v>0.20924229999999999</v>
      </c>
      <c r="R483">
        <v>-5.0008440000000001E-2</v>
      </c>
      <c r="S483">
        <v>3.0683289999999999</v>
      </c>
      <c r="T483">
        <v>-1.6137479999999999E-2</v>
      </c>
      <c r="U483">
        <v>-0.13619999999999999</v>
      </c>
      <c r="V483">
        <v>5.310757E-2</v>
      </c>
      <c r="W483">
        <v>0.2231196</v>
      </c>
      <c r="X483">
        <v>0.97334330000000002</v>
      </c>
      <c r="Y483">
        <v>4.750422E-2</v>
      </c>
      <c r="Z483">
        <v>-4.3479860000000001E-4</v>
      </c>
      <c r="AA483">
        <v>0.99887099999999995</v>
      </c>
      <c r="AB483">
        <v>40</v>
      </c>
      <c r="AC483">
        <v>164.55449999999999</v>
      </c>
      <c r="AD483">
        <v>-0.86674619999999902</v>
      </c>
      <c r="AE483">
        <v>-7.3152999999999704</v>
      </c>
      <c r="AF483">
        <v>7.8358314841074499</v>
      </c>
      <c r="AG483">
        <v>-0.86674619999999902</v>
      </c>
      <c r="AH483">
        <v>164.525968751877</v>
      </c>
      <c r="AI483">
        <v>90.301497777659804</v>
      </c>
      <c r="AJ483">
        <v>87.273250670656793</v>
      </c>
      <c r="AK483">
        <v>164.71474098503199</v>
      </c>
      <c r="AL483">
        <v>77.107671191196701</v>
      </c>
      <c r="AM483">
        <v>86.876923611030193</v>
      </c>
      <c r="AN483">
        <v>0.99999997477517699</v>
      </c>
    </row>
    <row r="484" spans="1:40" x14ac:dyDescent="0.25">
      <c r="A484" t="str">
        <f>"20190303170950972"</f>
        <v>20190303170950972</v>
      </c>
      <c r="B484" t="str">
        <f>"1551604190961431"</f>
        <v>1551604190961431</v>
      </c>
      <c r="C484" t="s">
        <v>40</v>
      </c>
      <c r="D484">
        <v>4.4624689999999996</v>
      </c>
      <c r="E484">
        <v>0.50282979999999999</v>
      </c>
      <c r="F484" t="s">
        <v>45</v>
      </c>
      <c r="G484">
        <v>-158.19499999999999</v>
      </c>
      <c r="H484">
        <v>0.26830199999999998</v>
      </c>
      <c r="I484">
        <v>360.34609999999998</v>
      </c>
      <c r="J484">
        <v>-322.53730000000002</v>
      </c>
      <c r="K484">
        <v>1.1210739999999999</v>
      </c>
      <c r="L484">
        <v>367.76600000000002</v>
      </c>
      <c r="M484">
        <v>0.99989380000000005</v>
      </c>
      <c r="N484">
        <v>-1.423512E-2</v>
      </c>
      <c r="O484">
        <v>3.164685E-3</v>
      </c>
      <c r="P484">
        <v>0.97655979999999998</v>
      </c>
      <c r="Q484">
        <v>0.2092656</v>
      </c>
      <c r="R484">
        <v>-5.0393939999999998E-2</v>
      </c>
      <c r="S484">
        <v>3.0681759999999998</v>
      </c>
      <c r="T484">
        <v>-1.5898590000000001E-2</v>
      </c>
      <c r="U484">
        <v>-0.13833619999999999</v>
      </c>
      <c r="V484">
        <v>5.3493119999999998E-2</v>
      </c>
      <c r="W484">
        <v>0.22314139999999999</v>
      </c>
      <c r="X484">
        <v>0.97331719999999999</v>
      </c>
      <c r="Y484">
        <v>4.8200689999999997E-2</v>
      </c>
      <c r="Z484">
        <v>-4.3945110000000003E-4</v>
      </c>
      <c r="AA484">
        <v>0.99883759999999999</v>
      </c>
      <c r="AB484">
        <v>40</v>
      </c>
      <c r="AC484">
        <v>164.34229999999999</v>
      </c>
      <c r="AD484">
        <v>-0.85277199999999898</v>
      </c>
      <c r="AE484">
        <v>-7.4198999999999797</v>
      </c>
      <c r="AF484">
        <v>7.9397937327478099</v>
      </c>
      <c r="AG484">
        <v>-0.85277199999999898</v>
      </c>
      <c r="AH484">
        <v>164.31357758637699</v>
      </c>
      <c r="AI484">
        <v>90.297010493259194</v>
      </c>
      <c r="AJ484">
        <v>87.233563356889604</v>
      </c>
      <c r="AK484">
        <v>164.50750537235999</v>
      </c>
      <c r="AL484">
        <v>77.106389973193998</v>
      </c>
      <c r="AM484">
        <v>86.854211907924594</v>
      </c>
      <c r="AN484">
        <v>0.99999998504856702</v>
      </c>
    </row>
    <row r="485" spans="1:40" x14ac:dyDescent="0.25">
      <c r="A485" t="str">
        <f>"20190303170950984"</f>
        <v>20190303170950984</v>
      </c>
      <c r="B485" t="str">
        <f>"1551604190980951"</f>
        <v>1551604190980951</v>
      </c>
      <c r="C485" t="s">
        <v>40</v>
      </c>
      <c r="D485">
        <v>4.5656549999999996</v>
      </c>
      <c r="E485">
        <v>0.48536790000000002</v>
      </c>
      <c r="F485" t="s">
        <v>45</v>
      </c>
      <c r="G485">
        <v>-158.19499999999999</v>
      </c>
      <c r="H485">
        <v>0.2710342</v>
      </c>
      <c r="I485">
        <v>360.30410000000001</v>
      </c>
      <c r="J485">
        <v>-322.3304</v>
      </c>
      <c r="K485">
        <v>1.1210739999999999</v>
      </c>
      <c r="L485">
        <v>367.76670000000001</v>
      </c>
      <c r="M485">
        <v>0.99989380000000005</v>
      </c>
      <c r="N485">
        <v>-1.4233920000000001E-2</v>
      </c>
      <c r="O485">
        <v>3.164694E-3</v>
      </c>
      <c r="P485">
        <v>0.97654039999999998</v>
      </c>
      <c r="Q485">
        <v>0.20926420000000001</v>
      </c>
      <c r="R485">
        <v>-5.0768870000000001E-2</v>
      </c>
      <c r="S485">
        <v>3.0682369999999999</v>
      </c>
      <c r="T485">
        <v>-1.5868429999999999E-2</v>
      </c>
      <c r="U485">
        <v>-0.13931270000000001</v>
      </c>
      <c r="V485">
        <v>5.3868190000000003E-2</v>
      </c>
      <c r="W485">
        <v>0.22313859999999999</v>
      </c>
      <c r="X485">
        <v>0.97329719999999997</v>
      </c>
      <c r="Y485">
        <v>4.8517039999999997E-2</v>
      </c>
      <c r="Z485">
        <v>-4.4222759999999999E-4</v>
      </c>
      <c r="AA485">
        <v>0.99882230000000005</v>
      </c>
      <c r="AB485">
        <v>40</v>
      </c>
      <c r="AC485">
        <v>164.1354</v>
      </c>
      <c r="AD485">
        <v>-0.85003979999999901</v>
      </c>
      <c r="AE485">
        <v>-7.4626000000000001</v>
      </c>
      <c r="AF485">
        <v>7.9818398672758901</v>
      </c>
      <c r="AG485">
        <v>-0.85003979999999901</v>
      </c>
      <c r="AH485">
        <v>164.10656625177299</v>
      </c>
      <c r="AI485">
        <v>90.296427825063901</v>
      </c>
      <c r="AJ485">
        <v>87.215433657639494</v>
      </c>
      <c r="AK485">
        <v>164.30276145663601</v>
      </c>
      <c r="AL485">
        <v>77.106555115828797</v>
      </c>
      <c r="AM485">
        <v>86.832134843251595</v>
      </c>
      <c r="AN485">
        <v>1.0000000281158301</v>
      </c>
    </row>
    <row r="486" spans="1:40" x14ac:dyDescent="0.25">
      <c r="A486" t="str">
        <f>"20190303170950996"</f>
        <v>20190303170950996</v>
      </c>
      <c r="B486" t="str">
        <f>"1551604190990710"</f>
        <v>1551604190990710</v>
      </c>
      <c r="C486" t="s">
        <v>40</v>
      </c>
      <c r="D486">
        <v>4.5574070000000004</v>
      </c>
      <c r="E486">
        <v>0.48185519999999998</v>
      </c>
      <c r="F486" t="s">
        <v>45</v>
      </c>
      <c r="G486">
        <v>-158.78319999999999</v>
      </c>
      <c r="H486">
        <v>7.2276590000000002E-2</v>
      </c>
      <c r="I486">
        <v>367.74880000000002</v>
      </c>
      <c r="J486">
        <v>-322.11320000000001</v>
      </c>
      <c r="K486">
        <v>1.121075</v>
      </c>
      <c r="L486">
        <v>367.76740000000001</v>
      </c>
      <c r="M486">
        <v>0.9998937</v>
      </c>
      <c r="N486">
        <v>-1.4232649999999999E-2</v>
      </c>
      <c r="O486">
        <v>3.164703E-3</v>
      </c>
      <c r="P486">
        <v>0.97651250000000001</v>
      </c>
      <c r="Q486">
        <v>0.2092184</v>
      </c>
      <c r="R486">
        <v>-5.1489849999999997E-2</v>
      </c>
      <c r="S486">
        <v>3.0762939999999999</v>
      </c>
      <c r="T486">
        <v>-1.972604E-2</v>
      </c>
      <c r="U486">
        <v>-3.3569339999999902E-4</v>
      </c>
      <c r="V486">
        <v>5.4589020000000002E-2</v>
      </c>
      <c r="W486">
        <v>0.22309119999999999</v>
      </c>
      <c r="X486">
        <v>0.97326789999999996</v>
      </c>
      <c r="Y486">
        <v>3.273832E-3</v>
      </c>
      <c r="Z486" s="1">
        <v>-9.0435420000000006E-6</v>
      </c>
      <c r="AA486">
        <v>0.99999459999999996</v>
      </c>
      <c r="AB486">
        <v>40</v>
      </c>
      <c r="AC486">
        <v>163.33000000000001</v>
      </c>
      <c r="AD486">
        <v>-1.0487984100000001</v>
      </c>
      <c r="AE486">
        <v>-1.8599999999992099E-2</v>
      </c>
      <c r="AF486">
        <v>0.53552112844220601</v>
      </c>
      <c r="AG486">
        <v>-1.0487984100000001</v>
      </c>
      <c r="AH486">
        <v>163.322388676299</v>
      </c>
      <c r="AI486">
        <v>90.367926124106106</v>
      </c>
      <c r="AJ486">
        <v>89.812132367228102</v>
      </c>
      <c r="AK486">
        <v>163.326634092288</v>
      </c>
      <c r="AL486">
        <v>77.109341123807098</v>
      </c>
      <c r="AM486">
        <v>86.789736112608196</v>
      </c>
      <c r="AN486">
        <v>1.0000000248962</v>
      </c>
    </row>
    <row r="487" spans="1:40" x14ac:dyDescent="0.25">
      <c r="A487" t="str">
        <f>"20190303170951012"</f>
        <v>20190303170951012</v>
      </c>
      <c r="B487" t="str">
        <f>"1551604191001447"</f>
        <v>1551604191001447</v>
      </c>
      <c r="C487" t="s">
        <v>40</v>
      </c>
      <c r="D487">
        <v>4.5786170000000004</v>
      </c>
      <c r="E487">
        <v>0.480296</v>
      </c>
      <c r="F487" t="s">
        <v>41</v>
      </c>
      <c r="G487">
        <v>-147.21729999999999</v>
      </c>
      <c r="H487">
        <v>-0.05</v>
      </c>
      <c r="I487">
        <v>369.22739999999999</v>
      </c>
      <c r="J487">
        <v>-321.83479999999997</v>
      </c>
      <c r="K487">
        <v>1.121078</v>
      </c>
      <c r="L487">
        <v>367.76819999999998</v>
      </c>
      <c r="M487">
        <v>0.99989380000000005</v>
      </c>
      <c r="N487">
        <v>-1.4231010000000001E-2</v>
      </c>
      <c r="O487">
        <v>3.1648929999999998E-3</v>
      </c>
      <c r="P487">
        <v>0.97644039999999999</v>
      </c>
      <c r="Q487">
        <v>0.20932890000000001</v>
      </c>
      <c r="R487">
        <v>-5.2398729999999998E-2</v>
      </c>
      <c r="S487">
        <v>3.0779719999999999</v>
      </c>
      <c r="T487">
        <v>-2.0609619999999999E-2</v>
      </c>
      <c r="U487">
        <v>2.5695800000000001E-2</v>
      </c>
      <c r="V487">
        <v>5.5498039999999998E-2</v>
      </c>
      <c r="W487">
        <v>0.2231986</v>
      </c>
      <c r="X487">
        <v>0.9731919</v>
      </c>
      <c r="Y487">
        <v>-5.18258E-3</v>
      </c>
      <c r="Z487" s="1">
        <v>7.8081840000000005E-5</v>
      </c>
      <c r="AA487">
        <v>0.99998659999999995</v>
      </c>
      <c r="AB487">
        <v>40</v>
      </c>
      <c r="AC487">
        <v>174.61749999999901</v>
      </c>
      <c r="AD487">
        <v>-1.1710780000000001</v>
      </c>
      <c r="AE487">
        <v>1.4592000000000001</v>
      </c>
      <c r="AF487">
        <v>-0.90645029136037703</v>
      </c>
      <c r="AG487">
        <v>-1.1710780000000001</v>
      </c>
      <c r="AH487">
        <v>174.61339082791099</v>
      </c>
      <c r="AI487">
        <v>90.384254131632503</v>
      </c>
      <c r="AJ487">
        <v>90.297430278777895</v>
      </c>
      <c r="AK487">
        <v>174.61967051919899</v>
      </c>
      <c r="AL487">
        <v>77.103028855061197</v>
      </c>
      <c r="AM487">
        <v>86.736138879924496</v>
      </c>
      <c r="AN487">
        <v>1.0000000608557</v>
      </c>
    </row>
    <row r="488" spans="1:40" x14ac:dyDescent="0.25">
      <c r="A488" t="str">
        <f>"20190303170951023"</f>
        <v>20190303170951023</v>
      </c>
      <c r="B488" t="str">
        <f>"1551604191011207"</f>
        <v>1551604191011207</v>
      </c>
      <c r="C488" t="s">
        <v>40</v>
      </c>
      <c r="D488">
        <v>4.580247</v>
      </c>
      <c r="E488">
        <v>0.47853420000000002</v>
      </c>
      <c r="F488" t="s">
        <v>44</v>
      </c>
      <c r="G488">
        <v>-180</v>
      </c>
      <c r="H488">
        <v>4.8585040000000003E-2</v>
      </c>
      <c r="I488">
        <v>369.41430000000003</v>
      </c>
      <c r="J488">
        <v>-321.63369999999998</v>
      </c>
      <c r="K488">
        <v>1.121078</v>
      </c>
      <c r="L488">
        <v>367.76889999999997</v>
      </c>
      <c r="M488">
        <v>0.99989380000000005</v>
      </c>
      <c r="N488">
        <v>-1.4229830000000001E-2</v>
      </c>
      <c r="O488">
        <v>3.1650210000000001E-3</v>
      </c>
      <c r="P488">
        <v>0.97632540000000001</v>
      </c>
      <c r="Q488">
        <v>0.20968120000000001</v>
      </c>
      <c r="R488">
        <v>-5.3128010000000003E-2</v>
      </c>
      <c r="S488">
        <v>3.079285</v>
      </c>
      <c r="T488">
        <v>-2.3284200000000001E-2</v>
      </c>
      <c r="U488">
        <v>3.5736080000000003E-2</v>
      </c>
      <c r="V488">
        <v>5.6227069999999997E-2</v>
      </c>
      <c r="W488">
        <v>0.22354859999999999</v>
      </c>
      <c r="X488">
        <v>0.97306970000000004</v>
      </c>
      <c r="Y488">
        <v>-8.4387309999999997E-3</v>
      </c>
      <c r="Z488">
        <v>1.130599E-4</v>
      </c>
      <c r="AA488">
        <v>0.99996439999999998</v>
      </c>
      <c r="AB488">
        <v>40</v>
      </c>
      <c r="AC488">
        <v>141.63369999999901</v>
      </c>
      <c r="AD488">
        <v>-1.0724929599999999</v>
      </c>
      <c r="AE488">
        <v>1.6454000000000499</v>
      </c>
      <c r="AF488">
        <v>-1.1970041298237699</v>
      </c>
      <c r="AG488">
        <v>-1.0724929599999999</v>
      </c>
      <c r="AH488">
        <v>141.630078773848</v>
      </c>
      <c r="AI488">
        <v>90.433848175221797</v>
      </c>
      <c r="AJ488">
        <v>90.484230838502995</v>
      </c>
      <c r="AK488">
        <v>141.63919751792699</v>
      </c>
      <c r="AL488">
        <v>77.082455368629994</v>
      </c>
      <c r="AM488">
        <v>86.692944533823095</v>
      </c>
      <c r="AN488">
        <v>1.0000000505104101</v>
      </c>
    </row>
    <row r="489" spans="1:40" x14ac:dyDescent="0.25">
      <c r="A489" t="str">
        <f>"20190303170951035"</f>
        <v>20190303170951035</v>
      </c>
      <c r="B489" t="str">
        <f>"1551604191020967"</f>
        <v>1551604191020967</v>
      </c>
      <c r="C489" t="s">
        <v>40</v>
      </c>
      <c r="D489">
        <v>4.5611040000000003</v>
      </c>
      <c r="E489">
        <v>0.4774912</v>
      </c>
      <c r="F489" t="s">
        <v>41</v>
      </c>
      <c r="G489">
        <v>-151.74770000000001</v>
      </c>
      <c r="H489">
        <v>-0.05</v>
      </c>
      <c r="I489">
        <v>370.41849999999999</v>
      </c>
      <c r="J489">
        <v>-321.41090000000003</v>
      </c>
      <c r="K489">
        <v>1.1210789999999999</v>
      </c>
      <c r="L489">
        <v>367.76960000000003</v>
      </c>
      <c r="M489">
        <v>0.99989380000000005</v>
      </c>
      <c r="N489">
        <v>-1.422852E-2</v>
      </c>
      <c r="O489">
        <v>3.165209E-3</v>
      </c>
      <c r="P489">
        <v>0.97627940000000002</v>
      </c>
      <c r="Q489">
        <v>0.20965349999999999</v>
      </c>
      <c r="R489">
        <v>-5.4073749999999997E-2</v>
      </c>
      <c r="S489">
        <v>3.079895</v>
      </c>
      <c r="T489">
        <v>-2.1230700000000002E-2</v>
      </c>
      <c r="U489">
        <v>4.8034670000000002E-2</v>
      </c>
      <c r="V489">
        <v>5.717295E-2</v>
      </c>
      <c r="W489">
        <v>0.22351840000000001</v>
      </c>
      <c r="X489">
        <v>0.97302140000000004</v>
      </c>
      <c r="Y489">
        <v>-1.242827E-2</v>
      </c>
      <c r="Z489">
        <v>1.544835E-4</v>
      </c>
      <c r="AA489">
        <v>0.9999228</v>
      </c>
      <c r="AB489">
        <v>40</v>
      </c>
      <c r="AC489">
        <v>169.66319999999999</v>
      </c>
      <c r="AD489">
        <v>-1.171079</v>
      </c>
      <c r="AE489">
        <v>2.6488999999999598</v>
      </c>
      <c r="AF489">
        <v>-2.1117123106706002</v>
      </c>
      <c r="AG489">
        <v>-1.171079</v>
      </c>
      <c r="AH489">
        <v>169.66265387666701</v>
      </c>
      <c r="AI489">
        <v>90.395441310537706</v>
      </c>
      <c r="AJ489">
        <v>90.713097154129798</v>
      </c>
      <c r="AK489">
        <v>169.67983638423601</v>
      </c>
      <c r="AL489">
        <v>77.084229079031303</v>
      </c>
      <c r="AM489">
        <v>86.637271657222499</v>
      </c>
      <c r="AN489">
        <v>0.99999993310410895</v>
      </c>
    </row>
    <row r="490" spans="1:40" x14ac:dyDescent="0.25">
      <c r="A490" t="str">
        <f>"20190303170951048"</f>
        <v>20190303170951048</v>
      </c>
      <c r="B490" t="str">
        <f>"1551604191041463"</f>
        <v>1551604191041463</v>
      </c>
      <c r="C490" t="s">
        <v>40</v>
      </c>
      <c r="D490">
        <v>4.5769690000000001</v>
      </c>
      <c r="E490">
        <v>0.47655639999999999</v>
      </c>
      <c r="F490" t="s">
        <v>44</v>
      </c>
      <c r="G490">
        <v>-176.40280000000001</v>
      </c>
      <c r="H490">
        <v>7.9988149999999994E-2</v>
      </c>
      <c r="I490">
        <v>370.28919999999999</v>
      </c>
      <c r="J490">
        <v>-321.2081</v>
      </c>
      <c r="K490">
        <v>1.1210819999999999</v>
      </c>
      <c r="L490">
        <v>367.77019999999999</v>
      </c>
      <c r="M490">
        <v>0.9998937</v>
      </c>
      <c r="N490">
        <v>-1.42273E-2</v>
      </c>
      <c r="O490">
        <v>3.165396E-3</v>
      </c>
      <c r="P490">
        <v>0.97620530000000005</v>
      </c>
      <c r="Q490">
        <v>0.2098322</v>
      </c>
      <c r="R490">
        <v>-5.4715890000000003E-2</v>
      </c>
      <c r="S490">
        <v>3.080597</v>
      </c>
      <c r="T490">
        <v>-2.211726E-2</v>
      </c>
      <c r="U490">
        <v>5.3527829999999998E-2</v>
      </c>
      <c r="V490">
        <v>5.7814650000000002E-2</v>
      </c>
      <c r="W490">
        <v>0.223695</v>
      </c>
      <c r="X490">
        <v>0.97294290000000005</v>
      </c>
      <c r="Y490">
        <v>-1.420684E-2</v>
      </c>
      <c r="Z490">
        <v>1.7438490000000001E-4</v>
      </c>
      <c r="AA490">
        <v>0.99989910000000004</v>
      </c>
      <c r="AB490">
        <v>40</v>
      </c>
      <c r="AC490">
        <v>144.80529999999999</v>
      </c>
      <c r="AD490">
        <v>-1.04109385</v>
      </c>
      <c r="AE490">
        <v>2.5190000000000001</v>
      </c>
      <c r="AF490">
        <v>-2.0604683532834702</v>
      </c>
      <c r="AG490">
        <v>-1.04109385</v>
      </c>
      <c r="AH490">
        <v>144.80506605247601</v>
      </c>
      <c r="AI490">
        <v>90.4118862691262</v>
      </c>
      <c r="AJ490">
        <v>90.815221296964694</v>
      </c>
      <c r="AK490">
        <v>144.823466885382</v>
      </c>
      <c r="AL490">
        <v>77.073847831151696</v>
      </c>
      <c r="AM490">
        <v>86.599343297582195</v>
      </c>
      <c r="AN490">
        <v>0.99999993672001397</v>
      </c>
    </row>
    <row r="491" spans="1:40" x14ac:dyDescent="0.25">
      <c r="A491" t="str">
        <f>"20190303170951060"</f>
        <v>20190303170951060</v>
      </c>
      <c r="B491" t="str">
        <f>"1551604191051223"</f>
        <v>1551604191051223</v>
      </c>
      <c r="C491" t="s">
        <v>40</v>
      </c>
      <c r="D491">
        <v>4.5927519999999999</v>
      </c>
      <c r="E491">
        <v>0.47611569999999998</v>
      </c>
      <c r="F491" t="s">
        <v>44</v>
      </c>
      <c r="G491">
        <v>-180</v>
      </c>
      <c r="H491">
        <v>3.833595E-3</v>
      </c>
      <c r="I491">
        <v>370.50400000000002</v>
      </c>
      <c r="J491">
        <v>-320.9631</v>
      </c>
      <c r="K491">
        <v>1.1210249999999999</v>
      </c>
      <c r="L491">
        <v>367.77100000000002</v>
      </c>
      <c r="M491">
        <v>0.99989680000000003</v>
      </c>
      <c r="N491">
        <v>-1.4028819999999999E-2</v>
      </c>
      <c r="O491">
        <v>3.1651380000000001E-3</v>
      </c>
      <c r="P491">
        <v>0.97611579999999998</v>
      </c>
      <c r="Q491">
        <v>0.2100756</v>
      </c>
      <c r="R491">
        <v>-5.5379360000000002E-2</v>
      </c>
      <c r="S491">
        <v>3.081696</v>
      </c>
      <c r="T491">
        <v>-2.4382589999999999E-2</v>
      </c>
      <c r="U491">
        <v>5.9661869999999999E-2</v>
      </c>
      <c r="V491">
        <v>5.8477590000000003E-2</v>
      </c>
      <c r="W491">
        <v>0.22374379999999999</v>
      </c>
      <c r="X491">
        <v>0.97289210000000004</v>
      </c>
      <c r="Y491">
        <v>-1.619015E-2</v>
      </c>
      <c r="Z491">
        <v>1.969896E-4</v>
      </c>
      <c r="AA491">
        <v>0.99986889999999995</v>
      </c>
      <c r="AB491">
        <v>40</v>
      </c>
      <c r="AC491">
        <v>140.9631</v>
      </c>
      <c r="AD491">
        <v>-1.117191405</v>
      </c>
      <c r="AE491">
        <v>2.73300000000006</v>
      </c>
      <c r="AF491">
        <v>-2.2866312549691998</v>
      </c>
      <c r="AG491">
        <v>-1.117191405</v>
      </c>
      <c r="AH491">
        <v>140.96219411574799</v>
      </c>
      <c r="AI491">
        <v>90.454026648668901</v>
      </c>
      <c r="AJ491">
        <v>90.929347270329401</v>
      </c>
      <c r="AK491">
        <v>140.985165776607</v>
      </c>
      <c r="AL491">
        <v>77.0709796196615</v>
      </c>
      <c r="AM491">
        <v>86.560263099897099</v>
      </c>
      <c r="AN491">
        <v>0.99999997740652802</v>
      </c>
    </row>
    <row r="492" spans="1:40" x14ac:dyDescent="0.25">
      <c r="A492" t="str">
        <f>"20190303170951072"</f>
        <v>20190303170951072</v>
      </c>
      <c r="B492" t="str">
        <f>"1551604191060983"</f>
        <v>1551604191060983</v>
      </c>
      <c r="C492" t="s">
        <v>40</v>
      </c>
      <c r="D492">
        <v>4.6451969999999996</v>
      </c>
      <c r="E492">
        <v>0.47602949999999999</v>
      </c>
      <c r="F492" t="s">
        <v>44</v>
      </c>
      <c r="G492">
        <v>-177.417</v>
      </c>
      <c r="H492">
        <v>7.9988149999999994E-2</v>
      </c>
      <c r="I492">
        <v>370.60550000000001</v>
      </c>
      <c r="J492">
        <v>-320.75279999999998</v>
      </c>
      <c r="K492">
        <v>1.1208979999999999</v>
      </c>
      <c r="L492">
        <v>367.77159999999998</v>
      </c>
      <c r="M492">
        <v>0.99990310000000004</v>
      </c>
      <c r="N492">
        <v>-1.355745E-2</v>
      </c>
      <c r="O492">
        <v>3.16519E-3</v>
      </c>
      <c r="P492">
        <v>0.97604329999999995</v>
      </c>
      <c r="Q492">
        <v>0.2102224</v>
      </c>
      <c r="R492">
        <v>-5.6091290000000002E-2</v>
      </c>
      <c r="S492">
        <v>3.0816650000000001</v>
      </c>
      <c r="T492">
        <v>-2.234912E-2</v>
      </c>
      <c r="U492">
        <v>6.0852049999999998E-2</v>
      </c>
      <c r="V492">
        <v>5.9189470000000001E-2</v>
      </c>
      <c r="W492">
        <v>0.22343060000000001</v>
      </c>
      <c r="X492">
        <v>0.97292109999999998</v>
      </c>
      <c r="Y492">
        <v>-1.6576489999999999E-2</v>
      </c>
      <c r="Z492">
        <v>1.9244830000000001E-4</v>
      </c>
      <c r="AA492">
        <v>0.99986260000000005</v>
      </c>
      <c r="AB492">
        <v>40</v>
      </c>
      <c r="AC492">
        <v>143.33579999999901</v>
      </c>
      <c r="AD492">
        <v>-1.04090985</v>
      </c>
      <c r="AE492">
        <v>2.8339000000000198</v>
      </c>
      <c r="AF492">
        <v>-2.3800336006390501</v>
      </c>
      <c r="AG492">
        <v>-1.04090985</v>
      </c>
      <c r="AH492">
        <v>143.33649631416301</v>
      </c>
      <c r="AI492">
        <v>90.416017378125304</v>
      </c>
      <c r="AJ492">
        <v>90.951281449689702</v>
      </c>
      <c r="AK492">
        <v>143.360033582851</v>
      </c>
      <c r="AL492">
        <v>77.089391664695896</v>
      </c>
      <c r="AM492">
        <v>86.518595180439206</v>
      </c>
      <c r="AN492">
        <v>1.0000000466002199</v>
      </c>
    </row>
    <row r="493" spans="1:40" x14ac:dyDescent="0.25">
      <c r="A493" t="str">
        <f>"20190303170951086"</f>
        <v>20190303170951086</v>
      </c>
      <c r="B493" t="str">
        <f>"1551604191081479"</f>
        <v>1551604191081479</v>
      </c>
      <c r="C493" t="s">
        <v>40</v>
      </c>
      <c r="D493">
        <v>4.5457939999999999</v>
      </c>
      <c r="E493">
        <v>0.4757652</v>
      </c>
      <c r="F493" t="s">
        <v>41</v>
      </c>
      <c r="G493">
        <v>-155.08789999999999</v>
      </c>
      <c r="H493">
        <v>-0.05</v>
      </c>
      <c r="I493">
        <v>370.97390000000001</v>
      </c>
      <c r="J493">
        <v>-320.52569999999997</v>
      </c>
      <c r="K493">
        <v>1.120768</v>
      </c>
      <c r="L493">
        <v>367.77229999999997</v>
      </c>
      <c r="M493">
        <v>0.99990769999999995</v>
      </c>
      <c r="N493">
        <v>-1.321726E-2</v>
      </c>
      <c r="O493">
        <v>3.1647989999999998E-3</v>
      </c>
      <c r="P493">
        <v>0.97597739999999999</v>
      </c>
      <c r="Q493">
        <v>0.21041679999999999</v>
      </c>
      <c r="R493">
        <v>-5.6506849999999997E-2</v>
      </c>
      <c r="S493">
        <v>3.0817570000000001</v>
      </c>
      <c r="T493">
        <v>-2.1781439999999999E-2</v>
      </c>
      <c r="U493">
        <v>5.9570310000000001E-2</v>
      </c>
      <c r="V493">
        <v>5.9604509999999999E-2</v>
      </c>
      <c r="W493">
        <v>0.22329299999999999</v>
      </c>
      <c r="X493">
        <v>0.97292730000000005</v>
      </c>
      <c r="Y493">
        <v>-1.61607E-2</v>
      </c>
      <c r="Z493">
        <v>1.833862E-4</v>
      </c>
      <c r="AA493">
        <v>0.99986940000000002</v>
      </c>
      <c r="AB493">
        <v>40</v>
      </c>
      <c r="AC493">
        <v>165.43779999999899</v>
      </c>
      <c r="AD493">
        <v>-1.170768</v>
      </c>
      <c r="AE493">
        <v>3.20160000000004</v>
      </c>
      <c r="AF493">
        <v>-2.6778268139448702</v>
      </c>
      <c r="AG493">
        <v>-1.170768</v>
      </c>
      <c r="AH493">
        <v>165.43882242503199</v>
      </c>
      <c r="AI493">
        <v>90.405407626498899</v>
      </c>
      <c r="AJ493">
        <v>90.927320295890098</v>
      </c>
      <c r="AK493">
        <v>165.46463495120801</v>
      </c>
      <c r="AL493">
        <v>77.0974792475795</v>
      </c>
      <c r="AM493">
        <v>86.494266325167104</v>
      </c>
      <c r="AN493">
        <v>0.99999999627331504</v>
      </c>
    </row>
    <row r="494" spans="1:40" x14ac:dyDescent="0.25">
      <c r="A494" t="str">
        <f>"20190303170951100"</f>
        <v>20190303170951100</v>
      </c>
      <c r="B494" t="str">
        <f>"1551604191091239"</f>
        <v>1551604191091239</v>
      </c>
      <c r="C494" t="s">
        <v>40</v>
      </c>
      <c r="D494">
        <v>4.5739010000000002</v>
      </c>
      <c r="E494">
        <v>0.47551569999999999</v>
      </c>
      <c r="F494" t="s">
        <v>41</v>
      </c>
      <c r="G494">
        <v>-146.1267</v>
      </c>
      <c r="H494">
        <v>-0.05</v>
      </c>
      <c r="I494">
        <v>371.2056</v>
      </c>
      <c r="J494">
        <v>-320.27690000000001</v>
      </c>
      <c r="K494">
        <v>1.120627</v>
      </c>
      <c r="L494">
        <v>367.7731</v>
      </c>
      <c r="M494">
        <v>0.99991019999999997</v>
      </c>
      <c r="N494">
        <v>-1.301772E-2</v>
      </c>
      <c r="O494">
        <v>3.1642689999999999E-3</v>
      </c>
      <c r="P494">
        <v>0.975943</v>
      </c>
      <c r="Q494">
        <v>0.2104259</v>
      </c>
      <c r="R494">
        <v>-5.7064440000000001E-2</v>
      </c>
      <c r="S494">
        <v>3.0817869999999998</v>
      </c>
      <c r="T494">
        <v>-2.068853E-2</v>
      </c>
      <c r="U494">
        <v>6.0668949999999999E-2</v>
      </c>
      <c r="V494">
        <v>6.0161260000000001E-2</v>
      </c>
      <c r="W494">
        <v>0.223108</v>
      </c>
      <c r="X494">
        <v>0.97293549999999995</v>
      </c>
      <c r="Y494">
        <v>-1.6517420000000001E-2</v>
      </c>
      <c r="Z494">
        <v>1.8291450000000001E-4</v>
      </c>
      <c r="AA494">
        <v>0.99986359999999996</v>
      </c>
      <c r="AB494">
        <v>40</v>
      </c>
      <c r="AC494">
        <v>174.15020000000001</v>
      </c>
      <c r="AD494">
        <v>-1.1706270000000001</v>
      </c>
      <c r="AE494">
        <v>3.4325000000000001</v>
      </c>
      <c r="AF494">
        <v>-2.8812478666619299</v>
      </c>
      <c r="AG494">
        <v>-1.1706270000000001</v>
      </c>
      <c r="AH494">
        <v>174.15232435299001</v>
      </c>
      <c r="AI494">
        <v>90.385075533668697</v>
      </c>
      <c r="AJ494">
        <v>90.947838528749003</v>
      </c>
      <c r="AK494">
        <v>174.18009080945899</v>
      </c>
      <c r="AL494">
        <v>77.108353628732601</v>
      </c>
      <c r="AM494">
        <v>86.4616327513192</v>
      </c>
      <c r="AN494">
        <v>1.00000002201451</v>
      </c>
    </row>
    <row r="495" spans="1:40" x14ac:dyDescent="0.25">
      <c r="A495" t="str">
        <f>"20190303170951113"</f>
        <v>20190303170951113</v>
      </c>
      <c r="B495" t="str">
        <f>"1551604191101001"</f>
        <v>1551604191101001</v>
      </c>
      <c r="C495" t="s">
        <v>40</v>
      </c>
      <c r="D495">
        <v>4.5643500000000001</v>
      </c>
      <c r="E495">
        <v>0.47529470000000001</v>
      </c>
      <c r="F495" t="s">
        <v>41</v>
      </c>
      <c r="G495">
        <v>-152.96600000000001</v>
      </c>
      <c r="H495">
        <v>-0.05</v>
      </c>
      <c r="I495">
        <v>371.07639999999998</v>
      </c>
      <c r="J495">
        <v>-320.03109999999998</v>
      </c>
      <c r="K495">
        <v>1.1204909999999999</v>
      </c>
      <c r="L495">
        <v>367.77390000000003</v>
      </c>
      <c r="M495">
        <v>0.99990840000000003</v>
      </c>
      <c r="N495">
        <v>-1.3169429999999999E-2</v>
      </c>
      <c r="O495">
        <v>3.1637459999999998E-3</v>
      </c>
      <c r="P495">
        <v>0.97591589999999995</v>
      </c>
      <c r="Q495">
        <v>0.2104269</v>
      </c>
      <c r="R495">
        <v>-5.7521280000000001E-2</v>
      </c>
      <c r="S495">
        <v>3.0821529999999999</v>
      </c>
      <c r="T495">
        <v>-2.1564960000000001E-2</v>
      </c>
      <c r="U495">
        <v>6.0852049999999998E-2</v>
      </c>
      <c r="V495">
        <v>6.0617650000000002E-2</v>
      </c>
      <c r="W495">
        <v>0.22325619999999999</v>
      </c>
      <c r="X495">
        <v>0.97287319999999999</v>
      </c>
      <c r="Y495">
        <v>-1.65749E-2</v>
      </c>
      <c r="Z495">
        <v>1.866688E-4</v>
      </c>
      <c r="AA495">
        <v>0.99986260000000005</v>
      </c>
      <c r="AB495">
        <v>40</v>
      </c>
      <c r="AC495">
        <v>167.06509999999901</v>
      </c>
      <c r="AD495">
        <v>-1.1704909999999999</v>
      </c>
      <c r="AE495">
        <v>3.30249999999995</v>
      </c>
      <c r="AF495">
        <v>-2.77375005223622</v>
      </c>
      <c r="AG495">
        <v>-1.1704909999999999</v>
      </c>
      <c r="AH495">
        <v>167.066515370996</v>
      </c>
      <c r="AI495">
        <v>90.401360237421997</v>
      </c>
      <c r="AJ495">
        <v>90.951175470857706</v>
      </c>
      <c r="AK495">
        <v>167.09363930665</v>
      </c>
      <c r="AL495">
        <v>77.099643001337697</v>
      </c>
      <c r="AM495">
        <v>86.434631563693401</v>
      </c>
      <c r="AN495">
        <v>1.0000000468040999</v>
      </c>
    </row>
    <row r="496" spans="1:40" x14ac:dyDescent="0.25">
      <c r="A496" t="str">
        <f>"20190303170951136"</f>
        <v>20190303170951136</v>
      </c>
      <c r="B496" t="str">
        <f>"1551604191131255"</f>
        <v>1551604191131255</v>
      </c>
      <c r="C496" t="s">
        <v>40</v>
      </c>
      <c r="D496">
        <v>4.5499210000000003</v>
      </c>
      <c r="E496">
        <v>0.47543920000000001</v>
      </c>
      <c r="F496" t="s">
        <v>41</v>
      </c>
      <c r="G496">
        <v>-154.09370000000001</v>
      </c>
      <c r="H496">
        <v>-0.05</v>
      </c>
      <c r="I496">
        <v>371.08109999999999</v>
      </c>
      <c r="J496">
        <v>-319.63099999999997</v>
      </c>
      <c r="K496">
        <v>1.1201139999999901</v>
      </c>
      <c r="L496">
        <v>367.77510000000001</v>
      </c>
      <c r="M496">
        <v>0.99990080000000003</v>
      </c>
      <c r="N496">
        <v>-1.373542E-2</v>
      </c>
      <c r="O496">
        <v>3.163309E-3</v>
      </c>
      <c r="P496">
        <v>0.97600920000000002</v>
      </c>
      <c r="Q496">
        <v>0.2098669</v>
      </c>
      <c r="R496">
        <v>-5.7984649999999999E-2</v>
      </c>
      <c r="S496">
        <v>3.0823360000000002</v>
      </c>
      <c r="T496">
        <v>-2.174222E-2</v>
      </c>
      <c r="U496">
        <v>6.1431880000000001E-2</v>
      </c>
      <c r="V496">
        <v>6.1080959999999997E-2</v>
      </c>
      <c r="W496">
        <v>0.2232479</v>
      </c>
      <c r="X496">
        <v>0.97284610000000005</v>
      </c>
      <c r="Y496">
        <v>-1.676211E-2</v>
      </c>
      <c r="Z496">
        <v>1.953875E-4</v>
      </c>
      <c r="AA496">
        <v>0.99985950000000001</v>
      </c>
      <c r="AB496">
        <v>40</v>
      </c>
      <c r="AC496">
        <v>165.53729999999899</v>
      </c>
      <c r="AD496">
        <v>-1.1701140000000001</v>
      </c>
      <c r="AE496">
        <v>3.3059999999999801</v>
      </c>
      <c r="AF496">
        <v>-2.78214954075758</v>
      </c>
      <c r="AG496">
        <v>-1.1701140000000001</v>
      </c>
      <c r="AH496">
        <v>165.53866268280601</v>
      </c>
      <c r="AI496">
        <v>90.404932660836707</v>
      </c>
      <c r="AJ496">
        <v>90.962859176769499</v>
      </c>
      <c r="AK496">
        <v>165.566175185791</v>
      </c>
      <c r="AL496">
        <v>77.100130536446997</v>
      </c>
      <c r="AM496">
        <v>86.407352190839703</v>
      </c>
      <c r="AN496">
        <v>1.0000000214070699</v>
      </c>
    </row>
    <row r="497" spans="1:40" x14ac:dyDescent="0.25">
      <c r="A497" t="str">
        <f>"20190303170951147"</f>
        <v>20190303170951147</v>
      </c>
      <c r="B497" t="str">
        <f>"1551604191141014"</f>
        <v>1551604191141014</v>
      </c>
      <c r="C497" t="s">
        <v>40</v>
      </c>
      <c r="D497">
        <v>4.5660189999999998</v>
      </c>
      <c r="E497">
        <v>0.47526499999999999</v>
      </c>
      <c r="F497" t="s">
        <v>44</v>
      </c>
      <c r="G497">
        <v>-179.92150000000001</v>
      </c>
      <c r="H497">
        <v>7.9988050000000005E-2</v>
      </c>
      <c r="I497">
        <v>370.44749999999999</v>
      </c>
      <c r="J497">
        <v>-319.42099999999999</v>
      </c>
      <c r="K497">
        <v>1.119766</v>
      </c>
      <c r="L497">
        <v>367.7758</v>
      </c>
      <c r="M497">
        <v>0.99989499999999998</v>
      </c>
      <c r="N497">
        <v>-1.4153300000000001E-2</v>
      </c>
      <c r="O497">
        <v>3.1630569999999999E-3</v>
      </c>
      <c r="P497">
        <v>0.97611859999999995</v>
      </c>
      <c r="Q497">
        <v>0.2092909</v>
      </c>
      <c r="R497">
        <v>-5.8225449999999998E-2</v>
      </c>
      <c r="S497">
        <v>3.082214</v>
      </c>
      <c r="T497">
        <v>-2.2946830000000001E-2</v>
      </c>
      <c r="U497">
        <v>5.8959959999999999E-2</v>
      </c>
      <c r="V497">
        <v>6.1322059999999998E-2</v>
      </c>
      <c r="W497">
        <v>0.2230801</v>
      </c>
      <c r="X497">
        <v>0.9728694</v>
      </c>
      <c r="Y497">
        <v>-1.5961489999999998E-2</v>
      </c>
      <c r="Z497">
        <v>1.9360490000000001E-4</v>
      </c>
      <c r="AA497">
        <v>0.9998726</v>
      </c>
      <c r="AB497">
        <v>40</v>
      </c>
      <c r="AC497">
        <v>139.49949999999899</v>
      </c>
      <c r="AD497">
        <v>-1.03977795</v>
      </c>
      <c r="AE497">
        <v>2.67169999999998</v>
      </c>
      <c r="AF497">
        <v>-2.2302737735851799</v>
      </c>
      <c r="AG497">
        <v>-1.03977795</v>
      </c>
      <c r="AH497">
        <v>139.499506320911</v>
      </c>
      <c r="AI497">
        <v>90.426999166855893</v>
      </c>
      <c r="AJ497">
        <v>90.915948678703401</v>
      </c>
      <c r="AK497">
        <v>139.521208147967</v>
      </c>
      <c r="AL497">
        <v>77.109993192963302</v>
      </c>
      <c r="AM497">
        <v>86.393294733412802</v>
      </c>
      <c r="AN497">
        <v>0.99999999775750603</v>
      </c>
    </row>
    <row r="498" spans="1:40" x14ac:dyDescent="0.25">
      <c r="A498" t="str">
        <f>"20190303170951160"</f>
        <v>20190303170951160</v>
      </c>
      <c r="B498" t="str">
        <f>"1551604191150774"</f>
        <v>1551604191150774</v>
      </c>
      <c r="C498" t="s">
        <v>40</v>
      </c>
      <c r="D498">
        <v>4.4814480000000003</v>
      </c>
      <c r="E498">
        <v>0.47530559999999999</v>
      </c>
      <c r="F498" t="s">
        <v>44</v>
      </c>
      <c r="G498">
        <v>-180</v>
      </c>
      <c r="H498">
        <v>5.3631590000000002E-3</v>
      </c>
      <c r="I498">
        <v>370.48970000000003</v>
      </c>
      <c r="J498">
        <v>-319.18709999999999</v>
      </c>
      <c r="K498">
        <v>1.119329</v>
      </c>
      <c r="L498">
        <v>367.77659999999997</v>
      </c>
      <c r="M498">
        <v>0.99988699999999997</v>
      </c>
      <c r="N498">
        <v>-1.470189E-2</v>
      </c>
      <c r="O498">
        <v>3.1631239999999998E-3</v>
      </c>
      <c r="P498">
        <v>0.9762381</v>
      </c>
      <c r="Q498">
        <v>0.2087243</v>
      </c>
      <c r="R498">
        <v>-5.825466E-2</v>
      </c>
      <c r="S498">
        <v>3.0822750000000001</v>
      </c>
      <c r="T498">
        <v>-2.463686E-2</v>
      </c>
      <c r="U498">
        <v>5.9997559999999998E-2</v>
      </c>
      <c r="V498">
        <v>6.1351820000000001E-2</v>
      </c>
      <c r="W498">
        <v>0.22304889999999999</v>
      </c>
      <c r="X498">
        <v>0.97287469999999998</v>
      </c>
      <c r="Y498">
        <v>-1.6297289999999999E-2</v>
      </c>
      <c r="Z498">
        <v>2.061722E-4</v>
      </c>
      <c r="AA498">
        <v>0.99986710000000001</v>
      </c>
      <c r="AB498">
        <v>40</v>
      </c>
      <c r="AC498">
        <v>139.18709999999999</v>
      </c>
      <c r="AD498">
        <v>-1.113965841</v>
      </c>
      <c r="AE498">
        <v>2.71310000000005</v>
      </c>
      <c r="AF498">
        <v>-2.2726272999051602</v>
      </c>
      <c r="AG498">
        <v>-1.113965841</v>
      </c>
      <c r="AH498">
        <v>139.18607430965301</v>
      </c>
      <c r="AI498">
        <v>90.458491792439602</v>
      </c>
      <c r="AJ498">
        <v>90.935441160756994</v>
      </c>
      <c r="AK498">
        <v>139.209083886331</v>
      </c>
      <c r="AL498">
        <v>77.111827315526696</v>
      </c>
      <c r="AM498">
        <v>86.391568605273505</v>
      </c>
      <c r="AN498">
        <v>1.0000000197543</v>
      </c>
    </row>
    <row r="499" spans="1:40" x14ac:dyDescent="0.25">
      <c r="A499" t="str">
        <f>"20190303170951171"</f>
        <v>20190303170951171</v>
      </c>
      <c r="B499" t="str">
        <f>"1551604191161513"</f>
        <v>1551604191161513</v>
      </c>
      <c r="C499" t="s">
        <v>40</v>
      </c>
      <c r="D499">
        <v>4.5563339999999997</v>
      </c>
      <c r="E499">
        <v>0.47524840000000002</v>
      </c>
      <c r="F499" t="s">
        <v>44</v>
      </c>
      <c r="G499">
        <v>-187.7757</v>
      </c>
      <c r="H499" s="1">
        <v>-9.4656229999999992E-6</v>
      </c>
      <c r="I499">
        <v>370.32679999999999</v>
      </c>
      <c r="J499">
        <v>-318.98110000000003</v>
      </c>
      <c r="K499">
        <v>1.11887</v>
      </c>
      <c r="L499">
        <v>367.77719999999999</v>
      </c>
      <c r="M499">
        <v>0.99987760000000003</v>
      </c>
      <c r="N499">
        <v>-1.532758E-2</v>
      </c>
      <c r="O499">
        <v>3.1642939999999998E-3</v>
      </c>
      <c r="P499">
        <v>0.97642899999999999</v>
      </c>
      <c r="Q499">
        <v>0.20786399999999999</v>
      </c>
      <c r="R499">
        <v>-5.8130910000000001E-2</v>
      </c>
      <c r="S499">
        <v>3.0821529999999999</v>
      </c>
      <c r="T499">
        <v>-2.6253220000000001E-2</v>
      </c>
      <c r="U499">
        <v>5.9814449999999998E-2</v>
      </c>
      <c r="V499">
        <v>6.1229930000000002E-2</v>
      </c>
      <c r="W499">
        <v>0.22280030000000001</v>
      </c>
      <c r="X499">
        <v>0.97293929999999995</v>
      </c>
      <c r="Y499">
        <v>-1.623732E-2</v>
      </c>
      <c r="Z499">
        <v>2.1516100000000001E-4</v>
      </c>
      <c r="AA499">
        <v>0.99986819999999998</v>
      </c>
      <c r="AB499">
        <v>40</v>
      </c>
      <c r="AC499">
        <v>131.2054</v>
      </c>
      <c r="AD499">
        <v>-1.1188794656229999</v>
      </c>
      <c r="AE499">
        <v>2.5495999999999901</v>
      </c>
      <c r="AF499">
        <v>-2.1342108840878198</v>
      </c>
      <c r="AG499">
        <v>-1.1188794656229999</v>
      </c>
      <c r="AH499">
        <v>131.203273906156</v>
      </c>
      <c r="AI499">
        <v>90.488532307971795</v>
      </c>
      <c r="AJ499">
        <v>90.931916477573793</v>
      </c>
      <c r="AK499">
        <v>131.225400860695</v>
      </c>
      <c r="AL499">
        <v>77.126438208388606</v>
      </c>
      <c r="AM499">
        <v>86.398957212349302</v>
      </c>
      <c r="AN499">
        <v>0.99999997974619204</v>
      </c>
    </row>
    <row r="500" spans="1:40" x14ac:dyDescent="0.25">
      <c r="A500" t="str">
        <f>"20190303170951182"</f>
        <v>20190303170951182</v>
      </c>
      <c r="B500" t="str">
        <f>"1551604191171271"</f>
        <v>1551604191171271</v>
      </c>
      <c r="C500" t="s">
        <v>40</v>
      </c>
      <c r="D500">
        <v>4.5276860000000001</v>
      </c>
      <c r="E500">
        <v>0.47508600000000001</v>
      </c>
      <c r="F500" t="s">
        <v>44</v>
      </c>
      <c r="G500">
        <v>-202.94309999999999</v>
      </c>
      <c r="H500" s="1">
        <v>-4.0395099999999999E-6</v>
      </c>
      <c r="I500">
        <v>370.0566</v>
      </c>
      <c r="J500">
        <v>-318.78219999999999</v>
      </c>
      <c r="K500">
        <v>1.1183719999999999</v>
      </c>
      <c r="L500">
        <v>367.77780000000001</v>
      </c>
      <c r="M500">
        <v>0.99986580000000003</v>
      </c>
      <c r="N500">
        <v>-1.6085829999999999E-2</v>
      </c>
      <c r="O500">
        <v>3.1655120000000001E-3</v>
      </c>
      <c r="P500">
        <v>0.97666169999999997</v>
      </c>
      <c r="Q500">
        <v>0.20681459999999999</v>
      </c>
      <c r="R500">
        <v>-5.7967730000000002E-2</v>
      </c>
      <c r="S500">
        <v>3.082306</v>
      </c>
      <c r="T500">
        <v>-2.972054E-2</v>
      </c>
      <c r="U500">
        <v>6.0546879999999997E-2</v>
      </c>
      <c r="V500">
        <v>6.106868E-2</v>
      </c>
      <c r="W500">
        <v>0.22249250000000001</v>
      </c>
      <c r="X500">
        <v>0.97301990000000005</v>
      </c>
      <c r="Y500">
        <v>-1.6472199999999999E-2</v>
      </c>
      <c r="Z500">
        <v>2.3232010000000001E-4</v>
      </c>
      <c r="AA500">
        <v>0.99986430000000004</v>
      </c>
      <c r="AB500">
        <v>40</v>
      </c>
      <c r="AC500">
        <v>115.8391</v>
      </c>
      <c r="AD500">
        <v>-1.11837603951</v>
      </c>
      <c r="AE500">
        <v>2.27879999999998</v>
      </c>
      <c r="AF500">
        <v>-1.91187300218574</v>
      </c>
      <c r="AG500">
        <v>-1.11837603951</v>
      </c>
      <c r="AH500">
        <v>115.83494109946599</v>
      </c>
      <c r="AI500">
        <v>90.553093133310696</v>
      </c>
      <c r="AJ500">
        <v>90.945589538103704</v>
      </c>
      <c r="AK500">
        <v>115.856115949306</v>
      </c>
      <c r="AL500">
        <v>77.144528323526998</v>
      </c>
      <c r="AM500">
        <v>86.408712490102602</v>
      </c>
      <c r="AN500">
        <v>1.0000000110145999</v>
      </c>
    </row>
    <row r="501" spans="1:40" x14ac:dyDescent="0.25">
      <c r="A501" t="str">
        <f>"20190303170951194"</f>
        <v>20190303170951194</v>
      </c>
      <c r="B501" t="str">
        <f>"1551604191181031"</f>
        <v>1551604191181031</v>
      </c>
      <c r="C501" t="s">
        <v>40</v>
      </c>
      <c r="D501">
        <v>4.4245910000000004</v>
      </c>
      <c r="E501">
        <v>0.47516710000000001</v>
      </c>
      <c r="F501" t="s">
        <v>42</v>
      </c>
      <c r="G501">
        <v>-215.08439999999999</v>
      </c>
      <c r="H501" s="1">
        <v>-2.1574950000000002E-6</v>
      </c>
      <c r="I501">
        <v>369.86610000000002</v>
      </c>
      <c r="J501">
        <v>-318.56979999999999</v>
      </c>
      <c r="K501">
        <v>1.1178049999999999</v>
      </c>
      <c r="L501">
        <v>367.77850000000001</v>
      </c>
      <c r="M501">
        <v>0.99985060000000003</v>
      </c>
      <c r="N501">
        <v>-1.699469E-2</v>
      </c>
      <c r="O501">
        <v>3.166889E-3</v>
      </c>
      <c r="P501">
        <v>0.97687480000000004</v>
      </c>
      <c r="Q501">
        <v>0.2058509</v>
      </c>
      <c r="R501">
        <v>-5.7802829999999999E-2</v>
      </c>
      <c r="S501">
        <v>3.0824280000000002</v>
      </c>
      <c r="T501">
        <v>-3.3243780000000001E-2</v>
      </c>
      <c r="U501">
        <v>6.2072750000000003E-2</v>
      </c>
      <c r="V501">
        <v>6.0905939999999999E-2</v>
      </c>
      <c r="W501">
        <v>0.22241720000000001</v>
      </c>
      <c r="X501">
        <v>0.97304729999999995</v>
      </c>
      <c r="Y501">
        <v>-1.696425E-2</v>
      </c>
      <c r="Z501">
        <v>2.553244E-4</v>
      </c>
      <c r="AA501">
        <v>0.99985610000000003</v>
      </c>
      <c r="AB501">
        <v>40</v>
      </c>
      <c r="AC501">
        <v>103.4854</v>
      </c>
      <c r="AD501">
        <v>-1.1178071574949999</v>
      </c>
      <c r="AE501">
        <v>2.0876000000000001</v>
      </c>
      <c r="AF501">
        <v>-1.7596102100423301</v>
      </c>
      <c r="AG501">
        <v>-1.1178071574949999</v>
      </c>
      <c r="AH501">
        <v>103.479424574413</v>
      </c>
      <c r="AI501">
        <v>90.618807897399805</v>
      </c>
      <c r="AJ501">
        <v>90.974189057262606</v>
      </c>
      <c r="AK501">
        <v>103.50042043964901</v>
      </c>
      <c r="AL501">
        <v>77.148953385833394</v>
      </c>
      <c r="AM501">
        <v>86.418358447683801</v>
      </c>
      <c r="AN501">
        <v>0.99999999621020597</v>
      </c>
    </row>
    <row r="502" spans="1:40" x14ac:dyDescent="0.25">
      <c r="A502" t="str">
        <f>"20190303170951207"</f>
        <v>20190303170951207</v>
      </c>
      <c r="B502" t="str">
        <f>"1551604191201527"</f>
        <v>1551604191201527</v>
      </c>
      <c r="C502" t="s">
        <v>40</v>
      </c>
      <c r="D502">
        <v>4.4474470000000004</v>
      </c>
      <c r="E502">
        <v>0.47481760000000001</v>
      </c>
      <c r="F502" t="s">
        <v>42</v>
      </c>
      <c r="G502">
        <v>-223.62790000000001</v>
      </c>
      <c r="H502" s="1">
        <v>-2.7371200000000001E-6</v>
      </c>
      <c r="I502">
        <v>369.6961</v>
      </c>
      <c r="J502">
        <v>-318.36090000000002</v>
      </c>
      <c r="K502">
        <v>1.1171070000000001</v>
      </c>
      <c r="L502">
        <v>367.7792</v>
      </c>
      <c r="M502">
        <v>0.99983659999999996</v>
      </c>
      <c r="N502">
        <v>-1.78062999999999E-2</v>
      </c>
      <c r="O502">
        <v>3.1673579999999999E-3</v>
      </c>
      <c r="P502">
        <v>0.97700520000000002</v>
      </c>
      <c r="Q502">
        <v>0.2052524</v>
      </c>
      <c r="R502">
        <v>-5.7729969999999999E-2</v>
      </c>
      <c r="S502">
        <v>3.0823360000000002</v>
      </c>
      <c r="T502">
        <v>-3.6290169999999997E-2</v>
      </c>
      <c r="U502">
        <v>6.2255860000000003E-2</v>
      </c>
      <c r="V502">
        <v>6.0833999999999999E-2</v>
      </c>
      <c r="W502">
        <v>0.222611</v>
      </c>
      <c r="X502">
        <v>0.97300750000000003</v>
      </c>
      <c r="Y502">
        <v>-1.7023279999999998E-2</v>
      </c>
      <c r="Z502">
        <v>2.7091380000000001E-4</v>
      </c>
      <c r="AA502">
        <v>0.99985500000000005</v>
      </c>
      <c r="AB502">
        <v>40</v>
      </c>
      <c r="AC502">
        <v>94.732999999999905</v>
      </c>
      <c r="AD502">
        <v>-1.1171097371200001</v>
      </c>
      <c r="AE502">
        <v>1.9168999999999901</v>
      </c>
      <c r="AF502">
        <v>-1.6165648245819499</v>
      </c>
      <c r="AG502">
        <v>-1.1171097371200001</v>
      </c>
      <c r="AH502">
        <v>94.725430401430799</v>
      </c>
      <c r="AI502">
        <v>90.675567149037207</v>
      </c>
      <c r="AJ502">
        <v>90.977703148108006</v>
      </c>
      <c r="AK502">
        <v>94.745809304333605</v>
      </c>
      <c r="AL502">
        <v>77.137564156179394</v>
      </c>
      <c r="AM502">
        <v>86.422432015267603</v>
      </c>
      <c r="AN502">
        <v>1.0000000139666201</v>
      </c>
    </row>
    <row r="503" spans="1:40" x14ac:dyDescent="0.25">
      <c r="A503" t="str">
        <f>"20190303170951219"</f>
        <v>20190303170951219</v>
      </c>
      <c r="B503" t="str">
        <f>"1551604191211287"</f>
        <v>1551604191211287</v>
      </c>
      <c r="C503" t="s">
        <v>40</v>
      </c>
      <c r="D503">
        <v>4.4972120000000002</v>
      </c>
      <c r="E503">
        <v>0.47474569999999999</v>
      </c>
      <c r="F503" t="s">
        <v>42</v>
      </c>
      <c r="G503">
        <v>-226.0478</v>
      </c>
      <c r="H503" s="1">
        <v>-1.712295E-6</v>
      </c>
      <c r="I503">
        <v>369.74599999999998</v>
      </c>
      <c r="J503">
        <v>-318.14420000000001</v>
      </c>
      <c r="K503">
        <v>1.116331</v>
      </c>
      <c r="L503">
        <v>367.77980000000002</v>
      </c>
      <c r="M503">
        <v>0.99982210000000005</v>
      </c>
      <c r="N503">
        <v>-1.8601320000000001E-2</v>
      </c>
      <c r="O503">
        <v>3.1680110000000001E-3</v>
      </c>
      <c r="P503">
        <v>0.97717209999999999</v>
      </c>
      <c r="Q503">
        <v>0.20449400000000001</v>
      </c>
      <c r="R503">
        <v>-5.7592869999999997E-2</v>
      </c>
      <c r="S503">
        <v>3.082306</v>
      </c>
      <c r="T503">
        <v>-3.7299869999999999E-2</v>
      </c>
      <c r="U503">
        <v>6.5673830000000002E-2</v>
      </c>
      <c r="V503">
        <v>6.0698229999999999E-2</v>
      </c>
      <c r="W503">
        <v>0.22262960000000001</v>
      </c>
      <c r="X503">
        <v>0.97301170000000003</v>
      </c>
      <c r="Y503">
        <v>-1.8130650000000002E-2</v>
      </c>
      <c r="Z503">
        <v>2.9896030000000002E-4</v>
      </c>
      <c r="AA503">
        <v>0.99983560000000005</v>
      </c>
      <c r="AB503">
        <v>40</v>
      </c>
      <c r="AC503">
        <v>92.096400000000003</v>
      </c>
      <c r="AD503">
        <v>-1.116332712295</v>
      </c>
      <c r="AE503">
        <v>1.96619999999995</v>
      </c>
      <c r="AF503">
        <v>-1.6741314094723001</v>
      </c>
      <c r="AG503">
        <v>-1.116332712295</v>
      </c>
      <c r="AH503">
        <v>92.088643550213007</v>
      </c>
      <c r="AI503">
        <v>90.694411953400007</v>
      </c>
      <c r="AJ503">
        <v>91.041497576256603</v>
      </c>
      <c r="AK503">
        <v>92.110624716255799</v>
      </c>
      <c r="AL503">
        <v>77.136470723952598</v>
      </c>
      <c r="AM503">
        <v>86.430411171907096</v>
      </c>
      <c r="AN503">
        <v>0.99999999112909099</v>
      </c>
    </row>
    <row r="504" spans="1:40" x14ac:dyDescent="0.25">
      <c r="A504" t="str">
        <f>"20190303170951229"</f>
        <v>20190303170951229</v>
      </c>
      <c r="B504" t="str">
        <f>"1551604191221048"</f>
        <v>1551604191221048</v>
      </c>
      <c r="C504" t="s">
        <v>40</v>
      </c>
      <c r="D504">
        <v>4.462148</v>
      </c>
      <c r="E504">
        <v>0.47470099999999998</v>
      </c>
      <c r="F504" t="s">
        <v>42</v>
      </c>
      <c r="G504">
        <v>-231.76769999999999</v>
      </c>
      <c r="H504" s="1">
        <v>-3.5238149999999998E-6</v>
      </c>
      <c r="I504">
        <v>369.65350000000001</v>
      </c>
      <c r="J504">
        <v>-317.93900000000002</v>
      </c>
      <c r="K504">
        <v>1.1154630000000001</v>
      </c>
      <c r="L504">
        <v>367.78050000000002</v>
      </c>
      <c r="M504">
        <v>0.99981010000000003</v>
      </c>
      <c r="N504">
        <v>-1.9234850000000001E-2</v>
      </c>
      <c r="O504">
        <v>3.1678320000000002E-3</v>
      </c>
      <c r="P504">
        <v>0.97729719999999998</v>
      </c>
      <c r="Q504">
        <v>0.2039446</v>
      </c>
      <c r="R504">
        <v>-5.7420840000000001E-2</v>
      </c>
      <c r="S504">
        <v>3.0823670000000001</v>
      </c>
      <c r="T504">
        <v>-3.9836650000000001E-2</v>
      </c>
      <c r="U504">
        <v>6.6864010000000001E-2</v>
      </c>
      <c r="V504">
        <v>6.052631E-2</v>
      </c>
      <c r="W504">
        <v>0.22269939999999999</v>
      </c>
      <c r="X504">
        <v>0.97300640000000005</v>
      </c>
      <c r="Y504">
        <v>-1.8515759999999999E-2</v>
      </c>
      <c r="Z504">
        <v>3.1775880000000002E-4</v>
      </c>
      <c r="AA504">
        <v>0.99982850000000001</v>
      </c>
      <c r="AB504">
        <v>40</v>
      </c>
      <c r="AC504">
        <v>86.171300000000002</v>
      </c>
      <c r="AD504">
        <v>-1.1154665238150001</v>
      </c>
      <c r="AE504">
        <v>1.87299999999999</v>
      </c>
      <c r="AF504">
        <v>-1.59969599013206</v>
      </c>
      <c r="AG504">
        <v>-1.1154665238150001</v>
      </c>
      <c r="AH504">
        <v>86.162370785367898</v>
      </c>
      <c r="AI504">
        <v>90.741587572474998</v>
      </c>
      <c r="AJ504">
        <v>91.063634842751796</v>
      </c>
      <c r="AK504">
        <v>86.184438457193806</v>
      </c>
      <c r="AL504">
        <v>77.132368028842393</v>
      </c>
      <c r="AM504">
        <v>86.440476207463007</v>
      </c>
      <c r="AN504">
        <v>0.99999995570176703</v>
      </c>
    </row>
    <row r="505" spans="1:40" x14ac:dyDescent="0.25">
      <c r="A505" t="str">
        <f>"20190303170951242"</f>
        <v>20190303170951242</v>
      </c>
      <c r="B505" t="str">
        <f>"1551604191230807"</f>
        <v>1551604191230807</v>
      </c>
      <c r="C505" t="s">
        <v>40</v>
      </c>
      <c r="D505">
        <v>4.404731</v>
      </c>
      <c r="E505">
        <v>0.47470099999999998</v>
      </c>
      <c r="F505" t="s">
        <v>42</v>
      </c>
      <c r="G505">
        <v>-236.0223</v>
      </c>
      <c r="H505" s="1">
        <v>-1.6930299999999999E-6</v>
      </c>
      <c r="I505">
        <v>369.59230000000002</v>
      </c>
      <c r="J505">
        <v>-317.74259999999998</v>
      </c>
      <c r="K505">
        <v>1.114565</v>
      </c>
      <c r="L505">
        <v>367.78109999999998</v>
      </c>
      <c r="M505">
        <v>0.9997994</v>
      </c>
      <c r="N505">
        <v>-1.9780880000000001E-2</v>
      </c>
      <c r="O505">
        <v>3.1675480000000001E-3</v>
      </c>
      <c r="P505">
        <v>0.977379</v>
      </c>
      <c r="Q505">
        <v>0.20352039999999999</v>
      </c>
      <c r="R505">
        <v>-5.7532140000000002E-2</v>
      </c>
      <c r="S505">
        <v>3.0824889999999998</v>
      </c>
      <c r="T505">
        <v>-4.197443E-2</v>
      </c>
      <c r="U505">
        <v>6.8176269999999997E-2</v>
      </c>
      <c r="V505">
        <v>6.0637480000000001E-2</v>
      </c>
      <c r="W505">
        <v>0.2228077</v>
      </c>
      <c r="X505">
        <v>0.97297469999999997</v>
      </c>
      <c r="Y505">
        <v>-1.8940120000000001E-2</v>
      </c>
      <c r="Z505">
        <v>3.3585359999999999E-4</v>
      </c>
      <c r="AA505">
        <v>0.99982059999999995</v>
      </c>
      <c r="AB505">
        <v>40</v>
      </c>
      <c r="AC505">
        <v>81.720299999999895</v>
      </c>
      <c r="AD505">
        <v>-1.11456669302999</v>
      </c>
      <c r="AE505">
        <v>1.8112000000000399</v>
      </c>
      <c r="AF505">
        <v>-1.5519987442879599</v>
      </c>
      <c r="AG505">
        <v>-1.11456669302999</v>
      </c>
      <c r="AH505">
        <v>81.710436006255406</v>
      </c>
      <c r="AI505">
        <v>90.781350539506093</v>
      </c>
      <c r="AJ505">
        <v>91.088138688321393</v>
      </c>
      <c r="AK505">
        <v>81.732773789636198</v>
      </c>
      <c r="AL505">
        <v>77.126003172576901</v>
      </c>
      <c r="AM505">
        <v>86.433839323823804</v>
      </c>
      <c r="AN505">
        <v>0.99999997100006399</v>
      </c>
    </row>
    <row r="506" spans="1:40" x14ac:dyDescent="0.25">
      <c r="A506" t="str">
        <f>"20190303170951253"</f>
        <v>20190303170951253</v>
      </c>
      <c r="B506" t="str">
        <f>"1551604191241543"</f>
        <v>1551604191241543</v>
      </c>
      <c r="C506" t="s">
        <v>40</v>
      </c>
      <c r="D506">
        <v>4.5516489999999896</v>
      </c>
      <c r="E506">
        <v>0.49591550000000001</v>
      </c>
      <c r="F506" t="s">
        <v>42</v>
      </c>
      <c r="G506">
        <v>-238.35720000000001</v>
      </c>
      <c r="H506" s="1">
        <v>-7.028463E-7</v>
      </c>
      <c r="I506">
        <v>369.52749999999997</v>
      </c>
      <c r="J506">
        <v>-317.53149999999999</v>
      </c>
      <c r="K506">
        <v>1.113518</v>
      </c>
      <c r="L506">
        <v>367.78179999999998</v>
      </c>
      <c r="M506">
        <v>0.99978909999999999</v>
      </c>
      <c r="N506">
        <v>-2.029999E-2</v>
      </c>
      <c r="O506">
        <v>3.1670330000000001E-3</v>
      </c>
      <c r="P506">
        <v>0.97754240000000003</v>
      </c>
      <c r="Q506">
        <v>0.20275580000000001</v>
      </c>
      <c r="R506">
        <v>-5.7456199999999999E-2</v>
      </c>
      <c r="S506">
        <v>3.0824889999999998</v>
      </c>
      <c r="T506">
        <v>-4.3277860000000001E-2</v>
      </c>
      <c r="U506">
        <v>6.7810060000000005E-2</v>
      </c>
      <c r="V506">
        <v>6.0561520000000001E-2</v>
      </c>
      <c r="W506">
        <v>0.22255150000000001</v>
      </c>
      <c r="X506">
        <v>0.97303810000000002</v>
      </c>
      <c r="Y506">
        <v>-1.8821649999999999E-2</v>
      </c>
      <c r="Z506">
        <v>3.4304490000000001E-4</v>
      </c>
      <c r="AA506">
        <v>0.99982280000000001</v>
      </c>
      <c r="AB506">
        <v>40</v>
      </c>
      <c r="AC506">
        <v>79.174299999999903</v>
      </c>
      <c r="AD506">
        <v>-1.1135187028463001</v>
      </c>
      <c r="AE506">
        <v>1.74569999999999</v>
      </c>
      <c r="AF506">
        <v>-1.49459649749238</v>
      </c>
      <c r="AG506">
        <v>-1.1135187028463001</v>
      </c>
      <c r="AH506">
        <v>79.16378160312</v>
      </c>
      <c r="AI506">
        <v>90.805726410134895</v>
      </c>
      <c r="AJ506">
        <v>91.081604455423005</v>
      </c>
      <c r="AK506">
        <v>79.185718790059497</v>
      </c>
      <c r="AL506">
        <v>77.141060870928698</v>
      </c>
      <c r="AM506">
        <v>86.438526584555902</v>
      </c>
      <c r="AN506">
        <v>1.00000000595428</v>
      </c>
    </row>
    <row r="507" spans="1:40" x14ac:dyDescent="0.25">
      <c r="A507" t="str">
        <f>"20190303170951269"</f>
        <v>20190303170951269</v>
      </c>
      <c r="B507" t="str">
        <f>"1551604191261063"</f>
        <v>1551604191261063</v>
      </c>
      <c r="C507" t="s">
        <v>40</v>
      </c>
      <c r="D507">
        <v>4.3834960000000001</v>
      </c>
      <c r="E507">
        <v>0.53625889999999998</v>
      </c>
      <c r="F507" t="s">
        <v>41</v>
      </c>
      <c r="G507">
        <v>-296.12759999999997</v>
      </c>
      <c r="H507">
        <v>-0.05</v>
      </c>
      <c r="I507">
        <v>367.13350000000003</v>
      </c>
      <c r="J507">
        <v>-317.23469999999998</v>
      </c>
      <c r="K507">
        <v>1.1119030000000001</v>
      </c>
      <c r="L507">
        <v>367.78269999999998</v>
      </c>
      <c r="M507">
        <v>0.99977609999999995</v>
      </c>
      <c r="N507">
        <v>-2.0922489999999998E-2</v>
      </c>
      <c r="O507">
        <v>3.1664869999999999E-3</v>
      </c>
      <c r="P507">
        <v>0.97773080000000001</v>
      </c>
      <c r="Q507">
        <v>0.20183490000000001</v>
      </c>
      <c r="R507">
        <v>-5.7490189999999997E-2</v>
      </c>
      <c r="S507">
        <v>3.0983580000000002</v>
      </c>
      <c r="T507">
        <v>-0.1684273</v>
      </c>
      <c r="U507">
        <v>-9.3841549999999996E-2</v>
      </c>
      <c r="V507">
        <v>6.059548E-2</v>
      </c>
      <c r="W507">
        <v>0.22224099999999999</v>
      </c>
      <c r="X507">
        <v>0.9731069</v>
      </c>
      <c r="Y507">
        <v>3.336923E-2</v>
      </c>
      <c r="Z507">
        <v>-1.3614149999999999E-3</v>
      </c>
      <c r="AA507">
        <v>0.99944219999999895</v>
      </c>
      <c r="AB507">
        <v>40</v>
      </c>
      <c r="AC507">
        <v>21.107099999999999</v>
      </c>
      <c r="AD507">
        <v>-1.1619029999999999</v>
      </c>
      <c r="AE507">
        <v>-0.64919999999995004</v>
      </c>
      <c r="AF507">
        <v>0.71388550650637195</v>
      </c>
      <c r="AG507">
        <v>-1.1619029999999999</v>
      </c>
      <c r="AH507">
        <v>21.041237446115201</v>
      </c>
      <c r="AI507">
        <v>93.158865050455404</v>
      </c>
      <c r="AJ507">
        <v>88.056818515502499</v>
      </c>
      <c r="AK507">
        <v>21.085381769406201</v>
      </c>
      <c r="AL507">
        <v>77.159307544495704</v>
      </c>
      <c r="AM507">
        <v>86.436785918229006</v>
      </c>
      <c r="AN507">
        <v>0.99999995655251905</v>
      </c>
    </row>
    <row r="508" spans="1:40" x14ac:dyDescent="0.25">
      <c r="A508" t="str">
        <f>"20190303170951283"</f>
        <v>20190303170951283</v>
      </c>
      <c r="B508" t="str">
        <f>"1551604191270823"</f>
        <v>1551604191270823</v>
      </c>
      <c r="C508" t="s">
        <v>40</v>
      </c>
      <c r="D508">
        <v>4.3864239999999999</v>
      </c>
      <c r="E508">
        <v>0.53886959999999995</v>
      </c>
      <c r="F508" t="s">
        <v>43</v>
      </c>
      <c r="G508">
        <v>-316.41460000000001</v>
      </c>
      <c r="H508">
        <v>0.99071430000000005</v>
      </c>
      <c r="I508">
        <v>367.67829999999998</v>
      </c>
      <c r="J508">
        <v>-316.99709999999999</v>
      </c>
      <c r="K508">
        <v>1.1105149999999999</v>
      </c>
      <c r="L508">
        <v>367.78339999999997</v>
      </c>
      <c r="M508">
        <v>0.99976710000000002</v>
      </c>
      <c r="N508">
        <v>-2.1350069999999999E-2</v>
      </c>
      <c r="O508">
        <v>3.1659969999999998E-3</v>
      </c>
      <c r="P508">
        <v>0.97785809999999995</v>
      </c>
      <c r="Q508">
        <v>0.20120569999999999</v>
      </c>
      <c r="R508">
        <v>-5.7530680000000001E-2</v>
      </c>
      <c r="S508">
        <v>3.1406860000000001</v>
      </c>
      <c r="T508">
        <v>-0.46430749999999998</v>
      </c>
      <c r="U508">
        <v>-0.39929199999999998</v>
      </c>
      <c r="V508">
        <v>6.0635979999999999E-2</v>
      </c>
      <c r="W508">
        <v>0.2220309</v>
      </c>
      <c r="X508">
        <v>0.97315240000000003</v>
      </c>
      <c r="Y508">
        <v>0.12766830000000001</v>
      </c>
      <c r="Z508">
        <v>-1.1122470000000001E-2</v>
      </c>
      <c r="AA508">
        <v>0.99175449999999998</v>
      </c>
      <c r="AB508">
        <v>40</v>
      </c>
      <c r="AC508">
        <v>0.58249999999998103</v>
      </c>
      <c r="AD508">
        <v>-0.119800699999999</v>
      </c>
      <c r="AE508">
        <v>-0.105099999999993</v>
      </c>
      <c r="AF508">
        <v>0.102735518106917</v>
      </c>
      <c r="AG508">
        <v>-0.119800699999999</v>
      </c>
      <c r="AH508">
        <v>0.55925435865272299</v>
      </c>
      <c r="AI508">
        <v>101.897615009527</v>
      </c>
      <c r="AJ508">
        <v>79.590769408533205</v>
      </c>
      <c r="AK508">
        <v>0.58109571679135197</v>
      </c>
      <c r="AL508">
        <v>77.171654655524407</v>
      </c>
      <c r="AM508">
        <v>86.434576806574896</v>
      </c>
      <c r="AN508">
        <v>1.0000000181255599</v>
      </c>
    </row>
    <row r="509" spans="1:40" x14ac:dyDescent="0.25">
      <c r="A509" t="str">
        <f>"20190303170951297"</f>
        <v>20190303170951297</v>
      </c>
      <c r="B509" t="str">
        <f>"1551604191291320"</f>
        <v>1551604191291320</v>
      </c>
      <c r="C509" t="s">
        <v>40</v>
      </c>
      <c r="D509">
        <v>4.3427340000000001</v>
      </c>
      <c r="E509">
        <v>0.54200459999999995</v>
      </c>
      <c r="F509" t="s">
        <v>43</v>
      </c>
      <c r="G509">
        <v>-316.0718</v>
      </c>
      <c r="H509">
        <v>0.96062420000000004</v>
      </c>
      <c r="I509">
        <v>367.66059999999999</v>
      </c>
      <c r="J509">
        <v>-316.75659999999999</v>
      </c>
      <c r="K509">
        <v>1.109056</v>
      </c>
      <c r="L509">
        <v>367.7842</v>
      </c>
      <c r="M509">
        <v>0.99975899999999995</v>
      </c>
      <c r="N509">
        <v>-2.1730030000000001E-2</v>
      </c>
      <c r="O509">
        <v>3.1659330000000001E-3</v>
      </c>
      <c r="P509">
        <v>0.97797579999999995</v>
      </c>
      <c r="Q509">
        <v>0.2005566</v>
      </c>
      <c r="R509">
        <v>-5.7798740000000001E-2</v>
      </c>
      <c r="S509">
        <v>3.1482540000000001</v>
      </c>
      <c r="T509">
        <v>-0.51000670000000004</v>
      </c>
      <c r="U509">
        <v>-0.41778559999999998</v>
      </c>
      <c r="V509">
        <v>6.0904189999999997E-2</v>
      </c>
      <c r="W509">
        <v>0.22175420000000001</v>
      </c>
      <c r="X509">
        <v>0.97319869999999997</v>
      </c>
      <c r="Y509">
        <v>0.1327236</v>
      </c>
      <c r="Z509">
        <v>-1.2533280000000001E-2</v>
      </c>
      <c r="AA509">
        <v>0.9910738</v>
      </c>
      <c r="AB509">
        <v>40</v>
      </c>
      <c r="AC509">
        <v>0.68479999999999497</v>
      </c>
      <c r="AD509">
        <v>-0.1484318</v>
      </c>
      <c r="AE509">
        <v>-0.12360000000000999</v>
      </c>
      <c r="AF509">
        <v>0.120294611229479</v>
      </c>
      <c r="AG509">
        <v>-0.1484318</v>
      </c>
      <c r="AH509">
        <v>0.65462044130391694</v>
      </c>
      <c r="AI509">
        <v>102.57185156234399</v>
      </c>
      <c r="AJ509">
        <v>79.587360732214407</v>
      </c>
      <c r="AK509">
        <v>0.68193160574578604</v>
      </c>
      <c r="AL509">
        <v>77.187913189958707</v>
      </c>
      <c r="AM509">
        <v>86.419016818633395</v>
      </c>
      <c r="AN509">
        <v>0.99999997762944204</v>
      </c>
    </row>
    <row r="510" spans="1:40" x14ac:dyDescent="0.25">
      <c r="A510" t="str">
        <f>"20190303170951315"</f>
        <v>20190303170951315</v>
      </c>
      <c r="B510" t="str">
        <f>"1551604191310838"</f>
        <v>1551604191310838</v>
      </c>
      <c r="C510" t="s">
        <v>40</v>
      </c>
      <c r="D510">
        <v>4.3372409999999997</v>
      </c>
      <c r="E510">
        <v>0.54318929999999999</v>
      </c>
      <c r="F510" t="s">
        <v>43</v>
      </c>
      <c r="G510">
        <v>-315.73140000000001</v>
      </c>
      <c r="H510">
        <v>0.92512349999999999</v>
      </c>
      <c r="I510">
        <v>367.64109999999999</v>
      </c>
      <c r="J510">
        <v>-316.42910000000001</v>
      </c>
      <c r="K510">
        <v>1.106922</v>
      </c>
      <c r="L510">
        <v>367.78519999999997</v>
      </c>
      <c r="M510">
        <v>0.9997511</v>
      </c>
      <c r="N510">
        <v>-2.2088989999999999E-2</v>
      </c>
      <c r="O510">
        <v>3.1659629999999999E-3</v>
      </c>
      <c r="P510">
        <v>0.97811199999999998</v>
      </c>
      <c r="Q510">
        <v>0.19983699999999999</v>
      </c>
      <c r="R510">
        <v>-5.7988310000000001E-2</v>
      </c>
      <c r="S510">
        <v>3.157715</v>
      </c>
      <c r="T510">
        <v>-0.56663940000000002</v>
      </c>
      <c r="U510">
        <v>-0.44015500000000002</v>
      </c>
      <c r="V510">
        <v>6.1094559999999999E-2</v>
      </c>
      <c r="W510">
        <v>0.22138679999999999</v>
      </c>
      <c r="X510">
        <v>0.97327039999999998</v>
      </c>
      <c r="Y510">
        <v>0.1387032</v>
      </c>
      <c r="Z510">
        <v>-1.433302E-2</v>
      </c>
      <c r="AA510">
        <v>0.99023030000000001</v>
      </c>
      <c r="AB510">
        <v>40</v>
      </c>
      <c r="AC510">
        <v>0.69769999999999699</v>
      </c>
      <c r="AD510">
        <v>-0.181798499999999</v>
      </c>
      <c r="AE510">
        <v>-0.14409999999997999</v>
      </c>
      <c r="AF510">
        <v>0.13736383755665299</v>
      </c>
      <c r="AG510">
        <v>-0.181798499999999</v>
      </c>
      <c r="AH510">
        <v>0.65461302336912797</v>
      </c>
      <c r="AI510">
        <v>105.205627904118</v>
      </c>
      <c r="AJ510">
        <v>78.149014635026603</v>
      </c>
      <c r="AK510">
        <v>0.69313615461539102</v>
      </c>
      <c r="AL510">
        <v>77.209500068209906</v>
      </c>
      <c r="AM510">
        <v>86.408116835202506</v>
      </c>
      <c r="AN510">
        <v>0.99999996599599605</v>
      </c>
    </row>
    <row r="511" spans="1:40" x14ac:dyDescent="0.25">
      <c r="A511" t="str">
        <f>"20190303170951338"</f>
        <v>20190303170951338</v>
      </c>
      <c r="B511" t="str">
        <f>"1551604191331335"</f>
        <v>1551604191331335</v>
      </c>
      <c r="C511" t="s">
        <v>40</v>
      </c>
      <c r="D511">
        <v>4.3150069999999996</v>
      </c>
      <c r="E511">
        <v>0.54400749999999998</v>
      </c>
      <c r="F511" t="s">
        <v>43</v>
      </c>
      <c r="G511">
        <v>-315.7097</v>
      </c>
      <c r="H511">
        <v>0.97190900000000002</v>
      </c>
      <c r="I511">
        <v>367.68299999999999</v>
      </c>
      <c r="J511">
        <v>-316.02929999999998</v>
      </c>
      <c r="K511">
        <v>1.104155</v>
      </c>
      <c r="L511">
        <v>367.78649999999999</v>
      </c>
      <c r="M511">
        <v>0.99974640000000004</v>
      </c>
      <c r="N511">
        <v>-2.2293819999999999E-2</v>
      </c>
      <c r="O511">
        <v>3.1668809999999999E-3</v>
      </c>
      <c r="P511">
        <v>0.97815479999999999</v>
      </c>
      <c r="Q511">
        <v>0.19965769999999999</v>
      </c>
      <c r="R511">
        <v>-5.7878140000000002E-2</v>
      </c>
      <c r="S511">
        <v>3.1618040000000001</v>
      </c>
      <c r="T511">
        <v>-0.59349289999999999</v>
      </c>
      <c r="U511">
        <v>-0.44845580000000002</v>
      </c>
      <c r="V511">
        <v>6.0985780000000003E-2</v>
      </c>
      <c r="W511">
        <v>0.2214083</v>
      </c>
      <c r="X511">
        <v>0.97327240000000004</v>
      </c>
      <c r="Y511">
        <v>0.14081579999999999</v>
      </c>
      <c r="Z511">
        <v>-1.514746E-2</v>
      </c>
      <c r="AA511">
        <v>0.98991989999999996</v>
      </c>
      <c r="AB511">
        <v>40</v>
      </c>
      <c r="AC511">
        <v>0.31959999999997901</v>
      </c>
      <c r="AD511">
        <v>-0.132245999999999</v>
      </c>
      <c r="AE511">
        <v>-0.103499999999939</v>
      </c>
      <c r="AF511">
        <v>9.0489061079984695E-2</v>
      </c>
      <c r="AG511">
        <v>-0.132245999999999</v>
      </c>
      <c r="AH511">
        <v>0.27643264183676097</v>
      </c>
      <c r="AI511">
        <v>114.449503484923</v>
      </c>
      <c r="AJ511">
        <v>71.874358724749996</v>
      </c>
      <c r="AK511">
        <v>0.31951882599306702</v>
      </c>
      <c r="AL511">
        <v>77.208237727589307</v>
      </c>
      <c r="AM511">
        <v>86.414502900151504</v>
      </c>
      <c r="AN511">
        <v>1.00000003263642</v>
      </c>
    </row>
    <row r="512" spans="1:40" x14ac:dyDescent="0.25">
      <c r="A512" t="str">
        <f>"20190303170951349"</f>
        <v>20190303170951349</v>
      </c>
      <c r="B512" t="str">
        <f>"1551604191341095"</f>
        <v>1551604191341095</v>
      </c>
      <c r="C512" t="s">
        <v>40</v>
      </c>
      <c r="D512">
        <v>4.2833819999999996</v>
      </c>
      <c r="E512">
        <v>0.54397839999999997</v>
      </c>
      <c r="F512" t="s">
        <v>43</v>
      </c>
      <c r="G512">
        <v>-315.02550000000002</v>
      </c>
      <c r="H512">
        <v>0.91165750000000001</v>
      </c>
      <c r="I512">
        <v>367.642</v>
      </c>
      <c r="J512">
        <v>-315.81810000000002</v>
      </c>
      <c r="K512">
        <v>1.1026419999999999</v>
      </c>
      <c r="L512">
        <v>367.78719999999998</v>
      </c>
      <c r="M512">
        <v>0.99974569999999996</v>
      </c>
      <c r="N512">
        <v>-2.2330010000000001E-2</v>
      </c>
      <c r="O512">
        <v>3.168134E-3</v>
      </c>
      <c r="P512">
        <v>0.97813859999999997</v>
      </c>
      <c r="Q512">
        <v>0.19978599999999999</v>
      </c>
      <c r="R512">
        <v>-5.771275E-2</v>
      </c>
      <c r="S512">
        <v>3.1639400000000002</v>
      </c>
      <c r="T512">
        <v>-0.60675100000000004</v>
      </c>
      <c r="U512">
        <v>-0.45483400000000002</v>
      </c>
      <c r="V512">
        <v>6.0821779999999999E-2</v>
      </c>
      <c r="W512">
        <v>0.22157099999999999</v>
      </c>
      <c r="X512">
        <v>0.97324560000000004</v>
      </c>
      <c r="Y512">
        <v>0.142532399999999</v>
      </c>
      <c r="Z512">
        <v>-1.5620719999999999E-2</v>
      </c>
      <c r="AA512">
        <v>0.98966690000000002</v>
      </c>
      <c r="AB512">
        <v>40</v>
      </c>
      <c r="AC512">
        <v>0.79259999999999298</v>
      </c>
      <c r="AD512">
        <v>-0.190984499999999</v>
      </c>
      <c r="AE512">
        <v>-0.14519999999998801</v>
      </c>
      <c r="AF512">
        <v>0.139854468308791</v>
      </c>
      <c r="AG512">
        <v>-0.190984499999999</v>
      </c>
      <c r="AH512">
        <v>0.75000354768742405</v>
      </c>
      <c r="AI512">
        <v>104.054026024447</v>
      </c>
      <c r="AJ512">
        <v>79.437269249923006</v>
      </c>
      <c r="AK512">
        <v>0.78647293220422199</v>
      </c>
      <c r="AL512">
        <v>77.198677815567507</v>
      </c>
      <c r="AM512">
        <v>86.424021580648002</v>
      </c>
      <c r="AN512">
        <v>0.99999999744136403</v>
      </c>
    </row>
    <row r="513" spans="1:40" x14ac:dyDescent="0.25">
      <c r="A513" t="str">
        <f>"20190303170951361"</f>
        <v>20190303170951361</v>
      </c>
      <c r="B513" t="str">
        <f>"1551604191350855"</f>
        <v>1551604191350855</v>
      </c>
      <c r="C513" t="s">
        <v>40</v>
      </c>
      <c r="D513">
        <v>4.2927660000000003</v>
      </c>
      <c r="E513">
        <v>0.54416390000000003</v>
      </c>
      <c r="F513" t="s">
        <v>43</v>
      </c>
      <c r="G513">
        <v>-315.00940000000003</v>
      </c>
      <c r="H513">
        <v>0.94670840000000001</v>
      </c>
      <c r="I513">
        <v>367.67090000000002</v>
      </c>
      <c r="J513">
        <v>-315.61759999999998</v>
      </c>
      <c r="K513">
        <v>1.1011869999999999</v>
      </c>
      <c r="L513">
        <v>367.7878</v>
      </c>
      <c r="M513">
        <v>0.99974510000000005</v>
      </c>
      <c r="N513">
        <v>-2.235533E-2</v>
      </c>
      <c r="O513">
        <v>3.1692140000000001E-3</v>
      </c>
      <c r="P513">
        <v>0.97809100000000004</v>
      </c>
      <c r="Q513">
        <v>0.20005899999999999</v>
      </c>
      <c r="R513">
        <v>-5.7573909999999999E-2</v>
      </c>
      <c r="S513">
        <v>3.1648860000000001</v>
      </c>
      <c r="T513">
        <v>-0.61033389999999998</v>
      </c>
      <c r="U513">
        <v>-0.45428469999999999</v>
      </c>
      <c r="V513">
        <v>6.068395E-2</v>
      </c>
      <c r="W513">
        <v>0.2218676</v>
      </c>
      <c r="X513">
        <v>0.97318660000000001</v>
      </c>
      <c r="Y513">
        <v>0.14229710000000001</v>
      </c>
      <c r="Z513">
        <v>-1.5675459999999999E-2</v>
      </c>
      <c r="AA513">
        <v>0.98969980000000002</v>
      </c>
      <c r="AB513">
        <v>40</v>
      </c>
      <c r="AC513">
        <v>0.608199999999953</v>
      </c>
      <c r="AD513">
        <v>-0.15447859999999999</v>
      </c>
      <c r="AE513">
        <v>-0.116899999999986</v>
      </c>
      <c r="AF513">
        <v>0.111867664792352</v>
      </c>
      <c r="AG513">
        <v>-0.15447859999999999</v>
      </c>
      <c r="AH513">
        <v>0.57222585641148604</v>
      </c>
      <c r="AI513">
        <v>104.839306281239</v>
      </c>
      <c r="AJ513">
        <v>78.938435286140006</v>
      </c>
      <c r="AK513">
        <v>0.60317530041432699</v>
      </c>
      <c r="AL513">
        <v>77.181249712214594</v>
      </c>
      <c r="AM513">
        <v>86.431888505512305</v>
      </c>
      <c r="AN513">
        <v>0.99999996606845998</v>
      </c>
    </row>
    <row r="514" spans="1:40" x14ac:dyDescent="0.25">
      <c r="A514" t="str">
        <f>"20190303170951372"</f>
        <v>20190303170951372</v>
      </c>
      <c r="B514" t="str">
        <f>"1551604191361592"</f>
        <v>1551604191361592</v>
      </c>
      <c r="C514" t="s">
        <v>40</v>
      </c>
      <c r="D514">
        <v>4.295369</v>
      </c>
      <c r="E514">
        <v>0.54407349999999999</v>
      </c>
      <c r="F514" t="s">
        <v>43</v>
      </c>
      <c r="G514">
        <v>-314.66820000000001</v>
      </c>
      <c r="H514">
        <v>0.91759349999999995</v>
      </c>
      <c r="I514">
        <v>367.65140000000002</v>
      </c>
      <c r="J514">
        <v>-315.41300000000001</v>
      </c>
      <c r="K514">
        <v>1.0996889999999999</v>
      </c>
      <c r="L514">
        <v>367.7885</v>
      </c>
      <c r="M514">
        <v>0.99974479999999999</v>
      </c>
      <c r="N514">
        <v>-2.236869E-2</v>
      </c>
      <c r="O514">
        <v>3.1705499999999998E-3</v>
      </c>
      <c r="P514">
        <v>0.97807690000000003</v>
      </c>
      <c r="Q514">
        <v>0.20018569999999999</v>
      </c>
      <c r="R514">
        <v>-5.7372090000000001E-2</v>
      </c>
      <c r="S514">
        <v>3.165619</v>
      </c>
      <c r="T514">
        <v>-0.61224160000000005</v>
      </c>
      <c r="U514">
        <v>-0.45492549999999998</v>
      </c>
      <c r="V514">
        <v>6.0483559999999999E-2</v>
      </c>
      <c r="W514">
        <v>0.22200710000000001</v>
      </c>
      <c r="X514">
        <v>0.97316729999999996</v>
      </c>
      <c r="Y514">
        <v>0.1424435</v>
      </c>
      <c r="Z514">
        <v>-1.5732329999999999E-2</v>
      </c>
      <c r="AA514">
        <v>0.9896779</v>
      </c>
      <c r="AB514">
        <v>40</v>
      </c>
      <c r="AC514">
        <v>0.74479999999999702</v>
      </c>
      <c r="AD514">
        <v>-0.18209549999999999</v>
      </c>
      <c r="AE514">
        <v>-0.13709999999997499</v>
      </c>
      <c r="AF514">
        <v>0.13183894085477099</v>
      </c>
      <c r="AG514">
        <v>-0.18209549999999999</v>
      </c>
      <c r="AH514">
        <v>0.70367770752391601</v>
      </c>
      <c r="AI514">
        <v>104.27064005733099</v>
      </c>
      <c r="AJ514">
        <v>79.388260229347793</v>
      </c>
      <c r="AK514">
        <v>0.73871685611746596</v>
      </c>
      <c r="AL514">
        <v>77.173053010396501</v>
      </c>
      <c r="AM514">
        <v>86.443570452516298</v>
      </c>
      <c r="AN514">
        <v>1.0000000036349801</v>
      </c>
    </row>
    <row r="515" spans="1:40" x14ac:dyDescent="0.25">
      <c r="A515" t="str">
        <f>"20190303170951384"</f>
        <v>20190303170951384</v>
      </c>
      <c r="B515" t="str">
        <f>"1551604191381617"</f>
        <v>1551604191381617</v>
      </c>
      <c r="C515" t="s">
        <v>40</v>
      </c>
      <c r="D515">
        <v>4.273593</v>
      </c>
      <c r="E515">
        <v>0.54394709999999902</v>
      </c>
      <c r="F515" t="s">
        <v>43</v>
      </c>
      <c r="G515">
        <v>-314.65210000000002</v>
      </c>
      <c r="H515">
        <v>0.95225780000000004</v>
      </c>
      <c r="I515">
        <v>367.67959999999999</v>
      </c>
      <c r="J515">
        <v>-315.20670000000001</v>
      </c>
      <c r="K515">
        <v>1.098176</v>
      </c>
      <c r="L515">
        <v>367.78919999999999</v>
      </c>
      <c r="M515">
        <v>0.99974499999999999</v>
      </c>
      <c r="N515">
        <v>-2.2357390000000001E-2</v>
      </c>
      <c r="O515">
        <v>3.1712189999999999E-3</v>
      </c>
      <c r="P515">
        <v>0.97807900000000003</v>
      </c>
      <c r="Q515">
        <v>0.20020470000000001</v>
      </c>
      <c r="R515">
        <v>-5.7266039999999997E-2</v>
      </c>
      <c r="S515">
        <v>3.1662599999999999</v>
      </c>
      <c r="T515">
        <v>-0.61358089999999998</v>
      </c>
      <c r="U515">
        <v>-0.45315549999999999</v>
      </c>
      <c r="V515">
        <v>6.0378080000000001E-2</v>
      </c>
      <c r="W515">
        <v>0.22201499999999999</v>
      </c>
      <c r="X515">
        <v>0.97317200000000004</v>
      </c>
      <c r="Y515">
        <v>0.14187429999999901</v>
      </c>
      <c r="Z515">
        <v>-1.5699040000000001E-2</v>
      </c>
      <c r="AA515">
        <v>0.98976019999999998</v>
      </c>
      <c r="AB515">
        <v>40</v>
      </c>
      <c r="AC515">
        <v>0.55459999999999299</v>
      </c>
      <c r="AD515">
        <v>-0.145918199999999</v>
      </c>
      <c r="AE515">
        <v>-0.1096</v>
      </c>
      <c r="AF515">
        <v>0.104403049328171</v>
      </c>
      <c r="AG515">
        <v>-0.145918199999999</v>
      </c>
      <c r="AH515">
        <v>0.51963045293929799</v>
      </c>
      <c r="AI515">
        <v>105.392742269137</v>
      </c>
      <c r="AJ515">
        <v>78.639508494705098</v>
      </c>
      <c r="AK515">
        <v>0.54973441353271701</v>
      </c>
      <c r="AL515">
        <v>77.172588182593302</v>
      </c>
      <c r="AM515">
        <v>86.449773895122505</v>
      </c>
      <c r="AN515">
        <v>0.99999995717674195</v>
      </c>
    </row>
    <row r="516" spans="1:40" x14ac:dyDescent="0.25">
      <c r="A516" t="str">
        <f>"20190303170951397"</f>
        <v>20190303170951397</v>
      </c>
      <c r="B516" t="str">
        <f>"1551604191391376"</f>
        <v>1551604191391376</v>
      </c>
      <c r="C516" t="s">
        <v>40</v>
      </c>
      <c r="D516">
        <v>4.2758469999999997</v>
      </c>
      <c r="E516">
        <v>0.5439754</v>
      </c>
      <c r="F516" t="s">
        <v>43</v>
      </c>
      <c r="G516">
        <v>-314.31200000000001</v>
      </c>
      <c r="H516">
        <v>0.92351950000000005</v>
      </c>
      <c r="I516">
        <v>367.66129999999998</v>
      </c>
      <c r="J516">
        <v>-314.98899999999998</v>
      </c>
      <c r="K516">
        <v>1.0965819999999999</v>
      </c>
      <c r="L516">
        <v>367.78989999999999</v>
      </c>
      <c r="M516">
        <v>0.99974569999999996</v>
      </c>
      <c r="N516">
        <v>-2.2331630000000002E-2</v>
      </c>
      <c r="O516">
        <v>3.171339E-3</v>
      </c>
      <c r="P516">
        <v>0.97802529999999999</v>
      </c>
      <c r="Q516">
        <v>0.20049510000000001</v>
      </c>
      <c r="R516">
        <v>-5.7170249999999999E-2</v>
      </c>
      <c r="S516">
        <v>3.1674500000000001</v>
      </c>
      <c r="T516">
        <v>-0.61850380000000005</v>
      </c>
      <c r="U516">
        <v>-0.45129390000000003</v>
      </c>
      <c r="V516">
        <v>6.0281969999999997E-2</v>
      </c>
      <c r="W516">
        <v>0.22227910000000001</v>
      </c>
      <c r="X516">
        <v>0.97311769999999997</v>
      </c>
      <c r="Y516">
        <v>0.14122309999999999</v>
      </c>
      <c r="Z516">
        <v>-1.573428E-2</v>
      </c>
      <c r="AA516">
        <v>0.98985270000000003</v>
      </c>
      <c r="AB516">
        <v>40</v>
      </c>
      <c r="AC516">
        <v>0.67700000000002003</v>
      </c>
      <c r="AD516">
        <v>-0.17306250000000001</v>
      </c>
      <c r="AE516">
        <v>-0.12860000000000499</v>
      </c>
      <c r="AF516">
        <v>0.12298972357687001</v>
      </c>
      <c r="AG516">
        <v>-0.17306250000000001</v>
      </c>
      <c r="AH516">
        <v>0.63644691914159301</v>
      </c>
      <c r="AI516">
        <v>104.948202717291</v>
      </c>
      <c r="AJ516">
        <v>79.062733475310395</v>
      </c>
      <c r="AK516">
        <v>0.670926062913486</v>
      </c>
      <c r="AL516">
        <v>77.157068959072802</v>
      </c>
      <c r="AM516">
        <v>86.455213451691293</v>
      </c>
      <c r="AN516">
        <v>0.99999998612858998</v>
      </c>
    </row>
    <row r="517" spans="1:40" x14ac:dyDescent="0.25">
      <c r="A517" t="str">
        <f>"20190303170951407"</f>
        <v>20190303170951407</v>
      </c>
      <c r="B517" t="str">
        <f>"1551604191401136"</f>
        <v>1551604191401136</v>
      </c>
      <c r="C517" t="s">
        <v>40</v>
      </c>
      <c r="D517">
        <v>4.2911919999999997</v>
      </c>
      <c r="E517">
        <v>0.54393329999999995</v>
      </c>
      <c r="F517" t="s">
        <v>43</v>
      </c>
      <c r="G517">
        <v>-313.97089999999997</v>
      </c>
      <c r="H517">
        <v>0.89779969999999998</v>
      </c>
      <c r="I517">
        <v>367.64490000000001</v>
      </c>
      <c r="J517">
        <v>-314.79070000000002</v>
      </c>
      <c r="K517">
        <v>1.0951550000000001</v>
      </c>
      <c r="L517">
        <v>367.79050000000001</v>
      </c>
      <c r="M517">
        <v>0.99974739999999995</v>
      </c>
      <c r="N517">
        <v>-2.225622E-2</v>
      </c>
      <c r="O517">
        <v>3.17118E-3</v>
      </c>
      <c r="P517">
        <v>0.97798850000000004</v>
      </c>
      <c r="Q517">
        <v>0.20069029999999999</v>
      </c>
      <c r="R517">
        <v>-5.7116020000000003E-2</v>
      </c>
      <c r="S517">
        <v>3.1678769999999998</v>
      </c>
      <c r="T517">
        <v>-0.61859229999999998</v>
      </c>
      <c r="U517">
        <v>-0.4505615</v>
      </c>
      <c r="V517">
        <v>6.02274E-2</v>
      </c>
      <c r="W517">
        <v>0.22239999999999999</v>
      </c>
      <c r="X517">
        <v>0.97309349999999994</v>
      </c>
      <c r="Y517">
        <v>0.14098579999999999</v>
      </c>
      <c r="Z517">
        <v>-1.570388E-2</v>
      </c>
      <c r="AA517">
        <v>0.98988710000000002</v>
      </c>
      <c r="AB517">
        <v>39</v>
      </c>
      <c r="AC517">
        <v>0.81980000000004305</v>
      </c>
      <c r="AD517">
        <v>-0.19735529999999901</v>
      </c>
      <c r="AE517">
        <v>-0.14560000000000101</v>
      </c>
      <c r="AF517">
        <v>0.140316438989534</v>
      </c>
      <c r="AG517">
        <v>-0.19735529999999901</v>
      </c>
      <c r="AH517">
        <v>0.77575108068870702</v>
      </c>
      <c r="AI517">
        <v>104.054747952768</v>
      </c>
      <c r="AJ517">
        <v>79.747297150284894</v>
      </c>
      <c r="AK517">
        <v>0.81266694080569701</v>
      </c>
      <c r="AL517">
        <v>77.149964628369105</v>
      </c>
      <c r="AM517">
        <v>86.458326331716705</v>
      </c>
      <c r="AN517">
        <v>1.0000000297264999</v>
      </c>
    </row>
    <row r="518" spans="1:40" x14ac:dyDescent="0.25">
      <c r="A518" t="str">
        <f>"20190303170951419"</f>
        <v>20190303170951419</v>
      </c>
      <c r="B518" t="str">
        <f>"1551604191410896"</f>
        <v>1551604191410896</v>
      </c>
      <c r="C518" t="s">
        <v>40</v>
      </c>
      <c r="D518">
        <v>4.3241339999999999</v>
      </c>
      <c r="E518">
        <v>0.54399529999999996</v>
      </c>
      <c r="F518" t="s">
        <v>43</v>
      </c>
      <c r="G518">
        <v>-313.95549999999997</v>
      </c>
      <c r="H518">
        <v>0.93188680000000002</v>
      </c>
      <c r="I518">
        <v>367.67180000000002</v>
      </c>
      <c r="J518">
        <v>-314.59809999999999</v>
      </c>
      <c r="K518">
        <v>1.0937859999999999</v>
      </c>
      <c r="L518">
        <v>367.79109999999997</v>
      </c>
      <c r="M518">
        <v>0.99974940000000001</v>
      </c>
      <c r="N518">
        <v>-2.2168520000000001E-2</v>
      </c>
      <c r="O518">
        <v>3.170796E-3</v>
      </c>
      <c r="P518">
        <v>0.97795350000000003</v>
      </c>
      <c r="Q518">
        <v>0.20087479999999999</v>
      </c>
      <c r="R518">
        <v>-5.7067239999999998E-2</v>
      </c>
      <c r="S518">
        <v>3.168396</v>
      </c>
      <c r="T518">
        <v>-0.61941669999999904</v>
      </c>
      <c r="U518">
        <v>-0.4496155</v>
      </c>
      <c r="V518">
        <v>6.0177840000000003E-2</v>
      </c>
      <c r="W518">
        <v>0.22249859999999999</v>
      </c>
      <c r="X518">
        <v>0.97307399999999999</v>
      </c>
      <c r="Y518">
        <v>0.14067399999999999</v>
      </c>
      <c r="Z518">
        <v>-1.568083E-2</v>
      </c>
      <c r="AA518">
        <v>0.98993180000000003</v>
      </c>
      <c r="AB518">
        <v>39</v>
      </c>
      <c r="AC518">
        <v>0.64260000000001505</v>
      </c>
      <c r="AD518">
        <v>-0.16189919999999999</v>
      </c>
      <c r="AE518">
        <v>-0.119299999999952</v>
      </c>
      <c r="AF518">
        <v>0.11432252521516199</v>
      </c>
      <c r="AG518">
        <v>-0.16189919999999999</v>
      </c>
      <c r="AH518">
        <v>0.60508958054253603</v>
      </c>
      <c r="AI518">
        <v>104.730333510536</v>
      </c>
      <c r="AJ518">
        <v>79.300945157357802</v>
      </c>
      <c r="AK518">
        <v>0.63672159631455405</v>
      </c>
      <c r="AL518">
        <v>77.144169747447407</v>
      </c>
      <c r="AM518">
        <v>86.461162564470001</v>
      </c>
      <c r="AN518">
        <v>1.0000000044525099</v>
      </c>
    </row>
    <row r="519" spans="1:40" x14ac:dyDescent="0.25">
      <c r="A519" t="str">
        <f>"20190303170951431"</f>
        <v>20190303170951431</v>
      </c>
      <c r="B519" t="str">
        <f>"1551604191420657"</f>
        <v>1551604191420657</v>
      </c>
      <c r="C519" t="s">
        <v>40</v>
      </c>
      <c r="D519">
        <v>4.2916740000000004</v>
      </c>
      <c r="E519">
        <v>0.54413089999999997</v>
      </c>
      <c r="F519" t="s">
        <v>43</v>
      </c>
      <c r="G519">
        <v>-313.61750000000001</v>
      </c>
      <c r="H519">
        <v>0.90180329999999997</v>
      </c>
      <c r="I519">
        <v>367.65190000000001</v>
      </c>
      <c r="J519">
        <v>-314.37450000000001</v>
      </c>
      <c r="K519">
        <v>1.09223</v>
      </c>
      <c r="L519">
        <v>367.79180000000002</v>
      </c>
      <c r="M519">
        <v>0.99975270000000005</v>
      </c>
      <c r="N519">
        <v>-2.2015429999999999E-2</v>
      </c>
      <c r="O519">
        <v>3.170179E-3</v>
      </c>
      <c r="P519">
        <v>0.97783209999999998</v>
      </c>
      <c r="Q519">
        <v>0.20134850000000001</v>
      </c>
      <c r="R519">
        <v>-5.7474850000000001E-2</v>
      </c>
      <c r="S519">
        <v>3.168793</v>
      </c>
      <c r="T519">
        <v>-0.62038850000000001</v>
      </c>
      <c r="U519">
        <v>-0.4496155</v>
      </c>
      <c r="V519">
        <v>6.0584409999999998E-2</v>
      </c>
      <c r="W519">
        <v>0.22282070000000001</v>
      </c>
      <c r="X519">
        <v>0.97297509999999998</v>
      </c>
      <c r="Y519">
        <v>0.14065059999999999</v>
      </c>
      <c r="Z519">
        <v>-1.568787E-2</v>
      </c>
      <c r="AA519">
        <v>0.98993500000000001</v>
      </c>
      <c r="AB519">
        <v>39</v>
      </c>
      <c r="AC519">
        <v>0.757000000000005</v>
      </c>
      <c r="AD519">
        <v>-0.19042669999999901</v>
      </c>
      <c r="AE519">
        <v>-0.13990000000001099</v>
      </c>
      <c r="AF519">
        <v>0.134094495804882</v>
      </c>
      <c r="AG519">
        <v>-0.19042669999999901</v>
      </c>
      <c r="AH519">
        <v>0.71292865649007597</v>
      </c>
      <c r="AI519">
        <v>104.70840289854399</v>
      </c>
      <c r="AJ519">
        <v>79.347711593085094</v>
      </c>
      <c r="AK519">
        <v>0.75000728737979605</v>
      </c>
      <c r="AL519">
        <v>77.125240025450694</v>
      </c>
      <c r="AM519">
        <v>86.436953849293005</v>
      </c>
      <c r="AN519">
        <v>1.0000000401517699</v>
      </c>
    </row>
    <row r="520" spans="1:40" x14ac:dyDescent="0.25">
      <c r="A520" t="str">
        <f>"20190303170951449"</f>
        <v>20190303170951449</v>
      </c>
      <c r="B520" t="str">
        <f>"1551604191441152"</f>
        <v>1551604191441152</v>
      </c>
      <c r="C520" t="s">
        <v>40</v>
      </c>
      <c r="D520">
        <v>4.307321</v>
      </c>
      <c r="E520">
        <v>0.54489309999999902</v>
      </c>
      <c r="F520" t="s">
        <v>43</v>
      </c>
      <c r="G520">
        <v>-313.59949999999998</v>
      </c>
      <c r="H520">
        <v>0.94066419999999995</v>
      </c>
      <c r="I520">
        <v>367.68099999999998</v>
      </c>
      <c r="J520">
        <v>-314.06079999999997</v>
      </c>
      <c r="K520">
        <v>1.0901369999999999</v>
      </c>
      <c r="L520">
        <v>367.7928</v>
      </c>
      <c r="M520">
        <v>0.99975879999999995</v>
      </c>
      <c r="N520">
        <v>-2.173578E-2</v>
      </c>
      <c r="O520">
        <v>3.169383E-3</v>
      </c>
      <c r="P520">
        <v>0.97767150000000003</v>
      </c>
      <c r="Q520">
        <v>0.2020931</v>
      </c>
      <c r="R520">
        <v>-5.7592240000000003E-2</v>
      </c>
      <c r="S520">
        <v>3.1691280000000002</v>
      </c>
      <c r="T520">
        <v>-0.61982869999999901</v>
      </c>
      <c r="U520">
        <v>-0.45236209999999999</v>
      </c>
      <c r="V520">
        <v>6.0700520000000001E-2</v>
      </c>
      <c r="W520">
        <v>0.22328970000000001</v>
      </c>
      <c r="X520">
        <v>0.97286030000000001</v>
      </c>
      <c r="Y520">
        <v>0.14146889999999901</v>
      </c>
      <c r="Z520">
        <v>-1.5741729999999999E-2</v>
      </c>
      <c r="AA520">
        <v>0.98981759999999996</v>
      </c>
      <c r="AB520">
        <v>39</v>
      </c>
      <c r="AC520">
        <v>0.46129999999999399</v>
      </c>
      <c r="AD520">
        <v>-0.14947279999999999</v>
      </c>
      <c r="AE520">
        <v>-0.111800000000016</v>
      </c>
      <c r="AF520">
        <v>0.10304328230602</v>
      </c>
      <c r="AG520">
        <v>-0.14947279999999999</v>
      </c>
      <c r="AH520">
        <v>0.41935673125251899</v>
      </c>
      <c r="AI520">
        <v>109.092644726272</v>
      </c>
      <c r="AJ520">
        <v>76.194924592567602</v>
      </c>
      <c r="AK520">
        <v>0.45696838404318002</v>
      </c>
      <c r="AL520">
        <v>77.097673313176699</v>
      </c>
      <c r="AM520">
        <v>86.429722751777504</v>
      </c>
      <c r="AN520">
        <v>1.0000000032852201</v>
      </c>
    </row>
    <row r="521" spans="1:40" x14ac:dyDescent="0.25">
      <c r="A521" t="str">
        <f>"20190303170951461"</f>
        <v>20190303170951461</v>
      </c>
      <c r="B521" t="str">
        <f>"1551604191450913"</f>
        <v>1551604191450913</v>
      </c>
      <c r="C521" t="s">
        <v>40</v>
      </c>
      <c r="D521">
        <v>4.3231149999999996</v>
      </c>
      <c r="E521">
        <v>0.54534759999999904</v>
      </c>
      <c r="F521" t="s">
        <v>43</v>
      </c>
      <c r="G521">
        <v>-313.25279999999998</v>
      </c>
      <c r="H521">
        <v>0.9311256</v>
      </c>
      <c r="I521">
        <v>367.67579999999998</v>
      </c>
      <c r="J521">
        <v>-313.85250000000002</v>
      </c>
      <c r="K521">
        <v>1.088805</v>
      </c>
      <c r="L521">
        <v>367.79349999999999</v>
      </c>
      <c r="M521">
        <v>0.99976339999999997</v>
      </c>
      <c r="N521">
        <v>-2.151573E-2</v>
      </c>
      <c r="O521">
        <v>3.1689119999999999E-3</v>
      </c>
      <c r="P521">
        <v>0.97755340000000002</v>
      </c>
      <c r="Q521">
        <v>0.2025499</v>
      </c>
      <c r="R521">
        <v>-5.799323E-2</v>
      </c>
      <c r="S521">
        <v>3.1705320000000001</v>
      </c>
      <c r="T521">
        <v>-0.62402019999999903</v>
      </c>
      <c r="U521">
        <v>-0.45812989999999998</v>
      </c>
      <c r="V521">
        <v>6.1100509999999997E-2</v>
      </c>
      <c r="W521">
        <v>0.22352949999999999</v>
      </c>
      <c r="X521">
        <v>0.97278019999999998</v>
      </c>
      <c r="Y521">
        <v>0.14310510000000001</v>
      </c>
      <c r="Z521">
        <v>-1.5990069999999999E-2</v>
      </c>
      <c r="AA521">
        <v>0.98957830000000002</v>
      </c>
      <c r="AB521">
        <v>39</v>
      </c>
      <c r="AC521">
        <v>0.59970000000004098</v>
      </c>
      <c r="AD521">
        <v>-0.1576794</v>
      </c>
      <c r="AE521">
        <v>-0.117700000000013</v>
      </c>
      <c r="AF521">
        <v>0.112135578501672</v>
      </c>
      <c r="AG521">
        <v>-0.1576794</v>
      </c>
      <c r="AH521">
        <v>0.56191803146508501</v>
      </c>
      <c r="AI521">
        <v>105.386017179178</v>
      </c>
      <c r="AJ521">
        <v>78.714386962637093</v>
      </c>
      <c r="AK521">
        <v>0.59429711023684195</v>
      </c>
      <c r="AL521">
        <v>77.083577644487406</v>
      </c>
      <c r="AM521">
        <v>86.405962496083504</v>
      </c>
      <c r="AN521">
        <v>1.00000001360227</v>
      </c>
    </row>
    <row r="522" spans="1:40" x14ac:dyDescent="0.25">
      <c r="A522" t="str">
        <f>"20190303170951473"</f>
        <v>20190303170951473</v>
      </c>
      <c r="B522" t="str">
        <f>"1551604191470939"</f>
        <v>1551604191470939</v>
      </c>
      <c r="C522" t="s">
        <v>40</v>
      </c>
      <c r="D522">
        <v>4.3227599999999997</v>
      </c>
      <c r="E522">
        <v>0.54610639999999999</v>
      </c>
      <c r="F522" t="s">
        <v>43</v>
      </c>
      <c r="G522">
        <v>-312.91460000000001</v>
      </c>
      <c r="H522">
        <v>0.90388849999999998</v>
      </c>
      <c r="I522">
        <v>367.65600000000001</v>
      </c>
      <c r="J522">
        <v>-313.63839999999999</v>
      </c>
      <c r="K522">
        <v>1.0874839999999999</v>
      </c>
      <c r="L522">
        <v>367.79410000000001</v>
      </c>
      <c r="M522">
        <v>0.99976900000000002</v>
      </c>
      <c r="N522">
        <v>-2.1263979999999998E-2</v>
      </c>
      <c r="O522">
        <v>3.1685749999999999E-3</v>
      </c>
      <c r="P522">
        <v>0.97736820000000002</v>
      </c>
      <c r="Q522">
        <v>0.20335030000000001</v>
      </c>
      <c r="R522">
        <v>-5.8313740000000003E-2</v>
      </c>
      <c r="S522">
        <v>3.1709290000000001</v>
      </c>
      <c r="T522">
        <v>-0.62537559999999903</v>
      </c>
      <c r="U522">
        <v>-0.46319579999999999</v>
      </c>
      <c r="V522">
        <v>6.1420200000000001E-2</v>
      </c>
      <c r="W522">
        <v>0.22408069999999999</v>
      </c>
      <c r="X522">
        <v>0.97263319999999998</v>
      </c>
      <c r="Y522">
        <v>0.14459659999999999</v>
      </c>
      <c r="Z522">
        <v>-1.616126E-2</v>
      </c>
      <c r="AA522">
        <v>0.98935870000000004</v>
      </c>
      <c r="AB522">
        <v>39</v>
      </c>
      <c r="AC522">
        <v>0.72379999999998201</v>
      </c>
      <c r="AD522">
        <v>-0.18359549999999999</v>
      </c>
      <c r="AE522">
        <v>-0.13810000000000799</v>
      </c>
      <c r="AF522">
        <v>0.13218695815370199</v>
      </c>
      <c r="AG522">
        <v>-0.18359549999999999</v>
      </c>
      <c r="AH522">
        <v>0.68107684345173602</v>
      </c>
      <c r="AI522">
        <v>104.82233212812901</v>
      </c>
      <c r="AJ522">
        <v>79.016291955530903</v>
      </c>
      <c r="AK522">
        <v>0.71766730886418295</v>
      </c>
      <c r="AL522">
        <v>77.051173708212403</v>
      </c>
      <c r="AM522">
        <v>86.386662877028598</v>
      </c>
      <c r="AN522">
        <v>0.99999997141138397</v>
      </c>
    </row>
    <row r="523" spans="1:40" x14ac:dyDescent="0.25">
      <c r="A523" t="str">
        <f>"20190303170951485"</f>
        <v>20190303170951485</v>
      </c>
      <c r="B523" t="str">
        <f>"1551604191480698"</f>
        <v>1551604191480698</v>
      </c>
      <c r="C523" t="s">
        <v>40</v>
      </c>
      <c r="D523">
        <v>4.3204440000000002</v>
      </c>
      <c r="E523">
        <v>0.54642559999999996</v>
      </c>
      <c r="F523" t="s">
        <v>43</v>
      </c>
      <c r="G523">
        <v>-312.89749999999998</v>
      </c>
      <c r="H523">
        <v>0.94081579999999998</v>
      </c>
      <c r="I523">
        <v>367.68400000000003</v>
      </c>
      <c r="J523">
        <v>-313.44470000000001</v>
      </c>
      <c r="K523">
        <v>1.0863659999999999</v>
      </c>
      <c r="L523">
        <v>367.79469999999998</v>
      </c>
      <c r="M523">
        <v>0.99977419999999995</v>
      </c>
      <c r="N523">
        <v>-2.1015699999999998E-2</v>
      </c>
      <c r="O523">
        <v>3.1687059999999999E-3</v>
      </c>
      <c r="P523">
        <v>0.97723479999999996</v>
      </c>
      <c r="Q523">
        <v>0.20389379999999999</v>
      </c>
      <c r="R523">
        <v>-5.8650580000000001E-2</v>
      </c>
      <c r="S523">
        <v>3.1721189999999999</v>
      </c>
      <c r="T523">
        <v>-0.62820069999999995</v>
      </c>
      <c r="U523">
        <v>-0.4695435</v>
      </c>
      <c r="V523">
        <v>6.1756890000000002E-2</v>
      </c>
      <c r="W523">
        <v>0.22437950000000001</v>
      </c>
      <c r="X523">
        <v>0.97254300000000005</v>
      </c>
      <c r="Y523">
        <v>0.14642289999999999</v>
      </c>
      <c r="Z523">
        <v>-1.6399380000000002E-2</v>
      </c>
      <c r="AA523">
        <v>0.98908620000000003</v>
      </c>
      <c r="AB523">
        <v>39</v>
      </c>
      <c r="AC523">
        <v>0.54720000000003199</v>
      </c>
      <c r="AD523">
        <v>-0.14555019999999899</v>
      </c>
      <c r="AE523">
        <v>-0.110699999999951</v>
      </c>
      <c r="AF523">
        <v>0.10527805656313</v>
      </c>
      <c r="AG523">
        <v>-0.14555019999999899</v>
      </c>
      <c r="AH523">
        <v>0.51204313421820002</v>
      </c>
      <c r="AI523">
        <v>105.558780693625</v>
      </c>
      <c r="AJ523">
        <v>78.381673206491996</v>
      </c>
      <c r="AK523">
        <v>0.54263846271135896</v>
      </c>
      <c r="AL523">
        <v>77.033606514253904</v>
      </c>
      <c r="AM523">
        <v>86.366572329956099</v>
      </c>
      <c r="AN523">
        <v>0.99999998016586</v>
      </c>
    </row>
    <row r="524" spans="1:40" x14ac:dyDescent="0.25">
      <c r="A524" t="str">
        <f>"20190303170951499"</f>
        <v>20190303170951499</v>
      </c>
      <c r="B524" t="str">
        <f>"1551604191491435"</f>
        <v>1551604191491435</v>
      </c>
      <c r="C524" t="s">
        <v>40</v>
      </c>
      <c r="D524">
        <v>4.3412949999999997</v>
      </c>
      <c r="E524">
        <v>0.54673050000000001</v>
      </c>
      <c r="F524" t="s">
        <v>43</v>
      </c>
      <c r="G524">
        <v>-312.56110000000001</v>
      </c>
      <c r="H524">
        <v>0.91115380000000001</v>
      </c>
      <c r="I524">
        <v>367.66300000000001</v>
      </c>
      <c r="J524">
        <v>-313.2122</v>
      </c>
      <c r="K524">
        <v>1.085064</v>
      </c>
      <c r="L524">
        <v>367.79539999999997</v>
      </c>
      <c r="M524">
        <v>0.99978049999999996</v>
      </c>
      <c r="N524">
        <v>-2.070839E-2</v>
      </c>
      <c r="O524">
        <v>3.1688839999999999E-3</v>
      </c>
      <c r="P524">
        <v>0.97711009999999998</v>
      </c>
      <c r="Q524">
        <v>0.2044474</v>
      </c>
      <c r="R524">
        <v>-5.8796929999999997E-2</v>
      </c>
      <c r="S524">
        <v>3.1728519999999998</v>
      </c>
      <c r="T524">
        <v>-0.62922069999999997</v>
      </c>
      <c r="U524">
        <v>-0.47247309999999998</v>
      </c>
      <c r="V524">
        <v>6.1903270000000003E-2</v>
      </c>
      <c r="W524">
        <v>0.22463140000000001</v>
      </c>
      <c r="X524">
        <v>0.9724756</v>
      </c>
      <c r="Y524">
        <v>0.14726229999999901</v>
      </c>
      <c r="Z524">
        <v>-1.6487870000000002E-2</v>
      </c>
      <c r="AA524">
        <v>0.98895999999999995</v>
      </c>
      <c r="AB524">
        <v>39</v>
      </c>
      <c r="AC524">
        <v>0.65109999999998502</v>
      </c>
      <c r="AD524">
        <v>-0.17391019999999999</v>
      </c>
      <c r="AE524">
        <v>-0.13239999999996099</v>
      </c>
      <c r="AF524">
        <v>0.125841556875077</v>
      </c>
      <c r="AG524">
        <v>-0.17391019999999999</v>
      </c>
      <c r="AH524">
        <v>0.60895706306992703</v>
      </c>
      <c r="AI524">
        <v>105.62511751544299</v>
      </c>
      <c r="AJ524">
        <v>78.324125668818297</v>
      </c>
      <c r="AK524">
        <v>0.64568534114035303</v>
      </c>
      <c r="AL524">
        <v>77.018796373088804</v>
      </c>
      <c r="AM524">
        <v>86.357731567309202</v>
      </c>
      <c r="AN524">
        <v>1.0000000366490001</v>
      </c>
    </row>
    <row r="525" spans="1:40" x14ac:dyDescent="0.25">
      <c r="A525" t="str">
        <f>"20190303170951510"</f>
        <v>20190303170951510</v>
      </c>
      <c r="B525" t="str">
        <f>"1551604191501197"</f>
        <v>1551604191501197</v>
      </c>
      <c r="C525" t="s">
        <v>40</v>
      </c>
      <c r="D525">
        <v>4.3311719999999996</v>
      </c>
      <c r="E525">
        <v>0.54695499999999997</v>
      </c>
      <c r="F525" t="s">
        <v>43</v>
      </c>
      <c r="G525">
        <v>-312.22140000000002</v>
      </c>
      <c r="H525">
        <v>0.88840249999999998</v>
      </c>
      <c r="I525">
        <v>367.64679999999998</v>
      </c>
      <c r="J525">
        <v>-312.98439999999999</v>
      </c>
      <c r="K525">
        <v>1.083888</v>
      </c>
      <c r="L525">
        <v>367.7962</v>
      </c>
      <c r="M525">
        <v>0.99978699999999998</v>
      </c>
      <c r="N525">
        <v>-2.0394450000000001E-2</v>
      </c>
      <c r="O525">
        <v>3.1692640000000002E-3</v>
      </c>
      <c r="P525">
        <v>0.97693969999999997</v>
      </c>
      <c r="Q525">
        <v>0.20516719999999999</v>
      </c>
      <c r="R525">
        <v>-5.91227E-2</v>
      </c>
      <c r="S525">
        <v>3.173492</v>
      </c>
      <c r="T525">
        <v>-0.63001260000000003</v>
      </c>
      <c r="U525">
        <v>-0.47537230000000003</v>
      </c>
      <c r="V525">
        <v>6.2228659999999998E-2</v>
      </c>
      <c r="W525">
        <v>0.22504260000000001</v>
      </c>
      <c r="X525">
        <v>0.97235970000000005</v>
      </c>
      <c r="Y525">
        <v>0.14809829999999999</v>
      </c>
      <c r="Z525">
        <v>-1.657053E-2</v>
      </c>
      <c r="AA525">
        <v>0.98883379999999998</v>
      </c>
      <c r="AB525">
        <v>39</v>
      </c>
      <c r="AC525">
        <v>0.76299999999997603</v>
      </c>
      <c r="AD525">
        <v>-0.19548550000000001</v>
      </c>
      <c r="AE525">
        <v>-0.14940000000001399</v>
      </c>
      <c r="AF525">
        <v>0.14279094914547699</v>
      </c>
      <c r="AG525">
        <v>-0.19548550000000001</v>
      </c>
      <c r="AH525">
        <v>0.71718369402040505</v>
      </c>
      <c r="AI525">
        <v>104.966723855525</v>
      </c>
      <c r="AJ525">
        <v>78.739683905914205</v>
      </c>
      <c r="AK525">
        <v>0.75693876029495999</v>
      </c>
      <c r="AL525">
        <v>76.994616554725894</v>
      </c>
      <c r="AM525">
        <v>86.3382029659236</v>
      </c>
      <c r="AN525">
        <v>0.99999998206212204</v>
      </c>
    </row>
    <row r="526" spans="1:40" x14ac:dyDescent="0.25">
      <c r="A526" t="str">
        <f>"20190303170951529"</f>
        <v>20190303170951529</v>
      </c>
      <c r="B526" t="str">
        <f>"1551604191520714"</f>
        <v>1551604191520714</v>
      </c>
      <c r="C526" t="s">
        <v>40</v>
      </c>
      <c r="D526">
        <v>4.3200779999999996</v>
      </c>
      <c r="E526">
        <v>0.54743109999999995</v>
      </c>
      <c r="F526" t="s">
        <v>43</v>
      </c>
      <c r="G526">
        <v>-312.20319999999998</v>
      </c>
      <c r="H526">
        <v>0.92902600000000002</v>
      </c>
      <c r="I526">
        <v>367.6782</v>
      </c>
      <c r="J526">
        <v>-312.67020000000002</v>
      </c>
      <c r="K526">
        <v>1.082389</v>
      </c>
      <c r="L526">
        <v>367.7971</v>
      </c>
      <c r="M526">
        <v>0.99979589999999996</v>
      </c>
      <c r="N526">
        <v>-1.9958839999999999E-2</v>
      </c>
      <c r="O526">
        <v>3.169154E-3</v>
      </c>
      <c r="P526">
        <v>0.97676320000000005</v>
      </c>
      <c r="Q526">
        <v>0.20589379999999999</v>
      </c>
      <c r="R526">
        <v>-5.9509649999999997E-2</v>
      </c>
      <c r="S526">
        <v>3.1740110000000001</v>
      </c>
      <c r="T526">
        <v>-0.62932959999999905</v>
      </c>
      <c r="U526">
        <v>-0.47839359999999997</v>
      </c>
      <c r="V526">
        <v>6.2615110000000002E-2</v>
      </c>
      <c r="W526">
        <v>0.22534129999999999</v>
      </c>
      <c r="X526">
        <v>0.97226570000000001</v>
      </c>
      <c r="Y526">
        <v>0.14899019999999999</v>
      </c>
      <c r="Z526">
        <v>-1.6615769999999998E-2</v>
      </c>
      <c r="AA526">
        <v>0.98869910000000005</v>
      </c>
      <c r="AB526">
        <v>39</v>
      </c>
      <c r="AC526">
        <v>0.46700000000004099</v>
      </c>
      <c r="AD526">
        <v>-0.153363</v>
      </c>
      <c r="AE526">
        <v>-0.118899999999996</v>
      </c>
      <c r="AF526">
        <v>0.109308743109473</v>
      </c>
      <c r="AG526">
        <v>-0.153363</v>
      </c>
      <c r="AH526">
        <v>0.423707093138457</v>
      </c>
      <c r="AI526">
        <v>109.314545924638</v>
      </c>
      <c r="AJ526">
        <v>75.534146245139198</v>
      </c>
      <c r="AK526">
        <v>0.46367694773949503</v>
      </c>
      <c r="AL526">
        <v>76.977050999252896</v>
      </c>
      <c r="AM526">
        <v>86.315169825529196</v>
      </c>
      <c r="AN526">
        <v>0.99999997244124506</v>
      </c>
    </row>
    <row r="527" spans="1:40" x14ac:dyDescent="0.25">
      <c r="A527" t="str">
        <f>"20190303170951549"</f>
        <v>20190303170951549</v>
      </c>
      <c r="B527" t="str">
        <f>"1551604191541210"</f>
        <v>1551604191541210</v>
      </c>
      <c r="C527" t="s">
        <v>40</v>
      </c>
      <c r="D527">
        <v>4.2987120000000001</v>
      </c>
      <c r="E527">
        <v>0.54779080000000002</v>
      </c>
      <c r="F527" t="s">
        <v>43</v>
      </c>
      <c r="G527">
        <v>-311.85750000000002</v>
      </c>
      <c r="H527">
        <v>0.92098159999999896</v>
      </c>
      <c r="I527">
        <v>367.67349999999999</v>
      </c>
      <c r="J527">
        <v>-312.31950000000001</v>
      </c>
      <c r="K527">
        <v>1.0808770000000001</v>
      </c>
      <c r="L527">
        <v>367.79829999999998</v>
      </c>
      <c r="M527">
        <v>0.99980530000000001</v>
      </c>
      <c r="N527">
        <v>-1.9477660000000001E-2</v>
      </c>
      <c r="O527">
        <v>3.169219E-3</v>
      </c>
      <c r="P527">
        <v>0.97666750000000002</v>
      </c>
      <c r="Q527">
        <v>0.20635619999999999</v>
      </c>
      <c r="R527">
        <v>-5.9477740000000001E-2</v>
      </c>
      <c r="S527">
        <v>3.1748660000000002</v>
      </c>
      <c r="T527">
        <v>-0.63059589999999999</v>
      </c>
      <c r="U527">
        <v>-0.4829407</v>
      </c>
      <c r="V527">
        <v>6.2582869999999999E-2</v>
      </c>
      <c r="W527">
        <v>0.22533429999999999</v>
      </c>
      <c r="X527">
        <v>0.97226939999999995</v>
      </c>
      <c r="Y527">
        <v>0.15030470000000001</v>
      </c>
      <c r="Z527">
        <v>-1.6747000000000001E-2</v>
      </c>
      <c r="AA527">
        <v>0.98849790000000004</v>
      </c>
      <c r="AB527">
        <v>39</v>
      </c>
      <c r="AC527">
        <v>0.46199999999998898</v>
      </c>
      <c r="AD527">
        <v>-0.15989539999999999</v>
      </c>
      <c r="AE527">
        <v>-0.124799999999993</v>
      </c>
      <c r="AF527">
        <v>0.113583892876939</v>
      </c>
      <c r="AG527">
        <v>-0.15989539999999999</v>
      </c>
      <c r="AH527">
        <v>0.415246090917269</v>
      </c>
      <c r="AI527">
        <v>110.375878710804</v>
      </c>
      <c r="AJ527">
        <v>74.701872060187398</v>
      </c>
      <c r="AK527">
        <v>0.459235403343768</v>
      </c>
      <c r="AL527">
        <v>76.977462681580704</v>
      </c>
      <c r="AM527">
        <v>86.317075867714095</v>
      </c>
      <c r="AN527">
        <v>0.99999997427514298</v>
      </c>
    </row>
    <row r="528" spans="1:40" x14ac:dyDescent="0.25">
      <c r="A528" t="str">
        <f>"20190303170951563"</f>
        <v>20190303170951563</v>
      </c>
      <c r="B528" t="str">
        <f>"1551604191550971"</f>
        <v>1551604191550971</v>
      </c>
      <c r="C528" t="s">
        <v>40</v>
      </c>
      <c r="D528">
        <v>4.2899279999999997</v>
      </c>
      <c r="E528">
        <v>0.54796089999999997</v>
      </c>
      <c r="F528" t="s">
        <v>43</v>
      </c>
      <c r="G528">
        <v>-311.50920000000002</v>
      </c>
      <c r="H528">
        <v>0.91951919999999998</v>
      </c>
      <c r="I528">
        <v>367.67399999999998</v>
      </c>
      <c r="J528">
        <v>-312.09309999999999</v>
      </c>
      <c r="K528">
        <v>1.07999</v>
      </c>
      <c r="L528">
        <v>367.79899999999998</v>
      </c>
      <c r="M528">
        <v>0.99981129999999996</v>
      </c>
      <c r="N528">
        <v>-1.917466E-2</v>
      </c>
      <c r="O528">
        <v>3.1689460000000002E-3</v>
      </c>
      <c r="P528">
        <v>0.97659609999999997</v>
      </c>
      <c r="Q528">
        <v>0.20667189999999999</v>
      </c>
      <c r="R528">
        <v>-5.9558590000000002E-2</v>
      </c>
      <c r="S528">
        <v>3.1757200000000001</v>
      </c>
      <c r="T528">
        <v>-0.63252269999999999</v>
      </c>
      <c r="U528">
        <v>-0.4858093</v>
      </c>
      <c r="V528">
        <v>6.2663029999999995E-2</v>
      </c>
      <c r="W528">
        <v>0.22535340000000001</v>
      </c>
      <c r="X528">
        <v>0.97225980000000001</v>
      </c>
      <c r="Y528">
        <v>0.151108299999999</v>
      </c>
      <c r="Z528">
        <v>-1.685244E-2</v>
      </c>
      <c r="AA528">
        <v>0.98837359999999996</v>
      </c>
      <c r="AB528">
        <v>39</v>
      </c>
      <c r="AC528">
        <v>0.583899999999971</v>
      </c>
      <c r="AD528">
        <v>-0.1604708</v>
      </c>
      <c r="AE528">
        <v>-0.125</v>
      </c>
      <c r="AF528">
        <v>0.11830605895723301</v>
      </c>
      <c r="AG528">
        <v>-0.1604708</v>
      </c>
      <c r="AH528">
        <v>0.54419910599634203</v>
      </c>
      <c r="AI528">
        <v>106.074062822736</v>
      </c>
      <c r="AJ528">
        <v>77.735034707734798</v>
      </c>
      <c r="AK528">
        <v>0.57956869153349799</v>
      </c>
      <c r="AL528">
        <v>76.976339311540798</v>
      </c>
      <c r="AM528">
        <v>86.312335248678707</v>
      </c>
      <c r="AN528">
        <v>0.99999996445818895</v>
      </c>
    </row>
    <row r="529" spans="1:40" x14ac:dyDescent="0.25">
      <c r="A529" t="str">
        <f>"20190303170951577"</f>
        <v>20190303170951577</v>
      </c>
      <c r="B529" t="str">
        <f>"1551604191570999"</f>
        <v>1551604191570999</v>
      </c>
      <c r="C529" t="s">
        <v>40</v>
      </c>
      <c r="D529">
        <v>4.2993139999999999</v>
      </c>
      <c r="E529">
        <v>0.5482243</v>
      </c>
      <c r="F529" t="s">
        <v>43</v>
      </c>
      <c r="G529">
        <v>-311.1712</v>
      </c>
      <c r="H529">
        <v>0.89618539999999902</v>
      </c>
      <c r="I529">
        <v>367.6576</v>
      </c>
      <c r="J529">
        <v>-311.84129999999999</v>
      </c>
      <c r="K529">
        <v>1.079064</v>
      </c>
      <c r="L529">
        <v>367.7998</v>
      </c>
      <c r="M529">
        <v>0.99981739999999997</v>
      </c>
      <c r="N529">
        <v>-1.8845540000000001E-2</v>
      </c>
      <c r="O529">
        <v>3.169233E-3</v>
      </c>
      <c r="P529">
        <v>0.97650309999999996</v>
      </c>
      <c r="Q529">
        <v>0.2071276</v>
      </c>
      <c r="R529">
        <v>-5.9497029999999999E-2</v>
      </c>
      <c r="S529">
        <v>3.1762389999999998</v>
      </c>
      <c r="T529">
        <v>-0.63327559999999905</v>
      </c>
      <c r="U529">
        <v>-0.4867554</v>
      </c>
      <c r="V529">
        <v>6.2601390000000007E-2</v>
      </c>
      <c r="W529">
        <v>0.2254872</v>
      </c>
      <c r="X529">
        <v>0.97223280000000001</v>
      </c>
      <c r="Y529">
        <v>0.15136529999999901</v>
      </c>
      <c r="Z529">
        <v>-1.6871219999999999E-2</v>
      </c>
      <c r="AA529">
        <v>0.98833389999999999</v>
      </c>
      <c r="AB529">
        <v>39</v>
      </c>
      <c r="AC529">
        <v>0.67009999999999004</v>
      </c>
      <c r="AD529">
        <v>-0.1828786</v>
      </c>
      <c r="AE529">
        <v>-0.14220000000000199</v>
      </c>
      <c r="AF529">
        <v>0.13472153543375801</v>
      </c>
      <c r="AG529">
        <v>-0.1828786</v>
      </c>
      <c r="AH529">
        <v>0.62509436211412694</v>
      </c>
      <c r="AI529">
        <v>105.960253782782</v>
      </c>
      <c r="AJ529">
        <v>77.837540460001193</v>
      </c>
      <c r="AK529">
        <v>0.66508453296889802</v>
      </c>
      <c r="AL529">
        <v>76.968471270416103</v>
      </c>
      <c r="AM529">
        <v>86.315850685919102</v>
      </c>
      <c r="AN529">
        <v>1.0000000143948</v>
      </c>
    </row>
    <row r="530" spans="1:40" x14ac:dyDescent="0.25">
      <c r="A530" t="str">
        <f>"20190303170951594"</f>
        <v>20190303170951594</v>
      </c>
      <c r="B530" t="str">
        <f>"1551604191580759"</f>
        <v>1551604191580759</v>
      </c>
      <c r="C530" t="s">
        <v>40</v>
      </c>
      <c r="D530">
        <v>4.2781149999999997</v>
      </c>
      <c r="E530">
        <v>0.54834340000000004</v>
      </c>
      <c r="F530" t="s">
        <v>43</v>
      </c>
      <c r="G530">
        <v>-310.83069999999998</v>
      </c>
      <c r="H530">
        <v>0.87721559999999899</v>
      </c>
      <c r="I530">
        <v>367.64409999999998</v>
      </c>
      <c r="J530">
        <v>-311.54809999999998</v>
      </c>
      <c r="K530">
        <v>1.078117</v>
      </c>
      <c r="L530">
        <v>367.80070000000001</v>
      </c>
      <c r="M530">
        <v>0.9998243</v>
      </c>
      <c r="N530">
        <v>-1.8481529999999999E-2</v>
      </c>
      <c r="O530">
        <v>3.1691319999999999E-3</v>
      </c>
      <c r="P530">
        <v>0.97638139999999995</v>
      </c>
      <c r="Q530">
        <v>0.20771039999999999</v>
      </c>
      <c r="R530">
        <v>-5.9465509999999999E-2</v>
      </c>
      <c r="S530">
        <v>3.177063</v>
      </c>
      <c r="T530">
        <v>-0.63476180000000004</v>
      </c>
      <c r="U530">
        <v>-0.48840329999999899</v>
      </c>
      <c r="V530">
        <v>6.2569379999999994E-2</v>
      </c>
      <c r="W530">
        <v>0.2257139</v>
      </c>
      <c r="X530">
        <v>0.97218230000000005</v>
      </c>
      <c r="Y530">
        <v>0.1518109</v>
      </c>
      <c r="Z530">
        <v>-1.6923580000000001E-2</v>
      </c>
      <c r="AA530">
        <v>0.9882647</v>
      </c>
      <c r="AB530">
        <v>39</v>
      </c>
      <c r="AC530">
        <v>0.71739999999999704</v>
      </c>
      <c r="AD530">
        <v>-0.20090140000000001</v>
      </c>
      <c r="AE530">
        <v>-0.156600000000025</v>
      </c>
      <c r="AF530">
        <v>0.14780875335836</v>
      </c>
      <c r="AG530">
        <v>-0.20090140000000001</v>
      </c>
      <c r="AH530">
        <v>0.66697304034327798</v>
      </c>
      <c r="AI530">
        <v>106.38749636619301</v>
      </c>
      <c r="AJ530">
        <v>77.504553406888306</v>
      </c>
      <c r="AK530">
        <v>0.71208274563850305</v>
      </c>
      <c r="AL530">
        <v>76.955139181144702</v>
      </c>
      <c r="AM530">
        <v>86.317538570361293</v>
      </c>
      <c r="AN530">
        <v>1.0000000582000399</v>
      </c>
    </row>
    <row r="531" spans="1:40" x14ac:dyDescent="0.25">
      <c r="A531" t="str">
        <f>"20190303170951607"</f>
        <v>20190303170951607</v>
      </c>
      <c r="B531" t="str">
        <f>"1551604191601255"</f>
        <v>1551604191601255</v>
      </c>
      <c r="C531" t="s">
        <v>40</v>
      </c>
      <c r="D531">
        <v>4.2962790000000002</v>
      </c>
      <c r="E531">
        <v>0.5485717</v>
      </c>
      <c r="F531" t="s">
        <v>43</v>
      </c>
      <c r="G531">
        <v>-310.8073</v>
      </c>
      <c r="H531">
        <v>0.93026350000000002</v>
      </c>
      <c r="I531">
        <v>367.68639999999999</v>
      </c>
      <c r="J531">
        <v>-311.32839999999999</v>
      </c>
      <c r="K531">
        <v>1.07748</v>
      </c>
      <c r="L531">
        <v>367.8014</v>
      </c>
      <c r="M531">
        <v>0.99982890000000002</v>
      </c>
      <c r="N531">
        <v>-1.8222519999999999E-2</v>
      </c>
      <c r="O531">
        <v>3.169318E-3</v>
      </c>
      <c r="P531">
        <v>0.97628599999999999</v>
      </c>
      <c r="Q531">
        <v>0.20816789999999999</v>
      </c>
      <c r="R531">
        <v>-5.9429099999999901E-2</v>
      </c>
      <c r="S531">
        <v>3.1777950000000001</v>
      </c>
      <c r="T531">
        <v>-0.63451289999999905</v>
      </c>
      <c r="U531">
        <v>-0.48880000000000001</v>
      </c>
      <c r="V531">
        <v>6.2532829999999998E-2</v>
      </c>
      <c r="W531">
        <v>0.22591729999999999</v>
      </c>
      <c r="X531">
        <v>0.97213729999999998</v>
      </c>
      <c r="Y531">
        <v>0.15190319999999999</v>
      </c>
      <c r="Z531">
        <v>-1.690473E-2</v>
      </c>
      <c r="AA531">
        <v>0.98825079999999998</v>
      </c>
      <c r="AB531">
        <v>39</v>
      </c>
      <c r="AC531">
        <v>0.52109999999998902</v>
      </c>
      <c r="AD531">
        <v>-0.147216499999999</v>
      </c>
      <c r="AE531">
        <v>-0.115000000000009</v>
      </c>
      <c r="AF531">
        <v>0.108401251561821</v>
      </c>
      <c r="AG531">
        <v>-0.147216499999999</v>
      </c>
      <c r="AH531">
        <v>0.48390482928550299</v>
      </c>
      <c r="AI531">
        <v>106.53449962211501</v>
      </c>
      <c r="AJ531">
        <v>77.373422405304296</v>
      </c>
      <c r="AK531">
        <v>0.51728852009130399</v>
      </c>
      <c r="AL531">
        <v>76.9431748551835</v>
      </c>
      <c r="AM531">
        <v>86.319513879412497</v>
      </c>
      <c r="AN531">
        <v>0.99999995565919297</v>
      </c>
    </row>
    <row r="532" spans="1:40" x14ac:dyDescent="0.25">
      <c r="A532" t="str">
        <f>"20190303170951618"</f>
        <v>20190303170951618</v>
      </c>
      <c r="B532" t="str">
        <f>"1551604191611015"</f>
        <v>1551604191611015</v>
      </c>
      <c r="C532" t="s">
        <v>40</v>
      </c>
      <c r="D532">
        <v>4.2871560000000004</v>
      </c>
      <c r="E532">
        <v>0.54867169999999998</v>
      </c>
      <c r="F532" t="s">
        <v>43</v>
      </c>
      <c r="G532">
        <v>-310.47059999999999</v>
      </c>
      <c r="H532">
        <v>0.90594430000000004</v>
      </c>
      <c r="I532">
        <v>367.66879999999998</v>
      </c>
      <c r="J532">
        <v>-311.11989999999997</v>
      </c>
      <c r="K532">
        <v>1.076911</v>
      </c>
      <c r="L532">
        <v>367.8021</v>
      </c>
      <c r="M532">
        <v>0.99983330000000004</v>
      </c>
      <c r="N532">
        <v>-1.7982870000000001E-2</v>
      </c>
      <c r="O532">
        <v>3.1694729999999999E-3</v>
      </c>
      <c r="P532">
        <v>0.97623990000000005</v>
      </c>
      <c r="Q532">
        <v>0.2084075</v>
      </c>
      <c r="R532">
        <v>-5.934536E-2</v>
      </c>
      <c r="S532">
        <v>3.1785580000000002</v>
      </c>
      <c r="T532">
        <v>-0.63567899999999999</v>
      </c>
      <c r="U532">
        <v>-0.49066159999999998</v>
      </c>
      <c r="V532">
        <v>6.244922E-2</v>
      </c>
      <c r="W532">
        <v>0.2259234</v>
      </c>
      <c r="X532">
        <v>0.97214129999999999</v>
      </c>
      <c r="Y532">
        <v>0.1524161</v>
      </c>
      <c r="Z532">
        <v>-1.6966019999999998E-2</v>
      </c>
      <c r="AA532">
        <v>0.98817080000000002</v>
      </c>
      <c r="AB532">
        <v>39</v>
      </c>
      <c r="AC532">
        <v>0.649299999999982</v>
      </c>
      <c r="AD532">
        <v>-0.170966699999999</v>
      </c>
      <c r="AE532">
        <v>-0.13330000000001899</v>
      </c>
      <c r="AF532">
        <v>0.12691427449770701</v>
      </c>
      <c r="AG532">
        <v>-0.170966699999999</v>
      </c>
      <c r="AH532">
        <v>0.608398748915145</v>
      </c>
      <c r="AI532">
        <v>105.38100992095499</v>
      </c>
      <c r="AJ532">
        <v>78.216861372849493</v>
      </c>
      <c r="AK532">
        <v>0.64458194456692797</v>
      </c>
      <c r="AL532">
        <v>76.942816630323307</v>
      </c>
      <c r="AM532">
        <v>86.324436484775404</v>
      </c>
      <c r="AN532">
        <v>0.99999999745592905</v>
      </c>
    </row>
    <row r="533" spans="1:40" x14ac:dyDescent="0.25">
      <c r="A533" t="str">
        <f>"20190303170951630"</f>
        <v>20190303170951630</v>
      </c>
      <c r="B533" t="str">
        <f>"1551604191620775"</f>
        <v>1551604191620775</v>
      </c>
      <c r="C533" t="s">
        <v>40</v>
      </c>
      <c r="D533">
        <v>4.2858489999999998</v>
      </c>
      <c r="E533">
        <v>0.54880200000000001</v>
      </c>
      <c r="F533" t="s">
        <v>43</v>
      </c>
      <c r="G533">
        <v>-310.13420000000002</v>
      </c>
      <c r="H533">
        <v>0.87976189999999999</v>
      </c>
      <c r="I533">
        <v>367.64940000000001</v>
      </c>
      <c r="J533">
        <v>-310.90839999999997</v>
      </c>
      <c r="K533">
        <v>1.0763929999999999</v>
      </c>
      <c r="L533">
        <v>367.80270000000002</v>
      </c>
      <c r="M533">
        <v>0.99983750000000005</v>
      </c>
      <c r="N533">
        <v>-1.7754240000000001E-2</v>
      </c>
      <c r="O533">
        <v>3.1696799999999998E-3</v>
      </c>
      <c r="P533">
        <v>0.97625110000000004</v>
      </c>
      <c r="Q533">
        <v>0.20849280000000001</v>
      </c>
      <c r="R533">
        <v>-5.8865899999999999E-2</v>
      </c>
      <c r="S533">
        <v>3.178925</v>
      </c>
      <c r="T533">
        <v>-0.63600610000000002</v>
      </c>
      <c r="U533">
        <v>-0.49157709999999999</v>
      </c>
      <c r="V533">
        <v>6.1969780000000002E-2</v>
      </c>
      <c r="W533">
        <v>0.22578680000000001</v>
      </c>
      <c r="X533">
        <v>0.9722037</v>
      </c>
      <c r="Y533">
        <v>0.15267269999999999</v>
      </c>
      <c r="Z533">
        <v>-1.6982480000000001E-2</v>
      </c>
      <c r="AA533">
        <v>0.98813090000000003</v>
      </c>
      <c r="AB533">
        <v>39</v>
      </c>
      <c r="AC533">
        <v>0.77419999999995004</v>
      </c>
      <c r="AD533">
        <v>-0.196631099999999</v>
      </c>
      <c r="AE533">
        <v>-0.15330000000000099</v>
      </c>
      <c r="AF533">
        <v>0.146650686471996</v>
      </c>
      <c r="AG533">
        <v>-0.196631099999999</v>
      </c>
      <c r="AH533">
        <v>0.72849124003127896</v>
      </c>
      <c r="AI533">
        <v>104.821196845426</v>
      </c>
      <c r="AJ533">
        <v>78.618057581113007</v>
      </c>
      <c r="AK533">
        <v>0.768680492878692</v>
      </c>
      <c r="AL533">
        <v>76.950850644814906</v>
      </c>
      <c r="AM533">
        <v>86.352811812074606</v>
      </c>
      <c r="AN533">
        <v>0.99999998349058905</v>
      </c>
    </row>
    <row r="534" spans="1:40" x14ac:dyDescent="0.25">
      <c r="A534" t="str">
        <f>"20190303170951642"</f>
        <v>20190303170951642</v>
      </c>
      <c r="B534" t="str">
        <f>"1551604191631511"</f>
        <v>1551604191631511</v>
      </c>
      <c r="C534" t="s">
        <v>40</v>
      </c>
      <c r="D534">
        <v>4.2857029999999998</v>
      </c>
      <c r="E534">
        <v>0.54889080000000001</v>
      </c>
      <c r="F534" t="s">
        <v>43</v>
      </c>
      <c r="G534">
        <v>-310.11739999999998</v>
      </c>
      <c r="H534">
        <v>0.91798089999999999</v>
      </c>
      <c r="I534">
        <v>367.68020000000001</v>
      </c>
      <c r="J534">
        <v>-310.71660000000003</v>
      </c>
      <c r="K534">
        <v>1.0759529999999999</v>
      </c>
      <c r="L534">
        <v>367.80329999999998</v>
      </c>
      <c r="M534">
        <v>0.99984090000000003</v>
      </c>
      <c r="N534">
        <v>-1.75546E-2</v>
      </c>
      <c r="O534">
        <v>3.1697850000000001E-3</v>
      </c>
      <c r="P534">
        <v>0.97624469999999997</v>
      </c>
      <c r="Q534">
        <v>0.2086113</v>
      </c>
      <c r="R534">
        <v>-5.8547620000000002E-2</v>
      </c>
      <c r="S534">
        <v>3.1793209999999998</v>
      </c>
      <c r="T534">
        <v>-0.63693759999999999</v>
      </c>
      <c r="U534">
        <v>-0.491394</v>
      </c>
      <c r="V534">
        <v>6.1651480000000002E-2</v>
      </c>
      <c r="W534">
        <v>0.22571060000000001</v>
      </c>
      <c r="X534">
        <v>0.97224160000000004</v>
      </c>
      <c r="Y534">
        <v>0.152594799999999</v>
      </c>
      <c r="Z534">
        <v>-1.6979930000000001E-2</v>
      </c>
      <c r="AA534">
        <v>0.98814299999999999</v>
      </c>
      <c r="AB534">
        <v>39</v>
      </c>
      <c r="AC534">
        <v>0.59920000000005302</v>
      </c>
      <c r="AD534">
        <v>-0.1579721</v>
      </c>
      <c r="AE534">
        <v>-0.123099999999965</v>
      </c>
      <c r="AF534">
        <v>0.11718395789815</v>
      </c>
      <c r="AG534">
        <v>-0.1579721</v>
      </c>
      <c r="AH534">
        <v>0.56136878882853702</v>
      </c>
      <c r="AI534">
        <v>105.401146657231</v>
      </c>
      <c r="AJ534">
        <v>78.209006567048505</v>
      </c>
      <c r="AK534">
        <v>0.59482953981615905</v>
      </c>
      <c r="AL534">
        <v>76.955331887218605</v>
      </c>
      <c r="AM534">
        <v>86.371636028927995</v>
      </c>
      <c r="AN534">
        <v>0.99999995435455402</v>
      </c>
    </row>
    <row r="535" spans="1:40" x14ac:dyDescent="0.25">
      <c r="A535" t="str">
        <f>"20190303170951652"</f>
        <v>20190303170951652</v>
      </c>
      <c r="B535" t="str">
        <f>"1551604191641272"</f>
        <v>1551604191641272</v>
      </c>
      <c r="C535" t="s">
        <v>40</v>
      </c>
      <c r="D535">
        <v>4.2716779999999996</v>
      </c>
      <c r="E535">
        <v>0.54899310000000001</v>
      </c>
      <c r="F535" t="s">
        <v>43</v>
      </c>
      <c r="G535">
        <v>-309.78320000000002</v>
      </c>
      <c r="H535">
        <v>0.88886010000000004</v>
      </c>
      <c r="I535">
        <v>367.65879999999999</v>
      </c>
      <c r="J535">
        <v>-310.5129</v>
      </c>
      <c r="K535">
        <v>1.0755159999999999</v>
      </c>
      <c r="L535">
        <v>367.80399999999997</v>
      </c>
      <c r="M535">
        <v>0.99984439999999997</v>
      </c>
      <c r="N535">
        <v>-1.7351229999999999E-2</v>
      </c>
      <c r="O535">
        <v>3.169842E-3</v>
      </c>
      <c r="P535">
        <v>0.97624840000000002</v>
      </c>
      <c r="Q535">
        <v>0.2087532</v>
      </c>
      <c r="R535">
        <v>-5.797575E-2</v>
      </c>
      <c r="S535">
        <v>3.1797789999999999</v>
      </c>
      <c r="T535">
        <v>-0.63746619999999998</v>
      </c>
      <c r="U535">
        <v>-0.49148560000000002</v>
      </c>
      <c r="V535">
        <v>6.1079809999999998E-2</v>
      </c>
      <c r="W535">
        <v>0.22565540000000001</v>
      </c>
      <c r="X535">
        <v>0.9722906</v>
      </c>
      <c r="Y535">
        <v>0.1525997</v>
      </c>
      <c r="Z535">
        <v>-1.6975870000000001E-2</v>
      </c>
      <c r="AA535">
        <v>0.98814230000000003</v>
      </c>
      <c r="AB535">
        <v>39</v>
      </c>
      <c r="AC535">
        <v>0.72969999999997903</v>
      </c>
      <c r="AD535">
        <v>-0.18665589999999899</v>
      </c>
      <c r="AE535">
        <v>-0.14520000000004499</v>
      </c>
      <c r="AF535">
        <v>0.13877789763071999</v>
      </c>
      <c r="AG535">
        <v>-0.18665589999999899</v>
      </c>
      <c r="AH535">
        <v>0.68605531592680702</v>
      </c>
      <c r="AI535">
        <v>104.93159587582601</v>
      </c>
      <c r="AJ535">
        <v>78.564301924323502</v>
      </c>
      <c r="AK535">
        <v>0.72441122740267105</v>
      </c>
      <c r="AL535">
        <v>76.9585797306231</v>
      </c>
      <c r="AM535">
        <v>86.405372480978599</v>
      </c>
      <c r="AN535">
        <v>1.0000000567935701</v>
      </c>
    </row>
    <row r="536" spans="1:40" x14ac:dyDescent="0.25">
      <c r="A536" t="str">
        <f>"20190303170951664"</f>
        <v>20190303170951664</v>
      </c>
      <c r="B536" t="str">
        <f>"1551604191660791"</f>
        <v>1551604191660791</v>
      </c>
      <c r="C536" t="s">
        <v>40</v>
      </c>
      <c r="D536">
        <v>4.2872760000000003</v>
      </c>
      <c r="E536">
        <v>0.5491741</v>
      </c>
      <c r="F536" t="s">
        <v>43</v>
      </c>
      <c r="G536">
        <v>-309.76650000000001</v>
      </c>
      <c r="H536">
        <v>0.92576670000000005</v>
      </c>
      <c r="I536">
        <v>367.68860000000001</v>
      </c>
      <c r="J536">
        <v>-310.32659999999998</v>
      </c>
      <c r="K536">
        <v>1.0751580000000001</v>
      </c>
      <c r="L536">
        <v>367.80459999999999</v>
      </c>
      <c r="M536">
        <v>0.9998475</v>
      </c>
      <c r="N536">
        <v>-1.7176400000000001E-2</v>
      </c>
      <c r="O536">
        <v>3.16987E-3</v>
      </c>
      <c r="P536">
        <v>0.97618309999999997</v>
      </c>
      <c r="Q536">
        <v>0.20909220000000001</v>
      </c>
      <c r="R536">
        <v>-5.785365E-2</v>
      </c>
      <c r="S536">
        <v>3.1803279999999998</v>
      </c>
      <c r="T536">
        <v>-0.63823219999999903</v>
      </c>
      <c r="U536">
        <v>-0.4907532</v>
      </c>
      <c r="V536">
        <v>6.0957520000000001E-2</v>
      </c>
      <c r="W536">
        <v>0.225823</v>
      </c>
      <c r="X536">
        <v>0.97225930000000005</v>
      </c>
      <c r="Y536">
        <v>0.15235299999999999</v>
      </c>
      <c r="Z536">
        <v>-1.6952450000000001E-2</v>
      </c>
      <c r="AA536">
        <v>0.98818079999999997</v>
      </c>
      <c r="AB536">
        <v>39</v>
      </c>
      <c r="AC536">
        <v>0.56009999999997695</v>
      </c>
      <c r="AD536">
        <v>-0.1493913</v>
      </c>
      <c r="AE536">
        <v>-0.115999999999985</v>
      </c>
      <c r="AF536">
        <v>0.11025413880101299</v>
      </c>
      <c r="AG536">
        <v>-0.1493913</v>
      </c>
      <c r="AH536">
        <v>0.52398574679295395</v>
      </c>
      <c r="AI536">
        <v>105.58890945630699</v>
      </c>
      <c r="AJ536">
        <v>78.117483069379304</v>
      </c>
      <c r="AK536">
        <v>0.55590898398983701</v>
      </c>
      <c r="AL536">
        <v>76.9487217212736</v>
      </c>
      <c r="AM536">
        <v>86.412435405961702</v>
      </c>
      <c r="AN536">
        <v>0.99999999650502003</v>
      </c>
    </row>
    <row r="537" spans="1:40" x14ac:dyDescent="0.25">
      <c r="A537" t="str">
        <f>"20190303170951675"</f>
        <v>20190303170951675</v>
      </c>
      <c r="B537" t="str">
        <f>"1551604191671058"</f>
        <v>1551604191671058</v>
      </c>
      <c r="C537" t="s">
        <v>40</v>
      </c>
      <c r="D537">
        <v>4.3435129999999997</v>
      </c>
      <c r="E537">
        <v>0.5491741</v>
      </c>
      <c r="F537" t="s">
        <v>43</v>
      </c>
      <c r="G537">
        <v>-309.43310000000002</v>
      </c>
      <c r="H537">
        <v>0.89564849999999996</v>
      </c>
      <c r="I537">
        <v>367.66629999999998</v>
      </c>
      <c r="J537">
        <v>-310.11869999999999</v>
      </c>
      <c r="K537">
        <v>1.0747770000000001</v>
      </c>
      <c r="L537">
        <v>367.80529999999999</v>
      </c>
      <c r="M537">
        <v>0.99985069999999998</v>
      </c>
      <c r="N537">
        <v>-1.6985730000000001E-2</v>
      </c>
      <c r="O537">
        <v>3.170019E-3</v>
      </c>
      <c r="P537">
        <v>0.9761341</v>
      </c>
      <c r="Q537">
        <v>0.20940600000000001</v>
      </c>
      <c r="R537">
        <v>-5.7545720000000002E-2</v>
      </c>
      <c r="S537">
        <v>3.1809690000000002</v>
      </c>
      <c r="T537">
        <v>-0.63926769999999999</v>
      </c>
      <c r="U537">
        <v>-0.49133300000000002</v>
      </c>
      <c r="V537">
        <v>6.0649410000000001E-2</v>
      </c>
      <c r="W537">
        <v>0.22595080000000001</v>
      </c>
      <c r="X537">
        <v>0.97224889999999997</v>
      </c>
      <c r="Y537">
        <v>0.15249009999999999</v>
      </c>
      <c r="Z537">
        <v>-1.6974759999999998E-2</v>
      </c>
      <c r="AA537">
        <v>0.98815920000000002</v>
      </c>
      <c r="AB537">
        <v>39</v>
      </c>
      <c r="AC537">
        <v>0.68559999999996502</v>
      </c>
      <c r="AD537">
        <v>-0.1791285</v>
      </c>
      <c r="AE537">
        <v>-0.13900000000001</v>
      </c>
      <c r="AF537">
        <v>0.132486100296523</v>
      </c>
      <c r="AG537">
        <v>-0.1791285</v>
      </c>
      <c r="AH537">
        <v>0.64299576096627098</v>
      </c>
      <c r="AI537">
        <v>105.26179923124</v>
      </c>
      <c r="AJ537">
        <v>78.357422934343901</v>
      </c>
      <c r="AK537">
        <v>0.68050211969149998</v>
      </c>
      <c r="AL537">
        <v>76.941205343308795</v>
      </c>
      <c r="AM537">
        <v>86.430483678965402</v>
      </c>
      <c r="AN537">
        <v>1.00000001925259</v>
      </c>
    </row>
    <row r="538" spans="1:40" x14ac:dyDescent="0.25">
      <c r="A538" t="str">
        <f>"20190303170951687"</f>
        <v>20190303170951687</v>
      </c>
      <c r="B538" t="str">
        <f>"1551604191680817"</f>
        <v>1551604191680817</v>
      </c>
      <c r="C538" t="s">
        <v>40</v>
      </c>
      <c r="D538">
        <v>4.3918350000000004</v>
      </c>
      <c r="E538">
        <v>0.5347288</v>
      </c>
      <c r="F538" t="s">
        <v>43</v>
      </c>
      <c r="G538">
        <v>-309.41559999999998</v>
      </c>
      <c r="H538">
        <v>0.93377639999999995</v>
      </c>
      <c r="I538">
        <v>367.69659999999999</v>
      </c>
      <c r="J538">
        <v>-309.92270000000002</v>
      </c>
      <c r="K538">
        <v>1.07447</v>
      </c>
      <c r="L538">
        <v>367.80590000000001</v>
      </c>
      <c r="M538">
        <v>0.99985360000000001</v>
      </c>
      <c r="N538">
        <v>-1.6821269999999999E-2</v>
      </c>
      <c r="O538">
        <v>3.1698690000000001E-3</v>
      </c>
      <c r="P538">
        <v>0.97599380000000002</v>
      </c>
      <c r="Q538">
        <v>0.21006659999999999</v>
      </c>
      <c r="R538">
        <v>-5.7521320000000001E-2</v>
      </c>
      <c r="S538">
        <v>3.1813660000000001</v>
      </c>
      <c r="T538">
        <v>-0.6382717</v>
      </c>
      <c r="U538">
        <v>-0.49041750000000001</v>
      </c>
      <c r="V538">
        <v>6.0624270000000001E-2</v>
      </c>
      <c r="W538">
        <v>0.2264487</v>
      </c>
      <c r="X538">
        <v>0.97213459999999996</v>
      </c>
      <c r="Y538">
        <v>0.1522124</v>
      </c>
      <c r="Z538">
        <v>-1.6907040000000002E-2</v>
      </c>
      <c r="AA538">
        <v>0.98820319999999995</v>
      </c>
      <c r="AB538">
        <v>39</v>
      </c>
      <c r="AC538">
        <v>0.50710000000003597</v>
      </c>
      <c r="AD538">
        <v>-0.140693599999999</v>
      </c>
      <c r="AE538">
        <v>-0.10930000000001799</v>
      </c>
      <c r="AF538">
        <v>0.103307825230376</v>
      </c>
      <c r="AG538">
        <v>-0.140693599999999</v>
      </c>
      <c r="AH538">
        <v>0.47202864701097802</v>
      </c>
      <c r="AI538">
        <v>106.233960153848</v>
      </c>
      <c r="AJ538">
        <v>77.654940353985396</v>
      </c>
      <c r="AK538">
        <v>0.50326756246931403</v>
      </c>
      <c r="AL538">
        <v>76.911918411689101</v>
      </c>
      <c r="AM538">
        <v>86.431541035456902</v>
      </c>
      <c r="AN538">
        <v>0.99999999818094099</v>
      </c>
    </row>
    <row r="539" spans="1:40" x14ac:dyDescent="0.25">
      <c r="A539" t="str">
        <f>"20190303170951700"</f>
        <v>20190303170951700</v>
      </c>
      <c r="B539" t="str">
        <f>"1551604191691554"</f>
        <v>1551604191691554</v>
      </c>
      <c r="C539" t="s">
        <v>40</v>
      </c>
      <c r="D539">
        <v>4.2465830000000002</v>
      </c>
      <c r="E539">
        <v>0.52656389999999997</v>
      </c>
      <c r="F539" t="s">
        <v>43</v>
      </c>
      <c r="G539">
        <v>-309.0822</v>
      </c>
      <c r="H539">
        <v>0.90717519999999996</v>
      </c>
      <c r="I539">
        <v>367.70690000000002</v>
      </c>
      <c r="J539">
        <v>-309.71199999999999</v>
      </c>
      <c r="K539">
        <v>1.074152</v>
      </c>
      <c r="L539">
        <v>367.80650000000003</v>
      </c>
      <c r="M539">
        <v>0.99985639999999998</v>
      </c>
      <c r="N539">
        <v>-1.6648900000000001E-2</v>
      </c>
      <c r="O539">
        <v>3.1701279999999999E-3</v>
      </c>
      <c r="P539">
        <v>0.9758869</v>
      </c>
      <c r="Q539">
        <v>0.21061340000000001</v>
      </c>
      <c r="R539">
        <v>-5.7331779999999999E-2</v>
      </c>
      <c r="S539">
        <v>3.1883240000000002</v>
      </c>
      <c r="T539">
        <v>-0.63464209999999999</v>
      </c>
      <c r="U539">
        <v>-0.37496950000000001</v>
      </c>
      <c r="V539">
        <v>6.043486E-2</v>
      </c>
      <c r="W539">
        <v>0.22682630000000001</v>
      </c>
      <c r="X539">
        <v>0.97205839999999999</v>
      </c>
      <c r="Y539">
        <v>0.11743000000000001</v>
      </c>
      <c r="Z539">
        <v>-1.3097030000000001E-2</v>
      </c>
      <c r="AA539">
        <v>0.99299479999999996</v>
      </c>
      <c r="AB539">
        <v>39</v>
      </c>
      <c r="AC539">
        <v>0.62979999999998804</v>
      </c>
      <c r="AD539">
        <v>-0.16697679999999901</v>
      </c>
      <c r="AE539">
        <v>-9.9600000000009403E-2</v>
      </c>
      <c r="AF539">
        <v>9.5076271553617794E-2</v>
      </c>
      <c r="AG539">
        <v>-0.16697679999999901</v>
      </c>
      <c r="AH539">
        <v>0.58908343597324797</v>
      </c>
      <c r="AI539">
        <v>105.633248283117</v>
      </c>
      <c r="AJ539">
        <v>80.831698493747794</v>
      </c>
      <c r="AK539">
        <v>0.61962895646412797</v>
      </c>
      <c r="AL539">
        <v>76.8897060569427</v>
      </c>
      <c r="AM539">
        <v>86.442383246391898</v>
      </c>
      <c r="AN539">
        <v>1.0000000378427301</v>
      </c>
    </row>
    <row r="540" spans="1:40" x14ac:dyDescent="0.25">
      <c r="A540" t="str">
        <f>"20190303170951713"</f>
        <v>20190303170951713</v>
      </c>
      <c r="B540" t="str">
        <f>"1551604191701315"</f>
        <v>1551604191701315</v>
      </c>
      <c r="C540" t="s">
        <v>40</v>
      </c>
      <c r="D540">
        <v>4.3026450000000001</v>
      </c>
      <c r="E540">
        <v>0.51984889999999995</v>
      </c>
      <c r="F540" t="s">
        <v>43</v>
      </c>
      <c r="G540">
        <v>-308.73840000000001</v>
      </c>
      <c r="H540">
        <v>0.9017056</v>
      </c>
      <c r="I540">
        <v>367.71019999999999</v>
      </c>
      <c r="J540">
        <v>-309.4751</v>
      </c>
      <c r="K540">
        <v>1.0738289999999999</v>
      </c>
      <c r="L540">
        <v>367.8073</v>
      </c>
      <c r="M540">
        <v>0.99985939999999995</v>
      </c>
      <c r="N540">
        <v>-1.646796E-2</v>
      </c>
      <c r="O540">
        <v>3.1703249999999999E-3</v>
      </c>
      <c r="P540">
        <v>0.97577659999999999</v>
      </c>
      <c r="Q540">
        <v>0.2111285</v>
      </c>
      <c r="R540">
        <v>-5.7316190000000003E-2</v>
      </c>
      <c r="S540">
        <v>3.177155</v>
      </c>
      <c r="T540">
        <v>-0.56283039999999995</v>
      </c>
      <c r="U540">
        <v>-0.31341550000000001</v>
      </c>
      <c r="V540">
        <v>6.0419050000000002E-2</v>
      </c>
      <c r="W540">
        <v>0.22716339999999999</v>
      </c>
      <c r="X540">
        <v>0.97198059999999997</v>
      </c>
      <c r="Y540">
        <v>9.9602570000000001E-2</v>
      </c>
      <c r="Z540">
        <v>-1.00667E-2</v>
      </c>
      <c r="AA540">
        <v>0.99497639999999998</v>
      </c>
      <c r="AB540">
        <v>39</v>
      </c>
      <c r="AC540">
        <v>0.73669999999998403</v>
      </c>
      <c r="AD540">
        <v>-0.17212340000000001</v>
      </c>
      <c r="AE540">
        <v>-9.7100000000011705E-2</v>
      </c>
      <c r="AF540">
        <v>9.4371790773328704E-2</v>
      </c>
      <c r="AG540">
        <v>-0.17212340000000001</v>
      </c>
      <c r="AH540">
        <v>0.69888881289346205</v>
      </c>
      <c r="AI540">
        <v>103.715832266408</v>
      </c>
      <c r="AJ540">
        <v>82.309796951497106</v>
      </c>
      <c r="AK540">
        <v>0.72593255369142795</v>
      </c>
      <c r="AL540">
        <v>76.869873170352705</v>
      </c>
      <c r="AM540">
        <v>86.443027587491201</v>
      </c>
      <c r="AN540">
        <v>0.99999997933941098</v>
      </c>
    </row>
    <row r="541" spans="1:40" x14ac:dyDescent="0.25">
      <c r="A541" t="str">
        <f>"20190303170951729"</f>
        <v>20190303170951729</v>
      </c>
      <c r="B541" t="str">
        <f>"1551604191720833"</f>
        <v>1551604191720833</v>
      </c>
      <c r="C541" t="s">
        <v>40</v>
      </c>
      <c r="D541">
        <v>4.2501340000000001</v>
      </c>
      <c r="E541">
        <v>0.51014890000000002</v>
      </c>
      <c r="F541" t="s">
        <v>43</v>
      </c>
      <c r="G541">
        <v>-308.7122</v>
      </c>
      <c r="H541">
        <v>0.95542309999999997</v>
      </c>
      <c r="I541">
        <v>367.74340000000001</v>
      </c>
      <c r="J541">
        <v>-309.2072</v>
      </c>
      <c r="K541">
        <v>1.0735079999999999</v>
      </c>
      <c r="L541">
        <v>367.80810000000002</v>
      </c>
      <c r="M541">
        <v>0.99986260000000005</v>
      </c>
      <c r="N541">
        <v>-1.6278500000000001E-2</v>
      </c>
      <c r="O541">
        <v>3.1702169999999999E-3</v>
      </c>
      <c r="P541">
        <v>0.97560080000000005</v>
      </c>
      <c r="Q541">
        <v>0.21197730000000001</v>
      </c>
      <c r="R541">
        <v>-5.7177220000000001E-2</v>
      </c>
      <c r="S541">
        <v>3.165314</v>
      </c>
      <c r="T541">
        <v>-0.49144450000000001</v>
      </c>
      <c r="U541">
        <v>-0.2640381</v>
      </c>
      <c r="V541">
        <v>6.0279300000000001E-2</v>
      </c>
      <c r="W541">
        <v>0.2278251</v>
      </c>
      <c r="X541">
        <v>0.97183439999999999</v>
      </c>
      <c r="Y541">
        <v>8.5135219999999998E-2</v>
      </c>
      <c r="Z541">
        <v>-7.6944069999999899E-3</v>
      </c>
      <c r="AA541">
        <v>0.99633970000000005</v>
      </c>
      <c r="AB541">
        <v>39</v>
      </c>
      <c r="AC541">
        <v>0.49500000000000399</v>
      </c>
      <c r="AD541">
        <v>-0.11808489999999899</v>
      </c>
      <c r="AE541">
        <v>-6.4700000000016106E-2</v>
      </c>
      <c r="AF541">
        <v>6.2757675960767298E-2</v>
      </c>
      <c r="AG541">
        <v>-0.11808489999999899</v>
      </c>
      <c r="AH541">
        <v>0.46857435225976402</v>
      </c>
      <c r="AI541">
        <v>104.024301850291</v>
      </c>
      <c r="AJ541">
        <v>82.371588182350493</v>
      </c>
      <c r="AK541">
        <v>0.48728276503039197</v>
      </c>
      <c r="AL541">
        <v>76.830939777244595</v>
      </c>
      <c r="AM541">
        <v>86.450701356815003</v>
      </c>
      <c r="AN541">
        <v>0.99999998561092895</v>
      </c>
    </row>
    <row r="542" spans="1:40" x14ac:dyDescent="0.25">
      <c r="A542" t="str">
        <f>"20190303170951742"</f>
        <v>20190303170951742</v>
      </c>
      <c r="B542" t="str">
        <f>"1551604191731569"</f>
        <v>1551604191731569</v>
      </c>
      <c r="C542" t="s">
        <v>40</v>
      </c>
      <c r="D542">
        <v>4.1826210000000001</v>
      </c>
      <c r="E542">
        <v>0.50769310000000001</v>
      </c>
      <c r="F542" t="s">
        <v>43</v>
      </c>
      <c r="G542">
        <v>-308.35629999999998</v>
      </c>
      <c r="H542">
        <v>0.9746766</v>
      </c>
      <c r="I542">
        <v>367.75560000000002</v>
      </c>
      <c r="J542">
        <v>-308.98750000000001</v>
      </c>
      <c r="K542">
        <v>1.073269</v>
      </c>
      <c r="L542">
        <v>367.80880000000002</v>
      </c>
      <c r="M542">
        <v>0.99986489999999995</v>
      </c>
      <c r="N542">
        <v>-1.6131980000000001E-2</v>
      </c>
      <c r="O542">
        <v>3.1702190000000002E-3</v>
      </c>
      <c r="P542">
        <v>0.97558080000000003</v>
      </c>
      <c r="Q542">
        <v>0.21215049999999999</v>
      </c>
      <c r="R542">
        <v>-5.687354E-2</v>
      </c>
      <c r="S542">
        <v>3.1430359999999999</v>
      </c>
      <c r="T542">
        <v>-0.36525980000000002</v>
      </c>
      <c r="U542">
        <v>-0.193573</v>
      </c>
      <c r="V542">
        <v>5.9975529999999999E-2</v>
      </c>
      <c r="W542">
        <v>0.22785530000000001</v>
      </c>
      <c r="X542">
        <v>0.97184619999999999</v>
      </c>
      <c r="Y542">
        <v>6.4129720000000001E-2</v>
      </c>
      <c r="Z542">
        <v>-4.5460199999999996E-3</v>
      </c>
      <c r="AA542">
        <v>0.99793120000000002</v>
      </c>
      <c r="AB542">
        <v>39</v>
      </c>
      <c r="AC542">
        <v>0.63120000000003496</v>
      </c>
      <c r="AD542">
        <v>-9.8592399999999997E-2</v>
      </c>
      <c r="AE542">
        <v>-5.3200000000003897E-2</v>
      </c>
      <c r="AF542">
        <v>5.3895374930690298E-2</v>
      </c>
      <c r="AG542">
        <v>-9.8592399999999997E-2</v>
      </c>
      <c r="AH542">
        <v>0.61610255373313805</v>
      </c>
      <c r="AI542">
        <v>99.057713092299906</v>
      </c>
      <c r="AJ542">
        <v>85.000610419785801</v>
      </c>
      <c r="AK542">
        <v>0.62626474393276699</v>
      </c>
      <c r="AL542">
        <v>76.829163825771801</v>
      </c>
      <c r="AM542">
        <v>86.468584994716196</v>
      </c>
      <c r="AN542">
        <v>1.0000000691956501</v>
      </c>
    </row>
    <row r="543" spans="1:40" x14ac:dyDescent="0.25">
      <c r="A543" t="str">
        <f>"20190303170951754"</f>
        <v>20190303170951754</v>
      </c>
      <c r="B543" t="str">
        <f>"1551604191741330"</f>
        <v>1551604191741330</v>
      </c>
      <c r="C543" t="s">
        <v>40</v>
      </c>
      <c r="D543">
        <v>4.2719839999999998</v>
      </c>
      <c r="E543">
        <v>0.50586690000000001</v>
      </c>
      <c r="F543" t="s">
        <v>43</v>
      </c>
      <c r="G543">
        <v>-308.01080000000002</v>
      </c>
      <c r="H543">
        <v>0.97378889999999996</v>
      </c>
      <c r="I543">
        <v>367.75369999999998</v>
      </c>
      <c r="J543">
        <v>-308.76350000000002</v>
      </c>
      <c r="K543">
        <v>1.0730470000000001</v>
      </c>
      <c r="L543">
        <v>367.80959999999999</v>
      </c>
      <c r="M543">
        <v>0.99986710000000001</v>
      </c>
      <c r="N543">
        <v>-1.5991200000000001E-2</v>
      </c>
      <c r="O543">
        <v>3.1705230000000002E-3</v>
      </c>
      <c r="P543">
        <v>0.9755781</v>
      </c>
      <c r="Q543">
        <v>0.21212110000000001</v>
      </c>
      <c r="R543">
        <v>-5.7026380000000002E-2</v>
      </c>
      <c r="S543">
        <v>3.1343079999999999</v>
      </c>
      <c r="T543">
        <v>-0.31940469999999999</v>
      </c>
      <c r="U543">
        <v>-0.17614749999999901</v>
      </c>
      <c r="V543">
        <v>6.0128760000000003E-2</v>
      </c>
      <c r="W543">
        <v>0.22768949999999999</v>
      </c>
      <c r="X543">
        <v>0.9718755</v>
      </c>
      <c r="Y543">
        <v>5.8913E-2</v>
      </c>
      <c r="Z543">
        <v>-3.7360119999999999E-3</v>
      </c>
      <c r="AA543">
        <v>0.99825609999999998</v>
      </c>
      <c r="AB543">
        <v>39</v>
      </c>
      <c r="AC543">
        <v>0.75270000000000403</v>
      </c>
      <c r="AD543">
        <v>-9.9258099999999794E-2</v>
      </c>
      <c r="AE543">
        <v>-5.59000000000082E-2</v>
      </c>
      <c r="AF543">
        <v>5.7295597894071001E-2</v>
      </c>
      <c r="AG543">
        <v>-9.9258099999999794E-2</v>
      </c>
      <c r="AH543">
        <v>0.73972602460148695</v>
      </c>
      <c r="AI543">
        <v>97.619874173615798</v>
      </c>
      <c r="AJ543">
        <v>85.570989073069697</v>
      </c>
      <c r="AK543">
        <v>0.74855163310647399</v>
      </c>
      <c r="AL543">
        <v>76.838918739566594</v>
      </c>
      <c r="AM543">
        <v>86.459692053919795</v>
      </c>
      <c r="AN543">
        <v>0.99999998184481798</v>
      </c>
    </row>
    <row r="544" spans="1:40" x14ac:dyDescent="0.25">
      <c r="A544" t="str">
        <f>"20190303170951766"</f>
        <v>20190303170951766</v>
      </c>
      <c r="B544" t="str">
        <f>"1551604191760849"</f>
        <v>1551604191760849</v>
      </c>
      <c r="C544" t="s">
        <v>40</v>
      </c>
      <c r="D544">
        <v>4.2987640000000003</v>
      </c>
      <c r="E544">
        <v>0.50305200000000005</v>
      </c>
      <c r="F544" t="s">
        <v>41</v>
      </c>
      <c r="G544">
        <v>-296.39170000000001</v>
      </c>
      <c r="H544">
        <v>-0.05</v>
      </c>
      <c r="I544">
        <v>367.1592</v>
      </c>
      <c r="J544">
        <v>-308.56290000000001</v>
      </c>
      <c r="K544">
        <v>1.072873</v>
      </c>
      <c r="L544">
        <v>367.81020000000001</v>
      </c>
      <c r="M544">
        <v>0.99986889999999995</v>
      </c>
      <c r="N544">
        <v>-1.5875210000000001E-2</v>
      </c>
      <c r="O544">
        <v>3.1704390000000002E-3</v>
      </c>
      <c r="P544">
        <v>0.97562740000000003</v>
      </c>
      <c r="Q544">
        <v>0.21188190000000001</v>
      </c>
      <c r="R544">
        <v>-5.7072619999999998E-2</v>
      </c>
      <c r="S544">
        <v>3.1272280000000001</v>
      </c>
      <c r="T544">
        <v>-0.28387259999999997</v>
      </c>
      <c r="U544">
        <v>-0.16439819999999999</v>
      </c>
      <c r="V544">
        <v>6.0174949999999998E-2</v>
      </c>
      <c r="W544">
        <v>0.2273385</v>
      </c>
      <c r="X544">
        <v>0.97195480000000001</v>
      </c>
      <c r="Y544">
        <v>5.538771E-2</v>
      </c>
      <c r="Z544">
        <v>-3.1848530000000001E-3</v>
      </c>
      <c r="AA544">
        <v>0.99845980000000001</v>
      </c>
      <c r="AB544">
        <v>39</v>
      </c>
      <c r="AC544">
        <v>12.171200000000001</v>
      </c>
      <c r="AD544">
        <v>-1.122873</v>
      </c>
      <c r="AE544">
        <v>-0.65100000000001002</v>
      </c>
      <c r="AF544">
        <v>0.68378635062487103</v>
      </c>
      <c r="AG544">
        <v>-1.122873</v>
      </c>
      <c r="AH544">
        <v>12.066664906997399</v>
      </c>
      <c r="AI544">
        <v>95.3079267745712</v>
      </c>
      <c r="AJ544">
        <v>86.756666669372706</v>
      </c>
      <c r="AK544">
        <v>12.138072726969099</v>
      </c>
      <c r="AL544">
        <v>76.8595710907057</v>
      </c>
      <c r="AM544">
        <v>86.457267700400095</v>
      </c>
      <c r="AN544">
        <v>0.99999997571639598</v>
      </c>
    </row>
    <row r="545" spans="1:40" x14ac:dyDescent="0.25">
      <c r="A545" t="str">
        <f>"20190303170951777"</f>
        <v>20190303170951777</v>
      </c>
      <c r="B545" t="str">
        <f>"1551604191771119"</f>
        <v>1551604191771119</v>
      </c>
      <c r="C545" t="s">
        <v>40</v>
      </c>
      <c r="D545">
        <v>4.3394320000000004</v>
      </c>
      <c r="E545">
        <v>0.50194419999999995</v>
      </c>
      <c r="F545" t="s">
        <v>41</v>
      </c>
      <c r="G545">
        <v>-293.52530000000002</v>
      </c>
      <c r="H545">
        <v>-0.05</v>
      </c>
      <c r="I545">
        <v>367.11</v>
      </c>
      <c r="J545">
        <v>-308.35989999999998</v>
      </c>
      <c r="K545">
        <v>1.072705</v>
      </c>
      <c r="L545">
        <v>367.81079999999997</v>
      </c>
      <c r="M545">
        <v>0.99987079999999995</v>
      </c>
      <c r="N545">
        <v>-1.5761259999999999E-2</v>
      </c>
      <c r="O545">
        <v>3.1706310000000001E-3</v>
      </c>
      <c r="P545">
        <v>0.97567369999999998</v>
      </c>
      <c r="Q545">
        <v>0.21169199999999999</v>
      </c>
      <c r="R545">
        <v>-5.698582E-2</v>
      </c>
      <c r="S545">
        <v>3.1170040000000001</v>
      </c>
      <c r="T545">
        <v>-0.2327496</v>
      </c>
      <c r="U545">
        <v>-0.14514160000000001</v>
      </c>
      <c r="V545">
        <v>6.0088589999999997E-2</v>
      </c>
      <c r="W545">
        <v>0.2270385</v>
      </c>
      <c r="X545">
        <v>0.97203030000000001</v>
      </c>
      <c r="Y545">
        <v>4.950922E-2</v>
      </c>
      <c r="Z545">
        <v>-2.4223479999999999E-3</v>
      </c>
      <c r="AA545">
        <v>0.99877070000000001</v>
      </c>
      <c r="AB545">
        <v>39</v>
      </c>
      <c r="AC545">
        <v>14.834599999999901</v>
      </c>
      <c r="AD545">
        <v>-1.1227049999999901</v>
      </c>
      <c r="AE545">
        <v>-0.70079999999995801</v>
      </c>
      <c r="AF545">
        <v>0.74358780249367495</v>
      </c>
      <c r="AG545">
        <v>-1.1227049999999901</v>
      </c>
      <c r="AH545">
        <v>14.7480191519732</v>
      </c>
      <c r="AI545">
        <v>94.347790052267598</v>
      </c>
      <c r="AJ545">
        <v>87.113619439415203</v>
      </c>
      <c r="AK545">
        <v>14.8093706228188</v>
      </c>
      <c r="AL545">
        <v>76.877221845230693</v>
      </c>
      <c r="AM545">
        <v>86.462613207679397</v>
      </c>
      <c r="AN545">
        <v>1.00000001162426</v>
      </c>
    </row>
    <row r="546" spans="1:40" x14ac:dyDescent="0.25">
      <c r="A546" t="str">
        <f>"20190303170951788"</f>
        <v>20190303170951788</v>
      </c>
      <c r="B546" t="str">
        <f>"1551604191780879"</f>
        <v>1551604191780879</v>
      </c>
      <c r="C546" t="s">
        <v>40</v>
      </c>
      <c r="D546">
        <v>4.3941369999999997</v>
      </c>
      <c r="E546">
        <v>0.50093840000000001</v>
      </c>
      <c r="F546" t="s">
        <v>43</v>
      </c>
      <c r="G546">
        <v>-307.30439999999999</v>
      </c>
      <c r="H546">
        <v>0.99922529999999998</v>
      </c>
      <c r="I546">
        <v>367.76409999999998</v>
      </c>
      <c r="J546">
        <v>-308.16230000000002</v>
      </c>
      <c r="K546">
        <v>1.0725629999999999</v>
      </c>
      <c r="L546">
        <v>367.81150000000002</v>
      </c>
      <c r="M546">
        <v>0.99987239999999999</v>
      </c>
      <c r="N546">
        <v>-1.5659940000000001E-2</v>
      </c>
      <c r="O546">
        <v>3.1707760000000001E-3</v>
      </c>
      <c r="P546">
        <v>0.97563869999999997</v>
      </c>
      <c r="Q546">
        <v>0.21180950000000001</v>
      </c>
      <c r="R546">
        <v>-5.7149409999999998E-2</v>
      </c>
      <c r="S546">
        <v>3.1138919999999999</v>
      </c>
      <c r="T546">
        <v>-0.21694359999999999</v>
      </c>
      <c r="U546">
        <v>-0.1372681</v>
      </c>
      <c r="V546">
        <v>6.0252130000000001E-2</v>
      </c>
      <c r="W546">
        <v>0.2270566</v>
      </c>
      <c r="X546">
        <v>0.97201590000000004</v>
      </c>
      <c r="Y546">
        <v>4.706341E-2</v>
      </c>
      <c r="Z546">
        <v>-2.1768709999999999E-3</v>
      </c>
      <c r="AA546">
        <v>0.99888949999999999</v>
      </c>
      <c r="AB546">
        <v>39</v>
      </c>
      <c r="AC546">
        <v>0.85790000000002897</v>
      </c>
      <c r="AD546">
        <v>-7.3337699999999797E-2</v>
      </c>
      <c r="AE546">
        <v>-4.7400000000038703E-2</v>
      </c>
      <c r="AF546">
        <v>4.9757795009715299E-2</v>
      </c>
      <c r="AG546">
        <v>-7.3337699999999797E-2</v>
      </c>
      <c r="AH546">
        <v>0.85154149437881699</v>
      </c>
      <c r="AI546">
        <v>94.914023776608104</v>
      </c>
      <c r="AJ546">
        <v>86.655860445638098</v>
      </c>
      <c r="AK546">
        <v>0.85614086052145999</v>
      </c>
      <c r="AL546">
        <v>76.876156349302605</v>
      </c>
      <c r="AM546">
        <v>86.452957818290798</v>
      </c>
      <c r="AN546">
        <v>0.99999996431295302</v>
      </c>
    </row>
    <row r="547" spans="1:40" x14ac:dyDescent="0.25">
      <c r="A547" t="str">
        <f>"20190303170951800"</f>
        <v>20190303170951800</v>
      </c>
      <c r="B547" t="str">
        <f>"1551604191790639"</f>
        <v>1551604191790639</v>
      </c>
      <c r="C547" t="s">
        <v>40</v>
      </c>
      <c r="D547">
        <v>4.3042160000000003</v>
      </c>
      <c r="E547">
        <v>0.50033989999999995</v>
      </c>
      <c r="F547" t="s">
        <v>41</v>
      </c>
      <c r="G547">
        <v>-291.07400000000001</v>
      </c>
      <c r="H547">
        <v>-0.05</v>
      </c>
      <c r="I547">
        <v>367.09519999999998</v>
      </c>
      <c r="J547">
        <v>-307.96570000000003</v>
      </c>
      <c r="K547">
        <v>1.072433</v>
      </c>
      <c r="L547">
        <v>367.81209999999999</v>
      </c>
      <c r="M547">
        <v>0.99987400000000004</v>
      </c>
      <c r="N547">
        <v>-1.556284E-2</v>
      </c>
      <c r="O547">
        <v>3.1708830000000002E-3</v>
      </c>
      <c r="P547">
        <v>0.97561399999999998</v>
      </c>
      <c r="Q547">
        <v>0.2118786</v>
      </c>
      <c r="R547">
        <v>-5.731576E-2</v>
      </c>
      <c r="S547">
        <v>3.1116329999999999</v>
      </c>
      <c r="T547">
        <v>-0.2044097</v>
      </c>
      <c r="U547">
        <v>-0.1304321</v>
      </c>
      <c r="V547">
        <v>6.0418510000000002E-2</v>
      </c>
      <c r="W547">
        <v>0.22703110000000001</v>
      </c>
      <c r="X547">
        <v>0.97201159999999998</v>
      </c>
      <c r="Y547">
        <v>4.4925449999999999E-2</v>
      </c>
      <c r="Z547">
        <v>-1.9823150000000001E-3</v>
      </c>
      <c r="AA547">
        <v>0.9989884</v>
      </c>
      <c r="AB547">
        <v>39</v>
      </c>
      <c r="AC547">
        <v>16.8917</v>
      </c>
      <c r="AD547">
        <v>-1.122433</v>
      </c>
      <c r="AE547">
        <v>-0.71690000000000897</v>
      </c>
      <c r="AF547">
        <v>0.76708355697536601</v>
      </c>
      <c r="AG547">
        <v>-1.122433</v>
      </c>
      <c r="AH547">
        <v>16.815228417459799</v>
      </c>
      <c r="AI547">
        <v>93.814928605388701</v>
      </c>
      <c r="AJ547">
        <v>87.388069931262393</v>
      </c>
      <c r="AK547">
        <v>16.870097206424699</v>
      </c>
      <c r="AL547">
        <v>76.877657496509102</v>
      </c>
      <c r="AM547">
        <v>86.443172445539503</v>
      </c>
      <c r="AN547">
        <v>1.0000000336261901</v>
      </c>
    </row>
    <row r="548" spans="1:40" x14ac:dyDescent="0.25">
      <c r="A548" t="str">
        <f>"20190303170951818"</f>
        <v>20190303170951818</v>
      </c>
      <c r="B548" t="str">
        <f>"1551604191811134"</f>
        <v>1551604191811134</v>
      </c>
      <c r="C548" t="s">
        <v>40</v>
      </c>
      <c r="D548">
        <v>4.3716629999999999</v>
      </c>
      <c r="E548">
        <v>0.49943650000000001</v>
      </c>
      <c r="F548" t="s">
        <v>41</v>
      </c>
      <c r="G548">
        <v>-289.84210000000002</v>
      </c>
      <c r="H548">
        <v>-0.05</v>
      </c>
      <c r="I548">
        <v>367.07350000000002</v>
      </c>
      <c r="J548">
        <v>-307.65260000000001</v>
      </c>
      <c r="K548">
        <v>1.07224599999999</v>
      </c>
      <c r="L548">
        <v>367.81310000000002</v>
      </c>
      <c r="M548">
        <v>0.99987610000000005</v>
      </c>
      <c r="N548">
        <v>-1.541991E-2</v>
      </c>
      <c r="O548">
        <v>3.1713420000000002E-3</v>
      </c>
      <c r="P548">
        <v>0.97559390000000001</v>
      </c>
      <c r="Q548">
        <v>0.21190049999999999</v>
      </c>
      <c r="R548">
        <v>-5.757499E-2</v>
      </c>
      <c r="S548">
        <v>3.109375</v>
      </c>
      <c r="T548">
        <v>-0.19257060000000001</v>
      </c>
      <c r="U548">
        <v>-0.12670899999999999</v>
      </c>
      <c r="V548">
        <v>6.0677979999999999E-2</v>
      </c>
      <c r="W548">
        <v>0.22691359999999999</v>
      </c>
      <c r="X548">
        <v>0.97202279999999996</v>
      </c>
      <c r="Y548">
        <v>4.377764E-2</v>
      </c>
      <c r="Z548">
        <v>-1.8391460000000001E-3</v>
      </c>
      <c r="AA548">
        <v>0.99903960000000003</v>
      </c>
      <c r="AB548">
        <v>39</v>
      </c>
      <c r="AC548">
        <v>17.810499999999902</v>
      </c>
      <c r="AD548">
        <v>-1.1222460000000001</v>
      </c>
      <c r="AE548">
        <v>-0.73959999999999504</v>
      </c>
      <c r="AF548">
        <v>0.79294337374469503</v>
      </c>
      <c r="AG548">
        <v>-1.1222460000000001</v>
      </c>
      <c r="AH548">
        <v>17.7377615135842</v>
      </c>
      <c r="AI548">
        <v>93.616604672706401</v>
      </c>
      <c r="AJ548">
        <v>87.440371456388505</v>
      </c>
      <c r="AK548">
        <v>17.790907194161601</v>
      </c>
      <c r="AL548">
        <v>76.884569198742099</v>
      </c>
      <c r="AM548">
        <v>86.427978007748493</v>
      </c>
      <c r="AN548">
        <v>0.99999996142083902</v>
      </c>
    </row>
    <row r="549" spans="1:40" x14ac:dyDescent="0.25">
      <c r="A549" t="str">
        <f>"20190303170951839"</f>
        <v>20190303170951839</v>
      </c>
      <c r="B549" t="str">
        <f>"1551604191830655"</f>
        <v>1551604191830655</v>
      </c>
      <c r="C549" t="s">
        <v>40</v>
      </c>
      <c r="D549">
        <v>4.3696219999999997</v>
      </c>
      <c r="E549">
        <v>0.49848170000000003</v>
      </c>
      <c r="F549" t="s">
        <v>41</v>
      </c>
      <c r="G549">
        <v>-287.66739999999999</v>
      </c>
      <c r="H549">
        <v>-0.05</v>
      </c>
      <c r="I549">
        <v>367.03449999999998</v>
      </c>
      <c r="J549">
        <v>-307.29079999999999</v>
      </c>
      <c r="K549">
        <v>1.072066</v>
      </c>
      <c r="L549">
        <v>367.81420000000003</v>
      </c>
      <c r="M549">
        <v>0.9998785</v>
      </c>
      <c r="N549">
        <v>-1.527177E-2</v>
      </c>
      <c r="O549">
        <v>3.1712939999999998E-3</v>
      </c>
      <c r="P549">
        <v>0.97559709999999999</v>
      </c>
      <c r="Q549">
        <v>0.2118931</v>
      </c>
      <c r="R549">
        <v>-5.7548469999999997E-2</v>
      </c>
      <c r="S549">
        <v>3.1058349999999999</v>
      </c>
      <c r="T549">
        <v>-0.17440369999999999</v>
      </c>
      <c r="U549">
        <v>-0.1210022</v>
      </c>
      <c r="V549">
        <v>6.0651440000000001E-2</v>
      </c>
      <c r="W549">
        <v>0.2267622</v>
      </c>
      <c r="X549">
        <v>0.97205980000000003</v>
      </c>
      <c r="Y549">
        <v>4.201241E-2</v>
      </c>
      <c r="Z549">
        <v>-1.628949E-3</v>
      </c>
      <c r="AA549">
        <v>0.9991158</v>
      </c>
      <c r="AB549">
        <v>39</v>
      </c>
      <c r="AC549">
        <v>19.6234</v>
      </c>
      <c r="AD549">
        <v>-1.122066</v>
      </c>
      <c r="AE549">
        <v>-0.77970000000004802</v>
      </c>
      <c r="AF549">
        <v>0.83919542949804604</v>
      </c>
      <c r="AG549">
        <v>-1.122066</v>
      </c>
      <c r="AH549">
        <v>19.556986551218099</v>
      </c>
      <c r="AI549">
        <v>93.280685885041805</v>
      </c>
      <c r="AJ549">
        <v>87.542930372533803</v>
      </c>
      <c r="AK549">
        <v>19.607116158215899</v>
      </c>
      <c r="AL549">
        <v>76.893476119928906</v>
      </c>
      <c r="AM549">
        <v>86.429671888147595</v>
      </c>
      <c r="AN549">
        <v>0.99999997364947601</v>
      </c>
    </row>
    <row r="550" spans="1:40" x14ac:dyDescent="0.25">
      <c r="A550" t="str">
        <f>"20190303170951851"</f>
        <v>20190303170951851</v>
      </c>
      <c r="B550" t="str">
        <f>"1551604191841390"</f>
        <v>1551604191841390</v>
      </c>
      <c r="C550" t="s">
        <v>40</v>
      </c>
      <c r="D550">
        <v>4.3542189999999996</v>
      </c>
      <c r="E550">
        <v>0.4980831</v>
      </c>
      <c r="F550" t="s">
        <v>41</v>
      </c>
      <c r="G550">
        <v>-285.50749999999999</v>
      </c>
      <c r="H550">
        <v>-0.05</v>
      </c>
      <c r="I550">
        <v>367.00549999999998</v>
      </c>
      <c r="J550">
        <v>-307.08969999999999</v>
      </c>
      <c r="K550">
        <v>1.0719799999999999</v>
      </c>
      <c r="L550">
        <v>367.81490000000002</v>
      </c>
      <c r="M550">
        <v>0.99987959999999998</v>
      </c>
      <c r="N550">
        <v>-1.5196589999999999E-2</v>
      </c>
      <c r="O550">
        <v>3.1712149999999998E-3</v>
      </c>
      <c r="P550">
        <v>0.97558149999999999</v>
      </c>
      <c r="Q550">
        <v>0.2119694</v>
      </c>
      <c r="R550">
        <v>-5.753101E-2</v>
      </c>
      <c r="S550">
        <v>3.1029969999999998</v>
      </c>
      <c r="T550">
        <v>-0.15983649999999999</v>
      </c>
      <c r="U550">
        <v>-0.1152039</v>
      </c>
      <c r="V550">
        <v>6.0633850000000003E-2</v>
      </c>
      <c r="W550">
        <v>0.22676499999999999</v>
      </c>
      <c r="X550">
        <v>0.97206029999999999</v>
      </c>
      <c r="Y550">
        <v>4.0199239999999997E-2</v>
      </c>
      <c r="Z550">
        <v>-1.4551620000000001E-3</v>
      </c>
      <c r="AA550">
        <v>0.99919060000000004</v>
      </c>
      <c r="AB550">
        <v>39</v>
      </c>
      <c r="AC550">
        <v>21.5822</v>
      </c>
      <c r="AD550">
        <v>-1.12198</v>
      </c>
      <c r="AE550">
        <v>-0.80940000000003898</v>
      </c>
      <c r="AF550">
        <v>0.87548288191946999</v>
      </c>
      <c r="AG550">
        <v>-1.12198</v>
      </c>
      <c r="AH550">
        <v>21.521442612948402</v>
      </c>
      <c r="AI550">
        <v>92.981844451190597</v>
      </c>
      <c r="AJ550">
        <v>87.670517121273804</v>
      </c>
      <c r="AK550">
        <v>21.568444578582</v>
      </c>
      <c r="AL550">
        <v>76.893312124671994</v>
      </c>
      <c r="AM550">
        <v>86.430706500976399</v>
      </c>
      <c r="AN550">
        <v>1.00000002791345</v>
      </c>
    </row>
    <row r="551" spans="1:40" x14ac:dyDescent="0.25">
      <c r="A551" t="str">
        <f>"20190303170951862"</f>
        <v>20190303170951862</v>
      </c>
      <c r="B551" t="str">
        <f>"1551604191851151"</f>
        <v>1551604191851151</v>
      </c>
      <c r="C551" t="s">
        <v>40</v>
      </c>
      <c r="D551">
        <v>4.407832</v>
      </c>
      <c r="E551">
        <v>0.49782650000000001</v>
      </c>
      <c r="F551" t="s">
        <v>41</v>
      </c>
      <c r="G551">
        <v>-284.5856</v>
      </c>
      <c r="H551">
        <v>-0.05</v>
      </c>
      <c r="I551">
        <v>366.9975</v>
      </c>
      <c r="J551">
        <v>-306.892</v>
      </c>
      <c r="K551">
        <v>1.0719030000000001</v>
      </c>
      <c r="L551">
        <v>367.81560000000002</v>
      </c>
      <c r="M551">
        <v>0.99988060000000001</v>
      </c>
      <c r="N551">
        <v>-1.512694E-2</v>
      </c>
      <c r="O551">
        <v>3.1713890000000002E-3</v>
      </c>
      <c r="P551">
        <v>0.97566010000000003</v>
      </c>
      <c r="Q551">
        <v>0.21169189999999999</v>
      </c>
      <c r="R551">
        <v>-5.7221790000000002E-2</v>
      </c>
      <c r="S551">
        <v>3.1020509999999999</v>
      </c>
      <c r="T551">
        <v>-0.15465809999999999</v>
      </c>
      <c r="U551">
        <v>-0.11267089999999901</v>
      </c>
      <c r="V551">
        <v>6.0324929999999999E-2</v>
      </c>
      <c r="W551">
        <v>0.22642129999999999</v>
      </c>
      <c r="X551">
        <v>0.97215960000000001</v>
      </c>
      <c r="Y551">
        <v>3.9401319999999997E-2</v>
      </c>
      <c r="Z551">
        <v>-1.389672E-3</v>
      </c>
      <c r="AA551">
        <v>0.99922250000000001</v>
      </c>
      <c r="AB551">
        <v>39</v>
      </c>
      <c r="AC551">
        <v>22.3064</v>
      </c>
      <c r="AD551">
        <v>-1.1219030000000001</v>
      </c>
      <c r="AE551">
        <v>-0.81810000000001504</v>
      </c>
      <c r="AF551">
        <v>0.88660650222080695</v>
      </c>
      <c r="AG551">
        <v>-1.1219030000000001</v>
      </c>
      <c r="AH551">
        <v>22.247491357469801</v>
      </c>
      <c r="AI551">
        <v>92.884597005857799</v>
      </c>
      <c r="AJ551">
        <v>87.717857582448005</v>
      </c>
      <c r="AK551">
        <v>22.293398330713998</v>
      </c>
      <c r="AL551">
        <v>76.913530138265102</v>
      </c>
      <c r="AM551">
        <v>86.449206640335404</v>
      </c>
      <c r="AN551">
        <v>0.99999999507267701</v>
      </c>
    </row>
    <row r="552" spans="1:40" x14ac:dyDescent="0.25">
      <c r="A552" t="str">
        <f>"20190303170951877"</f>
        <v>20190303170951877</v>
      </c>
      <c r="B552" t="str">
        <f>"1551604191871176"</f>
        <v>1551604191871176</v>
      </c>
      <c r="C552" t="s">
        <v>40</v>
      </c>
      <c r="D552">
        <v>4.3754929999999996</v>
      </c>
      <c r="E552">
        <v>0.49723050000000002</v>
      </c>
      <c r="F552" t="s">
        <v>41</v>
      </c>
      <c r="G552">
        <v>-283.8304</v>
      </c>
      <c r="H552">
        <v>-0.05</v>
      </c>
      <c r="I552">
        <v>366.99720000000002</v>
      </c>
      <c r="J552">
        <v>-306.65100000000001</v>
      </c>
      <c r="K552">
        <v>1.071817</v>
      </c>
      <c r="L552">
        <v>367.81630000000001</v>
      </c>
      <c r="M552">
        <v>0.99988189999999999</v>
      </c>
      <c r="N552">
        <v>-1.5046199999999999E-2</v>
      </c>
      <c r="O552">
        <v>3.1711669999999999E-3</v>
      </c>
      <c r="P552">
        <v>0.97565069999999998</v>
      </c>
      <c r="Q552">
        <v>0.2118051</v>
      </c>
      <c r="R552">
        <v>-5.696478E-2</v>
      </c>
      <c r="S552">
        <v>3.1011350000000002</v>
      </c>
      <c r="T552">
        <v>-0.150864</v>
      </c>
      <c r="U552">
        <v>-0.1100464</v>
      </c>
      <c r="V552">
        <v>6.0067669999999997E-2</v>
      </c>
      <c r="W552">
        <v>0.22645570000000001</v>
      </c>
      <c r="X552">
        <v>0.97216760000000002</v>
      </c>
      <c r="Y552">
        <v>3.8571399999999999E-2</v>
      </c>
      <c r="Z552">
        <v>-1.334322E-3</v>
      </c>
      <c r="AA552">
        <v>0.99925489999999995</v>
      </c>
      <c r="AB552">
        <v>39</v>
      </c>
      <c r="AC552">
        <v>22.820599999999999</v>
      </c>
      <c r="AD552">
        <v>-1.1218170000000001</v>
      </c>
      <c r="AE552">
        <v>-0.81909999999999095</v>
      </c>
      <c r="AF552">
        <v>0.88932569194382405</v>
      </c>
      <c r="AG552">
        <v>-1.1218170000000001</v>
      </c>
      <c r="AH552">
        <v>22.7629511403603</v>
      </c>
      <c r="AI552">
        <v>92.819253891938899</v>
      </c>
      <c r="AJ552">
        <v>87.762649197503507</v>
      </c>
      <c r="AK552">
        <v>22.8079222680689</v>
      </c>
      <c r="AL552">
        <v>76.911507677966</v>
      </c>
      <c r="AM552">
        <v>86.464339780106698</v>
      </c>
      <c r="AN552">
        <v>1.0000000757657299</v>
      </c>
    </row>
    <row r="553" spans="1:40" x14ac:dyDescent="0.25">
      <c r="A553" t="str">
        <f>"20190303170951888"</f>
        <v>20190303170951888</v>
      </c>
      <c r="B553" t="str">
        <f>"1551604191880936"</f>
        <v>1551604191880936</v>
      </c>
      <c r="C553" t="s">
        <v>40</v>
      </c>
      <c r="D553">
        <v>4.3746199999999904</v>
      </c>
      <c r="E553">
        <v>0.49700859999999902</v>
      </c>
      <c r="F553" t="s">
        <v>41</v>
      </c>
      <c r="G553">
        <v>-282.37389999999999</v>
      </c>
      <c r="H553">
        <v>-0.05</v>
      </c>
      <c r="I553">
        <v>366.99009999999998</v>
      </c>
      <c r="J553">
        <v>-306.43779999999998</v>
      </c>
      <c r="K553">
        <v>1.0717540000000001</v>
      </c>
      <c r="L553">
        <v>367.81700000000001</v>
      </c>
      <c r="M553">
        <v>0.99988279999999996</v>
      </c>
      <c r="N553">
        <v>-1.49821E-2</v>
      </c>
      <c r="O553">
        <v>3.1714730000000002E-3</v>
      </c>
      <c r="P553">
        <v>0.97566470000000005</v>
      </c>
      <c r="Q553">
        <v>0.21174799999999999</v>
      </c>
      <c r="R553">
        <v>-5.6934569999999997E-2</v>
      </c>
      <c r="S553">
        <v>3.0997620000000001</v>
      </c>
      <c r="T553">
        <v>-0.1432368</v>
      </c>
      <c r="U553">
        <v>-0.1054993</v>
      </c>
      <c r="V553">
        <v>6.0037720000000003E-2</v>
      </c>
      <c r="W553">
        <v>0.2263367</v>
      </c>
      <c r="X553">
        <v>0.97219710000000004</v>
      </c>
      <c r="Y553">
        <v>3.7130780000000002E-2</v>
      </c>
      <c r="Z553">
        <v>-1.2345679999999999E-3</v>
      </c>
      <c r="AA553">
        <v>0.99930969999999997</v>
      </c>
      <c r="AB553">
        <v>39</v>
      </c>
      <c r="AC553">
        <v>24.063899999999901</v>
      </c>
      <c r="AD553">
        <v>-1.1217539999999999</v>
      </c>
      <c r="AE553">
        <v>-0.826899999999966</v>
      </c>
      <c r="AF553">
        <v>0.90126625364590796</v>
      </c>
      <c r="AG553">
        <v>-1.1217539999999999</v>
      </c>
      <c r="AH553">
        <v>24.009045622382601</v>
      </c>
      <c r="AI553">
        <v>92.673156049453198</v>
      </c>
      <c r="AJ553">
        <v>87.850205363747904</v>
      </c>
      <c r="AK553">
        <v>24.052128483652499</v>
      </c>
      <c r="AL553">
        <v>76.918506823343506</v>
      </c>
      <c r="AM553">
        <v>86.466205166643704</v>
      </c>
      <c r="AN553">
        <v>1.00000001541904</v>
      </c>
    </row>
    <row r="554" spans="1:40" x14ac:dyDescent="0.25">
      <c r="A554" t="str">
        <f>"20190303170951901"</f>
        <v>20190303170951901</v>
      </c>
      <c r="B554" t="str">
        <f>"1551604191890698"</f>
        <v>1551604191890698</v>
      </c>
      <c r="C554" t="s">
        <v>40</v>
      </c>
      <c r="D554">
        <v>4.3978010000000003</v>
      </c>
      <c r="E554">
        <v>0.49680220000000003</v>
      </c>
      <c r="F554" t="s">
        <v>41</v>
      </c>
      <c r="G554">
        <v>-281.67239999999998</v>
      </c>
      <c r="H554">
        <v>-0.05</v>
      </c>
      <c r="I554">
        <v>366.98790000000002</v>
      </c>
      <c r="J554">
        <v>-306.24169999999998</v>
      </c>
      <c r="K554">
        <v>1.071696</v>
      </c>
      <c r="L554">
        <v>367.81760000000003</v>
      </c>
      <c r="M554">
        <v>0.99988379999999999</v>
      </c>
      <c r="N554">
        <v>-1.49253999999999E-2</v>
      </c>
      <c r="O554">
        <v>3.1722640000000002E-3</v>
      </c>
      <c r="P554">
        <v>0.97562530000000003</v>
      </c>
      <c r="Q554">
        <v>0.21196290000000001</v>
      </c>
      <c r="R554">
        <v>-5.6810640000000003E-2</v>
      </c>
      <c r="S554">
        <v>3.0992739999999999</v>
      </c>
      <c r="T554">
        <v>-0.1403819</v>
      </c>
      <c r="U554">
        <v>-0.1037598</v>
      </c>
      <c r="V554">
        <v>5.9914340000000003E-2</v>
      </c>
      <c r="W554">
        <v>0.22649610000000001</v>
      </c>
      <c r="X554">
        <v>0.97216760000000002</v>
      </c>
      <c r="Y554">
        <v>3.657937E-2</v>
      </c>
      <c r="Z554">
        <v>-1.197292E-3</v>
      </c>
      <c r="AA554">
        <v>0.99933000000000005</v>
      </c>
      <c r="AB554">
        <v>39</v>
      </c>
      <c r="AC554">
        <v>24.569299999999998</v>
      </c>
      <c r="AD554">
        <v>-1.12169599999999</v>
      </c>
      <c r="AE554">
        <v>-0.82970000000000199</v>
      </c>
      <c r="AF554">
        <v>0.90575905276616897</v>
      </c>
      <c r="AG554">
        <v>-1.12169599999999</v>
      </c>
      <c r="AH554">
        <v>24.5155040343591</v>
      </c>
      <c r="AI554">
        <v>92.617932172168295</v>
      </c>
      <c r="AJ554">
        <v>87.884090946352998</v>
      </c>
      <c r="AK554">
        <v>24.557861051743899</v>
      </c>
      <c r="AL554">
        <v>76.909130529437903</v>
      </c>
      <c r="AM554">
        <v>86.473342173725896</v>
      </c>
      <c r="AN554">
        <v>1.0000000269713001</v>
      </c>
    </row>
    <row r="555" spans="1:40" x14ac:dyDescent="0.25">
      <c r="A555" t="str">
        <f>"20190303170951915"</f>
        <v>20190303170951915</v>
      </c>
      <c r="B555" t="str">
        <f>"1551604191911193"</f>
        <v>1551604191911193</v>
      </c>
      <c r="C555" t="s">
        <v>40</v>
      </c>
      <c r="D555">
        <v>4.4000599999999999</v>
      </c>
      <c r="E555">
        <v>0.49642989999999998</v>
      </c>
      <c r="F555" t="s">
        <v>41</v>
      </c>
      <c r="G555">
        <v>-280.88659999999999</v>
      </c>
      <c r="H555">
        <v>-0.05</v>
      </c>
      <c r="I555">
        <v>366.9846</v>
      </c>
      <c r="J555">
        <v>-305.99979999999999</v>
      </c>
      <c r="K555">
        <v>1.0716330000000001</v>
      </c>
      <c r="L555">
        <v>367.8184</v>
      </c>
      <c r="M555">
        <v>0.99988469999999996</v>
      </c>
      <c r="N555">
        <v>-1.4860119999999999E-2</v>
      </c>
      <c r="O555">
        <v>3.174919E-3</v>
      </c>
      <c r="P555">
        <v>0.97566810000000004</v>
      </c>
      <c r="Q555">
        <v>0.21184910000000001</v>
      </c>
      <c r="R555">
        <v>-5.6499210000000001E-2</v>
      </c>
      <c r="S555">
        <v>3.0988159999999998</v>
      </c>
      <c r="T555">
        <v>-0.1370902</v>
      </c>
      <c r="U555">
        <v>-0.1018066</v>
      </c>
      <c r="V555">
        <v>5.9605070000000003E-2</v>
      </c>
      <c r="W555">
        <v>0.22631960000000001</v>
      </c>
      <c r="X555">
        <v>0.97222770000000003</v>
      </c>
      <c r="Y555">
        <v>3.596075E-2</v>
      </c>
      <c r="Z555">
        <v>-1.155491E-3</v>
      </c>
      <c r="AA555">
        <v>0.99935249999999998</v>
      </c>
      <c r="AB555">
        <v>38</v>
      </c>
      <c r="AC555">
        <v>25.113199999999999</v>
      </c>
      <c r="AD555">
        <v>-1.1216330000000001</v>
      </c>
      <c r="AE555">
        <v>-0.83379999999999599</v>
      </c>
      <c r="AF555">
        <v>0.91172027574180203</v>
      </c>
      <c r="AG555">
        <v>-1.1216330000000001</v>
      </c>
      <c r="AH555">
        <v>25.060490460670501</v>
      </c>
      <c r="AI555">
        <v>92.560986382288405</v>
      </c>
      <c r="AJ555">
        <v>87.916453564560499</v>
      </c>
      <c r="AK555">
        <v>25.1021408763723</v>
      </c>
      <c r="AL555">
        <v>76.919512652273099</v>
      </c>
      <c r="AM555">
        <v>86.491717073198899</v>
      </c>
      <c r="AN555">
        <v>1.00000001318057</v>
      </c>
    </row>
    <row r="556" spans="1:40" x14ac:dyDescent="0.25">
      <c r="A556" t="str">
        <f>"20190303170951929"</f>
        <v>20190303170951929</v>
      </c>
      <c r="B556" t="str">
        <f>"1551604191920953"</f>
        <v>1551604191920953</v>
      </c>
      <c r="C556" t="s">
        <v>40</v>
      </c>
      <c r="D556">
        <v>4.5343730000000004</v>
      </c>
      <c r="E556">
        <v>0.49624960000000001</v>
      </c>
      <c r="F556" t="s">
        <v>41</v>
      </c>
      <c r="G556">
        <v>-279.3904</v>
      </c>
      <c r="H556">
        <v>-0.05</v>
      </c>
      <c r="I556">
        <v>366.97500000000002</v>
      </c>
      <c r="J556">
        <v>-305.74630000000002</v>
      </c>
      <c r="K556">
        <v>1.07158</v>
      </c>
      <c r="L556">
        <v>367.81920000000002</v>
      </c>
      <c r="M556">
        <v>0.99988549999999998</v>
      </c>
      <c r="N556">
        <v>-1.479804E-2</v>
      </c>
      <c r="O556">
        <v>3.1858939999999999E-3</v>
      </c>
      <c r="P556">
        <v>0.97560979999999997</v>
      </c>
      <c r="Q556">
        <v>0.21219209999999999</v>
      </c>
      <c r="R556">
        <v>-5.6218009999999999E-2</v>
      </c>
      <c r="S556">
        <v>3.0974729999999999</v>
      </c>
      <c r="T556">
        <v>-0.13056419999999999</v>
      </c>
      <c r="U556">
        <v>-9.817505E-2</v>
      </c>
      <c r="V556">
        <v>5.9331950000000001E-2</v>
      </c>
      <c r="W556">
        <v>0.22660150000000001</v>
      </c>
      <c r="X556">
        <v>0.97217880000000001</v>
      </c>
      <c r="Y556">
        <v>3.4820829999999997E-2</v>
      </c>
      <c r="Z556">
        <v>-1.078323E-3</v>
      </c>
      <c r="AA556">
        <v>0.99939299999999998</v>
      </c>
      <c r="AB556">
        <v>38</v>
      </c>
      <c r="AC556">
        <v>26.355899999999998</v>
      </c>
      <c r="AD556">
        <v>-1.12158</v>
      </c>
      <c r="AE556">
        <v>-0.84419999999999995</v>
      </c>
      <c r="AF556">
        <v>0.92649589577625502</v>
      </c>
      <c r="AG556">
        <v>-1.12158</v>
      </c>
      <c r="AH556">
        <v>26.305487472381699</v>
      </c>
      <c r="AI556">
        <v>92.439915004947196</v>
      </c>
      <c r="AJ556">
        <v>87.982840245474804</v>
      </c>
      <c r="AK556">
        <v>26.345682900637101</v>
      </c>
      <c r="AL556">
        <v>76.902930917261202</v>
      </c>
      <c r="AM556">
        <v>86.507577489792695</v>
      </c>
      <c r="AN556">
        <v>1.0000000696312401</v>
      </c>
    </row>
    <row r="557" spans="1:40" x14ac:dyDescent="0.25">
      <c r="A557" t="str">
        <f>"20190303170951944"</f>
        <v>20190303170951944</v>
      </c>
      <c r="B557" t="str">
        <f>"1551604191930714"</f>
        <v>1551604191930714</v>
      </c>
      <c r="C557" t="s">
        <v>40</v>
      </c>
      <c r="D557">
        <v>4.4483800000000002</v>
      </c>
      <c r="E557">
        <v>0.49608039999999998</v>
      </c>
      <c r="F557" t="s">
        <v>42</v>
      </c>
      <c r="G557">
        <v>-279.50709999999998</v>
      </c>
      <c r="H557" s="1">
        <v>-8.4958130000000002E-7</v>
      </c>
      <c r="I557">
        <v>367.00130000000001</v>
      </c>
      <c r="J557">
        <v>-305.50110000000001</v>
      </c>
      <c r="K557">
        <v>1.071534</v>
      </c>
      <c r="L557">
        <v>367.82</v>
      </c>
      <c r="M557">
        <v>0.99988619999999995</v>
      </c>
      <c r="N557">
        <v>-1.474201E-2</v>
      </c>
      <c r="O557">
        <v>3.206661E-3</v>
      </c>
      <c r="P557">
        <v>0.9755895</v>
      </c>
      <c r="Q557">
        <v>0.2123592</v>
      </c>
      <c r="R557">
        <v>-5.5934610000000003E-2</v>
      </c>
      <c r="S557">
        <v>3.0969540000000002</v>
      </c>
      <c r="T557">
        <v>-0.12647619999999901</v>
      </c>
      <c r="U557">
        <v>-9.6527100000000005E-2</v>
      </c>
      <c r="V557">
        <v>5.9064159999999997E-2</v>
      </c>
      <c r="W557">
        <v>0.22671530000000001</v>
      </c>
      <c r="X557">
        <v>0.97216849999999999</v>
      </c>
      <c r="Y557">
        <v>3.4318559999999998E-2</v>
      </c>
      <c r="Z557">
        <v>-1.0371060000000001E-3</v>
      </c>
      <c r="AA557">
        <v>0.99941040000000003</v>
      </c>
      <c r="AB557">
        <v>38</v>
      </c>
      <c r="AC557">
        <v>25.994</v>
      </c>
      <c r="AD557">
        <v>-1.0715348495813</v>
      </c>
      <c r="AE557">
        <v>-0.818699999999978</v>
      </c>
      <c r="AF557">
        <v>0.90053005271259501</v>
      </c>
      <c r="AG557">
        <v>-1.0715348495813</v>
      </c>
      <c r="AH557">
        <v>25.947192752410199</v>
      </c>
      <c r="AI557">
        <v>92.363364710943699</v>
      </c>
      <c r="AJ557">
        <v>88.012275533989396</v>
      </c>
      <c r="AK557">
        <v>25.984917799378</v>
      </c>
      <c r="AL557">
        <v>76.896235465002306</v>
      </c>
      <c r="AM557">
        <v>86.523264762394305</v>
      </c>
      <c r="AN557">
        <v>0.99999999732142197</v>
      </c>
    </row>
    <row r="558" spans="1:40" x14ac:dyDescent="0.25">
      <c r="A558" t="str">
        <f>"20190303170951957"</f>
        <v>20190303170951957</v>
      </c>
      <c r="B558" t="str">
        <f>"1551604191951209"</f>
        <v>1551604191951209</v>
      </c>
      <c r="C558" t="s">
        <v>40</v>
      </c>
      <c r="D558">
        <v>4.5381419999999997</v>
      </c>
      <c r="E558">
        <v>0.49572480000000002</v>
      </c>
      <c r="F558" t="s">
        <v>42</v>
      </c>
      <c r="G558">
        <v>-278.60610000000003</v>
      </c>
      <c r="H558" s="1">
        <v>-1.155947E-6</v>
      </c>
      <c r="I558">
        <v>367.00220000000002</v>
      </c>
      <c r="J558">
        <v>-305.27519999999998</v>
      </c>
      <c r="K558">
        <v>1.0715030000000001</v>
      </c>
      <c r="L558">
        <v>367.82069999999999</v>
      </c>
      <c r="M558">
        <v>0.99988690000000002</v>
      </c>
      <c r="N558">
        <v>-1.469341E-2</v>
      </c>
      <c r="O558">
        <v>3.2339729999999998E-3</v>
      </c>
      <c r="P558">
        <v>0.97556670000000001</v>
      </c>
      <c r="Q558">
        <v>0.21252289999999999</v>
      </c>
      <c r="R558">
        <v>-5.5711579999999997E-2</v>
      </c>
      <c r="S558">
        <v>3.096527</v>
      </c>
      <c r="T558">
        <v>-0.1233698</v>
      </c>
      <c r="U558">
        <v>-9.4146729999999998E-2</v>
      </c>
      <c r="V558">
        <v>5.8861910000000003E-2</v>
      </c>
      <c r="W558">
        <v>0.22683320000000001</v>
      </c>
      <c r="X558">
        <v>0.97215320000000005</v>
      </c>
      <c r="Y558">
        <v>3.3585129999999998E-2</v>
      </c>
      <c r="Z558">
        <v>-9.9683220000000008E-4</v>
      </c>
      <c r="AA558">
        <v>0.99943539999999997</v>
      </c>
      <c r="AB558">
        <v>38</v>
      </c>
      <c r="AC558">
        <v>26.669099999999901</v>
      </c>
      <c r="AD558">
        <v>-1.071504155947</v>
      </c>
      <c r="AE558">
        <v>-0.81849999999997103</v>
      </c>
      <c r="AF558">
        <v>0.90329539961789096</v>
      </c>
      <c r="AG558">
        <v>-1.071504155947</v>
      </c>
      <c r="AH558">
        <v>26.6233768534739</v>
      </c>
      <c r="AI558">
        <v>92.303400570731498</v>
      </c>
      <c r="AJ558">
        <v>88.056776617167998</v>
      </c>
      <c r="AK558">
        <v>26.660237411119802</v>
      </c>
      <c r="AL558">
        <v>76.889298758732096</v>
      </c>
      <c r="AM558">
        <v>86.535086495234793</v>
      </c>
      <c r="AN558">
        <v>0.99999993467066195</v>
      </c>
    </row>
    <row r="559" spans="1:40" x14ac:dyDescent="0.25">
      <c r="A559" t="str">
        <f>"20190303170951972"</f>
        <v>20190303170951972</v>
      </c>
      <c r="B559" t="str">
        <f>"1551604191960969"</f>
        <v>1551604191960969</v>
      </c>
      <c r="C559" t="s">
        <v>40</v>
      </c>
      <c r="D559">
        <v>4.4408029999999998</v>
      </c>
      <c r="E559">
        <v>0.49558740000000001</v>
      </c>
      <c r="F559" t="s">
        <v>42</v>
      </c>
      <c r="G559">
        <v>-277.28050000000002</v>
      </c>
      <c r="H559" s="1">
        <v>-1.6123169999999901E-6</v>
      </c>
      <c r="I559">
        <v>367.0043</v>
      </c>
      <c r="J559">
        <v>-305.00740000000002</v>
      </c>
      <c r="K559">
        <v>1.0714840000000001</v>
      </c>
      <c r="L559">
        <v>367.82170000000002</v>
      </c>
      <c r="M559">
        <v>0.99988750000000004</v>
      </c>
      <c r="N559">
        <v>-1.464174E-2</v>
      </c>
      <c r="O559">
        <v>3.2902389999999999E-3</v>
      </c>
      <c r="P559">
        <v>0.97578379999999998</v>
      </c>
      <c r="Q559">
        <v>0.21154490000000001</v>
      </c>
      <c r="R559">
        <v>-5.5632330000000001E-2</v>
      </c>
      <c r="S559">
        <v>3.0957949999999999</v>
      </c>
      <c r="T559">
        <v>-0.1184916</v>
      </c>
      <c r="U559">
        <v>-9.0271000000000004E-2</v>
      </c>
      <c r="V559">
        <v>5.8827669999999999E-2</v>
      </c>
      <c r="W559">
        <v>0.2258105</v>
      </c>
      <c r="X559">
        <v>0.97239339999999996</v>
      </c>
      <c r="Y559">
        <v>3.2402180000000003E-2</v>
      </c>
      <c r="Z559">
        <v>-9.3484079999999999E-4</v>
      </c>
      <c r="AA559">
        <v>0.99947450000000004</v>
      </c>
      <c r="AB559">
        <v>38</v>
      </c>
      <c r="AC559">
        <v>27.726900000000001</v>
      </c>
      <c r="AD559">
        <v>-1.071485612317</v>
      </c>
      <c r="AE559">
        <v>-0.81740000000002</v>
      </c>
      <c r="AF559">
        <v>0.90727973663993899</v>
      </c>
      <c r="AG559">
        <v>-1.071485612317</v>
      </c>
      <c r="AH559">
        <v>27.6827552079925</v>
      </c>
      <c r="AI559">
        <v>92.215389205019093</v>
      </c>
      <c r="AJ559">
        <v>88.122849450088097</v>
      </c>
      <c r="AK559">
        <v>27.7183364191207</v>
      </c>
      <c r="AL559">
        <v>76.949456961822307</v>
      </c>
      <c r="AM559">
        <v>86.537950454047802</v>
      </c>
      <c r="AN559">
        <v>1.0000000005157099</v>
      </c>
    </row>
    <row r="560" spans="1:40" x14ac:dyDescent="0.25">
      <c r="A560" t="str">
        <f>"20190303170951985"</f>
        <v>20190303170951985</v>
      </c>
      <c r="B560" t="str">
        <f>"1551604191970729"</f>
        <v>1551604191970729</v>
      </c>
      <c r="C560" t="s">
        <v>40</v>
      </c>
      <c r="D560">
        <v>4.4749679999999996</v>
      </c>
      <c r="E560">
        <v>0.4954267</v>
      </c>
      <c r="F560" t="s">
        <v>42</v>
      </c>
      <c r="G560">
        <v>-277.28949999999998</v>
      </c>
      <c r="H560" s="1">
        <v>-1.6038589999999999E-6</v>
      </c>
      <c r="I560">
        <v>367.03019999999998</v>
      </c>
      <c r="J560">
        <v>-304.80939999999998</v>
      </c>
      <c r="K560">
        <v>1.071472</v>
      </c>
      <c r="L560">
        <v>367.82240000000002</v>
      </c>
      <c r="M560">
        <v>0.99988779999999999</v>
      </c>
      <c r="N560">
        <v>-1.460616E-2</v>
      </c>
      <c r="O560">
        <v>3.345153E-3</v>
      </c>
      <c r="P560">
        <v>0.97586640000000002</v>
      </c>
      <c r="Q560">
        <v>0.2111943</v>
      </c>
      <c r="R560">
        <v>-5.5514550000000003E-2</v>
      </c>
      <c r="S560">
        <v>3.0953979999999999</v>
      </c>
      <c r="T560">
        <v>-0.1196576</v>
      </c>
      <c r="U560">
        <v>-8.8378910000000005E-2</v>
      </c>
      <c r="V560">
        <v>5.875462E-2</v>
      </c>
      <c r="W560">
        <v>0.22542909999999999</v>
      </c>
      <c r="X560">
        <v>0.97248630000000003</v>
      </c>
      <c r="Y560">
        <v>3.1850330000000003E-2</v>
      </c>
      <c r="Z560">
        <v>-9.284416E-4</v>
      </c>
      <c r="AA560">
        <v>0.99949219999999905</v>
      </c>
      <c r="AB560">
        <v>38</v>
      </c>
      <c r="AC560">
        <v>27.5199</v>
      </c>
      <c r="AD560">
        <v>-1.071473603859</v>
      </c>
      <c r="AE560">
        <v>-0.79220000000003599</v>
      </c>
      <c r="AF560">
        <v>0.88292634172203699</v>
      </c>
      <c r="AG560">
        <v>-1.071473603859</v>
      </c>
      <c r="AH560">
        <v>27.4754802090266</v>
      </c>
      <c r="AI560">
        <v>92.232106470770006</v>
      </c>
      <c r="AJ560">
        <v>88.1594297907602</v>
      </c>
      <c r="AK560">
        <v>27.510536660074202</v>
      </c>
      <c r="AL560">
        <v>76.971887860378004</v>
      </c>
      <c r="AM560">
        <v>86.542568573459803</v>
      </c>
      <c r="AN560">
        <v>0.99999999409292195</v>
      </c>
    </row>
    <row r="561" spans="1:40" x14ac:dyDescent="0.25">
      <c r="A561" t="str">
        <f>"20190303170951997"</f>
        <v>20190303170951997</v>
      </c>
      <c r="B561" t="str">
        <f>"1551604191991225"</f>
        <v>1551604191991225</v>
      </c>
      <c r="C561" t="s">
        <v>40</v>
      </c>
      <c r="D561">
        <v>4.4524460000000001</v>
      </c>
      <c r="E561">
        <v>0.4952222</v>
      </c>
      <c r="F561" t="s">
        <v>42</v>
      </c>
      <c r="G561">
        <v>-276.92290000000003</v>
      </c>
      <c r="H561" s="1">
        <v>-1.7597559999999999E-6</v>
      </c>
      <c r="I561">
        <v>367.0378</v>
      </c>
      <c r="J561">
        <v>-304.5992</v>
      </c>
      <c r="K561">
        <v>1.0714619999999999</v>
      </c>
      <c r="L561">
        <v>367.82310000000001</v>
      </c>
      <c r="M561">
        <v>0.9998882</v>
      </c>
      <c r="N561">
        <v>-1.4569769999999999E-2</v>
      </c>
      <c r="O561">
        <v>3.4103649999999998E-3</v>
      </c>
      <c r="P561">
        <v>0.9759698</v>
      </c>
      <c r="Q561">
        <v>0.2108119</v>
      </c>
      <c r="R561">
        <v>-5.5152949999999999E-2</v>
      </c>
      <c r="S561">
        <v>3.0949710000000001</v>
      </c>
      <c r="T561">
        <v>-0.11891690000000001</v>
      </c>
      <c r="U561">
        <v>-8.7066649999999995E-2</v>
      </c>
      <c r="V561">
        <v>5.8446329999999998E-2</v>
      </c>
      <c r="W561">
        <v>0.22501560000000001</v>
      </c>
      <c r="X561">
        <v>0.97260060000000004</v>
      </c>
      <c r="Y561">
        <v>3.1496740000000002E-2</v>
      </c>
      <c r="Z561">
        <v>-9.1566830000000001E-4</v>
      </c>
      <c r="AA561">
        <v>0.99950340000000004</v>
      </c>
      <c r="AB561">
        <v>38</v>
      </c>
      <c r="AC561">
        <v>27.676299999999902</v>
      </c>
      <c r="AD561">
        <v>-1.0714637597559999</v>
      </c>
      <c r="AE561">
        <v>-0.78530000000000599</v>
      </c>
      <c r="AF561">
        <v>0.87837628477725704</v>
      </c>
      <c r="AG561">
        <v>-1.0714637597559999</v>
      </c>
      <c r="AH561">
        <v>27.632079386812102</v>
      </c>
      <c r="AI561">
        <v>92.219473328791693</v>
      </c>
      <c r="AJ561">
        <v>88.179278812159296</v>
      </c>
      <c r="AK561">
        <v>27.666792201576499</v>
      </c>
      <c r="AL561">
        <v>76.996203975986305</v>
      </c>
      <c r="AM561">
        <v>86.561069539212198</v>
      </c>
      <c r="AN561">
        <v>0.99999996042709305</v>
      </c>
    </row>
    <row r="562" spans="1:40" x14ac:dyDescent="0.25">
      <c r="A562" t="str">
        <f>"20190303170952008"</f>
        <v>20190303170952008</v>
      </c>
      <c r="B562" t="str">
        <f>"1551604192000986"</f>
        <v>1551604192000986</v>
      </c>
      <c r="C562" t="s">
        <v>40</v>
      </c>
      <c r="D562">
        <v>4.4487189999999996</v>
      </c>
      <c r="E562">
        <v>0.49511870000000002</v>
      </c>
      <c r="F562" t="s">
        <v>42</v>
      </c>
      <c r="G562">
        <v>-276.06779999999998</v>
      </c>
      <c r="H562" s="1">
        <v>-2.125775E-6</v>
      </c>
      <c r="I562">
        <v>367.04239999999999</v>
      </c>
      <c r="J562">
        <v>-304.39</v>
      </c>
      <c r="K562">
        <v>1.0714600000000001</v>
      </c>
      <c r="L562">
        <v>367.82389999999998</v>
      </c>
      <c r="M562">
        <v>0.9998882</v>
      </c>
      <c r="N562">
        <v>-1.453744E-2</v>
      </c>
      <c r="O562">
        <v>3.5012350000000001E-3</v>
      </c>
      <c r="P562">
        <v>0.97605660000000005</v>
      </c>
      <c r="Q562">
        <v>0.21042839999999999</v>
      </c>
      <c r="R562">
        <v>-5.5077960000000002E-2</v>
      </c>
      <c r="S562">
        <v>3.094147</v>
      </c>
      <c r="T562">
        <v>-0.11619690000000001</v>
      </c>
      <c r="U562">
        <v>-8.4655759999999997E-2</v>
      </c>
      <c r="V562">
        <v>5.8447909999999999E-2</v>
      </c>
      <c r="W562">
        <v>0.2246049</v>
      </c>
      <c r="X562">
        <v>0.97269550000000005</v>
      </c>
      <c r="Y562">
        <v>3.0818809999999999E-2</v>
      </c>
      <c r="Z562">
        <v>-8.8308020000000002E-4</v>
      </c>
      <c r="AA562">
        <v>0.99952459999999999</v>
      </c>
      <c r="AB562">
        <v>38</v>
      </c>
      <c r="AC562">
        <v>28.322199999999999</v>
      </c>
      <c r="AD562">
        <v>-1.0714621257750001</v>
      </c>
      <c r="AE562">
        <v>-0.78149999999999398</v>
      </c>
      <c r="AF562">
        <v>0.87941071328022402</v>
      </c>
      <c r="AG562">
        <v>-1.0714621257750001</v>
      </c>
      <c r="AH562">
        <v>28.278848027581901</v>
      </c>
      <c r="AI562">
        <v>92.168804238282704</v>
      </c>
      <c r="AJ562">
        <v>88.218799818642196</v>
      </c>
      <c r="AK562">
        <v>28.312799933187001</v>
      </c>
      <c r="AL562">
        <v>77.020354406132597</v>
      </c>
      <c r="AM562">
        <v>86.561311516001993</v>
      </c>
      <c r="AN562">
        <v>1.0000000275038099</v>
      </c>
    </row>
    <row r="563" spans="1:40" x14ac:dyDescent="0.25">
      <c r="A563" t="str">
        <f>"20190303170952020"</f>
        <v>20190303170952020</v>
      </c>
      <c r="B563" t="str">
        <f>"1551604192010745"</f>
        <v>1551604192010745</v>
      </c>
      <c r="C563" t="s">
        <v>40</v>
      </c>
      <c r="D563">
        <v>4.4012820000000001</v>
      </c>
      <c r="E563">
        <v>0.49501709999999899</v>
      </c>
      <c r="F563" t="s">
        <v>42</v>
      </c>
      <c r="G563">
        <v>-275.74130000000002</v>
      </c>
      <c r="H563" s="1">
        <v>-2.2651620000000002E-6</v>
      </c>
      <c r="I563">
        <v>367.04640000000001</v>
      </c>
      <c r="J563">
        <v>-304.17919999999998</v>
      </c>
      <c r="K563">
        <v>1.0714619999999999</v>
      </c>
      <c r="L563">
        <v>367.82470000000001</v>
      </c>
      <c r="M563">
        <v>0.9998882</v>
      </c>
      <c r="N563">
        <v>-1.450618E-2</v>
      </c>
      <c r="O563">
        <v>3.6021170000000002E-3</v>
      </c>
      <c r="P563">
        <v>0.97611979999999998</v>
      </c>
      <c r="Q563">
        <v>0.2102234</v>
      </c>
      <c r="R563">
        <v>-5.4736750000000001E-2</v>
      </c>
      <c r="S563">
        <v>3.0938110000000001</v>
      </c>
      <c r="T563">
        <v>-0.1157084</v>
      </c>
      <c r="U563">
        <v>-8.3953860000000005E-2</v>
      </c>
      <c r="V563">
        <v>5.8192790000000001E-2</v>
      </c>
      <c r="W563">
        <v>0.22437399999999999</v>
      </c>
      <c r="X563">
        <v>0.97276410000000002</v>
      </c>
      <c r="Y563">
        <v>3.0696350000000001E-2</v>
      </c>
      <c r="Z563">
        <v>-8.7893309999999996E-4</v>
      </c>
      <c r="AA563">
        <v>0.99952830000000004</v>
      </c>
      <c r="AB563">
        <v>38</v>
      </c>
      <c r="AC563">
        <v>28.4378999999999</v>
      </c>
      <c r="AD563">
        <v>-1.0714642651620001</v>
      </c>
      <c r="AE563">
        <v>-0.77830000000000099</v>
      </c>
      <c r="AF563">
        <v>0.87949480145457604</v>
      </c>
      <c r="AG563">
        <v>-1.0714642651620001</v>
      </c>
      <c r="AH563">
        <v>28.394633316147999</v>
      </c>
      <c r="AI563">
        <v>92.159981456623001</v>
      </c>
      <c r="AJ563">
        <v>88.225888885529201</v>
      </c>
      <c r="AK563">
        <v>28.428449622443399</v>
      </c>
      <c r="AL563">
        <v>77.033930721296002</v>
      </c>
      <c r="AM563">
        <v>86.576526176094305</v>
      </c>
      <c r="AN563">
        <v>1.00000004346639</v>
      </c>
    </row>
    <row r="564" spans="1:40" x14ac:dyDescent="0.25">
      <c r="A564" t="str">
        <f>"20190303170952033"</f>
        <v>20190303170952033</v>
      </c>
      <c r="B564" t="str">
        <f>"1551604192021481"</f>
        <v>1551604192021481</v>
      </c>
      <c r="C564" t="s">
        <v>40</v>
      </c>
      <c r="D564">
        <v>4.4762700000000004</v>
      </c>
      <c r="E564">
        <v>0.49484250000000002</v>
      </c>
      <c r="F564" t="s">
        <v>42</v>
      </c>
      <c r="G564">
        <v>-275.23520000000002</v>
      </c>
      <c r="H564" s="1">
        <v>-2.4806149999999998E-6</v>
      </c>
      <c r="I564">
        <v>367.0557</v>
      </c>
      <c r="J564">
        <v>-303.96499999999997</v>
      </c>
      <c r="K564">
        <v>1.071466</v>
      </c>
      <c r="L564">
        <v>367.82560000000001</v>
      </c>
      <c r="M564">
        <v>0.99988840000000001</v>
      </c>
      <c r="N564">
        <v>-1.4476660000000001E-2</v>
      </c>
      <c r="O564">
        <v>3.7207020000000002E-3</v>
      </c>
      <c r="P564">
        <v>0.97614769999999895</v>
      </c>
      <c r="Q564">
        <v>0.21014279999999999</v>
      </c>
      <c r="R564">
        <v>-5.4553539999999998E-2</v>
      </c>
      <c r="S564">
        <v>3.093445</v>
      </c>
      <c r="T564">
        <v>-0.11451459999999999</v>
      </c>
      <c r="U564">
        <v>-8.2183839999999994E-2</v>
      </c>
      <c r="V564">
        <v>5.8111870000000003E-2</v>
      </c>
      <c r="W564">
        <v>0.224268</v>
      </c>
      <c r="X564">
        <v>0.97279329999999997</v>
      </c>
      <c r="Y564">
        <v>3.024756E-2</v>
      </c>
      <c r="Z564">
        <v>-8.6248480000000001E-4</v>
      </c>
      <c r="AA564">
        <v>0.99954209999999999</v>
      </c>
      <c r="AB564">
        <v>38</v>
      </c>
      <c r="AC564">
        <v>28.729799999999901</v>
      </c>
      <c r="AD564">
        <v>-1.0714684806149899</v>
      </c>
      <c r="AE564">
        <v>-0.76990000000000602</v>
      </c>
      <c r="AF564">
        <v>0.87558391551130899</v>
      </c>
      <c r="AG564">
        <v>-1.0714684806149899</v>
      </c>
      <c r="AH564">
        <v>28.686864512771798</v>
      </c>
      <c r="AI564">
        <v>92.138036446065698</v>
      </c>
      <c r="AJ564">
        <v>88.251754107039901</v>
      </c>
      <c r="AK564">
        <v>28.7202173994589</v>
      </c>
      <c r="AL564">
        <v>77.040161862719799</v>
      </c>
      <c r="AM564">
        <v>86.5813777649157</v>
      </c>
      <c r="AN564">
        <v>0.99999996489189202</v>
      </c>
    </row>
    <row r="565" spans="1:40" x14ac:dyDescent="0.25">
      <c r="A565" t="str">
        <f>"20190303170952044"</f>
        <v>20190303170952044</v>
      </c>
      <c r="B565" t="str">
        <f>"1551604192031241"</f>
        <v>1551604192031241</v>
      </c>
      <c r="C565" t="s">
        <v>40</v>
      </c>
      <c r="D565">
        <v>4.4072129999999996</v>
      </c>
      <c r="E565">
        <v>0.4947512</v>
      </c>
      <c r="F565" t="s">
        <v>42</v>
      </c>
      <c r="G565">
        <v>-274.7423</v>
      </c>
      <c r="H565" s="1">
        <v>-2.689904E-6</v>
      </c>
      <c r="I565">
        <v>367.06779999999998</v>
      </c>
      <c r="J565">
        <v>-303.77249999999998</v>
      </c>
      <c r="K565">
        <v>1.0714729999999999</v>
      </c>
      <c r="L565">
        <v>367.82639999999998</v>
      </c>
      <c r="M565">
        <v>0.9998882</v>
      </c>
      <c r="N565">
        <v>-1.445226E-2</v>
      </c>
      <c r="O565">
        <v>3.8436059999999998E-3</v>
      </c>
      <c r="P565">
        <v>0.97616099999999995</v>
      </c>
      <c r="Q565">
        <v>0.2101277</v>
      </c>
      <c r="R565">
        <v>-5.4371160000000002E-2</v>
      </c>
      <c r="S565">
        <v>3.0932309999999998</v>
      </c>
      <c r="T565">
        <v>-0.113415</v>
      </c>
      <c r="U565">
        <v>-8.0200199999999999E-2</v>
      </c>
      <c r="V565">
        <v>5.8037940000000003E-2</v>
      </c>
      <c r="W565">
        <v>0.22423219999999999</v>
      </c>
      <c r="X565">
        <v>0.97280599999999995</v>
      </c>
      <c r="Y565">
        <v>2.9732669999999999E-2</v>
      </c>
      <c r="Z565">
        <v>-8.4513570000000003E-4</v>
      </c>
      <c r="AA565">
        <v>0.99955760000000005</v>
      </c>
      <c r="AB565">
        <v>38</v>
      </c>
      <c r="AC565">
        <v>29.030199999999901</v>
      </c>
      <c r="AD565">
        <v>-1.0714756899040001</v>
      </c>
      <c r="AE565">
        <v>-0.75860000000000105</v>
      </c>
      <c r="AF565">
        <v>0.86900368419955998</v>
      </c>
      <c r="AG565">
        <v>-1.0714756899040001</v>
      </c>
      <c r="AH565">
        <v>28.987607326402099</v>
      </c>
      <c r="AI565">
        <v>92.115923809772198</v>
      </c>
      <c r="AJ565">
        <v>88.282875321961598</v>
      </c>
      <c r="AK565">
        <v>29.020417055357601</v>
      </c>
      <c r="AL565">
        <v>77.042267091446604</v>
      </c>
      <c r="AM565">
        <v>86.585761113613998</v>
      </c>
      <c r="AN565">
        <v>0.99999999781614102</v>
      </c>
    </row>
    <row r="566" spans="1:40" x14ac:dyDescent="0.25">
      <c r="A566" t="str">
        <f>"20190303170952057"</f>
        <v>20190303170952057</v>
      </c>
      <c r="B566" t="str">
        <f>"1551604192050761"</f>
        <v>1551604192050761</v>
      </c>
      <c r="C566" t="s">
        <v>40</v>
      </c>
      <c r="D566">
        <v>4.4723470000000001</v>
      </c>
      <c r="E566">
        <v>0.4945812</v>
      </c>
      <c r="F566" t="s">
        <v>42</v>
      </c>
      <c r="G566">
        <v>-274.15480000000002</v>
      </c>
      <c r="H566" s="1">
        <v>-2.941818E-6</v>
      </c>
      <c r="I566">
        <v>367.0686</v>
      </c>
      <c r="J566">
        <v>-303.5607</v>
      </c>
      <c r="K566">
        <v>1.07148</v>
      </c>
      <c r="L566">
        <v>367.82729999999998</v>
      </c>
      <c r="M566">
        <v>0.99988809999999995</v>
      </c>
      <c r="N566">
        <v>-1.4426400000000001E-2</v>
      </c>
      <c r="O566">
        <v>3.9859789999999997E-3</v>
      </c>
      <c r="P566">
        <v>0.97617330000000002</v>
      </c>
      <c r="Q566">
        <v>0.21017820000000001</v>
      </c>
      <c r="R566">
        <v>-5.3953250000000001E-2</v>
      </c>
      <c r="S566">
        <v>3.0929570000000002</v>
      </c>
      <c r="T566">
        <v>-0.1118932</v>
      </c>
      <c r="U566">
        <v>-7.9132079999999994E-2</v>
      </c>
      <c r="V566">
        <v>5.7746359999999997E-2</v>
      </c>
      <c r="W566">
        <v>0.22426099999999999</v>
      </c>
      <c r="X566">
        <v>0.97281669999999998</v>
      </c>
      <c r="Y566">
        <v>2.9533170000000001E-2</v>
      </c>
      <c r="Z566">
        <v>-8.3376299999999995E-4</v>
      </c>
      <c r="AA566">
        <v>0.99956350000000005</v>
      </c>
      <c r="AB566">
        <v>38</v>
      </c>
      <c r="AC566">
        <v>29.4058999999999</v>
      </c>
      <c r="AD566">
        <v>-1.0714829418179901</v>
      </c>
      <c r="AE566">
        <v>-0.75869999999997595</v>
      </c>
      <c r="AF566">
        <v>0.874756811148375</v>
      </c>
      <c r="AG566">
        <v>-1.0714829418179901</v>
      </c>
      <c r="AH566">
        <v>29.363681503452</v>
      </c>
      <c r="AI566">
        <v>92.088874203372995</v>
      </c>
      <c r="AJ566">
        <v>88.293638533165606</v>
      </c>
      <c r="AK566">
        <v>29.396242389282101</v>
      </c>
      <c r="AL566">
        <v>77.040573681364094</v>
      </c>
      <c r="AM566">
        <v>86.602911100829303</v>
      </c>
      <c r="AN566">
        <v>0.99999998500656895</v>
      </c>
    </row>
    <row r="567" spans="1:40" x14ac:dyDescent="0.25">
      <c r="A567" t="str">
        <f>"20190303170952069"</f>
        <v>20190303170952069</v>
      </c>
      <c r="B567" t="str">
        <f>"1551604192061497"</f>
        <v>1551604192061497</v>
      </c>
      <c r="C567" t="s">
        <v>40</v>
      </c>
      <c r="D567">
        <v>4.5022140000000004</v>
      </c>
      <c r="E567">
        <v>0.49447170000000001</v>
      </c>
      <c r="F567" t="s">
        <v>42</v>
      </c>
      <c r="G567">
        <v>-273.17790000000002</v>
      </c>
      <c r="H567" s="1">
        <v>-3.3598439999999999E-6</v>
      </c>
      <c r="I567">
        <v>367.07470000000001</v>
      </c>
      <c r="J567">
        <v>-303.34390000000002</v>
      </c>
      <c r="K567">
        <v>1.071488</v>
      </c>
      <c r="L567">
        <v>367.82830000000001</v>
      </c>
      <c r="M567">
        <v>0.99988770000000005</v>
      </c>
      <c r="N567">
        <v>-1.440264E-2</v>
      </c>
      <c r="O567">
        <v>4.1510719999999996E-3</v>
      </c>
      <c r="P567">
        <v>0.97616990000000003</v>
      </c>
      <c r="Q567">
        <v>0.21027309999999999</v>
      </c>
      <c r="R567">
        <v>-5.3644810000000001E-2</v>
      </c>
      <c r="S567">
        <v>3.092438</v>
      </c>
      <c r="T567">
        <v>-0.1090578</v>
      </c>
      <c r="U567">
        <v>-7.6599120000000007E-2</v>
      </c>
      <c r="V567">
        <v>5.7586999999999999E-2</v>
      </c>
      <c r="W567">
        <v>0.22433539999999999</v>
      </c>
      <c r="X567">
        <v>0.97280900000000003</v>
      </c>
      <c r="Y567">
        <v>2.888605E-2</v>
      </c>
      <c r="Z567">
        <v>-8.0381880000000004E-4</v>
      </c>
      <c r="AA567">
        <v>0.99958239999999998</v>
      </c>
      <c r="AB567">
        <v>38</v>
      </c>
      <c r="AC567">
        <v>30.166</v>
      </c>
      <c r="AD567">
        <v>-1.0714913598439999</v>
      </c>
      <c r="AE567">
        <v>-0.75360000000000504</v>
      </c>
      <c r="AF567">
        <v>0.87772103477131103</v>
      </c>
      <c r="AG567">
        <v>-1.0714913598439999</v>
      </c>
      <c r="AH567">
        <v>30.124628176698501</v>
      </c>
      <c r="AI567">
        <v>92.036209487371806</v>
      </c>
      <c r="AJ567">
        <v>88.331083554269</v>
      </c>
      <c r="AK567">
        <v>30.1564538819378</v>
      </c>
      <c r="AL567">
        <v>77.036199518742706</v>
      </c>
      <c r="AM567">
        <v>86.612237275671902</v>
      </c>
      <c r="AN567">
        <v>0.99999999237157999</v>
      </c>
    </row>
    <row r="568" spans="1:40" x14ac:dyDescent="0.25">
      <c r="A568" t="str">
        <f>"20190303170952084"</f>
        <v>20190303170952084</v>
      </c>
      <c r="B568" t="str">
        <f>"1551604192071258"</f>
        <v>1551604192071258</v>
      </c>
      <c r="C568" t="s">
        <v>40</v>
      </c>
      <c r="D568">
        <v>4.4884539999999999</v>
      </c>
      <c r="E568">
        <v>0.49436150000000001</v>
      </c>
      <c r="F568" t="s">
        <v>42</v>
      </c>
      <c r="G568">
        <v>-272.60919999999999</v>
      </c>
      <c r="H568" s="1">
        <v>-3.6018220000000002E-6</v>
      </c>
      <c r="I568">
        <v>367.08580000000001</v>
      </c>
      <c r="J568">
        <v>-303.0951</v>
      </c>
      <c r="K568">
        <v>1.0714999999999999</v>
      </c>
      <c r="L568">
        <v>367.82960000000003</v>
      </c>
      <c r="M568">
        <v>0.99988730000000003</v>
      </c>
      <c r="N568">
        <v>-1.4376969999999999E-2</v>
      </c>
      <c r="O568">
        <v>4.350825E-3</v>
      </c>
      <c r="P568">
        <v>0.97616999999999998</v>
      </c>
      <c r="Q568">
        <v>0.21059739999999999</v>
      </c>
      <c r="R568">
        <v>-5.2356279999999998E-2</v>
      </c>
      <c r="S568">
        <v>3.092346</v>
      </c>
      <c r="T568">
        <v>-0.10780679999999999</v>
      </c>
      <c r="U568">
        <v>-7.4707029999999994E-2</v>
      </c>
      <c r="V568">
        <v>5.6480870000000002E-2</v>
      </c>
      <c r="W568">
        <v>0.22463739999999999</v>
      </c>
      <c r="X568">
        <v>0.97280420000000001</v>
      </c>
      <c r="Y568">
        <v>2.8476080000000001E-2</v>
      </c>
      <c r="Z568">
        <v>-7.9005820000000002E-4</v>
      </c>
      <c r="AA568">
        <v>0.99959419999999999</v>
      </c>
      <c r="AB568">
        <v>38</v>
      </c>
      <c r="AC568">
        <v>30.485900000000001</v>
      </c>
      <c r="AD568">
        <v>-1.0715036018220001</v>
      </c>
      <c r="AE568">
        <v>-0.743800000000021</v>
      </c>
      <c r="AF568">
        <v>0.87536473217774202</v>
      </c>
      <c r="AG568">
        <v>-1.0715036018220001</v>
      </c>
      <c r="AH568">
        <v>30.444787392257201</v>
      </c>
      <c r="AI568">
        <v>92.014859673713005</v>
      </c>
      <c r="AJ568">
        <v>88.353054997773199</v>
      </c>
      <c r="AK568">
        <v>30.476211423712101</v>
      </c>
      <c r="AL568">
        <v>77.018443505543104</v>
      </c>
      <c r="AM568">
        <v>86.677145767272506</v>
      </c>
      <c r="AN568">
        <v>1.0000000308461701</v>
      </c>
    </row>
    <row r="569" spans="1:40" x14ac:dyDescent="0.25">
      <c r="A569" t="str">
        <f>"20190303170952095"</f>
        <v>20190303170952095</v>
      </c>
      <c r="B569" t="str">
        <f>"1551604192081017"</f>
        <v>1551604192081017</v>
      </c>
      <c r="C569" t="s">
        <v>40</v>
      </c>
      <c r="D569">
        <v>4.4817070000000001</v>
      </c>
      <c r="E569">
        <v>0.49425920000000001</v>
      </c>
      <c r="F569" t="s">
        <v>42</v>
      </c>
      <c r="G569">
        <v>-271.76069999999999</v>
      </c>
      <c r="H569" s="1">
        <v>-3.9607570000000001E-6</v>
      </c>
      <c r="I569">
        <v>367.11419999999998</v>
      </c>
      <c r="J569">
        <v>-302.899</v>
      </c>
      <c r="K569">
        <v>1.0715079999999999</v>
      </c>
      <c r="L569">
        <v>367.83049999999997</v>
      </c>
      <c r="M569">
        <v>0.99988679999999996</v>
      </c>
      <c r="N569">
        <v>-1.4357760000000001E-2</v>
      </c>
      <c r="O569">
        <v>4.514845E-3</v>
      </c>
      <c r="P569">
        <v>0.97614389999999995</v>
      </c>
      <c r="Q569">
        <v>0.21081220000000001</v>
      </c>
      <c r="R569">
        <v>-5.197715E-2</v>
      </c>
      <c r="S569">
        <v>3.0922550000000002</v>
      </c>
      <c r="T569">
        <v>-0.1057419</v>
      </c>
      <c r="U569">
        <v>-7.0587159999999996E-2</v>
      </c>
      <c r="V569">
        <v>5.6252410000000003E-2</v>
      </c>
      <c r="W569">
        <v>0.22483539999999999</v>
      </c>
      <c r="X569">
        <v>0.97277170000000002</v>
      </c>
      <c r="Y569">
        <v>2.7311490000000001E-2</v>
      </c>
      <c r="Z569">
        <v>-7.5247230000000001E-4</v>
      </c>
      <c r="AA569">
        <v>0.99962669999999998</v>
      </c>
      <c r="AB569">
        <v>38</v>
      </c>
      <c r="AC569">
        <v>31.138300000000001</v>
      </c>
      <c r="AD569">
        <v>-1.0715119607569901</v>
      </c>
      <c r="AE569">
        <v>-0.71629999999998895</v>
      </c>
      <c r="AF569">
        <v>0.85587883161510003</v>
      </c>
      <c r="AG569">
        <v>-1.0715119607569901</v>
      </c>
      <c r="AH569">
        <v>31.097943313669202</v>
      </c>
      <c r="AI569">
        <v>91.972658554625298</v>
      </c>
      <c r="AJ569">
        <v>88.423501245433201</v>
      </c>
      <c r="AK569">
        <v>31.128166422014601</v>
      </c>
      <c r="AL569">
        <v>77.006801186572801</v>
      </c>
      <c r="AM569">
        <v>86.690446154609404</v>
      </c>
      <c r="AN569">
        <v>1.0000000355224199</v>
      </c>
    </row>
    <row r="570" spans="1:40" x14ac:dyDescent="0.25">
      <c r="A570" t="str">
        <f>"20190303170952110"</f>
        <v>20190303170952110</v>
      </c>
      <c r="B570" t="str">
        <f>"1551604192101514"</f>
        <v>1551604192101514</v>
      </c>
      <c r="C570" t="s">
        <v>40</v>
      </c>
      <c r="D570">
        <v>4.5987629999999999</v>
      </c>
      <c r="E570">
        <v>0.49412679999999998</v>
      </c>
      <c r="F570" t="s">
        <v>42</v>
      </c>
      <c r="G570">
        <v>-271.12569999999999</v>
      </c>
      <c r="H570" s="1">
        <v>-4.2325359999999999E-6</v>
      </c>
      <c r="I570">
        <v>367.11799999999999</v>
      </c>
      <c r="J570">
        <v>-302.66390000000001</v>
      </c>
      <c r="K570">
        <v>1.071509</v>
      </c>
      <c r="L570">
        <v>367.83179999999999</v>
      </c>
      <c r="M570">
        <v>0.99988619999999995</v>
      </c>
      <c r="N570">
        <v>-1.4337000000000001E-2</v>
      </c>
      <c r="O570">
        <v>4.7238690000000003E-3</v>
      </c>
      <c r="P570">
        <v>0.97613669999999997</v>
      </c>
      <c r="Q570">
        <v>0.21107300000000001</v>
      </c>
      <c r="R570">
        <v>-5.1045840000000002E-2</v>
      </c>
      <c r="S570">
        <v>3.092133</v>
      </c>
      <c r="T570">
        <v>-0.1042777</v>
      </c>
      <c r="U570">
        <v>-6.9335939999999999E-2</v>
      </c>
      <c r="V570">
        <v>5.5515879999999997E-2</v>
      </c>
      <c r="W570">
        <v>0.22507740000000001</v>
      </c>
      <c r="X570">
        <v>0.97275800000000001</v>
      </c>
      <c r="Y570">
        <v>2.7117769999999999E-2</v>
      </c>
      <c r="Z570">
        <v>-7.4310629999999999E-4</v>
      </c>
      <c r="AA570">
        <v>0.99963190000000002</v>
      </c>
      <c r="AB570">
        <v>38</v>
      </c>
      <c r="AC570">
        <v>31.5382</v>
      </c>
      <c r="AD570">
        <v>-1.0715132325359999</v>
      </c>
      <c r="AE570">
        <v>-0.71379999999993504</v>
      </c>
      <c r="AF570">
        <v>0.861795385723645</v>
      </c>
      <c r="AG570">
        <v>-1.0715132325359999</v>
      </c>
      <c r="AH570">
        <v>31.498135896558299</v>
      </c>
      <c r="AI570">
        <v>91.947625750894503</v>
      </c>
      <c r="AJ570">
        <v>88.432766842147998</v>
      </c>
      <c r="AK570">
        <v>31.528136590233299</v>
      </c>
      <c r="AL570">
        <v>76.992570236337798</v>
      </c>
      <c r="AM570">
        <v>86.733638808036403</v>
      </c>
      <c r="AN570">
        <v>0.99999998774346699</v>
      </c>
    </row>
    <row r="571" spans="1:40" x14ac:dyDescent="0.25">
      <c r="A571" t="str">
        <f>"20190303170952123"</f>
        <v>20190303170952123</v>
      </c>
      <c r="B571" t="str">
        <f>"1551604192111274"</f>
        <v>1551604192111274</v>
      </c>
      <c r="C571" t="s">
        <v>40</v>
      </c>
      <c r="D571">
        <v>4.4630580000000002</v>
      </c>
      <c r="E571">
        <v>0.49407600000000002</v>
      </c>
      <c r="F571" t="s">
        <v>42</v>
      </c>
      <c r="G571">
        <v>-270.1474</v>
      </c>
      <c r="H571" s="1">
        <v>-4.6485289999999998E-6</v>
      </c>
      <c r="I571">
        <v>367.1388</v>
      </c>
      <c r="J571">
        <v>-302.43130000000002</v>
      </c>
      <c r="K571">
        <v>1.0715140000000001</v>
      </c>
      <c r="L571">
        <v>367.83300000000003</v>
      </c>
      <c r="M571">
        <v>0.99988529999999998</v>
      </c>
      <c r="N571">
        <v>-1.4317659999999999E-2</v>
      </c>
      <c r="O571">
        <v>4.9354109999999998E-3</v>
      </c>
      <c r="P571">
        <v>0.97611859999999995</v>
      </c>
      <c r="Q571">
        <v>0.2112588</v>
      </c>
      <c r="R571">
        <v>-5.0618589999999998E-2</v>
      </c>
      <c r="S571">
        <v>3.0919189999999999</v>
      </c>
      <c r="T571">
        <v>-0.1018872</v>
      </c>
      <c r="U571">
        <v>-6.588745E-2</v>
      </c>
      <c r="V571">
        <v>5.528711E-2</v>
      </c>
      <c r="W571">
        <v>0.225246</v>
      </c>
      <c r="X571">
        <v>0.97273200000000004</v>
      </c>
      <c r="Y571">
        <v>2.6218000000000002E-2</v>
      </c>
      <c r="Z571">
        <v>-7.1153239999999999E-4</v>
      </c>
      <c r="AA571">
        <v>0.99965599999999999</v>
      </c>
      <c r="AB571">
        <v>38</v>
      </c>
      <c r="AC571">
        <v>32.283900000000003</v>
      </c>
      <c r="AD571">
        <v>-1.07151864852899</v>
      </c>
      <c r="AE571">
        <v>-0.69420000000002302</v>
      </c>
      <c r="AF571">
        <v>0.85260339369040805</v>
      </c>
      <c r="AG571">
        <v>-1.07151864852899</v>
      </c>
      <c r="AH571">
        <v>32.2445757144528</v>
      </c>
      <c r="AI571">
        <v>91.902629626554699</v>
      </c>
      <c r="AJ571">
        <v>88.485351571587998</v>
      </c>
      <c r="AK571">
        <v>32.273638588887998</v>
      </c>
      <c r="AL571">
        <v>76.982655529387898</v>
      </c>
      <c r="AM571">
        <v>86.746983113421294</v>
      </c>
      <c r="AN571">
        <v>0.99999998443607596</v>
      </c>
    </row>
    <row r="572" spans="1:40" x14ac:dyDescent="0.25">
      <c r="A572" t="str">
        <f>"20190303170952137"</f>
        <v>20190303170952137</v>
      </c>
      <c r="B572" t="str">
        <f>"1551604192130794"</f>
        <v>1551604192130794</v>
      </c>
      <c r="C572" t="s">
        <v>40</v>
      </c>
      <c r="D572">
        <v>4.5047259999999998</v>
      </c>
      <c r="E572">
        <v>0.49398969999999998</v>
      </c>
      <c r="F572" t="s">
        <v>42</v>
      </c>
      <c r="G572">
        <v>-269.46409999999997</v>
      </c>
      <c r="H572" s="1">
        <v>-8.2492390000000002E-7</v>
      </c>
      <c r="I572">
        <v>367.149</v>
      </c>
      <c r="J572">
        <v>-302.20080000000002</v>
      </c>
      <c r="K572">
        <v>1.0715220000000001</v>
      </c>
      <c r="L572">
        <v>367.83440000000002</v>
      </c>
      <c r="M572">
        <v>0.99988449999999995</v>
      </c>
      <c r="N572">
        <v>-1.429966E-2</v>
      </c>
      <c r="O572">
        <v>5.1488209999999996E-3</v>
      </c>
      <c r="P572">
        <v>0.97610730000000001</v>
      </c>
      <c r="Q572">
        <v>0.2113853</v>
      </c>
      <c r="R572">
        <v>-5.0307310000000001E-2</v>
      </c>
      <c r="S572">
        <v>3.0918269999999999</v>
      </c>
      <c r="T572">
        <v>-0.1004919</v>
      </c>
      <c r="U572">
        <v>-6.4147949999999995E-2</v>
      </c>
      <c r="V572">
        <v>5.5176929999999999E-2</v>
      </c>
      <c r="W572">
        <v>0.22535569999999999</v>
      </c>
      <c r="X572">
        <v>0.97271289999999999</v>
      </c>
      <c r="Y572">
        <v>2.5870569999999999E-2</v>
      </c>
      <c r="Z572">
        <v>-6.990198E-4</v>
      </c>
      <c r="AA572">
        <v>0.99966509999999997</v>
      </c>
      <c r="AB572">
        <v>38</v>
      </c>
      <c r="AC572">
        <v>32.736699999999999</v>
      </c>
      <c r="AD572">
        <v>-1.0715228249238999</v>
      </c>
      <c r="AE572">
        <v>-0.685400000000015</v>
      </c>
      <c r="AF572">
        <v>0.853050038589097</v>
      </c>
      <c r="AG572">
        <v>-1.0715228249238999</v>
      </c>
      <c r="AH572">
        <v>32.697721124536997</v>
      </c>
      <c r="AI572">
        <v>91.876305447214804</v>
      </c>
      <c r="AJ572">
        <v>88.505550820268795</v>
      </c>
      <c r="AK572">
        <v>32.726393358735201</v>
      </c>
      <c r="AL572">
        <v>76.976204993131205</v>
      </c>
      <c r="AM572">
        <v>86.753388458478099</v>
      </c>
      <c r="AN572">
        <v>1.0000000354765599</v>
      </c>
    </row>
    <row r="573" spans="1:40" x14ac:dyDescent="0.25">
      <c r="A573" t="str">
        <f>"20190303170952152"</f>
        <v>20190303170952152</v>
      </c>
      <c r="B573" t="str">
        <f>"1551604192141530"</f>
        <v>1551604192141530</v>
      </c>
      <c r="C573" t="s">
        <v>40</v>
      </c>
      <c r="D573">
        <v>4.5406339999999998</v>
      </c>
      <c r="E573">
        <v>0.49396370000000001</v>
      </c>
      <c r="F573" t="s">
        <v>42</v>
      </c>
      <c r="G573">
        <v>-268.56279999999998</v>
      </c>
      <c r="H573" s="1">
        <v>-1.130676E-6</v>
      </c>
      <c r="I573">
        <v>367.15260000000001</v>
      </c>
      <c r="J573">
        <v>-301.93950000000001</v>
      </c>
      <c r="K573">
        <v>1.0715269999999999</v>
      </c>
      <c r="L573">
        <v>367.83589999999998</v>
      </c>
      <c r="M573">
        <v>0.99988350000000004</v>
      </c>
      <c r="N573">
        <v>-1.4281439999999999E-2</v>
      </c>
      <c r="O573">
        <v>5.3951110000000002E-3</v>
      </c>
      <c r="P573">
        <v>0.97601039999999994</v>
      </c>
      <c r="Q573">
        <v>0.2118555</v>
      </c>
      <c r="R573">
        <v>-5.0213290000000001E-2</v>
      </c>
      <c r="S573">
        <v>3.0915530000000002</v>
      </c>
      <c r="T573">
        <v>-9.8479750000000005E-2</v>
      </c>
      <c r="U573">
        <v>-6.2652589999999994E-2</v>
      </c>
      <c r="V573">
        <v>5.5315999999999997E-2</v>
      </c>
      <c r="W573">
        <v>0.22580819999999999</v>
      </c>
      <c r="X573">
        <v>0.97260000000000002</v>
      </c>
      <c r="Y573">
        <v>2.563617E-2</v>
      </c>
      <c r="Z573">
        <v>-6.8608829999999995E-4</v>
      </c>
      <c r="AA573">
        <v>0.99967110000000003</v>
      </c>
      <c r="AB573">
        <v>38</v>
      </c>
      <c r="AC573">
        <v>33.3767</v>
      </c>
      <c r="AD573">
        <v>-1.0715281306760001</v>
      </c>
      <c r="AE573">
        <v>-0.68329999999997404</v>
      </c>
      <c r="AF573">
        <v>0.86249084139416299</v>
      </c>
      <c r="AG573">
        <v>-1.0715281306760001</v>
      </c>
      <c r="AH573">
        <v>33.338180965224602</v>
      </c>
      <c r="AI573">
        <v>91.840304283894596</v>
      </c>
      <c r="AJ573">
        <v>88.5180335875217</v>
      </c>
      <c r="AK573">
        <v>33.366545716576397</v>
      </c>
      <c r="AL573">
        <v>76.949591983785197</v>
      </c>
      <c r="AM573">
        <v>86.7448461437871</v>
      </c>
      <c r="AN573">
        <v>0.99999998152161895</v>
      </c>
    </row>
    <row r="574" spans="1:40" x14ac:dyDescent="0.25">
      <c r="A574" t="str">
        <f>"20190303170952164"</f>
        <v>20190303170952164</v>
      </c>
      <c r="B574" t="str">
        <f>"1551604192151289"</f>
        <v>1551604192151289</v>
      </c>
      <c r="C574" t="s">
        <v>40</v>
      </c>
      <c r="D574">
        <v>4.538538</v>
      </c>
      <c r="E574">
        <v>0.49391819999999997</v>
      </c>
      <c r="F574" t="s">
        <v>42</v>
      </c>
      <c r="G574">
        <v>-267.4778</v>
      </c>
      <c r="H574" s="1">
        <v>-1.5031620000000001E-6</v>
      </c>
      <c r="I574">
        <v>367.14249999999998</v>
      </c>
      <c r="J574">
        <v>-301.71679999999998</v>
      </c>
      <c r="K574">
        <v>1.0715300000000001</v>
      </c>
      <c r="L574">
        <v>367.83730000000003</v>
      </c>
      <c r="M574">
        <v>0.99988259999999995</v>
      </c>
      <c r="N574">
        <v>-1.4266900000000001E-2</v>
      </c>
      <c r="O574">
        <v>5.6063390000000001E-3</v>
      </c>
      <c r="P574">
        <v>0.97598039999999997</v>
      </c>
      <c r="Q574">
        <v>0.2120727</v>
      </c>
      <c r="R574">
        <v>-4.9880229999999998E-2</v>
      </c>
      <c r="S574">
        <v>3.091431</v>
      </c>
      <c r="T574">
        <v>-9.61225E-2</v>
      </c>
      <c r="U574">
        <v>-6.2194819999999998E-2</v>
      </c>
      <c r="V574">
        <v>5.5184249999999997E-2</v>
      </c>
      <c r="W574">
        <v>0.22601160000000001</v>
      </c>
      <c r="X574">
        <v>0.97256030000000004</v>
      </c>
      <c r="Y574">
        <v>2.5700939999999999E-2</v>
      </c>
      <c r="Z574">
        <v>-6.771457E-4</v>
      </c>
      <c r="AA574">
        <v>0.99966940000000004</v>
      </c>
      <c r="AB574">
        <v>38</v>
      </c>
      <c r="AC574">
        <v>34.238999999999898</v>
      </c>
      <c r="AD574">
        <v>-1.0715315031620001</v>
      </c>
      <c r="AE574">
        <v>-0.69480000000004305</v>
      </c>
      <c r="AF574">
        <v>0.88589673473125596</v>
      </c>
      <c r="AG574">
        <v>-1.0715315031620001</v>
      </c>
      <c r="AH574">
        <v>34.201082780326502</v>
      </c>
      <c r="AI574">
        <v>91.793907855333998</v>
      </c>
      <c r="AJ574">
        <v>88.516222515083996</v>
      </c>
      <c r="AK574">
        <v>34.229330348892603</v>
      </c>
      <c r="AL574">
        <v>76.937629541020399</v>
      </c>
      <c r="AM574">
        <v>86.752450283053193</v>
      </c>
      <c r="AN574">
        <v>1.0000000409593499</v>
      </c>
    </row>
    <row r="575" spans="1:40" x14ac:dyDescent="0.25">
      <c r="A575" t="str">
        <f>"20190303170952178"</f>
        <v>20190303170952178</v>
      </c>
      <c r="B575" t="str">
        <f>"1551604192170809"</f>
        <v>1551604192170809</v>
      </c>
      <c r="C575" t="s">
        <v>40</v>
      </c>
      <c r="D575">
        <v>4.5344660000000001</v>
      </c>
      <c r="E575">
        <v>0.49385200000000001</v>
      </c>
      <c r="F575" t="s">
        <v>42</v>
      </c>
      <c r="G575">
        <v>-266.7278</v>
      </c>
      <c r="H575" s="1">
        <v>-1.8237429999999999E-6</v>
      </c>
      <c r="I575">
        <v>367.14879999999999</v>
      </c>
      <c r="J575">
        <v>-301.49520000000001</v>
      </c>
      <c r="K575">
        <v>1.071536</v>
      </c>
      <c r="L575">
        <v>367.83870000000002</v>
      </c>
      <c r="M575">
        <v>0.99988160000000004</v>
      </c>
      <c r="N575">
        <v>-1.4253119999999999E-2</v>
      </c>
      <c r="O575">
        <v>5.8170110000000004E-3</v>
      </c>
      <c r="P575">
        <v>0.9759776</v>
      </c>
      <c r="Q575">
        <v>0.21208199999999999</v>
      </c>
      <c r="R575">
        <v>-4.989478E-2</v>
      </c>
      <c r="S575">
        <v>3.0913089999999999</v>
      </c>
      <c r="T575">
        <v>-9.4670770000000001E-2</v>
      </c>
      <c r="U575">
        <v>-6.0821529999999999E-2</v>
      </c>
      <c r="V575">
        <v>5.5400199999999997E-2</v>
      </c>
      <c r="W575">
        <v>0.22600880000000001</v>
      </c>
      <c r="X575">
        <v>0.97254859999999999</v>
      </c>
      <c r="Y575">
        <v>2.546907E-2</v>
      </c>
      <c r="Z575">
        <v>-6.66652E-4</v>
      </c>
      <c r="AA575">
        <v>0.99967539999999999</v>
      </c>
      <c r="AB575">
        <v>38</v>
      </c>
      <c r="AC575">
        <v>34.767400000000002</v>
      </c>
      <c r="AD575">
        <v>-1.071537823743</v>
      </c>
      <c r="AE575">
        <v>-0.68990000000002205</v>
      </c>
      <c r="AF575">
        <v>0.89130489594572704</v>
      </c>
      <c r="AG575">
        <v>-1.071537823743</v>
      </c>
      <c r="AH575">
        <v>34.729821771279397</v>
      </c>
      <c r="AI575">
        <v>91.766635482046098</v>
      </c>
      <c r="AJ575">
        <v>88.529885878280396</v>
      </c>
      <c r="AK575">
        <v>34.757778093400603</v>
      </c>
      <c r="AL575">
        <v>76.937793281942504</v>
      </c>
      <c r="AM575">
        <v>86.739730019375301</v>
      </c>
      <c r="AN575">
        <v>0.99999996959971904</v>
      </c>
    </row>
    <row r="576" spans="1:40" x14ac:dyDescent="0.25">
      <c r="A576" t="str">
        <f>"20190303170952189"</f>
        <v>20190303170952189</v>
      </c>
      <c r="B576" t="str">
        <f>"1551604192181547"</f>
        <v>1551604192181547</v>
      </c>
      <c r="C576" t="s">
        <v>40</v>
      </c>
      <c r="D576">
        <v>4.5325550000000003</v>
      </c>
      <c r="E576">
        <v>0.49382860000000001</v>
      </c>
      <c r="F576" t="s">
        <v>42</v>
      </c>
      <c r="G576">
        <v>-265.93619999999999</v>
      </c>
      <c r="H576" s="1">
        <v>-2.1644169999999998E-6</v>
      </c>
      <c r="I576">
        <v>367.1429</v>
      </c>
      <c r="J576">
        <v>-301.30270000000002</v>
      </c>
      <c r="K576">
        <v>1.0715380000000001</v>
      </c>
      <c r="L576">
        <v>367.84</v>
      </c>
      <c r="M576">
        <v>0.99988060000000001</v>
      </c>
      <c r="N576">
        <v>-1.4242289999999999E-2</v>
      </c>
      <c r="O576">
        <v>6.0002099999999997E-3</v>
      </c>
      <c r="P576">
        <v>0.9759795</v>
      </c>
      <c r="Q576">
        <v>0.2120563</v>
      </c>
      <c r="R576">
        <v>-4.9964290000000001E-2</v>
      </c>
      <c r="S576">
        <v>3.090973</v>
      </c>
      <c r="T576">
        <v>-9.3143580000000004E-2</v>
      </c>
      <c r="U576">
        <v>-6.0485839999999999E-2</v>
      </c>
      <c r="V576">
        <v>5.5645470000000002E-2</v>
      </c>
      <c r="W576">
        <v>0.22597349999999999</v>
      </c>
      <c r="X576">
        <v>0.97254280000000004</v>
      </c>
      <c r="Y576">
        <v>2.5546289999999999E-2</v>
      </c>
      <c r="Z576">
        <v>-6.621013E-4</v>
      </c>
      <c r="AA576">
        <v>0.99967340000000005</v>
      </c>
      <c r="AB576">
        <v>38</v>
      </c>
      <c r="AC576">
        <v>35.366500000000002</v>
      </c>
      <c r="AD576">
        <v>-1.071540164417</v>
      </c>
      <c r="AE576">
        <v>-0.69709999999997696</v>
      </c>
      <c r="AF576">
        <v>0.90848175157002298</v>
      </c>
      <c r="AG576">
        <v>-1.071540164417</v>
      </c>
      <c r="AH576">
        <v>35.329261128618299</v>
      </c>
      <c r="AI576">
        <v>91.736680633071302</v>
      </c>
      <c r="AJ576">
        <v>88.526980188265696</v>
      </c>
      <c r="AK576">
        <v>35.357180731939003</v>
      </c>
      <c r="AL576">
        <v>76.939869534865593</v>
      </c>
      <c r="AM576">
        <v>86.725307877282802</v>
      </c>
      <c r="AN576">
        <v>0.999999969432804</v>
      </c>
    </row>
    <row r="577" spans="1:40" x14ac:dyDescent="0.25">
      <c r="A577" t="str">
        <f>"20190303170952200"</f>
        <v>20190303170952200</v>
      </c>
      <c r="B577" t="str">
        <f>"1551604192191305"</f>
        <v>1551604192191305</v>
      </c>
      <c r="C577" t="s">
        <v>40</v>
      </c>
      <c r="D577">
        <v>4.5347569999999999</v>
      </c>
      <c r="E577">
        <v>0.49380800000000002</v>
      </c>
      <c r="F577" t="s">
        <v>42</v>
      </c>
      <c r="G577">
        <v>-265.50920000000002</v>
      </c>
      <c r="H577" s="1">
        <v>-2.3485660000000002E-6</v>
      </c>
      <c r="I577">
        <v>367.13740000000001</v>
      </c>
      <c r="J577">
        <v>-301.11950000000002</v>
      </c>
      <c r="K577">
        <v>1.071537</v>
      </c>
      <c r="L577">
        <v>367.84120000000001</v>
      </c>
      <c r="M577">
        <v>0.99987969999999904</v>
      </c>
      <c r="N577">
        <v>-1.4232379999999999E-2</v>
      </c>
      <c r="O577">
        <v>6.1742730000000001E-3</v>
      </c>
      <c r="P577">
        <v>0.97594709999999996</v>
      </c>
      <c r="Q577">
        <v>0.2122076</v>
      </c>
      <c r="R577">
        <v>-4.9951759999999998E-2</v>
      </c>
      <c r="S577">
        <v>3.0908199999999999</v>
      </c>
      <c r="T577">
        <v>-9.2528940000000004E-2</v>
      </c>
      <c r="U577">
        <v>-6.0668949999999999E-2</v>
      </c>
      <c r="V577">
        <v>5.580011E-2</v>
      </c>
      <c r="W577">
        <v>0.2261157</v>
      </c>
      <c r="X577">
        <v>0.9725009</v>
      </c>
      <c r="Y577">
        <v>2.578051E-2</v>
      </c>
      <c r="Z577">
        <v>-6.6623530000000004E-4</v>
      </c>
      <c r="AA577">
        <v>0.99966739999999998</v>
      </c>
      <c r="AB577">
        <v>38</v>
      </c>
      <c r="AC577">
        <v>35.610299999999903</v>
      </c>
      <c r="AD577">
        <v>-1.0715393485660001</v>
      </c>
      <c r="AE577">
        <v>-0.70380000000000098</v>
      </c>
      <c r="AF577">
        <v>0.922841295608687</v>
      </c>
      <c r="AG577">
        <v>-1.0715393485660001</v>
      </c>
      <c r="AH577">
        <v>35.573078096413198</v>
      </c>
      <c r="AI577">
        <v>91.724773252481299</v>
      </c>
      <c r="AJ577">
        <v>88.513958939829905</v>
      </c>
      <c r="AK577">
        <v>35.601175793587501</v>
      </c>
      <c r="AL577">
        <v>76.931505747971798</v>
      </c>
      <c r="AM577">
        <v>86.716086151735198</v>
      </c>
      <c r="AN577">
        <v>0.99999998128165501</v>
      </c>
    </row>
    <row r="578" spans="1:40" x14ac:dyDescent="0.25">
      <c r="A578" t="str">
        <f>"20190303170952211"</f>
        <v>20190303170952211</v>
      </c>
      <c r="B578" t="str">
        <f>"1551604192201065"</f>
        <v>1551604192201065</v>
      </c>
      <c r="C578" t="s">
        <v>40</v>
      </c>
      <c r="D578">
        <v>4.5538239999999996</v>
      </c>
      <c r="E578">
        <v>0.49375400000000003</v>
      </c>
      <c r="F578" t="s">
        <v>42</v>
      </c>
      <c r="G578">
        <v>-264.875</v>
      </c>
      <c r="H578" s="1">
        <v>-2.6213479999999998E-6</v>
      </c>
      <c r="I578">
        <v>367.13330000000002</v>
      </c>
      <c r="J578">
        <v>-300.92419999999998</v>
      </c>
      <c r="K578">
        <v>1.0715399999999999</v>
      </c>
      <c r="L578">
        <v>367.8426</v>
      </c>
      <c r="M578">
        <v>0.99987859999999995</v>
      </c>
      <c r="N578">
        <v>-1.4222520000000001E-2</v>
      </c>
      <c r="O578">
        <v>6.3597719999999996E-3</v>
      </c>
      <c r="P578">
        <v>0.97591760000000005</v>
      </c>
      <c r="Q578">
        <v>0.21224380000000001</v>
      </c>
      <c r="R578">
        <v>-5.0373040000000001E-2</v>
      </c>
      <c r="S578">
        <v>3.0907290000000001</v>
      </c>
      <c r="T578">
        <v>-9.1374869999999997E-2</v>
      </c>
      <c r="U578">
        <v>-6.0363769999999997E-2</v>
      </c>
      <c r="V578">
        <v>5.6399560000000001E-2</v>
      </c>
      <c r="W578">
        <v>0.2261426</v>
      </c>
      <c r="X578">
        <v>0.97246010000000005</v>
      </c>
      <c r="Y578">
        <v>2.5868189999999999E-2</v>
      </c>
      <c r="Z578">
        <v>-6.6383550000000005E-4</v>
      </c>
      <c r="AA578">
        <v>0.99966509999999997</v>
      </c>
      <c r="AB578">
        <v>38</v>
      </c>
      <c r="AC578">
        <v>36.0491999999999</v>
      </c>
      <c r="AD578">
        <v>-1.0715426213479999</v>
      </c>
      <c r="AE578">
        <v>-0.70929999999998405</v>
      </c>
      <c r="AF578">
        <v>0.93774532579605296</v>
      </c>
      <c r="AG578">
        <v>-1.0715426213479999</v>
      </c>
      <c r="AH578">
        <v>36.0121533979868</v>
      </c>
      <c r="AI578">
        <v>91.703757449039699</v>
      </c>
      <c r="AJ578">
        <v>88.508372718560693</v>
      </c>
      <c r="AK578">
        <v>36.040293592665897</v>
      </c>
      <c r="AL578">
        <v>76.929923968987694</v>
      </c>
      <c r="AM578">
        <v>86.680747199346897</v>
      </c>
      <c r="AN578">
        <v>1.00000001599748</v>
      </c>
    </row>
    <row r="579" spans="1:40" x14ac:dyDescent="0.25">
      <c r="A579" t="str">
        <f>"20190303170952223"</f>
        <v>20190303170952223</v>
      </c>
      <c r="B579" t="str">
        <f>"1551604192210825"</f>
        <v>1551604192210825</v>
      </c>
      <c r="C579" t="s">
        <v>40</v>
      </c>
      <c r="D579">
        <v>4.5936370000000002</v>
      </c>
      <c r="E579">
        <v>0.4937125</v>
      </c>
      <c r="F579" t="s">
        <v>42</v>
      </c>
      <c r="G579">
        <v>-264.37860000000001</v>
      </c>
      <c r="H579" s="1">
        <v>-2.8365459999999999E-6</v>
      </c>
      <c r="I579">
        <v>367.12079999999997</v>
      </c>
      <c r="J579">
        <v>-300.7389</v>
      </c>
      <c r="K579">
        <v>1.0715399999999999</v>
      </c>
      <c r="L579">
        <v>367.84390000000002</v>
      </c>
      <c r="M579">
        <v>0.99987780000000004</v>
      </c>
      <c r="N579">
        <v>-1.4213750000000001E-2</v>
      </c>
      <c r="O579">
        <v>6.5351189999999998E-3</v>
      </c>
      <c r="P579">
        <v>0.97587440000000003</v>
      </c>
      <c r="Q579">
        <v>0.21242230000000001</v>
      </c>
      <c r="R579">
        <v>-5.0463330000000001E-2</v>
      </c>
      <c r="S579">
        <v>3.090576</v>
      </c>
      <c r="T579">
        <v>-9.0617779999999995E-2</v>
      </c>
      <c r="U579">
        <v>-6.1035159999999998E-2</v>
      </c>
      <c r="V579">
        <v>5.6658430000000003E-2</v>
      </c>
      <c r="W579">
        <v>0.22631209999999999</v>
      </c>
      <c r="X579">
        <v>0.97240559999999998</v>
      </c>
      <c r="Y579">
        <v>2.6261530000000002E-2</v>
      </c>
      <c r="Z579">
        <v>-6.7029060000000002E-4</v>
      </c>
      <c r="AA579">
        <v>0.99965490000000001</v>
      </c>
      <c r="AB579">
        <v>38</v>
      </c>
      <c r="AC579">
        <v>36.360300000000002</v>
      </c>
      <c r="AD579">
        <v>-1.071542836546</v>
      </c>
      <c r="AE579">
        <v>-0.72310000000004404</v>
      </c>
      <c r="AF579">
        <v>0.95989408033016299</v>
      </c>
      <c r="AG579">
        <v>-1.071542836546</v>
      </c>
      <c r="AH579">
        <v>36.3232635086611</v>
      </c>
      <c r="AI579">
        <v>91.689156417136999</v>
      </c>
      <c r="AJ579">
        <v>88.486229569365094</v>
      </c>
      <c r="AK579">
        <v>36.351740984657702</v>
      </c>
      <c r="AL579">
        <v>76.919953609730896</v>
      </c>
      <c r="AM579">
        <v>86.665359898791493</v>
      </c>
      <c r="AN579">
        <v>0.999999997603917</v>
      </c>
    </row>
    <row r="580" spans="1:40" x14ac:dyDescent="0.25">
      <c r="A580" t="str">
        <f>"20190303170952235"</f>
        <v>20190303170952235</v>
      </c>
      <c r="B580" t="str">
        <f>"1551604192221562"</f>
        <v>1551604192221562</v>
      </c>
      <c r="C580" t="s">
        <v>40</v>
      </c>
      <c r="D580">
        <v>4.53566</v>
      </c>
      <c r="E580">
        <v>0.49368780000000001</v>
      </c>
      <c r="F580" t="s">
        <v>42</v>
      </c>
      <c r="G580">
        <v>-263.7047</v>
      </c>
      <c r="H580" s="1">
        <v>-3.1271169999999999E-6</v>
      </c>
      <c r="I580">
        <v>367.11250000000001</v>
      </c>
      <c r="J580">
        <v>-300.52839999999998</v>
      </c>
      <c r="K580">
        <v>1.071539</v>
      </c>
      <c r="L580">
        <v>367.84550000000002</v>
      </c>
      <c r="M580">
        <v>0.9998764</v>
      </c>
      <c r="N580">
        <v>-1.420422E-2</v>
      </c>
      <c r="O580">
        <v>6.7345510000000001E-3</v>
      </c>
      <c r="P580">
        <v>0.97582340000000001</v>
      </c>
      <c r="Q580">
        <v>0.21258089999999999</v>
      </c>
      <c r="R580">
        <v>-5.0778490000000003E-2</v>
      </c>
      <c r="S580">
        <v>3.0904539999999998</v>
      </c>
      <c r="T580">
        <v>-8.9418769999999995E-2</v>
      </c>
      <c r="U580">
        <v>-6.1035159999999998E-2</v>
      </c>
      <c r="V580">
        <v>5.7165630000000002E-2</v>
      </c>
      <c r="W580">
        <v>0.22646169999999999</v>
      </c>
      <c r="X580">
        <v>0.97234109999999996</v>
      </c>
      <c r="Y580">
        <v>2.646196E-2</v>
      </c>
      <c r="Z580">
        <v>-6.6988369999999896E-4</v>
      </c>
      <c r="AA580">
        <v>0.99964960000000003</v>
      </c>
      <c r="AB580">
        <v>38</v>
      </c>
      <c r="AC580">
        <v>36.823699999999903</v>
      </c>
      <c r="AD580">
        <v>-1.071542127117</v>
      </c>
      <c r="AE580">
        <v>-0.73300000000000398</v>
      </c>
      <c r="AF580">
        <v>0.98016984346342995</v>
      </c>
      <c r="AG580">
        <v>-1.071542127117</v>
      </c>
      <c r="AH580">
        <v>36.786790360719202</v>
      </c>
      <c r="AI580">
        <v>91.667873786549194</v>
      </c>
      <c r="AJ580">
        <v>88.473737163593299</v>
      </c>
      <c r="AK580">
        <v>36.815443505351404</v>
      </c>
      <c r="AL580">
        <v>76.911153895111298</v>
      </c>
      <c r="AM580">
        <v>86.6353541731484</v>
      </c>
      <c r="AN580">
        <v>1.00000001278469</v>
      </c>
    </row>
    <row r="581" spans="1:40" x14ac:dyDescent="0.25">
      <c r="A581" t="str">
        <f>"20190303170952246"</f>
        <v>20190303170952246</v>
      </c>
      <c r="B581" t="str">
        <f>"1551604192241081"</f>
        <v>1551604192241081</v>
      </c>
      <c r="C581" t="s">
        <v>40</v>
      </c>
      <c r="D581">
        <v>4.5060699999999896</v>
      </c>
      <c r="E581">
        <v>0.49363489999999999</v>
      </c>
      <c r="F581" t="s">
        <v>42</v>
      </c>
      <c r="G581">
        <v>-262.99720000000002</v>
      </c>
      <c r="H581" s="1">
        <v>-3.4329059999999999E-6</v>
      </c>
      <c r="I581">
        <v>367.09969999999998</v>
      </c>
      <c r="J581">
        <v>-300.33359999999999</v>
      </c>
      <c r="K581">
        <v>1.071539</v>
      </c>
      <c r="L581">
        <v>367.84699999999998</v>
      </c>
      <c r="M581">
        <v>0.99987539999999997</v>
      </c>
      <c r="N581">
        <v>-1.4196210000000001E-2</v>
      </c>
      <c r="O581">
        <v>6.9187550000000004E-3</v>
      </c>
      <c r="P581">
        <v>0.97577700000000001</v>
      </c>
      <c r="Q581">
        <v>0.21270610000000001</v>
      </c>
      <c r="R581">
        <v>-5.1142920000000001E-2</v>
      </c>
      <c r="S581">
        <v>3.0903320000000001</v>
      </c>
      <c r="T581">
        <v>-8.8231089999999998E-2</v>
      </c>
      <c r="U581">
        <v>-6.1401369999999997E-2</v>
      </c>
      <c r="V581">
        <v>5.7708080000000002E-2</v>
      </c>
      <c r="W581">
        <v>0.22657869999999999</v>
      </c>
      <c r="X581">
        <v>0.97228179999999997</v>
      </c>
      <c r="Y581">
        <v>2.6765509999999999E-2</v>
      </c>
      <c r="Z581">
        <v>-6.7131539999999896E-4</v>
      </c>
      <c r="AA581">
        <v>0.99964149999999996</v>
      </c>
      <c r="AB581">
        <v>38</v>
      </c>
      <c r="AC581">
        <v>37.336399999999898</v>
      </c>
      <c r="AD581">
        <v>-1.0715424329059999</v>
      </c>
      <c r="AE581">
        <v>-0.74729999999999497</v>
      </c>
      <c r="AF581">
        <v>1.00480222480268</v>
      </c>
      <c r="AG581">
        <v>-1.0715424329059999</v>
      </c>
      <c r="AH581">
        <v>37.299624949148999</v>
      </c>
      <c r="AI581">
        <v>91.644942311511699</v>
      </c>
      <c r="AJ581">
        <v>88.456901199012293</v>
      </c>
      <c r="AK581">
        <v>37.328539377313803</v>
      </c>
      <c r="AL581">
        <v>76.904271407210004</v>
      </c>
      <c r="AM581">
        <v>86.603294461002605</v>
      </c>
      <c r="AN581">
        <v>1.0000000142011001</v>
      </c>
    </row>
    <row r="582" spans="1:40" x14ac:dyDescent="0.25">
      <c r="A582" t="str">
        <f>"20190303170952258"</f>
        <v>20190303170952258</v>
      </c>
      <c r="B582" t="str">
        <f>"1551604192250841"</f>
        <v>1551604192250841</v>
      </c>
      <c r="C582" t="s">
        <v>40</v>
      </c>
      <c r="D582">
        <v>4.5351109999999997</v>
      </c>
      <c r="E582">
        <v>0.49360159999999997</v>
      </c>
      <c r="F582" t="s">
        <v>42</v>
      </c>
      <c r="G582">
        <v>-262.0505</v>
      </c>
      <c r="H582" s="1">
        <v>-3.842712E-6</v>
      </c>
      <c r="I582">
        <v>367.07900000000001</v>
      </c>
      <c r="J582">
        <v>-300.13049999999998</v>
      </c>
      <c r="K582">
        <v>1.071539</v>
      </c>
      <c r="L582">
        <v>367.8485</v>
      </c>
      <c r="M582">
        <v>0.99987420000000005</v>
      </c>
      <c r="N582">
        <v>-1.41881E-2</v>
      </c>
      <c r="O582">
        <v>7.1105269999999898E-3</v>
      </c>
      <c r="P582">
        <v>0.97570199999999996</v>
      </c>
      <c r="Q582">
        <v>0.21301390000000001</v>
      </c>
      <c r="R582">
        <v>-5.1295239999999999E-2</v>
      </c>
      <c r="S582">
        <v>3.0900880000000002</v>
      </c>
      <c r="T582">
        <v>-8.6491349999999995E-2</v>
      </c>
      <c r="U582">
        <v>-6.19812E-2</v>
      </c>
      <c r="V582">
        <v>5.8045470000000002E-2</v>
      </c>
      <c r="W582">
        <v>0.2268783</v>
      </c>
      <c r="X582">
        <v>0.9721919</v>
      </c>
      <c r="Y582">
        <v>2.7146650000000001E-2</v>
      </c>
      <c r="Z582">
        <v>-6.7056690000000003E-4</v>
      </c>
      <c r="AA582">
        <v>0.99963120000000005</v>
      </c>
      <c r="AB582">
        <v>38</v>
      </c>
      <c r="AC582">
        <v>38.079999999999899</v>
      </c>
      <c r="AD582">
        <v>-1.071542842712</v>
      </c>
      <c r="AE582">
        <v>-0.76949999999999297</v>
      </c>
      <c r="AF582">
        <v>1.03945390886011</v>
      </c>
      <c r="AG582">
        <v>-1.071542842712</v>
      </c>
      <c r="AH582">
        <v>38.043453854914397</v>
      </c>
      <c r="AI582">
        <v>91.612781241740194</v>
      </c>
      <c r="AJ582">
        <v>88.434907920543907</v>
      </c>
      <c r="AK582">
        <v>38.072733677835799</v>
      </c>
      <c r="AL582">
        <v>76.886647284992193</v>
      </c>
      <c r="AM582">
        <v>86.583167361925803</v>
      </c>
      <c r="AN582">
        <v>1.000000065012</v>
      </c>
    </row>
    <row r="583" spans="1:40" x14ac:dyDescent="0.25">
      <c r="A583" t="str">
        <f>"20190303170952275"</f>
        <v>20190303170952275</v>
      </c>
      <c r="B583" t="str">
        <f>"1551604192261577"</f>
        <v>1551604192261577</v>
      </c>
      <c r="C583" t="s">
        <v>40</v>
      </c>
      <c r="D583">
        <v>4.5367889999999997</v>
      </c>
      <c r="E583">
        <v>0.49356990000000001</v>
      </c>
      <c r="F583" t="s">
        <v>42</v>
      </c>
      <c r="G583">
        <v>-261.0881</v>
      </c>
      <c r="H583" s="1">
        <v>-4.2584569999999998E-6</v>
      </c>
      <c r="I583">
        <v>367.06259999999997</v>
      </c>
      <c r="J583">
        <v>-299.85649999999998</v>
      </c>
      <c r="K583">
        <v>1.071542</v>
      </c>
      <c r="L583">
        <v>367.85070000000002</v>
      </c>
      <c r="M583">
        <v>0.99987230000000005</v>
      </c>
      <c r="N583">
        <v>-1.4178049999999999E-2</v>
      </c>
      <c r="O583">
        <v>7.36895E-3</v>
      </c>
      <c r="P583">
        <v>0.9755741</v>
      </c>
      <c r="Q583">
        <v>0.2134365</v>
      </c>
      <c r="R583">
        <v>-5.1959129999999999E-2</v>
      </c>
      <c r="S583">
        <v>3.0899960000000002</v>
      </c>
      <c r="T583">
        <v>-8.4806800000000002E-2</v>
      </c>
      <c r="U583">
        <v>-6.2194819999999998E-2</v>
      </c>
      <c r="V583">
        <v>5.8958820000000002E-2</v>
      </c>
      <c r="W583">
        <v>0.2272902</v>
      </c>
      <c r="X583">
        <v>0.97204069999999998</v>
      </c>
      <c r="Y583">
        <v>2.7475039999999999E-2</v>
      </c>
      <c r="Z583">
        <v>-6.6950949999999897E-4</v>
      </c>
      <c r="AA583">
        <v>0.99962229999999996</v>
      </c>
      <c r="AB583">
        <v>38</v>
      </c>
      <c r="AC583">
        <v>38.7683999999999</v>
      </c>
      <c r="AD583">
        <v>-1.0715462584569999</v>
      </c>
      <c r="AE583">
        <v>-0.78810000000004199</v>
      </c>
      <c r="AF583">
        <v>1.07297036697354</v>
      </c>
      <c r="AG583">
        <v>-1.0715462584569999</v>
      </c>
      <c r="AH583">
        <v>38.731961992211303</v>
      </c>
      <c r="AI583">
        <v>91.584115338622695</v>
      </c>
      <c r="AJ583">
        <v>88.413172186949097</v>
      </c>
      <c r="AK583">
        <v>38.761635112034703</v>
      </c>
      <c r="AL583">
        <v>76.862413863548298</v>
      </c>
      <c r="AM583">
        <v>86.528995117175697</v>
      </c>
      <c r="AN583">
        <v>1.0000000499641599</v>
      </c>
    </row>
    <row r="584" spans="1:40" x14ac:dyDescent="0.25">
      <c r="A584" t="str">
        <f>"20190303170952285"</f>
        <v>20190303170952285</v>
      </c>
      <c r="B584" t="str">
        <f>"1551604192281097"</f>
        <v>1551604192281097</v>
      </c>
      <c r="C584" t="s">
        <v>40</v>
      </c>
      <c r="D584">
        <v>4.5336270000000001</v>
      </c>
      <c r="E584">
        <v>0.49353279999999999</v>
      </c>
      <c r="F584" t="s">
        <v>42</v>
      </c>
      <c r="G584">
        <v>-259.94630000000001</v>
      </c>
      <c r="H584" s="1">
        <v>-6.9616699999999898E-7</v>
      </c>
      <c r="I584">
        <v>367.01620000000003</v>
      </c>
      <c r="J584">
        <v>-299.6687</v>
      </c>
      <c r="K584">
        <v>1.071542</v>
      </c>
      <c r="L584">
        <v>367.85230000000001</v>
      </c>
      <c r="M584">
        <v>0.99987110000000001</v>
      </c>
      <c r="N584">
        <v>-1.417179E-2</v>
      </c>
      <c r="O584">
        <v>7.5451900000000002E-3</v>
      </c>
      <c r="P584">
        <v>0.97552709999999998</v>
      </c>
      <c r="Q584">
        <v>0.21365870000000001</v>
      </c>
      <c r="R584">
        <v>-5.1931850000000002E-2</v>
      </c>
      <c r="S584">
        <v>3.0898129999999999</v>
      </c>
      <c r="T584">
        <v>-8.2957630000000004E-2</v>
      </c>
      <c r="U584">
        <v>-6.4605709999999997E-2</v>
      </c>
      <c r="V584">
        <v>5.9102380000000003E-2</v>
      </c>
      <c r="W584">
        <v>0.22750570000000001</v>
      </c>
      <c r="X584">
        <v>0.97198150000000005</v>
      </c>
      <c r="Y584">
        <v>2.8432140000000002E-2</v>
      </c>
      <c r="Z584">
        <v>-6.7873879999999997E-4</v>
      </c>
      <c r="AA584">
        <v>0.99959549999999997</v>
      </c>
      <c r="AB584">
        <v>38</v>
      </c>
      <c r="AC584">
        <v>39.722399999999901</v>
      </c>
      <c r="AD584">
        <v>-1.071542696167</v>
      </c>
      <c r="AE584">
        <v>-0.83609999999998696</v>
      </c>
      <c r="AF584">
        <v>1.1349937934316201</v>
      </c>
      <c r="AG584">
        <v>-1.071542696167</v>
      </c>
      <c r="AH584">
        <v>39.686093403610002</v>
      </c>
      <c r="AI584">
        <v>91.5460046960292</v>
      </c>
      <c r="AJ584">
        <v>88.3618283533538</v>
      </c>
      <c r="AK584">
        <v>39.716777617285302</v>
      </c>
      <c r="AL584">
        <v>76.849733585664694</v>
      </c>
      <c r="AM584">
        <v>86.520352837338905</v>
      </c>
      <c r="AN584">
        <v>0.99999998559820202</v>
      </c>
    </row>
    <row r="585" spans="1:40" x14ac:dyDescent="0.25">
      <c r="A585" t="str">
        <f>"20190303170952297"</f>
        <v>20190303170952297</v>
      </c>
      <c r="B585" t="str">
        <f>"1551604192290857"</f>
        <v>1551604192290857</v>
      </c>
      <c r="C585" t="s">
        <v>40</v>
      </c>
      <c r="D585">
        <v>4.411721</v>
      </c>
      <c r="E585">
        <v>0.49351610000000001</v>
      </c>
      <c r="F585" t="s">
        <v>42</v>
      </c>
      <c r="G585">
        <v>-258.8107</v>
      </c>
      <c r="H585" s="1">
        <v>-1.086958E-6</v>
      </c>
      <c r="I585">
        <v>366.99990000000003</v>
      </c>
      <c r="J585">
        <v>-299.46530000000001</v>
      </c>
      <c r="K585">
        <v>1.0715429999999999</v>
      </c>
      <c r="L585">
        <v>367.85399999999998</v>
      </c>
      <c r="M585">
        <v>0.99986989999999998</v>
      </c>
      <c r="N585">
        <v>-1.4165199999999999E-2</v>
      </c>
      <c r="O585">
        <v>7.7350140000000001E-3</v>
      </c>
      <c r="P585">
        <v>0.97551370000000004</v>
      </c>
      <c r="Q585">
        <v>0.2136653</v>
      </c>
      <c r="R585">
        <v>-5.2159320000000002E-2</v>
      </c>
      <c r="S585">
        <v>3.089569</v>
      </c>
      <c r="T585">
        <v>-8.1026909999999994E-2</v>
      </c>
      <c r="U585">
        <v>-6.4453129999999997E-2</v>
      </c>
      <c r="V585">
        <v>5.9514450000000003E-2</v>
      </c>
      <c r="W585">
        <v>0.2275056</v>
      </c>
      <c r="X585">
        <v>0.97195640000000005</v>
      </c>
      <c r="Y585">
        <v>2.8574780000000001E-2</v>
      </c>
      <c r="Z585">
        <v>-6.7031709999999995E-4</v>
      </c>
      <c r="AA585">
        <v>0.99959140000000002</v>
      </c>
      <c r="AB585">
        <v>38</v>
      </c>
      <c r="AC585">
        <v>40.654600000000002</v>
      </c>
      <c r="AD585">
        <v>-1.071544086958</v>
      </c>
      <c r="AE585">
        <v>-0.85410000000001596</v>
      </c>
      <c r="AF585">
        <v>1.16775896003119</v>
      </c>
      <c r="AG585">
        <v>-1.071544086958</v>
      </c>
      <c r="AH585">
        <v>40.618570915883602</v>
      </c>
      <c r="AI585">
        <v>91.510525283933006</v>
      </c>
      <c r="AJ585">
        <v>88.353235137034403</v>
      </c>
      <c r="AK585">
        <v>40.649479344361801</v>
      </c>
      <c r="AL585">
        <v>76.849739737893699</v>
      </c>
      <c r="AM585">
        <v>86.496062227912105</v>
      </c>
      <c r="AN585">
        <v>1.00000000564556</v>
      </c>
    </row>
    <row r="586" spans="1:40" x14ac:dyDescent="0.25">
      <c r="A586" t="str">
        <f>"20190303170952310"</f>
        <v>20190303170952310</v>
      </c>
      <c r="B586" t="str">
        <f>"1551604192301593"</f>
        <v>1551604192301593</v>
      </c>
      <c r="C586" t="s">
        <v>40</v>
      </c>
      <c r="D586">
        <v>4.3992069999999996</v>
      </c>
      <c r="E586">
        <v>0.493504</v>
      </c>
      <c r="F586" t="s">
        <v>42</v>
      </c>
      <c r="G586">
        <v>-258.29480000000001</v>
      </c>
      <c r="H586" s="1">
        <v>-1.266965E-6</v>
      </c>
      <c r="I586">
        <v>366.98320000000001</v>
      </c>
      <c r="J586">
        <v>-299.24200000000002</v>
      </c>
      <c r="K586">
        <v>1.0715380000000001</v>
      </c>
      <c r="L586">
        <v>367.85590000000002</v>
      </c>
      <c r="M586">
        <v>0.99986830000000004</v>
      </c>
      <c r="N586">
        <v>-1.415861E-2</v>
      </c>
      <c r="O586">
        <v>7.9382080000000004E-3</v>
      </c>
      <c r="P586">
        <v>0.97546739999999998</v>
      </c>
      <c r="Q586">
        <v>0.2138564</v>
      </c>
      <c r="R586">
        <v>-5.2239580000000001E-2</v>
      </c>
      <c r="S586">
        <v>3.0894170000000001</v>
      </c>
      <c r="T586">
        <v>-8.0407980000000004E-2</v>
      </c>
      <c r="U586">
        <v>-6.5338129999999994E-2</v>
      </c>
      <c r="V586">
        <v>5.9793390000000002E-2</v>
      </c>
      <c r="W586">
        <v>0.22768949999999999</v>
      </c>
      <c r="X586">
        <v>0.97189619999999999</v>
      </c>
      <c r="Y586">
        <v>2.90651E-2</v>
      </c>
      <c r="Z586">
        <v>-6.7815379999999997E-4</v>
      </c>
      <c r="AA586">
        <v>0.9995773</v>
      </c>
      <c r="AB586">
        <v>38</v>
      </c>
      <c r="AC586">
        <v>40.947200000000002</v>
      </c>
      <c r="AD586">
        <v>-1.0715392669649999</v>
      </c>
      <c r="AE586">
        <v>-0.87270000000000802</v>
      </c>
      <c r="AF586">
        <v>1.1969331621327901</v>
      </c>
      <c r="AG586">
        <v>-1.0715392669649999</v>
      </c>
      <c r="AH586">
        <v>40.910977829789402</v>
      </c>
      <c r="AI586">
        <v>91.499705117106998</v>
      </c>
      <c r="AJ586">
        <v>88.324174465895396</v>
      </c>
      <c r="AK586">
        <v>40.942507890758002</v>
      </c>
      <c r="AL586">
        <v>76.838918858689198</v>
      </c>
      <c r="AM586">
        <v>86.479463221080294</v>
      </c>
      <c r="AN586">
        <v>0.99999999073619095</v>
      </c>
    </row>
    <row r="587" spans="1:40" x14ac:dyDescent="0.25">
      <c r="A587" t="str">
        <f>"20190303170952325"</f>
        <v>20190303170952325</v>
      </c>
      <c r="B587" t="str">
        <f>"1551604192311353"</f>
        <v>1551604192311353</v>
      </c>
      <c r="C587" t="s">
        <v>40</v>
      </c>
      <c r="D587">
        <v>4.5353919999999999</v>
      </c>
      <c r="E587">
        <v>0.49348009999999898</v>
      </c>
      <c r="F587" t="s">
        <v>42</v>
      </c>
      <c r="G587">
        <v>-257.4622</v>
      </c>
      <c r="H587" s="1">
        <v>-1.554005E-6</v>
      </c>
      <c r="I587">
        <v>366.96929999999998</v>
      </c>
      <c r="J587">
        <v>-299.0138</v>
      </c>
      <c r="K587">
        <v>1.071534</v>
      </c>
      <c r="L587">
        <v>367.85789999999997</v>
      </c>
      <c r="M587">
        <v>0.9998669</v>
      </c>
      <c r="N587">
        <v>-1.4152329999999999E-2</v>
      </c>
      <c r="O587">
        <v>8.1408309999999994E-3</v>
      </c>
      <c r="P587">
        <v>0.97544010000000003</v>
      </c>
      <c r="Q587">
        <v>0.21397550000000001</v>
      </c>
      <c r="R587">
        <v>-5.2262320000000001E-2</v>
      </c>
      <c r="S587">
        <v>3.0893250000000001</v>
      </c>
      <c r="T587">
        <v>-7.9232570000000002E-2</v>
      </c>
      <c r="U587">
        <v>-6.5551760000000001E-2</v>
      </c>
      <c r="V587">
        <v>6.001567E-2</v>
      </c>
      <c r="W587">
        <v>0.22780139999999999</v>
      </c>
      <c r="X587">
        <v>0.97185630000000001</v>
      </c>
      <c r="Y587">
        <v>2.933763E-2</v>
      </c>
      <c r="Z587">
        <v>-6.7733470000000005E-4</v>
      </c>
      <c r="AA587">
        <v>0.99956940000000005</v>
      </c>
      <c r="AB587">
        <v>38</v>
      </c>
      <c r="AC587">
        <v>41.551600000000001</v>
      </c>
      <c r="AD587">
        <v>-1.071535554005</v>
      </c>
      <c r="AE587">
        <v>-0.88859999999999595</v>
      </c>
      <c r="AF587">
        <v>1.2260539347878701</v>
      </c>
      <c r="AG587">
        <v>-1.071535554005</v>
      </c>
      <c r="AH587">
        <v>41.5153920254604</v>
      </c>
      <c r="AI587">
        <v>91.477863897096498</v>
      </c>
      <c r="AJ587">
        <v>88.308403208158097</v>
      </c>
      <c r="AK587">
        <v>41.547312448847599</v>
      </c>
      <c r="AL587">
        <v>76.832334727353796</v>
      </c>
      <c r="AM587">
        <v>86.466264132897194</v>
      </c>
      <c r="AN587">
        <v>1.00000001316859</v>
      </c>
    </row>
    <row r="588" spans="1:40" x14ac:dyDescent="0.25">
      <c r="A588" t="str">
        <f>"20190303170952342"</f>
        <v>20190303170952342</v>
      </c>
      <c r="B588" t="str">
        <f>"1551604192330873"</f>
        <v>1551604192330873</v>
      </c>
      <c r="C588" t="s">
        <v>40</v>
      </c>
      <c r="D588">
        <v>4.4207589999999897</v>
      </c>
      <c r="E588">
        <v>0.49342979999999997</v>
      </c>
      <c r="F588" t="s">
        <v>42</v>
      </c>
      <c r="G588">
        <v>-256.82979999999998</v>
      </c>
      <c r="H588" s="1">
        <v>-1.8133920000000001E-6</v>
      </c>
      <c r="I588">
        <v>366.96069999999997</v>
      </c>
      <c r="J588">
        <v>-298.72770000000003</v>
      </c>
      <c r="K588">
        <v>1.071526</v>
      </c>
      <c r="L588">
        <v>367.86040000000003</v>
      </c>
      <c r="M588">
        <v>0.9998648</v>
      </c>
      <c r="N588">
        <v>-1.414498E-2</v>
      </c>
      <c r="O588">
        <v>8.3870279999999995E-3</v>
      </c>
      <c r="P588">
        <v>0.97532189999999996</v>
      </c>
      <c r="Q588">
        <v>0.2144711</v>
      </c>
      <c r="R588">
        <v>-5.2437039999999997E-2</v>
      </c>
      <c r="S588">
        <v>3.089264</v>
      </c>
      <c r="T588">
        <v>-7.8471780000000005E-2</v>
      </c>
      <c r="U588">
        <v>-6.5704349999999995E-2</v>
      </c>
      <c r="V588">
        <v>6.0433279999999999E-2</v>
      </c>
      <c r="W588">
        <v>0.2282875</v>
      </c>
      <c r="X588">
        <v>0.97171629999999998</v>
      </c>
      <c r="Y588">
        <v>2.9633619999999999E-2</v>
      </c>
      <c r="Z588">
        <v>-6.8030580000000003E-4</v>
      </c>
      <c r="AA588">
        <v>0.99956060000000002</v>
      </c>
      <c r="AB588">
        <v>38</v>
      </c>
      <c r="AC588">
        <v>41.8979</v>
      </c>
      <c r="AD588">
        <v>-1.0715278133920001</v>
      </c>
      <c r="AE588">
        <v>-0.89970000000005201</v>
      </c>
      <c r="AF588">
        <v>1.2502849686925701</v>
      </c>
      <c r="AG588">
        <v>-1.0715278133920001</v>
      </c>
      <c r="AH588">
        <v>41.861511896159399</v>
      </c>
      <c r="AI588">
        <v>91.465624825437899</v>
      </c>
      <c r="AJ588">
        <v>88.289245679065701</v>
      </c>
      <c r="AK588">
        <v>41.893884548822903</v>
      </c>
      <c r="AL588">
        <v>76.8037288866051</v>
      </c>
      <c r="AM588">
        <v>86.441226782578596</v>
      </c>
      <c r="AN588">
        <v>0.99999996583674799</v>
      </c>
    </row>
    <row r="589" spans="1:40" x14ac:dyDescent="0.25">
      <c r="A589" t="str">
        <f>"20190303170952356"</f>
        <v>20190303170952356</v>
      </c>
      <c r="B589" t="str">
        <f>"1551604192341609"</f>
        <v>1551604192341609</v>
      </c>
      <c r="C589" t="s">
        <v>40</v>
      </c>
      <c r="D589">
        <v>4.4386390000000002</v>
      </c>
      <c r="E589">
        <v>0.49342979999999997</v>
      </c>
      <c r="F589" t="s">
        <v>42</v>
      </c>
      <c r="G589">
        <v>-255.434</v>
      </c>
      <c r="H589" s="1">
        <v>-2.4174330000000002E-6</v>
      </c>
      <c r="I589">
        <v>366.93099999999998</v>
      </c>
      <c r="J589">
        <v>-298.48</v>
      </c>
      <c r="K589">
        <v>1.071518</v>
      </c>
      <c r="L589">
        <v>367.86270000000002</v>
      </c>
      <c r="M589">
        <v>0.9998631</v>
      </c>
      <c r="N589">
        <v>-1.4138970000000001E-2</v>
      </c>
      <c r="O589">
        <v>8.5920089999999994E-3</v>
      </c>
      <c r="P589">
        <v>0.97526999999999997</v>
      </c>
      <c r="Q589">
        <v>0.21473719999999999</v>
      </c>
      <c r="R589">
        <v>-5.2310950000000002E-2</v>
      </c>
      <c r="S589">
        <v>3.0891419999999998</v>
      </c>
      <c r="T589">
        <v>-7.6456789999999997E-2</v>
      </c>
      <c r="U589">
        <v>-6.6314699999999893E-2</v>
      </c>
      <c r="V589">
        <v>6.0511719999999998E-2</v>
      </c>
      <c r="W589">
        <v>0.22854559999999999</v>
      </c>
      <c r="X589">
        <v>0.97165080000000004</v>
      </c>
      <c r="Y589">
        <v>3.0037250000000001E-2</v>
      </c>
      <c r="Z589">
        <v>-6.7518289999999996E-4</v>
      </c>
      <c r="AA589">
        <v>0.99954860000000001</v>
      </c>
      <c r="AB589">
        <v>38</v>
      </c>
      <c r="AC589">
        <v>43.0459999999999</v>
      </c>
      <c r="AD589">
        <v>-1.071520417433</v>
      </c>
      <c r="AE589">
        <v>-0.93170000000003395</v>
      </c>
      <c r="AF589">
        <v>1.30074859393899</v>
      </c>
      <c r="AG589">
        <v>-1.071520417433</v>
      </c>
      <c r="AH589">
        <v>43.009766955024098</v>
      </c>
      <c r="AI589">
        <v>91.426486696523199</v>
      </c>
      <c r="AJ589">
        <v>88.267726139019601</v>
      </c>
      <c r="AK589">
        <v>43.042771244833801</v>
      </c>
      <c r="AL589">
        <v>76.7885399915546</v>
      </c>
      <c r="AM589">
        <v>86.436379938047494</v>
      </c>
      <c r="AN589">
        <v>1.0000000183386699</v>
      </c>
    </row>
    <row r="590" spans="1:40" x14ac:dyDescent="0.25">
      <c r="A590" t="str">
        <f>"20190303170952367"</f>
        <v>20190303170952367</v>
      </c>
      <c r="B590" t="str">
        <f>"1551604192361130"</f>
        <v>1551604192361130</v>
      </c>
      <c r="C590" t="s">
        <v>40</v>
      </c>
      <c r="D590">
        <v>4.389748</v>
      </c>
      <c r="E590">
        <v>0.52030880000000002</v>
      </c>
      <c r="F590" t="s">
        <v>42</v>
      </c>
      <c r="G590">
        <v>-254.697</v>
      </c>
      <c r="H590" s="1">
        <v>-2.7337709999999998E-6</v>
      </c>
      <c r="I590">
        <v>366.93020000000001</v>
      </c>
      <c r="J590">
        <v>-298.28030000000001</v>
      </c>
      <c r="K590">
        <v>1.071509</v>
      </c>
      <c r="L590">
        <v>367.8646</v>
      </c>
      <c r="M590">
        <v>0.99986200000000003</v>
      </c>
      <c r="N590">
        <v>-1.4134549999999999E-2</v>
      </c>
      <c r="O590">
        <v>8.7456559999999992E-3</v>
      </c>
      <c r="P590">
        <v>0.97513459999999996</v>
      </c>
      <c r="Q590">
        <v>0.21528259999999999</v>
      </c>
      <c r="R590">
        <v>-5.2596950000000003E-2</v>
      </c>
      <c r="S590">
        <v>3.0892029999999999</v>
      </c>
      <c r="T590">
        <v>-7.5603249999999997E-2</v>
      </c>
      <c r="U590">
        <v>-6.5795899999999893E-2</v>
      </c>
      <c r="V590">
        <v>6.0951079999999998E-2</v>
      </c>
      <c r="W590">
        <v>0.22908319999999999</v>
      </c>
      <c r="X590">
        <v>0.97149669999999999</v>
      </c>
      <c r="Y590">
        <v>3.0022920000000002E-2</v>
      </c>
      <c r="Z590">
        <v>-6.6993350000000001E-4</v>
      </c>
      <c r="AA590">
        <v>0.99954900000000002</v>
      </c>
      <c r="AB590">
        <v>38</v>
      </c>
      <c r="AC590">
        <v>43.583300000000001</v>
      </c>
      <c r="AD590">
        <v>-1.0715117337710001</v>
      </c>
      <c r="AE590">
        <v>-0.93439999999998202</v>
      </c>
      <c r="AF590">
        <v>1.3147724958507401</v>
      </c>
      <c r="AG590">
        <v>-1.0715117337710001</v>
      </c>
      <c r="AH590">
        <v>43.547150538858098</v>
      </c>
      <c r="AI590">
        <v>91.408881367698001</v>
      </c>
      <c r="AJ590">
        <v>88.270655203678203</v>
      </c>
      <c r="AK590">
        <v>43.580168473348301</v>
      </c>
      <c r="AL590">
        <v>76.756897979584295</v>
      </c>
      <c r="AM590">
        <v>86.4100049446524</v>
      </c>
      <c r="AN590">
        <v>0.99999999239314796</v>
      </c>
    </row>
    <row r="591" spans="1:40" x14ac:dyDescent="0.25">
      <c r="A591" t="str">
        <f>"20190303170952381"</f>
        <v>20190303170952381</v>
      </c>
      <c r="B591" t="str">
        <f>"1551604192370889"</f>
        <v>1551604192370889</v>
      </c>
      <c r="C591" t="s">
        <v>40</v>
      </c>
      <c r="D591">
        <v>4.4237019999999996</v>
      </c>
      <c r="E591">
        <v>0.52467830000000004</v>
      </c>
      <c r="F591" t="s">
        <v>42</v>
      </c>
      <c r="G591">
        <v>-234.18950000000001</v>
      </c>
      <c r="H591" s="1">
        <v>-3.9975969999999998E-6</v>
      </c>
      <c r="I591">
        <v>361.97129999999999</v>
      </c>
      <c r="J591">
        <v>-298.05759999999998</v>
      </c>
      <c r="K591">
        <v>1.0714980000000001</v>
      </c>
      <c r="L591">
        <v>367.86669999999998</v>
      </c>
      <c r="M591">
        <v>0.99986039999999998</v>
      </c>
      <c r="N591">
        <v>-1.412973E-2</v>
      </c>
      <c r="O591">
        <v>8.9114899999999993E-3</v>
      </c>
      <c r="P591">
        <v>0.97509999999999997</v>
      </c>
      <c r="Q591">
        <v>0.2155272</v>
      </c>
      <c r="R591">
        <v>-5.2229400000000002E-2</v>
      </c>
      <c r="S591">
        <v>3.0726010000000001</v>
      </c>
      <c r="T591">
        <v>-5.1369669999999999E-2</v>
      </c>
      <c r="U591">
        <v>-0.2825317</v>
      </c>
      <c r="V591">
        <v>6.0751369999999999E-2</v>
      </c>
      <c r="W591">
        <v>0.22932079999999999</v>
      </c>
      <c r="X591">
        <v>0.97145320000000002</v>
      </c>
      <c r="Y591">
        <v>0.10041120000000001</v>
      </c>
      <c r="Z591">
        <v>-1.5715869999999999E-3</v>
      </c>
      <c r="AA591">
        <v>0.99494479999999996</v>
      </c>
      <c r="AB591">
        <v>38</v>
      </c>
      <c r="AC591">
        <v>63.868099999999899</v>
      </c>
      <c r="AD591">
        <v>-1.0715019975969999</v>
      </c>
      <c r="AE591">
        <v>-5.8953999999999898</v>
      </c>
      <c r="AF591">
        <v>6.4625790547384998</v>
      </c>
      <c r="AG591">
        <v>-1.0715019975969999</v>
      </c>
      <c r="AH591">
        <v>63.795217207649699</v>
      </c>
      <c r="AI591">
        <v>90.957348478410296</v>
      </c>
      <c r="AJ591">
        <v>84.215559514177002</v>
      </c>
      <c r="AK591">
        <v>64.130669598412993</v>
      </c>
      <c r="AL591">
        <v>76.742912814235197</v>
      </c>
      <c r="AM591">
        <v>86.421577362355606</v>
      </c>
      <c r="AN591">
        <v>1.00000003902987</v>
      </c>
    </row>
    <row r="592" spans="1:40" x14ac:dyDescent="0.25">
      <c r="A592" t="str">
        <f>"20190303170952392"</f>
        <v>20190303170952392</v>
      </c>
      <c r="B592" t="str">
        <f>"1551604192381626"</f>
        <v>1551604192381626</v>
      </c>
      <c r="C592" t="s">
        <v>40</v>
      </c>
      <c r="D592">
        <v>4.4928879999999998</v>
      </c>
      <c r="E592">
        <v>0.52690909999999902</v>
      </c>
      <c r="F592" t="s">
        <v>42</v>
      </c>
      <c r="G592">
        <v>-230.95570000000001</v>
      </c>
      <c r="H592" s="1">
        <v>-5.3991859999999999E-6</v>
      </c>
      <c r="I592">
        <v>360.95209999999997</v>
      </c>
      <c r="J592">
        <v>-297.86160000000001</v>
      </c>
      <c r="K592">
        <v>1.0714870000000001</v>
      </c>
      <c r="L592">
        <v>367.86860000000001</v>
      </c>
      <c r="M592">
        <v>0.99985930000000001</v>
      </c>
      <c r="N592">
        <v>-1.412569E-2</v>
      </c>
      <c r="O592">
        <v>9.0487659999999998E-3</v>
      </c>
      <c r="P592">
        <v>0.9750702</v>
      </c>
      <c r="Q592">
        <v>0.21571309999999999</v>
      </c>
      <c r="R592">
        <v>-5.202242E-2</v>
      </c>
      <c r="S592">
        <v>3.0705260000000001</v>
      </c>
      <c r="T592">
        <v>-4.9031020000000002E-2</v>
      </c>
      <c r="U592">
        <v>-0.31640629999999997</v>
      </c>
      <c r="V592">
        <v>6.0684229999999999E-2</v>
      </c>
      <c r="W592">
        <v>0.22949990000000001</v>
      </c>
      <c r="X592">
        <v>0.97141500000000003</v>
      </c>
      <c r="Y592">
        <v>0.11147459999999999</v>
      </c>
      <c r="Z592">
        <v>-1.6938070000000001E-3</v>
      </c>
      <c r="AA592">
        <v>0.99376580000000003</v>
      </c>
      <c r="AB592">
        <v>38</v>
      </c>
      <c r="AC592">
        <v>66.905900000000003</v>
      </c>
      <c r="AD592">
        <v>-1.0714923991859999</v>
      </c>
      <c r="AE592">
        <v>-6.9165000000000401</v>
      </c>
      <c r="AF592">
        <v>7.51978474509776</v>
      </c>
      <c r="AG592">
        <v>-1.0714923991859999</v>
      </c>
      <c r="AH592">
        <v>66.823610694653496</v>
      </c>
      <c r="AI592">
        <v>90.912877445479197</v>
      </c>
      <c r="AJ592">
        <v>83.579411035160504</v>
      </c>
      <c r="AK592">
        <v>67.253923341651401</v>
      </c>
      <c r="AL592">
        <v>76.732368636732204</v>
      </c>
      <c r="AM592">
        <v>86.425381635211707</v>
      </c>
      <c r="AN592">
        <v>0.99999994104784895</v>
      </c>
    </row>
    <row r="593" spans="1:40" x14ac:dyDescent="0.25">
      <c r="A593" t="str">
        <f>"20190303170952408"</f>
        <v>20190303170952408</v>
      </c>
      <c r="B593" t="str">
        <f>"1551604192401145"</f>
        <v>1551604192401145</v>
      </c>
      <c r="C593" t="s">
        <v>40</v>
      </c>
      <c r="D593">
        <v>4.4304199999999998</v>
      </c>
      <c r="E593">
        <v>0.52923359999999997</v>
      </c>
      <c r="F593" t="s">
        <v>42</v>
      </c>
      <c r="G593">
        <v>-222.10149999999999</v>
      </c>
      <c r="H593">
        <v>1.5636669999999999E-3</v>
      </c>
      <c r="I593">
        <v>359.6164</v>
      </c>
      <c r="J593">
        <v>-297.58089999999999</v>
      </c>
      <c r="K593">
        <v>1.0714680000000001</v>
      </c>
      <c r="L593">
        <v>367.87130000000002</v>
      </c>
      <c r="M593">
        <v>0.99985780000000002</v>
      </c>
      <c r="N593">
        <v>-1.412037E-2</v>
      </c>
      <c r="O593">
        <v>9.2300609999999995E-3</v>
      </c>
      <c r="P593">
        <v>0.97504939999999996</v>
      </c>
      <c r="Q593">
        <v>0.21581420000000001</v>
      </c>
      <c r="R593">
        <v>-5.1990580000000002E-2</v>
      </c>
      <c r="S593">
        <v>3.068451</v>
      </c>
      <c r="T593">
        <v>-4.3334249999999998E-2</v>
      </c>
      <c r="U593">
        <v>-0.33422849999999998</v>
      </c>
      <c r="V593">
        <v>6.0838759999999999E-2</v>
      </c>
      <c r="W593">
        <v>0.2295932</v>
      </c>
      <c r="X593">
        <v>0.97138329999999995</v>
      </c>
      <c r="Y593">
        <v>0.1174325</v>
      </c>
      <c r="Z593">
        <v>-1.6584359999999999E-3</v>
      </c>
      <c r="AA593">
        <v>0.9930795</v>
      </c>
      <c r="AB593">
        <v>38</v>
      </c>
      <c r="AC593">
        <v>75.479399999999998</v>
      </c>
      <c r="AD593">
        <v>-1.069904333</v>
      </c>
      <c r="AE593">
        <v>-8.2549000000000099</v>
      </c>
      <c r="AF593">
        <v>8.9495202246866405</v>
      </c>
      <c r="AG593">
        <v>-1.069904333</v>
      </c>
      <c r="AH593">
        <v>75.385015601315999</v>
      </c>
      <c r="AI593">
        <v>90.807448300295604</v>
      </c>
      <c r="AJ593">
        <v>83.229676533678997</v>
      </c>
      <c r="AK593">
        <v>75.9219282206695</v>
      </c>
      <c r="AL593">
        <v>76.726876454754006</v>
      </c>
      <c r="AM593">
        <v>86.416186057386497</v>
      </c>
      <c r="AN593">
        <v>0.99999995386173202</v>
      </c>
    </row>
    <row r="594" spans="1:40" x14ac:dyDescent="0.25">
      <c r="A594" t="str">
        <f>"20190303170952420"</f>
        <v>20190303170952420</v>
      </c>
      <c r="B594" t="str">
        <f>"1551604192410906"</f>
        <v>1551604192410906</v>
      </c>
      <c r="C594" t="s">
        <v>40</v>
      </c>
      <c r="D594">
        <v>4.4523039999999998</v>
      </c>
      <c r="E594">
        <v>0.53038699999999905</v>
      </c>
      <c r="F594" t="s">
        <v>42</v>
      </c>
      <c r="G594">
        <v>-215.17619999999999</v>
      </c>
      <c r="H594">
        <v>7.9986849999999998E-2</v>
      </c>
      <c r="I594">
        <v>358.38569999999999</v>
      </c>
      <c r="J594">
        <v>-297.3879</v>
      </c>
      <c r="K594">
        <v>1.0714549999999901</v>
      </c>
      <c r="L594">
        <v>367.8732</v>
      </c>
      <c r="M594">
        <v>0.99985670000000004</v>
      </c>
      <c r="N594">
        <v>-1.411691E-2</v>
      </c>
      <c r="O594">
        <v>9.3468200000000005E-3</v>
      </c>
      <c r="P594">
        <v>0.97507169999999999</v>
      </c>
      <c r="Q594">
        <v>0.2158081</v>
      </c>
      <c r="R594">
        <v>-5.1596160000000002E-2</v>
      </c>
      <c r="S594">
        <v>3.0661010000000002</v>
      </c>
      <c r="T594">
        <v>-3.6890859999999998E-2</v>
      </c>
      <c r="U594">
        <v>-0.35293580000000002</v>
      </c>
      <c r="V594">
        <v>6.0565170000000002E-2</v>
      </c>
      <c r="W594">
        <v>0.22958210000000001</v>
      </c>
      <c r="X594">
        <v>0.97140309999999996</v>
      </c>
      <c r="Y594">
        <v>0.123616</v>
      </c>
      <c r="Z594">
        <v>-1.5973059999999999E-3</v>
      </c>
      <c r="AA594">
        <v>0.99232880000000001</v>
      </c>
      <c r="AB594">
        <v>38</v>
      </c>
      <c r="AC594">
        <v>82.211699999999993</v>
      </c>
      <c r="AD594">
        <v>-0.99146814999999899</v>
      </c>
      <c r="AE594">
        <v>-9.4875000000000096</v>
      </c>
      <c r="AF594">
        <v>10.254108215405401</v>
      </c>
      <c r="AG594">
        <v>-0.99146814999999899</v>
      </c>
      <c r="AH594">
        <v>82.107636324866505</v>
      </c>
      <c r="AI594">
        <v>90.686493544000399</v>
      </c>
      <c r="AJ594">
        <v>82.881405390393496</v>
      </c>
      <c r="AK594">
        <v>82.751396889975496</v>
      </c>
      <c r="AL594">
        <v>76.727530942857399</v>
      </c>
      <c r="AM594">
        <v>86.432333168615699</v>
      </c>
      <c r="AN594">
        <v>1.00000003157357</v>
      </c>
    </row>
    <row r="595" spans="1:40" x14ac:dyDescent="0.25">
      <c r="A595" t="str">
        <f>"20190303170952433"</f>
        <v>20190303170952433</v>
      </c>
      <c r="B595" t="str">
        <f>"1551604192420665"</f>
        <v>1551604192420665</v>
      </c>
      <c r="C595" t="s">
        <v>40</v>
      </c>
      <c r="D595">
        <v>4.4515719999999996</v>
      </c>
      <c r="E595">
        <v>0.53156329999999996</v>
      </c>
      <c r="F595" t="s">
        <v>42</v>
      </c>
      <c r="G595">
        <v>-214.1661</v>
      </c>
      <c r="H595">
        <v>7.9985680000000003E-2</v>
      </c>
      <c r="I595">
        <v>358.06199999999899</v>
      </c>
      <c r="J595">
        <v>-297.178</v>
      </c>
      <c r="K595">
        <v>1.0714410000000001</v>
      </c>
      <c r="L595">
        <v>367.87529999999998</v>
      </c>
      <c r="M595">
        <v>0.99985559999999996</v>
      </c>
      <c r="N595">
        <v>-1.411335E-2</v>
      </c>
      <c r="O595">
        <v>9.4652320000000005E-3</v>
      </c>
      <c r="P595">
        <v>0.97511400000000004</v>
      </c>
      <c r="Q595">
        <v>0.2156776</v>
      </c>
      <c r="R595">
        <v>-5.1341409999999997E-2</v>
      </c>
      <c r="S595">
        <v>3.065674</v>
      </c>
      <c r="T595">
        <v>-3.6523100000000003E-2</v>
      </c>
      <c r="U595">
        <v>-0.36141970000000001</v>
      </c>
      <c r="V595">
        <v>6.0433859999999999E-2</v>
      </c>
      <c r="W595">
        <v>0.2294465</v>
      </c>
      <c r="X595">
        <v>0.97144330000000001</v>
      </c>
      <c r="Y595">
        <v>0.12645789999999901</v>
      </c>
      <c r="Z595">
        <v>-1.6254920000000001E-3</v>
      </c>
      <c r="AA595">
        <v>0.99197069999999998</v>
      </c>
      <c r="AB595">
        <v>38</v>
      </c>
      <c r="AC595">
        <v>83.011899999999997</v>
      </c>
      <c r="AD595">
        <v>-0.99145532000000003</v>
      </c>
      <c r="AE595">
        <v>-9.8133000000000195</v>
      </c>
      <c r="AF595">
        <v>10.597174639451</v>
      </c>
      <c r="AG595">
        <v>-0.99145532000000003</v>
      </c>
      <c r="AH595">
        <v>82.903623175614101</v>
      </c>
      <c r="AI595">
        <v>90.679645649258205</v>
      </c>
      <c r="AJ595">
        <v>82.715656115065897</v>
      </c>
      <c r="AK595">
        <v>83.584052483920601</v>
      </c>
      <c r="AL595">
        <v>76.735513133847803</v>
      </c>
      <c r="AM595">
        <v>86.440195172570498</v>
      </c>
      <c r="AN595">
        <v>1.00000001645581</v>
      </c>
    </row>
    <row r="596" spans="1:40" x14ac:dyDescent="0.25">
      <c r="A596" t="str">
        <f>"20190303170952447"</f>
        <v>20190303170952447</v>
      </c>
      <c r="B596" t="str">
        <f>"1551604192441161"</f>
        <v>1551604192441161</v>
      </c>
      <c r="C596" t="s">
        <v>40</v>
      </c>
      <c r="D596">
        <v>4.3943580000000004</v>
      </c>
      <c r="E596">
        <v>0.5326263</v>
      </c>
      <c r="F596" t="s">
        <v>42</v>
      </c>
      <c r="G596">
        <v>-218.50040000000001</v>
      </c>
      <c r="H596">
        <v>7.9985860000000006E-2</v>
      </c>
      <c r="I596">
        <v>358.37970000000001</v>
      </c>
      <c r="J596">
        <v>-296.95170000000002</v>
      </c>
      <c r="K596">
        <v>1.071431</v>
      </c>
      <c r="L596">
        <v>367.8775</v>
      </c>
      <c r="M596">
        <v>0.99985460000000004</v>
      </c>
      <c r="N596">
        <v>-1.4109740000000001E-2</v>
      </c>
      <c r="O596">
        <v>9.5831609999999998E-3</v>
      </c>
      <c r="P596">
        <v>0.97513760000000005</v>
      </c>
      <c r="Q596">
        <v>0.2155987</v>
      </c>
      <c r="R596">
        <v>-5.1230390000000001E-2</v>
      </c>
      <c r="S596">
        <v>3.065674</v>
      </c>
      <c r="T596">
        <v>-3.8632039999999999E-2</v>
      </c>
      <c r="U596">
        <v>-0.36999510000000002</v>
      </c>
      <c r="V596">
        <v>6.0445480000000003E-2</v>
      </c>
      <c r="W596">
        <v>0.22936210000000001</v>
      </c>
      <c r="X596">
        <v>0.97146250000000001</v>
      </c>
      <c r="Y596">
        <v>0.12930810000000001</v>
      </c>
      <c r="Z596">
        <v>-1.7130520000000001E-3</v>
      </c>
      <c r="AA596">
        <v>0.99160300000000001</v>
      </c>
      <c r="AB596">
        <v>38</v>
      </c>
      <c r="AC596">
        <v>78.451300000000003</v>
      </c>
      <c r="AD596">
        <v>-0.99144513999999995</v>
      </c>
      <c r="AE596">
        <v>-9.4977999999999803</v>
      </c>
      <c r="AF596">
        <v>10.2476369850108</v>
      </c>
      <c r="AG596">
        <v>-0.99144513999999995</v>
      </c>
      <c r="AH596">
        <v>78.344337063339296</v>
      </c>
      <c r="AI596">
        <v>90.718914272486899</v>
      </c>
      <c r="AJ596">
        <v>82.547875481368905</v>
      </c>
      <c r="AK596">
        <v>79.0179231385912</v>
      </c>
      <c r="AL596">
        <v>76.7404812935047</v>
      </c>
      <c r="AM596">
        <v>86.439582655511401</v>
      </c>
      <c r="AN596">
        <v>1.00000000893754</v>
      </c>
    </row>
    <row r="597" spans="1:40" x14ac:dyDescent="0.25">
      <c r="A597" t="str">
        <f>"20190303170952459"</f>
        <v>20190303170952459</v>
      </c>
      <c r="B597" t="str">
        <f>"1551604192450922"</f>
        <v>1551604192450922</v>
      </c>
      <c r="C597" t="s">
        <v>40</v>
      </c>
      <c r="D597">
        <v>4.4488750000000001</v>
      </c>
      <c r="E597">
        <v>0.5333523</v>
      </c>
      <c r="F597" t="s">
        <v>42</v>
      </c>
      <c r="G597">
        <v>-215.04589999999999</v>
      </c>
      <c r="H597">
        <v>7.9986899999999903E-2</v>
      </c>
      <c r="I597">
        <v>357.7595</v>
      </c>
      <c r="J597">
        <v>-296.73039999999997</v>
      </c>
      <c r="K597">
        <v>1.0714189999999999</v>
      </c>
      <c r="L597">
        <v>367.87979999999999</v>
      </c>
      <c r="M597">
        <v>0.99985360000000001</v>
      </c>
      <c r="N597">
        <v>-1.410636E-2</v>
      </c>
      <c r="O597">
        <v>9.6927009999999997E-3</v>
      </c>
      <c r="P597">
        <v>0.97518959999999999</v>
      </c>
      <c r="Q597">
        <v>0.21546709999999999</v>
      </c>
      <c r="R597">
        <v>-5.0788710000000001E-2</v>
      </c>
      <c r="S597">
        <v>3.0647890000000002</v>
      </c>
      <c r="T597">
        <v>-3.7098289999999999E-2</v>
      </c>
      <c r="U597">
        <v>-0.37860110000000002</v>
      </c>
      <c r="V597">
        <v>6.0118480000000002E-2</v>
      </c>
      <c r="W597">
        <v>0.2292266</v>
      </c>
      <c r="X597">
        <v>0.97151480000000001</v>
      </c>
      <c r="Y597">
        <v>0.13219449999999999</v>
      </c>
      <c r="Z597">
        <v>-1.7137649999999999E-3</v>
      </c>
      <c r="AA597">
        <v>0.9912223</v>
      </c>
      <c r="AB597">
        <v>38</v>
      </c>
      <c r="AC597">
        <v>81.6844999999999</v>
      </c>
      <c r="AD597">
        <v>-0.99143210000000004</v>
      </c>
      <c r="AE597">
        <v>-10.120299999999901</v>
      </c>
      <c r="AF597">
        <v>10.9100637417177</v>
      </c>
      <c r="AG597">
        <v>-0.99143210000000004</v>
      </c>
      <c r="AH597">
        <v>81.570724368659597</v>
      </c>
      <c r="AI597">
        <v>90.690208131861397</v>
      </c>
      <c r="AJ597">
        <v>82.381915916058105</v>
      </c>
      <c r="AK597">
        <v>82.303071039209001</v>
      </c>
      <c r="AL597">
        <v>76.748457745213202</v>
      </c>
      <c r="AM597">
        <v>86.458984925219198</v>
      </c>
      <c r="AN597">
        <v>1.00000003620205</v>
      </c>
    </row>
    <row r="598" spans="1:40" x14ac:dyDescent="0.25">
      <c r="A598" t="str">
        <f>"20190303170952475"</f>
        <v>20190303170952475</v>
      </c>
      <c r="B598" t="str">
        <f>"1551604192460682"</f>
        <v>1551604192460682</v>
      </c>
      <c r="C598" t="s">
        <v>40</v>
      </c>
      <c r="D598">
        <v>4.3076980000000002</v>
      </c>
      <c r="E598">
        <v>0.53384399999999999</v>
      </c>
      <c r="F598" t="s">
        <v>42</v>
      </c>
      <c r="G598">
        <v>-217.69139999999999</v>
      </c>
      <c r="H598">
        <v>7.9986109999999999E-2</v>
      </c>
      <c r="I598">
        <v>358.00199999999899</v>
      </c>
      <c r="J598">
        <v>-296.46570000000003</v>
      </c>
      <c r="K598">
        <v>1.0714030000000001</v>
      </c>
      <c r="L598">
        <v>367.88249999999999</v>
      </c>
      <c r="M598">
        <v>0.99985239999999997</v>
      </c>
      <c r="N598">
        <v>-1.410253E-2</v>
      </c>
      <c r="O598">
        <v>9.8139609999999995E-3</v>
      </c>
      <c r="P598">
        <v>0.97519109999999998</v>
      </c>
      <c r="Q598">
        <v>0.21557290000000001</v>
      </c>
      <c r="R598">
        <v>-5.0308409999999998E-2</v>
      </c>
      <c r="S598">
        <v>3.0648499999999999</v>
      </c>
      <c r="T598">
        <v>-3.8444159999999998E-2</v>
      </c>
      <c r="U598">
        <v>-0.38302609999999998</v>
      </c>
      <c r="V598">
        <v>5.9764240000000003E-2</v>
      </c>
      <c r="W598">
        <v>0.2293259</v>
      </c>
      <c r="X598">
        <v>0.97151319999999997</v>
      </c>
      <c r="Y598">
        <v>0.13372020000000001</v>
      </c>
      <c r="Z598">
        <v>-1.766842E-3</v>
      </c>
      <c r="AA598">
        <v>0.9910175</v>
      </c>
      <c r="AB598">
        <v>38</v>
      </c>
      <c r="AC598">
        <v>78.774299999999997</v>
      </c>
      <c r="AD598">
        <v>-0.99141689</v>
      </c>
      <c r="AE598">
        <v>-9.8805000000000298</v>
      </c>
      <c r="AF598">
        <v>10.6515278435981</v>
      </c>
      <c r="AG598">
        <v>-0.99141689</v>
      </c>
      <c r="AH598">
        <v>78.661262513214595</v>
      </c>
      <c r="AI598">
        <v>90.715566380148204</v>
      </c>
      <c r="AJ598">
        <v>82.288478184511305</v>
      </c>
      <c r="AK598">
        <v>79.385339786547306</v>
      </c>
      <c r="AL598">
        <v>76.742612284741995</v>
      </c>
      <c r="AM598">
        <v>86.479791471879096</v>
      </c>
      <c r="AN598">
        <v>1.0000000152839099</v>
      </c>
    </row>
    <row r="599" spans="1:40" x14ac:dyDescent="0.25">
      <c r="A599" t="str">
        <f>"20190303170952487"</f>
        <v>20190303170952487</v>
      </c>
      <c r="B599" t="str">
        <f>"1551604192481178"</f>
        <v>1551604192481178</v>
      </c>
      <c r="C599" t="s">
        <v>40</v>
      </c>
      <c r="D599">
        <v>4.5130850000000002</v>
      </c>
      <c r="E599">
        <v>0.53504989999999997</v>
      </c>
      <c r="F599" t="s">
        <v>42</v>
      </c>
      <c r="G599">
        <v>-215.24459999999999</v>
      </c>
      <c r="H599">
        <v>7.9986849999999998E-2</v>
      </c>
      <c r="I599">
        <v>357.66430000000003</v>
      </c>
      <c r="J599">
        <v>-296.27370000000002</v>
      </c>
      <c r="K599">
        <v>1.071394</v>
      </c>
      <c r="L599">
        <v>367.88440000000003</v>
      </c>
      <c r="M599">
        <v>0.99985179999999996</v>
      </c>
      <c r="N599">
        <v>-1.409992E-2</v>
      </c>
      <c r="O599">
        <v>9.8946490000000002E-3</v>
      </c>
      <c r="P599">
        <v>0.97522609999999998</v>
      </c>
      <c r="Q599">
        <v>0.2155318</v>
      </c>
      <c r="R599">
        <v>-4.9801209999999999E-2</v>
      </c>
      <c r="S599">
        <v>3.0646969999999998</v>
      </c>
      <c r="T599">
        <v>-3.7408829999999997E-2</v>
      </c>
      <c r="U599">
        <v>-0.38555909999999999</v>
      </c>
      <c r="V599">
        <v>5.9341350000000001E-2</v>
      </c>
      <c r="W599">
        <v>0.22928129999999999</v>
      </c>
      <c r="X599">
        <v>0.97154960000000001</v>
      </c>
      <c r="Y599">
        <v>0.13461329999999999</v>
      </c>
      <c r="Z599">
        <v>-1.752544E-3</v>
      </c>
      <c r="AA599">
        <v>0.99089660000000002</v>
      </c>
      <c r="AB599">
        <v>38</v>
      </c>
      <c r="AC599">
        <v>81.0291</v>
      </c>
      <c r="AD599">
        <v>-0.99140715000000001</v>
      </c>
      <c r="AE599">
        <v>-10.2201</v>
      </c>
      <c r="AF599">
        <v>11.019809838694</v>
      </c>
      <c r="AG599">
        <v>-0.99140715000000001</v>
      </c>
      <c r="AH599">
        <v>80.912075366304805</v>
      </c>
      <c r="AI599">
        <v>90.695583111243394</v>
      </c>
      <c r="AJ599">
        <v>82.244327096470798</v>
      </c>
      <c r="AK599">
        <v>81.665066197858593</v>
      </c>
      <c r="AL599">
        <v>76.745236988096806</v>
      </c>
      <c r="AM599">
        <v>86.504769020780699</v>
      </c>
      <c r="AN599">
        <v>0.99999996780483502</v>
      </c>
    </row>
    <row r="600" spans="1:40" x14ac:dyDescent="0.25">
      <c r="A600" t="str">
        <f>"20190303170952499"</f>
        <v>20190303170952499</v>
      </c>
      <c r="B600" t="str">
        <f>"1551604192490938"</f>
        <v>1551604192490938</v>
      </c>
      <c r="C600" t="s">
        <v>40</v>
      </c>
      <c r="D600">
        <v>4.4446779999999997</v>
      </c>
      <c r="E600">
        <v>0.53555609999999998</v>
      </c>
      <c r="F600" t="s">
        <v>42</v>
      </c>
      <c r="G600">
        <v>-218.00880000000001</v>
      </c>
      <c r="H600">
        <v>7.9986020000000005E-2</v>
      </c>
      <c r="I600">
        <v>357.82830000000001</v>
      </c>
      <c r="J600">
        <v>-296.0702</v>
      </c>
      <c r="K600">
        <v>1.0713820000000001</v>
      </c>
      <c r="L600">
        <v>367.88650000000001</v>
      </c>
      <c r="M600">
        <v>0.99985080000000004</v>
      </c>
      <c r="N600">
        <v>-1.4097220000000001E-2</v>
      </c>
      <c r="O600">
        <v>9.9780730000000005E-3</v>
      </c>
      <c r="P600">
        <v>0.97519599999999995</v>
      </c>
      <c r="Q600">
        <v>0.21578240000000001</v>
      </c>
      <c r="R600">
        <v>-4.9300579999999997E-2</v>
      </c>
      <c r="S600">
        <v>3.0646360000000001</v>
      </c>
      <c r="T600">
        <v>-3.8820739999999999E-2</v>
      </c>
      <c r="U600">
        <v>-0.39376830000000002</v>
      </c>
      <c r="V600">
        <v>5.8926819999999998E-2</v>
      </c>
      <c r="W600">
        <v>0.2295278</v>
      </c>
      <c r="X600">
        <v>0.97151670000000001</v>
      </c>
      <c r="Y600">
        <v>0.1373084</v>
      </c>
      <c r="Z600">
        <v>-1.8238130000000001E-3</v>
      </c>
      <c r="AA600">
        <v>0.99052669999999998</v>
      </c>
      <c r="AB600">
        <v>38</v>
      </c>
      <c r="AC600">
        <v>78.061399999999907</v>
      </c>
      <c r="AD600">
        <v>-0.99139597999999995</v>
      </c>
      <c r="AE600">
        <v>-10.058199999999999</v>
      </c>
      <c r="AF600">
        <v>10.8349598822617</v>
      </c>
      <c r="AG600">
        <v>-0.99139597999999995</v>
      </c>
      <c r="AH600">
        <v>77.944774919813497</v>
      </c>
      <c r="AI600">
        <v>90.721778323642894</v>
      </c>
      <c r="AJ600">
        <v>82.086132903226499</v>
      </c>
      <c r="AK600">
        <v>78.700490207747606</v>
      </c>
      <c r="AL600">
        <v>76.730727574699301</v>
      </c>
      <c r="AM600">
        <v>86.529007864820699</v>
      </c>
      <c r="AN600">
        <v>1.00000003973352</v>
      </c>
    </row>
    <row r="601" spans="1:40" x14ac:dyDescent="0.25">
      <c r="A601" t="str">
        <f>"20190303170952511"</f>
        <v>20190303170952511</v>
      </c>
      <c r="B601" t="str">
        <f>"1551604192501674"</f>
        <v>1551604192501674</v>
      </c>
      <c r="C601" t="s">
        <v>40</v>
      </c>
      <c r="D601">
        <v>4.4760280000000003</v>
      </c>
      <c r="E601">
        <v>0.53601399999999999</v>
      </c>
      <c r="F601" t="s">
        <v>42</v>
      </c>
      <c r="G601">
        <v>-216.92429999999999</v>
      </c>
      <c r="H601">
        <v>7.9986360000000006E-2</v>
      </c>
      <c r="I601">
        <v>357.64749999999998</v>
      </c>
      <c r="J601">
        <v>-295.86340000000001</v>
      </c>
      <c r="K601">
        <v>1.0713680000000001</v>
      </c>
      <c r="L601">
        <v>367.88869999999997</v>
      </c>
      <c r="M601">
        <v>0.99985029999999997</v>
      </c>
      <c r="N601">
        <v>-1.409462E-2</v>
      </c>
      <c r="O601">
        <v>1.005643E-2</v>
      </c>
      <c r="P601">
        <v>0.97527520000000001</v>
      </c>
      <c r="Q601">
        <v>0.2155137</v>
      </c>
      <c r="R601">
        <v>-4.8914659999999999E-2</v>
      </c>
      <c r="S601">
        <v>3.0647579999999999</v>
      </c>
      <c r="T601">
        <v>-3.8389680000000002E-2</v>
      </c>
      <c r="U601">
        <v>-0.39648440000000001</v>
      </c>
      <c r="V601">
        <v>5.8623149999999999E-2</v>
      </c>
      <c r="W601">
        <v>0.22925580000000001</v>
      </c>
      <c r="X601">
        <v>0.9715992</v>
      </c>
      <c r="Y601">
        <v>0.1382447</v>
      </c>
      <c r="Z601">
        <v>-1.824956E-3</v>
      </c>
      <c r="AA601">
        <v>0.99039639999999995</v>
      </c>
      <c r="AB601">
        <v>38</v>
      </c>
      <c r="AC601">
        <v>78.939099999999996</v>
      </c>
      <c r="AD601">
        <v>-0.99138163999999995</v>
      </c>
      <c r="AE601">
        <v>-10.2411999999999</v>
      </c>
      <c r="AF601">
        <v>11.032894915566301</v>
      </c>
      <c r="AG601">
        <v>-0.99138163999999995</v>
      </c>
      <c r="AH601">
        <v>78.819881363639496</v>
      </c>
      <c r="AI601">
        <v>90.713660700813904</v>
      </c>
      <c r="AJ601">
        <v>82.031735992265098</v>
      </c>
      <c r="AK601">
        <v>79.594480373655699</v>
      </c>
      <c r="AL601">
        <v>76.7467377794231</v>
      </c>
      <c r="AM601">
        <v>86.547144178796103</v>
      </c>
      <c r="AN601">
        <v>0.99999995049510004</v>
      </c>
    </row>
    <row r="602" spans="1:40" x14ac:dyDescent="0.25">
      <c r="A602" t="str">
        <f>"20190303170952532"</f>
        <v>20190303170952532</v>
      </c>
      <c r="B602" t="str">
        <f>"1551604192521193"</f>
        <v>1551604192521193</v>
      </c>
      <c r="C602" t="s">
        <v>40</v>
      </c>
      <c r="D602">
        <v>4.4656849999999997</v>
      </c>
      <c r="E602">
        <v>0.5370606</v>
      </c>
      <c r="F602" t="s">
        <v>42</v>
      </c>
      <c r="G602">
        <v>-220.07939999999999</v>
      </c>
      <c r="H602">
        <v>7.9986879999999996E-2</v>
      </c>
      <c r="I602">
        <v>358.017</v>
      </c>
      <c r="J602">
        <v>-295.51679999999999</v>
      </c>
      <c r="K602">
        <v>1.0713469999999901</v>
      </c>
      <c r="L602">
        <v>367.89229999999998</v>
      </c>
      <c r="M602">
        <v>0.99984890000000004</v>
      </c>
      <c r="N602">
        <v>-1.4090490000000001E-2</v>
      </c>
      <c r="O602">
        <v>1.01803E-2</v>
      </c>
      <c r="P602">
        <v>0.97542209999999996</v>
      </c>
      <c r="Q602">
        <v>0.21506149999999999</v>
      </c>
      <c r="R602">
        <v>-4.7959620000000001E-2</v>
      </c>
      <c r="S602">
        <v>3.0648499999999999</v>
      </c>
      <c r="T602">
        <v>-4.0093299999999998E-2</v>
      </c>
      <c r="U602">
        <v>-0.399231</v>
      </c>
      <c r="V602">
        <v>5.779919E-2</v>
      </c>
      <c r="W602">
        <v>0.22879910000000001</v>
      </c>
      <c r="X602">
        <v>0.97175630000000002</v>
      </c>
      <c r="Y602">
        <v>0.13923469999999999</v>
      </c>
      <c r="Z602">
        <v>-1.8818470000000001E-3</v>
      </c>
      <c r="AA602">
        <v>0.99025759999999996</v>
      </c>
      <c r="AB602">
        <v>38</v>
      </c>
      <c r="AC602">
        <v>75.437399999999997</v>
      </c>
      <c r="AD602">
        <v>-0.99136011999999896</v>
      </c>
      <c r="AE602">
        <v>-9.8752999999999798</v>
      </c>
      <c r="AF602">
        <v>10.6410330325975</v>
      </c>
      <c r="AG602">
        <v>-0.99136011999999896</v>
      </c>
      <c r="AH602">
        <v>75.320157962956799</v>
      </c>
      <c r="AI602">
        <v>90.746666813552906</v>
      </c>
      <c r="AJ602">
        <v>81.9586218197107</v>
      </c>
      <c r="AK602">
        <v>76.074572456591</v>
      </c>
      <c r="AL602">
        <v>76.773620487494398</v>
      </c>
      <c r="AM602">
        <v>86.596108883055294</v>
      </c>
      <c r="AN602">
        <v>1.00000004055757</v>
      </c>
    </row>
    <row r="603" spans="1:40" x14ac:dyDescent="0.25">
      <c r="A603" t="str">
        <f>"20190303170952548"</f>
        <v>20190303170952548</v>
      </c>
      <c r="B603" t="str">
        <f>"1551604192540714"</f>
        <v>1551604192540714</v>
      </c>
      <c r="C603" t="s">
        <v>40</v>
      </c>
      <c r="D603">
        <v>4.5028009999999998</v>
      </c>
      <c r="E603">
        <v>0.53777149999999996</v>
      </c>
      <c r="F603" t="s">
        <v>42</v>
      </c>
      <c r="G603">
        <v>-225.29839999999999</v>
      </c>
      <c r="H603">
        <v>7.9986799999999997E-2</v>
      </c>
      <c r="I603">
        <v>358.62580000000003</v>
      </c>
      <c r="J603">
        <v>-295.2611</v>
      </c>
      <c r="K603">
        <v>1.071332</v>
      </c>
      <c r="L603">
        <v>367.89499999999998</v>
      </c>
      <c r="M603">
        <v>0.99984819999999996</v>
      </c>
      <c r="N603">
        <v>-1.408763E-2</v>
      </c>
      <c r="O603">
        <v>1.026466E-2</v>
      </c>
      <c r="P603">
        <v>0.97552969999999894</v>
      </c>
      <c r="Q603">
        <v>0.21467220000000001</v>
      </c>
      <c r="R603">
        <v>-4.7519489999999998E-2</v>
      </c>
      <c r="S603">
        <v>3.0652469999999998</v>
      </c>
      <c r="T603">
        <v>-4.3275830000000001E-2</v>
      </c>
      <c r="U603">
        <v>-0.4045105</v>
      </c>
      <c r="V603">
        <v>5.7448220000000001E-2</v>
      </c>
      <c r="W603">
        <v>0.22840730000000001</v>
      </c>
      <c r="X603">
        <v>0.97186919999999999</v>
      </c>
      <c r="Y603">
        <v>0.14097509999999999</v>
      </c>
      <c r="Z603">
        <v>-1.9885940000000002E-3</v>
      </c>
      <c r="AA603">
        <v>0.99001119999999998</v>
      </c>
      <c r="AB603">
        <v>38</v>
      </c>
      <c r="AC603">
        <v>69.962699999999998</v>
      </c>
      <c r="AD603">
        <v>-0.99134520000000004</v>
      </c>
      <c r="AE603">
        <v>-9.2691999999999499</v>
      </c>
      <c r="AF603">
        <v>9.9849559059758093</v>
      </c>
      <c r="AG603">
        <v>-0.99134520000000004</v>
      </c>
      <c r="AH603">
        <v>69.850076352599501</v>
      </c>
      <c r="AI603">
        <v>90.804932699590793</v>
      </c>
      <c r="AJ603">
        <v>81.8647742368493</v>
      </c>
      <c r="AK603">
        <v>70.567097688751701</v>
      </c>
      <c r="AL603">
        <v>76.7966786004488</v>
      </c>
      <c r="AM603">
        <v>86.617122049803299</v>
      </c>
      <c r="AN603">
        <v>0.99999996729154805</v>
      </c>
    </row>
    <row r="604" spans="1:40" x14ac:dyDescent="0.25">
      <c r="A604" t="str">
        <f>"20190303170952564"</f>
        <v>20190303170952564</v>
      </c>
      <c r="B604" t="str">
        <f>"1551604192551449"</f>
        <v>1551604192551449</v>
      </c>
      <c r="C604" t="s">
        <v>40</v>
      </c>
      <c r="D604">
        <v>4.4712310000000004</v>
      </c>
      <c r="E604">
        <v>0.53805970000000003</v>
      </c>
      <c r="F604" t="s">
        <v>42</v>
      </c>
      <c r="G604">
        <v>-227.61429999999999</v>
      </c>
      <c r="H604">
        <v>7.9986089999999996E-2</v>
      </c>
      <c r="I604">
        <v>358.85520000000002</v>
      </c>
      <c r="J604">
        <v>-294.98989999999998</v>
      </c>
      <c r="K604">
        <v>1.071321</v>
      </c>
      <c r="L604">
        <v>367.89789999999999</v>
      </c>
      <c r="M604">
        <v>0.99984729999999999</v>
      </c>
      <c r="N604">
        <v>-1.408471E-2</v>
      </c>
      <c r="O604">
        <v>1.035003E-2</v>
      </c>
      <c r="P604">
        <v>0.97559119999999999</v>
      </c>
      <c r="Q604">
        <v>0.2144327</v>
      </c>
      <c r="R604">
        <v>-4.7336019999999999E-2</v>
      </c>
      <c r="S604">
        <v>3.0651860000000002</v>
      </c>
      <c r="T604">
        <v>-4.491937E-2</v>
      </c>
      <c r="U604">
        <v>-0.4096069</v>
      </c>
      <c r="V604">
        <v>5.7354839999999997E-2</v>
      </c>
      <c r="W604">
        <v>0.22816400000000001</v>
      </c>
      <c r="X604">
        <v>0.97193189999999996</v>
      </c>
      <c r="Y604">
        <v>0.14267759999999999</v>
      </c>
      <c r="Z604">
        <v>-2.0560600000000002E-3</v>
      </c>
      <c r="AA604">
        <v>0.98976710000000001</v>
      </c>
      <c r="AB604">
        <v>38</v>
      </c>
      <c r="AC604">
        <v>67.375599999999906</v>
      </c>
      <c r="AD604">
        <v>-0.99133490999999996</v>
      </c>
      <c r="AE604">
        <v>-9.0426999999999609</v>
      </c>
      <c r="AF604">
        <v>9.7375533960156808</v>
      </c>
      <c r="AG604">
        <v>-0.99133490999999996</v>
      </c>
      <c r="AH604">
        <v>67.264084692283404</v>
      </c>
      <c r="AI604">
        <v>90.835651567691599</v>
      </c>
      <c r="AJ604">
        <v>81.7627435771916</v>
      </c>
      <c r="AK604">
        <v>67.97249282272</v>
      </c>
      <c r="AL604">
        <v>76.810997231115607</v>
      </c>
      <c r="AM604">
        <v>86.622825429774196</v>
      </c>
      <c r="AN604">
        <v>1.0000000034025101</v>
      </c>
    </row>
    <row r="605" spans="1:40" x14ac:dyDescent="0.25">
      <c r="A605" t="str">
        <f>"20190303170952578"</f>
        <v>20190303170952578</v>
      </c>
      <c r="B605" t="str">
        <f>"1551604192570969"</f>
        <v>1551604192570969</v>
      </c>
      <c r="C605" t="s">
        <v>40</v>
      </c>
      <c r="D605">
        <v>4.4179620000000002</v>
      </c>
      <c r="E605">
        <v>0.53855129999999996</v>
      </c>
      <c r="F605" t="s">
        <v>42</v>
      </c>
      <c r="G605">
        <v>-228.45519999999999</v>
      </c>
      <c r="H605">
        <v>7.9985840000000002E-2</v>
      </c>
      <c r="I605">
        <v>358.97140000000002</v>
      </c>
      <c r="J605">
        <v>-294.75049999999999</v>
      </c>
      <c r="K605">
        <v>1.0713109999999999</v>
      </c>
      <c r="L605">
        <v>367.90050000000002</v>
      </c>
      <c r="M605">
        <v>0.99984660000000003</v>
      </c>
      <c r="N605">
        <v>-1.4082219999999999E-2</v>
      </c>
      <c r="O605">
        <v>1.0422020000000001E-2</v>
      </c>
      <c r="P605">
        <v>0.97556670000000001</v>
      </c>
      <c r="Q605">
        <v>0.21462210000000001</v>
      </c>
      <c r="R605">
        <v>-4.6980000000000001E-2</v>
      </c>
      <c r="S605">
        <v>3.0651250000000001</v>
      </c>
      <c r="T605">
        <v>-4.5668840000000002E-2</v>
      </c>
      <c r="U605">
        <v>-0.41122439999999999</v>
      </c>
      <c r="V605">
        <v>5.7073749999999999E-2</v>
      </c>
      <c r="W605">
        <v>0.22834969999999999</v>
      </c>
      <c r="X605">
        <v>0.97190480000000001</v>
      </c>
      <c r="Y605">
        <v>0.14326359999999999</v>
      </c>
      <c r="Z605">
        <v>-2.0843649999999999E-3</v>
      </c>
      <c r="AA605">
        <v>0.98968239999999996</v>
      </c>
      <c r="AB605">
        <v>38</v>
      </c>
      <c r="AC605">
        <v>66.295299999999997</v>
      </c>
      <c r="AD605">
        <v>-0.99132516000000004</v>
      </c>
      <c r="AE605">
        <v>-8.9291</v>
      </c>
      <c r="AF605">
        <v>9.6175022339834406</v>
      </c>
      <c r="AG605">
        <v>-0.99132516000000004</v>
      </c>
      <c r="AH605">
        <v>66.184095338710506</v>
      </c>
      <c r="AI605">
        <v>90.849211216628603</v>
      </c>
      <c r="AJ605">
        <v>81.731970596778694</v>
      </c>
      <c r="AK605">
        <v>66.886572274239398</v>
      </c>
      <c r="AL605">
        <v>76.800068449853399</v>
      </c>
      <c r="AM605">
        <v>86.639245084705706</v>
      </c>
      <c r="AN605">
        <v>0.99999996934609503</v>
      </c>
    </row>
    <row r="606" spans="1:40" x14ac:dyDescent="0.25">
      <c r="A606" t="str">
        <f>"20190303170952591"</f>
        <v>20190303170952591</v>
      </c>
      <c r="B606" t="str">
        <f>"1551604192580729"</f>
        <v>1551604192580729</v>
      </c>
      <c r="C606" t="s">
        <v>40</v>
      </c>
      <c r="D606">
        <v>4.4621760000000004</v>
      </c>
      <c r="E606">
        <v>0.53876069999999998</v>
      </c>
      <c r="F606" t="s">
        <v>42</v>
      </c>
      <c r="G606">
        <v>-227.44800000000001</v>
      </c>
      <c r="H606">
        <v>7.9986150000000006E-2</v>
      </c>
      <c r="I606">
        <v>358.79649999999998</v>
      </c>
      <c r="J606">
        <v>-294.5213</v>
      </c>
      <c r="K606">
        <v>1.071307</v>
      </c>
      <c r="L606">
        <v>367.90289999999999</v>
      </c>
      <c r="M606">
        <v>0.99984600000000001</v>
      </c>
      <c r="N606">
        <v>-1.4079940000000001E-2</v>
      </c>
      <c r="O606">
        <v>1.048729E-2</v>
      </c>
      <c r="P606">
        <v>0.97553380000000001</v>
      </c>
      <c r="Q606">
        <v>0.21483469999999999</v>
      </c>
      <c r="R606">
        <v>-4.6693449999999997E-2</v>
      </c>
      <c r="S606">
        <v>3.0651250000000001</v>
      </c>
      <c r="T606">
        <v>-4.5147420000000001E-2</v>
      </c>
      <c r="U606">
        <v>-0.41461179999999997</v>
      </c>
      <c r="V606">
        <v>5.6854429999999997E-2</v>
      </c>
      <c r="W606">
        <v>0.22855819999999999</v>
      </c>
      <c r="X606">
        <v>0.97186870000000003</v>
      </c>
      <c r="Y606">
        <v>0.14440269999999999</v>
      </c>
      <c r="Z606">
        <v>-2.0867749999999999E-3</v>
      </c>
      <c r="AA606">
        <v>0.98951679999999997</v>
      </c>
      <c r="AB606">
        <v>37</v>
      </c>
      <c r="AC606">
        <v>67.073300000000003</v>
      </c>
      <c r="AD606">
        <v>-0.99132085000000003</v>
      </c>
      <c r="AE606">
        <v>-9.1064000000000007</v>
      </c>
      <c r="AF606">
        <v>9.8072823919649394</v>
      </c>
      <c r="AG606">
        <v>-0.99132085000000003</v>
      </c>
      <c r="AH606">
        <v>66.959737932820801</v>
      </c>
      <c r="AI606">
        <v>90.839233988132605</v>
      </c>
      <c r="AJ606">
        <v>81.667399653367596</v>
      </c>
      <c r="AK606">
        <v>67.681400761032094</v>
      </c>
      <c r="AL606">
        <v>76.787798506762599</v>
      </c>
      <c r="AM606">
        <v>86.652006111347802</v>
      </c>
      <c r="AN606">
        <v>1.00000002351877</v>
      </c>
    </row>
    <row r="607" spans="1:40" x14ac:dyDescent="0.25">
      <c r="A607" t="str">
        <f>"20190303170952605"</f>
        <v>20190303170952605</v>
      </c>
      <c r="B607" t="str">
        <f>"1551604192591465"</f>
        <v>1551604192591465</v>
      </c>
      <c r="C607" t="s">
        <v>40</v>
      </c>
      <c r="D607">
        <v>4.4992619999999999</v>
      </c>
      <c r="E607">
        <v>0.53902280000000002</v>
      </c>
      <c r="F607" t="s">
        <v>42</v>
      </c>
      <c r="G607">
        <v>-227.30879999999999</v>
      </c>
      <c r="H607">
        <v>7.9986189999999999E-2</v>
      </c>
      <c r="I607">
        <v>358.79360000000003</v>
      </c>
      <c r="J607">
        <v>-294.30399999999997</v>
      </c>
      <c r="K607">
        <v>1.0713010000000001</v>
      </c>
      <c r="L607">
        <v>367.90530000000001</v>
      </c>
      <c r="M607">
        <v>0.99984530000000005</v>
      </c>
      <c r="N607">
        <v>-1.4077849999999999E-2</v>
      </c>
      <c r="O607">
        <v>1.0547580000000001E-2</v>
      </c>
      <c r="P607">
        <v>0.97548849999999998</v>
      </c>
      <c r="Q607">
        <v>0.21507770000000001</v>
      </c>
      <c r="R607">
        <v>-4.6516950000000001E-2</v>
      </c>
      <c r="S607">
        <v>3.065277</v>
      </c>
      <c r="T607">
        <v>-4.5209880000000001E-2</v>
      </c>
      <c r="U607">
        <v>-0.41543580000000002</v>
      </c>
      <c r="V607">
        <v>5.673955E-2</v>
      </c>
      <c r="W607">
        <v>0.22879769999999999</v>
      </c>
      <c r="X607">
        <v>0.97181899999999999</v>
      </c>
      <c r="Y607">
        <v>0.14471689999999901</v>
      </c>
      <c r="Z607">
        <v>-2.0928309999999999E-3</v>
      </c>
      <c r="AA607">
        <v>0.98947090000000004</v>
      </c>
      <c r="AB607">
        <v>37</v>
      </c>
      <c r="AC607">
        <v>66.995199999999997</v>
      </c>
      <c r="AD607">
        <v>-0.99131480999999999</v>
      </c>
      <c r="AE607">
        <v>-9.1116999999999795</v>
      </c>
      <c r="AF607">
        <v>9.8157901929169107</v>
      </c>
      <c r="AG607">
        <v>-0.99131480999999999</v>
      </c>
      <c r="AH607">
        <v>66.880979256328203</v>
      </c>
      <c r="AI607">
        <v>90.840180870347893</v>
      </c>
      <c r="AJ607">
        <v>81.650590307881998</v>
      </c>
      <c r="AK607">
        <v>67.604717501438401</v>
      </c>
      <c r="AL607">
        <v>76.773701888840705</v>
      </c>
      <c r="AM607">
        <v>86.658585233897995</v>
      </c>
      <c r="AN607">
        <v>0.99999996641024502</v>
      </c>
    </row>
    <row r="608" spans="1:40" x14ac:dyDescent="0.25">
      <c r="A608" t="str">
        <f>"20190303170952618"</f>
        <v>20190303170952618</v>
      </c>
      <c r="B608" t="str">
        <f>"1551604192610985"</f>
        <v>1551604192610985</v>
      </c>
      <c r="C608" t="s">
        <v>40</v>
      </c>
      <c r="D608">
        <v>4.4792139999999998</v>
      </c>
      <c r="E608">
        <v>0.53952239999999996</v>
      </c>
      <c r="F608" t="s">
        <v>42</v>
      </c>
      <c r="G608">
        <v>-226.47540000000001</v>
      </c>
      <c r="H608">
        <v>7.9986450000000001E-2</v>
      </c>
      <c r="I608">
        <v>358.67079999999999</v>
      </c>
      <c r="J608">
        <v>-294.07010000000002</v>
      </c>
      <c r="K608">
        <v>1.071302</v>
      </c>
      <c r="L608">
        <v>367.90780000000001</v>
      </c>
      <c r="M608">
        <v>0.99984470000000003</v>
      </c>
      <c r="N608">
        <v>-1.407566E-2</v>
      </c>
      <c r="O608">
        <v>1.061104E-2</v>
      </c>
      <c r="P608">
        <v>0.97544350000000002</v>
      </c>
      <c r="Q608">
        <v>0.21532319999999999</v>
      </c>
      <c r="R608">
        <v>-4.6328050000000003E-2</v>
      </c>
      <c r="S608">
        <v>3.065369</v>
      </c>
      <c r="T608">
        <v>-4.4800279999999998E-2</v>
      </c>
      <c r="U608">
        <v>-0.41732789999999997</v>
      </c>
      <c r="V608">
        <v>5.6615180000000001E-2</v>
      </c>
      <c r="W608">
        <v>0.2290391</v>
      </c>
      <c r="X608">
        <v>0.97176949999999995</v>
      </c>
      <c r="Y608">
        <v>0.1453757</v>
      </c>
      <c r="Z608">
        <v>-2.0911129999999999E-3</v>
      </c>
      <c r="AA608">
        <v>0.98937430000000004</v>
      </c>
      <c r="AB608">
        <v>37</v>
      </c>
      <c r="AC608">
        <v>67.594700000000003</v>
      </c>
      <c r="AD608">
        <v>-0.99131555000000005</v>
      </c>
      <c r="AE608">
        <v>-9.2370000000000196</v>
      </c>
      <c r="AF608">
        <v>9.9516997762731201</v>
      </c>
      <c r="AG608">
        <v>-0.99131555000000005</v>
      </c>
      <c r="AH608">
        <v>67.478622673362807</v>
      </c>
      <c r="AI608">
        <v>90.8326556106814</v>
      </c>
      <c r="AJ608">
        <v>81.610533975408103</v>
      </c>
      <c r="AK608">
        <v>68.215713386659104</v>
      </c>
      <c r="AL608">
        <v>76.759494846806504</v>
      </c>
      <c r="AM608">
        <v>86.665723442208105</v>
      </c>
      <c r="AN608">
        <v>1.00000007453274</v>
      </c>
    </row>
    <row r="609" spans="1:40" x14ac:dyDescent="0.25">
      <c r="A609" t="str">
        <f>"20190303170952631"</f>
        <v>20190303170952631</v>
      </c>
      <c r="B609" t="str">
        <f>"1551604192620745"</f>
        <v>1551604192620745</v>
      </c>
      <c r="C609" t="s">
        <v>40</v>
      </c>
      <c r="D609">
        <v>4.6534570000000004</v>
      </c>
      <c r="E609">
        <v>0.53962399999999999</v>
      </c>
      <c r="F609" t="s">
        <v>42</v>
      </c>
      <c r="G609">
        <v>-226.7783</v>
      </c>
      <c r="H609">
        <v>7.9986360000000006E-2</v>
      </c>
      <c r="I609">
        <v>358.66980000000001</v>
      </c>
      <c r="J609">
        <v>-293.8492</v>
      </c>
      <c r="K609">
        <v>1.0712980000000001</v>
      </c>
      <c r="L609">
        <v>367.91019999999997</v>
      </c>
      <c r="M609">
        <v>0.99984410000000001</v>
      </c>
      <c r="N609">
        <v>-1.407367E-2</v>
      </c>
      <c r="O609">
        <v>1.066921E-2</v>
      </c>
      <c r="P609">
        <v>0.97545749999999998</v>
      </c>
      <c r="Q609">
        <v>0.21535190000000001</v>
      </c>
      <c r="R609">
        <v>-4.589729E-2</v>
      </c>
      <c r="S609">
        <v>3.0655209999999999</v>
      </c>
      <c r="T609">
        <v>-4.5159940000000003E-2</v>
      </c>
      <c r="U609">
        <v>-0.42083739999999997</v>
      </c>
      <c r="V609">
        <v>5.6243710000000002E-2</v>
      </c>
      <c r="W609">
        <v>0.22906550000000001</v>
      </c>
      <c r="X609">
        <v>0.9717848</v>
      </c>
      <c r="Y609">
        <v>0.1465378</v>
      </c>
      <c r="Z609">
        <v>-2.1174290000000001E-3</v>
      </c>
      <c r="AA609">
        <v>0.98920280000000005</v>
      </c>
      <c r="AB609">
        <v>37</v>
      </c>
      <c r="AC609">
        <v>67.070899999999995</v>
      </c>
      <c r="AD609">
        <v>-0.99131163999999905</v>
      </c>
      <c r="AE609">
        <v>-9.2403999999999602</v>
      </c>
      <c r="AF609">
        <v>9.9534044850205099</v>
      </c>
      <c r="AG609">
        <v>-0.99131163999999905</v>
      </c>
      <c r="AH609">
        <v>66.954130510577201</v>
      </c>
      <c r="AI609">
        <v>90.839030530955995</v>
      </c>
      <c r="AJ609">
        <v>81.544333116935704</v>
      </c>
      <c r="AK609">
        <v>67.697182748157502</v>
      </c>
      <c r="AL609">
        <v>76.757940296673993</v>
      </c>
      <c r="AM609">
        <v>86.687603839634804</v>
      </c>
      <c r="AN609">
        <v>1.00000002785792</v>
      </c>
    </row>
    <row r="610" spans="1:40" x14ac:dyDescent="0.25">
      <c r="A610" t="str">
        <f>"20190303170952644"</f>
        <v>20190303170952644</v>
      </c>
      <c r="B610" t="str">
        <f>"1551604192631481"</f>
        <v>1551604192631481</v>
      </c>
      <c r="C610" t="s">
        <v>40</v>
      </c>
      <c r="D610">
        <v>4.4383530000000002</v>
      </c>
      <c r="E610">
        <v>0.53975340000000005</v>
      </c>
      <c r="F610" t="s">
        <v>42</v>
      </c>
      <c r="G610">
        <v>-226.63829999999999</v>
      </c>
      <c r="H610">
        <v>7.9986379999999996E-2</v>
      </c>
      <c r="I610">
        <v>358.6986</v>
      </c>
      <c r="J610">
        <v>-293.65370000000001</v>
      </c>
      <c r="K610">
        <v>1.0712930000000001</v>
      </c>
      <c r="L610">
        <v>367.91230000000002</v>
      </c>
      <c r="M610">
        <v>0.99984360000000005</v>
      </c>
      <c r="N610">
        <v>-1.407195E-2</v>
      </c>
      <c r="O610">
        <v>1.071977E-2</v>
      </c>
      <c r="P610">
        <v>0.97542669999999998</v>
      </c>
      <c r="Q610">
        <v>0.21554670000000001</v>
      </c>
      <c r="R610">
        <v>-4.5635670000000003E-2</v>
      </c>
      <c r="S610">
        <v>3.0657040000000002</v>
      </c>
      <c r="T610">
        <v>-4.5216800000000001E-2</v>
      </c>
      <c r="U610">
        <v>-0.42016599999999998</v>
      </c>
      <c r="V610">
        <v>5.6032749999999999E-2</v>
      </c>
      <c r="W610">
        <v>0.22925809999999999</v>
      </c>
      <c r="X610">
        <v>0.97175149999999999</v>
      </c>
      <c r="Y610">
        <v>0.1463672</v>
      </c>
      <c r="Z610">
        <v>-2.1163739999999999E-3</v>
      </c>
      <c r="AA610">
        <v>0.98922810000000005</v>
      </c>
      <c r="AB610">
        <v>37</v>
      </c>
      <c r="AC610">
        <v>67.0154</v>
      </c>
      <c r="AD610">
        <v>-0.99130662000000003</v>
      </c>
      <c r="AE610">
        <v>-9.21370000000001</v>
      </c>
      <c r="AF610">
        <v>9.9294988821959294</v>
      </c>
      <c r="AG610">
        <v>-0.99130662000000003</v>
      </c>
      <c r="AH610">
        <v>66.898403658728995</v>
      </c>
      <c r="AI610">
        <v>90.839753591827403</v>
      </c>
      <c r="AJ610">
        <v>81.557423247803698</v>
      </c>
      <c r="AK610">
        <v>67.638554456409196</v>
      </c>
      <c r="AL610">
        <v>76.746602543372205</v>
      </c>
      <c r="AM610">
        <v>86.699887695312995</v>
      </c>
      <c r="AN610">
        <v>0.99999996162020999</v>
      </c>
    </row>
    <row r="611" spans="1:40" x14ac:dyDescent="0.25">
      <c r="A611" t="str">
        <f>"20190303170952655"</f>
        <v>20190303170952655</v>
      </c>
      <c r="B611" t="str">
        <f>"1551604192641241"</f>
        <v>1551604192641241</v>
      </c>
      <c r="C611" t="s">
        <v>40</v>
      </c>
      <c r="D611">
        <v>4.4380009999999999</v>
      </c>
      <c r="E611">
        <v>0.53984529999999997</v>
      </c>
      <c r="F611" t="s">
        <v>42</v>
      </c>
      <c r="G611">
        <v>-225.76650000000001</v>
      </c>
      <c r="H611">
        <v>7.9986660000000001E-2</v>
      </c>
      <c r="I611">
        <v>358.60759999999999</v>
      </c>
      <c r="J611">
        <v>-293.45420000000001</v>
      </c>
      <c r="K611">
        <v>1.0712930000000001</v>
      </c>
      <c r="L611">
        <v>367.91460000000001</v>
      </c>
      <c r="M611">
        <v>0.99984300000000004</v>
      </c>
      <c r="N611">
        <v>-1.407022E-2</v>
      </c>
      <c r="O611">
        <v>1.077123E-2</v>
      </c>
      <c r="P611">
        <v>0.97554739999999995</v>
      </c>
      <c r="Q611">
        <v>0.21493979999999999</v>
      </c>
      <c r="R611">
        <v>-4.5915299999999999E-2</v>
      </c>
      <c r="S611">
        <v>3.0657960000000002</v>
      </c>
      <c r="T611">
        <v>-4.4767500000000002E-2</v>
      </c>
      <c r="U611">
        <v>-0.42019649999999997</v>
      </c>
      <c r="V611">
        <v>5.6365650000000003E-2</v>
      </c>
      <c r="W611">
        <v>0.22865099999999999</v>
      </c>
      <c r="X611">
        <v>0.9718753</v>
      </c>
      <c r="Y611">
        <v>0.14642430000000001</v>
      </c>
      <c r="Z611">
        <v>-2.1048350000000002E-3</v>
      </c>
      <c r="AA611">
        <v>0.98921970000000004</v>
      </c>
      <c r="AB611">
        <v>37</v>
      </c>
      <c r="AC611">
        <v>67.687700000000007</v>
      </c>
      <c r="AD611">
        <v>-0.99130633999999995</v>
      </c>
      <c r="AE611">
        <v>-9.3070000000000093</v>
      </c>
      <c r="AF611">
        <v>10.0334998391208</v>
      </c>
      <c r="AG611">
        <v>-0.99130633999999995</v>
      </c>
      <c r="AH611">
        <v>67.569291139960498</v>
      </c>
      <c r="AI611">
        <v>90.831408814348706</v>
      </c>
      <c r="AJ611">
        <v>81.553753247688803</v>
      </c>
      <c r="AK611">
        <v>68.317369039198994</v>
      </c>
      <c r="AL611">
        <v>76.782336278175606</v>
      </c>
      <c r="AM611">
        <v>86.680746816240898</v>
      </c>
      <c r="AN611">
        <v>0.99999998252550604</v>
      </c>
    </row>
    <row r="612" spans="1:40" x14ac:dyDescent="0.25">
      <c r="A612" t="str">
        <f>"20190303170952667"</f>
        <v>20190303170952667</v>
      </c>
      <c r="B612" t="str">
        <f>"1551604192660762"</f>
        <v>1551604192660762</v>
      </c>
      <c r="C612" t="s">
        <v>40</v>
      </c>
      <c r="D612">
        <v>4.4236760000000004</v>
      </c>
      <c r="E612">
        <v>0.53994919999999902</v>
      </c>
      <c r="F612" t="s">
        <v>42</v>
      </c>
      <c r="G612">
        <v>-228.3741</v>
      </c>
      <c r="H612">
        <v>7.9985860000000006E-2</v>
      </c>
      <c r="I612">
        <v>358.9631</v>
      </c>
      <c r="J612">
        <v>-293.24829999999997</v>
      </c>
      <c r="K612">
        <v>1.0712889999999999</v>
      </c>
      <c r="L612">
        <v>367.91680000000002</v>
      </c>
      <c r="M612">
        <v>0.99984240000000002</v>
      </c>
      <c r="N612">
        <v>-1.4068519999999999E-2</v>
      </c>
      <c r="O612">
        <v>1.082383E-2</v>
      </c>
      <c r="P612">
        <v>0.97559450000000003</v>
      </c>
      <c r="Q612">
        <v>0.21477760000000001</v>
      </c>
      <c r="R612">
        <v>-4.5669269999999998E-2</v>
      </c>
      <c r="S612">
        <v>3.0656430000000001</v>
      </c>
      <c r="T612">
        <v>-4.6696189999999999E-2</v>
      </c>
      <c r="U612">
        <v>-0.42166140000000002</v>
      </c>
      <c r="V612">
        <v>5.6172699999999999E-2</v>
      </c>
      <c r="W612">
        <v>0.2284871</v>
      </c>
      <c r="X612">
        <v>0.97192500000000004</v>
      </c>
      <c r="Y612">
        <v>0.14694479999999999</v>
      </c>
      <c r="Z612">
        <v>-2.1650620000000001E-3</v>
      </c>
      <c r="AA612">
        <v>0.98914230000000003</v>
      </c>
      <c r="AB612">
        <v>37</v>
      </c>
      <c r="AC612">
        <v>64.874199999999902</v>
      </c>
      <c r="AD612">
        <v>-0.99130313999999997</v>
      </c>
      <c r="AE612">
        <v>-8.9537000000000209</v>
      </c>
      <c r="AF612">
        <v>9.6532204378368291</v>
      </c>
      <c r="AG612">
        <v>-0.99130313999999997</v>
      </c>
      <c r="AH612">
        <v>64.758638156966697</v>
      </c>
      <c r="AI612">
        <v>90.867413116083398</v>
      </c>
      <c r="AJ612">
        <v>81.521656748742203</v>
      </c>
      <c r="AK612">
        <v>65.481665851456398</v>
      </c>
      <c r="AL612">
        <v>76.791982194536601</v>
      </c>
      <c r="AM612">
        <v>86.692252732636504</v>
      </c>
      <c r="AN612">
        <v>0.99999996635834898</v>
      </c>
    </row>
    <row r="613" spans="1:40" x14ac:dyDescent="0.25">
      <c r="A613" t="str">
        <f>"20190303170952679"</f>
        <v>20190303170952679</v>
      </c>
      <c r="B613" t="str">
        <f>"1551604192671497"</f>
        <v>1551604192671497</v>
      </c>
      <c r="C613" t="s">
        <v>40</v>
      </c>
      <c r="D613">
        <v>4.4308930000000002</v>
      </c>
      <c r="E613">
        <v>0.54003610000000002</v>
      </c>
      <c r="F613" t="s">
        <v>42</v>
      </c>
      <c r="G613">
        <v>-228.3365</v>
      </c>
      <c r="H613">
        <v>7.9985870000000001E-2</v>
      </c>
      <c r="I613">
        <v>358.98770000000002</v>
      </c>
      <c r="J613">
        <v>-293.04739999999998</v>
      </c>
      <c r="K613">
        <v>1.071283</v>
      </c>
      <c r="L613">
        <v>367.91899999999998</v>
      </c>
      <c r="M613">
        <v>0.99984189999999995</v>
      </c>
      <c r="N613">
        <v>-1.406687E-2</v>
      </c>
      <c r="O613">
        <v>1.087495E-2</v>
      </c>
      <c r="P613">
        <v>0.97570619999999997</v>
      </c>
      <c r="Q613">
        <v>0.21424080000000001</v>
      </c>
      <c r="R613">
        <v>-4.5809530000000001E-2</v>
      </c>
      <c r="S613">
        <v>3.0656129999999999</v>
      </c>
      <c r="T613">
        <v>-4.6816589999999998E-2</v>
      </c>
      <c r="U613">
        <v>-0.42169190000000001</v>
      </c>
      <c r="V613">
        <v>5.6365329999999998E-2</v>
      </c>
      <c r="W613">
        <v>0.2279505</v>
      </c>
      <c r="X613">
        <v>0.97203989999999996</v>
      </c>
      <c r="Y613">
        <v>0.1470062</v>
      </c>
      <c r="Z613">
        <v>-2.169228E-3</v>
      </c>
      <c r="AA613">
        <v>0.98913320000000005</v>
      </c>
      <c r="AB613">
        <v>37</v>
      </c>
      <c r="AC613">
        <v>64.710899999999896</v>
      </c>
      <c r="AD613">
        <v>-0.99129712999999997</v>
      </c>
      <c r="AE613">
        <v>-8.9313000000000198</v>
      </c>
      <c r="AF613">
        <v>9.6323510562508901</v>
      </c>
      <c r="AG613">
        <v>-0.99129712999999997</v>
      </c>
      <c r="AH613">
        <v>64.595060571926993</v>
      </c>
      <c r="AI613">
        <v>90.869597206115202</v>
      </c>
      <c r="AJ613">
        <v>81.518607397168097</v>
      </c>
      <c r="AK613">
        <v>65.316817950369597</v>
      </c>
      <c r="AL613">
        <v>76.823561239700794</v>
      </c>
      <c r="AM613">
        <v>86.681326423114001</v>
      </c>
      <c r="AN613">
        <v>1.00000002403413</v>
      </c>
    </row>
    <row r="614" spans="1:40" x14ac:dyDescent="0.25">
      <c r="A614" t="str">
        <f>"20190303170952691"</f>
        <v>20190303170952691</v>
      </c>
      <c r="B614" t="str">
        <f>"1551604192681258"</f>
        <v>1551604192681258</v>
      </c>
      <c r="C614" t="s">
        <v>40</v>
      </c>
      <c r="D614">
        <v>4.4188130000000001</v>
      </c>
      <c r="E614">
        <v>0.54003610000000002</v>
      </c>
      <c r="F614" t="s">
        <v>42</v>
      </c>
      <c r="G614">
        <v>-229.71180000000001</v>
      </c>
      <c r="H614">
        <v>7.9985459999999994E-2</v>
      </c>
      <c r="I614">
        <v>359.18270000000001</v>
      </c>
      <c r="J614">
        <v>-292.86070000000001</v>
      </c>
      <c r="K614">
        <v>1.0712790000000001</v>
      </c>
      <c r="L614">
        <v>367.92110000000002</v>
      </c>
      <c r="M614">
        <v>0.99984150000000005</v>
      </c>
      <c r="N614">
        <v>-1.4065360000000001E-2</v>
      </c>
      <c r="O614">
        <v>1.0922080000000001E-2</v>
      </c>
      <c r="P614">
        <v>0.97575210000000001</v>
      </c>
      <c r="Q614">
        <v>0.21406</v>
      </c>
      <c r="R614">
        <v>-4.5675819999999999E-2</v>
      </c>
      <c r="S614">
        <v>3.0653380000000001</v>
      </c>
      <c r="T614">
        <v>-4.797709E-2</v>
      </c>
      <c r="U614">
        <v>-0.422821</v>
      </c>
      <c r="V614">
        <v>5.6278990000000001E-2</v>
      </c>
      <c r="W614">
        <v>0.22776850000000001</v>
      </c>
      <c r="X614">
        <v>0.97208760000000005</v>
      </c>
      <c r="Y614">
        <v>0.147421</v>
      </c>
      <c r="Z614">
        <v>-2.2072760000000002E-3</v>
      </c>
      <c r="AA614">
        <v>0.98907140000000004</v>
      </c>
      <c r="AB614">
        <v>37</v>
      </c>
      <c r="AC614">
        <v>63.148899999999998</v>
      </c>
      <c r="AD614">
        <v>-0.99129354000000003</v>
      </c>
      <c r="AE614">
        <v>-8.7384000000000093</v>
      </c>
      <c r="AF614">
        <v>9.4253852427775993</v>
      </c>
      <c r="AG614">
        <v>-0.99129354000000003</v>
      </c>
      <c r="AH614">
        <v>63.034440630422097</v>
      </c>
      <c r="AI614">
        <v>90.891067053212296</v>
      </c>
      <c r="AJ614">
        <v>81.495710159961703</v>
      </c>
      <c r="AK614">
        <v>63.742931023349001</v>
      </c>
      <c r="AL614">
        <v>76.834271254479305</v>
      </c>
      <c r="AM614">
        <v>86.686560841729005</v>
      </c>
      <c r="AN614">
        <v>1.00000005819071</v>
      </c>
    </row>
    <row r="615" spans="1:40" x14ac:dyDescent="0.25">
      <c r="A615" t="str">
        <f>"20190303170952702"</f>
        <v>20190303170952702</v>
      </c>
      <c r="B615" t="str">
        <f>"1551604192691018"</f>
        <v>1551604192691018</v>
      </c>
      <c r="C615" t="s">
        <v>40</v>
      </c>
      <c r="D615">
        <v>4.351261</v>
      </c>
      <c r="E615">
        <v>0.53408750000000005</v>
      </c>
      <c r="F615" t="s">
        <v>42</v>
      </c>
      <c r="G615">
        <v>-230.4008</v>
      </c>
      <c r="H615">
        <v>7.9986710000000003E-2</v>
      </c>
      <c r="I615">
        <v>359.32209999999998</v>
      </c>
      <c r="J615">
        <v>-292.66840000000002</v>
      </c>
      <c r="K615">
        <v>1.0712740000000001</v>
      </c>
      <c r="L615">
        <v>367.92320000000001</v>
      </c>
      <c r="M615">
        <v>0.99984090000000003</v>
      </c>
      <c r="N615">
        <v>-1.4063849999999999E-2</v>
      </c>
      <c r="O615">
        <v>1.0970819999999999E-2</v>
      </c>
      <c r="P615">
        <v>0.9758251</v>
      </c>
      <c r="Q615">
        <v>0.213674</v>
      </c>
      <c r="R615">
        <v>-4.5926359999999999E-2</v>
      </c>
      <c r="S615">
        <v>3.0654599999999999</v>
      </c>
      <c r="T615">
        <v>-4.8651460000000001E-2</v>
      </c>
      <c r="U615">
        <v>-0.4220276</v>
      </c>
      <c r="V615">
        <v>5.6578459999999997E-2</v>
      </c>
      <c r="W615">
        <v>0.22738169999999999</v>
      </c>
      <c r="X615">
        <v>0.97216069999999999</v>
      </c>
      <c r="Y615">
        <v>0.14721199999999901</v>
      </c>
      <c r="Z615">
        <v>-2.2226199999999998E-3</v>
      </c>
      <c r="AA615">
        <v>0.9891025</v>
      </c>
      <c r="AB615">
        <v>37</v>
      </c>
      <c r="AC615">
        <v>62.267600000000002</v>
      </c>
      <c r="AD615">
        <v>-0.99128729000000004</v>
      </c>
      <c r="AE615">
        <v>-8.6011000000000202</v>
      </c>
      <c r="AF615">
        <v>9.2814682291590795</v>
      </c>
      <c r="AG615">
        <v>-0.99128729000000004</v>
      </c>
      <c r="AH615">
        <v>62.154024088511001</v>
      </c>
      <c r="AI615">
        <v>90.903707384119897</v>
      </c>
      <c r="AJ615">
        <v>81.506774475581693</v>
      </c>
      <c r="AK615">
        <v>62.851022373350602</v>
      </c>
      <c r="AL615">
        <v>76.857029579542001</v>
      </c>
      <c r="AM615">
        <v>86.669218977740101</v>
      </c>
      <c r="AN615">
        <v>0.99999999312767496</v>
      </c>
    </row>
    <row r="616" spans="1:40" x14ac:dyDescent="0.25">
      <c r="A616" t="str">
        <f>"20190303170952717"</f>
        <v>20190303170952717</v>
      </c>
      <c r="B616" t="str">
        <f>"1551604192711513"</f>
        <v>1551604192711513</v>
      </c>
      <c r="C616" t="s">
        <v>40</v>
      </c>
      <c r="D616">
        <v>4.4784839999999999</v>
      </c>
      <c r="E616">
        <v>0.53158309999999998</v>
      </c>
      <c r="F616" t="s">
        <v>42</v>
      </c>
      <c r="G616">
        <v>-275.12950000000001</v>
      </c>
      <c r="H616" s="1">
        <v>-2.7419299999999999E-6</v>
      </c>
      <c r="I616">
        <v>365.8381</v>
      </c>
      <c r="J616">
        <v>-292.4357</v>
      </c>
      <c r="K616">
        <v>1.0712759999999999</v>
      </c>
      <c r="L616">
        <v>367.92579999999998</v>
      </c>
      <c r="M616">
        <v>0.99984039999999996</v>
      </c>
      <c r="N616">
        <v>-1.4062059999999999E-2</v>
      </c>
      <c r="O616">
        <v>1.1029809999999999E-2</v>
      </c>
      <c r="P616">
        <v>0.97590549999999998</v>
      </c>
      <c r="Q616">
        <v>0.2132957</v>
      </c>
      <c r="R616">
        <v>-4.5974899999999999E-2</v>
      </c>
      <c r="S616">
        <v>3.0984500000000001</v>
      </c>
      <c r="T616">
        <v>-0.189253</v>
      </c>
      <c r="U616">
        <v>-0.36834719999999999</v>
      </c>
      <c r="V616">
        <v>5.6686430000000003E-2</v>
      </c>
      <c r="W616">
        <v>0.2270027</v>
      </c>
      <c r="X616">
        <v>0.97224299999999997</v>
      </c>
      <c r="Y616">
        <v>0.12869269999999999</v>
      </c>
      <c r="Z616">
        <v>-5.3383399999999996E-3</v>
      </c>
      <c r="AA616">
        <v>0.9916701</v>
      </c>
      <c r="AB616">
        <v>37</v>
      </c>
      <c r="AC616">
        <v>17.306199999999901</v>
      </c>
      <c r="AD616">
        <v>-1.0712787419299901</v>
      </c>
      <c r="AE616">
        <v>-2.0876999999999799</v>
      </c>
      <c r="AF616">
        <v>2.26990290145369</v>
      </c>
      <c r="AG616">
        <v>-1.0712787419299901</v>
      </c>
      <c r="AH616">
        <v>17.217091867681301</v>
      </c>
      <c r="AI616">
        <v>93.529989027811993</v>
      </c>
      <c r="AJ616">
        <v>82.4894352525898</v>
      </c>
      <c r="AK616">
        <v>17.3990904849971</v>
      </c>
      <c r="AL616">
        <v>76.879328059679196</v>
      </c>
      <c r="AM616">
        <v>86.6631589697175</v>
      </c>
      <c r="AN616">
        <v>1.00000001410121</v>
      </c>
    </row>
    <row r="617" spans="1:40" x14ac:dyDescent="0.25">
      <c r="A617" t="str">
        <f>"20190303170952730"</f>
        <v>20190303170952730</v>
      </c>
      <c r="B617" t="str">
        <f>"1551604192721274"</f>
        <v>1551604192721274</v>
      </c>
      <c r="C617" t="s">
        <v>40</v>
      </c>
      <c r="D617">
        <v>4.4267789999999998</v>
      </c>
      <c r="E617">
        <v>0.53201339999999997</v>
      </c>
      <c r="F617" t="s">
        <v>43</v>
      </c>
      <c r="G617">
        <v>-291.3886</v>
      </c>
      <c r="H617">
        <v>0.96372409999999997</v>
      </c>
      <c r="I617">
        <v>367.81110000000001</v>
      </c>
      <c r="J617">
        <v>-292.21140000000003</v>
      </c>
      <c r="K617">
        <v>1.0712729999999999</v>
      </c>
      <c r="L617">
        <v>367.92829999999998</v>
      </c>
      <c r="M617">
        <v>0.9998397</v>
      </c>
      <c r="N617">
        <v>-1.4060359999999999E-2</v>
      </c>
      <c r="O617">
        <v>1.1087319999999999E-2</v>
      </c>
      <c r="P617">
        <v>0.97592100000000004</v>
      </c>
      <c r="Q617">
        <v>0.21314440000000001</v>
      </c>
      <c r="R617">
        <v>-4.6343219999999997E-2</v>
      </c>
      <c r="S617">
        <v>3.1282350000000001</v>
      </c>
      <c r="T617">
        <v>-0.32142320000000002</v>
      </c>
      <c r="U617">
        <v>-0.34234619999999999</v>
      </c>
      <c r="V617">
        <v>5.7111910000000002E-2</v>
      </c>
      <c r="W617">
        <v>0.22684950000000001</v>
      </c>
      <c r="X617">
        <v>0.9722539</v>
      </c>
      <c r="Y617">
        <v>0.1190553</v>
      </c>
      <c r="Z617">
        <v>-7.9022759999999997E-3</v>
      </c>
      <c r="AA617">
        <v>0.99285619999999997</v>
      </c>
      <c r="AB617">
        <v>37</v>
      </c>
      <c r="AC617">
        <v>0.82280000000002895</v>
      </c>
      <c r="AD617">
        <v>-0.107548899999999</v>
      </c>
      <c r="AE617">
        <v>-0.117199999999968</v>
      </c>
      <c r="AF617">
        <v>0.124235941065009</v>
      </c>
      <c r="AG617">
        <v>-0.107548899999999</v>
      </c>
      <c r="AH617">
        <v>0.80792075593038604</v>
      </c>
      <c r="AI617">
        <v>97.495446604195607</v>
      </c>
      <c r="AJ617">
        <v>81.257963961963199</v>
      </c>
      <c r="AK617">
        <v>0.82446181403788799</v>
      </c>
      <c r="AL617">
        <v>76.888341459160699</v>
      </c>
      <c r="AM617">
        <v>86.638207967018303</v>
      </c>
      <c r="AN617">
        <v>1.00000005598965</v>
      </c>
    </row>
    <row r="618" spans="1:40" x14ac:dyDescent="0.25">
      <c r="A618" t="str">
        <f>"20190303170952743"</f>
        <v>20190303170952743</v>
      </c>
      <c r="B618" t="str">
        <f>"1551604192731033"</f>
        <v>1551604192731033</v>
      </c>
      <c r="C618" t="s">
        <v>40</v>
      </c>
      <c r="D618">
        <v>4.440645</v>
      </c>
      <c r="E618">
        <v>0.53303459999999903</v>
      </c>
      <c r="F618" t="s">
        <v>43</v>
      </c>
      <c r="G618">
        <v>-291.38569999999999</v>
      </c>
      <c r="H618">
        <v>0.97117730000000002</v>
      </c>
      <c r="I618">
        <v>367.83780000000002</v>
      </c>
      <c r="J618">
        <v>-291.98020000000002</v>
      </c>
      <c r="K618">
        <v>1.0712649999999999</v>
      </c>
      <c r="L618">
        <v>367.93099999999998</v>
      </c>
      <c r="M618">
        <v>0.99983909999999998</v>
      </c>
      <c r="N618">
        <v>-1.4058630000000001E-2</v>
      </c>
      <c r="O618">
        <v>1.114649E-2</v>
      </c>
      <c r="P618">
        <v>0.97596709999999998</v>
      </c>
      <c r="Q618">
        <v>0.21286169999999999</v>
      </c>
      <c r="R618">
        <v>-4.667205E-2</v>
      </c>
      <c r="S618">
        <v>3.1408689999999999</v>
      </c>
      <c r="T618">
        <v>-0.38086439999999999</v>
      </c>
      <c r="U618">
        <v>-0.34387210000000001</v>
      </c>
      <c r="V618">
        <v>5.7499550000000003E-2</v>
      </c>
      <c r="W618">
        <v>0.22656570000000001</v>
      </c>
      <c r="X618">
        <v>0.97229719999999997</v>
      </c>
      <c r="Y618">
        <v>0.118882</v>
      </c>
      <c r="Z618">
        <v>-9.1891490000000006E-3</v>
      </c>
      <c r="AA618">
        <v>0.99286589999999997</v>
      </c>
      <c r="AB618">
        <v>37</v>
      </c>
      <c r="AC618">
        <v>0.594500000000039</v>
      </c>
      <c r="AD618">
        <v>-0.100087699999999</v>
      </c>
      <c r="AE618">
        <v>-9.3199999999967503E-2</v>
      </c>
      <c r="AF618">
        <v>9.7134338923501498E-2</v>
      </c>
      <c r="AG618">
        <v>-0.100087699999999</v>
      </c>
      <c r="AH618">
        <v>0.57744960693553005</v>
      </c>
      <c r="AI618">
        <v>99.699592583435603</v>
      </c>
      <c r="AJ618">
        <v>80.4515141525643</v>
      </c>
      <c r="AK618">
        <v>0.59405443861601903</v>
      </c>
      <c r="AL618">
        <v>76.905036348875896</v>
      </c>
      <c r="AM618">
        <v>86.615593463304805</v>
      </c>
      <c r="AN618">
        <v>1.00000002989726</v>
      </c>
    </row>
    <row r="619" spans="1:40" x14ac:dyDescent="0.25">
      <c r="A619" t="str">
        <f>"20190303170952757"</f>
        <v>20190303170952757</v>
      </c>
      <c r="B619" t="str">
        <f>"1551604192751529"</f>
        <v>1551604192751529</v>
      </c>
      <c r="C619" t="s">
        <v>40</v>
      </c>
      <c r="D619">
        <v>4.4450529999999997</v>
      </c>
      <c r="E619">
        <v>0.5341899</v>
      </c>
      <c r="F619" t="s">
        <v>43</v>
      </c>
      <c r="G619">
        <v>-291.0643</v>
      </c>
      <c r="H619">
        <v>0.94738509999999998</v>
      </c>
      <c r="I619">
        <v>367.82830000000001</v>
      </c>
      <c r="J619">
        <v>-291.7663</v>
      </c>
      <c r="K619">
        <v>1.071261</v>
      </c>
      <c r="L619">
        <v>367.93340000000001</v>
      </c>
      <c r="M619">
        <v>0.99983849999999996</v>
      </c>
      <c r="N619">
        <v>-1.405704E-2</v>
      </c>
      <c r="O619">
        <v>1.1200959999999999E-2</v>
      </c>
      <c r="P619">
        <v>0.97606369999999998</v>
      </c>
      <c r="Q619">
        <v>0.21239269999999999</v>
      </c>
      <c r="R619">
        <v>-4.6789379999999998E-2</v>
      </c>
      <c r="S619">
        <v>3.1500240000000002</v>
      </c>
      <c r="T619">
        <v>-0.42626760000000002</v>
      </c>
      <c r="U619">
        <v>-0.35168460000000001</v>
      </c>
      <c r="V619">
        <v>5.7671920000000002E-2</v>
      </c>
      <c r="W619">
        <v>0.2260962</v>
      </c>
      <c r="X619">
        <v>0.97239629999999999</v>
      </c>
      <c r="Y619">
        <v>0.1207976</v>
      </c>
      <c r="Z619">
        <v>-1.0315400000000001E-2</v>
      </c>
      <c r="AA619">
        <v>0.99262360000000005</v>
      </c>
      <c r="AB619">
        <v>37</v>
      </c>
      <c r="AC619">
        <v>0.70199999999999796</v>
      </c>
      <c r="AD619">
        <v>-0.123875899999999</v>
      </c>
      <c r="AE619">
        <v>-0.105099999999993</v>
      </c>
      <c r="AF619">
        <v>0.109618712313391</v>
      </c>
      <c r="AG619">
        <v>-0.123875899999999</v>
      </c>
      <c r="AH619">
        <v>0.68006653279208495</v>
      </c>
      <c r="AI619">
        <v>100.194618830926</v>
      </c>
      <c r="AJ619">
        <v>80.843354895441195</v>
      </c>
      <c r="AK619">
        <v>0.69989427038225205</v>
      </c>
      <c r="AL619">
        <v>76.932653674655697</v>
      </c>
      <c r="AM619">
        <v>86.605816643544301</v>
      </c>
      <c r="AN619">
        <v>1.0000000531322999</v>
      </c>
    </row>
    <row r="620" spans="1:40" x14ac:dyDescent="0.25">
      <c r="A620" t="str">
        <f>"20190303170952771"</f>
        <v>20190303170952771</v>
      </c>
      <c r="B620" t="str">
        <f>"1551604192761290"</f>
        <v>1551604192761290</v>
      </c>
      <c r="C620" t="s">
        <v>40</v>
      </c>
      <c r="D620">
        <v>4.4673449999999999</v>
      </c>
      <c r="E620">
        <v>0.53425540000000005</v>
      </c>
      <c r="F620" t="s">
        <v>43</v>
      </c>
      <c r="G620">
        <v>-290.74669999999998</v>
      </c>
      <c r="H620">
        <v>0.91546879999999997</v>
      </c>
      <c r="I620">
        <v>367.81760000000003</v>
      </c>
      <c r="J620">
        <v>-291.51260000000002</v>
      </c>
      <c r="K620">
        <v>1.071256</v>
      </c>
      <c r="L620">
        <v>367.93630000000002</v>
      </c>
      <c r="M620">
        <v>0.9998378</v>
      </c>
      <c r="N620">
        <v>-1.405522E-2</v>
      </c>
      <c r="O620">
        <v>1.126664E-2</v>
      </c>
      <c r="P620">
        <v>0.97614259999999997</v>
      </c>
      <c r="Q620">
        <v>0.21205170000000001</v>
      </c>
      <c r="R620">
        <v>-4.6691249999999997E-2</v>
      </c>
      <c r="S620">
        <v>3.1615600000000001</v>
      </c>
      <c r="T620">
        <v>-0.48324420000000001</v>
      </c>
      <c r="U620">
        <v>-0.35833739999999997</v>
      </c>
      <c r="V620">
        <v>5.7639370000000002E-2</v>
      </c>
      <c r="W620">
        <v>0.22575429999999999</v>
      </c>
      <c r="X620">
        <v>0.97247760000000005</v>
      </c>
      <c r="Y620">
        <v>0.1221701</v>
      </c>
      <c r="Z620">
        <v>-1.167054E-2</v>
      </c>
      <c r="AA620">
        <v>0.99244060000000001</v>
      </c>
      <c r="AB620">
        <v>37</v>
      </c>
      <c r="AC620">
        <v>0.76590000000004399</v>
      </c>
      <c r="AD620">
        <v>-0.15578719999999999</v>
      </c>
      <c r="AE620">
        <v>-0.11869999999998899</v>
      </c>
      <c r="AF620">
        <v>0.12237802280378</v>
      </c>
      <c r="AG620">
        <v>-0.15578719999999999</v>
      </c>
      <c r="AH620">
        <v>0.73482492062901705</v>
      </c>
      <c r="AI620">
        <v>101.81178664698901</v>
      </c>
      <c r="AJ620">
        <v>80.544717972079596</v>
      </c>
      <c r="AK620">
        <v>0.76106090171985796</v>
      </c>
      <c r="AL620">
        <v>76.952762220059199</v>
      </c>
      <c r="AM620">
        <v>86.608010778655597</v>
      </c>
      <c r="AN620">
        <v>0.99999999172212295</v>
      </c>
    </row>
    <row r="621" spans="1:40" x14ac:dyDescent="0.25">
      <c r="A621" t="str">
        <f>"20190303170952782"</f>
        <v>20190303170952782</v>
      </c>
      <c r="B621" t="str">
        <f>"1551604192771050"</f>
        <v>1551604192771050</v>
      </c>
      <c r="C621" t="s">
        <v>40</v>
      </c>
      <c r="D621">
        <v>4.4261019999999904</v>
      </c>
      <c r="E621">
        <v>0.53445200000000004</v>
      </c>
      <c r="F621" t="s">
        <v>43</v>
      </c>
      <c r="G621">
        <v>-290.7321</v>
      </c>
      <c r="H621">
        <v>0.94732819999999995</v>
      </c>
      <c r="I621">
        <v>367.8476</v>
      </c>
      <c r="J621">
        <v>-291.33010000000002</v>
      </c>
      <c r="K621">
        <v>1.0712539999999999</v>
      </c>
      <c r="L621">
        <v>367.9384</v>
      </c>
      <c r="M621">
        <v>0.99983719999999998</v>
      </c>
      <c r="N621">
        <v>-1.4053879999999999E-2</v>
      </c>
      <c r="O621">
        <v>1.13139E-2</v>
      </c>
      <c r="P621">
        <v>0.97623879999999996</v>
      </c>
      <c r="Q621">
        <v>0.21157280000000001</v>
      </c>
      <c r="R621">
        <v>-4.6849179999999997E-2</v>
      </c>
      <c r="S621">
        <v>3.165375</v>
      </c>
      <c r="T621">
        <v>-0.50279220000000002</v>
      </c>
      <c r="U621">
        <v>-0.35852050000000002</v>
      </c>
      <c r="V621">
        <v>5.7845050000000002E-2</v>
      </c>
      <c r="W621">
        <v>0.22527530000000001</v>
      </c>
      <c r="X621">
        <v>0.97257640000000001</v>
      </c>
      <c r="Y621">
        <v>0.1220156</v>
      </c>
      <c r="Z621">
        <v>-1.2088990000000001E-2</v>
      </c>
      <c r="AA621">
        <v>0.99245459999999996</v>
      </c>
      <c r="AB621">
        <v>37</v>
      </c>
      <c r="AC621">
        <v>0.59800000000001297</v>
      </c>
      <c r="AD621">
        <v>-0.1239258</v>
      </c>
      <c r="AE621">
        <v>-9.0800000000001505E-2</v>
      </c>
      <c r="AF621">
        <v>9.3630158635354899E-2</v>
      </c>
      <c r="AG621">
        <v>-0.1239258</v>
      </c>
      <c r="AH621">
        <v>0.57288570307305098</v>
      </c>
      <c r="AI621">
        <v>102.05094583035699</v>
      </c>
      <c r="AJ621">
        <v>80.717871307970697</v>
      </c>
      <c r="AK621">
        <v>0.59356738395672104</v>
      </c>
      <c r="AL621">
        <v>76.980931786307394</v>
      </c>
      <c r="AM621">
        <v>86.596280227905893</v>
      </c>
      <c r="AN621">
        <v>0.99999993221827299</v>
      </c>
    </row>
    <row r="622" spans="1:40" x14ac:dyDescent="0.25">
      <c r="A622" t="str">
        <f>"20190303170952794"</f>
        <v>20190303170952794</v>
      </c>
      <c r="B622" t="str">
        <f>"1551604192791546"</f>
        <v>1551604192791546</v>
      </c>
      <c r="C622" t="s">
        <v>40</v>
      </c>
      <c r="D622">
        <v>4.4078850000000003</v>
      </c>
      <c r="E622">
        <v>0.53479560000000004</v>
      </c>
      <c r="F622" t="s">
        <v>43</v>
      </c>
      <c r="G622">
        <v>-290.41230000000002</v>
      </c>
      <c r="H622">
        <v>0.92102249999999997</v>
      </c>
      <c r="I622">
        <v>367.834</v>
      </c>
      <c r="J622">
        <v>-291.13479999999998</v>
      </c>
      <c r="K622">
        <v>1.071253</v>
      </c>
      <c r="L622">
        <v>367.94060000000002</v>
      </c>
      <c r="M622">
        <v>0.99983670000000002</v>
      </c>
      <c r="N622">
        <v>-1.4052429999999999E-2</v>
      </c>
      <c r="O622">
        <v>1.136438E-2</v>
      </c>
      <c r="P622">
        <v>0.97630660000000002</v>
      </c>
      <c r="Q622">
        <v>0.21126729999999999</v>
      </c>
      <c r="R622">
        <v>-4.6815229999999999E-2</v>
      </c>
      <c r="S622">
        <v>3.1681520000000001</v>
      </c>
      <c r="T622">
        <v>-0.5186847</v>
      </c>
      <c r="U622">
        <v>-0.35992429999999997</v>
      </c>
      <c r="V622">
        <v>5.7861559999999999E-2</v>
      </c>
      <c r="W622">
        <v>0.22496959999999999</v>
      </c>
      <c r="X622">
        <v>0.97264620000000002</v>
      </c>
      <c r="Y622">
        <v>0.12229230000000001</v>
      </c>
      <c r="Z622">
        <v>-1.246595E-2</v>
      </c>
      <c r="AA622">
        <v>0.99241579999999996</v>
      </c>
      <c r="AB622">
        <v>37</v>
      </c>
      <c r="AC622">
        <v>0.72249999999996795</v>
      </c>
      <c r="AD622">
        <v>-0.15023049999999899</v>
      </c>
      <c r="AE622">
        <v>-0.106600000000014</v>
      </c>
      <c r="AF622">
        <v>0.110144016186963</v>
      </c>
      <c r="AG622">
        <v>-0.15023049999999899</v>
      </c>
      <c r="AH622">
        <v>0.69196184765124202</v>
      </c>
      <c r="AI622">
        <v>102.101499948087</v>
      </c>
      <c r="AJ622">
        <v>80.955738263567696</v>
      </c>
      <c r="AK622">
        <v>0.71659759003011203</v>
      </c>
      <c r="AL622">
        <v>76.998908873473397</v>
      </c>
      <c r="AM622">
        <v>86.595554787054596</v>
      </c>
      <c r="AN622">
        <v>0.99999995571211497</v>
      </c>
    </row>
    <row r="623" spans="1:40" x14ac:dyDescent="0.25">
      <c r="A623" t="str">
        <f>"20190303170952810"</f>
        <v>20190303170952810</v>
      </c>
      <c r="B623" t="str">
        <f>"1551604192801306"</f>
        <v>1551604192801306</v>
      </c>
      <c r="C623" t="s">
        <v>40</v>
      </c>
      <c r="D623">
        <v>4.4393089999999997</v>
      </c>
      <c r="E623">
        <v>0.53507959999999999</v>
      </c>
      <c r="F623" t="s">
        <v>43</v>
      </c>
      <c r="G623">
        <v>-290.4006</v>
      </c>
      <c r="H623">
        <v>0.94623860000000004</v>
      </c>
      <c r="I623">
        <v>367.85680000000002</v>
      </c>
      <c r="J623">
        <v>-290.8809</v>
      </c>
      <c r="K623">
        <v>1.071256</v>
      </c>
      <c r="L623">
        <v>367.9436</v>
      </c>
      <c r="M623">
        <v>0.9998359</v>
      </c>
      <c r="N623">
        <v>-1.4050679999999999E-2</v>
      </c>
      <c r="O623">
        <v>1.1430060000000001E-2</v>
      </c>
      <c r="P623">
        <v>0.97635749999999999</v>
      </c>
      <c r="Q623">
        <v>0.21095259999999999</v>
      </c>
      <c r="R623">
        <v>-4.7166329999999999E-2</v>
      </c>
      <c r="S623">
        <v>3.1723940000000002</v>
      </c>
      <c r="T623">
        <v>-0.54031609999999997</v>
      </c>
      <c r="U623">
        <v>-0.3614502</v>
      </c>
      <c r="V623">
        <v>5.8277959999999997E-2</v>
      </c>
      <c r="W623">
        <v>0.22465370000000001</v>
      </c>
      <c r="X623">
        <v>0.97269439999999996</v>
      </c>
      <c r="Y623">
        <v>0.12252730000000001</v>
      </c>
      <c r="Z623">
        <v>-1.296521E-2</v>
      </c>
      <c r="AA623">
        <v>0.99238040000000005</v>
      </c>
      <c r="AB623">
        <v>37</v>
      </c>
      <c r="AC623">
        <v>0.48029999999999901</v>
      </c>
      <c r="AD623">
        <v>-0.125017399999999</v>
      </c>
      <c r="AE623">
        <v>-8.6799999999982405E-2</v>
      </c>
      <c r="AF623">
        <v>8.6602866201391196E-2</v>
      </c>
      <c r="AG623">
        <v>-0.125017399999999</v>
      </c>
      <c r="AH623">
        <v>0.44976790545487699</v>
      </c>
      <c r="AI623">
        <v>105.26678490007799</v>
      </c>
      <c r="AJ623">
        <v>79.101078581064201</v>
      </c>
      <c r="AK623">
        <v>0.47478476756770799</v>
      </c>
      <c r="AL623">
        <v>77.017484689102005</v>
      </c>
      <c r="AM623">
        <v>86.571282493266594</v>
      </c>
      <c r="AN623">
        <v>1.0000000006684</v>
      </c>
    </row>
    <row r="624" spans="1:40" x14ac:dyDescent="0.25">
      <c r="A624" t="str">
        <f>"20190303170952823"</f>
        <v>20190303170952823</v>
      </c>
      <c r="B624" t="str">
        <f>"1551604192811066"</f>
        <v>1551604192811066</v>
      </c>
      <c r="C624" t="s">
        <v>40</v>
      </c>
      <c r="D624">
        <v>4.4319660000000001</v>
      </c>
      <c r="E624">
        <v>0.53531859999999998</v>
      </c>
      <c r="F624" t="s">
        <v>43</v>
      </c>
      <c r="G624">
        <v>-290.07530000000003</v>
      </c>
      <c r="H624">
        <v>0.9318727</v>
      </c>
      <c r="I624">
        <v>367.851</v>
      </c>
      <c r="J624">
        <v>-290.6635</v>
      </c>
      <c r="K624">
        <v>1.071259</v>
      </c>
      <c r="L624">
        <v>367.9461</v>
      </c>
      <c r="M624">
        <v>0.99983529999999998</v>
      </c>
      <c r="N624">
        <v>-1.4049209999999999E-2</v>
      </c>
      <c r="O624">
        <v>1.148621E-2</v>
      </c>
      <c r="P624">
        <v>0.97631310000000004</v>
      </c>
      <c r="Q624">
        <v>0.21117</v>
      </c>
      <c r="R624">
        <v>-4.711518E-2</v>
      </c>
      <c r="S624">
        <v>3.173737</v>
      </c>
      <c r="T624">
        <v>-0.54925000000000002</v>
      </c>
      <c r="U624">
        <v>-0.36370849999999999</v>
      </c>
      <c r="V624">
        <v>5.8281159999999999E-2</v>
      </c>
      <c r="W624">
        <v>0.22486929999999999</v>
      </c>
      <c r="X624">
        <v>0.97264439999999996</v>
      </c>
      <c r="Y624">
        <v>0.1231589</v>
      </c>
      <c r="Z624">
        <v>-1.322685E-2</v>
      </c>
      <c r="AA624">
        <v>0.99229880000000004</v>
      </c>
      <c r="AB624">
        <v>37</v>
      </c>
      <c r="AC624">
        <v>0.58819999999997197</v>
      </c>
      <c r="AD624">
        <v>-0.13938629999999999</v>
      </c>
      <c r="AE624">
        <v>-9.51000000000021E-2</v>
      </c>
      <c r="AF624">
        <v>9.6566033762669395E-2</v>
      </c>
      <c r="AG624">
        <v>-0.13938629999999999</v>
      </c>
      <c r="AH624">
        <v>0.55660850976631304</v>
      </c>
      <c r="AI624">
        <v>103.860043600981</v>
      </c>
      <c r="AJ624">
        <v>80.157719410918006</v>
      </c>
      <c r="AK624">
        <v>0.58186473741636702</v>
      </c>
      <c r="AL624">
        <v>77.004807507725005</v>
      </c>
      <c r="AM624">
        <v>86.570918827532793</v>
      </c>
      <c r="AN624">
        <v>1.00000001227239</v>
      </c>
    </row>
    <row r="625" spans="1:40" x14ac:dyDescent="0.25">
      <c r="A625" t="str">
        <f>"20190303170952835"</f>
        <v>20190303170952835</v>
      </c>
      <c r="B625" t="str">
        <f>"1551604192831562"</f>
        <v>1551604192831562</v>
      </c>
      <c r="C625" t="s">
        <v>40</v>
      </c>
      <c r="D625">
        <v>4.4217120000000003</v>
      </c>
      <c r="E625">
        <v>0.53573199999999999</v>
      </c>
      <c r="F625" t="s">
        <v>43</v>
      </c>
      <c r="G625">
        <v>-289.75279999999998</v>
      </c>
      <c r="H625">
        <v>0.91202030000000001</v>
      </c>
      <c r="I625">
        <v>367.84129999999999</v>
      </c>
      <c r="J625">
        <v>-290.44889999999998</v>
      </c>
      <c r="K625">
        <v>1.0712600000000001</v>
      </c>
      <c r="L625">
        <v>367.9486</v>
      </c>
      <c r="M625">
        <v>0.99983480000000002</v>
      </c>
      <c r="N625">
        <v>-1.4047769999999999E-2</v>
      </c>
      <c r="O625">
        <v>1.154123E-2</v>
      </c>
      <c r="P625">
        <v>0.97629960000000005</v>
      </c>
      <c r="Q625">
        <v>0.2112907</v>
      </c>
      <c r="R625">
        <v>-4.6858709999999998E-2</v>
      </c>
      <c r="S625">
        <v>3.175262</v>
      </c>
      <c r="T625">
        <v>-0.55531809999999904</v>
      </c>
      <c r="U625">
        <v>-0.364624</v>
      </c>
      <c r="V625">
        <v>5.8078129999999999E-2</v>
      </c>
      <c r="W625">
        <v>0.22498770000000001</v>
      </c>
      <c r="X625">
        <v>0.97262910000000002</v>
      </c>
      <c r="Y625">
        <v>0.1233945</v>
      </c>
      <c r="Z625">
        <v>-1.338781E-2</v>
      </c>
      <c r="AA625">
        <v>0.99226740000000002</v>
      </c>
      <c r="AB625">
        <v>37</v>
      </c>
      <c r="AC625">
        <v>0.69610000000000105</v>
      </c>
      <c r="AD625">
        <v>-0.15923969999999901</v>
      </c>
      <c r="AE625">
        <v>-0.107300000000009</v>
      </c>
      <c r="AF625">
        <v>0.109719041874709</v>
      </c>
      <c r="AG625">
        <v>-0.15923969999999901</v>
      </c>
      <c r="AH625">
        <v>0.66102581163475005</v>
      </c>
      <c r="AI625">
        <v>103.36816245465501</v>
      </c>
      <c r="AJ625">
        <v>80.575795002292196</v>
      </c>
      <c r="AK625">
        <v>0.68873120580773295</v>
      </c>
      <c r="AL625">
        <v>76.997844461836706</v>
      </c>
      <c r="AM625">
        <v>86.582782494786301</v>
      </c>
      <c r="AN625">
        <v>0.99999995025119703</v>
      </c>
    </row>
    <row r="626" spans="1:40" x14ac:dyDescent="0.25">
      <c r="A626" t="str">
        <f>"20190303170952847"</f>
        <v>20190303170952847</v>
      </c>
      <c r="B626" t="str">
        <f>"1551604192841322"</f>
        <v>1551604192841322</v>
      </c>
      <c r="C626" t="s">
        <v>40</v>
      </c>
      <c r="D626">
        <v>4.4517449999999998</v>
      </c>
      <c r="E626">
        <v>0.53586290000000003</v>
      </c>
      <c r="F626" t="s">
        <v>43</v>
      </c>
      <c r="G626">
        <v>-289.73770000000002</v>
      </c>
      <c r="H626">
        <v>0.94451339999999995</v>
      </c>
      <c r="I626">
        <v>367.86649999999997</v>
      </c>
      <c r="J626">
        <v>-290.2715</v>
      </c>
      <c r="K626">
        <v>1.0712630000000001</v>
      </c>
      <c r="L626">
        <v>367.95069999999998</v>
      </c>
      <c r="M626">
        <v>0.99983420000000001</v>
      </c>
      <c r="N626">
        <v>-1.4046579999999999E-2</v>
      </c>
      <c r="O626">
        <v>1.158695E-2</v>
      </c>
      <c r="P626">
        <v>0.97630039999999996</v>
      </c>
      <c r="Q626">
        <v>0.21126329999999999</v>
      </c>
      <c r="R626">
        <v>-4.6965100000000003E-2</v>
      </c>
      <c r="S626">
        <v>3.177826</v>
      </c>
      <c r="T626">
        <v>-0.56643089999999996</v>
      </c>
      <c r="U626">
        <v>-0.36621090000000001</v>
      </c>
      <c r="V626">
        <v>5.8229410000000002E-2</v>
      </c>
      <c r="W626">
        <v>0.2249594</v>
      </c>
      <c r="X626">
        <v>0.97262660000000001</v>
      </c>
      <c r="Y626">
        <v>0.1237515</v>
      </c>
      <c r="Z626">
        <v>-1.3668649999999999E-2</v>
      </c>
      <c r="AA626">
        <v>0.99221910000000002</v>
      </c>
      <c r="AB626">
        <v>37</v>
      </c>
      <c r="AC626">
        <v>0.53379999999998495</v>
      </c>
      <c r="AD626">
        <v>-0.12674959999999899</v>
      </c>
      <c r="AE626">
        <v>-8.4200000000009795E-2</v>
      </c>
      <c r="AF626">
        <v>8.5667285538737994E-2</v>
      </c>
      <c r="AG626">
        <v>-0.12674959999999899</v>
      </c>
      <c r="AH626">
        <v>0.50500668086962597</v>
      </c>
      <c r="AI626">
        <v>103.898698340593</v>
      </c>
      <c r="AJ626">
        <v>80.372228830183005</v>
      </c>
      <c r="AK626">
        <v>0.52767043941715297</v>
      </c>
      <c r="AL626">
        <v>76.999508581860297</v>
      </c>
      <c r="AM626">
        <v>86.573893829254501</v>
      </c>
      <c r="AN626">
        <v>0.99999994943243198</v>
      </c>
    </row>
    <row r="627" spans="1:40" x14ac:dyDescent="0.25">
      <c r="A627" t="str">
        <f>"20190303170952858"</f>
        <v>20190303170952858</v>
      </c>
      <c r="B627" t="str">
        <f>"1551604192851082"</f>
        <v>1551604192851082</v>
      </c>
      <c r="C627" t="s">
        <v>40</v>
      </c>
      <c r="D627">
        <v>4.4400829999999996</v>
      </c>
      <c r="E627">
        <v>0.53608529999999999</v>
      </c>
      <c r="F627" t="s">
        <v>43</v>
      </c>
      <c r="G627">
        <v>-289.41860000000003</v>
      </c>
      <c r="H627">
        <v>0.91815329999999995</v>
      </c>
      <c r="I627">
        <v>367.85199999999998</v>
      </c>
      <c r="J627">
        <v>-290.0797</v>
      </c>
      <c r="K627">
        <v>1.0712630000000001</v>
      </c>
      <c r="L627">
        <v>367.95299999999997</v>
      </c>
      <c r="M627">
        <v>0.99983379999999999</v>
      </c>
      <c r="N627">
        <v>-1.40453E-2</v>
      </c>
      <c r="O627">
        <v>1.1636240000000001E-2</v>
      </c>
      <c r="P627">
        <v>0.97623170000000004</v>
      </c>
      <c r="Q627">
        <v>0.2116963</v>
      </c>
      <c r="R627">
        <v>-4.6440799999999997E-2</v>
      </c>
      <c r="S627">
        <v>3.1786189999999999</v>
      </c>
      <c r="T627">
        <v>-0.57061269999999997</v>
      </c>
      <c r="U627">
        <v>-0.36785889999999999</v>
      </c>
      <c r="V627">
        <v>5.775243E-2</v>
      </c>
      <c r="W627">
        <v>0.22539010000000001</v>
      </c>
      <c r="X627">
        <v>0.97255539999999996</v>
      </c>
      <c r="Y627">
        <v>0.1242402</v>
      </c>
      <c r="Z627">
        <v>-1.381421E-2</v>
      </c>
      <c r="AA627">
        <v>0.99215600000000004</v>
      </c>
      <c r="AB627">
        <v>37</v>
      </c>
      <c r="AC627">
        <v>0.66109999999997604</v>
      </c>
      <c r="AD627">
        <v>-0.15310969999999899</v>
      </c>
      <c r="AE627">
        <v>-0.101000000000055</v>
      </c>
      <c r="AF627">
        <v>0.103273607985944</v>
      </c>
      <c r="AG627">
        <v>-0.15310969999999899</v>
      </c>
      <c r="AH627">
        <v>0.62701520392708798</v>
      </c>
      <c r="AI627">
        <v>103.546748730595</v>
      </c>
      <c r="AJ627">
        <v>80.646974881749898</v>
      </c>
      <c r="AK627">
        <v>0.65364828791656204</v>
      </c>
      <c r="AL627">
        <v>76.974181808645895</v>
      </c>
      <c r="AM627">
        <v>86.601644187796396</v>
      </c>
      <c r="AN627">
        <v>1.00000002320903</v>
      </c>
    </row>
    <row r="628" spans="1:40" x14ac:dyDescent="0.25">
      <c r="A628" t="str">
        <f>"20190303170952868"</f>
        <v>20190303170952868</v>
      </c>
      <c r="B628" t="str">
        <f>"1551604192860842"</f>
        <v>1551604192860842</v>
      </c>
      <c r="C628" t="s">
        <v>40</v>
      </c>
      <c r="D628">
        <v>4.4633149999999997</v>
      </c>
      <c r="E628">
        <v>0.53619939999999999</v>
      </c>
      <c r="F628" t="s">
        <v>43</v>
      </c>
      <c r="G628">
        <v>-289.09809999999999</v>
      </c>
      <c r="H628">
        <v>0.89437</v>
      </c>
      <c r="I628">
        <v>367.839</v>
      </c>
      <c r="J628">
        <v>-289.89580000000001</v>
      </c>
      <c r="K628">
        <v>1.071264</v>
      </c>
      <c r="L628">
        <v>367.95519999999999</v>
      </c>
      <c r="M628">
        <v>0.99983310000000003</v>
      </c>
      <c r="N628">
        <v>-1.404409E-2</v>
      </c>
      <c r="O628">
        <v>1.168369E-2</v>
      </c>
      <c r="P628">
        <v>0.97621139999999995</v>
      </c>
      <c r="Q628">
        <v>0.21183540000000001</v>
      </c>
      <c r="R628">
        <v>-4.6225769999999999E-2</v>
      </c>
      <c r="S628">
        <v>3.1798709999999999</v>
      </c>
      <c r="T628">
        <v>-0.573241</v>
      </c>
      <c r="U628">
        <v>-0.36785889999999999</v>
      </c>
      <c r="V628">
        <v>5.758373E-2</v>
      </c>
      <c r="W628">
        <v>0.22552759999999999</v>
      </c>
      <c r="X628">
        <v>0.97253350000000005</v>
      </c>
      <c r="Y628">
        <v>0.1242238</v>
      </c>
      <c r="Z628">
        <v>-1.387474E-2</v>
      </c>
      <c r="AA628">
        <v>0.99215719999999996</v>
      </c>
      <c r="AB628">
        <v>37</v>
      </c>
      <c r="AC628">
        <v>0.79770000000001995</v>
      </c>
      <c r="AD628">
        <v>-0.176893999999999</v>
      </c>
      <c r="AE628">
        <v>-0.116199999999992</v>
      </c>
      <c r="AF628">
        <v>0.119746835278589</v>
      </c>
      <c r="AG628">
        <v>-0.176893999999999</v>
      </c>
      <c r="AH628">
        <v>0.75970528486795297</v>
      </c>
      <c r="AI628">
        <v>102.95308268524199</v>
      </c>
      <c r="AJ628">
        <v>81.042578724167598</v>
      </c>
      <c r="AK628">
        <v>0.78916595951139101</v>
      </c>
      <c r="AL628">
        <v>76.966095082216995</v>
      </c>
      <c r="AM628">
        <v>86.611471799428003</v>
      </c>
      <c r="AN628">
        <v>0.99999999647236104</v>
      </c>
    </row>
    <row r="629" spans="1:40" x14ac:dyDescent="0.25">
      <c r="A629" t="str">
        <f>"20190303170952880"</f>
        <v>20190303170952880</v>
      </c>
      <c r="B629" t="str">
        <f>"1551604192870602"</f>
        <v>1551604192870602</v>
      </c>
      <c r="C629" t="s">
        <v>40</v>
      </c>
      <c r="D629">
        <v>4.4664780000000004</v>
      </c>
      <c r="E629">
        <v>0.53641839999999996</v>
      </c>
      <c r="F629" t="s">
        <v>43</v>
      </c>
      <c r="G629">
        <v>-289.08449999999999</v>
      </c>
      <c r="H629">
        <v>0.9242146</v>
      </c>
      <c r="I629">
        <v>367.86090000000002</v>
      </c>
      <c r="J629">
        <v>-289.71719999999999</v>
      </c>
      <c r="K629">
        <v>1.0712600000000001</v>
      </c>
      <c r="L629">
        <v>367.95729999999998</v>
      </c>
      <c r="M629">
        <v>0.99983270000000002</v>
      </c>
      <c r="N629">
        <v>-1.404292E-2</v>
      </c>
      <c r="O629">
        <v>1.1729409999999999E-2</v>
      </c>
      <c r="P629">
        <v>0.97615300000000005</v>
      </c>
      <c r="Q629">
        <v>0.2120967</v>
      </c>
      <c r="R629">
        <v>-4.6264979999999997E-2</v>
      </c>
      <c r="S629">
        <v>3.180847</v>
      </c>
      <c r="T629">
        <v>-0.57681099999999996</v>
      </c>
      <c r="U629">
        <v>-0.36804199999999998</v>
      </c>
      <c r="V629">
        <v>5.7667009999999998E-2</v>
      </c>
      <c r="W629">
        <v>0.2257873</v>
      </c>
      <c r="X629">
        <v>0.97246829999999995</v>
      </c>
      <c r="Y629">
        <v>0.1242632</v>
      </c>
      <c r="Z629">
        <v>-1.3962769999999999E-2</v>
      </c>
      <c r="AA629">
        <v>0.99215100000000001</v>
      </c>
      <c r="AB629">
        <v>37</v>
      </c>
      <c r="AC629">
        <v>0.63269999999999904</v>
      </c>
      <c r="AD629">
        <v>-0.14704539999999999</v>
      </c>
      <c r="AE629">
        <v>-9.6399999999960004E-2</v>
      </c>
      <c r="AF629">
        <v>9.8609816859531199E-2</v>
      </c>
      <c r="AG629">
        <v>-0.14704539999999999</v>
      </c>
      <c r="AH629">
        <v>0.59985984889198596</v>
      </c>
      <c r="AI629">
        <v>103.597886281833</v>
      </c>
      <c r="AJ629">
        <v>80.664748718856799</v>
      </c>
      <c r="AK629">
        <v>0.62544231065298606</v>
      </c>
      <c r="AL629">
        <v>76.950821346472296</v>
      </c>
      <c r="AM629">
        <v>86.606355629059195</v>
      </c>
      <c r="AN629">
        <v>0.99999999169425902</v>
      </c>
    </row>
    <row r="630" spans="1:40" x14ac:dyDescent="0.25">
      <c r="A630" t="str">
        <f>"20190303170952892"</f>
        <v>20190303170952892</v>
      </c>
      <c r="B630" t="str">
        <f>"1551604192881338"</f>
        <v>1551604192881338</v>
      </c>
      <c r="C630" t="s">
        <v>40</v>
      </c>
      <c r="D630">
        <v>4.4970129999999999</v>
      </c>
      <c r="E630">
        <v>0.53658130000000004</v>
      </c>
      <c r="F630" t="s">
        <v>43</v>
      </c>
      <c r="G630">
        <v>-288.76549999999997</v>
      </c>
      <c r="H630">
        <v>0.89802479999999996</v>
      </c>
      <c r="I630">
        <v>367.84679999999997</v>
      </c>
      <c r="J630">
        <v>-289.52370000000002</v>
      </c>
      <c r="K630">
        <v>1.0712619999999999</v>
      </c>
      <c r="L630">
        <v>367.9597</v>
      </c>
      <c r="M630">
        <v>0.9998321</v>
      </c>
      <c r="N630">
        <v>-1.4041669999999999E-2</v>
      </c>
      <c r="O630">
        <v>1.1779359999999999E-2</v>
      </c>
      <c r="P630">
        <v>0.97615209999999997</v>
      </c>
      <c r="Q630">
        <v>0.2121401</v>
      </c>
      <c r="R630">
        <v>-4.6083060000000002E-2</v>
      </c>
      <c r="S630">
        <v>3.181702</v>
      </c>
      <c r="T630">
        <v>-0.57919169999999998</v>
      </c>
      <c r="U630">
        <v>-0.36917109999999997</v>
      </c>
      <c r="V630">
        <v>5.7533889999999997E-2</v>
      </c>
      <c r="W630">
        <v>0.2258291</v>
      </c>
      <c r="X630">
        <v>0.97246650000000001</v>
      </c>
      <c r="Y630">
        <v>0.12460590000000001</v>
      </c>
      <c r="Z630">
        <v>-1.405438E-2</v>
      </c>
      <c r="AA630">
        <v>0.99210679999999996</v>
      </c>
      <c r="AB630">
        <v>37</v>
      </c>
      <c r="AC630">
        <v>0.75820000000004395</v>
      </c>
      <c r="AD630">
        <v>-0.17323720000000001</v>
      </c>
      <c r="AE630">
        <v>-0.112900000000024</v>
      </c>
      <c r="AF630">
        <v>0.115904574618163</v>
      </c>
      <c r="AG630">
        <v>-0.17323720000000001</v>
      </c>
      <c r="AH630">
        <v>0.72004270366548495</v>
      </c>
      <c r="AI630">
        <v>103.362129819556</v>
      </c>
      <c r="AJ630">
        <v>80.855595890188795</v>
      </c>
      <c r="AK630">
        <v>0.749604224229799</v>
      </c>
      <c r="AL630">
        <v>76.948363158396603</v>
      </c>
      <c r="AM630">
        <v>86.614165105803906</v>
      </c>
      <c r="AN630">
        <v>1.00000001226379</v>
      </c>
    </row>
    <row r="631" spans="1:40" x14ac:dyDescent="0.25">
      <c r="A631" t="str">
        <f>"20190303170952903"</f>
        <v>20190303170952903</v>
      </c>
      <c r="B631" t="str">
        <f>"1551604192891098"</f>
        <v>1551604192891098</v>
      </c>
      <c r="C631" t="s">
        <v>40</v>
      </c>
      <c r="D631">
        <v>4.4811079999999999</v>
      </c>
      <c r="E631">
        <v>0.53707550000000004</v>
      </c>
      <c r="F631" t="s">
        <v>43</v>
      </c>
      <c r="G631">
        <v>-288.7509</v>
      </c>
      <c r="H631">
        <v>0.92991889999999999</v>
      </c>
      <c r="I631">
        <v>367.8698</v>
      </c>
      <c r="J631">
        <v>-289.33530000000002</v>
      </c>
      <c r="K631">
        <v>1.0712619999999999</v>
      </c>
      <c r="L631">
        <v>367.96190000000001</v>
      </c>
      <c r="M631">
        <v>0.99983149999999998</v>
      </c>
      <c r="N631">
        <v>-1.4040469999999999E-2</v>
      </c>
      <c r="O631">
        <v>1.1828109999999999E-2</v>
      </c>
      <c r="P631">
        <v>0.97610629999999998</v>
      </c>
      <c r="Q631">
        <v>0.21229580000000001</v>
      </c>
      <c r="R631">
        <v>-4.6335540000000001E-2</v>
      </c>
      <c r="S631">
        <v>3.1822810000000001</v>
      </c>
      <c r="T631">
        <v>-0.58202299999999996</v>
      </c>
      <c r="U631">
        <v>-0.36978149999999999</v>
      </c>
      <c r="V631">
        <v>5.7833570000000001E-2</v>
      </c>
      <c r="W631">
        <v>0.22598280000000001</v>
      </c>
      <c r="X631">
        <v>0.97241299999999997</v>
      </c>
      <c r="Y631">
        <v>0.124796</v>
      </c>
      <c r="Z631">
        <v>-1.4142679999999999E-2</v>
      </c>
      <c r="AA631">
        <v>0.99208160000000001</v>
      </c>
      <c r="AB631">
        <v>37</v>
      </c>
      <c r="AC631">
        <v>0.58440000000001602</v>
      </c>
      <c r="AD631">
        <v>-0.1413431</v>
      </c>
      <c r="AE631">
        <v>-9.2100000000016197E-2</v>
      </c>
      <c r="AF631">
        <v>9.3660562122934804E-2</v>
      </c>
      <c r="AG631">
        <v>-0.1413431</v>
      </c>
      <c r="AH631">
        <v>0.55177503628395397</v>
      </c>
      <c r="AI631">
        <v>104.17357529383099</v>
      </c>
      <c r="AJ631">
        <v>80.366204923016198</v>
      </c>
      <c r="AK631">
        <v>0.57723986650347803</v>
      </c>
      <c r="AL631">
        <v>76.939322876213694</v>
      </c>
      <c r="AM631">
        <v>86.596383658020599</v>
      </c>
      <c r="AN631">
        <v>0.99999999514189197</v>
      </c>
    </row>
    <row r="632" spans="1:40" x14ac:dyDescent="0.25">
      <c r="A632" t="str">
        <f>"20190303170952915"</f>
        <v>20190303170952915</v>
      </c>
      <c r="B632" t="str">
        <f>"1551604192911594"</f>
        <v>1551604192911594</v>
      </c>
      <c r="C632" t="s">
        <v>40</v>
      </c>
      <c r="D632">
        <v>4.4955160000000003</v>
      </c>
      <c r="E632">
        <v>0.55059469999999899</v>
      </c>
      <c r="F632" t="s">
        <v>43</v>
      </c>
      <c r="G632">
        <v>-288.43150000000003</v>
      </c>
      <c r="H632">
        <v>0.90528500000000001</v>
      </c>
      <c r="I632">
        <v>367.85539999999997</v>
      </c>
      <c r="J632">
        <v>-289.12950000000001</v>
      </c>
      <c r="K632">
        <v>1.071267</v>
      </c>
      <c r="L632">
        <v>367.96440000000001</v>
      </c>
      <c r="M632">
        <v>0.99983080000000002</v>
      </c>
      <c r="N632">
        <v>-1.403916E-2</v>
      </c>
      <c r="O632">
        <v>1.1881579999999999E-2</v>
      </c>
      <c r="P632">
        <v>0.97611499999999995</v>
      </c>
      <c r="Q632">
        <v>0.2122685</v>
      </c>
      <c r="R632">
        <v>-4.6276379999999999E-2</v>
      </c>
      <c r="S632">
        <v>3.182922</v>
      </c>
      <c r="T632">
        <v>-0.58474559999999998</v>
      </c>
      <c r="U632">
        <v>-0.37380980000000003</v>
      </c>
      <c r="V632">
        <v>5.7826910000000002E-2</v>
      </c>
      <c r="W632">
        <v>0.22595399999999999</v>
      </c>
      <c r="X632">
        <v>0.97242010000000001</v>
      </c>
      <c r="Y632">
        <v>0.126022</v>
      </c>
      <c r="Z632">
        <v>-1.43299E-2</v>
      </c>
      <c r="AA632">
        <v>0.99192389999999997</v>
      </c>
      <c r="AB632">
        <v>37</v>
      </c>
      <c r="AC632">
        <v>0.69799999999997897</v>
      </c>
      <c r="AD632">
        <v>-0.16598199999999899</v>
      </c>
      <c r="AE632">
        <v>-0.109000000000037</v>
      </c>
      <c r="AF632">
        <v>0.111150821141656</v>
      </c>
      <c r="AG632">
        <v>-0.16598199999999899</v>
      </c>
      <c r="AH632">
        <v>0.66021114046497098</v>
      </c>
      <c r="AI632">
        <v>103.92394344229299</v>
      </c>
      <c r="AJ632">
        <v>80.443501458631602</v>
      </c>
      <c r="AK632">
        <v>0.68977045410667004</v>
      </c>
      <c r="AL632">
        <v>76.941016956622406</v>
      </c>
      <c r="AM632">
        <v>86.596799480288993</v>
      </c>
      <c r="AN632">
        <v>1.00000000626007</v>
      </c>
    </row>
    <row r="633" spans="1:40" x14ac:dyDescent="0.25">
      <c r="A633" t="str">
        <f>"20190303170952929"</f>
        <v>20190303170952929</v>
      </c>
      <c r="B633" t="str">
        <f>"1551604192921354"</f>
        <v>1551604192921354</v>
      </c>
      <c r="C633" t="s">
        <v>40</v>
      </c>
      <c r="D633">
        <v>4.5089860000000002</v>
      </c>
      <c r="E633">
        <v>0.55044630000000005</v>
      </c>
      <c r="F633" t="s">
        <v>43</v>
      </c>
      <c r="G633">
        <v>-288.42290000000003</v>
      </c>
      <c r="H633">
        <v>0.9231935</v>
      </c>
      <c r="I633">
        <v>367.85840000000002</v>
      </c>
      <c r="J633">
        <v>-288.91520000000003</v>
      </c>
      <c r="K633">
        <v>1.0712680000000001</v>
      </c>
      <c r="L633">
        <v>367.96699999999998</v>
      </c>
      <c r="M633">
        <v>0.9998302</v>
      </c>
      <c r="N633">
        <v>-1.4037829999999999E-2</v>
      </c>
      <c r="O633">
        <v>1.193672E-2</v>
      </c>
      <c r="P633">
        <v>0.97611360000000003</v>
      </c>
      <c r="Q633">
        <v>0.2123324</v>
      </c>
      <c r="R633">
        <v>-4.6014430000000002E-2</v>
      </c>
      <c r="S633">
        <v>3.1965330000000001</v>
      </c>
      <c r="T633">
        <v>-0.67015190000000002</v>
      </c>
      <c r="U633">
        <v>-0.4776917</v>
      </c>
      <c r="V633">
        <v>5.7618660000000002E-2</v>
      </c>
      <c r="W633">
        <v>0.2260172</v>
      </c>
      <c r="X633">
        <v>0.9724178</v>
      </c>
      <c r="Y633">
        <v>0.15582779999999999</v>
      </c>
      <c r="Z633">
        <v>-1.9482599999999999E-2</v>
      </c>
      <c r="AA633">
        <v>0.98759209999999997</v>
      </c>
      <c r="AB633">
        <v>37</v>
      </c>
      <c r="AC633">
        <v>0.49230000000000002</v>
      </c>
      <c r="AD633">
        <v>-0.1480745</v>
      </c>
      <c r="AE633">
        <v>-0.108599999999967</v>
      </c>
      <c r="AF633">
        <v>0.105378203622776</v>
      </c>
      <c r="AG633">
        <v>-0.1480745</v>
      </c>
      <c r="AH633">
        <v>0.45197603456983498</v>
      </c>
      <c r="AI633">
        <v>107.695736937294</v>
      </c>
      <c r="AJ633">
        <v>76.875941018569094</v>
      </c>
      <c r="AK633">
        <v>0.487147779605415</v>
      </c>
      <c r="AL633">
        <v>76.937300032114393</v>
      </c>
      <c r="AM633">
        <v>86.609018653403496</v>
      </c>
      <c r="AN633">
        <v>1.0000000312164301</v>
      </c>
    </row>
    <row r="634" spans="1:40" x14ac:dyDescent="0.25">
      <c r="A634" t="str">
        <f>"20190303170952942"</f>
        <v>20190303170952942</v>
      </c>
      <c r="B634" t="str">
        <f>"1551604192931114"</f>
        <v>1551604192931114</v>
      </c>
      <c r="C634" t="s">
        <v>40</v>
      </c>
      <c r="D634">
        <v>4.5089110000000003</v>
      </c>
      <c r="E634">
        <v>0.55035699999999999</v>
      </c>
      <c r="F634" t="s">
        <v>43</v>
      </c>
      <c r="G634">
        <v>-288.10250000000002</v>
      </c>
      <c r="H634">
        <v>0.90076069999999997</v>
      </c>
      <c r="I634">
        <v>367.84620000000001</v>
      </c>
      <c r="J634">
        <v>-288.6841</v>
      </c>
      <c r="K634">
        <v>1.0712699999999999</v>
      </c>
      <c r="L634">
        <v>367.96980000000002</v>
      </c>
      <c r="M634">
        <v>0.99982950000000004</v>
      </c>
      <c r="N634">
        <v>-1.4036399999999999E-2</v>
      </c>
      <c r="O634">
        <v>1.1995550000000001E-2</v>
      </c>
      <c r="P634">
        <v>0.97611389999999998</v>
      </c>
      <c r="Q634">
        <v>0.21234529999999999</v>
      </c>
      <c r="R634">
        <v>-4.5946639999999997E-2</v>
      </c>
      <c r="S634">
        <v>3.196869</v>
      </c>
      <c r="T634">
        <v>-0.67073149999999904</v>
      </c>
      <c r="U634">
        <v>-0.47558590000000001</v>
      </c>
      <c r="V634">
        <v>5.7608609999999998E-2</v>
      </c>
      <c r="W634">
        <v>0.22602829999999999</v>
      </c>
      <c r="X634">
        <v>0.97241580000000005</v>
      </c>
      <c r="Y634">
        <v>0.15524070000000001</v>
      </c>
      <c r="Z634">
        <v>-1.9443680000000001E-2</v>
      </c>
      <c r="AA634">
        <v>0.98768529999999999</v>
      </c>
      <c r="AB634">
        <v>37</v>
      </c>
      <c r="AC634">
        <v>0.58159999999998002</v>
      </c>
      <c r="AD634">
        <v>-0.1705093</v>
      </c>
      <c r="AE634">
        <v>-0.12360000000000999</v>
      </c>
      <c r="AF634">
        <v>0.120646863898297</v>
      </c>
      <c r="AG634">
        <v>-0.1705093</v>
      </c>
      <c r="AH634">
        <v>0.53599698887672598</v>
      </c>
      <c r="AI634">
        <v>107.24179901554299</v>
      </c>
      <c r="AJ634">
        <v>77.314779506064198</v>
      </c>
      <c r="AK634">
        <v>0.575258080551592</v>
      </c>
      <c r="AL634">
        <v>76.936646954420695</v>
      </c>
      <c r="AM634">
        <v>86.609601780700601</v>
      </c>
      <c r="AN634">
        <v>1.00000001621833</v>
      </c>
    </row>
    <row r="635" spans="1:40" x14ac:dyDescent="0.25">
      <c r="A635" t="str">
        <f>"20190303170952956"</f>
        <v>20190303170952956</v>
      </c>
      <c r="B635" t="str">
        <f>"1551604192951610"</f>
        <v>1551604192951610</v>
      </c>
      <c r="C635" t="s">
        <v>40</v>
      </c>
      <c r="D635">
        <v>4.5088119999999998</v>
      </c>
      <c r="E635">
        <v>0.55052330000000005</v>
      </c>
      <c r="F635" t="s">
        <v>43</v>
      </c>
      <c r="G635">
        <v>-287.7808</v>
      </c>
      <c r="H635">
        <v>0.881522899999999</v>
      </c>
      <c r="I635">
        <v>367.8356</v>
      </c>
      <c r="J635">
        <v>-288.46159999999998</v>
      </c>
      <c r="K635">
        <v>1.0712710000000001</v>
      </c>
      <c r="L635">
        <v>367.97250000000003</v>
      </c>
      <c r="M635">
        <v>0.99982890000000002</v>
      </c>
      <c r="N635">
        <v>-1.4035010000000001E-2</v>
      </c>
      <c r="O635">
        <v>1.205169E-2</v>
      </c>
      <c r="P635">
        <v>0.97606119999999996</v>
      </c>
      <c r="Q635">
        <v>0.2126584</v>
      </c>
      <c r="R635">
        <v>-4.5618730000000003E-2</v>
      </c>
      <c r="S635">
        <v>3.197174</v>
      </c>
      <c r="T635">
        <v>-0.67159950000000002</v>
      </c>
      <c r="U635">
        <v>-0.47467039999999999</v>
      </c>
      <c r="V635">
        <v>5.7334950000000003E-2</v>
      </c>
      <c r="W635">
        <v>0.22633909999999999</v>
      </c>
      <c r="X635">
        <v>0.97235970000000005</v>
      </c>
      <c r="Y635">
        <v>0.15500120000000001</v>
      </c>
      <c r="Z635">
        <v>-1.945007E-2</v>
      </c>
      <c r="AA635">
        <v>0.98772280000000001</v>
      </c>
      <c r="AB635">
        <v>37</v>
      </c>
      <c r="AC635">
        <v>0.68079999999997598</v>
      </c>
      <c r="AD635">
        <v>-0.1897481</v>
      </c>
      <c r="AE635">
        <v>-0.136900000000025</v>
      </c>
      <c r="AF635">
        <v>0.135015135643198</v>
      </c>
      <c r="AG635">
        <v>-0.1897481</v>
      </c>
      <c r="AH635">
        <v>0.63192000987511299</v>
      </c>
      <c r="AI635">
        <v>106.364596479103</v>
      </c>
      <c r="AJ635">
        <v>77.939601655025697</v>
      </c>
      <c r="AK635">
        <v>0.67346590647702798</v>
      </c>
      <c r="AL635">
        <v>76.918365916311004</v>
      </c>
      <c r="AM635">
        <v>86.625475762433695</v>
      </c>
      <c r="AN635">
        <v>1.0000000354322001</v>
      </c>
    </row>
    <row r="636" spans="1:40" x14ac:dyDescent="0.25">
      <c r="A636" t="str">
        <f>"20190303170952969"</f>
        <v>20190303170952969</v>
      </c>
      <c r="B636" t="str">
        <f>"1551604192961369"</f>
        <v>1551604192961369</v>
      </c>
      <c r="C636" t="s">
        <v>40</v>
      </c>
      <c r="D636">
        <v>4.5572980000000003</v>
      </c>
      <c r="E636">
        <v>0.55039669999999996</v>
      </c>
      <c r="F636" t="s">
        <v>43</v>
      </c>
      <c r="G636">
        <v>-287.76190000000003</v>
      </c>
      <c r="H636">
        <v>0.92412099999999997</v>
      </c>
      <c r="I636">
        <v>367.86860000000001</v>
      </c>
      <c r="J636">
        <v>-288.25110000000001</v>
      </c>
      <c r="K636">
        <v>1.071269</v>
      </c>
      <c r="L636">
        <v>367.9751</v>
      </c>
      <c r="M636">
        <v>0.9998283</v>
      </c>
      <c r="N636">
        <v>-1.403255E-2</v>
      </c>
      <c r="O636">
        <v>1.2103310000000001E-2</v>
      </c>
      <c r="P636">
        <v>0.97602160000000004</v>
      </c>
      <c r="Q636">
        <v>0.2128052</v>
      </c>
      <c r="R636">
        <v>-4.5778319999999997E-2</v>
      </c>
      <c r="S636">
        <v>3.197937</v>
      </c>
      <c r="T636">
        <v>-0.67260850000000005</v>
      </c>
      <c r="U636">
        <v>-0.47457890000000003</v>
      </c>
      <c r="V636">
        <v>5.7545079999999998E-2</v>
      </c>
      <c r="W636">
        <v>0.22648309999999999</v>
      </c>
      <c r="X636">
        <v>0.97231369999999895</v>
      </c>
      <c r="Y636">
        <v>0.1549806</v>
      </c>
      <c r="Z636">
        <v>-1.9480600000000001E-2</v>
      </c>
      <c r="AA636">
        <v>0.98772539999999998</v>
      </c>
      <c r="AB636">
        <v>37</v>
      </c>
      <c r="AC636">
        <v>0.48919999999998198</v>
      </c>
      <c r="AD636">
        <v>-0.147148</v>
      </c>
      <c r="AE636">
        <v>-0.106499999999982</v>
      </c>
      <c r="AF636">
        <v>0.10347527039403299</v>
      </c>
      <c r="AG636">
        <v>-0.147148</v>
      </c>
      <c r="AH636">
        <v>0.449082201206706</v>
      </c>
      <c r="AI636">
        <v>107.70815414257299</v>
      </c>
      <c r="AJ636">
        <v>77.024655037881402</v>
      </c>
      <c r="AK636">
        <v>0.48377111212615698</v>
      </c>
      <c r="AL636">
        <v>76.909894634522004</v>
      </c>
      <c r="AM636">
        <v>86.612977162022005</v>
      </c>
      <c r="AN636">
        <v>0.999999981012752</v>
      </c>
    </row>
    <row r="637" spans="1:40" x14ac:dyDescent="0.25">
      <c r="A637" t="str">
        <f>"20190303170952981"</f>
        <v>20190303170952981</v>
      </c>
      <c r="B637" t="str">
        <f>"1551604192971129"</f>
        <v>1551604192971129</v>
      </c>
      <c r="C637" t="s">
        <v>40</v>
      </c>
      <c r="D637">
        <v>4.5509130000000004</v>
      </c>
      <c r="E637">
        <v>0.55028730000000003</v>
      </c>
      <c r="F637" t="s">
        <v>43</v>
      </c>
      <c r="G637">
        <v>-287.44229999999999</v>
      </c>
      <c r="H637">
        <v>0.90105880000000005</v>
      </c>
      <c r="I637">
        <v>367.85520000000002</v>
      </c>
      <c r="J637">
        <v>-288.04849999999999</v>
      </c>
      <c r="K637">
        <v>1.0712600000000001</v>
      </c>
      <c r="L637">
        <v>367.9776</v>
      </c>
      <c r="M637">
        <v>0.99982769999999999</v>
      </c>
      <c r="N637">
        <v>-1.4029939999999999E-2</v>
      </c>
      <c r="O637">
        <v>1.2151520000000001E-2</v>
      </c>
      <c r="P637">
        <v>0.97603470000000003</v>
      </c>
      <c r="Q637">
        <v>0.2127628</v>
      </c>
      <c r="R637">
        <v>-4.5699049999999998E-2</v>
      </c>
      <c r="S637">
        <v>3.1982119999999998</v>
      </c>
      <c r="T637">
        <v>-0.67306519999999903</v>
      </c>
      <c r="U637">
        <v>-0.473999</v>
      </c>
      <c r="V637">
        <v>5.7513889999999998E-2</v>
      </c>
      <c r="W637">
        <v>0.22643750000000001</v>
      </c>
      <c r="X637">
        <v>0.97232620000000003</v>
      </c>
      <c r="Y637">
        <v>0.15483859999999999</v>
      </c>
      <c r="Z637">
        <v>-1.9485059999999998E-2</v>
      </c>
      <c r="AA637">
        <v>0.98774759999999995</v>
      </c>
      <c r="AB637">
        <v>37</v>
      </c>
      <c r="AC637">
        <v>0.60620000000000096</v>
      </c>
      <c r="AD637">
        <v>-0.1702012</v>
      </c>
      <c r="AE637">
        <v>-0.12239999999997001</v>
      </c>
      <c r="AF637">
        <v>0.120621758029828</v>
      </c>
      <c r="AG637">
        <v>-0.1702012</v>
      </c>
      <c r="AH637">
        <v>0.56209344240370995</v>
      </c>
      <c r="AI637">
        <v>106.49184408931301</v>
      </c>
      <c r="AJ637">
        <v>77.888367892083096</v>
      </c>
      <c r="AK637">
        <v>0.59955574802089895</v>
      </c>
      <c r="AL637">
        <v>76.912577449572794</v>
      </c>
      <c r="AM637">
        <v>86.614852109373899</v>
      </c>
      <c r="AN637">
        <v>1.00000001407781</v>
      </c>
    </row>
    <row r="638" spans="1:40" x14ac:dyDescent="0.25">
      <c r="A638" t="str">
        <f>"20190303170952993"</f>
        <v>20190303170952993</v>
      </c>
      <c r="B638" t="str">
        <f>"1551604192980890"</f>
        <v>1551604192980890</v>
      </c>
      <c r="C638" t="s">
        <v>40</v>
      </c>
      <c r="D638">
        <v>4.5633499999999998</v>
      </c>
      <c r="E638">
        <v>0.55018849999999997</v>
      </c>
      <c r="F638" t="s">
        <v>43</v>
      </c>
      <c r="G638">
        <v>-287.12310000000002</v>
      </c>
      <c r="H638">
        <v>0.87621249999999995</v>
      </c>
      <c r="I638">
        <v>367.84070000000003</v>
      </c>
      <c r="J638">
        <v>-287.84559999999999</v>
      </c>
      <c r="K638">
        <v>1.071258</v>
      </c>
      <c r="L638">
        <v>367.98009999999999</v>
      </c>
      <c r="M638">
        <v>0.99982740000000003</v>
      </c>
      <c r="N638">
        <v>-1.402698E-2</v>
      </c>
      <c r="O638">
        <v>1.2198290000000001E-2</v>
      </c>
      <c r="P638">
        <v>0.97607560000000004</v>
      </c>
      <c r="Q638">
        <v>0.2125775</v>
      </c>
      <c r="R638">
        <v>-4.5688449999999999E-2</v>
      </c>
      <c r="S638">
        <v>3.1984859999999999</v>
      </c>
      <c r="T638">
        <v>-0.67425389999999996</v>
      </c>
      <c r="U638">
        <v>-0.4727478</v>
      </c>
      <c r="V638">
        <v>5.7550549999999999E-2</v>
      </c>
      <c r="W638">
        <v>0.2262499</v>
      </c>
      <c r="X638">
        <v>0.97236769999999995</v>
      </c>
      <c r="Y638">
        <v>0.15448909999999999</v>
      </c>
      <c r="Z638">
        <v>-1.948621E-2</v>
      </c>
      <c r="AA638">
        <v>0.98780230000000002</v>
      </c>
      <c r="AB638">
        <v>37</v>
      </c>
      <c r="AC638">
        <v>0.72249999999996795</v>
      </c>
      <c r="AD638">
        <v>-0.19504550000000001</v>
      </c>
      <c r="AE638">
        <v>-0.139399999999966</v>
      </c>
      <c r="AF638">
        <v>0.13847423190428601</v>
      </c>
      <c r="AG638">
        <v>-0.19504550000000001</v>
      </c>
      <c r="AH638">
        <v>0.67342892889948403</v>
      </c>
      <c r="AI638">
        <v>105.838370350432</v>
      </c>
      <c r="AJ638">
        <v>78.380479021015503</v>
      </c>
      <c r="AK638">
        <v>0.71464983191101195</v>
      </c>
      <c r="AL638">
        <v>76.923612518193195</v>
      </c>
      <c r="AM638">
        <v>86.612843631752099</v>
      </c>
      <c r="AN638">
        <v>1.0000000135292999</v>
      </c>
    </row>
    <row r="639" spans="1:40" x14ac:dyDescent="0.25">
      <c r="A639" t="str">
        <f>"20190303170953006"</f>
        <v>20190303170953006</v>
      </c>
      <c r="B639" t="str">
        <f>"1551604193001385"</f>
        <v>1551604193001385</v>
      </c>
      <c r="C639" t="s">
        <v>40</v>
      </c>
      <c r="D639">
        <v>4.5843939999999996</v>
      </c>
      <c r="E639">
        <v>0.550019699999999</v>
      </c>
      <c r="F639" t="s">
        <v>43</v>
      </c>
      <c r="G639">
        <v>-287.10640000000001</v>
      </c>
      <c r="H639">
        <v>0.91504439999999998</v>
      </c>
      <c r="I639">
        <v>367.87090000000001</v>
      </c>
      <c r="J639">
        <v>-287.64920000000001</v>
      </c>
      <c r="K639">
        <v>1.0712549999999901</v>
      </c>
      <c r="L639">
        <v>367.98250000000002</v>
      </c>
      <c r="M639">
        <v>0.99982680000000002</v>
      </c>
      <c r="N639">
        <v>-1.4024170000000001E-2</v>
      </c>
      <c r="O639">
        <v>1.2240289999999999E-2</v>
      </c>
      <c r="P639">
        <v>0.97613930000000004</v>
      </c>
      <c r="Q639">
        <v>0.21228050000000001</v>
      </c>
      <c r="R639">
        <v>-4.570801E-2</v>
      </c>
      <c r="S639">
        <v>3.1987000000000001</v>
      </c>
      <c r="T639">
        <v>-0.67608380000000001</v>
      </c>
      <c r="U639">
        <v>-0.47180179999999999</v>
      </c>
      <c r="V639">
        <v>5.7613449999999997E-2</v>
      </c>
      <c r="W639">
        <v>0.22595080000000001</v>
      </c>
      <c r="X639">
        <v>0.97243349999999995</v>
      </c>
      <c r="Y639">
        <v>0.15422089999999999</v>
      </c>
      <c r="Z639">
        <v>-1.95129E-2</v>
      </c>
      <c r="AA639">
        <v>0.98784369999999999</v>
      </c>
      <c r="AB639">
        <v>37</v>
      </c>
      <c r="AC639">
        <v>0.54279999999999895</v>
      </c>
      <c r="AD639">
        <v>-0.15621059999999901</v>
      </c>
      <c r="AE639">
        <v>-0.111600000000009</v>
      </c>
      <c r="AF639">
        <v>0.10953262060122899</v>
      </c>
      <c r="AG639">
        <v>-0.15621059999999901</v>
      </c>
      <c r="AH639">
        <v>0.50153974150816605</v>
      </c>
      <c r="AI639">
        <v>106.92447906488501</v>
      </c>
      <c r="AJ639">
        <v>77.680450838270403</v>
      </c>
      <c r="AK639">
        <v>0.53660158296468996</v>
      </c>
      <c r="AL639">
        <v>76.941204991520706</v>
      </c>
      <c r="AM639">
        <v>86.609379172591801</v>
      </c>
      <c r="AN639">
        <v>0.999999992781896</v>
      </c>
    </row>
    <row r="640" spans="1:40" x14ac:dyDescent="0.25">
      <c r="A640" t="str">
        <f>"20190303170953017"</f>
        <v>20190303170953017</v>
      </c>
      <c r="B640" t="str">
        <f>"1551604193011146"</f>
        <v>1551604193011146</v>
      </c>
      <c r="C640" t="s">
        <v>40</v>
      </c>
      <c r="D640">
        <v>4.5927220000000002</v>
      </c>
      <c r="E640">
        <v>0.55010990000000004</v>
      </c>
      <c r="F640" t="s">
        <v>43</v>
      </c>
      <c r="G640">
        <v>-286.78870000000001</v>
      </c>
      <c r="H640">
        <v>0.88849199999999995</v>
      </c>
      <c r="I640">
        <v>367.85570000000001</v>
      </c>
      <c r="J640">
        <v>-287.4443</v>
      </c>
      <c r="K640">
        <v>1.071251</v>
      </c>
      <c r="L640">
        <v>367.98509999999999</v>
      </c>
      <c r="M640">
        <v>0.99982629999999995</v>
      </c>
      <c r="N640">
        <v>-1.4021260000000001E-2</v>
      </c>
      <c r="O640">
        <v>1.2282799999999899E-2</v>
      </c>
      <c r="P640">
        <v>0.97617810000000005</v>
      </c>
      <c r="Q640">
        <v>0.21214649999999999</v>
      </c>
      <c r="R640">
        <v>-4.5502210000000001E-2</v>
      </c>
      <c r="S640">
        <v>3.1989749999999999</v>
      </c>
      <c r="T640">
        <v>-0.67951819999999996</v>
      </c>
      <c r="U640">
        <v>-0.47109990000000002</v>
      </c>
      <c r="V640">
        <v>5.7451469999999998E-2</v>
      </c>
      <c r="W640">
        <v>0.22581419999999999</v>
      </c>
      <c r="X640">
        <v>0.97247479999999997</v>
      </c>
      <c r="Y640">
        <v>0.154006</v>
      </c>
      <c r="Z640">
        <v>-1.958824E-2</v>
      </c>
      <c r="AA640">
        <v>0.98787570000000002</v>
      </c>
      <c r="AB640">
        <v>37</v>
      </c>
      <c r="AC640">
        <v>0.65559999999999197</v>
      </c>
      <c r="AD640">
        <v>-0.18275899999999901</v>
      </c>
      <c r="AE640">
        <v>-0.12939999999997501</v>
      </c>
      <c r="AF640">
        <v>0.12787873618363199</v>
      </c>
      <c r="AG640">
        <v>-0.18275899999999901</v>
      </c>
      <c r="AH640">
        <v>0.60845092013191904</v>
      </c>
      <c r="AI640">
        <v>106.38047671731699</v>
      </c>
      <c r="AJ640">
        <v>78.130837641169904</v>
      </c>
      <c r="AK640">
        <v>0.64804810427799397</v>
      </c>
      <c r="AL640">
        <v>76.949239080528301</v>
      </c>
      <c r="AM640">
        <v>86.619033003024896</v>
      </c>
      <c r="AN640">
        <v>0.99999998048091998</v>
      </c>
    </row>
    <row r="641" spans="1:40" x14ac:dyDescent="0.25">
      <c r="A641" t="str">
        <f>"20190303170953028"</f>
        <v>20190303170953028</v>
      </c>
      <c r="B641" t="str">
        <f>"1551604193020906"</f>
        <v>1551604193020906</v>
      </c>
      <c r="C641" t="s">
        <v>40</v>
      </c>
      <c r="D641">
        <v>4.6219609999999998</v>
      </c>
      <c r="E641">
        <v>0.55016960000000004</v>
      </c>
      <c r="F641" t="s">
        <v>43</v>
      </c>
      <c r="G641">
        <v>-286.46940000000001</v>
      </c>
      <c r="H641">
        <v>0.86369010000000002</v>
      </c>
      <c r="I641">
        <v>367.84160000000003</v>
      </c>
      <c r="J641">
        <v>-287.25330000000002</v>
      </c>
      <c r="K641">
        <v>1.0712440000000001</v>
      </c>
      <c r="L641">
        <v>367.98750000000001</v>
      </c>
      <c r="M641">
        <v>0.99982599999999999</v>
      </c>
      <c r="N641">
        <v>-1.4018579999999999E-2</v>
      </c>
      <c r="O641">
        <v>1.2317069999999999E-2</v>
      </c>
      <c r="P641">
        <v>0.97620359999999995</v>
      </c>
      <c r="Q641">
        <v>0.21205679999999999</v>
      </c>
      <c r="R641">
        <v>-4.536751E-2</v>
      </c>
      <c r="S641">
        <v>3.1992799999999999</v>
      </c>
      <c r="T641">
        <v>-0.68117050000000001</v>
      </c>
      <c r="U641">
        <v>-0.4704895</v>
      </c>
      <c r="V641">
        <v>5.7353599999999998E-2</v>
      </c>
      <c r="W641">
        <v>0.22572130000000001</v>
      </c>
      <c r="X641">
        <v>0.97250219999999998</v>
      </c>
      <c r="Y641">
        <v>0.15382789999999999</v>
      </c>
      <c r="Z641">
        <v>-1.9617809999999999E-2</v>
      </c>
      <c r="AA641">
        <v>0.98790290000000003</v>
      </c>
      <c r="AB641">
        <v>37</v>
      </c>
      <c r="AC641">
        <v>0.78390000000001603</v>
      </c>
      <c r="AD641">
        <v>-0.20755390000000001</v>
      </c>
      <c r="AE641">
        <v>-0.14589999999998299</v>
      </c>
      <c r="AF641">
        <v>0.14567481645719499</v>
      </c>
      <c r="AG641">
        <v>-0.20755390000000001</v>
      </c>
      <c r="AH641">
        <v>0.73241727169512505</v>
      </c>
      <c r="AI641">
        <v>105.532622826295</v>
      </c>
      <c r="AJ641">
        <v>78.750905795821396</v>
      </c>
      <c r="AK641">
        <v>0.77507085703977996</v>
      </c>
      <c r="AL641">
        <v>76.954703650660406</v>
      </c>
      <c r="AM641">
        <v>86.624874113290403</v>
      </c>
      <c r="AN641">
        <v>1.0000000348557401</v>
      </c>
    </row>
    <row r="642" spans="1:40" x14ac:dyDescent="0.25">
      <c r="A642" t="str">
        <f>"20190303170953045"</f>
        <v>20190303170953045</v>
      </c>
      <c r="B642" t="str">
        <f>"1551604193041402"</f>
        <v>1551604193041402</v>
      </c>
      <c r="C642" t="s">
        <v>40</v>
      </c>
      <c r="D642">
        <v>4.6110419999999896</v>
      </c>
      <c r="E642">
        <v>0.55013140000000005</v>
      </c>
      <c r="F642" t="s">
        <v>43</v>
      </c>
      <c r="G642">
        <v>-286.45400000000001</v>
      </c>
      <c r="H642">
        <v>0.9010051</v>
      </c>
      <c r="I642">
        <v>367.86950000000002</v>
      </c>
      <c r="J642">
        <v>-286.99619999999999</v>
      </c>
      <c r="K642">
        <v>1.0712299999999999</v>
      </c>
      <c r="L642">
        <v>367.9907</v>
      </c>
      <c r="M642">
        <v>0.99982550000000003</v>
      </c>
      <c r="N642">
        <v>-1.401292E-2</v>
      </c>
      <c r="O642">
        <v>1.235756E-2</v>
      </c>
      <c r="P642">
        <v>0.97621519999999995</v>
      </c>
      <c r="Q642">
        <v>0.2120099</v>
      </c>
      <c r="R642">
        <v>-4.5342590000000002E-2</v>
      </c>
      <c r="S642">
        <v>3.1993100000000001</v>
      </c>
      <c r="T642">
        <v>-0.68155569999999999</v>
      </c>
      <c r="U642">
        <v>-0.47140500000000002</v>
      </c>
      <c r="V642">
        <v>5.7372220000000002E-2</v>
      </c>
      <c r="W642">
        <v>0.2256679</v>
      </c>
      <c r="X642">
        <v>0.97251339999999997</v>
      </c>
      <c r="Y642">
        <v>0.1541315</v>
      </c>
      <c r="Z642">
        <v>-1.966917E-2</v>
      </c>
      <c r="AA642">
        <v>0.98785449999999997</v>
      </c>
      <c r="AB642">
        <v>37</v>
      </c>
      <c r="AC642">
        <v>0.54219999999997903</v>
      </c>
      <c r="AD642">
        <v>-0.17022490000000001</v>
      </c>
      <c r="AE642">
        <v>-0.121199999999987</v>
      </c>
      <c r="AF642">
        <v>0.116916132695529</v>
      </c>
      <c r="AG642">
        <v>-0.17022490000000001</v>
      </c>
      <c r="AH642">
        <v>0.49426173643829302</v>
      </c>
      <c r="AI642">
        <v>108.528746201819</v>
      </c>
      <c r="AJ642">
        <v>76.6914798144592</v>
      </c>
      <c r="AK642">
        <v>0.53566833280630399</v>
      </c>
      <c r="AL642">
        <v>76.957843059541204</v>
      </c>
      <c r="AM642">
        <v>86.623819696400801</v>
      </c>
      <c r="AN642">
        <v>0.99999994294884698</v>
      </c>
    </row>
    <row r="643" spans="1:40" x14ac:dyDescent="0.25">
      <c r="A643" t="str">
        <f>"20190303170953057"</f>
        <v>20190303170953057</v>
      </c>
      <c r="B643" t="str">
        <f>"1551604193051162"</f>
        <v>1551604193051162</v>
      </c>
      <c r="C643" t="s">
        <v>40</v>
      </c>
      <c r="D643">
        <v>4.6343690000000004</v>
      </c>
      <c r="E643">
        <v>0.55023900000000003</v>
      </c>
      <c r="F643" t="s">
        <v>43</v>
      </c>
      <c r="G643">
        <v>-286.13139999999999</v>
      </c>
      <c r="H643">
        <v>0.88665090000000002</v>
      </c>
      <c r="I643">
        <v>367.86340000000001</v>
      </c>
      <c r="J643">
        <v>-286.815</v>
      </c>
      <c r="K643">
        <v>1.071223</v>
      </c>
      <c r="L643">
        <v>367.99299999999999</v>
      </c>
      <c r="M643">
        <v>0.99982519999999997</v>
      </c>
      <c r="N643">
        <v>-1.4007800000000001E-2</v>
      </c>
      <c r="O643">
        <v>1.2383129999999999E-2</v>
      </c>
      <c r="P643">
        <v>0.9762265</v>
      </c>
      <c r="Q643">
        <v>0.2119984</v>
      </c>
      <c r="R643">
        <v>-4.5150309999999999E-2</v>
      </c>
      <c r="S643">
        <v>3.1994929999999999</v>
      </c>
      <c r="T643">
        <v>-0.68285940000000001</v>
      </c>
      <c r="U643">
        <v>-0.47073359999999898</v>
      </c>
      <c r="V643">
        <v>5.7208490000000001E-2</v>
      </c>
      <c r="W643">
        <v>0.22565070000000001</v>
      </c>
      <c r="X643">
        <v>0.97252709999999998</v>
      </c>
      <c r="Y643">
        <v>0.15393589999999999</v>
      </c>
      <c r="Z643">
        <v>-1.9686260000000001E-2</v>
      </c>
      <c r="AA643">
        <v>0.98788469999999995</v>
      </c>
      <c r="AB643">
        <v>37</v>
      </c>
      <c r="AC643">
        <v>0.68360000000001198</v>
      </c>
      <c r="AD643">
        <v>-0.18457209999999999</v>
      </c>
      <c r="AE643">
        <v>-0.12960000000003899</v>
      </c>
      <c r="AF643">
        <v>0.128979602807307</v>
      </c>
      <c r="AG643">
        <v>-0.18457209999999999</v>
      </c>
      <c r="AH643">
        <v>0.63710871989906404</v>
      </c>
      <c r="AI643">
        <v>105.85149994997001</v>
      </c>
      <c r="AJ643">
        <v>78.5554198464677</v>
      </c>
      <c r="AK643">
        <v>0.67572932377555195</v>
      </c>
      <c r="AL643">
        <v>76.958855462722795</v>
      </c>
      <c r="AM643">
        <v>86.633479831072094</v>
      </c>
      <c r="AN643">
        <v>1.0000000049864799</v>
      </c>
    </row>
    <row r="644" spans="1:40" x14ac:dyDescent="0.25">
      <c r="A644" t="str">
        <f>"20190303170953068"</f>
        <v>20190303170953068</v>
      </c>
      <c r="B644" t="str">
        <f>"1551604193060922"</f>
        <v>1551604193060922</v>
      </c>
      <c r="C644" t="s">
        <v>40</v>
      </c>
      <c r="D644">
        <v>4.6343239999999897</v>
      </c>
      <c r="E644">
        <v>0.55034450000000001</v>
      </c>
      <c r="F644" t="s">
        <v>43</v>
      </c>
      <c r="G644">
        <v>-286.1157</v>
      </c>
      <c r="H644">
        <v>0.92187039999999998</v>
      </c>
      <c r="I644">
        <v>367.89</v>
      </c>
      <c r="J644">
        <v>-286.61399999999998</v>
      </c>
      <c r="K644">
        <v>1.0712140000000001</v>
      </c>
      <c r="L644">
        <v>367.99549999999999</v>
      </c>
      <c r="M644">
        <v>0.99982510000000002</v>
      </c>
      <c r="N644">
        <v>-1.400071E-2</v>
      </c>
      <c r="O644">
        <v>1.2403610000000001E-2</v>
      </c>
      <c r="P644">
        <v>0.97618309999999997</v>
      </c>
      <c r="Q644">
        <v>0.21216869999999999</v>
      </c>
      <c r="R644">
        <v>-4.528604E-2</v>
      </c>
      <c r="S644">
        <v>3.199646</v>
      </c>
      <c r="T644">
        <v>-0.6833167</v>
      </c>
      <c r="U644">
        <v>-0.4711304</v>
      </c>
      <c r="V644">
        <v>5.7367979999999999E-2</v>
      </c>
      <c r="W644">
        <v>0.2258124</v>
      </c>
      <c r="X644">
        <v>0.97248020000000002</v>
      </c>
      <c r="Y644">
        <v>0.15406139999999999</v>
      </c>
      <c r="Z644">
        <v>-1.9715179999999999E-2</v>
      </c>
      <c r="AA644">
        <v>0.98786459999999998</v>
      </c>
      <c r="AB644">
        <v>37</v>
      </c>
      <c r="AC644">
        <v>0.498300000000028</v>
      </c>
      <c r="AD644">
        <v>-0.14934359999999899</v>
      </c>
      <c r="AE644">
        <v>-0.10550000000000601</v>
      </c>
      <c r="AF644">
        <v>0.102832665342231</v>
      </c>
      <c r="AG644">
        <v>-0.14934359999999899</v>
      </c>
      <c r="AH644">
        <v>0.45761197183434099</v>
      </c>
      <c r="AI644">
        <v>107.662189392268</v>
      </c>
      <c r="AJ644">
        <v>77.335113303424905</v>
      </c>
      <c r="AK644">
        <v>0.49222635513395802</v>
      </c>
      <c r="AL644">
        <v>76.949345635064304</v>
      </c>
      <c r="AM644">
        <v>86.623953644299505</v>
      </c>
      <c r="AN644">
        <v>1.00000003225753</v>
      </c>
    </row>
    <row r="645" spans="1:40" x14ac:dyDescent="0.25">
      <c r="A645" t="str">
        <f>"20190303170953079"</f>
        <v>20190303170953079</v>
      </c>
      <c r="B645" t="str">
        <f>"1551604193070682"</f>
        <v>1551604193070682</v>
      </c>
      <c r="C645" t="s">
        <v>40</v>
      </c>
      <c r="D645">
        <v>4.7277319999999996</v>
      </c>
      <c r="E645">
        <v>0.55034450000000001</v>
      </c>
      <c r="F645" t="s">
        <v>43</v>
      </c>
      <c r="G645">
        <v>-285.798</v>
      </c>
      <c r="H645">
        <v>0.89704910000000004</v>
      </c>
      <c r="I645">
        <v>367.87459999999999</v>
      </c>
      <c r="J645">
        <v>-286.42829999999998</v>
      </c>
      <c r="K645">
        <v>1.0712079999999999</v>
      </c>
      <c r="L645">
        <v>367.99779999999998</v>
      </c>
      <c r="M645">
        <v>0.99982490000000002</v>
      </c>
      <c r="N645">
        <v>-1.399421E-2</v>
      </c>
      <c r="O645">
        <v>1.242064E-2</v>
      </c>
      <c r="P645">
        <v>0.97619659999999997</v>
      </c>
      <c r="Q645">
        <v>0.21213380000000001</v>
      </c>
      <c r="R645">
        <v>-4.516361E-2</v>
      </c>
      <c r="S645">
        <v>3.1997680000000002</v>
      </c>
      <c r="T645">
        <v>-0.68314549999999996</v>
      </c>
      <c r="U645">
        <v>-0.47238160000000001</v>
      </c>
      <c r="V645">
        <v>5.7266060000000001E-2</v>
      </c>
      <c r="W645">
        <v>0.22577050000000001</v>
      </c>
      <c r="X645">
        <v>0.97249589999999997</v>
      </c>
      <c r="Y645">
        <v>0.154444</v>
      </c>
      <c r="Z645">
        <v>-1.975522E-2</v>
      </c>
      <c r="AA645">
        <v>0.98780400000000002</v>
      </c>
      <c r="AB645">
        <v>37</v>
      </c>
      <c r="AC645">
        <v>0.63029999999997699</v>
      </c>
      <c r="AD645">
        <v>-0.17415889999999901</v>
      </c>
      <c r="AE645">
        <v>-0.12319999999999701</v>
      </c>
      <c r="AF645">
        <v>0.122045012570863</v>
      </c>
      <c r="AG645">
        <v>-0.17415889999999901</v>
      </c>
      <c r="AH645">
        <v>0.58565308574729602</v>
      </c>
      <c r="AI645">
        <v>106.231411312389</v>
      </c>
      <c r="AJ645">
        <v>78.228527575357603</v>
      </c>
      <c r="AK645">
        <v>0.62306969464736595</v>
      </c>
      <c r="AL645">
        <v>76.951809511789406</v>
      </c>
      <c r="AM645">
        <v>86.629991975623895</v>
      </c>
      <c r="AN645">
        <v>0.99999999790749095</v>
      </c>
    </row>
    <row r="646" spans="1:40" x14ac:dyDescent="0.25">
      <c r="A646" t="str">
        <f>"20190303170953091"</f>
        <v>20190303170953091</v>
      </c>
      <c r="B646" t="str">
        <f>"1551604193081418"</f>
        <v>1551604193081418</v>
      </c>
      <c r="C646" t="s">
        <v>40</v>
      </c>
      <c r="D646">
        <v>3.9445139999999999</v>
      </c>
      <c r="E646">
        <v>0.53393069999999998</v>
      </c>
      <c r="F646" t="s">
        <v>43</v>
      </c>
      <c r="G646">
        <v>-285.48110000000003</v>
      </c>
      <c r="H646">
        <v>0.868971099999999</v>
      </c>
      <c r="I646">
        <v>367.85789999999997</v>
      </c>
      <c r="J646">
        <v>-286.23750000000001</v>
      </c>
      <c r="K646">
        <v>1.0712010000000001</v>
      </c>
      <c r="L646">
        <v>368.00020000000001</v>
      </c>
      <c r="M646">
        <v>0.99982490000000002</v>
      </c>
      <c r="N646">
        <v>-1.398772E-2</v>
      </c>
      <c r="O646">
        <v>1.2433140000000001E-2</v>
      </c>
      <c r="P646">
        <v>0.9761862</v>
      </c>
      <c r="Q646">
        <v>0.21219850000000001</v>
      </c>
      <c r="R646">
        <v>-4.5084649999999997E-2</v>
      </c>
      <c r="S646">
        <v>3.1997990000000001</v>
      </c>
      <c r="T646">
        <v>-0.68326309999999901</v>
      </c>
      <c r="U646">
        <v>-0.47186280000000003</v>
      </c>
      <c r="V646">
        <v>5.7203160000000003E-2</v>
      </c>
      <c r="W646">
        <v>0.22582769999999999</v>
      </c>
      <c r="X646">
        <v>0.97248630000000003</v>
      </c>
      <c r="Y646">
        <v>0.1543002</v>
      </c>
      <c r="Z646">
        <v>-1.9744310000000001E-2</v>
      </c>
      <c r="AA646">
        <v>0.98782669999999995</v>
      </c>
      <c r="AB646">
        <v>37</v>
      </c>
      <c r="AC646">
        <v>0.75639999999998497</v>
      </c>
      <c r="AD646">
        <v>-0.20222989999999999</v>
      </c>
      <c r="AE646">
        <v>-0.14230000000003401</v>
      </c>
      <c r="AF646">
        <v>0.14189810547388401</v>
      </c>
      <c r="AG646">
        <v>-0.20222989999999999</v>
      </c>
      <c r="AH646">
        <v>0.70584274517638401</v>
      </c>
      <c r="AI646">
        <v>105.689450586303</v>
      </c>
      <c r="AJ646">
        <v>78.633135875553293</v>
      </c>
      <c r="AK646">
        <v>0.747827510666211</v>
      </c>
      <c r="AL646">
        <v>76.948445039782399</v>
      </c>
      <c r="AM646">
        <v>86.633651859542098</v>
      </c>
      <c r="AN646">
        <v>0.99999997764448201</v>
      </c>
    </row>
    <row r="647" spans="1:40" x14ac:dyDescent="0.25">
      <c r="A647" t="str">
        <f>"20190303170953103"</f>
        <v>20190303170953103</v>
      </c>
      <c r="B647" t="str">
        <f>"1551604193091178"</f>
        <v>1551604193091178</v>
      </c>
      <c r="C647" t="s">
        <v>40</v>
      </c>
      <c r="D647">
        <v>4.6621600000000001</v>
      </c>
      <c r="E647">
        <v>0.53169259999999996</v>
      </c>
      <c r="F647" t="s">
        <v>43</v>
      </c>
      <c r="G647">
        <v>-285.45589999999999</v>
      </c>
      <c r="H647">
        <v>0.92802439999999997</v>
      </c>
      <c r="I647">
        <v>367.91500000000002</v>
      </c>
      <c r="J647">
        <v>-286.03649999999999</v>
      </c>
      <c r="K647">
        <v>1.071194</v>
      </c>
      <c r="L647">
        <v>368.0027</v>
      </c>
      <c r="M647">
        <v>0.99982490000000002</v>
      </c>
      <c r="N647">
        <v>-1.3981159999999999E-2</v>
      </c>
      <c r="O647">
        <v>1.244344E-2</v>
      </c>
      <c r="P647">
        <v>0.97613229999999995</v>
      </c>
      <c r="Q647">
        <v>0.2124132</v>
      </c>
      <c r="R647">
        <v>-4.52375E-2</v>
      </c>
      <c r="S647">
        <v>3.184021</v>
      </c>
      <c r="T647">
        <v>-0.58338840000000003</v>
      </c>
      <c r="U647">
        <v>-0.34616089999999999</v>
      </c>
      <c r="V647">
        <v>5.7369209999999997E-2</v>
      </c>
      <c r="W647">
        <v>0.22603390000000001</v>
      </c>
      <c r="X647">
        <v>0.97242859999999998</v>
      </c>
      <c r="Y647">
        <v>0.1181726</v>
      </c>
      <c r="Z647">
        <v>-1.3624549999999999E-2</v>
      </c>
      <c r="AA647">
        <v>0.99289959999999999</v>
      </c>
      <c r="AB647">
        <v>37</v>
      </c>
      <c r="AC647">
        <v>0.580600000000004</v>
      </c>
      <c r="AD647">
        <v>-0.14316959999999901</v>
      </c>
      <c r="AE647">
        <v>-8.7699999999983902E-2</v>
      </c>
      <c r="AF647">
        <v>8.9592335111198296E-2</v>
      </c>
      <c r="AG647">
        <v>-0.14316959999999901</v>
      </c>
      <c r="AH647">
        <v>0.54694774497065302</v>
      </c>
      <c r="AI647">
        <v>104.483930685109</v>
      </c>
      <c r="AJ647">
        <v>80.697326390527493</v>
      </c>
      <c r="AK647">
        <v>0.57243004516125795</v>
      </c>
      <c r="AL647">
        <v>76.936316908085999</v>
      </c>
      <c r="AM647">
        <v>86.623702694868697</v>
      </c>
      <c r="AN647">
        <v>0.99999996615159603</v>
      </c>
    </row>
    <row r="648" spans="1:40" x14ac:dyDescent="0.25">
      <c r="A648" t="str">
        <f>"20190303170953115"</f>
        <v>20190303170953115</v>
      </c>
      <c r="B648" t="str">
        <f>"1551604193111674"</f>
        <v>1551604193111674</v>
      </c>
      <c r="C648" t="s">
        <v>40</v>
      </c>
      <c r="D648">
        <v>4.6128359999999997</v>
      </c>
      <c r="E648">
        <v>0.52719890000000003</v>
      </c>
      <c r="F648" t="s">
        <v>43</v>
      </c>
      <c r="G648">
        <v>-285.1293</v>
      </c>
      <c r="H648">
        <v>0.92388440000000005</v>
      </c>
      <c r="I648">
        <v>367.90730000000002</v>
      </c>
      <c r="J648">
        <v>-285.83300000000003</v>
      </c>
      <c r="K648">
        <v>1.071191</v>
      </c>
      <c r="L648">
        <v>368.0052</v>
      </c>
      <c r="M648">
        <v>0.99982499999999996</v>
      </c>
      <c r="N648">
        <v>-1.397471E-2</v>
      </c>
      <c r="O648">
        <v>1.245107E-2</v>
      </c>
      <c r="P648">
        <v>0.97616899999999995</v>
      </c>
      <c r="Q648">
        <v>0.21224560000000001</v>
      </c>
      <c r="R648">
        <v>-4.5237119999999999E-2</v>
      </c>
      <c r="S648">
        <v>3.1699519999999999</v>
      </c>
      <c r="T648">
        <v>-0.51491549999999997</v>
      </c>
      <c r="U648">
        <v>-0.33215329999999998</v>
      </c>
      <c r="V648">
        <v>5.7380010000000002E-2</v>
      </c>
      <c r="W648">
        <v>0.2258597</v>
      </c>
      <c r="X648">
        <v>0.97246849999999996</v>
      </c>
      <c r="Y648">
        <v>0.11483260000000001</v>
      </c>
      <c r="Z648">
        <v>-1.188295E-2</v>
      </c>
      <c r="AA648">
        <v>0.99331380000000002</v>
      </c>
      <c r="AB648">
        <v>37</v>
      </c>
      <c r="AC648">
        <v>0.70369999999996902</v>
      </c>
      <c r="AD648">
        <v>-0.14730659999999901</v>
      </c>
      <c r="AE648">
        <v>-9.7899999999981405E-2</v>
      </c>
      <c r="AF648">
        <v>0.102259197028888</v>
      </c>
      <c r="AG648">
        <v>-0.14730659999999901</v>
      </c>
      <c r="AH648">
        <v>0.673475230669912</v>
      </c>
      <c r="AI648">
        <v>102.202181972514</v>
      </c>
      <c r="AJ648">
        <v>81.366264546459206</v>
      </c>
      <c r="AK648">
        <v>0.69693978513673904</v>
      </c>
      <c r="AL648">
        <v>76.946563598054695</v>
      </c>
      <c r="AM648">
        <v>86.6232067967441</v>
      </c>
      <c r="AN648">
        <v>1.00000002656196</v>
      </c>
    </row>
    <row r="649" spans="1:40" x14ac:dyDescent="0.25">
      <c r="A649" t="str">
        <f>"20190303170953127"</f>
        <v>20190303170953127</v>
      </c>
      <c r="B649" t="str">
        <f>"1551604193121434"</f>
        <v>1551604193121434</v>
      </c>
      <c r="C649" t="s">
        <v>40</v>
      </c>
      <c r="D649">
        <v>4.5763350000000003</v>
      </c>
      <c r="E649">
        <v>0.52595080000000005</v>
      </c>
      <c r="F649" t="s">
        <v>43</v>
      </c>
      <c r="G649">
        <v>-285.10180000000003</v>
      </c>
      <c r="H649">
        <v>0.98098640000000004</v>
      </c>
      <c r="I649">
        <v>367.93450000000001</v>
      </c>
      <c r="J649">
        <v>-285.6397</v>
      </c>
      <c r="K649">
        <v>1.0711839999999999</v>
      </c>
      <c r="L649">
        <v>368.0077</v>
      </c>
      <c r="M649">
        <v>0.99982499999999996</v>
      </c>
      <c r="N649">
        <v>-1.396884E-2</v>
      </c>
      <c r="O649">
        <v>1.2454430000000001E-2</v>
      </c>
      <c r="P649">
        <v>0.97620289999999998</v>
      </c>
      <c r="Q649">
        <v>0.21203150000000001</v>
      </c>
      <c r="R649">
        <v>-4.5505289999999997E-2</v>
      </c>
      <c r="S649">
        <v>3.1436160000000002</v>
      </c>
      <c r="T649">
        <v>-0.38806079999999998</v>
      </c>
      <c r="U649">
        <v>-0.30236819999999998</v>
      </c>
      <c r="V649">
        <v>5.7654539999999997E-2</v>
      </c>
      <c r="W649">
        <v>0.22563949999999999</v>
      </c>
      <c r="X649">
        <v>0.97250340000000002</v>
      </c>
      <c r="Y649">
        <v>0.10716150000000001</v>
      </c>
      <c r="Z649">
        <v>-8.6829090000000008E-3</v>
      </c>
      <c r="AA649">
        <v>0.99420370000000002</v>
      </c>
      <c r="AB649">
        <v>37</v>
      </c>
      <c r="AC649">
        <v>0.53789999999997895</v>
      </c>
      <c r="AD649">
        <v>-9.0197600000000003E-2</v>
      </c>
      <c r="AE649">
        <v>-7.3199999999985693E-2</v>
      </c>
      <c r="AF649">
        <v>7.7747835174237903E-2</v>
      </c>
      <c r="AG649">
        <v>-9.0197600000000003E-2</v>
      </c>
      <c r="AH649">
        <v>0.52252132329773204</v>
      </c>
      <c r="AI649">
        <v>99.689261208829507</v>
      </c>
      <c r="AJ649">
        <v>81.536846252177597</v>
      </c>
      <c r="AK649">
        <v>0.53591871232571597</v>
      </c>
      <c r="AL649">
        <v>76.959514714228106</v>
      </c>
      <c r="AM649">
        <v>86.607209933532005</v>
      </c>
      <c r="AN649">
        <v>1.0000000464772001</v>
      </c>
    </row>
    <row r="650" spans="1:40" x14ac:dyDescent="0.25">
      <c r="A650" t="str">
        <f>"20190303170953140"</f>
        <v>20190303170953140</v>
      </c>
      <c r="B650" t="str">
        <f>"1551604193131194"</f>
        <v>1551604193131194</v>
      </c>
      <c r="C650" t="s">
        <v>40</v>
      </c>
      <c r="D650">
        <v>4.7882800000000003</v>
      </c>
      <c r="E650">
        <v>0.524545699999999</v>
      </c>
      <c r="F650" t="s">
        <v>43</v>
      </c>
      <c r="G650">
        <v>-284.77539999999999</v>
      </c>
      <c r="H650">
        <v>0.97724440000000001</v>
      </c>
      <c r="I650">
        <v>367.92599999999999</v>
      </c>
      <c r="J650">
        <v>-285.43939999999998</v>
      </c>
      <c r="K650">
        <v>1.071177</v>
      </c>
      <c r="L650">
        <v>368.0102</v>
      </c>
      <c r="M650">
        <v>0.99982510000000002</v>
      </c>
      <c r="N650">
        <v>-1.3962799999999999E-2</v>
      </c>
      <c r="O650">
        <v>1.2455219999999999E-2</v>
      </c>
      <c r="P650">
        <v>0.97626900000000005</v>
      </c>
      <c r="Q650">
        <v>0.2116778</v>
      </c>
      <c r="R650">
        <v>-4.5736190000000003E-2</v>
      </c>
      <c r="S650">
        <v>3.1333310000000001</v>
      </c>
      <c r="T650">
        <v>-0.34057459999999901</v>
      </c>
      <c r="U650">
        <v>-0.29598999999999998</v>
      </c>
      <c r="V650">
        <v>5.7889799999999998E-2</v>
      </c>
      <c r="W650">
        <v>0.22528039999999999</v>
      </c>
      <c r="X650">
        <v>0.97257260000000001</v>
      </c>
      <c r="Y650">
        <v>0.1056875</v>
      </c>
      <c r="Z650">
        <v>-7.6302419999999998E-3</v>
      </c>
      <c r="AA650">
        <v>0.99437010000000003</v>
      </c>
      <c r="AB650">
        <v>37</v>
      </c>
      <c r="AC650">
        <v>0.66399999999998705</v>
      </c>
      <c r="AD650">
        <v>-9.3932600000000102E-2</v>
      </c>
      <c r="AE650">
        <v>-8.4200000000009795E-2</v>
      </c>
      <c r="AF650">
        <v>9.0678572114916395E-2</v>
      </c>
      <c r="AG650">
        <v>-9.3932600000000102E-2</v>
      </c>
      <c r="AH650">
        <v>0.65009564688661403</v>
      </c>
      <c r="AI650">
        <v>98.144019428187605</v>
      </c>
      <c r="AJ650">
        <v>82.059333409424696</v>
      </c>
      <c r="AK650">
        <v>0.66307638088269005</v>
      </c>
      <c r="AL650">
        <v>76.980632433999503</v>
      </c>
      <c r="AM650">
        <v>86.593639967497893</v>
      </c>
      <c r="AN650">
        <v>0.99999997491947901</v>
      </c>
    </row>
    <row r="651" spans="1:40" x14ac:dyDescent="0.25">
      <c r="A651" t="str">
        <f>"20190303170953154"</f>
        <v>20190303170953154</v>
      </c>
      <c r="B651" t="str">
        <f>"1551604193140954"</f>
        <v>1551604193140954</v>
      </c>
      <c r="C651" t="s">
        <v>40</v>
      </c>
      <c r="D651">
        <v>4.5157780000000001</v>
      </c>
      <c r="E651">
        <v>0.52393029999999996</v>
      </c>
      <c r="F651" t="s">
        <v>43</v>
      </c>
      <c r="G651">
        <v>-284.44819999999999</v>
      </c>
      <c r="H651">
        <v>0.97551569999999999</v>
      </c>
      <c r="I651">
        <v>367.9187</v>
      </c>
      <c r="J651">
        <v>-285.20350000000002</v>
      </c>
      <c r="K651">
        <v>1.0711710000000001</v>
      </c>
      <c r="L651">
        <v>368.01310000000001</v>
      </c>
      <c r="M651">
        <v>0.99982519999999997</v>
      </c>
      <c r="N651">
        <v>-1.3955840000000001E-2</v>
      </c>
      <c r="O651">
        <v>1.2449790000000001E-2</v>
      </c>
      <c r="P651">
        <v>0.9763385</v>
      </c>
      <c r="Q651">
        <v>0.21126909999999999</v>
      </c>
      <c r="R651">
        <v>-4.6135870000000002E-2</v>
      </c>
      <c r="S651">
        <v>3.124908</v>
      </c>
      <c r="T651">
        <v>-0.30182340000000002</v>
      </c>
      <c r="U651">
        <v>-0.28729250000000001</v>
      </c>
      <c r="V651">
        <v>5.8288810000000003E-2</v>
      </c>
      <c r="W651">
        <v>0.22486510000000001</v>
      </c>
      <c r="X651">
        <v>0.97264490000000003</v>
      </c>
      <c r="Y651">
        <v>0.103353</v>
      </c>
      <c r="Z651">
        <v>-6.7181949999999997E-3</v>
      </c>
      <c r="AA651">
        <v>0.99462209999999995</v>
      </c>
      <c r="AB651">
        <v>37</v>
      </c>
      <c r="AC651">
        <v>0.75530000000003295</v>
      </c>
      <c r="AD651">
        <v>-9.5655299999999999E-2</v>
      </c>
      <c r="AE651">
        <v>-9.4400000000007298E-2</v>
      </c>
      <c r="AF651">
        <v>0.102183208046616</v>
      </c>
      <c r="AG651">
        <v>-9.5655299999999999E-2</v>
      </c>
      <c r="AH651">
        <v>0.74234272123790201</v>
      </c>
      <c r="AI651">
        <v>97.274595700377802</v>
      </c>
      <c r="AJ651">
        <v>82.162509030814306</v>
      </c>
      <c r="AK651">
        <v>0.75542310012315705</v>
      </c>
      <c r="AL651">
        <v>77.005054313130202</v>
      </c>
      <c r="AM651">
        <v>86.570471558490198</v>
      </c>
      <c r="AN651">
        <v>1.0000000000326099</v>
      </c>
    </row>
    <row r="652" spans="1:40" x14ac:dyDescent="0.25">
      <c r="A652" t="str">
        <f>"20190303170953169"</f>
        <v>20190303170953169</v>
      </c>
      <c r="B652" t="str">
        <f>"1551604193161450"</f>
        <v>1551604193161450</v>
      </c>
      <c r="C652" t="s">
        <v>40</v>
      </c>
      <c r="D652">
        <v>4.9017080000000002</v>
      </c>
      <c r="E652">
        <v>0.52259440000000001</v>
      </c>
      <c r="F652" t="s">
        <v>43</v>
      </c>
      <c r="G652">
        <v>-284.42590000000001</v>
      </c>
      <c r="H652">
        <v>1.00264</v>
      </c>
      <c r="I652">
        <v>367.9418</v>
      </c>
      <c r="J652">
        <v>-284.96809999999999</v>
      </c>
      <c r="K652">
        <v>1.071161</v>
      </c>
      <c r="L652">
        <v>368.01600000000002</v>
      </c>
      <c r="M652">
        <v>0.99982539999999998</v>
      </c>
      <c r="N652">
        <v>-1.3949339999999999E-2</v>
      </c>
      <c r="O652">
        <v>1.243491E-2</v>
      </c>
      <c r="P652">
        <v>0.97632319999999995</v>
      </c>
      <c r="Q652">
        <v>0.2111952</v>
      </c>
      <c r="R652">
        <v>-4.6795410000000003E-2</v>
      </c>
      <c r="S652">
        <v>3.118805</v>
      </c>
      <c r="T652">
        <v>-0.27518900000000002</v>
      </c>
      <c r="U652">
        <v>-0.2847595</v>
      </c>
      <c r="V652">
        <v>5.8938240000000003E-2</v>
      </c>
      <c r="W652">
        <v>0.22478329999999999</v>
      </c>
      <c r="X652">
        <v>0.97262470000000001</v>
      </c>
      <c r="Y652">
        <v>0.1028099</v>
      </c>
      <c r="Z652">
        <v>-6.1579290000000004E-3</v>
      </c>
      <c r="AA652">
        <v>0.99468199999999996</v>
      </c>
      <c r="AB652">
        <v>37</v>
      </c>
      <c r="AC652">
        <v>0.54219999999997903</v>
      </c>
      <c r="AD652">
        <v>-6.8520999999999999E-2</v>
      </c>
      <c r="AE652">
        <v>-7.4199999999962005E-2</v>
      </c>
      <c r="AF652">
        <v>7.96878391410831E-2</v>
      </c>
      <c r="AG652">
        <v>-6.8520999999999999E-2</v>
      </c>
      <c r="AH652">
        <v>0.53288119368994902</v>
      </c>
      <c r="AI652">
        <v>97.2475038885445</v>
      </c>
      <c r="AJ652">
        <v>81.494929620733402</v>
      </c>
      <c r="AK652">
        <v>0.54314606298527102</v>
      </c>
      <c r="AL652">
        <v>77.009864609315201</v>
      </c>
      <c r="AM652">
        <v>86.532282044843498</v>
      </c>
      <c r="AN652">
        <v>1.0000000275716301</v>
      </c>
    </row>
    <row r="653" spans="1:40" x14ac:dyDescent="0.25">
      <c r="A653" t="str">
        <f>"20190303170953184"</f>
        <v>20190303170953184</v>
      </c>
      <c r="B653" t="str">
        <f>"1551604193171211"</f>
        <v>1551604193171211</v>
      </c>
      <c r="C653" t="s">
        <v>40</v>
      </c>
      <c r="D653">
        <v>4.5447129999999998</v>
      </c>
      <c r="E653">
        <v>0.52203849999999996</v>
      </c>
      <c r="F653" t="s">
        <v>42</v>
      </c>
      <c r="G653">
        <v>-270.80029999999999</v>
      </c>
      <c r="H653" s="1">
        <v>-4.4374199999999998E-6</v>
      </c>
      <c r="I653">
        <v>366.74979999999999</v>
      </c>
      <c r="J653">
        <v>-284.71789999999999</v>
      </c>
      <c r="K653">
        <v>1.0711520000000001</v>
      </c>
      <c r="L653">
        <v>368.01909999999998</v>
      </c>
      <c r="M653">
        <v>0.99982579999999999</v>
      </c>
      <c r="N653">
        <v>-1.3940849999999999E-2</v>
      </c>
      <c r="O653">
        <v>1.24107E-2</v>
      </c>
      <c r="P653">
        <v>0.97628780000000004</v>
      </c>
      <c r="Q653">
        <v>0.211255</v>
      </c>
      <c r="R653">
        <v>-4.725969E-2</v>
      </c>
      <c r="S653">
        <v>3.1102910000000001</v>
      </c>
      <c r="T653">
        <v>-0.2351539</v>
      </c>
      <c r="U653">
        <v>-0.27795409999999998</v>
      </c>
      <c r="V653">
        <v>5.9384510000000001E-2</v>
      </c>
      <c r="W653">
        <v>0.22483249999999999</v>
      </c>
      <c r="X653">
        <v>0.97258619999999996</v>
      </c>
      <c r="Y653">
        <v>0.10100430000000001</v>
      </c>
      <c r="Z653">
        <v>-5.2746619999999899E-3</v>
      </c>
      <c r="AA653">
        <v>0.99487199999999998</v>
      </c>
      <c r="AB653">
        <v>37</v>
      </c>
      <c r="AC653">
        <v>13.917599999999901</v>
      </c>
      <c r="AD653">
        <v>-1.07115643742</v>
      </c>
      <c r="AE653">
        <v>-1.2692999999999801</v>
      </c>
      <c r="AF653">
        <v>1.43352475753595</v>
      </c>
      <c r="AG653">
        <v>-1.07115643742</v>
      </c>
      <c r="AH653">
        <v>13.819588660763699</v>
      </c>
      <c r="AI653">
        <v>94.408573657628494</v>
      </c>
      <c r="AJ653">
        <v>84.077811433796697</v>
      </c>
      <c r="AK653">
        <v>13.9349704017125</v>
      </c>
      <c r="AL653">
        <v>77.006971832317603</v>
      </c>
      <c r="AM653">
        <v>86.505951929920997</v>
      </c>
      <c r="AN653">
        <v>1.0000000447573101</v>
      </c>
    </row>
    <row r="654" spans="1:40" x14ac:dyDescent="0.25">
      <c r="A654" t="str">
        <f>"20190303170953201"</f>
        <v>20190303170953201</v>
      </c>
      <c r="B654" t="str">
        <f>"1551604193191706"</f>
        <v>1551604193191706</v>
      </c>
      <c r="C654" t="s">
        <v>40</v>
      </c>
      <c r="D654">
        <v>4.6807030000000003</v>
      </c>
      <c r="E654">
        <v>0.52128609999999997</v>
      </c>
      <c r="F654" t="s">
        <v>42</v>
      </c>
      <c r="G654">
        <v>-269.63440000000003</v>
      </c>
      <c r="H654" s="1">
        <v>-8.9100149999999996E-7</v>
      </c>
      <c r="I654">
        <v>366.68279999999999</v>
      </c>
      <c r="J654">
        <v>-284.43779999999998</v>
      </c>
      <c r="K654">
        <v>1.071137</v>
      </c>
      <c r="L654">
        <v>368.02249999999998</v>
      </c>
      <c r="M654">
        <v>0.99982660000000001</v>
      </c>
      <c r="N654">
        <v>-1.392904E-2</v>
      </c>
      <c r="O654">
        <v>1.237131E-2</v>
      </c>
      <c r="P654">
        <v>0.97615560000000001</v>
      </c>
      <c r="Q654">
        <v>0.2117608</v>
      </c>
      <c r="R654">
        <v>-4.7725860000000002E-2</v>
      </c>
      <c r="S654">
        <v>3.1072690000000001</v>
      </c>
      <c r="T654">
        <v>-0.22066189999999999</v>
      </c>
      <c r="U654">
        <v>-0.27526859999999997</v>
      </c>
      <c r="V654">
        <v>5.9818799999999998E-2</v>
      </c>
      <c r="W654">
        <v>0.22532269999999999</v>
      </c>
      <c r="X654">
        <v>0.97244609999999998</v>
      </c>
      <c r="Y654">
        <v>0.10024039999999999</v>
      </c>
      <c r="Z654">
        <v>-4.9524770000000003E-3</v>
      </c>
      <c r="AA654">
        <v>0.99495100000000003</v>
      </c>
      <c r="AB654">
        <v>37</v>
      </c>
      <c r="AC654">
        <v>14.8033999999999</v>
      </c>
      <c r="AD654">
        <v>-1.0711378910014999</v>
      </c>
      <c r="AE654">
        <v>-1.3396999999999899</v>
      </c>
      <c r="AF654">
        <v>1.5148857188271201</v>
      </c>
      <c r="AG654">
        <v>-1.0711378910014999</v>
      </c>
      <c r="AH654">
        <v>14.7093048041537</v>
      </c>
      <c r="AI654">
        <v>94.143114385032703</v>
      </c>
      <c r="AJ654">
        <v>84.119937962656607</v>
      </c>
      <c r="AK654">
        <v>14.825851170983301</v>
      </c>
      <c r="AL654">
        <v>76.978145365217799</v>
      </c>
      <c r="AM654">
        <v>86.479957519284895</v>
      </c>
      <c r="AN654">
        <v>1.0000000126869699</v>
      </c>
    </row>
    <row r="655" spans="1:40" x14ac:dyDescent="0.25">
      <c r="A655" t="str">
        <f>"20190303170953213"</f>
        <v>20190303170953213</v>
      </c>
      <c r="B655" t="str">
        <f>"1551604193201466"</f>
        <v>1551604193201466</v>
      </c>
      <c r="C655" t="s">
        <v>40</v>
      </c>
      <c r="D655">
        <v>4.666982</v>
      </c>
      <c r="E655">
        <v>0.52090429999999999</v>
      </c>
      <c r="F655" t="s">
        <v>42</v>
      </c>
      <c r="G655">
        <v>-267.68560000000002</v>
      </c>
      <c r="H655" s="1">
        <v>-1.5875789999999999E-6</v>
      </c>
      <c r="I655">
        <v>366.5573</v>
      </c>
      <c r="J655">
        <v>-284.23880000000003</v>
      </c>
      <c r="K655">
        <v>1.0711280000000001</v>
      </c>
      <c r="L655">
        <v>368.0249</v>
      </c>
      <c r="M655">
        <v>0.99982720000000003</v>
      </c>
      <c r="N655">
        <v>-1.3919849999999999E-2</v>
      </c>
      <c r="O655">
        <v>1.233529E-2</v>
      </c>
      <c r="P655">
        <v>0.97615649999999998</v>
      </c>
      <c r="Q655">
        <v>0.21166309999999999</v>
      </c>
      <c r="R655">
        <v>-4.81375E-2</v>
      </c>
      <c r="S655">
        <v>3.1030880000000001</v>
      </c>
      <c r="T655">
        <v>-0.19841110000000001</v>
      </c>
      <c r="U655">
        <v>-0.27139279999999999</v>
      </c>
      <c r="V655">
        <v>6.0201989999999997E-2</v>
      </c>
      <c r="W655">
        <v>0.225214</v>
      </c>
      <c r="X655">
        <v>0.97244759999999997</v>
      </c>
      <c r="Y655">
        <v>9.9148910000000007E-2</v>
      </c>
      <c r="Z655">
        <v>-4.4680830000000003E-3</v>
      </c>
      <c r="AA655">
        <v>0.99506260000000002</v>
      </c>
      <c r="AB655">
        <v>37</v>
      </c>
      <c r="AC655">
        <v>16.5532</v>
      </c>
      <c r="AD655">
        <v>-1.0711295875789999</v>
      </c>
      <c r="AE655">
        <v>-1.4676</v>
      </c>
      <c r="AF655">
        <v>1.6647802470094399</v>
      </c>
      <c r="AG655">
        <v>-1.0711295875789999</v>
      </c>
      <c r="AH655">
        <v>16.4654295533492</v>
      </c>
      <c r="AI655">
        <v>93.703204323035607</v>
      </c>
      <c r="AJ655">
        <v>84.226580670194707</v>
      </c>
      <c r="AK655">
        <v>16.584003806093499</v>
      </c>
      <c r="AL655">
        <v>76.984537288666999</v>
      </c>
      <c r="AM655">
        <v>86.457471361624997</v>
      </c>
      <c r="AN655">
        <v>0.999999980070859</v>
      </c>
    </row>
    <row r="656" spans="1:40" x14ac:dyDescent="0.25">
      <c r="A656" t="str">
        <f>"20190303170953225"</f>
        <v>20190303170953225</v>
      </c>
      <c r="B656" t="str">
        <f>"1551604193211225"</f>
        <v>1551604193211225</v>
      </c>
      <c r="C656" t="s">
        <v>40</v>
      </c>
      <c r="D656">
        <v>4.6325699999999896</v>
      </c>
      <c r="E656">
        <v>0.52054299999999998</v>
      </c>
      <c r="F656" t="s">
        <v>42</v>
      </c>
      <c r="G656">
        <v>-266.80180000000001</v>
      </c>
      <c r="H656" s="1">
        <v>-1.905691E-6</v>
      </c>
      <c r="I656">
        <v>366.50810000000001</v>
      </c>
      <c r="J656">
        <v>-284.05180000000001</v>
      </c>
      <c r="K656">
        <v>1.0711139999999999</v>
      </c>
      <c r="L656">
        <v>368.02719999999999</v>
      </c>
      <c r="M656">
        <v>0.99982769999999999</v>
      </c>
      <c r="N656">
        <v>-1.391159E-2</v>
      </c>
      <c r="O656">
        <v>1.229414E-2</v>
      </c>
      <c r="P656">
        <v>0.97611270000000006</v>
      </c>
      <c r="Q656">
        <v>0.21181700000000001</v>
      </c>
      <c r="R656">
        <v>-4.8349349999999999E-2</v>
      </c>
      <c r="S656">
        <v>3.1012879999999998</v>
      </c>
      <c r="T656">
        <v>-0.19050719999999999</v>
      </c>
      <c r="U656">
        <v>-0.2697754</v>
      </c>
      <c r="V656">
        <v>6.0379580000000002E-2</v>
      </c>
      <c r="W656">
        <v>0.22535810000000001</v>
      </c>
      <c r="X656">
        <v>0.97240320000000002</v>
      </c>
      <c r="Y656">
        <v>9.8662910000000006E-2</v>
      </c>
      <c r="Z656">
        <v>-4.2927959999999998E-3</v>
      </c>
      <c r="AA656">
        <v>0.99511159999999999</v>
      </c>
      <c r="AB656">
        <v>37</v>
      </c>
      <c r="AC656">
        <v>17.25</v>
      </c>
      <c r="AD656">
        <v>-1.07111590569099</v>
      </c>
      <c r="AE656">
        <v>-1.5190999999999799</v>
      </c>
      <c r="AF656">
        <v>1.7244818116228999</v>
      </c>
      <c r="AG656">
        <v>-1.07111590569099</v>
      </c>
      <c r="AH656">
        <v>17.164348233903201</v>
      </c>
      <c r="AI656">
        <v>93.552987766613796</v>
      </c>
      <c r="AJ656">
        <v>84.262812651011103</v>
      </c>
      <c r="AK656">
        <v>17.283980360343499</v>
      </c>
      <c r="AL656">
        <v>76.976063053011501</v>
      </c>
      <c r="AM656">
        <v>86.446886164741301</v>
      </c>
      <c r="AN656">
        <v>0.99999997514341299</v>
      </c>
    </row>
    <row r="657" spans="1:40" x14ac:dyDescent="0.25">
      <c r="A657" t="str">
        <f>"20190303170953237"</f>
        <v>20190303170953237</v>
      </c>
      <c r="B657" t="str">
        <f>"1551604193230746"</f>
        <v>1551604193230746</v>
      </c>
      <c r="C657" t="s">
        <v>40</v>
      </c>
      <c r="D657">
        <v>4.5950470000000001</v>
      </c>
      <c r="E657">
        <v>0.52008350000000003</v>
      </c>
      <c r="F657" t="s">
        <v>42</v>
      </c>
      <c r="G657">
        <v>-265.93180000000001</v>
      </c>
      <c r="H657" s="1">
        <v>-2.2869390000000001E-6</v>
      </c>
      <c r="I657">
        <v>366.46269999999998</v>
      </c>
      <c r="J657">
        <v>-283.84690000000001</v>
      </c>
      <c r="K657">
        <v>1.071099</v>
      </c>
      <c r="L657">
        <v>368.02969999999999</v>
      </c>
      <c r="M657">
        <v>0.99982850000000001</v>
      </c>
      <c r="N657">
        <v>-1.390275E-2</v>
      </c>
      <c r="O657">
        <v>1.224457E-2</v>
      </c>
      <c r="P657">
        <v>0.97610490000000005</v>
      </c>
      <c r="Q657">
        <v>0.2117724</v>
      </c>
      <c r="R657">
        <v>-4.8702219999999997E-2</v>
      </c>
      <c r="S657">
        <v>3.0999150000000002</v>
      </c>
      <c r="T657">
        <v>-0.18324299999999999</v>
      </c>
      <c r="U657">
        <v>-0.26763920000000002</v>
      </c>
      <c r="V657">
        <v>6.0691009999999997E-2</v>
      </c>
      <c r="W657">
        <v>0.22530220000000001</v>
      </c>
      <c r="X657">
        <v>0.97239679999999995</v>
      </c>
      <c r="Y657">
        <v>9.7989019999999996E-2</v>
      </c>
      <c r="Z657">
        <v>-4.1236010000000002E-3</v>
      </c>
      <c r="AA657">
        <v>0.99517889999999998</v>
      </c>
      <c r="AB657">
        <v>37</v>
      </c>
      <c r="AC657">
        <v>17.915099999999899</v>
      </c>
      <c r="AD657">
        <v>-1.071101286939</v>
      </c>
      <c r="AE657">
        <v>-1.5669999999999999</v>
      </c>
      <c r="AF657">
        <v>1.77995213741998</v>
      </c>
      <c r="AG657">
        <v>-1.071101286939</v>
      </c>
      <c r="AH657">
        <v>17.831312441546601</v>
      </c>
      <c r="AI657">
        <v>93.420585447559006</v>
      </c>
      <c r="AJ657">
        <v>84.299521043462306</v>
      </c>
      <c r="AK657">
        <v>17.9519132954246</v>
      </c>
      <c r="AL657">
        <v>76.979350870182898</v>
      </c>
      <c r="AM657">
        <v>86.428583533823698</v>
      </c>
      <c r="AN657">
        <v>1.0000000083349501</v>
      </c>
    </row>
    <row r="658" spans="1:40" x14ac:dyDescent="0.25">
      <c r="A658" t="str">
        <f>"20190303170953249"</f>
        <v>20190303170953249</v>
      </c>
      <c r="B658" t="str">
        <f>"1551604193241482"</f>
        <v>1551604193241482</v>
      </c>
      <c r="C658" t="s">
        <v>40</v>
      </c>
      <c r="D658">
        <v>4.6979480000000002</v>
      </c>
      <c r="E658">
        <v>0.51988849999999998</v>
      </c>
      <c r="F658" t="s">
        <v>42</v>
      </c>
      <c r="G658">
        <v>-264.55200000000002</v>
      </c>
      <c r="H658" s="1">
        <v>-2.8946779999999998E-6</v>
      </c>
      <c r="I658">
        <v>366.37360000000001</v>
      </c>
      <c r="J658">
        <v>-283.64859999999999</v>
      </c>
      <c r="K658">
        <v>1.0710839999999999</v>
      </c>
      <c r="L658">
        <v>368.03210000000001</v>
      </c>
      <c r="M658">
        <v>0.99982939999999998</v>
      </c>
      <c r="N658">
        <v>-1.389481E-2</v>
      </c>
      <c r="O658">
        <v>1.218492E-2</v>
      </c>
      <c r="P658">
        <v>0.97612339999999997</v>
      </c>
      <c r="Q658">
        <v>0.2116152</v>
      </c>
      <c r="R658">
        <v>-4.9015259999999998E-2</v>
      </c>
      <c r="S658">
        <v>3.0974430000000002</v>
      </c>
      <c r="T658">
        <v>-0.1719455</v>
      </c>
      <c r="U658">
        <v>-0.26583859999999998</v>
      </c>
      <c r="V658">
        <v>6.0953159999999999E-2</v>
      </c>
      <c r="W658">
        <v>0.2251359</v>
      </c>
      <c r="X658">
        <v>0.97241889999999997</v>
      </c>
      <c r="Y658">
        <v>9.7448960000000001E-2</v>
      </c>
      <c r="Z658">
        <v>-3.882548E-3</v>
      </c>
      <c r="AA658">
        <v>0.99523289999999998</v>
      </c>
      <c r="AB658">
        <v>37</v>
      </c>
      <c r="AC658">
        <v>19.096599999999899</v>
      </c>
      <c r="AD658">
        <v>-1.0710868946779999</v>
      </c>
      <c r="AE658">
        <v>-1.6585000000000001</v>
      </c>
      <c r="AF658">
        <v>1.8852036555587099</v>
      </c>
      <c r="AG658">
        <v>-1.0710868946779999</v>
      </c>
      <c r="AH658">
        <v>19.015599072790302</v>
      </c>
      <c r="AI658">
        <v>93.208183948254899</v>
      </c>
      <c r="AJ658">
        <v>84.338205973994803</v>
      </c>
      <c r="AK658">
        <v>19.1388146983032</v>
      </c>
      <c r="AL658">
        <v>76.989130158485693</v>
      </c>
      <c r="AM658">
        <v>86.413278573597097</v>
      </c>
      <c r="AN658">
        <v>0.99999998913000199</v>
      </c>
    </row>
    <row r="659" spans="1:40" x14ac:dyDescent="0.25">
      <c r="A659" t="str">
        <f>"20190303170953261"</f>
        <v>20190303170953261</v>
      </c>
      <c r="B659" t="str">
        <f>"1551604193251242"</f>
        <v>1551604193251242</v>
      </c>
      <c r="C659" t="s">
        <v>40</v>
      </c>
      <c r="D659">
        <v>4.9050770000000004</v>
      </c>
      <c r="E659">
        <v>0.51967019999999997</v>
      </c>
      <c r="F659" t="s">
        <v>42</v>
      </c>
      <c r="G659">
        <v>-263.94240000000002</v>
      </c>
      <c r="H659" s="1">
        <v>-3.162193E-6</v>
      </c>
      <c r="I659">
        <v>366.33980000000003</v>
      </c>
      <c r="J659">
        <v>-283.4572</v>
      </c>
      <c r="K659">
        <v>1.0710710000000001</v>
      </c>
      <c r="L659">
        <v>368.03440000000001</v>
      </c>
      <c r="M659">
        <v>0.9998302</v>
      </c>
      <c r="N659">
        <v>-1.388737E-2</v>
      </c>
      <c r="O659">
        <v>1.212278E-2</v>
      </c>
      <c r="P659">
        <v>0.9761398</v>
      </c>
      <c r="Q659">
        <v>0.21150749999999999</v>
      </c>
      <c r="R659">
        <v>-4.9151529999999999E-2</v>
      </c>
      <c r="S659">
        <v>3.0964969999999998</v>
      </c>
      <c r="T659">
        <v>-0.16830329999999999</v>
      </c>
      <c r="U659">
        <v>-0.26589970000000002</v>
      </c>
      <c r="V659">
        <v>6.1035829999999999E-2</v>
      </c>
      <c r="W659">
        <v>0.22501979999999999</v>
      </c>
      <c r="X659">
        <v>0.97244059999999999</v>
      </c>
      <c r="Y659">
        <v>9.7440059999999995E-2</v>
      </c>
      <c r="Z659">
        <v>-3.8091050000000001E-3</v>
      </c>
      <c r="AA659">
        <v>0.99523410000000001</v>
      </c>
      <c r="AB659">
        <v>37</v>
      </c>
      <c r="AC659">
        <v>19.514799999999902</v>
      </c>
      <c r="AD659">
        <v>-1.07107416219299</v>
      </c>
      <c r="AE659">
        <v>-1.6945999999999799</v>
      </c>
      <c r="AF659">
        <v>1.92531547416039</v>
      </c>
      <c r="AG659">
        <v>-1.07107416219299</v>
      </c>
      <c r="AH659">
        <v>19.434713730249499</v>
      </c>
      <c r="AI659">
        <v>93.139124040619606</v>
      </c>
      <c r="AJ659">
        <v>84.342407478061901</v>
      </c>
      <c r="AK659">
        <v>19.5591957225421</v>
      </c>
      <c r="AL659">
        <v>76.995957546470194</v>
      </c>
      <c r="AM659">
        <v>86.408506609540495</v>
      </c>
      <c r="AN659">
        <v>1.00000000173209</v>
      </c>
    </row>
    <row r="660" spans="1:40" x14ac:dyDescent="0.25">
      <c r="A660" t="str">
        <f>"20190303170953272"</f>
        <v>20190303170953272</v>
      </c>
      <c r="B660" t="str">
        <f>"1551604193261002"</f>
        <v>1551604193261002</v>
      </c>
      <c r="C660" t="s">
        <v>40</v>
      </c>
      <c r="D660">
        <v>4.6914300000000004</v>
      </c>
      <c r="E660">
        <v>0.51941219999999999</v>
      </c>
      <c r="F660" t="s">
        <v>42</v>
      </c>
      <c r="G660">
        <v>-263.36070000000001</v>
      </c>
      <c r="H660" s="1">
        <v>-3.4157109999999998E-6</v>
      </c>
      <c r="I660">
        <v>366.3175</v>
      </c>
      <c r="J660">
        <v>-283.25580000000002</v>
      </c>
      <c r="K660">
        <v>1.071059</v>
      </c>
      <c r="L660">
        <v>368.0367</v>
      </c>
      <c r="M660">
        <v>0.99983100000000003</v>
      </c>
      <c r="N660">
        <v>-1.3879870000000001E-2</v>
      </c>
      <c r="O660">
        <v>1.2049549999999999E-2</v>
      </c>
      <c r="P660">
        <v>0.97616289999999994</v>
      </c>
      <c r="Q660">
        <v>0.2114171</v>
      </c>
      <c r="R660">
        <v>-4.907852E-2</v>
      </c>
      <c r="S660">
        <v>3.095764</v>
      </c>
      <c r="T660">
        <v>-0.164993</v>
      </c>
      <c r="U660">
        <v>-0.26446530000000001</v>
      </c>
      <c r="V660">
        <v>6.0898330000000001E-2</v>
      </c>
      <c r="W660">
        <v>0.22492039999999999</v>
      </c>
      <c r="X660">
        <v>0.97247220000000001</v>
      </c>
      <c r="Y660">
        <v>9.6937140000000005E-2</v>
      </c>
      <c r="Z660">
        <v>-3.72508E-3</v>
      </c>
      <c r="AA660">
        <v>0.99528349999999999</v>
      </c>
      <c r="AB660">
        <v>37</v>
      </c>
      <c r="AC660">
        <v>19.895099999999999</v>
      </c>
      <c r="AD660">
        <v>-1.071062415711</v>
      </c>
      <c r="AE660">
        <v>-1.7192000000000001</v>
      </c>
      <c r="AF660">
        <v>1.9532063361621099</v>
      </c>
      <c r="AG660">
        <v>-1.071062415711</v>
      </c>
      <c r="AH660">
        <v>19.815931745029602</v>
      </c>
      <c r="AI660">
        <v>93.078967192555794</v>
      </c>
      <c r="AJ660">
        <v>84.370683381777098</v>
      </c>
      <c r="AK660">
        <v>19.940745738654002</v>
      </c>
      <c r="AL660">
        <v>77.001802377088197</v>
      </c>
      <c r="AM660">
        <v>86.416692468956299</v>
      </c>
      <c r="AN660">
        <v>0.999999986352894</v>
      </c>
    </row>
    <row r="661" spans="1:40" x14ac:dyDescent="0.25">
      <c r="A661" t="str">
        <f>"20190303170953285"</f>
        <v>20190303170953285</v>
      </c>
      <c r="B661" t="str">
        <f>"1551604193271738"</f>
        <v>1551604193271738</v>
      </c>
      <c r="C661" t="s">
        <v>40</v>
      </c>
      <c r="D661">
        <v>4.6803970000000001</v>
      </c>
      <c r="E661">
        <v>0.51919009999999999</v>
      </c>
      <c r="F661" t="s">
        <v>42</v>
      </c>
      <c r="G661">
        <v>-262.79640000000001</v>
      </c>
      <c r="H661" s="1">
        <v>-3.660654E-6</v>
      </c>
      <c r="I661">
        <v>366.30119999999999</v>
      </c>
      <c r="J661">
        <v>-283.06549999999999</v>
      </c>
      <c r="K661">
        <v>1.071048</v>
      </c>
      <c r="L661">
        <v>368.03899999999999</v>
      </c>
      <c r="M661">
        <v>0.9998321</v>
      </c>
      <c r="N661">
        <v>-1.3873079999999999E-2</v>
      </c>
      <c r="O661">
        <v>1.1971310000000001E-2</v>
      </c>
      <c r="P661">
        <v>0.97609919999999994</v>
      </c>
      <c r="Q661">
        <v>0.21165390000000001</v>
      </c>
      <c r="R661">
        <v>-4.9326059999999998E-2</v>
      </c>
      <c r="S661">
        <v>3.0951230000000001</v>
      </c>
      <c r="T661">
        <v>-0.16203149999999999</v>
      </c>
      <c r="U661">
        <v>-0.26254270000000002</v>
      </c>
      <c r="V661">
        <v>6.1075400000000002E-2</v>
      </c>
      <c r="W661">
        <v>0.22514799999999999</v>
      </c>
      <c r="X661">
        <v>0.97240839999999995</v>
      </c>
      <c r="Y661">
        <v>9.6270030000000006E-2</v>
      </c>
      <c r="Z661">
        <v>-3.642789E-3</v>
      </c>
      <c r="AA661">
        <v>0.99534860000000003</v>
      </c>
      <c r="AB661">
        <v>37</v>
      </c>
      <c r="AC661">
        <v>20.269099999999899</v>
      </c>
      <c r="AD661">
        <v>-1.0710516606539999</v>
      </c>
      <c r="AE661">
        <v>-1.73779999999999</v>
      </c>
      <c r="AF661">
        <v>1.9748724116677301</v>
      </c>
      <c r="AG661">
        <v>-1.0710516606539999</v>
      </c>
      <c r="AH661">
        <v>20.190875250567899</v>
      </c>
      <c r="AI661">
        <v>93.0220897764992</v>
      </c>
      <c r="AJ661">
        <v>84.413660853838493</v>
      </c>
      <c r="AK661">
        <v>20.3154797158756</v>
      </c>
      <c r="AL661">
        <v>76.988418243984597</v>
      </c>
      <c r="AM661">
        <v>86.406065624427896</v>
      </c>
      <c r="AN661">
        <v>0.99999996138985903</v>
      </c>
    </row>
    <row r="662" spans="1:40" x14ac:dyDescent="0.25">
      <c r="A662" t="str">
        <f>"20190303170953301"</f>
        <v>20190303170953301</v>
      </c>
      <c r="B662" t="str">
        <f>"1551604193291258"</f>
        <v>1551604193291258</v>
      </c>
      <c r="C662" t="s">
        <v>40</v>
      </c>
      <c r="D662">
        <v>4.8403349999999996</v>
      </c>
      <c r="E662">
        <v>0.51881129999999998</v>
      </c>
      <c r="F662" t="s">
        <v>42</v>
      </c>
      <c r="G662">
        <v>-262.11709999999999</v>
      </c>
      <c r="H662" s="1">
        <v>-3.957522E-6</v>
      </c>
      <c r="I662">
        <v>366.27050000000003</v>
      </c>
      <c r="J662">
        <v>-282.79969999999997</v>
      </c>
      <c r="K662">
        <v>1.071034</v>
      </c>
      <c r="L662">
        <v>368.0421</v>
      </c>
      <c r="M662">
        <v>0.99983370000000005</v>
      </c>
      <c r="N662">
        <v>-1.386398E-2</v>
      </c>
      <c r="O662">
        <v>1.1852959999999999E-2</v>
      </c>
      <c r="P662">
        <v>0.97604029999999997</v>
      </c>
      <c r="Q662">
        <v>0.2118524</v>
      </c>
      <c r="R662">
        <v>-4.9642550000000001E-2</v>
      </c>
      <c r="S662">
        <v>3.0945740000000002</v>
      </c>
      <c r="T662">
        <v>-0.15821979999999999</v>
      </c>
      <c r="U662">
        <v>-0.26123049999999998</v>
      </c>
      <c r="V662">
        <v>6.1284430000000001E-2</v>
      </c>
      <c r="W662">
        <v>0.22533429999999999</v>
      </c>
      <c r="X662">
        <v>0.97235210000000005</v>
      </c>
      <c r="Y662">
        <v>9.5756339999999995E-2</v>
      </c>
      <c r="Z662">
        <v>-3.5481969999999999E-3</v>
      </c>
      <c r="AA662">
        <v>0.99539849999999996</v>
      </c>
      <c r="AB662">
        <v>37</v>
      </c>
      <c r="AC662">
        <v>20.682599999999901</v>
      </c>
      <c r="AD662">
        <v>-1.0710379575219999</v>
      </c>
      <c r="AE662">
        <v>-1.7715999999999701</v>
      </c>
      <c r="AF662">
        <v>2.0112948298463298</v>
      </c>
      <c r="AG662">
        <v>-1.0710379575219999</v>
      </c>
      <c r="AH662">
        <v>20.605292685951401</v>
      </c>
      <c r="AI662">
        <v>92.961437524018805</v>
      </c>
      <c r="AJ662">
        <v>84.424986168684299</v>
      </c>
      <c r="AK662">
        <v>20.730907261206401</v>
      </c>
      <c r="AL662">
        <v>76.977462588429404</v>
      </c>
      <c r="AM662">
        <v>86.393589569343206</v>
      </c>
      <c r="AN662">
        <v>0.99999996724566098</v>
      </c>
    </row>
    <row r="663" spans="1:40" x14ac:dyDescent="0.25">
      <c r="A663" t="str">
        <f>"20190303170953313"</f>
        <v>20190303170953313</v>
      </c>
      <c r="B663" t="str">
        <f>"1551604193301018"</f>
        <v>1551604193301018</v>
      </c>
      <c r="C663" t="s">
        <v>40</v>
      </c>
      <c r="D663">
        <v>4.7093540000000003</v>
      </c>
      <c r="E663">
        <v>0.51863679999999901</v>
      </c>
      <c r="F663" t="s">
        <v>42</v>
      </c>
      <c r="G663">
        <v>-261.12639999999999</v>
      </c>
      <c r="H663" s="1">
        <v>-4.389192E-6</v>
      </c>
      <c r="I663">
        <v>366.23309999999998</v>
      </c>
      <c r="J663">
        <v>-282.5951</v>
      </c>
      <c r="K663">
        <v>1.0710189999999999</v>
      </c>
      <c r="L663">
        <v>368.0444</v>
      </c>
      <c r="M663">
        <v>0.99983489999999997</v>
      </c>
      <c r="N663">
        <v>-1.3857370000000001E-2</v>
      </c>
      <c r="O663">
        <v>1.1753390000000001E-2</v>
      </c>
      <c r="P663">
        <v>0.97607250000000001</v>
      </c>
      <c r="Q663">
        <v>0.2116652</v>
      </c>
      <c r="R663">
        <v>-4.9799110000000001E-2</v>
      </c>
      <c r="S663">
        <v>3.0936889999999999</v>
      </c>
      <c r="T663">
        <v>-0.15288189999999999</v>
      </c>
      <c r="U663">
        <v>-0.25820920000000003</v>
      </c>
      <c r="V663">
        <v>6.1351219999999998E-2</v>
      </c>
      <c r="W663">
        <v>0.2251397</v>
      </c>
      <c r="X663">
        <v>0.97239299999999995</v>
      </c>
      <c r="Y663">
        <v>9.4727439999999996E-2</v>
      </c>
      <c r="Z663">
        <v>-3.4101410000000002E-3</v>
      </c>
      <c r="AA663">
        <v>0.99549739999999998</v>
      </c>
      <c r="AB663">
        <v>36</v>
      </c>
      <c r="AC663">
        <v>21.468699999999998</v>
      </c>
      <c r="AD663">
        <v>-1.071023389192</v>
      </c>
      <c r="AE663">
        <v>-1.8113000000000099</v>
      </c>
      <c r="AF663">
        <v>2.0584422979583001</v>
      </c>
      <c r="AG663">
        <v>-1.071023389192</v>
      </c>
      <c r="AH663">
        <v>21.393059542496498</v>
      </c>
      <c r="AI663">
        <v>92.852912132683997</v>
      </c>
      <c r="AJ663">
        <v>84.503914257111603</v>
      </c>
      <c r="AK663">
        <v>21.518533230288298</v>
      </c>
      <c r="AL663">
        <v>76.988906862429502</v>
      </c>
      <c r="AM663">
        <v>86.389821015235299</v>
      </c>
      <c r="AN663">
        <v>1.0000000015802799</v>
      </c>
    </row>
    <row r="664" spans="1:40" x14ac:dyDescent="0.25">
      <c r="A664" t="str">
        <f>"20190303170953325"</f>
        <v>20190303170953325</v>
      </c>
      <c r="B664" t="str">
        <f>"1551604193310779"</f>
        <v>1551604193310779</v>
      </c>
      <c r="C664" t="s">
        <v>40</v>
      </c>
      <c r="D664">
        <v>4.6481379999999897</v>
      </c>
      <c r="E664">
        <v>0.51851359999999902</v>
      </c>
      <c r="F664" t="s">
        <v>42</v>
      </c>
      <c r="G664">
        <v>-260.72559999999999</v>
      </c>
      <c r="H664" s="1">
        <v>-4.562302E-6</v>
      </c>
      <c r="I664">
        <v>366.22629999999998</v>
      </c>
      <c r="J664">
        <v>-282.4171</v>
      </c>
      <c r="K664">
        <v>1.0710090000000001</v>
      </c>
      <c r="L664">
        <v>368.04640000000001</v>
      </c>
      <c r="M664">
        <v>0.99983610000000001</v>
      </c>
      <c r="N664">
        <v>-1.385198E-2</v>
      </c>
      <c r="O664">
        <v>1.1659910000000001E-2</v>
      </c>
      <c r="P664">
        <v>0.97607270000000002</v>
      </c>
      <c r="Q664">
        <v>0.21163870000000001</v>
      </c>
      <c r="R664">
        <v>-4.9914600000000003E-2</v>
      </c>
      <c r="S664">
        <v>3.0932919999999999</v>
      </c>
      <c r="T664">
        <v>-0.15148909999999999</v>
      </c>
      <c r="U664">
        <v>-0.25714110000000001</v>
      </c>
      <c r="V664">
        <v>6.1380919999999999E-2</v>
      </c>
      <c r="W664">
        <v>0.22510620000000001</v>
      </c>
      <c r="X664">
        <v>0.97239889999999995</v>
      </c>
      <c r="Y664">
        <v>9.4306810000000005E-2</v>
      </c>
      <c r="Z664">
        <v>-3.3673430000000001E-3</v>
      </c>
      <c r="AA664">
        <v>0.99553749999999996</v>
      </c>
      <c r="AB664">
        <v>36</v>
      </c>
      <c r="AC664">
        <v>21.691500000000001</v>
      </c>
      <c r="AD664">
        <v>-1.0710135623019901</v>
      </c>
      <c r="AE664">
        <v>-1.82010000000002</v>
      </c>
      <c r="AF664">
        <v>2.06791538076051</v>
      </c>
      <c r="AG664">
        <v>-1.0710135623019901</v>
      </c>
      <c r="AH664">
        <v>21.616471171391801</v>
      </c>
      <c r="AI664">
        <v>92.823597731902595</v>
      </c>
      <c r="AJ664">
        <v>84.5354928831552</v>
      </c>
      <c r="AK664">
        <v>21.741553991751299</v>
      </c>
      <c r="AL664">
        <v>76.990877079097302</v>
      </c>
      <c r="AM664">
        <v>86.388099817622205</v>
      </c>
      <c r="AN664">
        <v>1.00000001966984</v>
      </c>
    </row>
    <row r="665" spans="1:40" x14ac:dyDescent="0.25">
      <c r="A665" t="str">
        <f>"20190303170953339"</f>
        <v>20190303170953339</v>
      </c>
      <c r="B665" t="str">
        <f>"1551604193331274"</f>
        <v>1551604193331274</v>
      </c>
      <c r="C665" t="s">
        <v>40</v>
      </c>
      <c r="D665">
        <v>4.6879780000000002</v>
      </c>
      <c r="E665">
        <v>0.51827820000000002</v>
      </c>
      <c r="F665" t="s">
        <v>42</v>
      </c>
      <c r="G665">
        <v>-260.3057</v>
      </c>
      <c r="H665" s="1">
        <v>-4.7449920000000001E-6</v>
      </c>
      <c r="I665">
        <v>366.21210000000002</v>
      </c>
      <c r="J665">
        <v>-282.19150000000002</v>
      </c>
      <c r="K665">
        <v>1.070997</v>
      </c>
      <c r="L665">
        <v>368.0489</v>
      </c>
      <c r="M665">
        <v>0.99983759999999999</v>
      </c>
      <c r="N665">
        <v>-1.3845379999999999E-2</v>
      </c>
      <c r="O665">
        <v>1.1537739999999999E-2</v>
      </c>
      <c r="P665">
        <v>0.97611360000000003</v>
      </c>
      <c r="Q665">
        <v>0.21147250000000001</v>
      </c>
      <c r="R665">
        <v>-4.9818319999999999E-2</v>
      </c>
      <c r="S665">
        <v>3.0928960000000001</v>
      </c>
      <c r="T665">
        <v>-0.1498109</v>
      </c>
      <c r="U665">
        <v>-0.25656129999999999</v>
      </c>
      <c r="V665">
        <v>6.117268E-2</v>
      </c>
      <c r="W665">
        <v>0.2249324</v>
      </c>
      <c r="X665">
        <v>0.97245219999999999</v>
      </c>
      <c r="Y665">
        <v>9.4013879999999994E-2</v>
      </c>
      <c r="Z665">
        <v>-3.322349E-3</v>
      </c>
      <c r="AA665">
        <v>0.99556540000000004</v>
      </c>
      <c r="AB665">
        <v>36</v>
      </c>
      <c r="AC665">
        <v>21.8858</v>
      </c>
      <c r="AD665">
        <v>-1.071001744992</v>
      </c>
      <c r="AE665">
        <v>-1.83679999999998</v>
      </c>
      <c r="AF665">
        <v>2.0842582736023698</v>
      </c>
      <c r="AG665">
        <v>-1.071001744992</v>
      </c>
      <c r="AH665">
        <v>21.811281734798801</v>
      </c>
      <c r="AI665">
        <v>92.798415642113895</v>
      </c>
      <c r="AJ665">
        <v>84.541462917490506</v>
      </c>
      <c r="AK665">
        <v>21.9367998624144</v>
      </c>
      <c r="AL665">
        <v>77.001096679858804</v>
      </c>
      <c r="AM665">
        <v>86.400518002164404</v>
      </c>
      <c r="AN665">
        <v>0.99999998131649104</v>
      </c>
    </row>
    <row r="666" spans="1:40" x14ac:dyDescent="0.25">
      <c r="A666" t="str">
        <f>"20190303170953359"</f>
        <v>20190303170953359</v>
      </c>
      <c r="B666" t="str">
        <f>"1551604193350793"</f>
        <v>1551604193350793</v>
      </c>
      <c r="C666" t="s">
        <v>40</v>
      </c>
      <c r="D666">
        <v>4.625731</v>
      </c>
      <c r="E666">
        <v>0.5181692</v>
      </c>
      <c r="F666" t="s">
        <v>42</v>
      </c>
      <c r="G666">
        <v>-259.69779999999997</v>
      </c>
      <c r="H666" s="1">
        <v>-9.9921739999999991E-7</v>
      </c>
      <c r="I666">
        <v>366.19510000000002</v>
      </c>
      <c r="J666">
        <v>-281.86880000000002</v>
      </c>
      <c r="K666">
        <v>1.0709759999999999</v>
      </c>
      <c r="L666">
        <v>368.05250000000001</v>
      </c>
      <c r="M666">
        <v>0.99983999999999995</v>
      </c>
      <c r="N666">
        <v>-1.383671E-2</v>
      </c>
      <c r="O666">
        <v>1.134843E-2</v>
      </c>
      <c r="P666">
        <v>0.9761455</v>
      </c>
      <c r="Q666">
        <v>0.2112195</v>
      </c>
      <c r="R666">
        <v>-5.0261859999999998E-2</v>
      </c>
      <c r="S666">
        <v>3.0923159999999998</v>
      </c>
      <c r="T666">
        <v>-0.14723439999999999</v>
      </c>
      <c r="U666">
        <v>-0.25485229999999998</v>
      </c>
      <c r="V666">
        <v>6.1441679999999999E-2</v>
      </c>
      <c r="W666">
        <v>0.22466900000000001</v>
      </c>
      <c r="X666">
        <v>0.97249620000000003</v>
      </c>
      <c r="Y666">
        <v>9.3299969999999996E-2</v>
      </c>
      <c r="Z666">
        <v>-3.2456939999999999E-3</v>
      </c>
      <c r="AA666">
        <v>0.99563279999999998</v>
      </c>
      <c r="AB666">
        <v>36</v>
      </c>
      <c r="AC666">
        <v>22.170999999999999</v>
      </c>
      <c r="AD666">
        <v>-1.0709769992174001</v>
      </c>
      <c r="AE666">
        <v>-1.85739999999998</v>
      </c>
      <c r="AF666">
        <v>2.1040351216081099</v>
      </c>
      <c r="AG666">
        <v>-1.0709769992174001</v>
      </c>
      <c r="AH666">
        <v>22.097288909747299</v>
      </c>
      <c r="AI666">
        <v>92.762277357191195</v>
      </c>
      <c r="AJ666">
        <v>84.560872035894107</v>
      </c>
      <c r="AK666">
        <v>22.223054080991101</v>
      </c>
      <c r="AL666">
        <v>77.016585709085405</v>
      </c>
      <c r="AM666">
        <v>86.384894708219207</v>
      </c>
      <c r="AN666">
        <v>1.0000000493083301</v>
      </c>
    </row>
    <row r="667" spans="1:40" x14ac:dyDescent="0.25">
      <c r="A667" t="str">
        <f>"20190303170953373"</f>
        <v>20190303170953373</v>
      </c>
      <c r="B667" t="str">
        <f>"1551604193361530"</f>
        <v>1551604193361530</v>
      </c>
      <c r="C667" t="s">
        <v>40</v>
      </c>
      <c r="D667">
        <v>4.6977520000000004</v>
      </c>
      <c r="E667">
        <v>0.51810529999999999</v>
      </c>
      <c r="F667" t="s">
        <v>42</v>
      </c>
      <c r="G667">
        <v>-259.03660000000002</v>
      </c>
      <c r="H667" s="1">
        <v>-1.232836E-6</v>
      </c>
      <c r="I667">
        <v>366.1628</v>
      </c>
      <c r="J667">
        <v>-281.63299999999998</v>
      </c>
      <c r="K667">
        <v>1.0709630000000001</v>
      </c>
      <c r="L667">
        <v>368.05500000000001</v>
      </c>
      <c r="M667">
        <v>0.99984170000000006</v>
      </c>
      <c r="N667">
        <v>-1.383088E-2</v>
      </c>
      <c r="O667">
        <v>1.1200450000000001E-2</v>
      </c>
      <c r="P667">
        <v>0.97616429999999998</v>
      </c>
      <c r="Q667">
        <v>0.21103369999999999</v>
      </c>
      <c r="R667">
        <v>-5.0678819999999999E-2</v>
      </c>
      <c r="S667">
        <v>3.0915219999999999</v>
      </c>
      <c r="T667">
        <v>-0.14501140000000001</v>
      </c>
      <c r="U667">
        <v>-0.25585940000000001</v>
      </c>
      <c r="V667">
        <v>6.1721030000000003E-2</v>
      </c>
      <c r="W667">
        <v>0.2244757</v>
      </c>
      <c r="X667">
        <v>0.97252309999999997</v>
      </c>
      <c r="Y667">
        <v>9.3499289999999999E-2</v>
      </c>
      <c r="Z667">
        <v>-3.205748E-3</v>
      </c>
      <c r="AA667">
        <v>0.9956142</v>
      </c>
      <c r="AB667">
        <v>36</v>
      </c>
      <c r="AC667">
        <v>22.5963999999999</v>
      </c>
      <c r="AD667">
        <v>-1.0709642328359901</v>
      </c>
      <c r="AE667">
        <v>-1.8922000000000001</v>
      </c>
      <c r="AF667">
        <v>2.1404207357396698</v>
      </c>
      <c r="AG667">
        <v>-1.0709642328359901</v>
      </c>
      <c r="AH667">
        <v>22.523544056249602</v>
      </c>
      <c r="AI667">
        <v>92.710095626040896</v>
      </c>
      <c r="AJ667">
        <v>84.571462971104097</v>
      </c>
      <c r="AK667">
        <v>22.6503510385119</v>
      </c>
      <c r="AL667">
        <v>77.027950674265398</v>
      </c>
      <c r="AM667">
        <v>86.368602377337794</v>
      </c>
      <c r="AN667">
        <v>1.00000000273418</v>
      </c>
    </row>
    <row r="668" spans="1:40" x14ac:dyDescent="0.25">
      <c r="A668" t="str">
        <f>"20190303170953388"</f>
        <v>20190303170953388</v>
      </c>
      <c r="B668" t="str">
        <f>"1551604193381050"</f>
        <v>1551604193381050</v>
      </c>
      <c r="C668" t="s">
        <v>40</v>
      </c>
      <c r="D668">
        <v>4.6909289999999997</v>
      </c>
      <c r="E668">
        <v>0.51792280000000002</v>
      </c>
      <c r="F668" t="s">
        <v>42</v>
      </c>
      <c r="G668">
        <v>-258.67180000000002</v>
      </c>
      <c r="H668" s="1">
        <v>-1.36087799999999E-6</v>
      </c>
      <c r="I668">
        <v>366.14800000000002</v>
      </c>
      <c r="J668">
        <v>-281.38010000000003</v>
      </c>
      <c r="K668">
        <v>1.070948</v>
      </c>
      <c r="L668">
        <v>368.05770000000001</v>
      </c>
      <c r="M668">
        <v>0.99984360000000005</v>
      </c>
      <c r="N668">
        <v>-1.382505E-2</v>
      </c>
      <c r="O668">
        <v>1.1032780000000001E-2</v>
      </c>
      <c r="P668">
        <v>0.97613249999999996</v>
      </c>
      <c r="Q668">
        <v>0.21108660000000001</v>
      </c>
      <c r="R668">
        <v>-5.1067599999999998E-2</v>
      </c>
      <c r="S668">
        <v>3.0910950000000001</v>
      </c>
      <c r="T668">
        <v>-0.14417579999999999</v>
      </c>
      <c r="U668">
        <v>-0.25671389999999999</v>
      </c>
      <c r="V668">
        <v>6.195291E-2</v>
      </c>
      <c r="W668">
        <v>0.22452030000000001</v>
      </c>
      <c r="X668">
        <v>0.97249810000000003</v>
      </c>
      <c r="Y668">
        <v>9.361833E-2</v>
      </c>
      <c r="Z668">
        <v>-3.1883749999999998E-3</v>
      </c>
      <c r="AA668">
        <v>0.99560300000000002</v>
      </c>
      <c r="AB668">
        <v>36</v>
      </c>
      <c r="AC668">
        <v>22.708300000000001</v>
      </c>
      <c r="AD668">
        <v>-1.0709493608779901</v>
      </c>
      <c r="AE668">
        <v>-1.90969999999998</v>
      </c>
      <c r="AF668">
        <v>2.1553830827320399</v>
      </c>
      <c r="AG668">
        <v>-1.0709493608779901</v>
      </c>
      <c r="AH668">
        <v>22.635853828605001</v>
      </c>
      <c r="AI668">
        <v>92.696583652357305</v>
      </c>
      <c r="AJ668">
        <v>84.560702753883206</v>
      </c>
      <c r="AK668">
        <v>22.763446297010098</v>
      </c>
      <c r="AL668">
        <v>77.025328856000797</v>
      </c>
      <c r="AM668">
        <v>86.354902826189303</v>
      </c>
      <c r="AN668">
        <v>1.0000000413365799</v>
      </c>
    </row>
    <row r="669" spans="1:40" x14ac:dyDescent="0.25">
      <c r="A669" t="str">
        <f>"20190303170953402"</f>
        <v>20190303170953402</v>
      </c>
      <c r="B669" t="str">
        <f>"1551604193390810"</f>
        <v>1551604193390810</v>
      </c>
      <c r="C669" t="s">
        <v>40</v>
      </c>
      <c r="D669">
        <v>4.593845</v>
      </c>
      <c r="E669">
        <v>0.51793619999999996</v>
      </c>
      <c r="F669" t="s">
        <v>42</v>
      </c>
      <c r="G669">
        <v>-258.07080000000002</v>
      </c>
      <c r="H669" s="1">
        <v>-1.5711709999999999E-6</v>
      </c>
      <c r="I669">
        <v>366.12639999999999</v>
      </c>
      <c r="J669">
        <v>-281.15989999999999</v>
      </c>
      <c r="K669">
        <v>1.0710150000000001</v>
      </c>
      <c r="L669">
        <v>368.05990000000003</v>
      </c>
      <c r="M669">
        <v>0.99984139999999999</v>
      </c>
      <c r="N669">
        <v>-1.409009E-2</v>
      </c>
      <c r="O669">
        <v>1.08936E-2</v>
      </c>
      <c r="P669">
        <v>0.97612880000000002</v>
      </c>
      <c r="Q669">
        <v>0.21094489999999999</v>
      </c>
      <c r="R669">
        <v>-5.1720460000000003E-2</v>
      </c>
      <c r="S669">
        <v>3.090668</v>
      </c>
      <c r="T669">
        <v>-0.1420006</v>
      </c>
      <c r="U669">
        <v>-0.256073</v>
      </c>
      <c r="V669">
        <v>6.2473189999999998E-2</v>
      </c>
      <c r="W669">
        <v>0.2246351</v>
      </c>
      <c r="X669">
        <v>0.97243829999999998</v>
      </c>
      <c r="Y669">
        <v>9.3289819999999996E-2</v>
      </c>
      <c r="Z669">
        <v>-3.1434190000000002E-3</v>
      </c>
      <c r="AA669">
        <v>0.99563400000000002</v>
      </c>
      <c r="AB669">
        <v>36</v>
      </c>
      <c r="AC669">
        <v>23.089099999999899</v>
      </c>
      <c r="AD669">
        <v>-1.071016571171</v>
      </c>
      <c r="AE669">
        <v>-1.93350000000003</v>
      </c>
      <c r="AF669">
        <v>2.1802750436640599</v>
      </c>
      <c r="AG669">
        <v>-1.071016571171</v>
      </c>
      <c r="AH669">
        <v>23.017483372095299</v>
      </c>
      <c r="AI669">
        <v>92.652228854025907</v>
      </c>
      <c r="AJ669">
        <v>84.588941642451502</v>
      </c>
      <c r="AK669">
        <v>23.145306577067199</v>
      </c>
      <c r="AL669">
        <v>77.018578829522198</v>
      </c>
      <c r="AM669">
        <v>86.324149488935902</v>
      </c>
      <c r="AN669">
        <v>1.00000003746383</v>
      </c>
    </row>
    <row r="670" spans="1:40" x14ac:dyDescent="0.25">
      <c r="A670" t="str">
        <f>"20190303170953415"</f>
        <v>20190303170953415</v>
      </c>
      <c r="B670" t="str">
        <f>"1551604193401546"</f>
        <v>1551604193401546</v>
      </c>
      <c r="C670" t="s">
        <v>40</v>
      </c>
      <c r="D670">
        <v>4.7539540000000002</v>
      </c>
      <c r="E670">
        <v>0.51792349999999998</v>
      </c>
      <c r="F670" t="s">
        <v>42</v>
      </c>
      <c r="G670">
        <v>-257.7833</v>
      </c>
      <c r="H670" s="1">
        <v>-1.6744419999999999E-6</v>
      </c>
      <c r="I670">
        <v>366.10599999999999</v>
      </c>
      <c r="J670">
        <v>-280.94600000000003</v>
      </c>
      <c r="K670">
        <v>1.0711839999999999</v>
      </c>
      <c r="L670">
        <v>368.06220000000002</v>
      </c>
      <c r="M670">
        <v>0.99983390000000005</v>
      </c>
      <c r="N670">
        <v>-1.4705849999999999E-2</v>
      </c>
      <c r="O670">
        <v>1.0770119999999999E-2</v>
      </c>
      <c r="P670">
        <v>0.97624650000000002</v>
      </c>
      <c r="Q670">
        <v>0.2103893</v>
      </c>
      <c r="R670">
        <v>-5.1762210000000003E-2</v>
      </c>
      <c r="S670">
        <v>3.090271</v>
      </c>
      <c r="T670">
        <v>-0.14158270000000001</v>
      </c>
      <c r="U670">
        <v>-0.2583008</v>
      </c>
      <c r="V670">
        <v>6.2395140000000002E-2</v>
      </c>
      <c r="W670">
        <v>0.22468060000000001</v>
      </c>
      <c r="X670">
        <v>0.97243270000000004</v>
      </c>
      <c r="Y670">
        <v>9.3889120000000006E-2</v>
      </c>
      <c r="Z670">
        <v>-3.1723329999999998E-3</v>
      </c>
      <c r="AA670">
        <v>0.99557759999999995</v>
      </c>
      <c r="AB670">
        <v>36</v>
      </c>
      <c r="AC670">
        <v>23.162699999999901</v>
      </c>
      <c r="AD670">
        <v>-1.0711856744420001</v>
      </c>
      <c r="AE670">
        <v>-1.9562000000000199</v>
      </c>
      <c r="AF670">
        <v>2.2009047912871602</v>
      </c>
      <c r="AG670">
        <v>-1.0711856744420001</v>
      </c>
      <c r="AH670">
        <v>23.091249850387801</v>
      </c>
      <c r="AI670">
        <v>92.644038117101502</v>
      </c>
      <c r="AJ670">
        <v>84.555393962715002</v>
      </c>
      <c r="AK670">
        <v>23.220621014574</v>
      </c>
      <c r="AL670">
        <v>77.015902206274404</v>
      </c>
      <c r="AM670">
        <v>86.328708209429294</v>
      </c>
      <c r="AN670">
        <v>0.99999994077063303</v>
      </c>
    </row>
    <row r="671" spans="1:40" x14ac:dyDescent="0.25">
      <c r="A671" t="str">
        <f>"20190303170953426"</f>
        <v>20190303170953426</v>
      </c>
      <c r="B671" t="str">
        <f>"1551604193421066"</f>
        <v>1551604193421066</v>
      </c>
      <c r="C671" t="s">
        <v>40</v>
      </c>
      <c r="D671">
        <v>4.6257460000000004</v>
      </c>
      <c r="E671">
        <v>0.5179224</v>
      </c>
      <c r="F671" t="s">
        <v>42</v>
      </c>
      <c r="G671">
        <v>-257.72059999999999</v>
      </c>
      <c r="H671" s="1">
        <v>-1.6934280000000001E-6</v>
      </c>
      <c r="I671">
        <v>366.11489999999998</v>
      </c>
      <c r="J671">
        <v>-280.76830000000001</v>
      </c>
      <c r="K671">
        <v>1.0714980000000001</v>
      </c>
      <c r="L671">
        <v>368.06400000000002</v>
      </c>
      <c r="M671">
        <v>0.99982579999999999</v>
      </c>
      <c r="N671">
        <v>-1.5322199999999999E-2</v>
      </c>
      <c r="O671">
        <v>1.0659449999999999E-2</v>
      </c>
      <c r="P671">
        <v>0.97635729999999998</v>
      </c>
      <c r="Q671">
        <v>0.20989269999999999</v>
      </c>
      <c r="R671">
        <v>-5.1684470000000003E-2</v>
      </c>
      <c r="S671">
        <v>3.0899350000000001</v>
      </c>
      <c r="T671">
        <v>-0.14251069999999999</v>
      </c>
      <c r="U671">
        <v>-0.25906370000000001</v>
      </c>
      <c r="V671">
        <v>6.2210250000000002E-2</v>
      </c>
      <c r="W671">
        <v>0.2247856</v>
      </c>
      <c r="X671">
        <v>0.97242030000000002</v>
      </c>
      <c r="Y671">
        <v>9.4029199999999993E-2</v>
      </c>
      <c r="Z671">
        <v>-3.2131690000000001E-3</v>
      </c>
      <c r="AA671">
        <v>0.99556429999999996</v>
      </c>
      <c r="AB671">
        <v>36</v>
      </c>
      <c r="AC671">
        <v>23.047699999999999</v>
      </c>
      <c r="AD671">
        <v>-1.0714996934280001</v>
      </c>
      <c r="AE671">
        <v>-1.94910000000004</v>
      </c>
      <c r="AF671">
        <v>2.1899941115154902</v>
      </c>
      <c r="AG671">
        <v>-1.0714996934280001</v>
      </c>
      <c r="AH671">
        <v>22.976303863487999</v>
      </c>
      <c r="AI671">
        <v>92.658024178052699</v>
      </c>
      <c r="AJ671">
        <v>84.555282239567006</v>
      </c>
      <c r="AK671">
        <v>23.105296471346598</v>
      </c>
      <c r="AL671">
        <v>77.009728481640707</v>
      </c>
      <c r="AM671">
        <v>86.339510852776101</v>
      </c>
      <c r="AN671">
        <v>0.99999996051225504</v>
      </c>
    </row>
    <row r="672" spans="1:40" x14ac:dyDescent="0.25">
      <c r="A672" t="str">
        <f>"20190303170953439"</f>
        <v>20190303170953439</v>
      </c>
      <c r="B672" t="str">
        <f>"1551604193430826"</f>
        <v>1551604193430826</v>
      </c>
      <c r="C672" t="s">
        <v>40</v>
      </c>
      <c r="D672">
        <v>4.6886729999999996</v>
      </c>
      <c r="E672">
        <v>0.5178893</v>
      </c>
      <c r="F672" t="s">
        <v>42</v>
      </c>
      <c r="G672">
        <v>-257.53199999999998</v>
      </c>
      <c r="H672" s="1">
        <v>-1.756873E-6</v>
      </c>
      <c r="I672">
        <v>366.11759999999998</v>
      </c>
      <c r="J672">
        <v>-280.55599999999998</v>
      </c>
      <c r="K672">
        <v>1.0718650000000001</v>
      </c>
      <c r="L672">
        <v>368.06610000000001</v>
      </c>
      <c r="M672">
        <v>0.99982090000000001</v>
      </c>
      <c r="N672">
        <v>-1.5741580000000002E-2</v>
      </c>
      <c r="O672">
        <v>1.0517159999999999E-2</v>
      </c>
      <c r="P672">
        <v>0.97648080000000004</v>
      </c>
      <c r="Q672">
        <v>0.20936160000000001</v>
      </c>
      <c r="R672">
        <v>-5.1506139999999999E-2</v>
      </c>
      <c r="S672">
        <v>3.089569</v>
      </c>
      <c r="T672">
        <v>-0.14246879999999901</v>
      </c>
      <c r="U672">
        <v>-0.25878909999999999</v>
      </c>
      <c r="V672">
        <v>6.1896529999999998E-2</v>
      </c>
      <c r="W672">
        <v>0.2246639</v>
      </c>
      <c r="X672">
        <v>0.97246849999999996</v>
      </c>
      <c r="Y672">
        <v>9.3809169999999997E-2</v>
      </c>
      <c r="Z672">
        <v>-3.216909E-3</v>
      </c>
      <c r="AA672">
        <v>0.99558500000000005</v>
      </c>
      <c r="AB672">
        <v>36</v>
      </c>
      <c r="AC672">
        <v>23.024000000000001</v>
      </c>
      <c r="AD672">
        <v>-1.071866756873</v>
      </c>
      <c r="AE672">
        <v>-1.9485000000000201</v>
      </c>
      <c r="AF672">
        <v>2.1858655290982001</v>
      </c>
      <c r="AG672">
        <v>-1.071866756873</v>
      </c>
      <c r="AH672">
        <v>22.952839021466598</v>
      </c>
      <c r="AI672">
        <v>92.661668454482793</v>
      </c>
      <c r="AJ672">
        <v>84.559962696859102</v>
      </c>
      <c r="AK672">
        <v>23.081588454895101</v>
      </c>
      <c r="AL672">
        <v>77.016885142834795</v>
      </c>
      <c r="AM672">
        <v>86.358100550722099</v>
      </c>
      <c r="AN672">
        <v>1.0000000159407501</v>
      </c>
    </row>
    <row r="673" spans="1:40" x14ac:dyDescent="0.25">
      <c r="A673" t="str">
        <f>"20190303170953453"</f>
        <v>20190303170953453</v>
      </c>
      <c r="B673" t="str">
        <f>"1551604193441562"</f>
        <v>1551604193441562</v>
      </c>
      <c r="C673" t="s">
        <v>40</v>
      </c>
      <c r="D673">
        <v>4.7719060000000004</v>
      </c>
      <c r="E673">
        <v>0.517899</v>
      </c>
      <c r="F673" t="s">
        <v>42</v>
      </c>
      <c r="G673">
        <v>-257.4624</v>
      </c>
      <c r="H673" s="1">
        <v>-1.7757959999999999E-6</v>
      </c>
      <c r="I673">
        <v>366.13549999999998</v>
      </c>
      <c r="J673">
        <v>-280.34100000000001</v>
      </c>
      <c r="K673">
        <v>1.0721579999999999</v>
      </c>
      <c r="L673">
        <v>368.06819999999999</v>
      </c>
      <c r="M673">
        <v>0.99982990000000005</v>
      </c>
      <c r="N673">
        <v>-1.5268189999999999E-2</v>
      </c>
      <c r="O673">
        <v>1.0349290000000001E-2</v>
      </c>
      <c r="P673">
        <v>0.9763541</v>
      </c>
      <c r="Q673">
        <v>0.20993120000000001</v>
      </c>
      <c r="R673">
        <v>-5.1594540000000001E-2</v>
      </c>
      <c r="S673">
        <v>3.0893860000000002</v>
      </c>
      <c r="T673">
        <v>-0.1433902</v>
      </c>
      <c r="U673">
        <v>-0.25827030000000001</v>
      </c>
      <c r="V673">
        <v>6.1829740000000001E-2</v>
      </c>
      <c r="W673">
        <v>0.22476840000000001</v>
      </c>
      <c r="X673">
        <v>0.9724486</v>
      </c>
      <c r="Y673">
        <v>9.3480610000000006E-2</v>
      </c>
      <c r="Z673">
        <v>-3.2015160000000002E-3</v>
      </c>
      <c r="AA673">
        <v>0.99561599999999995</v>
      </c>
      <c r="AB673">
        <v>35</v>
      </c>
      <c r="AC673">
        <v>22.878599999999999</v>
      </c>
      <c r="AD673">
        <v>-1.072159775796</v>
      </c>
      <c r="AE673">
        <v>-1.9327000000000101</v>
      </c>
      <c r="AF673">
        <v>2.1646810736141999</v>
      </c>
      <c r="AG673">
        <v>-1.072159775796</v>
      </c>
      <c r="AH673">
        <v>22.807636177989899</v>
      </c>
      <c r="AI673">
        <v>92.679401627083294</v>
      </c>
      <c r="AJ673">
        <v>84.578277318428405</v>
      </c>
      <c r="AK673">
        <v>22.9352052260897</v>
      </c>
      <c r="AL673">
        <v>77.010740570091698</v>
      </c>
      <c r="AM673">
        <v>86.361945568226304</v>
      </c>
      <c r="AN673">
        <v>1.0000000150144901</v>
      </c>
    </row>
    <row r="674" spans="1:40" x14ac:dyDescent="0.25">
      <c r="A674" t="str">
        <f>"20190303170953464"</f>
        <v>20190303170953464</v>
      </c>
      <c r="B674" t="str">
        <f>"1551604193451323"</f>
        <v>1551604193451323</v>
      </c>
      <c r="C674" t="s">
        <v>40</v>
      </c>
      <c r="D674">
        <v>4.7111239999999999</v>
      </c>
      <c r="E674">
        <v>0.51790420000000004</v>
      </c>
      <c r="F674" t="s">
        <v>42</v>
      </c>
      <c r="G674">
        <v>-256.8766</v>
      </c>
      <c r="H674" s="1">
        <v>-1.9831889999999998E-6</v>
      </c>
      <c r="I674">
        <v>366.10520000000002</v>
      </c>
      <c r="J674">
        <v>-280.15570000000002</v>
      </c>
      <c r="K674">
        <v>1.072452</v>
      </c>
      <c r="L674">
        <v>368.07</v>
      </c>
      <c r="M674">
        <v>0.99984430000000002</v>
      </c>
      <c r="N674">
        <v>-1.440923E-2</v>
      </c>
      <c r="O674">
        <v>1.0205270000000001E-2</v>
      </c>
      <c r="P674">
        <v>0.97618190000000005</v>
      </c>
      <c r="Q674">
        <v>0.2106912</v>
      </c>
      <c r="R674">
        <v>-5.1755009999999997E-2</v>
      </c>
      <c r="S674">
        <v>3.0893860000000002</v>
      </c>
      <c r="T674">
        <v>-0.14116310000000001</v>
      </c>
      <c r="U674">
        <v>-0.2584534</v>
      </c>
      <c r="V674">
        <v>6.1859610000000002E-2</v>
      </c>
      <c r="W674">
        <v>0.22468759999999999</v>
      </c>
      <c r="X674">
        <v>0.97246529999999998</v>
      </c>
      <c r="Y674">
        <v>9.3401250000000005E-2</v>
      </c>
      <c r="Z674">
        <v>-3.1222120000000001E-3</v>
      </c>
      <c r="AA674">
        <v>0.99562360000000005</v>
      </c>
      <c r="AB674">
        <v>35</v>
      </c>
      <c r="AC674">
        <v>23.2791</v>
      </c>
      <c r="AD674">
        <v>-1.0724539831890001</v>
      </c>
      <c r="AE674">
        <v>-1.9647999999999599</v>
      </c>
      <c r="AF674">
        <v>2.1976604835364801</v>
      </c>
      <c r="AG674">
        <v>-1.0724539831890001</v>
      </c>
      <c r="AH674">
        <v>23.2089241505163</v>
      </c>
      <c r="AI674">
        <v>92.633915803321699</v>
      </c>
      <c r="AJ674">
        <v>84.590772598446193</v>
      </c>
      <c r="AK674">
        <v>23.337395513882299</v>
      </c>
      <c r="AL674">
        <v>77.015490658949503</v>
      </c>
      <c r="AM674">
        <v>86.360255082460199</v>
      </c>
      <c r="AN674">
        <v>0.99999994432359895</v>
      </c>
    </row>
    <row r="675" spans="1:40" x14ac:dyDescent="0.25">
      <c r="A675" t="str">
        <f>"20190303170953480"</f>
        <v>20190303170953480</v>
      </c>
      <c r="B675" t="str">
        <f>"1551604193470842"</f>
        <v>1551604193470842</v>
      </c>
      <c r="C675" t="s">
        <v>40</v>
      </c>
      <c r="D675">
        <v>4.6683870000000001</v>
      </c>
      <c r="E675">
        <v>0.51797349999999998</v>
      </c>
      <c r="F675" t="s">
        <v>42</v>
      </c>
      <c r="G675">
        <v>-256.15690000000001</v>
      </c>
      <c r="H675" s="1">
        <v>-2.2619439999999998E-6</v>
      </c>
      <c r="I675">
        <v>366.05939999999998</v>
      </c>
      <c r="J675">
        <v>-279.90570000000002</v>
      </c>
      <c r="K675">
        <v>1.072948</v>
      </c>
      <c r="L675">
        <v>368.07240000000002</v>
      </c>
      <c r="M675">
        <v>0.99986470000000005</v>
      </c>
      <c r="N675">
        <v>-1.305135E-2</v>
      </c>
      <c r="O675">
        <v>1.000938E-2</v>
      </c>
      <c r="P675">
        <v>0.97586019999999896</v>
      </c>
      <c r="Q675">
        <v>0.21213389999999999</v>
      </c>
      <c r="R675">
        <v>-5.1922929999999999E-2</v>
      </c>
      <c r="S675">
        <v>3.089264</v>
      </c>
      <c r="T675">
        <v>-0.13805220000000001</v>
      </c>
      <c r="U675">
        <v>-0.25881959999999998</v>
      </c>
      <c r="V675">
        <v>6.1848670000000001E-2</v>
      </c>
      <c r="W675">
        <v>0.22480049999999999</v>
      </c>
      <c r="X675">
        <v>0.97243990000000002</v>
      </c>
      <c r="Y675">
        <v>9.3334260000000002E-2</v>
      </c>
      <c r="Z675">
        <v>-3.0072979999999998E-3</v>
      </c>
      <c r="AA675">
        <v>0.99563029999999997</v>
      </c>
      <c r="AB675">
        <v>36</v>
      </c>
      <c r="AC675">
        <v>23.748799999999999</v>
      </c>
      <c r="AD675">
        <v>-1.0729502619439999</v>
      </c>
      <c r="AE675">
        <v>-2.0130000000000301</v>
      </c>
      <c r="AF675">
        <v>2.2460782712170402</v>
      </c>
      <c r="AG675">
        <v>-1.0729502619439999</v>
      </c>
      <c r="AH675">
        <v>23.679470826559399</v>
      </c>
      <c r="AI675">
        <v>92.582800999586894</v>
      </c>
      <c r="AJ675">
        <v>84.581512161962195</v>
      </c>
      <c r="AK675">
        <v>23.809943899365098</v>
      </c>
      <c r="AL675">
        <v>77.008852092644901</v>
      </c>
      <c r="AM675">
        <v>86.3608022515334</v>
      </c>
      <c r="AN675">
        <v>0.99999994094651201</v>
      </c>
    </row>
    <row r="676" spans="1:40" x14ac:dyDescent="0.25">
      <c r="A676" t="str">
        <f>"20190303170953492"</f>
        <v>20190303170953492</v>
      </c>
      <c r="B676" t="str">
        <f>"1551604193481579"</f>
        <v>1551604193481579</v>
      </c>
      <c r="C676" t="s">
        <v>40</v>
      </c>
      <c r="D676">
        <v>4.6758649999999999</v>
      </c>
      <c r="E676">
        <v>0.51806649999999999</v>
      </c>
      <c r="F676" t="s">
        <v>42</v>
      </c>
      <c r="G676">
        <v>-254.9675</v>
      </c>
      <c r="H676" s="1">
        <v>-2.7871489999999998E-6</v>
      </c>
      <c r="I676">
        <v>365.97519999999997</v>
      </c>
      <c r="J676">
        <v>-279.70890000000003</v>
      </c>
      <c r="K676">
        <v>1.0735159999999999</v>
      </c>
      <c r="L676">
        <v>368.07409999999999</v>
      </c>
      <c r="M676">
        <v>0.99987939999999997</v>
      </c>
      <c r="N676">
        <v>-1.2014830000000001E-2</v>
      </c>
      <c r="O676">
        <v>9.8502009999999994E-3</v>
      </c>
      <c r="P676">
        <v>0.9756165</v>
      </c>
      <c r="Q676">
        <v>0.21323239999999999</v>
      </c>
      <c r="R676">
        <v>-5.2002560000000003E-2</v>
      </c>
      <c r="S676">
        <v>3.0893250000000001</v>
      </c>
      <c r="T676">
        <v>-0.13291559999999999</v>
      </c>
      <c r="U676">
        <v>-0.25979609999999997</v>
      </c>
      <c r="V676">
        <v>6.1778720000000002E-2</v>
      </c>
      <c r="W676">
        <v>0.22488649999999999</v>
      </c>
      <c r="X676">
        <v>0.97242450000000002</v>
      </c>
      <c r="Y676">
        <v>9.349644E-2</v>
      </c>
      <c r="Z676">
        <v>-2.874648E-3</v>
      </c>
      <c r="AA676">
        <v>0.99561549999999999</v>
      </c>
      <c r="AB676">
        <v>36</v>
      </c>
      <c r="AC676">
        <v>24.741399999999999</v>
      </c>
      <c r="AD676">
        <v>-1.073518787149</v>
      </c>
      <c r="AE676">
        <v>-2.0989000000000102</v>
      </c>
      <c r="AF676">
        <v>2.3381530072453902</v>
      </c>
      <c r="AG676">
        <v>-1.073518787149</v>
      </c>
      <c r="AH676">
        <v>24.6734038367333</v>
      </c>
      <c r="AI676">
        <v>92.480221673456896</v>
      </c>
      <c r="AJ676">
        <v>84.586582754353302</v>
      </c>
      <c r="AK676">
        <v>24.807181600540101</v>
      </c>
      <c r="AL676">
        <v>77.003795664444993</v>
      </c>
      <c r="AM676">
        <v>86.364849678763306</v>
      </c>
      <c r="AN676">
        <v>0.99999997816366804</v>
      </c>
    </row>
    <row r="677" spans="1:40" x14ac:dyDescent="0.25">
      <c r="A677" t="str">
        <f>"20190303170953505"</f>
        <v>20190303170953505</v>
      </c>
      <c r="B677" t="str">
        <f>"1551604193491339"</f>
        <v>1551604193491339</v>
      </c>
      <c r="C677" t="s">
        <v>40</v>
      </c>
      <c r="D677">
        <v>4.6492630000000004</v>
      </c>
      <c r="E677">
        <v>0.5182253</v>
      </c>
      <c r="F677" t="s">
        <v>42</v>
      </c>
      <c r="G677">
        <v>-254.15729999999999</v>
      </c>
      <c r="H677" s="1">
        <v>-3.1446840000000001E-6</v>
      </c>
      <c r="I677">
        <v>365.91879999999998</v>
      </c>
      <c r="J677">
        <v>-279.5077</v>
      </c>
      <c r="K677">
        <v>1.074233</v>
      </c>
      <c r="L677">
        <v>368.07589999999999</v>
      </c>
      <c r="M677">
        <v>0.99989269999999997</v>
      </c>
      <c r="N677">
        <v>-1.1023959999999999E-2</v>
      </c>
      <c r="O677">
        <v>9.6690109999999999E-3</v>
      </c>
      <c r="P677">
        <v>0.97537759999999996</v>
      </c>
      <c r="Q677">
        <v>0.214306</v>
      </c>
      <c r="R677">
        <v>-5.2076980000000002E-2</v>
      </c>
      <c r="S677">
        <v>3.0894170000000001</v>
      </c>
      <c r="T677">
        <v>-0.12979769999999999</v>
      </c>
      <c r="U677">
        <v>-0.26058959999999998</v>
      </c>
      <c r="V677">
        <v>6.1678339999999998E-2</v>
      </c>
      <c r="W677">
        <v>0.22499189999999999</v>
      </c>
      <c r="X677">
        <v>0.97240649999999995</v>
      </c>
      <c r="Y677">
        <v>9.3573870000000003E-2</v>
      </c>
      <c r="Z677">
        <v>-2.777346E-3</v>
      </c>
      <c r="AA677">
        <v>0.99560839999999995</v>
      </c>
      <c r="AB677">
        <v>36</v>
      </c>
      <c r="AC677">
        <v>25.3504</v>
      </c>
      <c r="AD677">
        <v>-1.0742361446840001</v>
      </c>
      <c r="AE677">
        <v>-2.15710000000001</v>
      </c>
      <c r="AF677">
        <v>2.3978524583296599</v>
      </c>
      <c r="AG677">
        <v>-1.0742361446840001</v>
      </c>
      <c r="AH677">
        <v>25.283282121013801</v>
      </c>
      <c r="AI677">
        <v>92.422064671848602</v>
      </c>
      <c r="AJ677">
        <v>84.582304451644902</v>
      </c>
      <c r="AK677">
        <v>25.419442057551901</v>
      </c>
      <c r="AL677">
        <v>76.997597973156701</v>
      </c>
      <c r="AM677">
        <v>86.370673384909793</v>
      </c>
      <c r="AN677">
        <v>0.99999998696650705</v>
      </c>
    </row>
    <row r="678" spans="1:40" x14ac:dyDescent="0.25">
      <c r="A678" t="str">
        <f>"20190303170953520"</f>
        <v>20190303170953520</v>
      </c>
      <c r="B678" t="str">
        <f>"1551604193510858"</f>
        <v>1551604193510858</v>
      </c>
      <c r="C678" t="s">
        <v>40</v>
      </c>
      <c r="D678">
        <v>4.6604330000000003</v>
      </c>
      <c r="E678">
        <v>0.51839840000000004</v>
      </c>
      <c r="F678" t="s">
        <v>42</v>
      </c>
      <c r="G678">
        <v>-253.3595</v>
      </c>
      <c r="H678" s="1">
        <v>-3.4979130000000001E-6</v>
      </c>
      <c r="I678">
        <v>365.85700000000003</v>
      </c>
      <c r="J678">
        <v>-279.25360000000001</v>
      </c>
      <c r="K678">
        <v>1.0752549999999901</v>
      </c>
      <c r="L678">
        <v>368.07799999999997</v>
      </c>
      <c r="M678">
        <v>0.99990760000000001</v>
      </c>
      <c r="N678">
        <v>-9.8072739999999995E-3</v>
      </c>
      <c r="O678">
        <v>9.4213270000000002E-3</v>
      </c>
      <c r="P678">
        <v>0.9750839</v>
      </c>
      <c r="Q678">
        <v>0.21564729999999999</v>
      </c>
      <c r="R678">
        <v>-5.2036869999999999E-2</v>
      </c>
      <c r="S678">
        <v>3.0896300000000001</v>
      </c>
      <c r="T678">
        <v>-0.12692980000000001</v>
      </c>
      <c r="U678">
        <v>-0.26217649999999998</v>
      </c>
      <c r="V678">
        <v>6.1395640000000001E-2</v>
      </c>
      <c r="W678">
        <v>0.22514709999999999</v>
      </c>
      <c r="X678">
        <v>0.97238849999999999</v>
      </c>
      <c r="Y678">
        <v>9.3835299999999996E-2</v>
      </c>
      <c r="Z678">
        <v>-2.6784729999999998E-3</v>
      </c>
      <c r="AA678">
        <v>0.99558409999999997</v>
      </c>
      <c r="AB678">
        <v>36</v>
      </c>
      <c r="AC678">
        <v>25.894100000000002</v>
      </c>
      <c r="AD678">
        <v>-1.07525849791299</v>
      </c>
      <c r="AE678">
        <v>-2.22100000000006</v>
      </c>
      <c r="AF678">
        <v>2.4606578815253299</v>
      </c>
      <c r="AG678">
        <v>-1.07525849791299</v>
      </c>
      <c r="AH678">
        <v>25.827814090372598</v>
      </c>
      <c r="AI678">
        <v>92.373216248724901</v>
      </c>
      <c r="AJ678">
        <v>84.557763991250496</v>
      </c>
      <c r="AK678">
        <v>25.967036772302201</v>
      </c>
      <c r="AL678">
        <v>76.988471919772607</v>
      </c>
      <c r="AM678">
        <v>86.387197390117905</v>
      </c>
      <c r="AN678">
        <v>1.0000000180908299</v>
      </c>
    </row>
    <row r="679" spans="1:40" x14ac:dyDescent="0.25">
      <c r="A679" t="str">
        <f>"20190303170953534"</f>
        <v>20190303170953534</v>
      </c>
      <c r="B679" t="str">
        <f>"1551604193521594"</f>
        <v>1551604193521594</v>
      </c>
      <c r="C679" t="s">
        <v>40</v>
      </c>
      <c r="D679">
        <v>4.6764539999999997</v>
      </c>
      <c r="E679">
        <v>0.51845549999999996</v>
      </c>
      <c r="F679" t="s">
        <v>42</v>
      </c>
      <c r="G679">
        <v>-252.32769999999999</v>
      </c>
      <c r="H679" s="1">
        <v>-3.954171E-6</v>
      </c>
      <c r="I679">
        <v>365.78030000000001</v>
      </c>
      <c r="J679">
        <v>-279.04000000000002</v>
      </c>
      <c r="K679">
        <v>1.076176</v>
      </c>
      <c r="L679">
        <v>368.07979999999998</v>
      </c>
      <c r="M679">
        <v>0.99991940000000001</v>
      </c>
      <c r="N679">
        <v>-8.7764690000000003E-3</v>
      </c>
      <c r="O679">
        <v>9.193306E-3</v>
      </c>
      <c r="P679">
        <v>0.97477290000000005</v>
      </c>
      <c r="Q679">
        <v>0.21695710000000001</v>
      </c>
      <c r="R679">
        <v>-5.2419149999999998E-2</v>
      </c>
      <c r="S679">
        <v>3.089874</v>
      </c>
      <c r="T679">
        <v>-0.1233906</v>
      </c>
      <c r="U679">
        <v>-0.26367190000000001</v>
      </c>
      <c r="V679">
        <v>6.155157E-2</v>
      </c>
      <c r="W679">
        <v>0.22545190000000001</v>
      </c>
      <c r="X679">
        <v>0.97230799999999995</v>
      </c>
      <c r="Y679">
        <v>9.4086580000000003E-2</v>
      </c>
      <c r="Z679">
        <v>-2.5741359999999999E-3</v>
      </c>
      <c r="AA679">
        <v>0.99556069999999997</v>
      </c>
      <c r="AB679">
        <v>36</v>
      </c>
      <c r="AC679">
        <v>26.712299999999999</v>
      </c>
      <c r="AD679">
        <v>-1.076179954171</v>
      </c>
      <c r="AE679">
        <v>-2.2994999999999601</v>
      </c>
      <c r="AF679">
        <v>2.5408927758440001</v>
      </c>
      <c r="AG679">
        <v>-1.076179954171</v>
      </c>
      <c r="AH679">
        <v>26.6470973060649</v>
      </c>
      <c r="AI679">
        <v>92.302281119</v>
      </c>
      <c r="AJ679">
        <v>84.553117863615995</v>
      </c>
      <c r="AK679">
        <v>26.789589288210198</v>
      </c>
      <c r="AL679">
        <v>76.970547089277503</v>
      </c>
      <c r="AM679">
        <v>86.377747071221606</v>
      </c>
      <c r="AN679">
        <v>1.0000000009235299</v>
      </c>
    </row>
    <row r="680" spans="1:40" x14ac:dyDescent="0.25">
      <c r="A680" t="str">
        <f>"20190303170953549"</f>
        <v>20190303170953549</v>
      </c>
      <c r="B680" t="str">
        <f>"1551604193541115"</f>
        <v>1551604193541115</v>
      </c>
      <c r="C680" t="s">
        <v>40</v>
      </c>
      <c r="D680">
        <v>4.6689740000000004</v>
      </c>
      <c r="E680">
        <v>0.51858359999999903</v>
      </c>
      <c r="F680" t="s">
        <v>42</v>
      </c>
      <c r="G680">
        <v>-251.19589999999999</v>
      </c>
      <c r="H680" s="1">
        <v>-4.4550940000000002E-6</v>
      </c>
      <c r="I680">
        <v>365.6936</v>
      </c>
      <c r="J680">
        <v>-278.79939999999999</v>
      </c>
      <c r="K680">
        <v>1.077253</v>
      </c>
      <c r="L680">
        <v>368.08179999999999</v>
      </c>
      <c r="M680">
        <v>0.99993120000000002</v>
      </c>
      <c r="N680">
        <v>-7.6165599999999996E-3</v>
      </c>
      <c r="O680">
        <v>8.9295569999999994E-3</v>
      </c>
      <c r="P680">
        <v>0.97443900000000006</v>
      </c>
      <c r="Q680">
        <v>0.21828310000000001</v>
      </c>
      <c r="R680">
        <v>-5.3116169999999997E-2</v>
      </c>
      <c r="S680">
        <v>3.0899350000000001</v>
      </c>
      <c r="T680">
        <v>-0.119426</v>
      </c>
      <c r="U680">
        <v>-0.26480100000000001</v>
      </c>
      <c r="V680">
        <v>6.1988519999999998E-2</v>
      </c>
      <c r="W680">
        <v>0.2256474</v>
      </c>
      <c r="X680">
        <v>0.97223490000000001</v>
      </c>
      <c r="Y680">
        <v>9.4190819999999995E-2</v>
      </c>
      <c r="Z680">
        <v>-2.4522939999999998E-3</v>
      </c>
      <c r="AA680">
        <v>0.99555119999999997</v>
      </c>
      <c r="AB680">
        <v>36</v>
      </c>
      <c r="AC680">
        <v>27.6035</v>
      </c>
      <c r="AD680">
        <v>-1.0772574550939999</v>
      </c>
      <c r="AE680">
        <v>-2.3881999999999799</v>
      </c>
      <c r="AF680">
        <v>2.6306221665758698</v>
      </c>
      <c r="AG680">
        <v>-1.0772574550939999</v>
      </c>
      <c r="AH680">
        <v>27.539441237171999</v>
      </c>
      <c r="AI680">
        <v>92.229950843321305</v>
      </c>
      <c r="AJ680">
        <v>84.5435487723432</v>
      </c>
      <c r="AK680">
        <v>27.685763133124698</v>
      </c>
      <c r="AL680">
        <v>76.959049654196207</v>
      </c>
      <c r="AM680">
        <v>86.351828621833803</v>
      </c>
      <c r="AN680">
        <v>1.00000001325828</v>
      </c>
    </row>
    <row r="681" spans="1:40" x14ac:dyDescent="0.25">
      <c r="A681" t="str">
        <f>"20190303170953565"</f>
        <v>20190303170953565</v>
      </c>
      <c r="B681" t="str">
        <f>"1551604193550875"</f>
        <v>1551604193550875</v>
      </c>
      <c r="C681" t="s">
        <v>40</v>
      </c>
      <c r="D681">
        <v>4.6875280000000004</v>
      </c>
      <c r="E681">
        <v>0.51868119999999995</v>
      </c>
      <c r="F681" t="s">
        <v>42</v>
      </c>
      <c r="G681">
        <v>-250.03469999999999</v>
      </c>
      <c r="H681" s="1">
        <v>-4.9707289999999999E-6</v>
      </c>
      <c r="I681">
        <v>365.5949</v>
      </c>
      <c r="J681">
        <v>-278.54939999999999</v>
      </c>
      <c r="K681">
        <v>1.0784659999999999</v>
      </c>
      <c r="L681">
        <v>368.08370000000002</v>
      </c>
      <c r="M681">
        <v>0.99994000000000005</v>
      </c>
      <c r="N681">
        <v>-6.7210519999999999E-3</v>
      </c>
      <c r="O681">
        <v>8.6431379999999999E-3</v>
      </c>
      <c r="P681">
        <v>0.97416990000000003</v>
      </c>
      <c r="Q681">
        <v>0.2193676</v>
      </c>
      <c r="R681">
        <v>-5.3581400000000001E-2</v>
      </c>
      <c r="S681">
        <v>3.0900880000000002</v>
      </c>
      <c r="T681">
        <v>-0.1157255</v>
      </c>
      <c r="U681">
        <v>-0.26715090000000002</v>
      </c>
      <c r="V681">
        <v>6.2170540000000003E-2</v>
      </c>
      <c r="W681">
        <v>0.2258597</v>
      </c>
      <c r="X681">
        <v>0.97217399999999998</v>
      </c>
      <c r="Y681">
        <v>9.4659010000000002E-2</v>
      </c>
      <c r="Z681">
        <v>-2.3524710000000001E-3</v>
      </c>
      <c r="AA681">
        <v>0.99550700000000003</v>
      </c>
      <c r="AB681">
        <v>36</v>
      </c>
      <c r="AC681">
        <v>28.514700000000001</v>
      </c>
      <c r="AD681">
        <v>-1.0784709707289999</v>
      </c>
      <c r="AE681">
        <v>-2.4888000000000199</v>
      </c>
      <c r="AF681">
        <v>2.7312916044458202</v>
      </c>
      <c r="AG681">
        <v>-1.0784709707289999</v>
      </c>
      <c r="AH681">
        <v>28.4517316288334</v>
      </c>
      <c r="AI681">
        <v>92.160849201759405</v>
      </c>
      <c r="AJ681">
        <v>84.516558476053206</v>
      </c>
      <c r="AK681">
        <v>28.602868495002099</v>
      </c>
      <c r="AL681">
        <v>76.9465636862612</v>
      </c>
      <c r="AM681">
        <v>86.340916790802495</v>
      </c>
      <c r="AN681">
        <v>1.00000003320199</v>
      </c>
    </row>
    <row r="682" spans="1:40" x14ac:dyDescent="0.25">
      <c r="A682" t="str">
        <f>"20190303170953582"</f>
        <v>20190303170953582</v>
      </c>
      <c r="B682" t="str">
        <f>"1551604193571370"</f>
        <v>1551604193571370</v>
      </c>
      <c r="C682" t="s">
        <v>40</v>
      </c>
      <c r="D682">
        <v>4.8368279999999997</v>
      </c>
      <c r="E682">
        <v>0.51875320000000003</v>
      </c>
      <c r="F682" t="s">
        <v>42</v>
      </c>
      <c r="G682">
        <v>-248.91470000000001</v>
      </c>
      <c r="H682" s="1">
        <v>-1.4954699999999999E-6</v>
      </c>
      <c r="I682">
        <v>365.50290000000001</v>
      </c>
      <c r="J682">
        <v>-278.2715</v>
      </c>
      <c r="K682">
        <v>1.080044</v>
      </c>
      <c r="L682">
        <v>368.08589999999998</v>
      </c>
      <c r="M682">
        <v>0.99994590000000005</v>
      </c>
      <c r="N682">
        <v>-6.2591340000000004E-3</v>
      </c>
      <c r="O682">
        <v>8.3103340000000008E-3</v>
      </c>
      <c r="P682">
        <v>0.97401470000000001</v>
      </c>
      <c r="Q682">
        <v>0.21996460000000001</v>
      </c>
      <c r="R682">
        <v>-5.3956339999999998E-2</v>
      </c>
      <c r="S682">
        <v>3.0900270000000001</v>
      </c>
      <c r="T682">
        <v>-0.11245230000000001</v>
      </c>
      <c r="U682">
        <v>-0.26910400000000001</v>
      </c>
      <c r="V682">
        <v>6.2215729999999997E-2</v>
      </c>
      <c r="W682">
        <v>0.2260084</v>
      </c>
      <c r="X682">
        <v>0.97213649999999996</v>
      </c>
      <c r="Y682">
        <v>9.4958749999999995E-2</v>
      </c>
      <c r="Z682">
        <v>-2.2717810000000001E-3</v>
      </c>
      <c r="AA682">
        <v>0.99547859999999999</v>
      </c>
      <c r="AB682">
        <v>36</v>
      </c>
      <c r="AC682">
        <v>29.3568</v>
      </c>
      <c r="AD682">
        <v>-1.0800454954700001</v>
      </c>
      <c r="AE682">
        <v>-2.58299999999997</v>
      </c>
      <c r="AF682">
        <v>2.8230886189483799</v>
      </c>
      <c r="AG682">
        <v>-1.0800454954700001</v>
      </c>
      <c r="AH682">
        <v>29.294973309630901</v>
      </c>
      <c r="AI682">
        <v>92.101693821073198</v>
      </c>
      <c r="AJ682">
        <v>84.4955361397963</v>
      </c>
      <c r="AK682">
        <v>29.450497259549099</v>
      </c>
      <c r="AL682">
        <v>76.937817004174804</v>
      </c>
      <c r="AM682">
        <v>86.338123474242707</v>
      </c>
      <c r="AN682">
        <v>0.99999998428112102</v>
      </c>
    </row>
    <row r="683" spans="1:40" x14ac:dyDescent="0.25">
      <c r="A683" t="str">
        <f>"20190303170953604"</f>
        <v>20190303170953604</v>
      </c>
      <c r="B683" t="str">
        <f>"1551604193591397"</f>
        <v>1551604193591397</v>
      </c>
      <c r="C683" t="s">
        <v>40</v>
      </c>
      <c r="D683">
        <v>4.6945920000000001</v>
      </c>
      <c r="E683">
        <v>0.51876429999999996</v>
      </c>
      <c r="F683" t="s">
        <v>42</v>
      </c>
      <c r="G683">
        <v>-247.96510000000001</v>
      </c>
      <c r="H683" s="1">
        <v>-1.879365E-6</v>
      </c>
      <c r="I683">
        <v>365.43060000000003</v>
      </c>
      <c r="J683">
        <v>-277.92180000000002</v>
      </c>
      <c r="K683">
        <v>1.0825039999999999</v>
      </c>
      <c r="L683">
        <v>368.08850000000001</v>
      </c>
      <c r="M683">
        <v>0.99994890000000003</v>
      </c>
      <c r="N683">
        <v>-6.3233660000000004E-3</v>
      </c>
      <c r="O683">
        <v>7.8860660000000006E-3</v>
      </c>
      <c r="P683">
        <v>0.97393879999999999</v>
      </c>
      <c r="Q683">
        <v>0.22016720000000001</v>
      </c>
      <c r="R683">
        <v>-5.4495630000000003E-2</v>
      </c>
      <c r="S683">
        <v>3.0899049999999999</v>
      </c>
      <c r="T683">
        <v>-0.11011700000000001</v>
      </c>
      <c r="U683">
        <v>-0.2707214</v>
      </c>
      <c r="V683">
        <v>6.2338879999999999E-2</v>
      </c>
      <c r="W683">
        <v>0.2262731</v>
      </c>
      <c r="X683">
        <v>0.97206709999999996</v>
      </c>
      <c r="Y683">
        <v>9.5059909999999997E-2</v>
      </c>
      <c r="Z683">
        <v>-2.222005E-3</v>
      </c>
      <c r="AA683">
        <v>0.9954691</v>
      </c>
      <c r="AB683">
        <v>36</v>
      </c>
      <c r="AC683">
        <v>29.956700000000001</v>
      </c>
      <c r="AD683">
        <v>-1.082505879365</v>
      </c>
      <c r="AE683">
        <v>-2.6578999999999802</v>
      </c>
      <c r="AF683">
        <v>2.8903179236868999</v>
      </c>
      <c r="AG683">
        <v>-1.082505879365</v>
      </c>
      <c r="AH683">
        <v>29.896074631524801</v>
      </c>
      <c r="AI683">
        <v>92.064099297280606</v>
      </c>
      <c r="AJ683">
        <v>84.4778723581599</v>
      </c>
      <c r="AK683">
        <v>30.054966894883599</v>
      </c>
      <c r="AL683">
        <v>76.922248342453202</v>
      </c>
      <c r="AM683">
        <v>86.330633688201999</v>
      </c>
      <c r="AN683">
        <v>1.00000004932283</v>
      </c>
    </row>
    <row r="684" spans="1:40" x14ac:dyDescent="0.25">
      <c r="A684" t="str">
        <f>"20190303170953618"</f>
        <v>20190303170953618</v>
      </c>
      <c r="B684" t="str">
        <f>"1551604193610919"</f>
        <v>1551604193610919</v>
      </c>
      <c r="C684" t="s">
        <v>40</v>
      </c>
      <c r="D684">
        <v>4.6674360000000004</v>
      </c>
      <c r="E684">
        <v>0.51881359999999999</v>
      </c>
      <c r="F684" t="s">
        <v>42</v>
      </c>
      <c r="G684">
        <v>-247.00649999999999</v>
      </c>
      <c r="H684" s="1">
        <v>-2.266301E-6</v>
      </c>
      <c r="I684">
        <v>365.35989999999998</v>
      </c>
      <c r="J684">
        <v>-277.69760000000002</v>
      </c>
      <c r="K684">
        <v>1.08423</v>
      </c>
      <c r="L684">
        <v>368.09010000000001</v>
      </c>
      <c r="M684">
        <v>0.99995060000000002</v>
      </c>
      <c r="N684">
        <v>-6.4030909999999996E-3</v>
      </c>
      <c r="O684">
        <v>7.6181869999999898E-3</v>
      </c>
      <c r="P684">
        <v>0.97393669999999999</v>
      </c>
      <c r="Q684">
        <v>0.22009989999999999</v>
      </c>
      <c r="R684">
        <v>-5.4806279999999999E-2</v>
      </c>
      <c r="S684">
        <v>3.0894780000000002</v>
      </c>
      <c r="T684">
        <v>-0.10817889999999999</v>
      </c>
      <c r="U684">
        <v>-0.27267459999999999</v>
      </c>
      <c r="V684">
        <v>6.2390929999999997E-2</v>
      </c>
      <c r="W684">
        <v>0.22628329999999999</v>
      </c>
      <c r="X684">
        <v>0.97206130000000002</v>
      </c>
      <c r="Y684">
        <v>9.5431820000000001E-2</v>
      </c>
      <c r="Z684">
        <v>-2.1907760000000002E-3</v>
      </c>
      <c r="AA684">
        <v>0.99543360000000003</v>
      </c>
      <c r="AB684">
        <v>36</v>
      </c>
      <c r="AC684">
        <v>30.691099999999999</v>
      </c>
      <c r="AD684">
        <v>-1.084232266301</v>
      </c>
      <c r="AE684">
        <v>-2.7302000000000199</v>
      </c>
      <c r="AF684">
        <v>2.96027061859091</v>
      </c>
      <c r="AG684">
        <v>-1.084232266301</v>
      </c>
      <c r="AH684">
        <v>30.631481346698401</v>
      </c>
      <c r="AI684">
        <v>92.017802764615595</v>
      </c>
      <c r="AJ684">
        <v>84.479995307573901</v>
      </c>
      <c r="AK684">
        <v>30.793285164719201</v>
      </c>
      <c r="AL684">
        <v>76.921647247757406</v>
      </c>
      <c r="AM684">
        <v>86.327556470338607</v>
      </c>
      <c r="AN684">
        <v>0.999999965481421</v>
      </c>
    </row>
    <row r="685" spans="1:40" x14ac:dyDescent="0.25">
      <c r="A685" t="str">
        <f>"20190303170953633"</f>
        <v>20190303170953633</v>
      </c>
      <c r="B685" t="str">
        <f>"1551604193621654"</f>
        <v>1551604193621654</v>
      </c>
      <c r="C685" t="s">
        <v>40</v>
      </c>
      <c r="D685">
        <v>4.7755210000000003</v>
      </c>
      <c r="E685">
        <v>0.51882510000000004</v>
      </c>
      <c r="F685" t="s">
        <v>42</v>
      </c>
      <c r="G685">
        <v>-246.5078</v>
      </c>
      <c r="H685" s="1">
        <v>-2.4685059999999999E-6</v>
      </c>
      <c r="I685">
        <v>365.31970000000001</v>
      </c>
      <c r="J685">
        <v>-277.44970000000001</v>
      </c>
      <c r="K685">
        <v>1.086211</v>
      </c>
      <c r="L685">
        <v>368.09179999999998</v>
      </c>
      <c r="M685">
        <v>0.99995330000000004</v>
      </c>
      <c r="N685">
        <v>-6.3103150000000004E-3</v>
      </c>
      <c r="O685">
        <v>7.3248890000000002E-3</v>
      </c>
      <c r="P685">
        <v>0.97384059999999995</v>
      </c>
      <c r="Q685">
        <v>0.2204586</v>
      </c>
      <c r="R685">
        <v>-5.5070500000000001E-2</v>
      </c>
      <c r="S685">
        <v>3.0891109999999999</v>
      </c>
      <c r="T685">
        <v>-0.10738490000000001</v>
      </c>
      <c r="U685">
        <v>-0.2743835</v>
      </c>
      <c r="V685">
        <v>6.2373940000000003E-2</v>
      </c>
      <c r="W685">
        <v>0.2265499</v>
      </c>
      <c r="X685">
        <v>0.97200030000000004</v>
      </c>
      <c r="Y685">
        <v>9.569764E-2</v>
      </c>
      <c r="Z685">
        <v>-2.170174E-3</v>
      </c>
      <c r="AA685">
        <v>0.99540810000000002</v>
      </c>
      <c r="AB685">
        <v>35</v>
      </c>
      <c r="AC685">
        <v>30.9419</v>
      </c>
      <c r="AD685">
        <v>-1.0862134685060001</v>
      </c>
      <c r="AE685">
        <v>-2.77209999999996</v>
      </c>
      <c r="AF685">
        <v>2.9950145789451801</v>
      </c>
      <c r="AG685">
        <v>-1.0862134685060001</v>
      </c>
      <c r="AH685">
        <v>30.883008314307801</v>
      </c>
      <c r="AI685">
        <v>92.004971354245995</v>
      </c>
      <c r="AJ685">
        <v>84.460813610958596</v>
      </c>
      <c r="AK685">
        <v>31.0469028176542</v>
      </c>
      <c r="AL685">
        <v>76.905965050013805</v>
      </c>
      <c r="AM685">
        <v>86.328324017570594</v>
      </c>
      <c r="AN685">
        <v>0.99999997439061095</v>
      </c>
    </row>
    <row r="686" spans="1:40" x14ac:dyDescent="0.25">
      <c r="A686" t="str">
        <f>"20190303170953648"</f>
        <v>20190303170953648</v>
      </c>
      <c r="B686" t="str">
        <f>"1551604193641174"</f>
        <v>1551604193641174</v>
      </c>
      <c r="C686" t="s">
        <v>40</v>
      </c>
      <c r="D686">
        <v>4.5873850000000003</v>
      </c>
      <c r="E686">
        <v>0.51890729999999996</v>
      </c>
      <c r="F686" t="s">
        <v>42</v>
      </c>
      <c r="G686">
        <v>-245.6558</v>
      </c>
      <c r="H686" s="1">
        <v>-2.8118290000000001E-6</v>
      </c>
      <c r="I686">
        <v>365.25909999999999</v>
      </c>
      <c r="J686">
        <v>-277.21339999999998</v>
      </c>
      <c r="K686">
        <v>1.0881689999999999</v>
      </c>
      <c r="L686">
        <v>368.0933</v>
      </c>
      <c r="M686">
        <v>0.99995610000000001</v>
      </c>
      <c r="N686">
        <v>-6.1739689999999996E-3</v>
      </c>
      <c r="O686">
        <v>7.053325E-3</v>
      </c>
      <c r="P686">
        <v>0.97385010000000005</v>
      </c>
      <c r="Q686">
        <v>0.22035560000000001</v>
      </c>
      <c r="R686">
        <v>-5.5312890000000003E-2</v>
      </c>
      <c r="S686">
        <v>3.0888979999999999</v>
      </c>
      <c r="T686">
        <v>-0.10552980000000001</v>
      </c>
      <c r="U686">
        <v>-0.27520749999999999</v>
      </c>
      <c r="V686">
        <v>6.2356679999999998E-2</v>
      </c>
      <c r="W686">
        <v>0.22631299999999999</v>
      </c>
      <c r="X686">
        <v>0.97205660000000005</v>
      </c>
      <c r="Y686">
        <v>9.5699380000000001E-2</v>
      </c>
      <c r="Z686">
        <v>-2.1241490000000001E-3</v>
      </c>
      <c r="AA686">
        <v>0.99540799999999996</v>
      </c>
      <c r="AB686">
        <v>35</v>
      </c>
      <c r="AC686">
        <v>31.557599999999901</v>
      </c>
      <c r="AD686">
        <v>-1.088171811829</v>
      </c>
      <c r="AE686">
        <v>-2.8342000000000001</v>
      </c>
      <c r="AF686">
        <v>3.0531185857500098</v>
      </c>
      <c r="AG686">
        <v>-1.088171811829</v>
      </c>
      <c r="AH686">
        <v>31.499670187796301</v>
      </c>
      <c r="AI686">
        <v>91.969303066503002</v>
      </c>
      <c r="AJ686">
        <v>84.463876048053706</v>
      </c>
      <c r="AK686">
        <v>31.665989214465601</v>
      </c>
      <c r="AL686">
        <v>76.919900456369007</v>
      </c>
      <c r="AM686">
        <v>86.329549276577794</v>
      </c>
      <c r="AN686">
        <v>0.99999998155659098</v>
      </c>
    </row>
    <row r="687" spans="1:40" x14ac:dyDescent="0.25">
      <c r="A687" t="str">
        <f>"20190303170953660"</f>
        <v>20190303170953660</v>
      </c>
      <c r="B687" t="str">
        <f>"1551604193650933"</f>
        <v>1551604193650933</v>
      </c>
      <c r="C687" t="s">
        <v>40</v>
      </c>
      <c r="D687">
        <v>4.519075</v>
      </c>
      <c r="E687">
        <v>0.51890570000000003</v>
      </c>
      <c r="F687" t="s">
        <v>42</v>
      </c>
      <c r="G687">
        <v>-245.11340000000001</v>
      </c>
      <c r="H687" s="1">
        <v>-3.0708950000000002E-6</v>
      </c>
      <c r="I687">
        <v>365.21620000000001</v>
      </c>
      <c r="J687">
        <v>-277.02980000000002</v>
      </c>
      <c r="K687">
        <v>1.08971</v>
      </c>
      <c r="L687">
        <v>368.09449999999998</v>
      </c>
      <c r="M687">
        <v>0.99995820000000002</v>
      </c>
      <c r="N687">
        <v>-6.070906E-3</v>
      </c>
      <c r="O687">
        <v>6.8461490000000002E-3</v>
      </c>
      <c r="P687">
        <v>0.97381090000000003</v>
      </c>
      <c r="Q687">
        <v>0.2204497</v>
      </c>
      <c r="R687">
        <v>-5.5627530000000001E-2</v>
      </c>
      <c r="S687">
        <v>3.0885310000000001</v>
      </c>
      <c r="T687">
        <v>-0.10469970000000001</v>
      </c>
      <c r="U687">
        <v>-0.27682499999999999</v>
      </c>
      <c r="V687">
        <v>6.2472760000000002E-2</v>
      </c>
      <c r="W687">
        <v>0.2263056</v>
      </c>
      <c r="X687">
        <v>0.97205090000000005</v>
      </c>
      <c r="Y687">
        <v>9.6021720000000005E-2</v>
      </c>
      <c r="Z687">
        <v>-2.1060789999999999E-3</v>
      </c>
      <c r="AA687">
        <v>0.99537699999999996</v>
      </c>
      <c r="AB687">
        <v>36</v>
      </c>
      <c r="AC687">
        <v>31.916399999999999</v>
      </c>
      <c r="AD687">
        <v>-1.089713070895</v>
      </c>
      <c r="AE687">
        <v>-2.8782999999999599</v>
      </c>
      <c r="AF687">
        <v>3.0931642933013901</v>
      </c>
      <c r="AG687">
        <v>-1.089713070895</v>
      </c>
      <c r="AH687">
        <v>31.859106991840701</v>
      </c>
      <c r="AI687">
        <v>91.949827539009107</v>
      </c>
      <c r="AJ687">
        <v>84.454598759794706</v>
      </c>
      <c r="AK687">
        <v>32.0274544452067</v>
      </c>
      <c r="AL687">
        <v>76.920336133752997</v>
      </c>
      <c r="AM687">
        <v>86.322713780107307</v>
      </c>
      <c r="AN687">
        <v>1.0000000112620899</v>
      </c>
    </row>
    <row r="688" spans="1:40" x14ac:dyDescent="0.25">
      <c r="A688" t="str">
        <f>"20190303170953672"</f>
        <v>20190303170953672</v>
      </c>
      <c r="B688" t="str">
        <f>"1551604193661670"</f>
        <v>1551604193661670</v>
      </c>
      <c r="C688" t="s">
        <v>40</v>
      </c>
      <c r="D688">
        <v>4.5330919999999999</v>
      </c>
      <c r="E688">
        <v>0.51893469999999997</v>
      </c>
      <c r="F688" t="s">
        <v>42</v>
      </c>
      <c r="G688">
        <v>-244.58709999999999</v>
      </c>
      <c r="H688" s="1">
        <v>-3.3265989999999998E-6</v>
      </c>
      <c r="I688">
        <v>365.17739999999998</v>
      </c>
      <c r="J688">
        <v>-276.8297</v>
      </c>
      <c r="K688">
        <v>1.091412</v>
      </c>
      <c r="L688">
        <v>368.09570000000002</v>
      </c>
      <c r="M688">
        <v>0.99996019999999997</v>
      </c>
      <c r="N688">
        <v>-5.984334E-3</v>
      </c>
      <c r="O688">
        <v>6.6249630000000002E-3</v>
      </c>
      <c r="P688">
        <v>0.97381839999999997</v>
      </c>
      <c r="Q688">
        <v>0.22035289999999999</v>
      </c>
      <c r="R688">
        <v>-5.5881970000000003E-2</v>
      </c>
      <c r="S688">
        <v>3.088257</v>
      </c>
      <c r="T688">
        <v>-0.103731</v>
      </c>
      <c r="U688">
        <v>-0.27767940000000002</v>
      </c>
      <c r="V688">
        <v>6.2515299999999996E-2</v>
      </c>
      <c r="W688">
        <v>0.22612399999999999</v>
      </c>
      <c r="X688">
        <v>0.97209040000000002</v>
      </c>
      <c r="Y688">
        <v>9.6083929999999998E-2</v>
      </c>
      <c r="Z688">
        <v>-2.0806259999999999E-3</v>
      </c>
      <c r="AA688">
        <v>0.99537100000000001</v>
      </c>
      <c r="AB688">
        <v>36</v>
      </c>
      <c r="AC688">
        <v>32.242600000000003</v>
      </c>
      <c r="AD688">
        <v>-1.0914153265989901</v>
      </c>
      <c r="AE688">
        <v>-2.9183000000000399</v>
      </c>
      <c r="AF688">
        <v>3.1282904394182598</v>
      </c>
      <c r="AG688">
        <v>-1.0914153265989901</v>
      </c>
      <c r="AH688">
        <v>32.185978453693103</v>
      </c>
      <c r="AI688">
        <v>91.933033785125303</v>
      </c>
      <c r="AJ688">
        <v>84.448619470602296</v>
      </c>
      <c r="AK688">
        <v>32.356059672186397</v>
      </c>
      <c r="AL688">
        <v>76.931017610346103</v>
      </c>
      <c r="AM688">
        <v>86.320365772078304</v>
      </c>
      <c r="AN688">
        <v>0.99999998594112405</v>
      </c>
    </row>
    <row r="689" spans="1:40" x14ac:dyDescent="0.25">
      <c r="A689" t="str">
        <f>"20190303170953684"</f>
        <v>20190303170953684</v>
      </c>
      <c r="B689" t="str">
        <f>"1551604193671431"</f>
        <v>1551604193671431</v>
      </c>
      <c r="C689" t="s">
        <v>40</v>
      </c>
      <c r="D689">
        <v>4.7708779999999997</v>
      </c>
      <c r="E689">
        <v>0.51896369999999903</v>
      </c>
      <c r="F689" t="s">
        <v>42</v>
      </c>
      <c r="G689">
        <v>-244.2296</v>
      </c>
      <c r="H689" s="1">
        <v>-3.5002299999999999E-6</v>
      </c>
      <c r="I689">
        <v>365.15129999999999</v>
      </c>
      <c r="J689">
        <v>-276.6302</v>
      </c>
      <c r="K689">
        <v>1.0931109999999999</v>
      </c>
      <c r="L689">
        <v>368.09690000000001</v>
      </c>
      <c r="M689">
        <v>0.99996180000000001</v>
      </c>
      <c r="N689">
        <v>-5.9577609999999998E-3</v>
      </c>
      <c r="O689">
        <v>6.4070319999999896E-3</v>
      </c>
      <c r="P689">
        <v>0.9737905</v>
      </c>
      <c r="Q689">
        <v>0.2204488</v>
      </c>
      <c r="R689">
        <v>-5.5983529999999997E-2</v>
      </c>
      <c r="S689">
        <v>3.0880429999999999</v>
      </c>
      <c r="T689">
        <v>-0.103384</v>
      </c>
      <c r="U689">
        <v>-0.27890009999999998</v>
      </c>
      <c r="V689">
        <v>6.240805E-2</v>
      </c>
      <c r="W689">
        <v>0.2261928</v>
      </c>
      <c r="X689">
        <v>0.97208130000000004</v>
      </c>
      <c r="Y689">
        <v>9.6263879999999996E-2</v>
      </c>
      <c r="Z689">
        <v>-2.0710530000000002E-3</v>
      </c>
      <c r="AA689">
        <v>0.99535370000000001</v>
      </c>
      <c r="AB689">
        <v>36</v>
      </c>
      <c r="AC689">
        <v>32.400599999999997</v>
      </c>
      <c r="AD689">
        <v>-1.09311450023</v>
      </c>
      <c r="AE689">
        <v>-2.94560000000001</v>
      </c>
      <c r="AF689">
        <v>3.14957936921471</v>
      </c>
      <c r="AG689">
        <v>-1.09311450023</v>
      </c>
      <c r="AH689">
        <v>32.344548714315202</v>
      </c>
      <c r="AI689">
        <v>91.9265229007286</v>
      </c>
      <c r="AJ689">
        <v>84.438306757565897</v>
      </c>
      <c r="AK689">
        <v>32.515912735863701</v>
      </c>
      <c r="AL689">
        <v>76.926971005853304</v>
      </c>
      <c r="AM689">
        <v>86.326626887001495</v>
      </c>
      <c r="AN689">
        <v>1.00000000064316</v>
      </c>
    </row>
    <row r="690" spans="1:40" x14ac:dyDescent="0.25">
      <c r="A690" t="str">
        <f>"20190303170953697"</f>
        <v>20190303170953697</v>
      </c>
      <c r="B690" t="str">
        <f>"1551604193691457"</f>
        <v>1551604193691457</v>
      </c>
      <c r="C690" t="s">
        <v>40</v>
      </c>
      <c r="D690">
        <v>4.52881</v>
      </c>
      <c r="E690">
        <v>0.51903310000000002</v>
      </c>
      <c r="F690" t="s">
        <v>42</v>
      </c>
      <c r="G690">
        <v>-243.74529999999999</v>
      </c>
      <c r="H690" s="1">
        <v>-3.7336499999999998E-6</v>
      </c>
      <c r="I690">
        <v>365.12580000000003</v>
      </c>
      <c r="J690">
        <v>-276.43610000000001</v>
      </c>
      <c r="K690">
        <v>1.0947629999999999</v>
      </c>
      <c r="L690">
        <v>368.09800000000001</v>
      </c>
      <c r="M690">
        <v>0.99996309999999999</v>
      </c>
      <c r="N690">
        <v>-5.9628750000000003E-3</v>
      </c>
      <c r="O690">
        <v>6.1962669999999897E-3</v>
      </c>
      <c r="P690">
        <v>0.97381399999999996</v>
      </c>
      <c r="Q690">
        <v>0.22030169999999999</v>
      </c>
      <c r="R690">
        <v>-5.6158619999999999E-2</v>
      </c>
      <c r="S690">
        <v>3.087952</v>
      </c>
      <c r="T690">
        <v>-0.1026456</v>
      </c>
      <c r="U690">
        <v>-0.27899170000000001</v>
      </c>
      <c r="V690">
        <v>6.2380980000000003E-2</v>
      </c>
      <c r="W690">
        <v>0.22605020000000001</v>
      </c>
      <c r="X690">
        <v>0.97211619999999999</v>
      </c>
      <c r="Y690">
        <v>9.6087030000000004E-2</v>
      </c>
      <c r="Z690">
        <v>-2.0491160000000001E-3</v>
      </c>
      <c r="AA690">
        <v>0.9953708</v>
      </c>
      <c r="AB690">
        <v>36</v>
      </c>
      <c r="AC690">
        <v>32.690800000000003</v>
      </c>
      <c r="AD690">
        <v>-1.09476673365</v>
      </c>
      <c r="AE690">
        <v>-2.97219999999998</v>
      </c>
      <c r="AF690">
        <v>3.1711801889823898</v>
      </c>
      <c r="AG690">
        <v>-1.09476673365</v>
      </c>
      <c r="AH690">
        <v>32.635455545149497</v>
      </c>
      <c r="AI690">
        <v>91.912284771924206</v>
      </c>
      <c r="AJ690">
        <v>84.450005297957702</v>
      </c>
      <c r="AK690">
        <v>32.807435995998397</v>
      </c>
      <c r="AL690">
        <v>76.935358528643903</v>
      </c>
      <c r="AM690">
        <v>86.328347343036498</v>
      </c>
      <c r="AN690">
        <v>0.99999999294412001</v>
      </c>
    </row>
    <row r="691" spans="1:40" x14ac:dyDescent="0.25">
      <c r="A691" t="str">
        <f>"20190303170953709"</f>
        <v>20190303170953709</v>
      </c>
      <c r="B691" t="str">
        <f>"1551604193701217"</f>
        <v>1551604193701217</v>
      </c>
      <c r="C691" t="s">
        <v>40</v>
      </c>
      <c r="D691">
        <v>4.7699189999999998</v>
      </c>
      <c r="E691">
        <v>0.51907239999999999</v>
      </c>
      <c r="F691" t="s">
        <v>42</v>
      </c>
      <c r="G691">
        <v>-243.34710000000001</v>
      </c>
      <c r="H691" s="1">
        <v>-3.9268920000000002E-6</v>
      </c>
      <c r="I691">
        <v>365.09769999999997</v>
      </c>
      <c r="J691">
        <v>-276.23099999999999</v>
      </c>
      <c r="K691">
        <v>1.0964700000000001</v>
      </c>
      <c r="L691">
        <v>368.09910000000002</v>
      </c>
      <c r="M691">
        <v>0.99996379999999996</v>
      </c>
      <c r="N691">
        <v>-6.0574110000000004E-3</v>
      </c>
      <c r="O691">
        <v>5.974221E-3</v>
      </c>
      <c r="P691">
        <v>0.97378810000000005</v>
      </c>
      <c r="Q691">
        <v>0.2203196</v>
      </c>
      <c r="R691">
        <v>-5.6533970000000003E-2</v>
      </c>
      <c r="S691">
        <v>3.0876459999999999</v>
      </c>
      <c r="T691">
        <v>-0.1021565</v>
      </c>
      <c r="U691">
        <v>-0.2799683</v>
      </c>
      <c r="V691">
        <v>6.2543589999999996E-2</v>
      </c>
      <c r="W691">
        <v>0.22615840000000001</v>
      </c>
      <c r="X691">
        <v>0.97208059999999996</v>
      </c>
      <c r="Y691">
        <v>9.6187519999999999E-2</v>
      </c>
      <c r="Z691">
        <v>-2.040647E-3</v>
      </c>
      <c r="AA691">
        <v>0.9953611</v>
      </c>
      <c r="AB691">
        <v>36</v>
      </c>
      <c r="AC691">
        <v>32.883899999999898</v>
      </c>
      <c r="AD691">
        <v>-1.0964739268920001</v>
      </c>
      <c r="AE691">
        <v>-3.0014000000000398</v>
      </c>
      <c r="AF691">
        <v>3.1942836371549799</v>
      </c>
      <c r="AG691">
        <v>-1.0964739268920001</v>
      </c>
      <c r="AH691">
        <v>32.829183573976302</v>
      </c>
      <c r="AI691">
        <v>91.903946898596899</v>
      </c>
      <c r="AJ691">
        <v>84.442607343266204</v>
      </c>
      <c r="AK691">
        <v>33.002439260769499</v>
      </c>
      <c r="AL691">
        <v>76.928994508287005</v>
      </c>
      <c r="AM691">
        <v>86.318668197095107</v>
      </c>
      <c r="AN691">
        <v>1.0000000077185001</v>
      </c>
    </row>
    <row r="692" spans="1:40" x14ac:dyDescent="0.25">
      <c r="A692" t="str">
        <f>"20190303170953722"</f>
        <v>20190303170953722</v>
      </c>
      <c r="B692" t="str">
        <f>"1551604193710976"</f>
        <v>1551604193710976</v>
      </c>
      <c r="C692" t="s">
        <v>40</v>
      </c>
      <c r="D692">
        <v>4.5538949999999998</v>
      </c>
      <c r="E692">
        <v>0.51909229999999995</v>
      </c>
      <c r="F692" t="s">
        <v>42</v>
      </c>
      <c r="G692">
        <v>-242.9128</v>
      </c>
      <c r="H692" s="1">
        <v>-4.1388080000000003E-6</v>
      </c>
      <c r="I692">
        <v>365.06029999999998</v>
      </c>
      <c r="J692">
        <v>-276.03519999999997</v>
      </c>
      <c r="K692">
        <v>1.098063</v>
      </c>
      <c r="L692">
        <v>368.1001</v>
      </c>
      <c r="M692">
        <v>0.99996419999999997</v>
      </c>
      <c r="N692">
        <v>-6.1786710000000002E-3</v>
      </c>
      <c r="O692">
        <v>5.7610750000000001E-3</v>
      </c>
      <c r="P692">
        <v>0.97380509999999998</v>
      </c>
      <c r="Q692">
        <v>0.22012490000000001</v>
      </c>
      <c r="R692">
        <v>-5.6997569999999997E-2</v>
      </c>
      <c r="S692">
        <v>3.087402</v>
      </c>
      <c r="T692">
        <v>-0.101604</v>
      </c>
      <c r="U692">
        <v>-0.28158569999999999</v>
      </c>
      <c r="V692">
        <v>6.2803250000000005E-2</v>
      </c>
      <c r="W692">
        <v>0.22608130000000001</v>
      </c>
      <c r="X692">
        <v>0.9720818</v>
      </c>
      <c r="Y692">
        <v>9.6499970000000004E-2</v>
      </c>
      <c r="Z692">
        <v>-2.0366389999999998E-3</v>
      </c>
      <c r="AA692">
        <v>0.99533090000000002</v>
      </c>
      <c r="AB692">
        <v>36</v>
      </c>
      <c r="AC692">
        <v>33.122399999999899</v>
      </c>
      <c r="AD692">
        <v>-1.0980671388079899</v>
      </c>
      <c r="AE692">
        <v>-3.0398000000000098</v>
      </c>
      <c r="AF692">
        <v>3.2270567999759301</v>
      </c>
      <c r="AG692">
        <v>-1.0980671388079899</v>
      </c>
      <c r="AH692">
        <v>33.068297566024498</v>
      </c>
      <c r="AI692">
        <v>91.892881662430497</v>
      </c>
      <c r="AJ692">
        <v>84.426289393538198</v>
      </c>
      <c r="AK692">
        <v>33.243524947675802</v>
      </c>
      <c r="AL692">
        <v>76.9335295563004</v>
      </c>
      <c r="AM692">
        <v>86.3034313828488</v>
      </c>
      <c r="AN692">
        <v>1.0000000141557399</v>
      </c>
    </row>
    <row r="693" spans="1:40" x14ac:dyDescent="0.25">
      <c r="A693" t="str">
        <f>"20190303170953735"</f>
        <v>20190303170953735</v>
      </c>
      <c r="B693" t="str">
        <f>"1551604193721712"</f>
        <v>1551604193721712</v>
      </c>
      <c r="C693" t="s">
        <v>40</v>
      </c>
      <c r="D693">
        <v>4.7144629999999896</v>
      </c>
      <c r="E693">
        <v>0.51910559999999994</v>
      </c>
      <c r="F693" t="s">
        <v>42</v>
      </c>
      <c r="G693">
        <v>-242.7054</v>
      </c>
      <c r="H693" s="1">
        <v>-4.23995799999999E-6</v>
      </c>
      <c r="I693">
        <v>365.04289999999997</v>
      </c>
      <c r="J693">
        <v>-275.81849999999997</v>
      </c>
      <c r="K693">
        <v>1.0997859999999999</v>
      </c>
      <c r="L693">
        <v>368.10120000000001</v>
      </c>
      <c r="M693">
        <v>0.99996470000000004</v>
      </c>
      <c r="N693">
        <v>-6.3547780000000002E-3</v>
      </c>
      <c r="O693">
        <v>5.5238730000000003E-3</v>
      </c>
      <c r="P693">
        <v>0.97381450000000003</v>
      </c>
      <c r="Q693">
        <v>0.22004280000000001</v>
      </c>
      <c r="R693">
        <v>-5.7154379999999998E-2</v>
      </c>
      <c r="S693">
        <v>3.0871580000000001</v>
      </c>
      <c r="T693">
        <v>-0.1017079</v>
      </c>
      <c r="U693">
        <v>-0.283172599999999</v>
      </c>
      <c r="V693">
        <v>6.2733120000000003E-2</v>
      </c>
      <c r="W693">
        <v>0.22616910000000001</v>
      </c>
      <c r="X693">
        <v>0.97206590000000004</v>
      </c>
      <c r="Y693">
        <v>9.67779E-2</v>
      </c>
      <c r="Z693">
        <v>-2.045224E-3</v>
      </c>
      <c r="AA693">
        <v>0.99530390000000002</v>
      </c>
      <c r="AB693">
        <v>36</v>
      </c>
      <c r="AC693">
        <v>33.113099999999903</v>
      </c>
      <c r="AD693">
        <v>-1.099790239958</v>
      </c>
      <c r="AE693">
        <v>-3.0583000000000302</v>
      </c>
      <c r="AF693">
        <v>3.23762830136081</v>
      </c>
      <c r="AG693">
        <v>-1.099790239958</v>
      </c>
      <c r="AH693">
        <v>33.059540823730302</v>
      </c>
      <c r="AI693">
        <v>91.896288213073106</v>
      </c>
      <c r="AJ693">
        <v>84.406674268332907</v>
      </c>
      <c r="AK693">
        <v>33.235899492349702</v>
      </c>
      <c r="AL693">
        <v>76.928365166872396</v>
      </c>
      <c r="AM693">
        <v>86.307487544345705</v>
      </c>
      <c r="AN693">
        <v>1.00000001004127</v>
      </c>
    </row>
    <row r="694" spans="1:40" x14ac:dyDescent="0.25">
      <c r="A694" t="str">
        <f>"20190303170953750"</f>
        <v>20190303170953750</v>
      </c>
      <c r="B694" t="str">
        <f>"1551604193741233"</f>
        <v>1551604193741233</v>
      </c>
      <c r="C694" t="s">
        <v>40</v>
      </c>
      <c r="D694">
        <v>4.4848379999999999</v>
      </c>
      <c r="E694">
        <v>0.51917789999999997</v>
      </c>
      <c r="F694" t="s">
        <v>42</v>
      </c>
      <c r="G694">
        <v>-242.33770000000001</v>
      </c>
      <c r="H694" s="1">
        <v>-4.4175240000000003E-6</v>
      </c>
      <c r="I694">
        <v>365.02159999999998</v>
      </c>
      <c r="J694">
        <v>-275.59359999999998</v>
      </c>
      <c r="K694">
        <v>1.1014729999999999</v>
      </c>
      <c r="L694">
        <v>368.10219999999998</v>
      </c>
      <c r="M694">
        <v>0.99996439999999998</v>
      </c>
      <c r="N694">
        <v>-6.5843539999999997E-3</v>
      </c>
      <c r="O694">
        <v>5.2754880000000001E-3</v>
      </c>
      <c r="P694">
        <v>0.97383900000000001</v>
      </c>
      <c r="Q694">
        <v>0.2197894</v>
      </c>
      <c r="R694">
        <v>-5.7710810000000001E-2</v>
      </c>
      <c r="S694">
        <v>3.0869140000000002</v>
      </c>
      <c r="T694">
        <v>-0.10140010000000001</v>
      </c>
      <c r="U694">
        <v>-0.28393550000000001</v>
      </c>
      <c r="V694">
        <v>6.3051369999999995E-2</v>
      </c>
      <c r="W694">
        <v>0.22613800000000001</v>
      </c>
      <c r="X694">
        <v>0.97205249999999999</v>
      </c>
      <c r="Y694">
        <v>9.6781870000000006E-2</v>
      </c>
      <c r="Z694">
        <v>-2.043427E-3</v>
      </c>
      <c r="AA694">
        <v>0.99530350000000001</v>
      </c>
      <c r="AB694">
        <v>36</v>
      </c>
      <c r="AC694">
        <v>33.255899999999897</v>
      </c>
      <c r="AD694">
        <v>-1.1014774175240001</v>
      </c>
      <c r="AE694">
        <v>-3.0806</v>
      </c>
      <c r="AF694">
        <v>3.2524643799430999</v>
      </c>
      <c r="AG694">
        <v>-1.1014774175240001</v>
      </c>
      <c r="AH694">
        <v>33.203070713410199</v>
      </c>
      <c r="AI694">
        <v>91.890987008937799</v>
      </c>
      <c r="AJ694">
        <v>84.405341538414703</v>
      </c>
      <c r="AK694">
        <v>33.380168990642197</v>
      </c>
      <c r="AL694">
        <v>76.9301938807601</v>
      </c>
      <c r="AM694">
        <v>86.2887563433069</v>
      </c>
      <c r="AN694">
        <v>0.99999996652956202</v>
      </c>
    </row>
    <row r="695" spans="1:40" x14ac:dyDescent="0.25">
      <c r="A695" t="str">
        <f>"20190303170953763"</f>
        <v>20190303170953763</v>
      </c>
      <c r="B695" t="str">
        <f>"1551604193750991"</f>
        <v>1551604193750991</v>
      </c>
      <c r="C695" t="s">
        <v>40</v>
      </c>
      <c r="D695">
        <v>4.6559900000000001</v>
      </c>
      <c r="E695">
        <v>0.51919589999999904</v>
      </c>
      <c r="F695" t="s">
        <v>42</v>
      </c>
      <c r="G695">
        <v>-241.99039999999999</v>
      </c>
      <c r="H695" s="1">
        <v>-4.5884010000000002E-6</v>
      </c>
      <c r="I695">
        <v>364.98399999999998</v>
      </c>
      <c r="J695">
        <v>-275.3612</v>
      </c>
      <c r="K695">
        <v>1.1031390000000001</v>
      </c>
      <c r="L695">
        <v>368.10320000000002</v>
      </c>
      <c r="M695">
        <v>0.99996399999999996</v>
      </c>
      <c r="N695">
        <v>-6.8385319999999996E-3</v>
      </c>
      <c r="O695">
        <v>5.0171399999999998E-3</v>
      </c>
      <c r="P695">
        <v>0.9738291</v>
      </c>
      <c r="Q695">
        <v>0.21975059999999999</v>
      </c>
      <c r="R695">
        <v>-5.8023070000000003E-2</v>
      </c>
      <c r="S695">
        <v>3.0864560000000001</v>
      </c>
      <c r="T695">
        <v>-0.1011705</v>
      </c>
      <c r="U695">
        <v>-0.28640749999999998</v>
      </c>
      <c r="V695">
        <v>6.3116259999999993E-2</v>
      </c>
      <c r="W695">
        <v>0.22634560000000001</v>
      </c>
      <c r="X695">
        <v>0.97199999999999998</v>
      </c>
      <c r="Y695">
        <v>9.7328209999999998E-2</v>
      </c>
      <c r="Z695">
        <v>-2.0547669999999999E-3</v>
      </c>
      <c r="AA695">
        <v>0.99525019999999997</v>
      </c>
      <c r="AB695">
        <v>36</v>
      </c>
      <c r="AC695">
        <v>33.370800000000003</v>
      </c>
      <c r="AD695">
        <v>-1.1031435884009999</v>
      </c>
      <c r="AE695">
        <v>-3.11919999999997</v>
      </c>
      <c r="AF695">
        <v>3.2830340902745698</v>
      </c>
      <c r="AG695">
        <v>-1.1031435884009999</v>
      </c>
      <c r="AH695">
        <v>33.318635718013603</v>
      </c>
      <c r="AI695">
        <v>91.887175341824701</v>
      </c>
      <c r="AJ695">
        <v>84.372556216225107</v>
      </c>
      <c r="AK695">
        <v>33.498160019980602</v>
      </c>
      <c r="AL695">
        <v>76.917983052150802</v>
      </c>
      <c r="AM695">
        <v>86.284747470766206</v>
      </c>
      <c r="AN695">
        <v>0.99999999645787296</v>
      </c>
    </row>
    <row r="696" spans="1:40" x14ac:dyDescent="0.25">
      <c r="A696" t="str">
        <f>"20190303170953783"</f>
        <v>20190303170953783</v>
      </c>
      <c r="B696" t="str">
        <f>"1551604193771488"</f>
        <v>1551604193771488</v>
      </c>
      <c r="C696" t="s">
        <v>40</v>
      </c>
      <c r="D696">
        <v>4.5045109999999999</v>
      </c>
      <c r="E696">
        <v>0.51922479999999904</v>
      </c>
      <c r="F696" t="s">
        <v>42</v>
      </c>
      <c r="G696">
        <v>-241.57470000000001</v>
      </c>
      <c r="H696" s="1">
        <v>-4.7907729999999901E-6</v>
      </c>
      <c r="I696">
        <v>364.95069999999998</v>
      </c>
      <c r="J696">
        <v>-275.05590000000001</v>
      </c>
      <c r="K696">
        <v>1.1051799999999901</v>
      </c>
      <c r="L696">
        <v>368.1044</v>
      </c>
      <c r="M696">
        <v>0.99996320000000005</v>
      </c>
      <c r="N696">
        <v>-7.1931919999999898E-3</v>
      </c>
      <c r="O696">
        <v>4.6749390000000004E-3</v>
      </c>
      <c r="P696">
        <v>0.97381200000000001</v>
      </c>
      <c r="Q696">
        <v>0.219697</v>
      </c>
      <c r="R696">
        <v>-5.851075E-2</v>
      </c>
      <c r="S696">
        <v>3.0862430000000001</v>
      </c>
      <c r="T696">
        <v>-0.1007671</v>
      </c>
      <c r="U696">
        <v>-0.28796389999999999</v>
      </c>
      <c r="V696">
        <v>6.3276029999999997E-2</v>
      </c>
      <c r="W696">
        <v>0.2266349</v>
      </c>
      <c r="X696">
        <v>0.97192219999999996</v>
      </c>
      <c r="Y696">
        <v>9.7491530000000007E-2</v>
      </c>
      <c r="Z696">
        <v>-2.0579449999999998E-3</v>
      </c>
      <c r="AA696">
        <v>0.99523430000000002</v>
      </c>
      <c r="AB696">
        <v>36</v>
      </c>
      <c r="AC696">
        <v>33.481200000000001</v>
      </c>
      <c r="AD696">
        <v>-1.1051847907729999</v>
      </c>
      <c r="AE696">
        <v>-3.1537000000000099</v>
      </c>
      <c r="AF696">
        <v>3.3066209385107599</v>
      </c>
      <c r="AG696">
        <v>-1.1051847907729999</v>
      </c>
      <c r="AH696">
        <v>33.429985343693303</v>
      </c>
      <c r="AI696">
        <v>91.884302337772993</v>
      </c>
      <c r="AJ696">
        <v>84.351143886612206</v>
      </c>
      <c r="AK696">
        <v>33.611294166281397</v>
      </c>
      <c r="AL696">
        <v>76.900965171420907</v>
      </c>
      <c r="AM696">
        <v>86.275071959312996</v>
      </c>
      <c r="AN696">
        <v>0.99999999836170494</v>
      </c>
    </row>
    <row r="697" spans="1:40" x14ac:dyDescent="0.25">
      <c r="A697" t="str">
        <f>"20190303170953798"</f>
        <v>20190303170953798</v>
      </c>
      <c r="B697" t="str">
        <f>"1551604193791008"</f>
        <v>1551604193791008</v>
      </c>
      <c r="C697" t="s">
        <v>40</v>
      </c>
      <c r="D697">
        <v>4.6549319999999996</v>
      </c>
      <c r="E697">
        <v>0.51926930000000004</v>
      </c>
      <c r="F697" t="s">
        <v>42</v>
      </c>
      <c r="G697">
        <v>-240.934</v>
      </c>
      <c r="H697" s="1">
        <v>-5.1021190000000001E-6</v>
      </c>
      <c r="I697">
        <v>364.90300000000002</v>
      </c>
      <c r="J697">
        <v>-274.80689999999998</v>
      </c>
      <c r="K697">
        <v>1.106722</v>
      </c>
      <c r="L697">
        <v>368.1053</v>
      </c>
      <c r="M697">
        <v>0.99996240000000003</v>
      </c>
      <c r="N697">
        <v>-7.4891089999999999E-3</v>
      </c>
      <c r="O697">
        <v>4.3935509999999999E-3</v>
      </c>
      <c r="P697">
        <v>0.97384890000000002</v>
      </c>
      <c r="Q697">
        <v>0.2194477</v>
      </c>
      <c r="R697">
        <v>-5.8833290000000003E-2</v>
      </c>
      <c r="S697">
        <v>3.0858460000000001</v>
      </c>
      <c r="T697">
        <v>-9.9948289999999995E-2</v>
      </c>
      <c r="U697">
        <v>-0.28952030000000001</v>
      </c>
      <c r="V697">
        <v>6.3328999999999996E-2</v>
      </c>
      <c r="W697">
        <v>0.22667209999999999</v>
      </c>
      <c r="X697">
        <v>0.9719101</v>
      </c>
      <c r="Y697">
        <v>9.7721349999999998E-2</v>
      </c>
      <c r="Z697">
        <v>-2.0546679999999999E-3</v>
      </c>
      <c r="AA697">
        <v>0.99521170000000003</v>
      </c>
      <c r="AB697">
        <v>36</v>
      </c>
      <c r="AC697">
        <v>33.872899999999902</v>
      </c>
      <c r="AD697">
        <v>-1.1067271021189999</v>
      </c>
      <c r="AE697">
        <v>-3.2022999999999802</v>
      </c>
      <c r="AF697">
        <v>3.3475536369287102</v>
      </c>
      <c r="AG697">
        <v>-1.1067271021189999</v>
      </c>
      <c r="AH697">
        <v>33.822716582303798</v>
      </c>
      <c r="AI697">
        <v>91.865024303912094</v>
      </c>
      <c r="AJ697">
        <v>84.347642888040198</v>
      </c>
      <c r="AK697">
        <v>34.0059864911684</v>
      </c>
      <c r="AL697">
        <v>76.898777143655806</v>
      </c>
      <c r="AM697">
        <v>86.271916233586396</v>
      </c>
      <c r="AN697">
        <v>1.0000000228207</v>
      </c>
    </row>
    <row r="698" spans="1:40" x14ac:dyDescent="0.25">
      <c r="A698" t="str">
        <f>"20190303170953811"</f>
        <v>20190303170953811</v>
      </c>
      <c r="B698" t="str">
        <f>"1551604193800768"</f>
        <v>1551604193800768</v>
      </c>
      <c r="C698" t="s">
        <v>40</v>
      </c>
      <c r="D698">
        <v>4.3789369999999996</v>
      </c>
      <c r="E698">
        <v>0.51929619999999999</v>
      </c>
      <c r="F698" t="s">
        <v>42</v>
      </c>
      <c r="G698">
        <v>-240.6497</v>
      </c>
      <c r="H698" s="1">
        <v>-5.2396090000000002E-6</v>
      </c>
      <c r="I698">
        <v>364.8854</v>
      </c>
      <c r="J698">
        <v>-274.58420000000001</v>
      </c>
      <c r="K698">
        <v>1.1079749999999999</v>
      </c>
      <c r="L698">
        <v>368.10610000000003</v>
      </c>
      <c r="M698">
        <v>0.9999614</v>
      </c>
      <c r="N698">
        <v>-7.75121199999999E-3</v>
      </c>
      <c r="O698">
        <v>4.1411750000000004E-3</v>
      </c>
      <c r="P698">
        <v>0.97388490000000005</v>
      </c>
      <c r="Q698">
        <v>0.21921099999999999</v>
      </c>
      <c r="R698">
        <v>-5.9118909999999997E-2</v>
      </c>
      <c r="S698">
        <v>3.0855100000000002</v>
      </c>
      <c r="T698">
        <v>-9.9973679999999995E-2</v>
      </c>
      <c r="U698">
        <v>-0.29086299999999998</v>
      </c>
      <c r="V698">
        <v>6.3373040000000005E-2</v>
      </c>
      <c r="W698">
        <v>0.22668930000000001</v>
      </c>
      <c r="X698">
        <v>0.97190319999999997</v>
      </c>
      <c r="Y698">
        <v>9.7909099999999999E-2</v>
      </c>
      <c r="Z698">
        <v>-2.0645139999999999E-3</v>
      </c>
      <c r="AA698">
        <v>0.9951932</v>
      </c>
      <c r="AB698">
        <v>36</v>
      </c>
      <c r="AC698">
        <v>33.9345</v>
      </c>
      <c r="AD698">
        <v>-1.1079802396089999</v>
      </c>
      <c r="AE698">
        <v>-3.2207000000000199</v>
      </c>
      <c r="AF698">
        <v>3.3576577991538898</v>
      </c>
      <c r="AG698">
        <v>-1.1079802396089999</v>
      </c>
      <c r="AH698">
        <v>33.885070134829697</v>
      </c>
      <c r="AI698">
        <v>91.863679983561397</v>
      </c>
      <c r="AJ698">
        <v>84.341057538362094</v>
      </c>
      <c r="AK698">
        <v>34.069039671671199</v>
      </c>
      <c r="AL698">
        <v>76.897765087265398</v>
      </c>
      <c r="AM698">
        <v>86.269304572442806</v>
      </c>
      <c r="AN698">
        <v>1.0000000055517799</v>
      </c>
    </row>
    <row r="699" spans="1:40" x14ac:dyDescent="0.25">
      <c r="A699" t="str">
        <f>"20190303170953829"</f>
        <v>20190303170953829</v>
      </c>
      <c r="B699" t="str">
        <f>"1551604193821263"</f>
        <v>1551604193821263</v>
      </c>
      <c r="C699" t="s">
        <v>40</v>
      </c>
      <c r="D699">
        <v>4.4933880000000004</v>
      </c>
      <c r="E699">
        <v>0.51945109999999906</v>
      </c>
      <c r="F699" t="s">
        <v>42</v>
      </c>
      <c r="G699">
        <v>-240.48779999999999</v>
      </c>
      <c r="H699" s="1">
        <v>-5.3179679999999997E-6</v>
      </c>
      <c r="I699">
        <v>364.87509999999997</v>
      </c>
      <c r="J699">
        <v>-274.30939999999998</v>
      </c>
      <c r="K699">
        <v>1.1093980000000001</v>
      </c>
      <c r="L699">
        <v>368.1069</v>
      </c>
      <c r="M699">
        <v>0.99996019999999997</v>
      </c>
      <c r="N699">
        <v>-8.0673029999999996E-3</v>
      </c>
      <c r="O699">
        <v>3.8272810000000001E-3</v>
      </c>
      <c r="P699">
        <v>0.97396470000000002</v>
      </c>
      <c r="Q699">
        <v>0.21894060000000001</v>
      </c>
      <c r="R699">
        <v>-5.8805240000000002E-2</v>
      </c>
      <c r="S699">
        <v>3.0852659999999998</v>
      </c>
      <c r="T699">
        <v>-0.1002574</v>
      </c>
      <c r="U699">
        <v>-0.29235840000000002</v>
      </c>
      <c r="V699">
        <v>6.2759239999999994E-2</v>
      </c>
      <c r="W699">
        <v>0.22672600000000001</v>
      </c>
      <c r="X699">
        <v>0.97193450000000003</v>
      </c>
      <c r="Y699">
        <v>9.8081310000000005E-2</v>
      </c>
      <c r="Z699">
        <v>-2.079535E-3</v>
      </c>
      <c r="AA699">
        <v>0.99517630000000001</v>
      </c>
      <c r="AB699">
        <v>36</v>
      </c>
      <c r="AC699">
        <v>33.821599999999897</v>
      </c>
      <c r="AD699">
        <v>-1.1094033179679901</v>
      </c>
      <c r="AE699">
        <v>-3.2318000000000202</v>
      </c>
      <c r="AF699">
        <v>3.35764534053158</v>
      </c>
      <c r="AG699">
        <v>-1.1094033179679901</v>
      </c>
      <c r="AH699">
        <v>33.772973741362101</v>
      </c>
      <c r="AI699">
        <v>91.8722008815555</v>
      </c>
      <c r="AJ699">
        <v>84.322418299355903</v>
      </c>
      <c r="AK699">
        <v>33.957595811385801</v>
      </c>
      <c r="AL699">
        <v>76.895606535384999</v>
      </c>
      <c r="AM699">
        <v>86.305456329410305</v>
      </c>
      <c r="AN699">
        <v>1.00000003678581</v>
      </c>
    </row>
    <row r="700" spans="1:40" x14ac:dyDescent="0.25">
      <c r="A700" t="str">
        <f>"20190303170953840"</f>
        <v>20190303170953840</v>
      </c>
      <c r="B700" t="str">
        <f>"1551604193831024"</f>
        <v>1551604193831024</v>
      </c>
      <c r="C700" t="s">
        <v>40</v>
      </c>
      <c r="D700">
        <v>4.7229320000000001</v>
      </c>
      <c r="E700">
        <v>0.51945640000000004</v>
      </c>
      <c r="F700" t="s">
        <v>42</v>
      </c>
      <c r="G700">
        <v>-240.38509999999999</v>
      </c>
      <c r="H700" s="1">
        <v>-5.3642070000000002E-6</v>
      </c>
      <c r="I700">
        <v>364.88819999999998</v>
      </c>
      <c r="J700">
        <v>-274.12130000000002</v>
      </c>
      <c r="K700">
        <v>1.1103050000000001</v>
      </c>
      <c r="L700">
        <v>368.10750000000002</v>
      </c>
      <c r="M700">
        <v>0.9999593</v>
      </c>
      <c r="N700">
        <v>-8.2776280000000004E-3</v>
      </c>
      <c r="O700">
        <v>3.6096399999999999E-3</v>
      </c>
      <c r="P700">
        <v>0.97398359999999995</v>
      </c>
      <c r="Q700">
        <v>0.21885550000000001</v>
      </c>
      <c r="R700">
        <v>-5.8808630000000001E-2</v>
      </c>
      <c r="S700">
        <v>3.0852050000000002</v>
      </c>
      <c r="T700">
        <v>-0.10089339999999999</v>
      </c>
      <c r="U700">
        <v>-0.292724599999999</v>
      </c>
      <c r="V700">
        <v>6.2554520000000002E-2</v>
      </c>
      <c r="W700">
        <v>0.22684480000000001</v>
      </c>
      <c r="X700">
        <v>0.97192000000000001</v>
      </c>
      <c r="Y700">
        <v>9.7982700000000006E-2</v>
      </c>
      <c r="Z700">
        <v>-2.092647E-3</v>
      </c>
      <c r="AA700">
        <v>0.99518589999999996</v>
      </c>
      <c r="AB700">
        <v>36</v>
      </c>
      <c r="AC700">
        <v>33.736199999999997</v>
      </c>
      <c r="AD700">
        <v>-1.11031036420699</v>
      </c>
      <c r="AE700">
        <v>-3.2193000000000298</v>
      </c>
      <c r="AF700">
        <v>3.3374762945473</v>
      </c>
      <c r="AG700">
        <v>-1.11031036420699</v>
      </c>
      <c r="AH700">
        <v>33.688198539538398</v>
      </c>
      <c r="AI700">
        <v>91.878506597029698</v>
      </c>
      <c r="AJ700">
        <v>84.342192001596104</v>
      </c>
      <c r="AK700">
        <v>33.871319105710803</v>
      </c>
      <c r="AL700">
        <v>76.888617995418997</v>
      </c>
      <c r="AM700">
        <v>86.317419889065903</v>
      </c>
      <c r="AN700">
        <v>1.00000005882973</v>
      </c>
    </row>
    <row r="701" spans="1:40" x14ac:dyDescent="0.25">
      <c r="A701" t="str">
        <f>"20190303170953853"</f>
        <v>20190303170953853</v>
      </c>
      <c r="B701" t="str">
        <f>"1551604193841761"</f>
        <v>1551604193841761</v>
      </c>
      <c r="C701" t="s">
        <v>40</v>
      </c>
      <c r="D701">
        <v>4.4588809999999999</v>
      </c>
      <c r="E701">
        <v>0.51945640000000004</v>
      </c>
      <c r="F701" t="s">
        <v>42</v>
      </c>
      <c r="G701">
        <v>-240.09289999999999</v>
      </c>
      <c r="H701" s="1">
        <v>-5.5046599999999997E-6</v>
      </c>
      <c r="I701">
        <v>364.875</v>
      </c>
      <c r="J701">
        <v>-273.90820000000002</v>
      </c>
      <c r="K701">
        <v>1.111253</v>
      </c>
      <c r="L701">
        <v>368.108</v>
      </c>
      <c r="M701">
        <v>0.99995820000000002</v>
      </c>
      <c r="N701">
        <v>-8.5072619999999998E-3</v>
      </c>
      <c r="O701">
        <v>3.358729E-3</v>
      </c>
      <c r="P701">
        <v>0.9739951</v>
      </c>
      <c r="Q701">
        <v>0.21882989999999999</v>
      </c>
      <c r="R701">
        <v>-5.8713370000000001E-2</v>
      </c>
      <c r="S701">
        <v>3.0850520000000001</v>
      </c>
      <c r="T701">
        <v>-0.1006621</v>
      </c>
      <c r="U701">
        <v>-0.2930603</v>
      </c>
      <c r="V701">
        <v>6.2219419999999998E-2</v>
      </c>
      <c r="W701">
        <v>0.2270422</v>
      </c>
      <c r="X701">
        <v>0.97189530000000002</v>
      </c>
      <c r="Y701">
        <v>9.784503E-2</v>
      </c>
      <c r="Z701">
        <v>-2.0903810000000001E-3</v>
      </c>
      <c r="AA701">
        <v>0.99519939999999996</v>
      </c>
      <c r="AB701">
        <v>36</v>
      </c>
      <c r="AC701">
        <v>33.815300000000001</v>
      </c>
      <c r="AD701">
        <v>-1.1112585046600001</v>
      </c>
      <c r="AE701">
        <v>-3.2330000000000001</v>
      </c>
      <c r="AF701">
        <v>3.3429847434559399</v>
      </c>
      <c r="AG701">
        <v>-1.1112585046600001</v>
      </c>
      <c r="AH701">
        <v>33.768112534663601</v>
      </c>
      <c r="AI701">
        <v>91.875676497804804</v>
      </c>
      <c r="AJ701">
        <v>84.346239079527905</v>
      </c>
      <c r="AK701">
        <v>33.951375032726801</v>
      </c>
      <c r="AL701">
        <v>76.877003282778105</v>
      </c>
      <c r="AM701">
        <v>86.337000514790205</v>
      </c>
      <c r="AN701">
        <v>0.99999994548403104</v>
      </c>
    </row>
    <row r="702" spans="1:40" x14ac:dyDescent="0.25">
      <c r="A702" t="str">
        <f>"20190303170953866"</f>
        <v>20190303170953866</v>
      </c>
      <c r="B702" t="str">
        <f>"1551604193861280"</f>
        <v>1551604193861280</v>
      </c>
      <c r="C702" t="s">
        <v>40</v>
      </c>
      <c r="D702">
        <v>4.6537839999999999</v>
      </c>
      <c r="E702">
        <v>0.49451590000000001</v>
      </c>
      <c r="F702" t="s">
        <v>42</v>
      </c>
      <c r="G702">
        <v>-239.87190000000001</v>
      </c>
      <c r="H702" s="1">
        <v>-1.2906519999999999E-6</v>
      </c>
      <c r="I702">
        <v>364.87709999999998</v>
      </c>
      <c r="J702">
        <v>-273.71690000000001</v>
      </c>
      <c r="K702">
        <v>1.112025</v>
      </c>
      <c r="L702">
        <v>368.10840000000002</v>
      </c>
      <c r="M702">
        <v>0.99995730000000005</v>
      </c>
      <c r="N702">
        <v>-8.7035819999999996E-3</v>
      </c>
      <c r="O702">
        <v>3.1251289999999999E-3</v>
      </c>
      <c r="P702">
        <v>0.97403360000000005</v>
      </c>
      <c r="Q702">
        <v>0.21866469999999999</v>
      </c>
      <c r="R702">
        <v>-5.8688919999999999E-2</v>
      </c>
      <c r="S702">
        <v>3.0851139999999999</v>
      </c>
      <c r="T702">
        <v>-0.10072589999999999</v>
      </c>
      <c r="U702">
        <v>-0.29284670000000002</v>
      </c>
      <c r="V702">
        <v>6.197122E-2</v>
      </c>
      <c r="W702">
        <v>0.2270673</v>
      </c>
      <c r="X702">
        <v>0.97190540000000003</v>
      </c>
      <c r="Y702">
        <v>9.7542279999999995E-2</v>
      </c>
      <c r="Z702">
        <v>-2.088571E-3</v>
      </c>
      <c r="AA702">
        <v>0.99522920000000004</v>
      </c>
      <c r="AB702">
        <v>36</v>
      </c>
      <c r="AC702">
        <v>33.844999999999999</v>
      </c>
      <c r="AD702">
        <v>-1.112026290652</v>
      </c>
      <c r="AE702">
        <v>-3.2313000000000298</v>
      </c>
      <c r="AF702">
        <v>3.3334920594200499</v>
      </c>
      <c r="AG702">
        <v>-1.112026290652</v>
      </c>
      <c r="AH702">
        <v>33.798578572411401</v>
      </c>
      <c r="AI702">
        <v>91.875348681670104</v>
      </c>
      <c r="AJ702">
        <v>84.367239058562603</v>
      </c>
      <c r="AK702">
        <v>33.9807693452751</v>
      </c>
      <c r="AL702">
        <v>76.875527969138105</v>
      </c>
      <c r="AM702">
        <v>86.351610882259195</v>
      </c>
      <c r="AN702">
        <v>1.00000004869336</v>
      </c>
    </row>
    <row r="703" spans="1:40" x14ac:dyDescent="0.25">
      <c r="A703" t="str">
        <f>"20190303170953879"</f>
        <v>20190303170953879</v>
      </c>
      <c r="B703" t="str">
        <f>"1551604193871040"</f>
        <v>1551604193871040</v>
      </c>
      <c r="C703" t="s">
        <v>40</v>
      </c>
      <c r="D703">
        <v>4.6518189999999997</v>
      </c>
      <c r="E703">
        <v>0.49014069999999998</v>
      </c>
      <c r="F703" t="s">
        <v>42</v>
      </c>
      <c r="G703">
        <v>-222.5025</v>
      </c>
      <c r="H703" s="1">
        <v>-3.747103E-6</v>
      </c>
      <c r="I703">
        <v>366.52480000000003</v>
      </c>
      <c r="J703">
        <v>-273.49439999999998</v>
      </c>
      <c r="K703">
        <v>1.112879</v>
      </c>
      <c r="L703">
        <v>368.10879999999997</v>
      </c>
      <c r="M703">
        <v>0.99995610000000001</v>
      </c>
      <c r="N703">
        <v>-8.924576E-3</v>
      </c>
      <c r="O703">
        <v>2.8468460000000001E-3</v>
      </c>
      <c r="P703">
        <v>0.97404210000000002</v>
      </c>
      <c r="Q703">
        <v>0.21860779999999999</v>
      </c>
      <c r="R703">
        <v>-5.876062E-2</v>
      </c>
      <c r="S703">
        <v>3.089264</v>
      </c>
      <c r="T703">
        <v>-6.707776E-2</v>
      </c>
      <c r="U703">
        <v>-9.5520019999999997E-2</v>
      </c>
      <c r="V703">
        <v>6.177647E-2</v>
      </c>
      <c r="W703">
        <v>0.2272247</v>
      </c>
      <c r="X703">
        <v>0.97188099999999999</v>
      </c>
      <c r="Y703">
        <v>3.3739249999999998E-2</v>
      </c>
      <c r="Z703">
        <v>-5.5317419999999999E-4</v>
      </c>
      <c r="AA703">
        <v>0.9994305</v>
      </c>
      <c r="AB703">
        <v>36</v>
      </c>
      <c r="AC703">
        <v>50.991900000000001</v>
      </c>
      <c r="AD703">
        <v>-1.1128827471030001</v>
      </c>
      <c r="AE703">
        <v>-1.5839999999999399</v>
      </c>
      <c r="AF703">
        <v>1.72834300578801</v>
      </c>
      <c r="AG703">
        <v>-1.1128827471030001</v>
      </c>
      <c r="AH703">
        <v>50.9629326372431</v>
      </c>
      <c r="AI703">
        <v>91.250256397397806</v>
      </c>
      <c r="AJ703">
        <v>88.057630989260403</v>
      </c>
      <c r="AK703">
        <v>51.004374131466797</v>
      </c>
      <c r="AL703">
        <v>76.866267401588203</v>
      </c>
      <c r="AM703">
        <v>86.362954379403902</v>
      </c>
      <c r="AN703">
        <v>1.00000003734837</v>
      </c>
    </row>
    <row r="704" spans="1:40" x14ac:dyDescent="0.25">
      <c r="A704" t="str">
        <f>"20190303170953893"</f>
        <v>20190303170953893</v>
      </c>
      <c r="B704" t="str">
        <f>"1551604193880801"</f>
        <v>1551604193880801</v>
      </c>
      <c r="C704" t="s">
        <v>40</v>
      </c>
      <c r="D704">
        <v>4.6656149999999998</v>
      </c>
      <c r="E704">
        <v>0.48691499999999999</v>
      </c>
      <c r="F704" t="s">
        <v>42</v>
      </c>
      <c r="G704">
        <v>-229.02250000000001</v>
      </c>
      <c r="H704" s="1">
        <v>-9.5189810000000004E-7</v>
      </c>
      <c r="I704">
        <v>367.23669999999998</v>
      </c>
      <c r="J704">
        <v>-273.262</v>
      </c>
      <c r="K704">
        <v>1.113677</v>
      </c>
      <c r="L704">
        <v>368.10919999999999</v>
      </c>
      <c r="M704">
        <v>0.99995509999999999</v>
      </c>
      <c r="N704">
        <v>-9.1407290000000002E-3</v>
      </c>
      <c r="O704">
        <v>2.5424480000000001E-3</v>
      </c>
      <c r="P704">
        <v>0.97400149999999996</v>
      </c>
      <c r="Q704">
        <v>0.2187114</v>
      </c>
      <c r="R704">
        <v>-5.9049810000000001E-2</v>
      </c>
      <c r="S704">
        <v>3.093658</v>
      </c>
      <c r="T704">
        <v>-7.7416659999999998E-2</v>
      </c>
      <c r="U704">
        <v>-6.0668949999999999E-2</v>
      </c>
      <c r="V704">
        <v>6.1773670000000003E-2</v>
      </c>
      <c r="W704">
        <v>0.22753680000000001</v>
      </c>
      <c r="X704">
        <v>0.97180809999999995</v>
      </c>
      <c r="Y704">
        <v>2.2139200000000001E-2</v>
      </c>
      <c r="Z704">
        <v>-4.1852829999999998E-4</v>
      </c>
      <c r="AA704">
        <v>0.99975480000000005</v>
      </c>
      <c r="AB704">
        <v>36</v>
      </c>
      <c r="AC704">
        <v>44.2394999999999</v>
      </c>
      <c r="AD704">
        <v>-1.1136779518980999</v>
      </c>
      <c r="AE704">
        <v>-0.87250000000000205</v>
      </c>
      <c r="AF704">
        <v>0.98435493008445696</v>
      </c>
      <c r="AG704">
        <v>-1.1136779518980999</v>
      </c>
      <c r="AH704">
        <v>44.209133216792601</v>
      </c>
      <c r="AI704">
        <v>91.442682719924306</v>
      </c>
      <c r="AJ704">
        <v>88.724470231641106</v>
      </c>
      <c r="AK704">
        <v>44.234112322833397</v>
      </c>
      <c r="AL704">
        <v>76.847903652304197</v>
      </c>
      <c r="AM704">
        <v>86.362846697315504</v>
      </c>
      <c r="AN704">
        <v>0.99999998244255905</v>
      </c>
    </row>
    <row r="705" spans="1:40" x14ac:dyDescent="0.25">
      <c r="A705" t="str">
        <f>"20190303170953907"</f>
        <v>20190303170953907</v>
      </c>
      <c r="B705" t="str">
        <f>"1551604193901296"</f>
        <v>1551604193901296</v>
      </c>
      <c r="C705" t="s">
        <v>40</v>
      </c>
      <c r="D705">
        <v>4.6504459999999996</v>
      </c>
      <c r="E705">
        <v>0.4833538</v>
      </c>
      <c r="F705" t="s">
        <v>42</v>
      </c>
      <c r="G705">
        <v>-231.60470000000001</v>
      </c>
      <c r="H705" s="1">
        <v>-3.9351879999999997E-6</v>
      </c>
      <c r="I705">
        <v>367.63580000000002</v>
      </c>
      <c r="J705">
        <v>-273.05579999999998</v>
      </c>
      <c r="K705">
        <v>1.114306</v>
      </c>
      <c r="L705">
        <v>368.10939999999999</v>
      </c>
      <c r="M705">
        <v>0.99995420000000002</v>
      </c>
      <c r="N705">
        <v>-9.3201619999999999E-3</v>
      </c>
      <c r="O705">
        <v>2.2600900000000002E-3</v>
      </c>
      <c r="P705">
        <v>0.97402259999999996</v>
      </c>
      <c r="Q705">
        <v>0.21856690000000001</v>
      </c>
      <c r="R705">
        <v>-5.9235400000000001E-2</v>
      </c>
      <c r="S705">
        <v>3.0965579999999999</v>
      </c>
      <c r="T705">
        <v>-8.2784410000000003E-2</v>
      </c>
      <c r="U705">
        <v>-3.5186769999999999E-2</v>
      </c>
      <c r="V705">
        <v>6.168912E-2</v>
      </c>
      <c r="W705">
        <v>0.22756599999999999</v>
      </c>
      <c r="X705">
        <v>0.97180659999999996</v>
      </c>
      <c r="Y705">
        <v>1.361557E-2</v>
      </c>
      <c r="Z705">
        <v>-2.8477930000000003E-4</v>
      </c>
      <c r="AA705">
        <v>0.99990730000000005</v>
      </c>
      <c r="AB705">
        <v>36</v>
      </c>
      <c r="AC705">
        <v>41.451099999999897</v>
      </c>
      <c r="AD705">
        <v>-1.1143099351879999</v>
      </c>
      <c r="AE705">
        <v>-0.47359999999997598</v>
      </c>
      <c r="AF705">
        <v>0.56687644750767896</v>
      </c>
      <c r="AG705">
        <v>-1.1143099351879999</v>
      </c>
      <c r="AH705">
        <v>41.4199946287521</v>
      </c>
      <c r="AI705">
        <v>91.540895565534001</v>
      </c>
      <c r="AJ705">
        <v>89.215895594229195</v>
      </c>
      <c r="AK705">
        <v>41.438858461403697</v>
      </c>
      <c r="AL705">
        <v>76.846185106241705</v>
      </c>
      <c r="AM705">
        <v>86.367805964149099</v>
      </c>
      <c r="AN705">
        <v>0.99999994984296503</v>
      </c>
    </row>
    <row r="706" spans="1:40" x14ac:dyDescent="0.25">
      <c r="A706" t="str">
        <f>"20190303170953918"</f>
        <v>20190303170953918</v>
      </c>
      <c r="B706" t="str">
        <f>"1551604193911056"</f>
        <v>1551604193911056</v>
      </c>
      <c r="C706" t="s">
        <v>40</v>
      </c>
      <c r="D706">
        <v>4.6367529999999997</v>
      </c>
      <c r="E706">
        <v>0.48219020000000001</v>
      </c>
      <c r="F706" t="s">
        <v>42</v>
      </c>
      <c r="G706">
        <v>-234.4272</v>
      </c>
      <c r="H706" s="1">
        <v>-2.6564659999999998E-6</v>
      </c>
      <c r="I706">
        <v>368.01850000000002</v>
      </c>
      <c r="J706">
        <v>-272.85669999999999</v>
      </c>
      <c r="K706">
        <v>1.1148819999999999</v>
      </c>
      <c r="L706">
        <v>368.1096</v>
      </c>
      <c r="M706">
        <v>0.99995299999999998</v>
      </c>
      <c r="N706">
        <v>-9.4877280000000008E-3</v>
      </c>
      <c r="O706">
        <v>1.9817060000000002E-3</v>
      </c>
      <c r="P706">
        <v>0.97406579999999998</v>
      </c>
      <c r="Q706">
        <v>0.2183081</v>
      </c>
      <c r="R706">
        <v>-5.9475849999999997E-2</v>
      </c>
      <c r="S706">
        <v>3.0995789999999999</v>
      </c>
      <c r="T706">
        <v>-8.9412569999999997E-2</v>
      </c>
      <c r="U706">
        <v>-7.2937009999999997E-3</v>
      </c>
      <c r="V706">
        <v>6.166286E-2</v>
      </c>
      <c r="W706">
        <v>0.22746939999999999</v>
      </c>
      <c r="X706">
        <v>0.97183090000000005</v>
      </c>
      <c r="Y706">
        <v>4.3321399999999999E-3</v>
      </c>
      <c r="Z706">
        <v>-1.213822E-4</v>
      </c>
      <c r="AA706">
        <v>0.99999059999999995</v>
      </c>
      <c r="AB706">
        <v>36</v>
      </c>
      <c r="AC706">
        <v>38.429499999999898</v>
      </c>
      <c r="AD706">
        <v>-1.114884656466</v>
      </c>
      <c r="AE706">
        <v>-9.1099999999983E-2</v>
      </c>
      <c r="AF706">
        <v>0.16711856757884</v>
      </c>
      <c r="AG706">
        <v>-1.114884656466</v>
      </c>
      <c r="AH706">
        <v>38.396927483036301</v>
      </c>
      <c r="AI706">
        <v>91.663144496425701</v>
      </c>
      <c r="AJ706">
        <v>89.750627751570605</v>
      </c>
      <c r="AK706">
        <v>38.413473372638499</v>
      </c>
      <c r="AL706">
        <v>76.851869176000903</v>
      </c>
      <c r="AM706">
        <v>86.369438529633896</v>
      </c>
      <c r="AN706">
        <v>0.99999996721727402</v>
      </c>
    </row>
    <row r="707" spans="1:40" x14ac:dyDescent="0.25">
      <c r="A707" t="str">
        <f>"20190303170953929"</f>
        <v>20190303170953929</v>
      </c>
      <c r="B707" t="str">
        <f>"1551604193921793"</f>
        <v>1551604193921793</v>
      </c>
      <c r="C707" t="s">
        <v>40</v>
      </c>
      <c r="D707">
        <v>4.6387419999999997</v>
      </c>
      <c r="E707">
        <v>0.48124990000000001</v>
      </c>
      <c r="F707" t="s">
        <v>42</v>
      </c>
      <c r="G707">
        <v>-235.18190000000001</v>
      </c>
      <c r="H707" s="1">
        <v>-2.3139419999999999E-6</v>
      </c>
      <c r="I707">
        <v>368.12439999999998</v>
      </c>
      <c r="J707">
        <v>-272.67110000000002</v>
      </c>
      <c r="K707">
        <v>1.115356</v>
      </c>
      <c r="L707">
        <v>368.10969999999998</v>
      </c>
      <c r="M707">
        <v>0.99995210000000001</v>
      </c>
      <c r="N707">
        <v>-9.6340290000000006E-3</v>
      </c>
      <c r="O707">
        <v>1.711696E-3</v>
      </c>
      <c r="P707">
        <v>0.97411820000000005</v>
      </c>
      <c r="Q707">
        <v>0.21793799999999999</v>
      </c>
      <c r="R707">
        <v>-5.9974810000000003E-2</v>
      </c>
      <c r="S707">
        <v>3.1005250000000002</v>
      </c>
      <c r="T707">
        <v>-9.1751460000000007E-2</v>
      </c>
      <c r="U707">
        <v>1.2207030000000001E-3</v>
      </c>
      <c r="V707">
        <v>6.1903590000000001E-2</v>
      </c>
      <c r="W707">
        <v>0.227241</v>
      </c>
      <c r="X707">
        <v>0.97186910000000004</v>
      </c>
      <c r="Y707">
        <v>1.3169620000000001E-3</v>
      </c>
      <c r="Z707" s="1">
        <v>-5.99808E-5</v>
      </c>
      <c r="AA707">
        <v>0.99999910000000003</v>
      </c>
      <c r="AB707">
        <v>36</v>
      </c>
      <c r="AC707">
        <v>37.489199999999997</v>
      </c>
      <c r="AD707">
        <v>-1.115358313942</v>
      </c>
      <c r="AE707">
        <v>1.47000000000048E-2</v>
      </c>
      <c r="AF707">
        <v>4.9429362743037997E-2</v>
      </c>
      <c r="AG707">
        <v>-1.115358313942</v>
      </c>
      <c r="AH707">
        <v>37.456016081227098</v>
      </c>
      <c r="AI707">
        <v>91.7056376115641</v>
      </c>
      <c r="AJ707">
        <v>89.924388856011404</v>
      </c>
      <c r="AK707">
        <v>37.472651468871597</v>
      </c>
      <c r="AL707">
        <v>76.865308389010707</v>
      </c>
      <c r="AM707">
        <v>86.355445925805398</v>
      </c>
      <c r="AN707">
        <v>1.0000000370353399</v>
      </c>
    </row>
    <row r="708" spans="1:40" x14ac:dyDescent="0.25">
      <c r="A708" t="str">
        <f>"20190303170953941"</f>
        <v>20190303170953941</v>
      </c>
      <c r="B708" t="str">
        <f>"1551604193931553"</f>
        <v>1551604193931553</v>
      </c>
      <c r="C708" t="s">
        <v>40</v>
      </c>
      <c r="D708">
        <v>4.6416060000000003</v>
      </c>
      <c r="E708">
        <v>0.48053380000000001</v>
      </c>
      <c r="F708" t="s">
        <v>42</v>
      </c>
      <c r="G708">
        <v>-235.8837</v>
      </c>
      <c r="H708" s="1">
        <v>-2.00146E-6</v>
      </c>
      <c r="I708">
        <v>368.18860000000001</v>
      </c>
      <c r="J708">
        <v>-272.49400000000003</v>
      </c>
      <c r="K708">
        <v>1.1157809999999999</v>
      </c>
      <c r="L708">
        <v>368.10980000000001</v>
      </c>
      <c r="M708">
        <v>0.99995140000000005</v>
      </c>
      <c r="N708">
        <v>-9.7683149999999996E-3</v>
      </c>
      <c r="O708">
        <v>1.449367E-3</v>
      </c>
      <c r="P708">
        <v>0.97417900000000002</v>
      </c>
      <c r="Q708">
        <v>0.21757699999999999</v>
      </c>
      <c r="R708">
        <v>-6.0298980000000002E-2</v>
      </c>
      <c r="S708">
        <v>3.1011660000000001</v>
      </c>
      <c r="T708">
        <v>-9.4024179999999999E-2</v>
      </c>
      <c r="U708">
        <v>6.6528319999999896E-3</v>
      </c>
      <c r="V708">
        <v>6.1977129999999998E-2</v>
      </c>
      <c r="W708">
        <v>0.2270093</v>
      </c>
      <c r="X708">
        <v>0.97191850000000002</v>
      </c>
      <c r="Y708">
        <v>-6.9571089999999997E-4</v>
      </c>
      <c r="Z708" s="1">
        <v>-1.5833900000000001E-5</v>
      </c>
      <c r="AA708">
        <v>0.99999979999999999</v>
      </c>
      <c r="AB708">
        <v>36</v>
      </c>
      <c r="AC708">
        <v>36.610300000000002</v>
      </c>
      <c r="AD708">
        <v>-1.1157830014600001</v>
      </c>
      <c r="AE708">
        <v>7.8800000000000994E-2</v>
      </c>
      <c r="AF708">
        <v>-2.5711750707830099E-2</v>
      </c>
      <c r="AG708">
        <v>-1.1157830014600001</v>
      </c>
      <c r="AH708">
        <v>36.576401353193702</v>
      </c>
      <c r="AI708">
        <v>91.747296590925203</v>
      </c>
      <c r="AJ708">
        <v>90.040276640191195</v>
      </c>
      <c r="AK708">
        <v>36.593425212056701</v>
      </c>
      <c r="AL708">
        <v>76.878939298968604</v>
      </c>
      <c r="AM708">
        <v>86.351312933391199</v>
      </c>
      <c r="AN708">
        <v>0.99999997878588798</v>
      </c>
    </row>
    <row r="709" spans="1:40" x14ac:dyDescent="0.25">
      <c r="A709" t="str">
        <f>"20190303170953954"</f>
        <v>20190303170953954</v>
      </c>
      <c r="B709" t="str">
        <f>"1551604193941313"</f>
        <v>1551604193941313</v>
      </c>
      <c r="C709" t="s">
        <v>40</v>
      </c>
      <c r="D709">
        <v>4.6751360000000002</v>
      </c>
      <c r="E709">
        <v>0.47992449999999998</v>
      </c>
      <c r="F709" t="s">
        <v>42</v>
      </c>
      <c r="G709">
        <v>-236.3143</v>
      </c>
      <c r="H709" s="1">
        <v>-1.807875E-6</v>
      </c>
      <c r="I709">
        <v>368.23860000000002</v>
      </c>
      <c r="J709">
        <v>-272.29680000000002</v>
      </c>
      <c r="K709">
        <v>1.1162160000000001</v>
      </c>
      <c r="L709">
        <v>368.10980000000001</v>
      </c>
      <c r="M709">
        <v>0.99995020000000001</v>
      </c>
      <c r="N709">
        <v>-9.9111800000000003E-3</v>
      </c>
      <c r="O709">
        <v>1.1512580000000001E-3</v>
      </c>
      <c r="P709">
        <v>0.97414140000000005</v>
      </c>
      <c r="Q709">
        <v>0.2175935</v>
      </c>
      <c r="R709">
        <v>-6.0842569999999999E-2</v>
      </c>
      <c r="S709">
        <v>3.1015630000000001</v>
      </c>
      <c r="T709">
        <v>-9.565187E-2</v>
      </c>
      <c r="U709">
        <v>1.1047360000000001E-2</v>
      </c>
      <c r="V709">
        <v>6.2236220000000002E-2</v>
      </c>
      <c r="W709">
        <v>0.22716249999999999</v>
      </c>
      <c r="X709">
        <v>0.97186620000000001</v>
      </c>
      <c r="Y709">
        <v>-2.409277E-3</v>
      </c>
      <c r="Z709" s="1">
        <v>2.4998079999999999E-5</v>
      </c>
      <c r="AA709">
        <v>0.99999709999999997</v>
      </c>
      <c r="AB709">
        <v>36</v>
      </c>
      <c r="AC709">
        <v>35.982500000000002</v>
      </c>
      <c r="AD709">
        <v>-1.11621780787499</v>
      </c>
      <c r="AE709">
        <v>0.12880000000001199</v>
      </c>
      <c r="AF709">
        <v>-8.7288740237593004E-2</v>
      </c>
      <c r="AG709">
        <v>-1.11621780787499</v>
      </c>
      <c r="AH709">
        <v>35.948031716225699</v>
      </c>
      <c r="AI709">
        <v>91.778507356362596</v>
      </c>
      <c r="AJ709">
        <v>90.139124907443303</v>
      </c>
      <c r="AK709">
        <v>35.965463236131903</v>
      </c>
      <c r="AL709">
        <v>76.8699267925019</v>
      </c>
      <c r="AM709">
        <v>86.335904744622894</v>
      </c>
      <c r="AN709">
        <v>1.0000000295942799</v>
      </c>
    </row>
    <row r="710" spans="1:40" x14ac:dyDescent="0.25">
      <c r="A710" t="str">
        <f>"20190303170953967"</f>
        <v>20190303170953967</v>
      </c>
      <c r="B710" t="str">
        <f>"1551604193960832"</f>
        <v>1551604193960832</v>
      </c>
      <c r="C710" t="s">
        <v>40</v>
      </c>
      <c r="D710">
        <v>4.645537</v>
      </c>
      <c r="E710">
        <v>0.47899589999999997</v>
      </c>
      <c r="F710" t="s">
        <v>42</v>
      </c>
      <c r="G710">
        <v>-236.00309999999999</v>
      </c>
      <c r="H710" s="1">
        <v>-1.9336899999999999E-6</v>
      </c>
      <c r="I710">
        <v>368.28190000000001</v>
      </c>
      <c r="J710">
        <v>-272.09059999999999</v>
      </c>
      <c r="K710">
        <v>1.1166210000000001</v>
      </c>
      <c r="L710">
        <v>368.10980000000001</v>
      </c>
      <c r="M710">
        <v>0.99994919999999998</v>
      </c>
      <c r="N710">
        <v>-1.004793E-2</v>
      </c>
      <c r="O710">
        <v>8.3271609999999998E-4</v>
      </c>
      <c r="P710">
        <v>0.97413740000000004</v>
      </c>
      <c r="Q710">
        <v>0.21740209999999999</v>
      </c>
      <c r="R710">
        <v>-6.1586179999999997E-2</v>
      </c>
      <c r="S710">
        <v>3.1018680000000001</v>
      </c>
      <c r="T710">
        <v>-9.539831E-2</v>
      </c>
      <c r="U710">
        <v>1.4709470000000001E-2</v>
      </c>
      <c r="V710">
        <v>6.2675480000000006E-2</v>
      </c>
      <c r="W710">
        <v>0.2271021</v>
      </c>
      <c r="X710">
        <v>0.9718521</v>
      </c>
      <c r="Y710">
        <v>-3.9070579999999997E-3</v>
      </c>
      <c r="Z710" s="1">
        <v>6.2464019999999897E-5</v>
      </c>
      <c r="AA710">
        <v>0.9999924</v>
      </c>
      <c r="AB710">
        <v>36</v>
      </c>
      <c r="AC710">
        <v>36.087499999999999</v>
      </c>
      <c r="AD710">
        <v>-1.11662293368999</v>
      </c>
      <c r="AE710">
        <v>0.1721</v>
      </c>
      <c r="AF710">
        <v>-0.14191191655913901</v>
      </c>
      <c r="AG710">
        <v>-1.11662293368999</v>
      </c>
      <c r="AH710">
        <v>36.053113855973599</v>
      </c>
      <c r="AI710">
        <v>91.773961649831804</v>
      </c>
      <c r="AJ710">
        <v>90.225525926047794</v>
      </c>
      <c r="AK710">
        <v>36.070680676692298</v>
      </c>
      <c r="AL710">
        <v>76.873480498161896</v>
      </c>
      <c r="AM710">
        <v>86.310061560860603</v>
      </c>
      <c r="AN710">
        <v>1.00000004194602</v>
      </c>
    </row>
    <row r="711" spans="1:40" x14ac:dyDescent="0.25">
      <c r="A711" t="str">
        <f>"20190303170953982"</f>
        <v>20190303170953982</v>
      </c>
      <c r="B711" t="str">
        <f>"1551604193971568"</f>
        <v>1551604193971568</v>
      </c>
      <c r="C711" t="s">
        <v>40</v>
      </c>
      <c r="D711">
        <v>4.6143869999999998</v>
      </c>
      <c r="E711">
        <v>0.47865469999999999</v>
      </c>
      <c r="F711" t="s">
        <v>42</v>
      </c>
      <c r="G711">
        <v>-236.2277</v>
      </c>
      <c r="H711" s="1">
        <v>-1.8260819999999999E-6</v>
      </c>
      <c r="I711">
        <v>368.34539999999998</v>
      </c>
      <c r="J711">
        <v>-271.85320000000002</v>
      </c>
      <c r="K711">
        <v>1.117054</v>
      </c>
      <c r="L711">
        <v>368.1096</v>
      </c>
      <c r="M711">
        <v>0.99994799999999995</v>
      </c>
      <c r="N711">
        <v>-1.0196439999999999E-2</v>
      </c>
      <c r="O711">
        <v>4.6114829999999998E-4</v>
      </c>
      <c r="P711">
        <v>0.97410459999999999</v>
      </c>
      <c r="Q711">
        <v>0.21732109999999999</v>
      </c>
      <c r="R711">
        <v>-6.2384910000000002E-2</v>
      </c>
      <c r="S711">
        <v>3.102509</v>
      </c>
      <c r="T711">
        <v>-9.6599099999999993E-2</v>
      </c>
      <c r="U711">
        <v>2.0385739999999999E-2</v>
      </c>
      <c r="V711">
        <v>6.3119239999999993E-2</v>
      </c>
      <c r="W711">
        <v>0.227163</v>
      </c>
      <c r="X711">
        <v>0.97180909999999998</v>
      </c>
      <c r="Y711">
        <v>-6.1055989999999997E-3</v>
      </c>
      <c r="Z711">
        <v>1.16513E-4</v>
      </c>
      <c r="AA711">
        <v>0.99998129999999996</v>
      </c>
      <c r="AB711">
        <v>36</v>
      </c>
      <c r="AC711">
        <v>35.625500000000002</v>
      </c>
      <c r="AD711">
        <v>-1.117055826082</v>
      </c>
      <c r="AE711">
        <v>0.235799999999983</v>
      </c>
      <c r="AF711">
        <v>-0.21915502676453799</v>
      </c>
      <c r="AG711">
        <v>-1.117055826082</v>
      </c>
      <c r="AH711">
        <v>35.590614928374201</v>
      </c>
      <c r="AI711">
        <v>91.797675270792496</v>
      </c>
      <c r="AJ711">
        <v>90.3528036652</v>
      </c>
      <c r="AK711">
        <v>35.608815111207399</v>
      </c>
      <c r="AL711">
        <v>76.869896939072603</v>
      </c>
      <c r="AM711">
        <v>86.283844743145195</v>
      </c>
      <c r="AN711">
        <v>0.99999999693499297</v>
      </c>
    </row>
    <row r="712" spans="1:40" x14ac:dyDescent="0.25">
      <c r="A712" t="str">
        <f>"20190303170954008"</f>
        <v>20190303170954008</v>
      </c>
      <c r="B712" t="str">
        <f>"1551604194000850"</f>
        <v>1551604194000850</v>
      </c>
      <c r="C712" t="s">
        <v>40</v>
      </c>
      <c r="D712">
        <v>4.6218579999999996</v>
      </c>
      <c r="E712">
        <v>0.4779736</v>
      </c>
      <c r="F712" t="s">
        <v>42</v>
      </c>
      <c r="G712">
        <v>-236.0454</v>
      </c>
      <c r="H712" s="1">
        <v>-1.90266E-6</v>
      </c>
      <c r="I712">
        <v>368.3546</v>
      </c>
      <c r="J712">
        <v>-271.42520000000002</v>
      </c>
      <c r="K712">
        <v>1.117707</v>
      </c>
      <c r="L712">
        <v>368.10910000000001</v>
      </c>
      <c r="M712">
        <v>0.99994559999999999</v>
      </c>
      <c r="N712">
        <v>-1.0435669999999999E-2</v>
      </c>
      <c r="O712">
        <v>-2.2493019999999999E-4</v>
      </c>
      <c r="P712">
        <v>0.97409769999999896</v>
      </c>
      <c r="Q712">
        <v>0.21684139999999999</v>
      </c>
      <c r="R712">
        <v>-6.4139920000000003E-2</v>
      </c>
      <c r="S712">
        <v>3.102722</v>
      </c>
      <c r="T712">
        <v>-9.6791740000000001E-2</v>
      </c>
      <c r="U712">
        <v>2.1240229999999999E-2</v>
      </c>
      <c r="V712">
        <v>6.4216029999999993E-2</v>
      </c>
      <c r="W712">
        <v>0.22691169999999999</v>
      </c>
      <c r="X712">
        <v>0.97179599999999999</v>
      </c>
      <c r="Y712">
        <v>-7.0658190000000001E-3</v>
      </c>
      <c r="Z712">
        <v>1.5173350000000001E-4</v>
      </c>
      <c r="AA712">
        <v>0.99997499999999995</v>
      </c>
      <c r="AB712">
        <v>36</v>
      </c>
      <c r="AC712">
        <v>35.379800000000003</v>
      </c>
      <c r="AD712">
        <v>-1.11770890266</v>
      </c>
      <c r="AE712">
        <v>0.245499999999992</v>
      </c>
      <c r="AF712">
        <v>-0.25320571549197401</v>
      </c>
      <c r="AG712">
        <v>-1.11770890266</v>
      </c>
      <c r="AH712">
        <v>35.344470488117899</v>
      </c>
      <c r="AI712">
        <v>91.811231736008097</v>
      </c>
      <c r="AJ712">
        <v>90.410456585333606</v>
      </c>
      <c r="AK712">
        <v>35.363045406340198</v>
      </c>
      <c r="AL712">
        <v>76.884682050254398</v>
      </c>
      <c r="AM712">
        <v>86.219405913378296</v>
      </c>
      <c r="AN712">
        <v>1.0000000418609201</v>
      </c>
    </row>
    <row r="713" spans="1:40" x14ac:dyDescent="0.25">
      <c r="A713" t="str">
        <f>"20190303170954020"</f>
        <v>20190303170954020</v>
      </c>
      <c r="B713" t="str">
        <f>"1551604194011584"</f>
        <v>1551604194011584</v>
      </c>
      <c r="C713" t="s">
        <v>40</v>
      </c>
      <c r="D713">
        <v>4.6276070000000002</v>
      </c>
      <c r="E713">
        <v>0.47771980000000003</v>
      </c>
      <c r="F713" t="s">
        <v>42</v>
      </c>
      <c r="G713">
        <v>-236.04429999999999</v>
      </c>
      <c r="H713" s="1">
        <v>-1.90326E-6</v>
      </c>
      <c r="I713">
        <v>368.35399999999998</v>
      </c>
      <c r="J713">
        <v>-271.21449999999999</v>
      </c>
      <c r="K713">
        <v>1.117985</v>
      </c>
      <c r="L713">
        <v>368.1087</v>
      </c>
      <c r="M713">
        <v>0.99994419999999995</v>
      </c>
      <c r="N713">
        <v>-1.0543530000000001E-2</v>
      </c>
      <c r="O713">
        <v>-5.6708559999999895E-4</v>
      </c>
      <c r="P713">
        <v>0.97413229999999995</v>
      </c>
      <c r="Q713">
        <v>0.21655079999999999</v>
      </c>
      <c r="R713">
        <v>-6.4591079999999995E-2</v>
      </c>
      <c r="S713">
        <v>3.1029659999999999</v>
      </c>
      <c r="T713">
        <v>-9.8024730000000004E-2</v>
      </c>
      <c r="U713">
        <v>2.1484380000000001E-2</v>
      </c>
      <c r="V713">
        <v>6.433796E-2</v>
      </c>
      <c r="W713">
        <v>0.22672500000000001</v>
      </c>
      <c r="X713">
        <v>0.97183140000000001</v>
      </c>
      <c r="Y713">
        <v>-7.4856489999999996E-3</v>
      </c>
      <c r="Z713">
        <v>1.6961639999999901E-4</v>
      </c>
      <c r="AA713">
        <v>0.99997199999999997</v>
      </c>
      <c r="AB713">
        <v>36</v>
      </c>
      <c r="AC713">
        <v>35.170199999999902</v>
      </c>
      <c r="AD713">
        <v>-1.1179869032600001</v>
      </c>
      <c r="AE713">
        <v>0.24530000000004201</v>
      </c>
      <c r="AF713">
        <v>-0.26497784493759902</v>
      </c>
      <c r="AG713">
        <v>-1.1179869032600001</v>
      </c>
      <c r="AH713">
        <v>35.134554516942501</v>
      </c>
      <c r="AI713">
        <v>91.822493723683607</v>
      </c>
      <c r="AJ713">
        <v>90.432105218105306</v>
      </c>
      <c r="AK713">
        <v>35.153335959453003</v>
      </c>
      <c r="AL713">
        <v>76.895663997172704</v>
      </c>
      <c r="AM713">
        <v>86.212385969465601</v>
      </c>
      <c r="AN713">
        <v>0.99999993437395795</v>
      </c>
    </row>
    <row r="714" spans="1:40" x14ac:dyDescent="0.25">
      <c r="A714" t="str">
        <f>"20190303170954032"</f>
        <v>20190303170954032</v>
      </c>
      <c r="B714" t="str">
        <f>"1551604194021345"</f>
        <v>1551604194021345</v>
      </c>
      <c r="C714" t="s">
        <v>40</v>
      </c>
      <c r="D714">
        <v>4.6179819999999996</v>
      </c>
      <c r="E714">
        <v>0.4774718</v>
      </c>
      <c r="F714" t="s">
        <v>42</v>
      </c>
      <c r="G714">
        <v>-236.24109999999999</v>
      </c>
      <c r="H714" s="1">
        <v>-1.818168E-6</v>
      </c>
      <c r="I714">
        <v>368.35770000000002</v>
      </c>
      <c r="J714">
        <v>-271.01859999999999</v>
      </c>
      <c r="K714">
        <v>1.118215</v>
      </c>
      <c r="L714">
        <v>368.10829999999999</v>
      </c>
      <c r="M714">
        <v>0.99994309999999997</v>
      </c>
      <c r="N714">
        <v>-1.063773E-2</v>
      </c>
      <c r="O714">
        <v>-8.8804809999999896E-4</v>
      </c>
      <c r="P714">
        <v>0.97413919999999998</v>
      </c>
      <c r="Q714">
        <v>0.21629090000000001</v>
      </c>
      <c r="R714">
        <v>-6.5357490000000004E-2</v>
      </c>
      <c r="S714">
        <v>3.10318</v>
      </c>
      <c r="T714">
        <v>-9.9198220000000004E-2</v>
      </c>
      <c r="U714">
        <v>2.209473E-2</v>
      </c>
      <c r="V714">
        <v>6.4795080000000005E-2</v>
      </c>
      <c r="W714">
        <v>0.22655549999999999</v>
      </c>
      <c r="X714">
        <v>0.97184060000000005</v>
      </c>
      <c r="Y714">
        <v>-8.0022700000000006E-3</v>
      </c>
      <c r="Z714">
        <v>1.8938270000000001E-4</v>
      </c>
      <c r="AA714">
        <v>0.99996799999999997</v>
      </c>
      <c r="AB714">
        <v>36</v>
      </c>
      <c r="AC714">
        <v>34.777500000000003</v>
      </c>
      <c r="AD714">
        <v>-1.1182168181679999</v>
      </c>
      <c r="AE714">
        <v>0.24940000000003601</v>
      </c>
      <c r="AF714">
        <v>-0.27999628187312797</v>
      </c>
      <c r="AG714">
        <v>-1.1182168181679999</v>
      </c>
      <c r="AH714">
        <v>34.741349479189601</v>
      </c>
      <c r="AI714">
        <v>91.843478024874997</v>
      </c>
      <c r="AJ714">
        <v>90.461762658523995</v>
      </c>
      <c r="AK714">
        <v>34.760468500949301</v>
      </c>
      <c r="AL714">
        <v>76.905635628313505</v>
      </c>
      <c r="AM714">
        <v>86.1855902126036</v>
      </c>
      <c r="AN714">
        <v>0.999999974390408</v>
      </c>
    </row>
    <row r="715" spans="1:40" x14ac:dyDescent="0.25">
      <c r="A715" t="str">
        <f>"20190303170954043"</f>
        <v>20190303170954043</v>
      </c>
      <c r="B715" t="str">
        <f>"1551604194031104"</f>
        <v>1551604194031104</v>
      </c>
      <c r="C715" t="s">
        <v>40</v>
      </c>
      <c r="D715">
        <v>4.6045809999999996</v>
      </c>
      <c r="E715">
        <v>0.47730359999999999</v>
      </c>
      <c r="F715" t="s">
        <v>42</v>
      </c>
      <c r="G715">
        <v>-236.28890000000001</v>
      </c>
      <c r="H715" s="1">
        <v>-1.798521E-6</v>
      </c>
      <c r="I715">
        <v>368.3528</v>
      </c>
      <c r="J715">
        <v>-270.84089999999998</v>
      </c>
      <c r="K715">
        <v>1.1183970000000001</v>
      </c>
      <c r="L715">
        <v>368.10789999999997</v>
      </c>
      <c r="M715">
        <v>0.99994209999999994</v>
      </c>
      <c r="N715">
        <v>-1.071746E-2</v>
      </c>
      <c r="O715">
        <v>-1.1806539999999999E-3</v>
      </c>
      <c r="P715">
        <v>0.9741611</v>
      </c>
      <c r="Q715">
        <v>0.21601419999999999</v>
      </c>
      <c r="R715">
        <v>-6.5942299999999995E-2</v>
      </c>
      <c r="S715">
        <v>3.1032709999999999</v>
      </c>
      <c r="T715">
        <v>-9.9917889999999995E-2</v>
      </c>
      <c r="U715">
        <v>2.185059E-2</v>
      </c>
      <c r="V715">
        <v>6.5097180000000004E-2</v>
      </c>
      <c r="W715">
        <v>0.2263558</v>
      </c>
      <c r="X715">
        <v>0.97186700000000004</v>
      </c>
      <c r="Y715">
        <v>-8.2157110000000005E-3</v>
      </c>
      <c r="Z715">
        <v>2.0162230000000001E-4</v>
      </c>
      <c r="AA715">
        <v>0.99996620000000003</v>
      </c>
      <c r="AB715">
        <v>36</v>
      </c>
      <c r="AC715">
        <v>34.5519999999999</v>
      </c>
      <c r="AD715">
        <v>-1.11839879852099</v>
      </c>
      <c r="AE715">
        <v>0.24490000000002901</v>
      </c>
      <c r="AF715">
        <v>-0.28539711750619201</v>
      </c>
      <c r="AG715">
        <v>-1.11839879852099</v>
      </c>
      <c r="AH715">
        <v>34.515525819530602</v>
      </c>
      <c r="AI715">
        <v>91.855829480852194</v>
      </c>
      <c r="AJ715">
        <v>90.473748473423697</v>
      </c>
      <c r="AK715">
        <v>34.534819964579199</v>
      </c>
      <c r="AL715">
        <v>76.917383487817403</v>
      </c>
      <c r="AM715">
        <v>86.167962597180093</v>
      </c>
      <c r="AN715">
        <v>1.0000000283632899</v>
      </c>
    </row>
    <row r="716" spans="1:40" x14ac:dyDescent="0.25">
      <c r="A716" t="str">
        <f>"20190303170954054"</f>
        <v>20190303170954054</v>
      </c>
      <c r="B716" t="str">
        <f>"1551604194051601"</f>
        <v>1551604194051601</v>
      </c>
      <c r="C716" t="s">
        <v>40</v>
      </c>
      <c r="D716">
        <v>4.6163040000000004</v>
      </c>
      <c r="E716">
        <v>0.47700989999999999</v>
      </c>
      <c r="F716" t="s">
        <v>42</v>
      </c>
      <c r="G716">
        <v>-236.42789999999999</v>
      </c>
      <c r="H716" s="1">
        <v>-1.7392020000000001E-6</v>
      </c>
      <c r="I716">
        <v>368.35109999999997</v>
      </c>
      <c r="J716">
        <v>-270.66219999999998</v>
      </c>
      <c r="K716">
        <v>1.1185769999999999</v>
      </c>
      <c r="L716">
        <v>368.10739999999998</v>
      </c>
      <c r="M716">
        <v>0.99994070000000002</v>
      </c>
      <c r="N716">
        <v>-1.079509E-2</v>
      </c>
      <c r="O716">
        <v>-1.4757479999999901E-3</v>
      </c>
      <c r="P716">
        <v>0.97409869999999998</v>
      </c>
      <c r="Q716">
        <v>0.21606919999999999</v>
      </c>
      <c r="R716">
        <v>-6.6677139999999996E-2</v>
      </c>
      <c r="S716">
        <v>3.1034549999999999</v>
      </c>
      <c r="T716">
        <v>-0.10085959999999999</v>
      </c>
      <c r="U716">
        <v>2.1942139999999999E-2</v>
      </c>
      <c r="V716">
        <v>6.5547350000000004E-2</v>
      </c>
      <c r="W716">
        <v>0.2264844</v>
      </c>
      <c r="X716">
        <v>0.97180679999999997</v>
      </c>
      <c r="Y716">
        <v>-8.5394890000000008E-3</v>
      </c>
      <c r="Z716">
        <v>2.1685420000000001E-4</v>
      </c>
      <c r="AA716">
        <v>0.99996350000000001</v>
      </c>
      <c r="AB716">
        <v>36</v>
      </c>
      <c r="AC716">
        <v>34.234299999999898</v>
      </c>
      <c r="AD716">
        <v>-1.1185787392019999</v>
      </c>
      <c r="AE716">
        <v>0.24369999999998901</v>
      </c>
      <c r="AF716">
        <v>-0.29391011168957598</v>
      </c>
      <c r="AG716">
        <v>-1.1185787392019999</v>
      </c>
      <c r="AH716">
        <v>34.197395628217699</v>
      </c>
      <c r="AI716">
        <v>91.873377582011599</v>
      </c>
      <c r="AJ716">
        <v>90.492417449832203</v>
      </c>
      <c r="AK716">
        <v>34.2169471066954</v>
      </c>
      <c r="AL716">
        <v>76.909819049093898</v>
      </c>
      <c r="AM716">
        <v>86.141304181543404</v>
      </c>
      <c r="AN716">
        <v>1.00000004753081</v>
      </c>
    </row>
    <row r="717" spans="1:40" x14ac:dyDescent="0.25">
      <c r="A717" t="str">
        <f>"20190303170954067"</f>
        <v>20190303170954067</v>
      </c>
      <c r="B717" t="str">
        <f>"1551604194061360"</f>
        <v>1551604194061360</v>
      </c>
      <c r="C717" t="s">
        <v>40</v>
      </c>
      <c r="D717">
        <v>4.6031259999999996</v>
      </c>
      <c r="E717">
        <v>0.47680080000000002</v>
      </c>
      <c r="F717" t="s">
        <v>42</v>
      </c>
      <c r="G717">
        <v>-236.05779999999999</v>
      </c>
      <c r="H717" s="1">
        <v>-1.8979300000000001E-6</v>
      </c>
      <c r="I717">
        <v>368.35129999999998</v>
      </c>
      <c r="J717">
        <v>-270.45760000000001</v>
      </c>
      <c r="K717">
        <v>1.118757</v>
      </c>
      <c r="L717">
        <v>368.10680000000002</v>
      </c>
      <c r="M717">
        <v>0.99993909999999997</v>
      </c>
      <c r="N717">
        <v>-1.0876129999999999E-2</v>
      </c>
      <c r="O717">
        <v>-1.814137E-3</v>
      </c>
      <c r="P717">
        <v>0.97404950000000001</v>
      </c>
      <c r="Q717">
        <v>0.2160513</v>
      </c>
      <c r="R717">
        <v>-6.7449469999999997E-2</v>
      </c>
      <c r="S717">
        <v>3.1035159999999999</v>
      </c>
      <c r="T717">
        <v>-0.10032000000000001</v>
      </c>
      <c r="U717">
        <v>2.1881100000000001E-2</v>
      </c>
      <c r="V717">
        <v>6.5992770000000006E-2</v>
      </c>
      <c r="W717">
        <v>0.22654340000000001</v>
      </c>
      <c r="X717">
        <v>0.97176280000000004</v>
      </c>
      <c r="Y717">
        <v>-8.8578359999999991E-3</v>
      </c>
      <c r="Z717">
        <v>2.3021000000000001E-4</v>
      </c>
      <c r="AA717">
        <v>0.99996070000000004</v>
      </c>
      <c r="AB717">
        <v>36</v>
      </c>
      <c r="AC717">
        <v>34.399799999999999</v>
      </c>
      <c r="AD717">
        <v>-1.1187588979300001</v>
      </c>
      <c r="AE717">
        <v>0.244499999999959</v>
      </c>
      <c r="AF717">
        <v>-0.30658498806732198</v>
      </c>
      <c r="AG717">
        <v>-1.1187588979300001</v>
      </c>
      <c r="AH717">
        <v>34.362956053082101</v>
      </c>
      <c r="AI717">
        <v>91.864652769103003</v>
      </c>
      <c r="AJ717">
        <v>90.511177204312602</v>
      </c>
      <c r="AK717">
        <v>34.382529932113201</v>
      </c>
      <c r="AL717">
        <v>76.906347070498697</v>
      </c>
      <c r="AM717">
        <v>86.114987487077002</v>
      </c>
      <c r="AN717">
        <v>0.99999994861983499</v>
      </c>
    </row>
    <row r="718" spans="1:40" x14ac:dyDescent="0.25">
      <c r="A718" t="str">
        <f>"20190303170954079"</f>
        <v>20190303170954079</v>
      </c>
      <c r="B718" t="str">
        <f>"1551604194071120"</f>
        <v>1551604194071120</v>
      </c>
      <c r="C718" t="s">
        <v>40</v>
      </c>
      <c r="D718">
        <v>4.6051890000000002</v>
      </c>
      <c r="E718">
        <v>0.4765373</v>
      </c>
      <c r="F718" t="s">
        <v>42</v>
      </c>
      <c r="G718">
        <v>-235.73269999999999</v>
      </c>
      <c r="H718" s="1">
        <v>-2.0385009999999999E-6</v>
      </c>
      <c r="I718">
        <v>368.3451</v>
      </c>
      <c r="J718">
        <v>-270.27460000000002</v>
      </c>
      <c r="K718">
        <v>1.118911</v>
      </c>
      <c r="L718">
        <v>368.1062</v>
      </c>
      <c r="M718">
        <v>0.99993799999999999</v>
      </c>
      <c r="N718">
        <v>-1.094617E-2</v>
      </c>
      <c r="O718">
        <v>-2.1172869999999998E-3</v>
      </c>
      <c r="P718">
        <v>0.97404389999999996</v>
      </c>
      <c r="Q718">
        <v>0.21599960000000001</v>
      </c>
      <c r="R718">
        <v>-6.7700029999999994E-2</v>
      </c>
      <c r="S718">
        <v>3.103577</v>
      </c>
      <c r="T718">
        <v>-9.9989889999999998E-2</v>
      </c>
      <c r="U718">
        <v>2.1301270000000001E-2</v>
      </c>
      <c r="V718">
        <v>6.5949859999999999E-2</v>
      </c>
      <c r="W718">
        <v>0.2265597</v>
      </c>
      <c r="X718">
        <v>0.97176189999999996</v>
      </c>
      <c r="Y718">
        <v>-8.9739269999999996E-3</v>
      </c>
      <c r="Z718">
        <v>2.3867730000000001E-4</v>
      </c>
      <c r="AA718">
        <v>0.99995970000000001</v>
      </c>
      <c r="AB718">
        <v>36</v>
      </c>
      <c r="AC718">
        <v>34.541899999999998</v>
      </c>
      <c r="AD718">
        <v>-1.118913038501</v>
      </c>
      <c r="AE718">
        <v>0.238900000000001</v>
      </c>
      <c r="AF718">
        <v>-0.31171188692403801</v>
      </c>
      <c r="AG718">
        <v>-1.118913038501</v>
      </c>
      <c r="AH718">
        <v>34.505112188188903</v>
      </c>
      <c r="AI718">
        <v>91.857229864099693</v>
      </c>
      <c r="AJ718">
        <v>90.517583876549097</v>
      </c>
      <c r="AK718">
        <v>34.524656374939902</v>
      </c>
      <c r="AL718">
        <v>76.905388050035796</v>
      </c>
      <c r="AM718">
        <v>86.117502297534202</v>
      </c>
      <c r="AN718">
        <v>0.99999993599485704</v>
      </c>
    </row>
    <row r="719" spans="1:40" x14ac:dyDescent="0.25">
      <c r="A719" t="str">
        <f>"20190303170954090"</f>
        <v>20190303170954090</v>
      </c>
      <c r="B719" t="str">
        <f>"1551604194080880"</f>
        <v>1551604194080880</v>
      </c>
      <c r="C719" t="s">
        <v>40</v>
      </c>
      <c r="D719">
        <v>4.6183120000000004</v>
      </c>
      <c r="E719">
        <v>0.47637960000000001</v>
      </c>
      <c r="F719" t="s">
        <v>42</v>
      </c>
      <c r="G719">
        <v>-235.24100000000001</v>
      </c>
      <c r="H719" s="1">
        <v>-2.2466039999999999E-6</v>
      </c>
      <c r="I719">
        <v>368.36110000000002</v>
      </c>
      <c r="J719">
        <v>-270.07819999999998</v>
      </c>
      <c r="K719">
        <v>1.119054</v>
      </c>
      <c r="L719">
        <v>368.10550000000001</v>
      </c>
      <c r="M719">
        <v>0.9999363</v>
      </c>
      <c r="N719">
        <v>-1.101563E-2</v>
      </c>
      <c r="O719">
        <v>-2.4420100000000001E-3</v>
      </c>
      <c r="P719">
        <v>0.97403379999999995</v>
      </c>
      <c r="Q719">
        <v>0.21591260000000001</v>
      </c>
      <c r="R719">
        <v>-6.8117730000000001E-2</v>
      </c>
      <c r="S719">
        <v>3.103485</v>
      </c>
      <c r="T719">
        <v>-9.9119659999999998E-2</v>
      </c>
      <c r="U719">
        <v>2.2583010000000001E-2</v>
      </c>
      <c r="V719">
        <v>6.6053349999999997E-2</v>
      </c>
      <c r="W719">
        <v>0.2265393</v>
      </c>
      <c r="X719">
        <v>0.9717597</v>
      </c>
      <c r="Y719">
        <v>-9.7113459999999992E-3</v>
      </c>
      <c r="Z719">
        <v>2.5962510000000002E-4</v>
      </c>
      <c r="AA719">
        <v>0.99995279999999998</v>
      </c>
      <c r="AB719">
        <v>36</v>
      </c>
      <c r="AC719">
        <v>34.837200000000003</v>
      </c>
      <c r="AD719">
        <v>-1.1190562466039999</v>
      </c>
      <c r="AE719">
        <v>0.25560000000001498</v>
      </c>
      <c r="AF719">
        <v>-0.34032604716738102</v>
      </c>
      <c r="AG719">
        <v>-1.1190562466039999</v>
      </c>
      <c r="AH719">
        <v>34.800564802953303</v>
      </c>
      <c r="AI719">
        <v>91.841695727672999</v>
      </c>
      <c r="AJ719">
        <v>90.560296210774993</v>
      </c>
      <c r="AK719">
        <v>34.820215670009802</v>
      </c>
      <c r="AL719">
        <v>76.906589031812103</v>
      </c>
      <c r="AM719">
        <v>86.111419695287694</v>
      </c>
      <c r="AN719">
        <v>1.0000000070174</v>
      </c>
    </row>
    <row r="720" spans="1:40" x14ac:dyDescent="0.25">
      <c r="A720" t="str">
        <f>"20190303170954107"</f>
        <v>20190303170954107</v>
      </c>
      <c r="B720" t="str">
        <f>"1551604194101377"</f>
        <v>1551604194101377</v>
      </c>
      <c r="C720" t="s">
        <v>40</v>
      </c>
      <c r="D720">
        <v>4.6102449999999999</v>
      </c>
      <c r="E720">
        <v>0.47597329999999999</v>
      </c>
      <c r="F720" t="s">
        <v>42</v>
      </c>
      <c r="G720">
        <v>-235.04910000000001</v>
      </c>
      <c r="H720" s="1">
        <v>-2.3287249999999999E-6</v>
      </c>
      <c r="I720">
        <v>368.36200000000002</v>
      </c>
      <c r="J720">
        <v>-269.83049999999997</v>
      </c>
      <c r="K720">
        <v>1.1192150000000001</v>
      </c>
      <c r="L720">
        <v>368.10449999999997</v>
      </c>
      <c r="M720">
        <v>0.99993449999999995</v>
      </c>
      <c r="N720">
        <v>-1.1097630000000001E-2</v>
      </c>
      <c r="O720">
        <v>-2.851695E-3</v>
      </c>
      <c r="P720">
        <v>0.97408070000000002</v>
      </c>
      <c r="Q720">
        <v>0.21567130000000001</v>
      </c>
      <c r="R720">
        <v>-6.821315E-2</v>
      </c>
      <c r="S720">
        <v>3.103577</v>
      </c>
      <c r="T720">
        <v>-9.9148269999999997E-2</v>
      </c>
      <c r="U720">
        <v>2.2735600000000002E-2</v>
      </c>
      <c r="V720">
        <v>6.5751480000000001E-2</v>
      </c>
      <c r="W720">
        <v>0.22637860000000001</v>
      </c>
      <c r="X720">
        <v>0.97181759999999995</v>
      </c>
      <c r="Y720">
        <v>-1.0169569999999999E-2</v>
      </c>
      <c r="Z720">
        <v>2.7828310000000003E-4</v>
      </c>
      <c r="AA720">
        <v>0.99994830000000001</v>
      </c>
      <c r="AB720">
        <v>36</v>
      </c>
      <c r="AC720">
        <v>34.781399999999898</v>
      </c>
      <c r="AD720">
        <v>-1.119217328725</v>
      </c>
      <c r="AE720">
        <v>0.25749999999999301</v>
      </c>
      <c r="AF720">
        <v>-0.35632205284957802</v>
      </c>
      <c r="AG720">
        <v>-1.119217328725</v>
      </c>
      <c r="AH720">
        <v>34.744549465784203</v>
      </c>
      <c r="AI720">
        <v>91.844919421819796</v>
      </c>
      <c r="AJ720">
        <v>90.587575156201794</v>
      </c>
      <c r="AK720">
        <v>34.7643974550774</v>
      </c>
      <c r="AL720">
        <v>76.916041788420003</v>
      </c>
      <c r="AM720">
        <v>86.129366644230402</v>
      </c>
      <c r="AN720">
        <v>0.99999998766495501</v>
      </c>
    </row>
    <row r="721" spans="1:40" x14ac:dyDescent="0.25">
      <c r="A721" t="str">
        <f>"20190303170954118"</f>
        <v>20190303170954118</v>
      </c>
      <c r="B721" t="str">
        <f>"1551604194111136"</f>
        <v>1551604194111136</v>
      </c>
      <c r="C721" t="s">
        <v>40</v>
      </c>
      <c r="D721">
        <v>4.6028969999999996</v>
      </c>
      <c r="E721">
        <v>0.47587669999999999</v>
      </c>
      <c r="F721" t="s">
        <v>42</v>
      </c>
      <c r="G721">
        <v>-234.62970000000001</v>
      </c>
      <c r="H721" s="1">
        <v>-2.503338E-6</v>
      </c>
      <c r="I721">
        <v>368.39210000000003</v>
      </c>
      <c r="J721">
        <v>-269.63150000000002</v>
      </c>
      <c r="K721">
        <v>1.1193340000000001</v>
      </c>
      <c r="L721">
        <v>368.10359999999997</v>
      </c>
      <c r="M721">
        <v>0.99993279999999995</v>
      </c>
      <c r="N721">
        <v>-1.115936E-2</v>
      </c>
      <c r="O721">
        <v>-3.180773E-3</v>
      </c>
      <c r="P721">
        <v>0.97411859999999995</v>
      </c>
      <c r="Q721">
        <v>0.2154886</v>
      </c>
      <c r="R721">
        <v>-6.8248299999999998E-2</v>
      </c>
      <c r="S721">
        <v>3.1034549999999999</v>
      </c>
      <c r="T721">
        <v>-9.8674769999999995E-2</v>
      </c>
      <c r="U721">
        <v>2.5360110000000002E-2</v>
      </c>
      <c r="V721">
        <v>6.5467250000000005E-2</v>
      </c>
      <c r="W721">
        <v>0.22625690000000001</v>
      </c>
      <c r="X721">
        <v>0.97186510000000004</v>
      </c>
      <c r="Y721">
        <v>-1.13437E-2</v>
      </c>
      <c r="Z721">
        <v>3.0922369999999999E-4</v>
      </c>
      <c r="AA721">
        <v>0.99993560000000004</v>
      </c>
      <c r="AB721">
        <v>36</v>
      </c>
      <c r="AC721">
        <v>35.001800000000003</v>
      </c>
      <c r="AD721">
        <v>-1.1193365033380001</v>
      </c>
      <c r="AE721">
        <v>0.28850000000005499</v>
      </c>
      <c r="AF721">
        <v>-0.39942977768507099</v>
      </c>
      <c r="AG721">
        <v>-1.1193365033380001</v>
      </c>
      <c r="AH721">
        <v>34.9649496128634</v>
      </c>
      <c r="AI721">
        <v>91.833469885524195</v>
      </c>
      <c r="AJ721">
        <v>90.654502445126695</v>
      </c>
      <c r="AK721">
        <v>34.985141986064399</v>
      </c>
      <c r="AL721">
        <v>76.923200046235905</v>
      </c>
      <c r="AM721">
        <v>86.146235851445795</v>
      </c>
      <c r="AN721">
        <v>0.99999995910909001</v>
      </c>
    </row>
    <row r="722" spans="1:40" x14ac:dyDescent="0.25">
      <c r="A722" t="str">
        <f>"20190303170954132"</f>
        <v>20190303170954132</v>
      </c>
      <c r="B722" t="str">
        <f>"1551604194120896"</f>
        <v>1551604194120896</v>
      </c>
      <c r="C722" t="s">
        <v>40</v>
      </c>
      <c r="D722">
        <v>4.5946300000000004</v>
      </c>
      <c r="E722">
        <v>0.4757671</v>
      </c>
      <c r="F722" t="s">
        <v>42</v>
      </c>
      <c r="G722">
        <v>-234.6028</v>
      </c>
      <c r="H722" s="1">
        <v>-2.5142899999999999E-6</v>
      </c>
      <c r="I722">
        <v>368.39530000000002</v>
      </c>
      <c r="J722">
        <v>-269.4033</v>
      </c>
      <c r="K722">
        <v>1.119451</v>
      </c>
      <c r="L722">
        <v>368.10250000000002</v>
      </c>
      <c r="M722">
        <v>0.99993089999999996</v>
      </c>
      <c r="N722">
        <v>-1.122164E-2</v>
      </c>
      <c r="O722">
        <v>-3.5575339999999998E-3</v>
      </c>
      <c r="P722">
        <v>0.97408050000000002</v>
      </c>
      <c r="Q722">
        <v>0.21554970000000001</v>
      </c>
      <c r="R722">
        <v>-6.8596690000000002E-2</v>
      </c>
      <c r="S722">
        <v>3.103485</v>
      </c>
      <c r="T722">
        <v>-9.9171280000000001E-2</v>
      </c>
      <c r="U722">
        <v>2.5848389999999999E-2</v>
      </c>
      <c r="V722">
        <v>6.5450270000000005E-2</v>
      </c>
      <c r="W722">
        <v>0.22637760000000001</v>
      </c>
      <c r="X722">
        <v>0.97183819999999999</v>
      </c>
      <c r="Y722">
        <v>-1.1877169999999999E-2</v>
      </c>
      <c r="Z722">
        <v>3.3011580000000002E-4</v>
      </c>
      <c r="AA722">
        <v>0.99992939999999997</v>
      </c>
      <c r="AB722">
        <v>36</v>
      </c>
      <c r="AC722">
        <v>34.8005</v>
      </c>
      <c r="AD722">
        <v>-1.11945351429</v>
      </c>
      <c r="AE722">
        <v>0.29279999999999901</v>
      </c>
      <c r="AF722">
        <v>-0.41617926405100297</v>
      </c>
      <c r="AG722">
        <v>-1.11945351429</v>
      </c>
      <c r="AH722">
        <v>34.763268821520697</v>
      </c>
      <c r="AI722">
        <v>91.844280353656501</v>
      </c>
      <c r="AJ722">
        <v>90.685901442911401</v>
      </c>
      <c r="AK722">
        <v>34.783778410457302</v>
      </c>
      <c r="AL722">
        <v>76.916101059187895</v>
      </c>
      <c r="AM722">
        <v>86.147126055855907</v>
      </c>
      <c r="AN722">
        <v>1.0000000213020299</v>
      </c>
    </row>
    <row r="723" spans="1:40" x14ac:dyDescent="0.25">
      <c r="A723" t="str">
        <f>"20190303170954145"</f>
        <v>20190303170954145</v>
      </c>
      <c r="B723" t="str">
        <f>"1551604194141394"</f>
        <v>1551604194141394</v>
      </c>
      <c r="C723" t="s">
        <v>40</v>
      </c>
      <c r="D723">
        <v>4.5968289999999996</v>
      </c>
      <c r="E723">
        <v>0.47557490000000002</v>
      </c>
      <c r="F723" t="s">
        <v>42</v>
      </c>
      <c r="G723">
        <v>-234.2166</v>
      </c>
      <c r="H723" s="1">
        <v>-2.680638E-6</v>
      </c>
      <c r="I723">
        <v>368.39179999999999</v>
      </c>
      <c r="J723">
        <v>-269.21710000000002</v>
      </c>
      <c r="K723">
        <v>1.119542</v>
      </c>
      <c r="L723">
        <v>368.10160000000002</v>
      </c>
      <c r="M723">
        <v>0.99992910000000002</v>
      </c>
      <c r="N723">
        <v>-1.126769E-2</v>
      </c>
      <c r="O723">
        <v>-3.8645659999999998E-3</v>
      </c>
      <c r="P723">
        <v>0.97406199999999998</v>
      </c>
      <c r="Q723">
        <v>0.21554380000000001</v>
      </c>
      <c r="R723">
        <v>-6.8877839999999996E-2</v>
      </c>
      <c r="S723">
        <v>3.103485</v>
      </c>
      <c r="T723">
        <v>-9.8736050000000006E-2</v>
      </c>
      <c r="U723">
        <v>2.5512699999999999E-2</v>
      </c>
      <c r="V723">
        <v>6.5433290000000005E-2</v>
      </c>
      <c r="W723">
        <v>0.2264157</v>
      </c>
      <c r="X723">
        <v>0.97183039999999998</v>
      </c>
      <c r="Y723">
        <v>-1.207591E-2</v>
      </c>
      <c r="Z723">
        <v>3.3948199999999902E-4</v>
      </c>
      <c r="AA723">
        <v>0.99992700000000001</v>
      </c>
      <c r="AB723">
        <v>36</v>
      </c>
      <c r="AC723">
        <v>35.000500000000002</v>
      </c>
      <c r="AD723">
        <v>-1.1195446806380001</v>
      </c>
      <c r="AE723">
        <v>0.29019999999996998</v>
      </c>
      <c r="AF723">
        <v>-0.42503331743103501</v>
      </c>
      <c r="AG723">
        <v>-1.1195446806380001</v>
      </c>
      <c r="AH723">
        <v>34.963347151328001</v>
      </c>
      <c r="AI723">
        <v>91.833878805623698</v>
      </c>
      <c r="AJ723">
        <v>90.696484110075204</v>
      </c>
      <c r="AK723">
        <v>34.983848811089203</v>
      </c>
      <c r="AL723">
        <v>76.913859022423907</v>
      </c>
      <c r="AM723">
        <v>86.148091788987699</v>
      </c>
      <c r="AN723">
        <v>0.99999995550543597</v>
      </c>
    </row>
    <row r="724" spans="1:40" x14ac:dyDescent="0.25">
      <c r="A724" t="str">
        <f>"20190303170954156"</f>
        <v>20190303170954156</v>
      </c>
      <c r="B724" t="str">
        <f>"1551604194151152"</f>
        <v>1551604194151152</v>
      </c>
      <c r="C724" t="s">
        <v>40</v>
      </c>
      <c r="D724">
        <v>4.5551409999999999</v>
      </c>
      <c r="E724">
        <v>0.47544570000000003</v>
      </c>
      <c r="F724" t="s">
        <v>42</v>
      </c>
      <c r="G724">
        <v>-233.55590000000001</v>
      </c>
      <c r="H724" s="1">
        <v>-2.9615290000000001E-6</v>
      </c>
      <c r="I724">
        <v>368.40589999999997</v>
      </c>
      <c r="J724">
        <v>-269.02949999999998</v>
      </c>
      <c r="K724">
        <v>1.119624</v>
      </c>
      <c r="L724">
        <v>368.10059999999999</v>
      </c>
      <c r="M724">
        <v>0.99992740000000002</v>
      </c>
      <c r="N724">
        <v>-1.131214E-2</v>
      </c>
      <c r="O724">
        <v>-4.1739719999999998E-3</v>
      </c>
      <c r="P724">
        <v>0.97400399999999998</v>
      </c>
      <c r="Q724">
        <v>0.21572430000000001</v>
      </c>
      <c r="R724">
        <v>-6.9133420000000001E-2</v>
      </c>
      <c r="S724">
        <v>3.1033019999999998</v>
      </c>
      <c r="T724">
        <v>-9.7424629999999998E-2</v>
      </c>
      <c r="U724">
        <v>2.6489260000000001E-2</v>
      </c>
      <c r="V724">
        <v>6.5388730000000006E-2</v>
      </c>
      <c r="W724">
        <v>0.2266396</v>
      </c>
      <c r="X724">
        <v>0.97178129999999996</v>
      </c>
      <c r="Y724">
        <v>-1.270018E-2</v>
      </c>
      <c r="Z724">
        <v>3.5495490000000003E-4</v>
      </c>
      <c r="AA724">
        <v>0.99991929999999996</v>
      </c>
      <c r="AB724">
        <v>36</v>
      </c>
      <c r="AC724">
        <v>35.473599999999898</v>
      </c>
      <c r="AD724">
        <v>-1.119626961529</v>
      </c>
      <c r="AE724">
        <v>0.30529999999998803</v>
      </c>
      <c r="AF724">
        <v>-0.45292145743829598</v>
      </c>
      <c r="AG724">
        <v>-1.119626961529</v>
      </c>
      <c r="AH724">
        <v>35.436717951926603</v>
      </c>
      <c r="AI724">
        <v>91.809516690429305</v>
      </c>
      <c r="AJ724">
        <v>90.732265190804299</v>
      </c>
      <c r="AK724">
        <v>35.457293771296001</v>
      </c>
      <c r="AL724">
        <v>76.900689304246796</v>
      </c>
      <c r="AM724">
        <v>86.150513141914701</v>
      </c>
      <c r="AN724">
        <v>1.0000000446644299</v>
      </c>
    </row>
    <row r="725" spans="1:40" x14ac:dyDescent="0.25">
      <c r="A725" t="str">
        <f>"20190303170954168"</f>
        <v>20190303170954168</v>
      </c>
      <c r="B725" t="str">
        <f>"1551604194160912"</f>
        <v>1551604194160912</v>
      </c>
      <c r="C725" t="s">
        <v>40</v>
      </c>
      <c r="D725">
        <v>4.581785</v>
      </c>
      <c r="E725">
        <v>0.47530169999999999</v>
      </c>
      <c r="F725" t="s">
        <v>42</v>
      </c>
      <c r="G725">
        <v>-233.00989999999999</v>
      </c>
      <c r="H725" s="1">
        <v>-3.1952100000000002E-6</v>
      </c>
      <c r="I725">
        <v>368.40910000000002</v>
      </c>
      <c r="J725">
        <v>-268.83330000000001</v>
      </c>
      <c r="K725">
        <v>1.1196980000000001</v>
      </c>
      <c r="L725">
        <v>368.09949999999998</v>
      </c>
      <c r="M725">
        <v>0.99992550000000002</v>
      </c>
      <c r="N725">
        <v>-1.1350860000000001E-2</v>
      </c>
      <c r="O725">
        <v>-4.4974000000000004E-3</v>
      </c>
      <c r="P725">
        <v>0.97397549999999999</v>
      </c>
      <c r="Q725">
        <v>0.21576870000000001</v>
      </c>
      <c r="R725">
        <v>-6.9394789999999998E-2</v>
      </c>
      <c r="S725">
        <v>3.1033629999999999</v>
      </c>
      <c r="T725">
        <v>-9.6464279999999999E-2</v>
      </c>
      <c r="U725">
        <v>2.658081E-2</v>
      </c>
      <c r="V725">
        <v>6.5335850000000001E-2</v>
      </c>
      <c r="W725">
        <v>0.2267209</v>
      </c>
      <c r="X725">
        <v>0.97176589999999996</v>
      </c>
      <c r="Y725">
        <v>-1.305281E-2</v>
      </c>
      <c r="Z725">
        <v>3.6563919999999997E-4</v>
      </c>
      <c r="AA725">
        <v>0.99991479999999999</v>
      </c>
      <c r="AB725">
        <v>36</v>
      </c>
      <c r="AC725">
        <v>35.823399999999999</v>
      </c>
      <c r="AD725">
        <v>-1.11970119520999</v>
      </c>
      <c r="AE725">
        <v>0.30960000000004501</v>
      </c>
      <c r="AF725">
        <v>-0.47026001723912703</v>
      </c>
      <c r="AG725">
        <v>-1.11970119520999</v>
      </c>
      <c r="AH725">
        <v>35.786686115532099</v>
      </c>
      <c r="AI725">
        <v>91.791942887671297</v>
      </c>
      <c r="AJ725">
        <v>90.752859973547004</v>
      </c>
      <c r="AK725">
        <v>35.807286666012402</v>
      </c>
      <c r="AL725">
        <v>76.895906760868002</v>
      </c>
      <c r="AM725">
        <v>86.153556108957204</v>
      </c>
      <c r="AN725">
        <v>1.0000000520974099</v>
      </c>
    </row>
    <row r="726" spans="1:40" x14ac:dyDescent="0.25">
      <c r="A726" t="str">
        <f>"20190303170954186"</f>
        <v>20190303170954186</v>
      </c>
      <c r="B726" t="str">
        <f>"1551604194171648"</f>
        <v>1551604194171648</v>
      </c>
      <c r="C726" t="s">
        <v>40</v>
      </c>
      <c r="D726">
        <v>4.5298299999999996</v>
      </c>
      <c r="E726">
        <v>0.47514590000000001</v>
      </c>
      <c r="F726" t="s">
        <v>42</v>
      </c>
      <c r="G726">
        <v>-232.499</v>
      </c>
      <c r="H726" s="1">
        <v>-3.4132330000000001E-6</v>
      </c>
      <c r="I726">
        <v>368.41559999999998</v>
      </c>
      <c r="J726">
        <v>-268.55709999999999</v>
      </c>
      <c r="K726">
        <v>1.1197919999999999</v>
      </c>
      <c r="L726">
        <v>368.09780000000001</v>
      </c>
      <c r="M726">
        <v>0.9999228</v>
      </c>
      <c r="N726">
        <v>-1.139866E-2</v>
      </c>
      <c r="O726">
        <v>-4.952372E-3</v>
      </c>
      <c r="P726">
        <v>0.97388319999999995</v>
      </c>
      <c r="Q726">
        <v>0.21611159999999999</v>
      </c>
      <c r="R726">
        <v>-6.9621959999999997E-2</v>
      </c>
      <c r="S726">
        <v>3.1032099999999998</v>
      </c>
      <c r="T726">
        <v>-9.5630409999999999E-2</v>
      </c>
      <c r="U726">
        <v>2.700806E-2</v>
      </c>
      <c r="V726">
        <v>6.5121209999999999E-2</v>
      </c>
      <c r="W726">
        <v>0.22711000000000001</v>
      </c>
      <c r="X726">
        <v>0.97168940000000004</v>
      </c>
      <c r="Y726">
        <v>-1.3645529999999999E-2</v>
      </c>
      <c r="Z726">
        <v>3.8413420000000002E-4</v>
      </c>
      <c r="AA726">
        <v>0.99990679999999998</v>
      </c>
      <c r="AB726">
        <v>36</v>
      </c>
      <c r="AC726">
        <v>36.058099999999897</v>
      </c>
      <c r="AD726">
        <v>-1.1197954132329999</v>
      </c>
      <c r="AE726">
        <v>0.31779999999997699</v>
      </c>
      <c r="AF726">
        <v>-0.495902596433206</v>
      </c>
      <c r="AG726">
        <v>-1.1197954132329999</v>
      </c>
      <c r="AH726">
        <v>36.021346346499001</v>
      </c>
      <c r="AI726">
        <v>91.780411571027898</v>
      </c>
      <c r="AJ726">
        <v>90.788735954798</v>
      </c>
      <c r="AK726">
        <v>36.0421593937861</v>
      </c>
      <c r="AL726">
        <v>76.873015250964997</v>
      </c>
      <c r="AM726">
        <v>86.165853687573005</v>
      </c>
      <c r="AN726">
        <v>1.00000000708211</v>
      </c>
    </row>
    <row r="727" spans="1:40" x14ac:dyDescent="0.25">
      <c r="A727" t="str">
        <f>"20190303170954200"</f>
        <v>20190303170954200</v>
      </c>
      <c r="B727" t="str">
        <f>"1551604194191169"</f>
        <v>1551604194191169</v>
      </c>
      <c r="C727" t="s">
        <v>40</v>
      </c>
      <c r="D727">
        <v>4.5342399999999996</v>
      </c>
      <c r="E727">
        <v>0.47497279999999997</v>
      </c>
      <c r="F727" t="s">
        <v>42</v>
      </c>
      <c r="G727">
        <v>-231.65219999999999</v>
      </c>
      <c r="H727" s="1">
        <v>-3.775763E-6</v>
      </c>
      <c r="I727">
        <v>368.41969999999998</v>
      </c>
      <c r="J727">
        <v>-268.31079999999997</v>
      </c>
      <c r="K727">
        <v>1.119864</v>
      </c>
      <c r="L727">
        <v>368.09620000000001</v>
      </c>
      <c r="M727">
        <v>0.99992020000000004</v>
      </c>
      <c r="N727">
        <v>-1.1434329999999999E-2</v>
      </c>
      <c r="O727">
        <v>-5.3580279999999999E-3</v>
      </c>
      <c r="P727">
        <v>0.97376079999999998</v>
      </c>
      <c r="Q727">
        <v>0.21658440000000001</v>
      </c>
      <c r="R727">
        <v>-6.9865090000000005E-2</v>
      </c>
      <c r="S727">
        <v>3.1032709999999999</v>
      </c>
      <c r="T727">
        <v>-9.4161750000000002E-2</v>
      </c>
      <c r="U727">
        <v>2.7069090000000001E-2</v>
      </c>
      <c r="V727">
        <v>6.4970890000000003E-2</v>
      </c>
      <c r="W727">
        <v>0.22761619999999999</v>
      </c>
      <c r="X727">
        <v>0.97158100000000003</v>
      </c>
      <c r="Y727">
        <v>-1.4070600000000001E-2</v>
      </c>
      <c r="Z727">
        <v>3.951704E-4</v>
      </c>
      <c r="AA727">
        <v>0.99990089999999998</v>
      </c>
      <c r="AB727">
        <v>36</v>
      </c>
      <c r="AC727">
        <v>36.6585999999999</v>
      </c>
      <c r="AD727">
        <v>-1.119867775763</v>
      </c>
      <c r="AE727">
        <v>0.32349999999996698</v>
      </c>
      <c r="AF727">
        <v>-0.51944130364792995</v>
      </c>
      <c r="AG727">
        <v>-1.119867775763</v>
      </c>
      <c r="AH727">
        <v>36.622166589118002</v>
      </c>
      <c r="AI727">
        <v>91.751323525659203</v>
      </c>
      <c r="AJ727">
        <v>90.812617100245006</v>
      </c>
      <c r="AK727">
        <v>36.6429667028236</v>
      </c>
      <c r="AL727">
        <v>76.843231950581</v>
      </c>
      <c r="AM727">
        <v>86.174252255521495</v>
      </c>
      <c r="AN727">
        <v>0.99999999530541595</v>
      </c>
    </row>
    <row r="728" spans="1:40" x14ac:dyDescent="0.25">
      <c r="A728" t="str">
        <f>"20190303170954217"</f>
        <v>20190303170954217</v>
      </c>
      <c r="B728" t="str">
        <f>"1551604194211665"</f>
        <v>1551604194211665</v>
      </c>
      <c r="C728" t="s">
        <v>40</v>
      </c>
      <c r="D728">
        <v>4.5473229999999996</v>
      </c>
      <c r="E728">
        <v>0.474746</v>
      </c>
      <c r="F728" t="s">
        <v>42</v>
      </c>
      <c r="G728">
        <v>-230.66409999999999</v>
      </c>
      <c r="H728" s="1">
        <v>-4.1974340000000003E-6</v>
      </c>
      <c r="I728">
        <v>368.4323</v>
      </c>
      <c r="J728">
        <v>-268.04750000000001</v>
      </c>
      <c r="K728">
        <v>1.1199349999999999</v>
      </c>
      <c r="L728">
        <v>368.09440000000001</v>
      </c>
      <c r="M728">
        <v>0.99991759999999996</v>
      </c>
      <c r="N728">
        <v>-1.1467400000000001E-2</v>
      </c>
      <c r="O728">
        <v>-5.7921550000000002E-3</v>
      </c>
      <c r="P728">
        <v>0.97369030000000001</v>
      </c>
      <c r="Q728">
        <v>0.2167886</v>
      </c>
      <c r="R728">
        <v>-7.0218499999999906E-2</v>
      </c>
      <c r="S728">
        <v>3.1033330000000001</v>
      </c>
      <c r="T728">
        <v>-9.2313999999999993E-2</v>
      </c>
      <c r="U728">
        <v>2.7709959999999999E-2</v>
      </c>
      <c r="V728">
        <v>6.4902109999999999E-2</v>
      </c>
      <c r="W728">
        <v>0.227852</v>
      </c>
      <c r="X728">
        <v>0.97153029999999996</v>
      </c>
      <c r="Y728">
        <v>-1.4710910000000001E-2</v>
      </c>
      <c r="Z728">
        <v>4.0897029999999998E-4</v>
      </c>
      <c r="AA728">
        <v>0.99989170000000005</v>
      </c>
      <c r="AB728">
        <v>36</v>
      </c>
      <c r="AC728">
        <v>37.383400000000002</v>
      </c>
      <c r="AD728">
        <v>-1.1199391974339901</v>
      </c>
      <c r="AE728">
        <v>0.33789999999998999</v>
      </c>
      <c r="AF728">
        <v>-0.55394187030395803</v>
      </c>
      <c r="AG728">
        <v>-1.1199391974339901</v>
      </c>
      <c r="AH728">
        <v>37.347299307061299</v>
      </c>
      <c r="AI728">
        <v>91.717433824796004</v>
      </c>
      <c r="AJ728">
        <v>90.849759011648899</v>
      </c>
      <c r="AK728">
        <v>37.368193439512801</v>
      </c>
      <c r="AL728">
        <v>76.8293566905419</v>
      </c>
      <c r="AM728">
        <v>86.178091443145604</v>
      </c>
      <c r="AN728">
        <v>0.99999997080226999</v>
      </c>
    </row>
    <row r="729" spans="1:40" x14ac:dyDescent="0.25">
      <c r="A729" t="str">
        <f>"20190303170954229"</f>
        <v>20190303170954229</v>
      </c>
      <c r="B729" t="str">
        <f>"1551604194221425"</f>
        <v>1551604194221425</v>
      </c>
      <c r="C729" t="s">
        <v>40</v>
      </c>
      <c r="D729">
        <v>4.5496420000000004</v>
      </c>
      <c r="E729">
        <v>0.47465629999999998</v>
      </c>
      <c r="F729" t="s">
        <v>42</v>
      </c>
      <c r="G729">
        <v>-229.8365</v>
      </c>
      <c r="H729" s="1">
        <v>-3.53329299999999E-7</v>
      </c>
      <c r="I729">
        <v>368.44529999999997</v>
      </c>
      <c r="J729">
        <v>-267.84870000000001</v>
      </c>
      <c r="K729">
        <v>1.11998</v>
      </c>
      <c r="L729">
        <v>368.09289999999999</v>
      </c>
      <c r="M729">
        <v>0.9999152</v>
      </c>
      <c r="N729">
        <v>-1.148921E-2</v>
      </c>
      <c r="O729">
        <v>-6.11964E-3</v>
      </c>
      <c r="P729">
        <v>0.97367380000000003</v>
      </c>
      <c r="Q729">
        <v>0.2167984</v>
      </c>
      <c r="R729">
        <v>-7.0409680000000002E-2</v>
      </c>
      <c r="S729">
        <v>3.1033330000000001</v>
      </c>
      <c r="T729">
        <v>-9.0956090000000003E-2</v>
      </c>
      <c r="U729">
        <v>2.8503420000000002E-2</v>
      </c>
      <c r="V729">
        <v>6.4774949999999998E-2</v>
      </c>
      <c r="W729">
        <v>0.22788359999999999</v>
      </c>
      <c r="X729">
        <v>0.97153140000000004</v>
      </c>
      <c r="Y729">
        <v>-1.5293889999999999E-2</v>
      </c>
      <c r="Z729">
        <v>4.2097949999999999E-4</v>
      </c>
      <c r="AA729">
        <v>0.99988290000000002</v>
      </c>
      <c r="AB729">
        <v>36</v>
      </c>
      <c r="AC729">
        <v>38.0122</v>
      </c>
      <c r="AD729">
        <v>-1.1199803533293</v>
      </c>
      <c r="AE729">
        <v>0.352399999999988</v>
      </c>
      <c r="AF729">
        <v>-0.58452236495683696</v>
      </c>
      <c r="AG729">
        <v>-1.1199803533293</v>
      </c>
      <c r="AH729">
        <v>37.976366583984898</v>
      </c>
      <c r="AI729">
        <v>91.689049419354106</v>
      </c>
      <c r="AJ729">
        <v>90.881812116898203</v>
      </c>
      <c r="AK729">
        <v>37.997374137013502</v>
      </c>
      <c r="AL729">
        <v>76.827497552903097</v>
      </c>
      <c r="AM729">
        <v>86.185561727708603</v>
      </c>
      <c r="AN729">
        <v>0.99999999524121097</v>
      </c>
    </row>
    <row r="730" spans="1:40" x14ac:dyDescent="0.25">
      <c r="A730" t="str">
        <f>"20190303170954240"</f>
        <v>20190303170954240</v>
      </c>
      <c r="B730" t="str">
        <f>"1551604194231185"</f>
        <v>1551604194231185</v>
      </c>
      <c r="C730" t="s">
        <v>40</v>
      </c>
      <c r="D730">
        <v>4.5318779999999999</v>
      </c>
      <c r="E730">
        <v>0.4745859</v>
      </c>
      <c r="F730" t="s">
        <v>42</v>
      </c>
      <c r="G730">
        <v>-229.50319999999999</v>
      </c>
      <c r="H730" s="1">
        <v>-4.6500030000000002E-7</v>
      </c>
      <c r="I730">
        <v>368.45179999999999</v>
      </c>
      <c r="J730">
        <v>-267.65809999999999</v>
      </c>
      <c r="K730">
        <v>1.1200139999999901</v>
      </c>
      <c r="L730">
        <v>368.09140000000002</v>
      </c>
      <c r="M730">
        <v>0.99991300000000005</v>
      </c>
      <c r="N730">
        <v>-1.150785E-2</v>
      </c>
      <c r="O730">
        <v>-6.433635E-3</v>
      </c>
      <c r="P730">
        <v>0.97361039999999999</v>
      </c>
      <c r="Q730">
        <v>0.21691150000000001</v>
      </c>
      <c r="R730">
        <v>-7.0938080000000001E-2</v>
      </c>
      <c r="S730">
        <v>3.1033940000000002</v>
      </c>
      <c r="T730">
        <v>-9.0642570000000006E-2</v>
      </c>
      <c r="U730">
        <v>2.9052729999999999E-2</v>
      </c>
      <c r="V730">
        <v>6.4998210000000001E-2</v>
      </c>
      <c r="W730">
        <v>0.22801360000000001</v>
      </c>
      <c r="X730">
        <v>0.97148599999999996</v>
      </c>
      <c r="Y730">
        <v>-1.5784389999999999E-2</v>
      </c>
      <c r="Z730">
        <v>4.3515040000000001E-4</v>
      </c>
      <c r="AA730">
        <v>0.99987530000000002</v>
      </c>
      <c r="AB730">
        <v>36</v>
      </c>
      <c r="AC730">
        <v>38.154899999999998</v>
      </c>
      <c r="AD730">
        <v>-1.1200144650003001</v>
      </c>
      <c r="AE730">
        <v>0.36039999999997002</v>
      </c>
      <c r="AF730">
        <v>-0.60536193443485498</v>
      </c>
      <c r="AG730">
        <v>-1.1200144650003001</v>
      </c>
      <c r="AH730">
        <v>38.118947953044902</v>
      </c>
      <c r="AI730">
        <v>91.682773645046097</v>
      </c>
      <c r="AJ730">
        <v>90.909830159971605</v>
      </c>
      <c r="AK730">
        <v>38.140203047708397</v>
      </c>
      <c r="AL730">
        <v>76.8198478850681</v>
      </c>
      <c r="AM730">
        <v>86.172275166414494</v>
      </c>
      <c r="AN730">
        <v>1.0000000086420799</v>
      </c>
    </row>
    <row r="731" spans="1:40" x14ac:dyDescent="0.25">
      <c r="A731" t="str">
        <f>"20190303170954252"</f>
        <v>20190303170954252</v>
      </c>
      <c r="B731" t="str">
        <f>"1551604194240944"</f>
        <v>1551604194240944</v>
      </c>
      <c r="C731" t="s">
        <v>40</v>
      </c>
      <c r="D731">
        <v>4.5633650000000001</v>
      </c>
      <c r="E731">
        <v>0.47457749999999999</v>
      </c>
      <c r="F731" t="s">
        <v>42</v>
      </c>
      <c r="G731">
        <v>-229.00470000000001</v>
      </c>
      <c r="H731" s="1">
        <v>-6.3720509999999999E-7</v>
      </c>
      <c r="I731">
        <v>368.44220000000001</v>
      </c>
      <c r="J731">
        <v>-267.46280000000002</v>
      </c>
      <c r="K731">
        <v>1.120047</v>
      </c>
      <c r="L731">
        <v>368.0899</v>
      </c>
      <c r="M731">
        <v>0.99991079999999999</v>
      </c>
      <c r="N731">
        <v>-1.1523520000000001E-2</v>
      </c>
      <c r="O731">
        <v>-6.7552410000000004E-3</v>
      </c>
      <c r="P731">
        <v>0.9735838</v>
      </c>
      <c r="Q731">
        <v>0.2169285</v>
      </c>
      <c r="R731">
        <v>-7.1251350000000005E-2</v>
      </c>
      <c r="S731">
        <v>3.1033940000000002</v>
      </c>
      <c r="T731">
        <v>-8.9923139999999999E-2</v>
      </c>
      <c r="U731">
        <v>2.816772E-2</v>
      </c>
      <c r="V731">
        <v>6.4998509999999995E-2</v>
      </c>
      <c r="W731">
        <v>0.22804559999999999</v>
      </c>
      <c r="X731">
        <v>0.97147850000000002</v>
      </c>
      <c r="Y731">
        <v>-1.582095E-2</v>
      </c>
      <c r="Z731">
        <v>4.3820559999999998E-4</v>
      </c>
      <c r="AA731">
        <v>0.99987479999999995</v>
      </c>
      <c r="AB731">
        <v>36</v>
      </c>
      <c r="AC731">
        <v>38.458100000000002</v>
      </c>
      <c r="AD731">
        <v>-1.1200476372051</v>
      </c>
      <c r="AE731">
        <v>0.35230000000001299</v>
      </c>
      <c r="AF731">
        <v>-0.61158423998959799</v>
      </c>
      <c r="AG731">
        <v>-1.1200476372051</v>
      </c>
      <c r="AH731">
        <v>38.422255406671901</v>
      </c>
      <c r="AI731">
        <v>91.669545730887094</v>
      </c>
      <c r="AJ731">
        <v>90.911925560882295</v>
      </c>
      <c r="AK731">
        <v>38.443442256485497</v>
      </c>
      <c r="AL731">
        <v>76.817965216010805</v>
      </c>
      <c r="AM731">
        <v>86.172228088969703</v>
      </c>
      <c r="AN731">
        <v>1.0000000389719099</v>
      </c>
    </row>
    <row r="732" spans="1:40" x14ac:dyDescent="0.25">
      <c r="A732" t="str">
        <f>"20190303170954265"</f>
        <v>20190303170954265</v>
      </c>
      <c r="B732" t="str">
        <f>"1551604194251681"</f>
        <v>1551604194251681</v>
      </c>
      <c r="C732" t="s">
        <v>40</v>
      </c>
      <c r="D732">
        <v>4.5332499999999998</v>
      </c>
      <c r="E732">
        <v>0.47456549999999997</v>
      </c>
      <c r="F732" t="s">
        <v>42</v>
      </c>
      <c r="G732">
        <v>-228.54920000000001</v>
      </c>
      <c r="H732" s="1">
        <v>-8.1447120000000003E-7</v>
      </c>
      <c r="I732">
        <v>368.43389999999999</v>
      </c>
      <c r="J732">
        <v>-267.28570000000002</v>
      </c>
      <c r="K732">
        <v>1.1200730000000001</v>
      </c>
      <c r="L732">
        <v>368.08850000000001</v>
      </c>
      <c r="M732">
        <v>0.99990869999999998</v>
      </c>
      <c r="N732">
        <v>-1.1531319999999999E-2</v>
      </c>
      <c r="O732">
        <v>-7.0465140000000002E-3</v>
      </c>
      <c r="P732">
        <v>0.97354909999999995</v>
      </c>
      <c r="Q732">
        <v>0.21701609999999999</v>
      </c>
      <c r="R732">
        <v>-7.1458820000000006E-2</v>
      </c>
      <c r="S732">
        <v>3.1032709999999999</v>
      </c>
      <c r="T732">
        <v>-8.9321139999999993E-2</v>
      </c>
      <c r="U732">
        <v>2.7435299999999999E-2</v>
      </c>
      <c r="V732">
        <v>6.4922939999999998E-2</v>
      </c>
      <c r="W732">
        <v>0.22814129999999999</v>
      </c>
      <c r="X732">
        <v>0.97146109999999997</v>
      </c>
      <c r="Y732">
        <v>-1.5876649999999999E-2</v>
      </c>
      <c r="Z732">
        <v>4.4153399999999999E-4</v>
      </c>
      <c r="AA732">
        <v>0.99987389999999998</v>
      </c>
      <c r="AB732">
        <v>36</v>
      </c>
      <c r="AC732">
        <v>38.736499999999999</v>
      </c>
      <c r="AD732">
        <v>-1.1200738144711999</v>
      </c>
      <c r="AE732">
        <v>0.345399999999983</v>
      </c>
      <c r="AF732">
        <v>-0.61785032141139595</v>
      </c>
      <c r="AG732">
        <v>-1.1200738144711999</v>
      </c>
      <c r="AH732">
        <v>38.7007494335923</v>
      </c>
      <c r="AI732">
        <v>91.6575757251005</v>
      </c>
      <c r="AJ732">
        <v>90.914638843390193</v>
      </c>
      <c r="AK732">
        <v>38.721884136638103</v>
      </c>
      <c r="AL732">
        <v>76.812333768589895</v>
      </c>
      <c r="AM732">
        <v>86.176596933208799</v>
      </c>
      <c r="AN732">
        <v>1.0000000548585699</v>
      </c>
    </row>
    <row r="733" spans="1:40" x14ac:dyDescent="0.25">
      <c r="A733" t="str">
        <f>"20190303170954278"</f>
        <v>20190303170954278</v>
      </c>
      <c r="B733" t="str">
        <f>"1551604194271201"</f>
        <v>1551604194271201</v>
      </c>
      <c r="C733" t="s">
        <v>40</v>
      </c>
      <c r="D733">
        <v>4.5305460000000002</v>
      </c>
      <c r="E733">
        <v>0.4745297</v>
      </c>
      <c r="F733" t="s">
        <v>42</v>
      </c>
      <c r="G733">
        <v>-228.13740000000001</v>
      </c>
      <c r="H733" s="1">
        <v>-9.9115249999999999E-7</v>
      </c>
      <c r="I733">
        <v>368.43369999999999</v>
      </c>
      <c r="J733">
        <v>-267.05939999999998</v>
      </c>
      <c r="K733">
        <v>1.120096</v>
      </c>
      <c r="L733">
        <v>368.0865</v>
      </c>
      <c r="M733">
        <v>0.99990599999999996</v>
      </c>
      <c r="N733">
        <v>-1.1536380000000001E-2</v>
      </c>
      <c r="O733">
        <v>-7.418829E-3</v>
      </c>
      <c r="P733">
        <v>0.97353489999999998</v>
      </c>
      <c r="Q733">
        <v>0.21693280000000001</v>
      </c>
      <c r="R733">
        <v>-7.1904720000000005E-2</v>
      </c>
      <c r="S733">
        <v>3.1033019999999998</v>
      </c>
      <c r="T733">
        <v>-8.8788510000000001E-2</v>
      </c>
      <c r="U733">
        <v>2.7374269999999999E-2</v>
      </c>
      <c r="V733">
        <v>6.5006240000000007E-2</v>
      </c>
      <c r="W733">
        <v>0.2280623</v>
      </c>
      <c r="X733">
        <v>0.97147399999999995</v>
      </c>
      <c r="Y733">
        <v>-1.622906E-2</v>
      </c>
      <c r="Z733">
        <v>4.5239249999999998E-4</v>
      </c>
      <c r="AA733">
        <v>0.99986819999999998</v>
      </c>
      <c r="AB733">
        <v>36</v>
      </c>
      <c r="AC733">
        <v>38.921999999999898</v>
      </c>
      <c r="AD733">
        <v>-1.1200969911525001</v>
      </c>
      <c r="AE733">
        <v>0.34719999999998602</v>
      </c>
      <c r="AF733">
        <v>-0.63543909191564696</v>
      </c>
      <c r="AG733">
        <v>-1.1200969911525001</v>
      </c>
      <c r="AH733">
        <v>38.886150849564103</v>
      </c>
      <c r="AI733">
        <v>91.649701211711204</v>
      </c>
      <c r="AJ733">
        <v>90.936187747302597</v>
      </c>
      <c r="AK733">
        <v>38.907468794617998</v>
      </c>
      <c r="AL733">
        <v>76.816981665676195</v>
      </c>
      <c r="AM733">
        <v>86.171756541514995</v>
      </c>
      <c r="AN733">
        <v>0.99999997829811305</v>
      </c>
    </row>
    <row r="734" spans="1:40" x14ac:dyDescent="0.25">
      <c r="A734" t="str">
        <f>"20190303170954289"</f>
        <v>20190303170954289</v>
      </c>
      <c r="B734" t="str">
        <f>"1551604194280961"</f>
        <v>1551604194280961</v>
      </c>
      <c r="C734" t="s">
        <v>40</v>
      </c>
      <c r="D734">
        <v>4.5330760000000003</v>
      </c>
      <c r="E734">
        <v>0.47442669999999998</v>
      </c>
      <c r="F734" t="s">
        <v>42</v>
      </c>
      <c r="G734">
        <v>-227.71360000000001</v>
      </c>
      <c r="H734" s="1">
        <v>-1.1763019999999999E-6</v>
      </c>
      <c r="I734">
        <v>368.41500000000002</v>
      </c>
      <c r="J734">
        <v>-266.86880000000002</v>
      </c>
      <c r="K734">
        <v>1.120115</v>
      </c>
      <c r="L734">
        <v>368.08479999999997</v>
      </c>
      <c r="M734">
        <v>0.9999036</v>
      </c>
      <c r="N734">
        <v>-1.153154E-2</v>
      </c>
      <c r="O734">
        <v>-7.7317159999999996E-3</v>
      </c>
      <c r="P734">
        <v>0.97349330000000001</v>
      </c>
      <c r="Q734">
        <v>0.21697130000000001</v>
      </c>
      <c r="R734">
        <v>-7.2348609999999994E-2</v>
      </c>
      <c r="S734">
        <v>3.1031490000000002</v>
      </c>
      <c r="T734">
        <v>-8.8340399999999999E-2</v>
      </c>
      <c r="U734">
        <v>2.5909419999999999E-2</v>
      </c>
      <c r="V734">
        <v>6.5145949999999994E-2</v>
      </c>
      <c r="W734">
        <v>0.22809579999999999</v>
      </c>
      <c r="X734">
        <v>0.97145680000000001</v>
      </c>
      <c r="Y734">
        <v>-1.6070560000000001E-2</v>
      </c>
      <c r="Z734">
        <v>4.52297E-4</v>
      </c>
      <c r="AA734">
        <v>0.99987079999999995</v>
      </c>
      <c r="AB734">
        <v>36</v>
      </c>
      <c r="AC734">
        <v>39.155200000000001</v>
      </c>
      <c r="AD734">
        <v>-1.120116176302</v>
      </c>
      <c r="AE734">
        <v>0.33020000000004701</v>
      </c>
      <c r="AF734">
        <v>-0.63242962929198199</v>
      </c>
      <c r="AG734">
        <v>-1.120116176302</v>
      </c>
      <c r="AH734">
        <v>39.119464567941698</v>
      </c>
      <c r="AI734">
        <v>91.639900278524905</v>
      </c>
      <c r="AJ734">
        <v>90.926198572891394</v>
      </c>
      <c r="AK734">
        <v>39.1406072457603</v>
      </c>
      <c r="AL734">
        <v>76.815010608635305</v>
      </c>
      <c r="AM734">
        <v>86.163485784656203</v>
      </c>
      <c r="AN734">
        <v>1.00000000152264</v>
      </c>
    </row>
    <row r="735" spans="1:40" x14ac:dyDescent="0.25">
      <c r="A735" t="str">
        <f>"20190303170954303"</f>
        <v>20190303170954303</v>
      </c>
      <c r="B735" t="str">
        <f>"1551604194291697"</f>
        <v>1551604194291697</v>
      </c>
      <c r="C735" t="s">
        <v>40</v>
      </c>
      <c r="D735">
        <v>4.5626829999999998</v>
      </c>
      <c r="E735">
        <v>0.47433359999999902</v>
      </c>
      <c r="F735" t="s">
        <v>42</v>
      </c>
      <c r="G735">
        <v>-227.24430000000001</v>
      </c>
      <c r="H735" s="1">
        <v>-1.379035E-6</v>
      </c>
      <c r="I735">
        <v>368.40710000000001</v>
      </c>
      <c r="J735">
        <v>-266.67140000000001</v>
      </c>
      <c r="K735">
        <v>1.1201319999999999</v>
      </c>
      <c r="L735">
        <v>368.08300000000003</v>
      </c>
      <c r="M735">
        <v>0.99990109999999999</v>
      </c>
      <c r="N735">
        <v>-1.152473E-2</v>
      </c>
      <c r="O735">
        <v>-8.0559109999999903E-3</v>
      </c>
      <c r="P735">
        <v>0.97347229999999996</v>
      </c>
      <c r="Q735">
        <v>0.21695639999999999</v>
      </c>
      <c r="R735">
        <v>-7.2673630000000003E-2</v>
      </c>
      <c r="S735">
        <v>3.103119</v>
      </c>
      <c r="T735">
        <v>-8.7719679999999994E-2</v>
      </c>
      <c r="U735">
        <v>2.523804E-2</v>
      </c>
      <c r="V735">
        <v>6.5155279999999996E-2</v>
      </c>
      <c r="W735">
        <v>0.22807440000000001</v>
      </c>
      <c r="X735">
        <v>0.97146120000000002</v>
      </c>
      <c r="Y735">
        <v>-1.6178540000000002E-2</v>
      </c>
      <c r="Z735">
        <v>4.5672189999999997E-4</v>
      </c>
      <c r="AA735">
        <v>0.99986900000000001</v>
      </c>
      <c r="AB735">
        <v>36</v>
      </c>
      <c r="AC735">
        <v>39.427100000000003</v>
      </c>
      <c r="AD735">
        <v>-1.1201333790350001</v>
      </c>
      <c r="AE735">
        <v>0.32409999999998701</v>
      </c>
      <c r="AF735">
        <v>-0.64121428134749703</v>
      </c>
      <c r="AG735">
        <v>-1.1201333790350001</v>
      </c>
      <c r="AH735">
        <v>39.391417042039301</v>
      </c>
      <c r="AI735">
        <v>91.628606827190197</v>
      </c>
      <c r="AJ735">
        <v>90.932579490943695</v>
      </c>
      <c r="AK735">
        <v>39.412556262202699</v>
      </c>
      <c r="AL735">
        <v>76.816269949408905</v>
      </c>
      <c r="AM735">
        <v>86.162955299415998</v>
      </c>
      <c r="AN735">
        <v>1.0000000027763301</v>
      </c>
    </row>
    <row r="736" spans="1:40" x14ac:dyDescent="0.25">
      <c r="A736" t="str">
        <f>"20190303170954315"</f>
        <v>20190303170954315</v>
      </c>
      <c r="B736" t="str">
        <f>"1551604194301457"</f>
        <v>1551604194301457</v>
      </c>
      <c r="C736" t="s">
        <v>40</v>
      </c>
      <c r="D736">
        <v>4.5318059999999996</v>
      </c>
      <c r="E736">
        <v>0.47421219999999997</v>
      </c>
      <c r="F736" t="s">
        <v>42</v>
      </c>
      <c r="G736">
        <v>-226.8844</v>
      </c>
      <c r="H736" s="1">
        <v>-1.533222E-6</v>
      </c>
      <c r="I736">
        <v>368.40809999999999</v>
      </c>
      <c r="J736">
        <v>-266.45569999999998</v>
      </c>
      <c r="K736">
        <v>1.120155</v>
      </c>
      <c r="L736">
        <v>368.08100000000002</v>
      </c>
      <c r="M736">
        <v>0.99989839999999997</v>
      </c>
      <c r="N736">
        <v>-1.151509E-2</v>
      </c>
      <c r="O736">
        <v>-8.4110799999999996E-3</v>
      </c>
      <c r="P736">
        <v>0.97345539999999997</v>
      </c>
      <c r="Q736">
        <v>0.2169133</v>
      </c>
      <c r="R736">
        <v>-7.3030399999999995E-2</v>
      </c>
      <c r="S736">
        <v>3.103119</v>
      </c>
      <c r="T736">
        <v>-8.736265E-2</v>
      </c>
      <c r="U736">
        <v>2.5360110000000002E-2</v>
      </c>
      <c r="V736">
        <v>6.5166219999999997E-2</v>
      </c>
      <c r="W736">
        <v>0.228022</v>
      </c>
      <c r="X736">
        <v>0.97147280000000003</v>
      </c>
      <c r="Y736">
        <v>-1.657283E-2</v>
      </c>
      <c r="Z736">
        <v>4.6859210000000002E-4</v>
      </c>
      <c r="AA736">
        <v>0.99986260000000005</v>
      </c>
      <c r="AB736">
        <v>36</v>
      </c>
      <c r="AC736">
        <v>39.571299999999901</v>
      </c>
      <c r="AD736">
        <v>-1.120156533222</v>
      </c>
      <c r="AE736">
        <v>0.32710000000002898</v>
      </c>
      <c r="AF736">
        <v>-0.65941948222133795</v>
      </c>
      <c r="AG736">
        <v>-1.120156533222</v>
      </c>
      <c r="AH736">
        <v>39.535470853527997</v>
      </c>
      <c r="AI736">
        <v>91.622698721875196</v>
      </c>
      <c r="AJ736">
        <v>90.955558374350403</v>
      </c>
      <c r="AK736">
        <v>39.556833042125803</v>
      </c>
      <c r="AL736">
        <v>76.8193539316906</v>
      </c>
      <c r="AM736">
        <v>86.162358646903897</v>
      </c>
      <c r="AN736">
        <v>1.0000000349264599</v>
      </c>
    </row>
    <row r="737" spans="1:40" x14ac:dyDescent="0.25">
      <c r="A737" t="str">
        <f>"20190303170954329"</f>
        <v>20190303170954329</v>
      </c>
      <c r="B737" t="str">
        <f>"1551604194320977"</f>
        <v>1551604194320977</v>
      </c>
      <c r="C737" t="s">
        <v>40</v>
      </c>
      <c r="D737">
        <v>4.5785859999999996</v>
      </c>
      <c r="E737">
        <v>0.47411370000000003</v>
      </c>
      <c r="F737" t="s">
        <v>42</v>
      </c>
      <c r="G737">
        <v>-226.4846</v>
      </c>
      <c r="H737" s="1">
        <v>-1.7049709999999901E-6</v>
      </c>
      <c r="I737">
        <v>368.40679999999998</v>
      </c>
      <c r="J737">
        <v>-266.22949999999997</v>
      </c>
      <c r="K737">
        <v>1.1201680000000001</v>
      </c>
      <c r="L737">
        <v>368.07870000000003</v>
      </c>
      <c r="M737">
        <v>0.99989550000000005</v>
      </c>
      <c r="N737">
        <v>-1.150148E-2</v>
      </c>
      <c r="O737">
        <v>-8.7833890000000008E-3</v>
      </c>
      <c r="P737">
        <v>0.97347399999999995</v>
      </c>
      <c r="Q737">
        <v>0.2167309</v>
      </c>
      <c r="R737">
        <v>-7.3324749999999994E-2</v>
      </c>
      <c r="S737">
        <v>3.1030880000000001</v>
      </c>
      <c r="T737">
        <v>-8.6961269999999993E-2</v>
      </c>
      <c r="U737">
        <v>2.529907E-2</v>
      </c>
      <c r="V737">
        <v>6.5097169999999996E-2</v>
      </c>
      <c r="W737">
        <v>0.227827</v>
      </c>
      <c r="X737">
        <v>0.97152320000000003</v>
      </c>
      <c r="Y737">
        <v>-1.6925389999999998E-2</v>
      </c>
      <c r="Z737">
        <v>4.7955630000000001E-4</v>
      </c>
      <c r="AA737">
        <v>0.99985670000000004</v>
      </c>
      <c r="AB737">
        <v>36</v>
      </c>
      <c r="AC737">
        <v>39.744899999999902</v>
      </c>
      <c r="AD737">
        <v>-1.120169704971</v>
      </c>
      <c r="AE737">
        <v>0.32809999999994899</v>
      </c>
      <c r="AF737">
        <v>-0.67666780855596997</v>
      </c>
      <c r="AG737">
        <v>-1.120169704971</v>
      </c>
      <c r="AH737">
        <v>39.7089444930116</v>
      </c>
      <c r="AI737">
        <v>91.615622667362999</v>
      </c>
      <c r="AJ737">
        <v>90.976265119796395</v>
      </c>
      <c r="AK737">
        <v>39.730503800482403</v>
      </c>
      <c r="AL737">
        <v>76.830828916093907</v>
      </c>
      <c r="AM737">
        <v>86.166611155741094</v>
      </c>
      <c r="AN737">
        <v>1.00000005580462</v>
      </c>
    </row>
    <row r="738" spans="1:40" x14ac:dyDescent="0.25">
      <c r="A738" t="str">
        <f>"20190303170954342"</f>
        <v>20190303170954342</v>
      </c>
      <c r="B738" t="str">
        <f>"1551604194331713"</f>
        <v>1551604194331713</v>
      </c>
      <c r="C738" t="s">
        <v>40</v>
      </c>
      <c r="D738">
        <v>4.5749709999999997</v>
      </c>
      <c r="E738">
        <v>0.45179970000000003</v>
      </c>
      <c r="F738" t="s">
        <v>42</v>
      </c>
      <c r="G738">
        <v>-226.3887</v>
      </c>
      <c r="H738" s="1">
        <v>-1.7466970000000001E-6</v>
      </c>
      <c r="I738">
        <v>368.40350000000001</v>
      </c>
      <c r="J738">
        <v>-266.03230000000002</v>
      </c>
      <c r="K738">
        <v>1.1201829999999999</v>
      </c>
      <c r="L738">
        <v>368.07670000000002</v>
      </c>
      <c r="M738">
        <v>0.99989260000000002</v>
      </c>
      <c r="N738">
        <v>-1.148739E-2</v>
      </c>
      <c r="O738">
        <v>-9.1075319999999998E-3</v>
      </c>
      <c r="P738">
        <v>0.97344419999999998</v>
      </c>
      <c r="Q738">
        <v>0.216728</v>
      </c>
      <c r="R738">
        <v>-7.3726810000000004E-2</v>
      </c>
      <c r="S738">
        <v>3.1030880000000001</v>
      </c>
      <c r="T738">
        <v>-8.7246889999999994E-2</v>
      </c>
      <c r="U738">
        <v>2.529907E-2</v>
      </c>
      <c r="V738">
        <v>6.5183450000000004E-2</v>
      </c>
      <c r="W738">
        <v>0.22781019999999999</v>
      </c>
      <c r="X738">
        <v>0.97152130000000003</v>
      </c>
      <c r="Y738">
        <v>-1.7249230000000001E-2</v>
      </c>
      <c r="Z738">
        <v>4.92948E-4</v>
      </c>
      <c r="AA738">
        <v>0.99985109999999999</v>
      </c>
      <c r="AB738">
        <v>36</v>
      </c>
      <c r="AC738">
        <v>39.643599999999999</v>
      </c>
      <c r="AD738">
        <v>-1.1201847466970001</v>
      </c>
      <c r="AE738">
        <v>0.32679999999999099</v>
      </c>
      <c r="AF738">
        <v>-0.68731687089187998</v>
      </c>
      <c r="AG738">
        <v>-1.1201847466970001</v>
      </c>
      <c r="AH738">
        <v>39.607357765984403</v>
      </c>
      <c r="AI738">
        <v>91.619777323279706</v>
      </c>
      <c r="AJ738">
        <v>90.994168909046905</v>
      </c>
      <c r="AK738">
        <v>39.629156028742599</v>
      </c>
      <c r="AL738">
        <v>76.831816771187803</v>
      </c>
      <c r="AM738">
        <v>86.161538063921896</v>
      </c>
      <c r="AN738">
        <v>1.00000000286581</v>
      </c>
    </row>
    <row r="739" spans="1:40" x14ac:dyDescent="0.25">
      <c r="A739" t="str">
        <f>"20190303170954355"</f>
        <v>20190303170954355</v>
      </c>
      <c r="B739" t="str">
        <f>"1551604194341473"</f>
        <v>1551604194341473</v>
      </c>
      <c r="C739" t="s">
        <v>40</v>
      </c>
      <c r="D739">
        <v>4.5466819999999997</v>
      </c>
      <c r="E739">
        <v>0.44436989999999998</v>
      </c>
      <c r="F739" t="s">
        <v>44</v>
      </c>
      <c r="G739">
        <v>-194.04949999999999</v>
      </c>
      <c r="H739" s="1">
        <v>-1.1304779999999999E-5</v>
      </c>
      <c r="I739">
        <v>372.70089999999999</v>
      </c>
      <c r="J739">
        <v>-265.80619999999999</v>
      </c>
      <c r="K739">
        <v>1.1201939999999999</v>
      </c>
      <c r="L739">
        <v>368.07429999999999</v>
      </c>
      <c r="M739">
        <v>0.99988940000000004</v>
      </c>
      <c r="N739">
        <v>-1.1468239999999999E-2</v>
      </c>
      <c r="O739">
        <v>-9.4788430000000007E-3</v>
      </c>
      <c r="P739">
        <v>0.97344269999999999</v>
      </c>
      <c r="Q739">
        <v>0.21663869999999999</v>
      </c>
      <c r="R739">
        <v>-7.4007600000000007E-2</v>
      </c>
      <c r="S739">
        <v>3.107758</v>
      </c>
      <c r="T739">
        <v>-4.8362849999999999E-2</v>
      </c>
      <c r="U739">
        <v>0.19964599999999999</v>
      </c>
      <c r="V739">
        <v>6.5102140000000003E-2</v>
      </c>
      <c r="W739">
        <v>0.22770299999999999</v>
      </c>
      <c r="X739">
        <v>0.97155190000000002</v>
      </c>
      <c r="Y739">
        <v>-7.3550599999999994E-2</v>
      </c>
      <c r="Z739">
        <v>1.032683E-3</v>
      </c>
      <c r="AA739">
        <v>0.99729100000000004</v>
      </c>
      <c r="AB739">
        <v>36</v>
      </c>
      <c r="AC739">
        <v>71.756699999999995</v>
      </c>
      <c r="AD739">
        <v>-1.12020530478</v>
      </c>
      <c r="AE739">
        <v>4.6265999999999901</v>
      </c>
      <c r="AF739">
        <v>-5.3053196883259996</v>
      </c>
      <c r="AG739">
        <v>-1.12020530478</v>
      </c>
      <c r="AH739">
        <v>71.692218538489101</v>
      </c>
      <c r="AI739">
        <v>90.892744519443994</v>
      </c>
      <c r="AJ739">
        <v>94.232249724721896</v>
      </c>
      <c r="AK739">
        <v>71.896978211122899</v>
      </c>
      <c r="AL739">
        <v>76.838124886565097</v>
      </c>
      <c r="AM739">
        <v>86.166432269798605</v>
      </c>
      <c r="AN739">
        <v>1.00000001961759</v>
      </c>
    </row>
    <row r="740" spans="1:40" x14ac:dyDescent="0.25">
      <c r="A740" t="str">
        <f>"20190303170954368"</f>
        <v>20190303170954368</v>
      </c>
      <c r="B740" t="str">
        <f>"1551604194360993"</f>
        <v>1551604194360993</v>
      </c>
      <c r="C740" t="s">
        <v>40</v>
      </c>
      <c r="D740">
        <v>4.5122489999999997</v>
      </c>
      <c r="E740">
        <v>0.43114200000000003</v>
      </c>
      <c r="F740" t="s">
        <v>45</v>
      </c>
      <c r="G740">
        <v>-158.19499999999999</v>
      </c>
      <c r="H740">
        <v>0.13260749999999999</v>
      </c>
      <c r="I740">
        <v>376.99200000000002</v>
      </c>
      <c r="J740">
        <v>-265.60250000000002</v>
      </c>
      <c r="K740">
        <v>1.120201</v>
      </c>
      <c r="L740">
        <v>368.07209999999998</v>
      </c>
      <c r="M740">
        <v>0.99988639999999995</v>
      </c>
      <c r="N740">
        <v>-1.144945E-2</v>
      </c>
      <c r="O740">
        <v>-9.8111770000000008E-3</v>
      </c>
      <c r="P740">
        <v>0.97345139999999997</v>
      </c>
      <c r="Q740">
        <v>0.2165398</v>
      </c>
      <c r="R740">
        <v>-7.4183789999999999E-2</v>
      </c>
      <c r="S740">
        <v>3.107758</v>
      </c>
      <c r="T740">
        <v>-2.8518439999999999E-2</v>
      </c>
      <c r="U740">
        <v>0.25753779999999998</v>
      </c>
      <c r="V740">
        <v>6.4953940000000002E-2</v>
      </c>
      <c r="W740">
        <v>0.22758600000000001</v>
      </c>
      <c r="X740">
        <v>0.97158920000000004</v>
      </c>
      <c r="Y740">
        <v>-9.2351859999999994E-2</v>
      </c>
      <c r="Z740">
        <v>9.3038699999999997E-4</v>
      </c>
      <c r="AA740">
        <v>0.995726</v>
      </c>
      <c r="AB740">
        <v>36</v>
      </c>
      <c r="AC740">
        <v>107.4075</v>
      </c>
      <c r="AD740">
        <v>-0.98759349999999901</v>
      </c>
      <c r="AE740">
        <v>8.9198999999999806</v>
      </c>
      <c r="AF740">
        <v>-9.9724962599023304</v>
      </c>
      <c r="AG740">
        <v>-0.98759349999999901</v>
      </c>
      <c r="AH740">
        <v>107.30579925811</v>
      </c>
      <c r="AI740">
        <v>90.525046857637406</v>
      </c>
      <c r="AJ740">
        <v>95.309549162514401</v>
      </c>
      <c r="AK740">
        <v>107.772726498854</v>
      </c>
      <c r="AL740">
        <v>76.845008817991399</v>
      </c>
      <c r="AM740">
        <v>86.175279561240103</v>
      </c>
      <c r="AN740">
        <v>0.99999998763708098</v>
      </c>
    </row>
    <row r="741" spans="1:40" x14ac:dyDescent="0.25">
      <c r="A741" t="str">
        <f>"20190303170954383"</f>
        <v>20190303170954383</v>
      </c>
      <c r="B741" t="str">
        <f>"1551604194371729"</f>
        <v>1551604194371729</v>
      </c>
      <c r="C741" t="s">
        <v>40</v>
      </c>
      <c r="D741">
        <v>4.5242909999999998</v>
      </c>
      <c r="E741">
        <v>0.42708360000000001</v>
      </c>
      <c r="F741" t="s">
        <v>45</v>
      </c>
      <c r="G741">
        <v>-158.19499999999999</v>
      </c>
      <c r="H741">
        <v>1.5470060000000001</v>
      </c>
      <c r="I741">
        <v>380.53429999999997</v>
      </c>
      <c r="J741">
        <v>-265.37380000000002</v>
      </c>
      <c r="K741">
        <v>1.120209</v>
      </c>
      <c r="L741">
        <v>368.06950000000001</v>
      </c>
      <c r="M741">
        <v>0.99988290000000002</v>
      </c>
      <c r="N741">
        <v>-1.142721E-2</v>
      </c>
      <c r="O741">
        <v>-1.0183660000000001E-2</v>
      </c>
      <c r="P741">
        <v>0.97340859999999996</v>
      </c>
      <c r="Q741">
        <v>0.21660499999999999</v>
      </c>
      <c r="R741">
        <v>-7.4552279999999999E-2</v>
      </c>
      <c r="S741">
        <v>3.1065369999999999</v>
      </c>
      <c r="T741">
        <v>1.234698E-2</v>
      </c>
      <c r="U741">
        <v>0.36044310000000002</v>
      </c>
      <c r="V741">
        <v>6.4959550000000005E-2</v>
      </c>
      <c r="W741">
        <v>0.22762959999999999</v>
      </c>
      <c r="X741">
        <v>0.97157859999999996</v>
      </c>
      <c r="Y741">
        <v>-0.12536520000000001</v>
      </c>
      <c r="Z741">
        <v>3.1408770000000003E-4</v>
      </c>
      <c r="AA741">
        <v>0.99211059999999995</v>
      </c>
      <c r="AB741">
        <v>36</v>
      </c>
      <c r="AC741">
        <v>107.1788</v>
      </c>
      <c r="AD741">
        <v>0.42679699999999898</v>
      </c>
      <c r="AE741">
        <v>12.464799999999901</v>
      </c>
      <c r="AF741">
        <v>-13.5554851457631</v>
      </c>
      <c r="AG741">
        <v>0.42679699999999898</v>
      </c>
      <c r="AH741">
        <v>107.04462120132</v>
      </c>
      <c r="AI741">
        <v>89.773367445908704</v>
      </c>
      <c r="AJ741">
        <v>97.217176911545707</v>
      </c>
      <c r="AK741">
        <v>107.90034412063</v>
      </c>
      <c r="AL741">
        <v>76.842443243743801</v>
      </c>
      <c r="AM741">
        <v>86.174908597244695</v>
      </c>
      <c r="AN741">
        <v>0.99999997695516096</v>
      </c>
    </row>
    <row r="742" spans="1:40" x14ac:dyDescent="0.25">
      <c r="A742" t="str">
        <f>"20190303170954397"</f>
        <v>20190303170954397</v>
      </c>
      <c r="B742" t="str">
        <f>"1551604194391249"</f>
        <v>1551604194391249</v>
      </c>
      <c r="C742" t="s">
        <v>40</v>
      </c>
      <c r="D742">
        <v>4.5027530000000002</v>
      </c>
      <c r="E742">
        <v>0.42194280000000001</v>
      </c>
      <c r="F742" t="s">
        <v>45</v>
      </c>
      <c r="G742">
        <v>-158.19499999999999</v>
      </c>
      <c r="H742">
        <v>2.0281060000000002</v>
      </c>
      <c r="I742">
        <v>381.55919999999998</v>
      </c>
      <c r="J742">
        <v>-265.13600000000002</v>
      </c>
      <c r="K742">
        <v>1.120215</v>
      </c>
      <c r="L742">
        <v>368.06670000000003</v>
      </c>
      <c r="M742">
        <v>0.99987919999999997</v>
      </c>
      <c r="N742">
        <v>-1.1402600000000001E-2</v>
      </c>
      <c r="O742">
        <v>-1.0569230000000001E-2</v>
      </c>
      <c r="P742">
        <v>0.97338599999999997</v>
      </c>
      <c r="Q742">
        <v>0.21657309999999999</v>
      </c>
      <c r="R742">
        <v>-7.4940989999999999E-2</v>
      </c>
      <c r="S742">
        <v>3.1060490000000001</v>
      </c>
      <c r="T742">
        <v>2.6313420000000001E-2</v>
      </c>
      <c r="U742">
        <v>0.39093020000000001</v>
      </c>
      <c r="V742">
        <v>6.4971979999999999E-2</v>
      </c>
      <c r="W742">
        <v>0.22757440000000001</v>
      </c>
      <c r="X742">
        <v>0.97159079999999998</v>
      </c>
      <c r="Y742">
        <v>-0.13535559999999999</v>
      </c>
      <c r="Z742" s="1">
        <v>-5.5487029999999998E-6</v>
      </c>
      <c r="AA742">
        <v>0.99079709999999999</v>
      </c>
      <c r="AB742">
        <v>36</v>
      </c>
      <c r="AC742">
        <v>106.94099999999899</v>
      </c>
      <c r="AD742">
        <v>0.907891</v>
      </c>
      <c r="AE742">
        <v>13.4924999999999</v>
      </c>
      <c r="AF742">
        <v>-14.6210664105086</v>
      </c>
      <c r="AG742">
        <v>0.907891</v>
      </c>
      <c r="AH742">
        <v>106.784835522414</v>
      </c>
      <c r="AI742">
        <v>89.517382293366694</v>
      </c>
      <c r="AJ742">
        <v>97.796504713782298</v>
      </c>
      <c r="AK742">
        <v>107.784975514203</v>
      </c>
      <c r="AL742">
        <v>76.845692518257906</v>
      </c>
      <c r="AM742">
        <v>86.174226737184398</v>
      </c>
      <c r="AN742">
        <v>1.0000000741825501</v>
      </c>
    </row>
    <row r="743" spans="1:40" x14ac:dyDescent="0.25">
      <c r="A743" t="str">
        <f>"20190303170954410"</f>
        <v>20190303170954410</v>
      </c>
      <c r="B743" t="str">
        <f>"1551604194401009"</f>
        <v>1551604194401009</v>
      </c>
      <c r="C743" t="s">
        <v>40</v>
      </c>
      <c r="D743">
        <v>4.5174570000000003</v>
      </c>
      <c r="E743">
        <v>0.42017539999999998</v>
      </c>
      <c r="F743" t="s">
        <v>45</v>
      </c>
      <c r="G743">
        <v>-168.83609999999999</v>
      </c>
      <c r="H743">
        <v>2.4202180000000002</v>
      </c>
      <c r="I743">
        <v>381.38529999999997</v>
      </c>
      <c r="J743">
        <v>-264.91500000000002</v>
      </c>
      <c r="K743">
        <v>1.1202219999999901</v>
      </c>
      <c r="L743">
        <v>368.06400000000002</v>
      </c>
      <c r="M743">
        <v>0.99987559999999998</v>
      </c>
      <c r="N743">
        <v>-1.1379200000000001E-2</v>
      </c>
      <c r="O743">
        <v>-1.0924649999999999E-2</v>
      </c>
      <c r="P743">
        <v>0.97340199999999999</v>
      </c>
      <c r="Q743">
        <v>0.2163939</v>
      </c>
      <c r="R743">
        <v>-7.5247679999999997E-2</v>
      </c>
      <c r="S743">
        <v>3.1057739999999998</v>
      </c>
      <c r="T743">
        <v>4.192924E-2</v>
      </c>
      <c r="U743">
        <v>0.4295349</v>
      </c>
      <c r="V743">
        <v>6.4931210000000003E-2</v>
      </c>
      <c r="W743">
        <v>0.22737289999999999</v>
      </c>
      <c r="X743">
        <v>0.97164059999999997</v>
      </c>
      <c r="Y743">
        <v>-0.14780699999999999</v>
      </c>
      <c r="Z743">
        <v>-4.1848349999999999E-4</v>
      </c>
      <c r="AA743">
        <v>0.98901609999999995</v>
      </c>
      <c r="AB743">
        <v>36</v>
      </c>
      <c r="AC743">
        <v>96.078900000000004</v>
      </c>
      <c r="AD743">
        <v>1.2999959999999999</v>
      </c>
      <c r="AE743">
        <v>13.3212999999999</v>
      </c>
      <c r="AF743">
        <v>-14.367620495430501</v>
      </c>
      <c r="AG743">
        <v>1.2999959999999999</v>
      </c>
      <c r="AH743">
        <v>95.910398140435802</v>
      </c>
      <c r="AI743">
        <v>89.232013017110503</v>
      </c>
      <c r="AJ743">
        <v>98.519700176879695</v>
      </c>
      <c r="AK743">
        <v>96.989293119177006</v>
      </c>
      <c r="AL743">
        <v>76.857547123615703</v>
      </c>
      <c r="AM743">
        <v>86.176815672612904</v>
      </c>
      <c r="AN743">
        <v>0.99999997662741602</v>
      </c>
    </row>
    <row r="744" spans="1:40" x14ac:dyDescent="0.25">
      <c r="A744" t="str">
        <f>"20190303170954422"</f>
        <v>20190303170954422</v>
      </c>
      <c r="B744" t="str">
        <f>"1551604194411746"</f>
        <v>1551604194411746</v>
      </c>
      <c r="C744" t="s">
        <v>40</v>
      </c>
      <c r="D744">
        <v>4.5225960000000001</v>
      </c>
      <c r="E744">
        <v>0.41881839999999998</v>
      </c>
      <c r="F744" t="s">
        <v>45</v>
      </c>
      <c r="G744">
        <v>-169.2955</v>
      </c>
      <c r="H744">
        <v>2.56108</v>
      </c>
      <c r="I744">
        <v>381.69330000000002</v>
      </c>
      <c r="J744">
        <v>-264.7235</v>
      </c>
      <c r="K744">
        <v>1.1202270000000001</v>
      </c>
      <c r="L744">
        <v>368.06169999999997</v>
      </c>
      <c r="M744">
        <v>0.9998726</v>
      </c>
      <c r="N744">
        <v>-1.135805E-2</v>
      </c>
      <c r="O744">
        <v>-1.123121E-2</v>
      </c>
      <c r="P744">
        <v>0.97341040000000001</v>
      </c>
      <c r="Q744">
        <v>0.21617710000000001</v>
      </c>
      <c r="R744">
        <v>-7.5762759999999998E-2</v>
      </c>
      <c r="S744">
        <v>3.105804</v>
      </c>
      <c r="T744">
        <v>4.6803119999999997E-2</v>
      </c>
      <c r="U744">
        <v>0.44268800000000003</v>
      </c>
      <c r="V744">
        <v>6.5146540000000003E-2</v>
      </c>
      <c r="W744">
        <v>0.227136</v>
      </c>
      <c r="X744">
        <v>0.97168160000000003</v>
      </c>
      <c r="Y744">
        <v>-0.15221229999999999</v>
      </c>
      <c r="Z744">
        <v>-5.6756419999999996E-4</v>
      </c>
      <c r="AA744">
        <v>0.98834759999999999</v>
      </c>
      <c r="AB744">
        <v>36</v>
      </c>
      <c r="AC744">
        <v>95.427999999999997</v>
      </c>
      <c r="AD744">
        <v>1.4408529999999999</v>
      </c>
      <c r="AE744">
        <v>13.631600000000001</v>
      </c>
      <c r="AF744">
        <v>-14.6992969058262</v>
      </c>
      <c r="AG744">
        <v>1.4408529999999999</v>
      </c>
      <c r="AH744">
        <v>95.247591304769699</v>
      </c>
      <c r="AI744">
        <v>89.143465607553793</v>
      </c>
      <c r="AJ744">
        <v>98.773086623386405</v>
      </c>
      <c r="AK744">
        <v>96.385937959090697</v>
      </c>
      <c r="AL744">
        <v>76.871485262371195</v>
      </c>
      <c r="AM744">
        <v>86.164336084213204</v>
      </c>
      <c r="AN744">
        <v>0.99999998297426496</v>
      </c>
    </row>
    <row r="745" spans="1:40" x14ac:dyDescent="0.25">
      <c r="A745" t="str">
        <f>"20190303170954434"</f>
        <v>20190303170954434</v>
      </c>
      <c r="B745" t="str">
        <f>"1551604194421505"</f>
        <v>1551604194421505</v>
      </c>
      <c r="C745" t="s">
        <v>40</v>
      </c>
      <c r="D745">
        <v>4.5199509999999998</v>
      </c>
      <c r="E745">
        <v>0.41767919999999997</v>
      </c>
      <c r="F745" t="s">
        <v>46</v>
      </c>
      <c r="G745">
        <v>-179.97329999999999</v>
      </c>
      <c r="H745">
        <v>2.489404</v>
      </c>
      <c r="I745">
        <v>380.38159999999999</v>
      </c>
      <c r="J745">
        <v>-264.52440000000001</v>
      </c>
      <c r="K745">
        <v>1.120233</v>
      </c>
      <c r="L745">
        <v>368.05919999999998</v>
      </c>
      <c r="M745">
        <v>0.99986909999999896</v>
      </c>
      <c r="N745">
        <v>-1.133515E-2</v>
      </c>
      <c r="O745">
        <v>-1.1548249999999999E-2</v>
      </c>
      <c r="P745">
        <v>0.9733984</v>
      </c>
      <c r="Q745">
        <v>0.21606890000000001</v>
      </c>
      <c r="R745">
        <v>-7.6223219999999994E-2</v>
      </c>
      <c r="S745">
        <v>3.105988</v>
      </c>
      <c r="T745">
        <v>5.01833E-2</v>
      </c>
      <c r="U745">
        <v>0.45150760000000001</v>
      </c>
      <c r="V745">
        <v>6.5296960000000001E-2</v>
      </c>
      <c r="W745">
        <v>0.22700600000000001</v>
      </c>
      <c r="X745">
        <v>0.97170190000000001</v>
      </c>
      <c r="Y745">
        <v>-0.15526409999999999</v>
      </c>
      <c r="Z745">
        <v>-6.7885850000000002E-4</v>
      </c>
      <c r="AA745">
        <v>0.9878728</v>
      </c>
      <c r="AB745">
        <v>36</v>
      </c>
      <c r="AC745">
        <v>84.551100000000005</v>
      </c>
      <c r="AD745">
        <v>1.3691709999999999</v>
      </c>
      <c r="AE745">
        <v>12.3224</v>
      </c>
      <c r="AF745">
        <v>-13.2946444357005</v>
      </c>
      <c r="AG745">
        <v>1.3691709999999999</v>
      </c>
      <c r="AH745">
        <v>84.381482965228898</v>
      </c>
      <c r="AI745">
        <v>89.081727680438405</v>
      </c>
      <c r="AJ745">
        <v>98.953580539422703</v>
      </c>
      <c r="AK745">
        <v>85.433347513193993</v>
      </c>
      <c r="AL745">
        <v>76.879133723461194</v>
      </c>
      <c r="AM745">
        <v>86.1555863374533</v>
      </c>
      <c r="AN745">
        <v>0.99999999974242504</v>
      </c>
    </row>
    <row r="746" spans="1:40" x14ac:dyDescent="0.25">
      <c r="A746" t="str">
        <f>"20190303170954445"</f>
        <v>20190303170954445</v>
      </c>
      <c r="B746" t="str">
        <f>"1551604194441025"</f>
        <v>1551604194441025</v>
      </c>
      <c r="C746" t="s">
        <v>40</v>
      </c>
      <c r="D746">
        <v>4.4956290000000001</v>
      </c>
      <c r="E746">
        <v>0.4159137</v>
      </c>
      <c r="F746" t="s">
        <v>46</v>
      </c>
      <c r="G746">
        <v>-179.9975</v>
      </c>
      <c r="H746">
        <v>2.602722</v>
      </c>
      <c r="I746">
        <v>380.53910000000002</v>
      </c>
      <c r="J746">
        <v>-264.34230000000002</v>
      </c>
      <c r="K746">
        <v>1.120242</v>
      </c>
      <c r="L746">
        <v>368.05680000000001</v>
      </c>
      <c r="M746">
        <v>0.99986609999999998</v>
      </c>
      <c r="N746">
        <v>-1.131427E-2</v>
      </c>
      <c r="O746">
        <v>-1.1833089999999999E-2</v>
      </c>
      <c r="P746">
        <v>0.97338829999999998</v>
      </c>
      <c r="Q746">
        <v>0.21595539999999999</v>
      </c>
      <c r="R746">
        <v>-7.6675320000000005E-2</v>
      </c>
      <c r="S746">
        <v>3.1058349999999999</v>
      </c>
      <c r="T746">
        <v>5.4476980000000001E-2</v>
      </c>
      <c r="U746">
        <v>0.4585571</v>
      </c>
      <c r="V746">
        <v>6.5469769999999997E-2</v>
      </c>
      <c r="W746">
        <v>0.2268722</v>
      </c>
      <c r="X746">
        <v>0.97172150000000002</v>
      </c>
      <c r="Y746">
        <v>-0.157744</v>
      </c>
      <c r="Z746">
        <v>-8.1821039999999904E-4</v>
      </c>
      <c r="AA746">
        <v>0.98747969999999896</v>
      </c>
      <c r="AB746">
        <v>36</v>
      </c>
      <c r="AC746">
        <v>84.344800000000006</v>
      </c>
      <c r="AD746">
        <v>1.48248</v>
      </c>
      <c r="AE746">
        <v>12.4823</v>
      </c>
      <c r="AF746">
        <v>-13.4754755642474</v>
      </c>
      <c r="AG746">
        <v>1.48248</v>
      </c>
      <c r="AH746">
        <v>84.165736241917202</v>
      </c>
      <c r="AI746">
        <v>89.003594434029594</v>
      </c>
      <c r="AJ746">
        <v>99.096222604116406</v>
      </c>
      <c r="AK746">
        <v>85.250556278402101</v>
      </c>
      <c r="AL746">
        <v>76.887005008851006</v>
      </c>
      <c r="AM746">
        <v>86.145520146856995</v>
      </c>
      <c r="AN746">
        <v>0.99999997973947097</v>
      </c>
    </row>
    <row r="747" spans="1:40" x14ac:dyDescent="0.25">
      <c r="A747" t="str">
        <f>"20190303170954457"</f>
        <v>20190303170954457</v>
      </c>
      <c r="B747" t="str">
        <f>"1551604194450785"</f>
        <v>1551604194450785</v>
      </c>
      <c r="C747" t="s">
        <v>40</v>
      </c>
      <c r="D747">
        <v>4.5030830000000002</v>
      </c>
      <c r="E747">
        <v>0.41512349999999998</v>
      </c>
      <c r="F747" t="s">
        <v>45</v>
      </c>
      <c r="G747">
        <v>-169.2955</v>
      </c>
      <c r="H747">
        <v>2.9365320000000001</v>
      </c>
      <c r="I747">
        <v>382.47710000000001</v>
      </c>
      <c r="J747">
        <v>-264.14920000000001</v>
      </c>
      <c r="K747">
        <v>1.120247</v>
      </c>
      <c r="L747">
        <v>368.05430000000001</v>
      </c>
      <c r="M747">
        <v>0.99986269999999999</v>
      </c>
      <c r="N747">
        <v>-1.129227E-2</v>
      </c>
      <c r="O747">
        <v>-1.2133049999999999E-2</v>
      </c>
      <c r="P747">
        <v>0.97334989999999999</v>
      </c>
      <c r="Q747">
        <v>0.21596470000000001</v>
      </c>
      <c r="R747">
        <v>-7.7130080000000004E-2</v>
      </c>
      <c r="S747">
        <v>3.1059269999999999</v>
      </c>
      <c r="T747">
        <v>5.935526E-2</v>
      </c>
      <c r="U747">
        <v>0.47122190000000003</v>
      </c>
      <c r="V747">
        <v>6.5630800000000003E-2</v>
      </c>
      <c r="W747">
        <v>0.2268606</v>
      </c>
      <c r="X747">
        <v>0.97171339999999995</v>
      </c>
      <c r="Y747">
        <v>-0.161968899999999</v>
      </c>
      <c r="Z747">
        <v>-9.8569479999999991E-4</v>
      </c>
      <c r="AA747">
        <v>0.98679539999999999</v>
      </c>
      <c r="AB747">
        <v>36</v>
      </c>
      <c r="AC747">
        <v>94.853700000000003</v>
      </c>
      <c r="AD747">
        <v>1.8162849999999999</v>
      </c>
      <c r="AE747">
        <v>14.422799999999899</v>
      </c>
      <c r="AF747">
        <v>-15.5670974181768</v>
      </c>
      <c r="AG747">
        <v>1.8162849999999999</v>
      </c>
      <c r="AH747">
        <v>94.637797967233794</v>
      </c>
      <c r="AI747">
        <v>88.915092439184804</v>
      </c>
      <c r="AJ747">
        <v>99.341010665363797</v>
      </c>
      <c r="AK747">
        <v>95.926775288837803</v>
      </c>
      <c r="AL747">
        <v>76.887688140879902</v>
      </c>
      <c r="AM747">
        <v>86.136036207513698</v>
      </c>
      <c r="AN747">
        <v>1.0000000327402701</v>
      </c>
    </row>
    <row r="748" spans="1:40" x14ac:dyDescent="0.25">
      <c r="A748" t="str">
        <f>"20190303170954469"</f>
        <v>20190303170954469</v>
      </c>
      <c r="B748" t="str">
        <f>"1551604194461521"</f>
        <v>1551604194461521</v>
      </c>
      <c r="C748" t="s">
        <v>40</v>
      </c>
      <c r="D748">
        <v>4.4845790000000001</v>
      </c>
      <c r="E748">
        <v>0.41455009999999998</v>
      </c>
      <c r="F748" t="s">
        <v>45</v>
      </c>
      <c r="G748">
        <v>-169.2955</v>
      </c>
      <c r="H748">
        <v>3.0231780000000001</v>
      </c>
      <c r="I748">
        <v>382.58819999999997</v>
      </c>
      <c r="J748">
        <v>-263.9554</v>
      </c>
      <c r="K748">
        <v>1.1202559999999999</v>
      </c>
      <c r="L748">
        <v>368.05160000000001</v>
      </c>
      <c r="M748">
        <v>0.99985950000000001</v>
      </c>
      <c r="N748">
        <v>-1.127156E-2</v>
      </c>
      <c r="O748">
        <v>-1.242475E-2</v>
      </c>
      <c r="P748">
        <v>0.97325139999999999</v>
      </c>
      <c r="Q748">
        <v>0.21625620000000001</v>
      </c>
      <c r="R748">
        <v>-7.7558669999999996E-2</v>
      </c>
      <c r="S748">
        <v>3.1060490000000001</v>
      </c>
      <c r="T748">
        <v>6.2315580000000002E-2</v>
      </c>
      <c r="U748">
        <v>0.4759216</v>
      </c>
      <c r="V748">
        <v>6.5772780000000003E-2</v>
      </c>
      <c r="W748">
        <v>0.22713179999999999</v>
      </c>
      <c r="X748">
        <v>0.97164039999999996</v>
      </c>
      <c r="Y748">
        <v>-0.1637072</v>
      </c>
      <c r="Z748">
        <v>-1.0915160000000001E-3</v>
      </c>
      <c r="AA748">
        <v>0.98650839999999995</v>
      </c>
      <c r="AB748">
        <v>36</v>
      </c>
      <c r="AC748">
        <v>94.659899999999993</v>
      </c>
      <c r="AD748">
        <v>1.902922</v>
      </c>
      <c r="AE748">
        <v>14.5365999999999</v>
      </c>
      <c r="AF748">
        <v>-15.705477164419801</v>
      </c>
      <c r="AG748">
        <v>1.902922</v>
      </c>
      <c r="AH748">
        <v>94.434683549092</v>
      </c>
      <c r="AI748">
        <v>88.861244864601204</v>
      </c>
      <c r="AJ748">
        <v>99.442464409033505</v>
      </c>
      <c r="AK748">
        <v>95.750679277576694</v>
      </c>
      <c r="AL748">
        <v>76.871732457352905</v>
      </c>
      <c r="AM748">
        <v>86.127412602387196</v>
      </c>
      <c r="AN748">
        <v>0.99999999003616402</v>
      </c>
    </row>
    <row r="749" spans="1:40" x14ac:dyDescent="0.25">
      <c r="A749" t="str">
        <f>"20190303170954481"</f>
        <v>20190303170954481</v>
      </c>
      <c r="B749" t="str">
        <f>"1551604194471282"</f>
        <v>1551604194471282</v>
      </c>
      <c r="C749" t="s">
        <v>40</v>
      </c>
      <c r="D749">
        <v>4.4999949999999904</v>
      </c>
      <c r="E749">
        <v>0.4139911</v>
      </c>
      <c r="F749" t="s">
        <v>45</v>
      </c>
      <c r="G749">
        <v>-169.2955</v>
      </c>
      <c r="H749">
        <v>3.1089250000000002</v>
      </c>
      <c r="I749">
        <v>382.65199999999999</v>
      </c>
      <c r="J749">
        <v>-263.77949999999998</v>
      </c>
      <c r="K749">
        <v>1.1202620000000001</v>
      </c>
      <c r="L749">
        <v>368.04930000000002</v>
      </c>
      <c r="M749">
        <v>0.99985619999999997</v>
      </c>
      <c r="N749">
        <v>-1.1253330000000001E-2</v>
      </c>
      <c r="O749">
        <v>-1.268439E-2</v>
      </c>
      <c r="P749">
        <v>0.97317549999999997</v>
      </c>
      <c r="Q749">
        <v>0.21641850000000001</v>
      </c>
      <c r="R749">
        <v>-7.8054349999999995E-2</v>
      </c>
      <c r="S749">
        <v>3.1061709999999998</v>
      </c>
      <c r="T749">
        <v>6.5258979999999994E-2</v>
      </c>
      <c r="U749">
        <v>0.47909550000000001</v>
      </c>
      <c r="V749">
        <v>6.6012669999999996E-2</v>
      </c>
      <c r="W749">
        <v>0.22727720000000001</v>
      </c>
      <c r="X749">
        <v>0.97159019999999996</v>
      </c>
      <c r="Y749">
        <v>-0.16493929999999901</v>
      </c>
      <c r="Z749">
        <v>-1.195492E-3</v>
      </c>
      <c r="AA749">
        <v>0.98630300000000004</v>
      </c>
      <c r="AB749">
        <v>36</v>
      </c>
      <c r="AC749">
        <v>94.483999999999895</v>
      </c>
      <c r="AD749">
        <v>1.9886630000000001</v>
      </c>
      <c r="AE749">
        <v>14.602699999999899</v>
      </c>
      <c r="AF749">
        <v>-15.793239670173101</v>
      </c>
      <c r="AG749">
        <v>1.9886630000000001</v>
      </c>
      <c r="AH749">
        <v>94.250380653387495</v>
      </c>
      <c r="AI749">
        <v>88.807866573483594</v>
      </c>
      <c r="AJ749">
        <v>99.512497772874795</v>
      </c>
      <c r="AK749">
        <v>95.585121504947296</v>
      </c>
      <c r="AL749">
        <v>76.863178826788598</v>
      </c>
      <c r="AM749">
        <v>86.113131305765705</v>
      </c>
      <c r="AN749">
        <v>1.0000000574882</v>
      </c>
    </row>
    <row r="750" spans="1:40" x14ac:dyDescent="0.25">
      <c r="A750" t="str">
        <f>"20190303170954491"</f>
        <v>20190303170954491</v>
      </c>
      <c r="B750" t="str">
        <f>"1551604194481041"</f>
        <v>1551604194481041</v>
      </c>
      <c r="C750" t="s">
        <v>40</v>
      </c>
      <c r="D750">
        <v>4.4742360000000003</v>
      </c>
      <c r="E750">
        <v>0.4135702</v>
      </c>
      <c r="F750" t="s">
        <v>45</v>
      </c>
      <c r="G750">
        <v>-169.2955</v>
      </c>
      <c r="H750">
        <v>3.1885919999999999</v>
      </c>
      <c r="I750">
        <v>382.70839999999998</v>
      </c>
      <c r="J750">
        <v>-263.59249999999997</v>
      </c>
      <c r="K750">
        <v>1.120274</v>
      </c>
      <c r="L750">
        <v>368.04669999999999</v>
      </c>
      <c r="M750">
        <v>0.99985299999999999</v>
      </c>
      <c r="N750">
        <v>-1.1234930000000001E-2</v>
      </c>
      <c r="O750">
        <v>-1.2951860000000001E-2</v>
      </c>
      <c r="P750">
        <v>0.97312489999999996</v>
      </c>
      <c r="Q750">
        <v>0.21654889999999999</v>
      </c>
      <c r="R750">
        <v>-7.8325549999999994E-2</v>
      </c>
      <c r="S750">
        <v>3.1062620000000001</v>
      </c>
      <c r="T750">
        <v>6.8001389999999995E-2</v>
      </c>
      <c r="U750">
        <v>0.48193359999999902</v>
      </c>
      <c r="V750">
        <v>6.6018370000000007E-2</v>
      </c>
      <c r="W750">
        <v>0.2273905</v>
      </c>
      <c r="X750">
        <v>0.97156319999999996</v>
      </c>
      <c r="Y750">
        <v>-0.1660759</v>
      </c>
      <c r="Z750">
        <v>-1.294744E-3</v>
      </c>
      <c r="AA750">
        <v>0.98611210000000005</v>
      </c>
      <c r="AB750">
        <v>36</v>
      </c>
      <c r="AC750">
        <v>94.296999999999898</v>
      </c>
      <c r="AD750">
        <v>2.0683180000000001</v>
      </c>
      <c r="AE750">
        <v>14.6616999999999</v>
      </c>
      <c r="AF750">
        <v>-15.874411703705199</v>
      </c>
      <c r="AG750">
        <v>2.0683180000000001</v>
      </c>
      <c r="AH750">
        <v>94.054999096987004</v>
      </c>
      <c r="AI750">
        <v>88.757802031648893</v>
      </c>
      <c r="AJ750">
        <v>99.579981036860701</v>
      </c>
      <c r="AK750">
        <v>95.407639848295602</v>
      </c>
      <c r="AL750">
        <v>76.856511345415996</v>
      </c>
      <c r="AM750">
        <v>86.112689019747805</v>
      </c>
      <c r="AN750">
        <v>0.99999995813097198</v>
      </c>
    </row>
    <row r="751" spans="1:40" x14ac:dyDescent="0.25">
      <c r="A751" t="str">
        <f>"20190303170954503"</f>
        <v>20190303170954503</v>
      </c>
      <c r="B751" t="str">
        <f>"1551604194490801"</f>
        <v>1551604194490801</v>
      </c>
      <c r="C751" t="s">
        <v>40</v>
      </c>
      <c r="D751">
        <v>4.4819509999999996</v>
      </c>
      <c r="E751">
        <v>0.4131435</v>
      </c>
      <c r="F751" t="s">
        <v>45</v>
      </c>
      <c r="G751">
        <v>-169.2955</v>
      </c>
      <c r="H751">
        <v>3.2446130000000002</v>
      </c>
      <c r="I751">
        <v>382.75170000000003</v>
      </c>
      <c r="J751">
        <v>-263.40839999999997</v>
      </c>
      <c r="K751">
        <v>1.120285</v>
      </c>
      <c r="L751">
        <v>368.04399999999998</v>
      </c>
      <c r="M751">
        <v>0.99985000000000002</v>
      </c>
      <c r="N751">
        <v>-1.12178E-2</v>
      </c>
      <c r="O751">
        <v>-1.320225E-2</v>
      </c>
      <c r="P751">
        <v>0.97303899999999999</v>
      </c>
      <c r="Q751">
        <v>0.21675539999999999</v>
      </c>
      <c r="R751">
        <v>-7.8817399999999996E-2</v>
      </c>
      <c r="S751">
        <v>3.106293</v>
      </c>
      <c r="T751">
        <v>6.9981929999999998E-2</v>
      </c>
      <c r="U751">
        <v>0.48440549999999999</v>
      </c>
      <c r="V751">
        <v>6.6260470000000002E-2</v>
      </c>
      <c r="W751">
        <v>0.22758129999999999</v>
      </c>
      <c r="X751">
        <v>0.97150210000000004</v>
      </c>
      <c r="Y751">
        <v>-0.16708519999999999</v>
      </c>
      <c r="Z751">
        <v>-1.3705529999999901E-3</v>
      </c>
      <c r="AA751">
        <v>0.98594150000000003</v>
      </c>
      <c r="AB751">
        <v>36</v>
      </c>
      <c r="AC751">
        <v>94.112899999999897</v>
      </c>
      <c r="AD751">
        <v>2.12432799999999</v>
      </c>
      <c r="AE751">
        <v>14.7076999999999</v>
      </c>
      <c r="AF751">
        <v>-15.941069773998001</v>
      </c>
      <c r="AG751">
        <v>2.12432799999999</v>
      </c>
      <c r="AH751">
        <v>93.863826206521694</v>
      </c>
      <c r="AI751">
        <v>88.721798356968193</v>
      </c>
      <c r="AJ751">
        <v>99.638682876783307</v>
      </c>
      <c r="AK751">
        <v>95.231551206095403</v>
      </c>
      <c r="AL751">
        <v>76.845285720183398</v>
      </c>
      <c r="AM751">
        <v>86.098232952070902</v>
      </c>
      <c r="AN751">
        <v>1.0000000141493599</v>
      </c>
    </row>
    <row r="752" spans="1:40" x14ac:dyDescent="0.25">
      <c r="A752" t="str">
        <f>"20190303170954516"</f>
        <v>20190303170954516</v>
      </c>
      <c r="B752" t="str">
        <f>"1551604194511297"</f>
        <v>1551604194511297</v>
      </c>
      <c r="C752" t="s">
        <v>40</v>
      </c>
      <c r="D752">
        <v>4.482418</v>
      </c>
      <c r="E752">
        <v>0.41250779999999898</v>
      </c>
      <c r="F752" t="s">
        <v>45</v>
      </c>
      <c r="G752">
        <v>-169.2955</v>
      </c>
      <c r="H752">
        <v>3.3082569999999998</v>
      </c>
      <c r="I752">
        <v>382.78429999999997</v>
      </c>
      <c r="J752">
        <v>-263.202</v>
      </c>
      <c r="K752">
        <v>1.120306</v>
      </c>
      <c r="L752">
        <v>368.04109999999997</v>
      </c>
      <c r="M752">
        <v>0.99984649999999997</v>
      </c>
      <c r="N752">
        <v>-1.1199290000000001E-2</v>
      </c>
      <c r="O752">
        <v>-1.34745E-2</v>
      </c>
      <c r="P752">
        <v>0.97302310000000003</v>
      </c>
      <c r="Q752">
        <v>0.21667929999999999</v>
      </c>
      <c r="R752">
        <v>-7.9222589999999996E-2</v>
      </c>
      <c r="S752">
        <v>3.1064449999999999</v>
      </c>
      <c r="T752">
        <v>7.2222590000000003E-2</v>
      </c>
      <c r="U752">
        <v>0.48654170000000002</v>
      </c>
      <c r="V752">
        <v>6.63913E-2</v>
      </c>
      <c r="W752">
        <v>0.22749030000000001</v>
      </c>
      <c r="X752">
        <v>0.97151449999999995</v>
      </c>
      <c r="Y752">
        <v>-0.1680055</v>
      </c>
      <c r="Z752">
        <v>-1.4556860000000001E-3</v>
      </c>
      <c r="AA752">
        <v>0.98578500000000002</v>
      </c>
      <c r="AB752">
        <v>36</v>
      </c>
      <c r="AC752">
        <v>93.906499999999994</v>
      </c>
      <c r="AD752">
        <v>2.187951</v>
      </c>
      <c r="AE752">
        <v>14.7432</v>
      </c>
      <c r="AF752">
        <v>-15.9988077463463</v>
      </c>
      <c r="AG752">
        <v>2.187951</v>
      </c>
      <c r="AH752">
        <v>93.649688644801202</v>
      </c>
      <c r="AI752">
        <v>88.680740099504902</v>
      </c>
      <c r="AJ752">
        <v>99.694634078320107</v>
      </c>
      <c r="AK752">
        <v>95.031642951972401</v>
      </c>
      <c r="AL752">
        <v>76.850640328248403</v>
      </c>
      <c r="AM752">
        <v>86.090602599176407</v>
      </c>
      <c r="AN752">
        <v>1.00000003251001</v>
      </c>
    </row>
    <row r="753" spans="1:40" x14ac:dyDescent="0.25">
      <c r="A753" t="str">
        <f>"20190303170954530"</f>
        <v>20190303170954530</v>
      </c>
      <c r="B753" t="str">
        <f>"1551604194521057"</f>
        <v>1551604194521057</v>
      </c>
      <c r="C753" t="s">
        <v>40</v>
      </c>
      <c r="D753">
        <v>4.4636009999999997</v>
      </c>
      <c r="E753">
        <v>0.412271</v>
      </c>
      <c r="F753" t="s">
        <v>45</v>
      </c>
      <c r="G753">
        <v>-169.2955</v>
      </c>
      <c r="H753">
        <v>3.342733</v>
      </c>
      <c r="I753">
        <v>382.85390000000001</v>
      </c>
      <c r="J753">
        <v>-262.97280000000001</v>
      </c>
      <c r="K753">
        <v>1.1203299999999901</v>
      </c>
      <c r="L753">
        <v>368.03769999999997</v>
      </c>
      <c r="M753">
        <v>0.99984309999999998</v>
      </c>
      <c r="N753">
        <v>-1.1180519999999999E-2</v>
      </c>
      <c r="O753">
        <v>-1.3744350000000001E-2</v>
      </c>
      <c r="P753">
        <v>0.97312829999999995</v>
      </c>
      <c r="Q753">
        <v>0.21610940000000001</v>
      </c>
      <c r="R753">
        <v>-7.9487730000000006E-2</v>
      </c>
      <c r="S753">
        <v>3.1067200000000001</v>
      </c>
      <c r="T753">
        <v>7.3527690000000007E-2</v>
      </c>
      <c r="U753">
        <v>0.49005130000000002</v>
      </c>
      <c r="V753">
        <v>6.6377099999999994E-2</v>
      </c>
      <c r="W753">
        <v>0.22690759999999999</v>
      </c>
      <c r="X753">
        <v>0.97165170000000001</v>
      </c>
      <c r="Y753">
        <v>-0.16934299999999999</v>
      </c>
      <c r="Z753">
        <v>-1.5147649999999999E-3</v>
      </c>
      <c r="AA753">
        <v>0.98555599999999999</v>
      </c>
      <c r="AB753">
        <v>36</v>
      </c>
      <c r="AC753">
        <v>93.677300000000002</v>
      </c>
      <c r="AD753">
        <v>2.2224029999999999</v>
      </c>
      <c r="AE753">
        <v>14.8162</v>
      </c>
      <c r="AF753">
        <v>-16.0935774236032</v>
      </c>
      <c r="AG753">
        <v>2.2224029999999999</v>
      </c>
      <c r="AH753">
        <v>93.413505786616597</v>
      </c>
      <c r="AI753">
        <v>88.656911090725501</v>
      </c>
      <c r="AJ753">
        <v>99.775140280159803</v>
      </c>
      <c r="AK753">
        <v>94.815744329357997</v>
      </c>
      <c r="AL753">
        <v>76.884922725490398</v>
      </c>
      <c r="AM753">
        <v>86.091986352745096</v>
      </c>
      <c r="AN753">
        <v>1.0000000022275299</v>
      </c>
    </row>
    <row r="754" spans="1:40" x14ac:dyDescent="0.25">
      <c r="A754" t="str">
        <f>"20190303170954544"</f>
        <v>20190303170954544</v>
      </c>
      <c r="B754" t="str">
        <f>"1551604194531793"</f>
        <v>1551604194531793</v>
      </c>
      <c r="C754" t="s">
        <v>40</v>
      </c>
      <c r="D754">
        <v>4.4517930000000003</v>
      </c>
      <c r="E754">
        <v>0.4120897</v>
      </c>
      <c r="F754" t="s">
        <v>45</v>
      </c>
      <c r="G754">
        <v>-169.2955</v>
      </c>
      <c r="H754">
        <v>3.3095840000000001</v>
      </c>
      <c r="I754">
        <v>382.86509999999998</v>
      </c>
      <c r="J754">
        <v>-262.75060000000002</v>
      </c>
      <c r="K754">
        <v>1.1203620000000001</v>
      </c>
      <c r="L754">
        <v>368.03449999999998</v>
      </c>
      <c r="M754">
        <v>0.99983999999999995</v>
      </c>
      <c r="N754">
        <v>-1.116344E-2</v>
      </c>
      <c r="O754">
        <v>-1.3982100000000001E-2</v>
      </c>
      <c r="P754">
        <v>0.97319730000000004</v>
      </c>
      <c r="Q754">
        <v>0.21571580000000001</v>
      </c>
      <c r="R754">
        <v>-7.971056E-2</v>
      </c>
      <c r="S754">
        <v>3.1068730000000002</v>
      </c>
      <c r="T754">
        <v>7.2610969999999997E-2</v>
      </c>
      <c r="U754">
        <v>0.49176029999999998</v>
      </c>
      <c r="V754">
        <v>6.6350549999999994E-2</v>
      </c>
      <c r="W754">
        <v>0.22650300000000001</v>
      </c>
      <c r="X754">
        <v>0.9717479</v>
      </c>
      <c r="Y754">
        <v>-0.17009949999999999</v>
      </c>
      <c r="Z754">
        <v>-1.499579E-3</v>
      </c>
      <c r="AA754">
        <v>0.98542580000000002</v>
      </c>
      <c r="AB754">
        <v>36</v>
      </c>
      <c r="AC754">
        <v>93.455100000000002</v>
      </c>
      <c r="AD754">
        <v>2.189222</v>
      </c>
      <c r="AE754">
        <v>14.8306</v>
      </c>
      <c r="AF754">
        <v>-16.127297508565899</v>
      </c>
      <c r="AG754">
        <v>2.189222</v>
      </c>
      <c r="AH754">
        <v>93.188706355226898</v>
      </c>
      <c r="AI754">
        <v>88.673938909434199</v>
      </c>
      <c r="AJ754">
        <v>99.818395025535494</v>
      </c>
      <c r="AK754">
        <v>94.5992463503583</v>
      </c>
      <c r="AL754">
        <v>76.908724185047802</v>
      </c>
      <c r="AM754">
        <v>86.093930197632901</v>
      </c>
      <c r="AN754">
        <v>0.99999999282435603</v>
      </c>
    </row>
    <row r="755" spans="1:40" x14ac:dyDescent="0.25">
      <c r="A755" t="str">
        <f>"20190303170954557"</f>
        <v>20190303170954557</v>
      </c>
      <c r="B755" t="str">
        <f>"1551604194551313"</f>
        <v>1551604194551313</v>
      </c>
      <c r="C755" t="s">
        <v>40</v>
      </c>
      <c r="D755">
        <v>4.4781420000000001</v>
      </c>
      <c r="E755">
        <v>0.41169309999999998</v>
      </c>
      <c r="F755" t="s">
        <v>45</v>
      </c>
      <c r="G755">
        <v>-169.2955</v>
      </c>
      <c r="H755">
        <v>3.2823549999999999</v>
      </c>
      <c r="I755">
        <v>382.85149999999999</v>
      </c>
      <c r="J755">
        <v>-262.53280000000001</v>
      </c>
      <c r="K755">
        <v>1.120393</v>
      </c>
      <c r="L755">
        <v>368.03120000000001</v>
      </c>
      <c r="M755">
        <v>0.99983719999999998</v>
      </c>
      <c r="N755">
        <v>-1.114767E-2</v>
      </c>
      <c r="O755">
        <v>-1.419406E-2</v>
      </c>
      <c r="P755">
        <v>0.97325519999999999</v>
      </c>
      <c r="Q755">
        <v>0.2153554</v>
      </c>
      <c r="R755">
        <v>-7.9980079999999995E-2</v>
      </c>
      <c r="S755">
        <v>3.107056</v>
      </c>
      <c r="T755">
        <v>7.1881529999999999E-2</v>
      </c>
      <c r="U755">
        <v>0.49261470000000002</v>
      </c>
      <c r="V755">
        <v>6.6394339999999996E-2</v>
      </c>
      <c r="W755">
        <v>0.2261338</v>
      </c>
      <c r="X755">
        <v>0.97183090000000005</v>
      </c>
      <c r="Y755">
        <v>-0.1705644</v>
      </c>
      <c r="Z755">
        <v>-1.4873670000000001E-3</v>
      </c>
      <c r="AA755">
        <v>0.98534540000000004</v>
      </c>
      <c r="AB755">
        <v>36</v>
      </c>
      <c r="AC755">
        <v>93.237300000000005</v>
      </c>
      <c r="AD755">
        <v>2.1619619999999999</v>
      </c>
      <c r="AE755">
        <v>14.8202999999999</v>
      </c>
      <c r="AF755">
        <v>-16.133843834619501</v>
      </c>
      <c r="AG755">
        <v>2.1619619999999999</v>
      </c>
      <c r="AH755">
        <v>92.968777960893803</v>
      </c>
      <c r="AI755">
        <v>88.687454223271601</v>
      </c>
      <c r="AJ755">
        <v>99.845084500429607</v>
      </c>
      <c r="AK755">
        <v>94.383095266638193</v>
      </c>
      <c r="AL755">
        <v>76.930441381503599</v>
      </c>
      <c r="AM755">
        <v>86.091693045742502</v>
      </c>
      <c r="AN755">
        <v>1.00000000104064</v>
      </c>
    </row>
    <row r="756" spans="1:40" x14ac:dyDescent="0.25">
      <c r="A756" t="str">
        <f>"20190303170954570"</f>
        <v>20190303170954570</v>
      </c>
      <c r="B756" t="str">
        <f>"1551604194561073"</f>
        <v>1551604194561073</v>
      </c>
      <c r="C756" t="s">
        <v>40</v>
      </c>
      <c r="D756">
        <v>4.4649660000000004</v>
      </c>
      <c r="E756">
        <v>0.41141230000000001</v>
      </c>
      <c r="F756" t="s">
        <v>45</v>
      </c>
      <c r="G756">
        <v>-169.2955</v>
      </c>
      <c r="H756">
        <v>3.2669130000000002</v>
      </c>
      <c r="I756">
        <v>382.89240000000001</v>
      </c>
      <c r="J756">
        <v>-262.3107</v>
      </c>
      <c r="K756">
        <v>1.12043</v>
      </c>
      <c r="L756">
        <v>368.02789999999999</v>
      </c>
      <c r="M756">
        <v>0.99983489999999997</v>
      </c>
      <c r="N756">
        <v>-1.113313E-2</v>
      </c>
      <c r="O756">
        <v>-1.436923E-2</v>
      </c>
      <c r="P756">
        <v>0.97329239999999995</v>
      </c>
      <c r="Q756">
        <v>0.21508260000000001</v>
      </c>
      <c r="R756">
        <v>-8.0260799999999993E-2</v>
      </c>
      <c r="S756">
        <v>3.1072690000000001</v>
      </c>
      <c r="T756">
        <v>7.1538690000000002E-2</v>
      </c>
      <c r="U756">
        <v>0.49526979999999998</v>
      </c>
      <c r="V756">
        <v>6.6482399999999997E-2</v>
      </c>
      <c r="W756">
        <v>0.2258532</v>
      </c>
      <c r="X756">
        <v>0.97189020000000004</v>
      </c>
      <c r="Y756">
        <v>-0.171547799999999</v>
      </c>
      <c r="Z756">
        <v>-1.4888130000000001E-3</v>
      </c>
      <c r="AA756">
        <v>0.98517469999999996</v>
      </c>
      <c r="AB756">
        <v>36</v>
      </c>
      <c r="AC756">
        <v>93.015199999999993</v>
      </c>
      <c r="AD756">
        <v>2.1464829999999999</v>
      </c>
      <c r="AE756">
        <v>14.8645</v>
      </c>
      <c r="AF756">
        <v>-16.191196993378998</v>
      </c>
      <c r="AG756">
        <v>2.1464829999999999</v>
      </c>
      <c r="AH756">
        <v>92.743831736540002</v>
      </c>
      <c r="AI756">
        <v>88.693918028639004</v>
      </c>
      <c r="AJ756">
        <v>99.902882002851896</v>
      </c>
      <c r="AK756">
        <v>94.171017699307797</v>
      </c>
      <c r="AL756">
        <v>76.946946464872994</v>
      </c>
      <c r="AM756">
        <v>86.086763524163004</v>
      </c>
      <c r="AN756">
        <v>1.00000006915801</v>
      </c>
    </row>
    <row r="757" spans="1:40" x14ac:dyDescent="0.25">
      <c r="A757" t="str">
        <f>"20190303170954585"</f>
        <v>20190303170954585</v>
      </c>
      <c r="B757" t="str">
        <f>"1551604194570834"</f>
        <v>1551604194570834</v>
      </c>
      <c r="C757" t="s">
        <v>40</v>
      </c>
      <c r="D757">
        <v>4.4681850000000001</v>
      </c>
      <c r="E757">
        <v>0.41116960000000002</v>
      </c>
      <c r="F757" t="s">
        <v>45</v>
      </c>
      <c r="G757">
        <v>-169.2955</v>
      </c>
      <c r="H757">
        <v>3.2551070000000002</v>
      </c>
      <c r="I757">
        <v>382.88350000000003</v>
      </c>
      <c r="J757">
        <v>-262.0838</v>
      </c>
      <c r="K757">
        <v>1.1204700000000001</v>
      </c>
      <c r="L757">
        <v>368.02449999999999</v>
      </c>
      <c r="M757">
        <v>0.99983270000000002</v>
      </c>
      <c r="N757">
        <v>-1.11193E-2</v>
      </c>
      <c r="O757">
        <v>-1.452198E-2</v>
      </c>
      <c r="P757">
        <v>0.97328009999999998</v>
      </c>
      <c r="Q757">
        <v>0.21508240000000001</v>
      </c>
      <c r="R757">
        <v>-8.0408380000000002E-2</v>
      </c>
      <c r="S757">
        <v>3.107513</v>
      </c>
      <c r="T757">
        <v>7.1319579999999994E-2</v>
      </c>
      <c r="U757">
        <v>0.49630740000000001</v>
      </c>
      <c r="V757">
        <v>6.6459420000000005E-2</v>
      </c>
      <c r="W757">
        <v>0.2258463</v>
      </c>
      <c r="X757">
        <v>0.97189329999999996</v>
      </c>
      <c r="Y757">
        <v>-0.1720071</v>
      </c>
      <c r="Z757">
        <v>-1.49037E-3</v>
      </c>
      <c r="AA757">
        <v>0.98509460000000004</v>
      </c>
      <c r="AB757">
        <v>36</v>
      </c>
      <c r="AC757">
        <v>92.788300000000007</v>
      </c>
      <c r="AD757">
        <v>2.1346370000000001</v>
      </c>
      <c r="AE757">
        <v>14.859</v>
      </c>
      <c r="AF757">
        <v>-16.1966283557297</v>
      </c>
      <c r="AG757">
        <v>2.1346370000000001</v>
      </c>
      <c r="AH757">
        <v>92.514979471873403</v>
      </c>
      <c r="AI757">
        <v>88.698019970871002</v>
      </c>
      <c r="AJ757">
        <v>99.930155554405999</v>
      </c>
      <c r="AK757">
        <v>93.946308452735707</v>
      </c>
      <c r="AL757">
        <v>76.947351321727595</v>
      </c>
      <c r="AM757">
        <v>86.088124393914399</v>
      </c>
      <c r="AN757">
        <v>0.999999996157658</v>
      </c>
    </row>
    <row r="758" spans="1:40" x14ac:dyDescent="0.25">
      <c r="A758" t="str">
        <f>"20190303170954599"</f>
        <v>20190303170954599</v>
      </c>
      <c r="B758" t="str">
        <f>"1551604194591329"</f>
        <v>1551604194591329</v>
      </c>
      <c r="C758" t="s">
        <v>40</v>
      </c>
      <c r="D758">
        <v>4.4480279999999999</v>
      </c>
      <c r="E758">
        <v>0.4107227</v>
      </c>
      <c r="F758" t="s">
        <v>45</v>
      </c>
      <c r="G758">
        <v>-169.2955</v>
      </c>
      <c r="H758">
        <v>3.2687909999999998</v>
      </c>
      <c r="I758">
        <v>382.89109999999999</v>
      </c>
      <c r="J758">
        <v>-261.8526</v>
      </c>
      <c r="K758">
        <v>1.1205099999999999</v>
      </c>
      <c r="L758">
        <v>368.02100000000002</v>
      </c>
      <c r="M758">
        <v>0.99983100000000003</v>
      </c>
      <c r="N758">
        <v>-1.110621E-2</v>
      </c>
      <c r="O758">
        <v>-1.465147E-2</v>
      </c>
      <c r="P758">
        <v>0.97328130000000002</v>
      </c>
      <c r="Q758">
        <v>0.21510280000000001</v>
      </c>
      <c r="R758">
        <v>-8.0340910000000001E-2</v>
      </c>
      <c r="S758">
        <v>3.1075740000000001</v>
      </c>
      <c r="T758">
        <v>7.1952340000000004E-2</v>
      </c>
      <c r="U758">
        <v>0.49789430000000001</v>
      </c>
      <c r="V758">
        <v>6.6242629999999997E-2</v>
      </c>
      <c r="W758">
        <v>0.22586059999999999</v>
      </c>
      <c r="X758">
        <v>0.97190480000000001</v>
      </c>
      <c r="Y758">
        <v>-0.17262130000000001</v>
      </c>
      <c r="Z758">
        <v>-1.5195040000000001E-3</v>
      </c>
      <c r="AA758">
        <v>0.9849871</v>
      </c>
      <c r="AB758">
        <v>36</v>
      </c>
      <c r="AC758">
        <v>92.557100000000005</v>
      </c>
      <c r="AD758">
        <v>2.1482809999999999</v>
      </c>
      <c r="AE758">
        <v>14.870100000000001</v>
      </c>
      <c r="AF758">
        <v>-16.216168703171</v>
      </c>
      <c r="AG758">
        <v>2.1482809999999999</v>
      </c>
      <c r="AH758">
        <v>92.280818973871405</v>
      </c>
      <c r="AI758">
        <v>88.686523854812606</v>
      </c>
      <c r="AJ758">
        <v>99.9666189873154</v>
      </c>
      <c r="AK758">
        <v>93.719415219862995</v>
      </c>
      <c r="AL758">
        <v>76.946510556429104</v>
      </c>
      <c r="AM758">
        <v>86.100891463928306</v>
      </c>
      <c r="AN758">
        <v>1.0000000184623501</v>
      </c>
    </row>
    <row r="759" spans="1:40" x14ac:dyDescent="0.25">
      <c r="A759" t="str">
        <f>"20190303170954621"</f>
        <v>20190303170954621</v>
      </c>
      <c r="B759" t="str">
        <f>"1551604194610849"</f>
        <v>1551604194610849</v>
      </c>
      <c r="C759" t="s">
        <v>40</v>
      </c>
      <c r="D759">
        <v>4.461163</v>
      </c>
      <c r="E759">
        <v>0.41032750000000001</v>
      </c>
      <c r="F759" t="s">
        <v>45</v>
      </c>
      <c r="G759">
        <v>-169.2955</v>
      </c>
      <c r="H759">
        <v>3.3200229999999999</v>
      </c>
      <c r="I759">
        <v>382.964</v>
      </c>
      <c r="J759">
        <v>-261.49400000000003</v>
      </c>
      <c r="K759">
        <v>1.120571</v>
      </c>
      <c r="L759">
        <v>368.01560000000001</v>
      </c>
      <c r="M759">
        <v>0.99982919999999997</v>
      </c>
      <c r="N759">
        <v>-1.1088509999999999E-2</v>
      </c>
      <c r="O759">
        <v>-1.478434E-2</v>
      </c>
      <c r="P759">
        <v>0.97329929999999998</v>
      </c>
      <c r="Q759">
        <v>0.21520810000000001</v>
      </c>
      <c r="R759">
        <v>-7.9837169999999999E-2</v>
      </c>
      <c r="S759">
        <v>3.1074220000000001</v>
      </c>
      <c r="T759">
        <v>7.3847170000000004E-2</v>
      </c>
      <c r="U759">
        <v>0.50167850000000003</v>
      </c>
      <c r="V759">
        <v>6.5574969999999996E-2</v>
      </c>
      <c r="W759">
        <v>0.22595960000000001</v>
      </c>
      <c r="X759">
        <v>0.97192699999999999</v>
      </c>
      <c r="Y759">
        <v>-0.17392639999999901</v>
      </c>
      <c r="Z759">
        <v>-1.5944290000000001E-3</v>
      </c>
      <c r="AA759">
        <v>0.9847574</v>
      </c>
      <c r="AB759">
        <v>36</v>
      </c>
      <c r="AC759">
        <v>92.198499999999996</v>
      </c>
      <c r="AD759">
        <v>2.199452</v>
      </c>
      <c r="AE759">
        <v>14.9483999999999</v>
      </c>
      <c r="AF759">
        <v>-16.300904751262099</v>
      </c>
      <c r="AG759">
        <v>2.199452</v>
      </c>
      <c r="AH759">
        <v>91.916437226889499</v>
      </c>
      <c r="AI759">
        <v>88.650293763551105</v>
      </c>
      <c r="AJ759">
        <v>100.056549979408</v>
      </c>
      <c r="AK759">
        <v>93.376595125838406</v>
      </c>
      <c r="AL759">
        <v>76.940686906142702</v>
      </c>
      <c r="AM759">
        <v>86.140159108841999</v>
      </c>
      <c r="AN759">
        <v>0.99999995542582898</v>
      </c>
    </row>
    <row r="760" spans="1:40" x14ac:dyDescent="0.25">
      <c r="A760" t="str">
        <f>"20190303170954642"</f>
        <v>20190303170954642</v>
      </c>
      <c r="B760" t="str">
        <f>"1551604194631345"</f>
        <v>1551604194631345</v>
      </c>
      <c r="C760" t="s">
        <v>40</v>
      </c>
      <c r="D760">
        <v>4.483746</v>
      </c>
      <c r="E760">
        <v>0.40996080000000001</v>
      </c>
      <c r="F760" t="s">
        <v>45</v>
      </c>
      <c r="G760">
        <v>-169.2955</v>
      </c>
      <c r="H760">
        <v>3.3276400000000002</v>
      </c>
      <c r="I760">
        <v>383.03500000000003</v>
      </c>
      <c r="J760">
        <v>-261.15129999999999</v>
      </c>
      <c r="K760">
        <v>1.120628</v>
      </c>
      <c r="L760">
        <v>368.01049999999998</v>
      </c>
      <c r="M760">
        <v>0.99982839999999995</v>
      </c>
      <c r="N760">
        <v>-1.1073879999999999E-2</v>
      </c>
      <c r="O760">
        <v>-1.485849E-2</v>
      </c>
      <c r="P760">
        <v>0.973414</v>
      </c>
      <c r="Q760">
        <v>0.21500459999999999</v>
      </c>
      <c r="R760">
        <v>-7.8985689999999997E-2</v>
      </c>
      <c r="S760">
        <v>3.107361</v>
      </c>
      <c r="T760">
        <v>7.4387549999999997E-2</v>
      </c>
      <c r="U760">
        <v>0.50619510000000001</v>
      </c>
      <c r="V760">
        <v>6.4620230000000001E-2</v>
      </c>
      <c r="W760">
        <v>0.22575200000000001</v>
      </c>
      <c r="X760">
        <v>0.97203919999999999</v>
      </c>
      <c r="Y760">
        <v>-0.1753961</v>
      </c>
      <c r="Z760">
        <v>-1.6245669999999999E-3</v>
      </c>
      <c r="AA760">
        <v>0.98449660000000005</v>
      </c>
      <c r="AB760">
        <v>36</v>
      </c>
      <c r="AC760">
        <v>91.855800000000002</v>
      </c>
      <c r="AD760">
        <v>2.20701199999999</v>
      </c>
      <c r="AE760">
        <v>15.0245</v>
      </c>
      <c r="AF760">
        <v>-16.378554358457599</v>
      </c>
      <c r="AG760">
        <v>2.20701199999999</v>
      </c>
      <c r="AH760">
        <v>91.570917637245998</v>
      </c>
      <c r="AI760">
        <v>88.640903753425505</v>
      </c>
      <c r="AJ760">
        <v>100.14080299517001</v>
      </c>
      <c r="AK760">
        <v>93.050313818752898</v>
      </c>
      <c r="AL760">
        <v>76.952897243665504</v>
      </c>
      <c r="AM760">
        <v>86.196628115406099</v>
      </c>
      <c r="AN760">
        <v>0.99999997298294596</v>
      </c>
    </row>
    <row r="761" spans="1:40" x14ac:dyDescent="0.25">
      <c r="A761" t="str">
        <f>"20190303170954653"</f>
        <v>20190303170954653</v>
      </c>
      <c r="B761" t="str">
        <f>"1551604194641105"</f>
        <v>1551604194641105</v>
      </c>
      <c r="C761" t="s">
        <v>40</v>
      </c>
      <c r="D761">
        <v>4.4531099999999997</v>
      </c>
      <c r="E761">
        <v>0.40975660000000003</v>
      </c>
      <c r="F761" t="s">
        <v>45</v>
      </c>
      <c r="G761">
        <v>-169.2955</v>
      </c>
      <c r="H761">
        <v>3.309517</v>
      </c>
      <c r="I761">
        <v>383.12799999999999</v>
      </c>
      <c r="J761">
        <v>-260.94709999999998</v>
      </c>
      <c r="K761">
        <v>1.1206579999999999</v>
      </c>
      <c r="L761">
        <v>368.00740000000002</v>
      </c>
      <c r="M761">
        <v>0.99982800000000005</v>
      </c>
      <c r="N761">
        <v>-1.1066110000000001E-2</v>
      </c>
      <c r="O761">
        <v>-1.4885249999999999E-2</v>
      </c>
      <c r="P761">
        <v>0.97349350000000001</v>
      </c>
      <c r="Q761">
        <v>0.21480650000000001</v>
      </c>
      <c r="R761">
        <v>-7.8540380000000007E-2</v>
      </c>
      <c r="S761">
        <v>3.107056</v>
      </c>
      <c r="T761">
        <v>7.4042800000000006E-2</v>
      </c>
      <c r="U761">
        <v>0.51135249999999999</v>
      </c>
      <c r="V761">
        <v>6.4132990000000001E-2</v>
      </c>
      <c r="W761">
        <v>0.2255518</v>
      </c>
      <c r="X761">
        <v>0.97211800000000004</v>
      </c>
      <c r="Y761">
        <v>-0.1770292</v>
      </c>
      <c r="Z761">
        <v>-1.6247550000000001E-3</v>
      </c>
      <c r="AA761">
        <v>0.98420430000000003</v>
      </c>
      <c r="AB761">
        <v>36</v>
      </c>
      <c r="AC761">
        <v>91.651599999999902</v>
      </c>
      <c r="AD761">
        <v>2.1888589999999999</v>
      </c>
      <c r="AE761">
        <v>15.1206</v>
      </c>
      <c r="AF761">
        <v>-16.474117697231598</v>
      </c>
      <c r="AG761">
        <v>2.1888589999999999</v>
      </c>
      <c r="AH761">
        <v>91.365625595890293</v>
      </c>
      <c r="AI761">
        <v>88.649390934564195</v>
      </c>
      <c r="AJ761">
        <v>100.22116597789901</v>
      </c>
      <c r="AK761">
        <v>92.864768336288506</v>
      </c>
      <c r="AL761">
        <v>76.964672303542301</v>
      </c>
      <c r="AM761">
        <v>86.225527618245806</v>
      </c>
      <c r="AN761">
        <v>1.00000003040678</v>
      </c>
    </row>
    <row r="762" spans="1:40" x14ac:dyDescent="0.25">
      <c r="A762" t="str">
        <f>"20190303170954667"</f>
        <v>20190303170954667</v>
      </c>
      <c r="B762" t="str">
        <f>"1551604194661601"</f>
        <v>1551604194661601</v>
      </c>
      <c r="C762" t="s">
        <v>40</v>
      </c>
      <c r="D762">
        <v>4.4640490000000002</v>
      </c>
      <c r="E762">
        <v>0.40938950000000002</v>
      </c>
      <c r="F762" t="s">
        <v>45</v>
      </c>
      <c r="G762">
        <v>-169.2955</v>
      </c>
      <c r="H762">
        <v>3.3055150000000002</v>
      </c>
      <c r="I762">
        <v>383.185</v>
      </c>
      <c r="J762">
        <v>-260.73649999999998</v>
      </c>
      <c r="K762">
        <v>1.120681</v>
      </c>
      <c r="L762">
        <v>368.00420000000003</v>
      </c>
      <c r="M762">
        <v>0.99982789999999999</v>
      </c>
      <c r="N762">
        <v>-1.1058800000000001E-2</v>
      </c>
      <c r="O762">
        <v>-1.4897519999999999E-2</v>
      </c>
      <c r="P762">
        <v>0.97349680000000005</v>
      </c>
      <c r="Q762">
        <v>0.21491399999999999</v>
      </c>
      <c r="R762">
        <v>-7.8206670000000006E-2</v>
      </c>
      <c r="S762">
        <v>3.1068419999999999</v>
      </c>
      <c r="T762">
        <v>7.406604E-2</v>
      </c>
      <c r="U762">
        <v>0.51449579999999995</v>
      </c>
      <c r="V762">
        <v>6.3774620000000004E-2</v>
      </c>
      <c r="W762">
        <v>0.22565579999999999</v>
      </c>
      <c r="X762">
        <v>0.97211740000000002</v>
      </c>
      <c r="Y762">
        <v>-0.17802119999999999</v>
      </c>
      <c r="Z762">
        <v>-1.6325860000000001E-3</v>
      </c>
      <c r="AA762">
        <v>0.98402529999999999</v>
      </c>
      <c r="AB762">
        <v>36</v>
      </c>
      <c r="AC762">
        <v>91.440999999999903</v>
      </c>
      <c r="AD762">
        <v>2.1848339999999999</v>
      </c>
      <c r="AE762">
        <v>15.1807999999999</v>
      </c>
      <c r="AF762">
        <v>-16.5322575069255</v>
      </c>
      <c r="AG762">
        <v>2.1848339999999999</v>
      </c>
      <c r="AH762">
        <v>91.154037664001194</v>
      </c>
      <c r="AI762">
        <v>88.648995304750102</v>
      </c>
      <c r="AJ762">
        <v>100.279774133513</v>
      </c>
      <c r="AK762">
        <v>92.666863658661697</v>
      </c>
      <c r="AL762">
        <v>76.958555329787202</v>
      </c>
      <c r="AM762">
        <v>86.246556296728301</v>
      </c>
      <c r="AN762">
        <v>0.999999990806272</v>
      </c>
    </row>
    <row r="763" spans="1:40" x14ac:dyDescent="0.25">
      <c r="A763" t="str">
        <f>"20190303170954679"</f>
        <v>20190303170954679</v>
      </c>
      <c r="B763" t="str">
        <f>"1551604194671361"</f>
        <v>1551604194671361</v>
      </c>
      <c r="C763" t="s">
        <v>40</v>
      </c>
      <c r="D763">
        <v>4.4955540000000003</v>
      </c>
      <c r="E763">
        <v>0.4092383</v>
      </c>
      <c r="F763" t="s">
        <v>45</v>
      </c>
      <c r="G763">
        <v>-169.2955</v>
      </c>
      <c r="H763">
        <v>3.3346680000000002</v>
      </c>
      <c r="I763">
        <v>383.25099999999998</v>
      </c>
      <c r="J763">
        <v>-260.53820000000002</v>
      </c>
      <c r="K763">
        <v>1.120703</v>
      </c>
      <c r="L763">
        <v>368.00130000000001</v>
      </c>
      <c r="M763">
        <v>0.99982789999999999</v>
      </c>
      <c r="N763">
        <v>-1.105225E-2</v>
      </c>
      <c r="O763">
        <v>-1.490328E-2</v>
      </c>
      <c r="P763">
        <v>0.97349549999999996</v>
      </c>
      <c r="Q763">
        <v>0.2150522</v>
      </c>
      <c r="R763">
        <v>-7.7839809999999995E-2</v>
      </c>
      <c r="S763">
        <v>3.1066889999999998</v>
      </c>
      <c r="T763">
        <v>7.5222609999999995E-2</v>
      </c>
      <c r="U763">
        <v>0.51800539999999995</v>
      </c>
      <c r="V763">
        <v>6.3391390000000006E-2</v>
      </c>
      <c r="W763">
        <v>0.22579050000000001</v>
      </c>
      <c r="X763">
        <v>0.97211119999999995</v>
      </c>
      <c r="Y763">
        <v>-0.17911469999999999</v>
      </c>
      <c r="Z763">
        <v>-1.6785249999999999E-3</v>
      </c>
      <c r="AA763">
        <v>0.9838268</v>
      </c>
      <c r="AB763">
        <v>37</v>
      </c>
      <c r="AC763">
        <v>91.242699999999999</v>
      </c>
      <c r="AD763">
        <v>2.213965</v>
      </c>
      <c r="AE763">
        <v>15.249699999999899</v>
      </c>
      <c r="AF763">
        <v>-16.598397603058501</v>
      </c>
      <c r="AG763">
        <v>2.213965</v>
      </c>
      <c r="AH763">
        <v>90.953185675149598</v>
      </c>
      <c r="AI763">
        <v>88.628239098941705</v>
      </c>
      <c r="AJ763">
        <v>100.342316482115</v>
      </c>
      <c r="AK763">
        <v>92.481838370939997</v>
      </c>
      <c r="AL763">
        <v>76.950633272527497</v>
      </c>
      <c r="AM763">
        <v>86.269023603528694</v>
      </c>
      <c r="AN763">
        <v>1.0000000016909101</v>
      </c>
    </row>
    <row r="764" spans="1:40" x14ac:dyDescent="0.25">
      <c r="A764" t="str">
        <f>"20190303170954689"</f>
        <v>20190303170954689</v>
      </c>
      <c r="B764" t="str">
        <f>"1551604194681121"</f>
        <v>1551604194681121</v>
      </c>
      <c r="C764" t="s">
        <v>40</v>
      </c>
      <c r="D764">
        <v>4.4823690000000003</v>
      </c>
      <c r="E764">
        <v>0.40911449999999999</v>
      </c>
      <c r="F764" t="s">
        <v>45</v>
      </c>
      <c r="G764">
        <v>-169.2955</v>
      </c>
      <c r="H764">
        <v>3.3410069999999998</v>
      </c>
      <c r="I764">
        <v>383.2765</v>
      </c>
      <c r="J764">
        <v>-260.35149999999999</v>
      </c>
      <c r="K764">
        <v>1.120719</v>
      </c>
      <c r="L764">
        <v>367.9984</v>
      </c>
      <c r="M764">
        <v>0.99982800000000005</v>
      </c>
      <c r="N764">
        <v>-1.10467E-2</v>
      </c>
      <c r="O764">
        <v>-1.489993E-2</v>
      </c>
      <c r="P764">
        <v>0.97346560000000004</v>
      </c>
      <c r="Q764">
        <v>0.21519189999999999</v>
      </c>
      <c r="R764">
        <v>-7.7830259999999998E-2</v>
      </c>
      <c r="S764">
        <v>3.1065670000000001</v>
      </c>
      <c r="T764">
        <v>7.5598239999999997E-2</v>
      </c>
      <c r="U764">
        <v>0.5200806</v>
      </c>
      <c r="V764">
        <v>6.3376459999999996E-2</v>
      </c>
      <c r="W764">
        <v>0.22592709999999999</v>
      </c>
      <c r="X764">
        <v>0.97208050000000001</v>
      </c>
      <c r="Y764">
        <v>-0.17975639999999901</v>
      </c>
      <c r="Z764">
        <v>-1.6954439999999999E-3</v>
      </c>
      <c r="AA764">
        <v>0.98370970000000002</v>
      </c>
      <c r="AB764">
        <v>37</v>
      </c>
      <c r="AC764">
        <v>91.055999999999898</v>
      </c>
      <c r="AD764">
        <v>2.220288</v>
      </c>
      <c r="AE764">
        <v>15.278099999999901</v>
      </c>
      <c r="AF764">
        <v>-16.623601316742398</v>
      </c>
      <c r="AG764">
        <v>2.220288</v>
      </c>
      <c r="AH764">
        <v>90.765745427401697</v>
      </c>
      <c r="AI764">
        <v>88.621642645028402</v>
      </c>
      <c r="AJ764">
        <v>100.37860630177499</v>
      </c>
      <c r="AK764">
        <v>92.302190345261195</v>
      </c>
      <c r="AL764">
        <v>76.942599898018699</v>
      </c>
      <c r="AM764">
        <v>86.269782375054902</v>
      </c>
      <c r="AN764">
        <v>1.0000000643383899</v>
      </c>
    </row>
    <row r="765" spans="1:40" x14ac:dyDescent="0.25">
      <c r="A765" t="str">
        <f>"20190303170954702"</f>
        <v>20190303170954702</v>
      </c>
      <c r="B765" t="str">
        <f>"1551604194690881"</f>
        <v>1551604194690881</v>
      </c>
      <c r="C765" t="s">
        <v>40</v>
      </c>
      <c r="D765">
        <v>4.4720089999999999</v>
      </c>
      <c r="E765">
        <v>0.40896640000000001</v>
      </c>
      <c r="F765" t="s">
        <v>45</v>
      </c>
      <c r="G765">
        <v>-169.2955</v>
      </c>
      <c r="H765">
        <v>3.3448660000000001</v>
      </c>
      <c r="I765">
        <v>383.2627</v>
      </c>
      <c r="J765">
        <v>-260.15469999999999</v>
      </c>
      <c r="K765">
        <v>1.120735</v>
      </c>
      <c r="L765">
        <v>367.99549999999999</v>
      </c>
      <c r="M765">
        <v>0.99982819999999994</v>
      </c>
      <c r="N765">
        <v>-1.104134E-2</v>
      </c>
      <c r="O765">
        <v>-1.489206E-2</v>
      </c>
      <c r="P765">
        <v>0.97344350000000002</v>
      </c>
      <c r="Q765">
        <v>0.21537719999999999</v>
      </c>
      <c r="R765">
        <v>-7.7591939999999998E-2</v>
      </c>
      <c r="S765">
        <v>3.1066280000000002</v>
      </c>
      <c r="T765">
        <v>7.5885889999999998E-2</v>
      </c>
      <c r="U765">
        <v>0.52078250000000004</v>
      </c>
      <c r="V765">
        <v>6.3137830000000006E-2</v>
      </c>
      <c r="W765">
        <v>0.22610920000000001</v>
      </c>
      <c r="X765">
        <v>0.97205359999999996</v>
      </c>
      <c r="Y765">
        <v>-0.17996139999999999</v>
      </c>
      <c r="Z765">
        <v>-1.7064319999999999E-3</v>
      </c>
      <c r="AA765">
        <v>0.9836722</v>
      </c>
      <c r="AB765">
        <v>37</v>
      </c>
      <c r="AC765">
        <v>90.859200000000001</v>
      </c>
      <c r="AD765">
        <v>2.2241309999999999</v>
      </c>
      <c r="AE765">
        <v>15.267200000000001</v>
      </c>
      <c r="AF765">
        <v>-16.608990758872199</v>
      </c>
      <c r="AG765">
        <v>2.2241309999999999</v>
      </c>
      <c r="AH765">
        <v>90.568969137697394</v>
      </c>
      <c r="AI765">
        <v>88.6163171268486</v>
      </c>
      <c r="AJ765">
        <v>100.39172202468799</v>
      </c>
      <c r="AK765">
        <v>92.106153450237201</v>
      </c>
      <c r="AL765">
        <v>76.931888036451497</v>
      </c>
      <c r="AM765">
        <v>86.283685698265899</v>
      </c>
      <c r="AN765">
        <v>0.99999997858735401</v>
      </c>
    </row>
    <row r="766" spans="1:40" x14ac:dyDescent="0.25">
      <c r="A766" t="str">
        <f>"20190303170954713"</f>
        <v>20190303170954713</v>
      </c>
      <c r="B766" t="str">
        <f>"1551604194701616"</f>
        <v>1551604194701616</v>
      </c>
      <c r="C766" t="s">
        <v>40</v>
      </c>
      <c r="D766">
        <v>4.4863169999999997</v>
      </c>
      <c r="E766">
        <v>0.40882639999999998</v>
      </c>
      <c r="F766" t="s">
        <v>45</v>
      </c>
      <c r="G766">
        <v>-169.2955</v>
      </c>
      <c r="H766">
        <v>3.358082</v>
      </c>
      <c r="I766">
        <v>383.27510000000001</v>
      </c>
      <c r="J766">
        <v>-259.97460000000001</v>
      </c>
      <c r="K766">
        <v>1.1207469999999999</v>
      </c>
      <c r="L766">
        <v>367.99279999999999</v>
      </c>
      <c r="M766">
        <v>0.99982850000000001</v>
      </c>
      <c r="N766">
        <v>-1.1036819999999999E-2</v>
      </c>
      <c r="O766">
        <v>-1.4881729999999999E-2</v>
      </c>
      <c r="P766">
        <v>0.97346969999999999</v>
      </c>
      <c r="Q766">
        <v>0.21527109999999999</v>
      </c>
      <c r="R766">
        <v>-7.7558920000000003E-2</v>
      </c>
      <c r="S766">
        <v>3.106598</v>
      </c>
      <c r="T766">
        <v>7.6500769999999996E-2</v>
      </c>
      <c r="U766">
        <v>0.52243039999999996</v>
      </c>
      <c r="V766">
        <v>6.3107640000000007E-2</v>
      </c>
      <c r="W766">
        <v>0.2260009</v>
      </c>
      <c r="X766">
        <v>0.97208079999999997</v>
      </c>
      <c r="Y766">
        <v>-0.18045939999999999</v>
      </c>
      <c r="Z766">
        <v>-1.730194E-3</v>
      </c>
      <c r="AA766">
        <v>0.98358089999999998</v>
      </c>
      <c r="AB766">
        <v>37</v>
      </c>
      <c r="AC766">
        <v>90.679100000000005</v>
      </c>
      <c r="AD766">
        <v>2.2373349999999999</v>
      </c>
      <c r="AE766">
        <v>15.282299999999999</v>
      </c>
      <c r="AF766">
        <v>-16.620312941383698</v>
      </c>
      <c r="AG766">
        <v>2.2373349999999999</v>
      </c>
      <c r="AH766">
        <v>90.388111023055799</v>
      </c>
      <c r="AI766">
        <v>88.605443776844893</v>
      </c>
      <c r="AJ766">
        <v>100.419002969126</v>
      </c>
      <c r="AK766">
        <v>91.930686304889605</v>
      </c>
      <c r="AL766">
        <v>76.938258762331301</v>
      </c>
      <c r="AM766">
        <v>86.285561362221401</v>
      </c>
      <c r="AN766">
        <v>1.0000000313779001</v>
      </c>
    </row>
    <row r="767" spans="1:40" x14ac:dyDescent="0.25">
      <c r="A767" t="str">
        <f>"20190303170954726"</f>
        <v>20190303170954726</v>
      </c>
      <c r="B767" t="str">
        <f>"1551604194721137"</f>
        <v>1551604194721137</v>
      </c>
      <c r="C767" t="s">
        <v>40</v>
      </c>
      <c r="D767">
        <v>4.5113620000000001</v>
      </c>
      <c r="E767">
        <v>0.40854859999999998</v>
      </c>
      <c r="F767" t="s">
        <v>45</v>
      </c>
      <c r="G767">
        <v>-169.2955</v>
      </c>
      <c r="H767">
        <v>3.3495400000000002</v>
      </c>
      <c r="I767">
        <v>383.27249999999998</v>
      </c>
      <c r="J767">
        <v>-259.76979999999998</v>
      </c>
      <c r="K767">
        <v>1.1207609999999999</v>
      </c>
      <c r="L767">
        <v>367.9898</v>
      </c>
      <c r="M767">
        <v>0.99982859999999996</v>
      </c>
      <c r="N767">
        <v>-1.1032200000000001E-2</v>
      </c>
      <c r="O767">
        <v>-1.4867109999999999E-2</v>
      </c>
      <c r="P767">
        <v>0.97344180000000002</v>
      </c>
      <c r="Q767">
        <v>0.2154015</v>
      </c>
      <c r="R767">
        <v>-7.7546000000000004E-2</v>
      </c>
      <c r="S767">
        <v>3.106598</v>
      </c>
      <c r="T767">
        <v>7.6359629999999998E-2</v>
      </c>
      <c r="U767">
        <v>0.52346800000000004</v>
      </c>
      <c r="V767">
        <v>6.3102519999999995E-2</v>
      </c>
      <c r="W767">
        <v>0.22612869999999999</v>
      </c>
      <c r="X767">
        <v>0.97205140000000001</v>
      </c>
      <c r="Y767">
        <v>-0.1807646</v>
      </c>
      <c r="Z767">
        <v>-1.727216E-3</v>
      </c>
      <c r="AA767">
        <v>0.98352490000000004</v>
      </c>
      <c r="AB767">
        <v>37</v>
      </c>
      <c r="AC767">
        <v>90.4742999999999</v>
      </c>
      <c r="AD767">
        <v>2.2287789999999998</v>
      </c>
      <c r="AE767">
        <v>15.282699999999901</v>
      </c>
      <c r="AF767">
        <v>-16.616380016088101</v>
      </c>
      <c r="AG767">
        <v>2.2287789999999998</v>
      </c>
      <c r="AH767">
        <v>90.183865902012798</v>
      </c>
      <c r="AI767">
        <v>88.607722084746001</v>
      </c>
      <c r="AJ767">
        <v>100.439664457018</v>
      </c>
      <c r="AK767">
        <v>91.728955132510507</v>
      </c>
      <c r="AL767">
        <v>76.930741620772295</v>
      </c>
      <c r="AM767">
        <v>86.285749854789799</v>
      </c>
      <c r="AN767">
        <v>1.000000020618</v>
      </c>
    </row>
    <row r="768" spans="1:40" x14ac:dyDescent="0.25">
      <c r="A768" t="str">
        <f>"20190303170954737"</f>
        <v>20190303170954737</v>
      </c>
      <c r="B768" t="str">
        <f>"1551604194730896"</f>
        <v>1551604194730896</v>
      </c>
      <c r="C768" t="s">
        <v>40</v>
      </c>
      <c r="D768">
        <v>4.5309850000000003</v>
      </c>
      <c r="E768">
        <v>0.40845730000000002</v>
      </c>
      <c r="F768" t="s">
        <v>45</v>
      </c>
      <c r="G768">
        <v>-169.2955</v>
      </c>
      <c r="H768">
        <v>3.3619880000000002</v>
      </c>
      <c r="I768">
        <v>383.29669999999999</v>
      </c>
      <c r="J768">
        <v>-259.58640000000003</v>
      </c>
      <c r="K768">
        <v>1.1207720000000001</v>
      </c>
      <c r="L768">
        <v>367.98700000000002</v>
      </c>
      <c r="M768">
        <v>0.99982890000000002</v>
      </c>
      <c r="N768">
        <v>-1.102824E-2</v>
      </c>
      <c r="O768">
        <v>-1.4853709999999999E-2</v>
      </c>
      <c r="P768">
        <v>0.97338219999999998</v>
      </c>
      <c r="Q768">
        <v>0.21556790000000001</v>
      </c>
      <c r="R768">
        <v>-7.7832429999999994E-2</v>
      </c>
      <c r="S768">
        <v>3.1066889999999998</v>
      </c>
      <c r="T768">
        <v>7.6961760000000004E-2</v>
      </c>
      <c r="U768">
        <v>0.52560419999999997</v>
      </c>
      <c r="V768">
        <v>6.3396900000000006E-2</v>
      </c>
      <c r="W768">
        <v>0.2262922</v>
      </c>
      <c r="X768">
        <v>0.97199420000000003</v>
      </c>
      <c r="Y768">
        <v>-0.18140339999999999</v>
      </c>
      <c r="Z768">
        <v>-1.7513079999999901E-3</v>
      </c>
      <c r="AA768">
        <v>0.98340720000000004</v>
      </c>
      <c r="AB768">
        <v>37</v>
      </c>
      <c r="AC768">
        <v>90.290899999999993</v>
      </c>
      <c r="AD768">
        <v>2.2412160000000001</v>
      </c>
      <c r="AE768">
        <v>15.309699999999999</v>
      </c>
      <c r="AF768">
        <v>-16.639281531593099</v>
      </c>
      <c r="AG768">
        <v>2.2412160000000001</v>
      </c>
      <c r="AH768">
        <v>89.999615369840996</v>
      </c>
      <c r="AI768">
        <v>88.597249018691599</v>
      </c>
      <c r="AJ768">
        <v>100.47466399816</v>
      </c>
      <c r="AK768">
        <v>91.552277447180899</v>
      </c>
      <c r="AL768">
        <v>76.921124538179399</v>
      </c>
      <c r="AM768">
        <v>86.268252350380905</v>
      </c>
      <c r="AN768">
        <v>1.0000000257720401</v>
      </c>
    </row>
    <row r="769" spans="1:40" x14ac:dyDescent="0.25">
      <c r="A769" t="str">
        <f>"20190303170954748"</f>
        <v>20190303170954748</v>
      </c>
      <c r="B769" t="str">
        <f>"1551604194741633"</f>
        <v>1551604194741633</v>
      </c>
      <c r="C769" t="s">
        <v>40</v>
      </c>
      <c r="D769">
        <v>4.5042280000000003</v>
      </c>
      <c r="E769">
        <v>0.4083349</v>
      </c>
      <c r="F769" t="s">
        <v>45</v>
      </c>
      <c r="G769">
        <v>-169.2955</v>
      </c>
      <c r="H769">
        <v>3.3643999999999998</v>
      </c>
      <c r="I769">
        <v>383.2423</v>
      </c>
      <c r="J769">
        <v>-259.39429999999999</v>
      </c>
      <c r="K769">
        <v>1.1207819999999999</v>
      </c>
      <c r="L769">
        <v>367.98419999999999</v>
      </c>
      <c r="M769">
        <v>0.99982919999999997</v>
      </c>
      <c r="N769">
        <v>-1.1024620000000001E-2</v>
      </c>
      <c r="O769">
        <v>-1.4838769999999999E-2</v>
      </c>
      <c r="P769">
        <v>0.97335649999999996</v>
      </c>
      <c r="Q769">
        <v>0.215586</v>
      </c>
      <c r="R769">
        <v>-7.810193E-2</v>
      </c>
      <c r="S769">
        <v>3.106903</v>
      </c>
      <c r="T769">
        <v>7.720602E-2</v>
      </c>
      <c r="U769">
        <v>0.52493290000000004</v>
      </c>
      <c r="V769">
        <v>6.3676040000000003E-2</v>
      </c>
      <c r="W769">
        <v>0.22630800000000001</v>
      </c>
      <c r="X769">
        <v>0.97197230000000001</v>
      </c>
      <c r="Y769">
        <v>-0.18117059999999999</v>
      </c>
      <c r="Z769">
        <v>-1.757602E-3</v>
      </c>
      <c r="AA769">
        <v>0.98345009999999999</v>
      </c>
      <c r="AB769">
        <v>37</v>
      </c>
      <c r="AC769">
        <v>90.098799999999898</v>
      </c>
      <c r="AD769">
        <v>2.2436180000000001</v>
      </c>
      <c r="AE769">
        <v>15.258100000000001</v>
      </c>
      <c r="AF769">
        <v>-16.583459724347801</v>
      </c>
      <c r="AG769">
        <v>2.2436180000000001</v>
      </c>
      <c r="AH769">
        <v>89.808316391936302</v>
      </c>
      <c r="AI769">
        <v>88.592699021884897</v>
      </c>
      <c r="AJ769">
        <v>100.462045488581</v>
      </c>
      <c r="AK769">
        <v>91.354138665487596</v>
      </c>
      <c r="AL769">
        <v>76.9201954829893</v>
      </c>
      <c r="AM769">
        <v>86.251783786791293</v>
      </c>
      <c r="AN769">
        <v>1.0000000504506801</v>
      </c>
    </row>
    <row r="770" spans="1:40" x14ac:dyDescent="0.25">
      <c r="A770" t="str">
        <f>"20190303170954761"</f>
        <v>20190303170954761</v>
      </c>
      <c r="B770" t="str">
        <f>"1551604194751393"</f>
        <v>1551604194751393</v>
      </c>
      <c r="C770" t="s">
        <v>40</v>
      </c>
      <c r="D770">
        <v>4.5025930000000001</v>
      </c>
      <c r="E770">
        <v>0.40820610000000002</v>
      </c>
      <c r="F770" t="s">
        <v>45</v>
      </c>
      <c r="G770">
        <v>-169.2955</v>
      </c>
      <c r="H770">
        <v>3.3609019999999998</v>
      </c>
      <c r="I770">
        <v>383.20080000000002</v>
      </c>
      <c r="J770">
        <v>-259.20269999999999</v>
      </c>
      <c r="K770">
        <v>1.1207910000000001</v>
      </c>
      <c r="L770">
        <v>367.98129999999998</v>
      </c>
      <c r="M770">
        <v>0.99982950000000004</v>
      </c>
      <c r="N770">
        <v>-1.102122E-2</v>
      </c>
      <c r="O770">
        <v>-1.482385E-2</v>
      </c>
      <c r="P770">
        <v>0.9732961</v>
      </c>
      <c r="Q770">
        <v>0.2158022</v>
      </c>
      <c r="R770">
        <v>-7.8260940000000001E-2</v>
      </c>
      <c r="S770">
        <v>3.1070859999999998</v>
      </c>
      <c r="T770">
        <v>7.7254180000000006E-2</v>
      </c>
      <c r="U770">
        <v>0.52474980000000004</v>
      </c>
      <c r="V770">
        <v>6.3845250000000006E-2</v>
      </c>
      <c r="W770">
        <v>0.2265211</v>
      </c>
      <c r="X770">
        <v>0.97191150000000004</v>
      </c>
      <c r="Y770">
        <v>-0.1810901</v>
      </c>
      <c r="Z770">
        <v>-1.7582749999999999E-3</v>
      </c>
      <c r="AA770">
        <v>0.98346500000000003</v>
      </c>
      <c r="AB770">
        <v>37</v>
      </c>
      <c r="AC770">
        <v>89.907199999999904</v>
      </c>
      <c r="AD770">
        <v>2.2401110000000002</v>
      </c>
      <c r="AE770">
        <v>15.2195</v>
      </c>
      <c r="AF770">
        <v>-16.540696750643299</v>
      </c>
      <c r="AG770">
        <v>2.2401110000000002</v>
      </c>
      <c r="AH770">
        <v>89.617610024632498</v>
      </c>
      <c r="AI770">
        <v>88.591887870662006</v>
      </c>
      <c r="AJ770">
        <v>100.457378646213</v>
      </c>
      <c r="AK770">
        <v>91.158810725108495</v>
      </c>
      <c r="AL770">
        <v>76.907659476580207</v>
      </c>
      <c r="AM770">
        <v>86.241617517459702</v>
      </c>
      <c r="AN770">
        <v>0.99999999426251096</v>
      </c>
    </row>
    <row r="771" spans="1:40" x14ac:dyDescent="0.25">
      <c r="A771" t="str">
        <f>"20190303170954775"</f>
        <v>20190303170954775</v>
      </c>
      <c r="B771" t="str">
        <f>"1551604194770913"</f>
        <v>1551604194770913</v>
      </c>
      <c r="C771" t="s">
        <v>40</v>
      </c>
      <c r="D771">
        <v>4.5345839999999997</v>
      </c>
      <c r="E771">
        <v>0.40796329999999997</v>
      </c>
      <c r="F771" t="s">
        <v>45</v>
      </c>
      <c r="G771">
        <v>-169.2955</v>
      </c>
      <c r="H771">
        <v>3.381354</v>
      </c>
      <c r="I771">
        <v>383.18079999999998</v>
      </c>
      <c r="J771">
        <v>-258.95549999999997</v>
      </c>
      <c r="K771">
        <v>1.1208039999999999</v>
      </c>
      <c r="L771">
        <v>367.97770000000003</v>
      </c>
      <c r="M771">
        <v>0.99982990000000005</v>
      </c>
      <c r="N771">
        <v>-1.1017229999999999E-2</v>
      </c>
      <c r="O771">
        <v>-1.480486E-2</v>
      </c>
      <c r="P771">
        <v>0.97319909999999998</v>
      </c>
      <c r="Q771">
        <v>0.2157695</v>
      </c>
      <c r="R771">
        <v>-7.9543959999999997E-2</v>
      </c>
      <c r="S771">
        <v>3.1072389999999999</v>
      </c>
      <c r="T771">
        <v>7.8129169999999998E-2</v>
      </c>
      <c r="U771">
        <v>0.52529910000000002</v>
      </c>
      <c r="V771">
        <v>6.5142649999999996E-2</v>
      </c>
      <c r="W771">
        <v>0.2264854</v>
      </c>
      <c r="X771">
        <v>0.97183370000000002</v>
      </c>
      <c r="Y771">
        <v>-0.18123139999999999</v>
      </c>
      <c r="Z771">
        <v>-1.788144E-3</v>
      </c>
      <c r="AA771">
        <v>0.98343879999999995</v>
      </c>
      <c r="AB771">
        <v>37</v>
      </c>
      <c r="AC771">
        <v>89.659999999999897</v>
      </c>
      <c r="AD771">
        <v>2.2605499999999998</v>
      </c>
      <c r="AE771">
        <v>15.2030999999999</v>
      </c>
      <c r="AF771">
        <v>-16.518710667889501</v>
      </c>
      <c r="AG771">
        <v>2.2605499999999998</v>
      </c>
      <c r="AH771">
        <v>89.369856997122</v>
      </c>
      <c r="AI771">
        <v>88.575175356947597</v>
      </c>
      <c r="AJ771">
        <v>100.4720974705</v>
      </c>
      <c r="AK771">
        <v>90.911766169830798</v>
      </c>
      <c r="AL771">
        <v>76.9097592032591</v>
      </c>
      <c r="AM771">
        <v>86.1651629200786</v>
      </c>
      <c r="AN771">
        <v>0.99999997085893499</v>
      </c>
    </row>
    <row r="772" spans="1:40" x14ac:dyDescent="0.25">
      <c r="A772" t="str">
        <f>"20190303170954788"</f>
        <v>20190303170954788</v>
      </c>
      <c r="B772" t="str">
        <f>"1551604194781648"</f>
        <v>1551604194781648</v>
      </c>
      <c r="C772" t="s">
        <v>40</v>
      </c>
      <c r="D772">
        <v>4.5446</v>
      </c>
      <c r="E772">
        <v>0.40785070000000001</v>
      </c>
      <c r="F772" t="s">
        <v>45</v>
      </c>
      <c r="G772">
        <v>-169.2955</v>
      </c>
      <c r="H772">
        <v>3.415133</v>
      </c>
      <c r="I772">
        <v>383.09629999999999</v>
      </c>
      <c r="J772">
        <v>-258.75889999999998</v>
      </c>
      <c r="K772">
        <v>1.1208089999999999</v>
      </c>
      <c r="L772">
        <v>367.97480000000002</v>
      </c>
      <c r="M772">
        <v>0.99982990000000005</v>
      </c>
      <c r="N772">
        <v>-1.101456E-2</v>
      </c>
      <c r="O772">
        <v>-1.478962E-2</v>
      </c>
      <c r="P772">
        <v>0.97316579999999997</v>
      </c>
      <c r="Q772">
        <v>0.21555160000000001</v>
      </c>
      <c r="R772">
        <v>-8.0534179999999997E-2</v>
      </c>
      <c r="S772">
        <v>3.1078489999999999</v>
      </c>
      <c r="T772">
        <v>7.9530359999999994E-2</v>
      </c>
      <c r="U772">
        <v>0.52404790000000001</v>
      </c>
      <c r="V772">
        <v>6.6144869999999995E-2</v>
      </c>
      <c r="W772">
        <v>0.2262662</v>
      </c>
      <c r="X772">
        <v>0.97181709999999999</v>
      </c>
      <c r="Y772">
        <v>-0.18079790000000001</v>
      </c>
      <c r="Z772">
        <v>-1.8314830000000001E-3</v>
      </c>
      <c r="AA772">
        <v>0.98351849999999996</v>
      </c>
      <c r="AB772">
        <v>37</v>
      </c>
      <c r="AC772">
        <v>89.463399999999893</v>
      </c>
      <c r="AD772">
        <v>2.294324</v>
      </c>
      <c r="AE772">
        <v>15.1214999999999</v>
      </c>
      <c r="AF772">
        <v>-16.432548685997698</v>
      </c>
      <c r="AG772">
        <v>2.294324</v>
      </c>
      <c r="AH772">
        <v>89.172940341810403</v>
      </c>
      <c r="AI772">
        <v>88.550560272583297</v>
      </c>
      <c r="AJ772">
        <v>100.44117559783299</v>
      </c>
      <c r="AK772">
        <v>90.703395019915007</v>
      </c>
      <c r="AL772">
        <v>76.922653639270806</v>
      </c>
      <c r="AM772">
        <v>86.106277736656196</v>
      </c>
      <c r="AN772">
        <v>1.0000000064710799</v>
      </c>
    </row>
    <row r="773" spans="1:40" x14ac:dyDescent="0.25">
      <c r="A773" t="str">
        <f>"20190303170954810"</f>
        <v>20190303170954810</v>
      </c>
      <c r="B773" t="str">
        <f>"1551604194801169"</f>
        <v>1551604194801169</v>
      </c>
      <c r="C773" t="s">
        <v>40</v>
      </c>
      <c r="D773">
        <v>4.5393160000000004</v>
      </c>
      <c r="E773">
        <v>0.40766859999999999</v>
      </c>
      <c r="F773" t="s">
        <v>45</v>
      </c>
      <c r="G773">
        <v>-169.2955</v>
      </c>
      <c r="H773">
        <v>3.4116550000000001</v>
      </c>
      <c r="I773">
        <v>382.99470000000002</v>
      </c>
      <c r="J773">
        <v>-258.3981</v>
      </c>
      <c r="K773">
        <v>1.1208119999999999</v>
      </c>
      <c r="L773">
        <v>367.96949999999998</v>
      </c>
      <c r="M773">
        <v>0.99983049999999996</v>
      </c>
      <c r="N773">
        <v>-1.1010280000000001E-2</v>
      </c>
      <c r="O773">
        <v>-1.4762290000000001E-2</v>
      </c>
      <c r="P773">
        <v>0.97311309999999995</v>
      </c>
      <c r="Q773">
        <v>0.21519769999999999</v>
      </c>
      <c r="R773">
        <v>-8.2102880000000003E-2</v>
      </c>
      <c r="S773">
        <v>3.1083069999999999</v>
      </c>
      <c r="T773">
        <v>7.9595920000000001E-2</v>
      </c>
      <c r="U773">
        <v>0.52185059999999905</v>
      </c>
      <c r="V773">
        <v>6.7735420000000005E-2</v>
      </c>
      <c r="W773">
        <v>0.225909</v>
      </c>
      <c r="X773">
        <v>0.97179070000000001</v>
      </c>
      <c r="Y773">
        <v>-0.18007119999999999</v>
      </c>
      <c r="Z773">
        <v>-1.8276430000000001E-3</v>
      </c>
      <c r="AA773">
        <v>0.98365190000000002</v>
      </c>
      <c r="AB773">
        <v>37</v>
      </c>
      <c r="AC773">
        <v>89.102599999999995</v>
      </c>
      <c r="AD773">
        <v>2.2908430000000002</v>
      </c>
      <c r="AE773">
        <v>15.0252</v>
      </c>
      <c r="AF773">
        <v>-16.328505641025298</v>
      </c>
      <c r="AG773">
        <v>2.2908430000000002</v>
      </c>
      <c r="AH773">
        <v>88.8139856809278</v>
      </c>
      <c r="AI773">
        <v>88.5468013848254</v>
      </c>
      <c r="AJ773">
        <v>100.41752931012201</v>
      </c>
      <c r="AK773">
        <v>90.331567630877004</v>
      </c>
      <c r="AL773">
        <v>76.943664470365306</v>
      </c>
      <c r="AM773">
        <v>86.012837976002601</v>
      </c>
      <c r="AN773">
        <v>1.0000000640050299</v>
      </c>
    </row>
    <row r="774" spans="1:40" x14ac:dyDescent="0.25">
      <c r="A774" t="str">
        <f>"20190303170954827"</f>
        <v>20190303170954827</v>
      </c>
      <c r="B774" t="str">
        <f>"1551604194821665"</f>
        <v>1551604194821665</v>
      </c>
      <c r="C774" t="s">
        <v>40</v>
      </c>
      <c r="D774">
        <v>4.5413920000000001</v>
      </c>
      <c r="E774">
        <v>0.40747139999999998</v>
      </c>
      <c r="F774" t="s">
        <v>45</v>
      </c>
      <c r="G774">
        <v>-169.2955</v>
      </c>
      <c r="H774">
        <v>3.3915549999999999</v>
      </c>
      <c r="I774">
        <v>382.84160000000003</v>
      </c>
      <c r="J774">
        <v>-258.13330000000002</v>
      </c>
      <c r="K774">
        <v>1.120816</v>
      </c>
      <c r="L774">
        <v>367.96550000000002</v>
      </c>
      <c r="M774">
        <v>0.99983069999999996</v>
      </c>
      <c r="N774">
        <v>-1.100773E-2</v>
      </c>
      <c r="O774">
        <v>-1.474265E-2</v>
      </c>
      <c r="P774">
        <v>0.97310379999999996</v>
      </c>
      <c r="Q774">
        <v>0.2149876</v>
      </c>
      <c r="R774">
        <v>-8.2758990000000004E-2</v>
      </c>
      <c r="S774">
        <v>3.1091609999999998</v>
      </c>
      <c r="T774">
        <v>7.9238649999999994E-2</v>
      </c>
      <c r="U774">
        <v>0.51895139999999995</v>
      </c>
      <c r="V774">
        <v>6.8407670000000004E-2</v>
      </c>
      <c r="W774">
        <v>0.22569719999999999</v>
      </c>
      <c r="X774">
        <v>0.97179280000000001</v>
      </c>
      <c r="Y774">
        <v>-0.1791161</v>
      </c>
      <c r="Z774">
        <v>-1.807955E-3</v>
      </c>
      <c r="AA774">
        <v>0.98382630000000004</v>
      </c>
      <c r="AB774">
        <v>37</v>
      </c>
      <c r="AC774">
        <v>88.837800000000001</v>
      </c>
      <c r="AD774">
        <v>2.2707389999999998</v>
      </c>
      <c r="AE774">
        <v>14.876099999999999</v>
      </c>
      <c r="AF774">
        <v>-16.173988191133699</v>
      </c>
      <c r="AG774">
        <v>2.2707389999999998</v>
      </c>
      <c r="AH774">
        <v>88.552540772167504</v>
      </c>
      <c r="AI774">
        <v>88.554990141971899</v>
      </c>
      <c r="AJ774">
        <v>100.35089075258099</v>
      </c>
      <c r="AK774">
        <v>90.046136101553202</v>
      </c>
      <c r="AL774">
        <v>76.956121133905597</v>
      </c>
      <c r="AM774">
        <v>85.973405008720405</v>
      </c>
      <c r="AN774">
        <v>1.00000004076725</v>
      </c>
    </row>
    <row r="775" spans="1:40" x14ac:dyDescent="0.25">
      <c r="A775" t="str">
        <f>"20190303170954843"</f>
        <v>20190303170954843</v>
      </c>
      <c r="B775" t="str">
        <f>"1551604194831427"</f>
        <v>1551604194831427</v>
      </c>
      <c r="C775" t="s">
        <v>40</v>
      </c>
      <c r="D775">
        <v>4.5259390000000002</v>
      </c>
      <c r="E775">
        <v>0.40734900000000002</v>
      </c>
      <c r="F775" t="s">
        <v>45</v>
      </c>
      <c r="G775">
        <v>-169.2955</v>
      </c>
      <c r="H775">
        <v>3.370107</v>
      </c>
      <c r="I775">
        <v>382.77749999999997</v>
      </c>
      <c r="J775">
        <v>-257.86270000000002</v>
      </c>
      <c r="K775">
        <v>1.1208149999999999</v>
      </c>
      <c r="L775">
        <v>367.9615</v>
      </c>
      <c r="M775">
        <v>0.99983109999999997</v>
      </c>
      <c r="N775">
        <v>-1.100547E-2</v>
      </c>
      <c r="O775">
        <v>-1.472303E-2</v>
      </c>
      <c r="P775">
        <v>0.97301170000000003</v>
      </c>
      <c r="Q775">
        <v>0.21484629999999999</v>
      </c>
      <c r="R775">
        <v>-8.419836E-2</v>
      </c>
      <c r="S775">
        <v>3.1095890000000002</v>
      </c>
      <c r="T775">
        <v>7.8734869999999998E-2</v>
      </c>
      <c r="U775">
        <v>0.51846309999999995</v>
      </c>
      <c r="V775">
        <v>6.986473E-2</v>
      </c>
      <c r="W775">
        <v>0.22555359999999999</v>
      </c>
      <c r="X775">
        <v>0.97172239999999999</v>
      </c>
      <c r="Y775">
        <v>-0.17892520000000001</v>
      </c>
      <c r="Z775">
        <v>-1.7889959999999999E-3</v>
      </c>
      <c r="AA775">
        <v>0.98386099999999999</v>
      </c>
      <c r="AB775">
        <v>37</v>
      </c>
      <c r="AC775">
        <v>88.5672</v>
      </c>
      <c r="AD775">
        <v>2.2492919999999899</v>
      </c>
      <c r="AE775">
        <v>14.815999999999899</v>
      </c>
      <c r="AF775">
        <v>-16.108343627733799</v>
      </c>
      <c r="AG775">
        <v>2.2492919999999899</v>
      </c>
      <c r="AH775">
        <v>88.284058149897106</v>
      </c>
      <c r="AI775">
        <v>88.564233635633499</v>
      </c>
      <c r="AJ775">
        <v>100.3404607576</v>
      </c>
      <c r="AK775">
        <v>89.769777611091499</v>
      </c>
      <c r="AL775">
        <v>76.964565573160698</v>
      </c>
      <c r="AM775">
        <v>85.887634171008699</v>
      </c>
      <c r="AN775">
        <v>0.99999996481634501</v>
      </c>
    </row>
    <row r="776" spans="1:40" x14ac:dyDescent="0.25">
      <c r="A776" t="str">
        <f>"20190303170954854"</f>
        <v>20190303170954854</v>
      </c>
      <c r="B776" t="str">
        <f>"1551604194850944"</f>
        <v>1551604194850944</v>
      </c>
      <c r="C776" t="s">
        <v>40</v>
      </c>
      <c r="D776">
        <v>4.5611739999999896</v>
      </c>
      <c r="E776">
        <v>0.4071111</v>
      </c>
      <c r="F776" t="s">
        <v>45</v>
      </c>
      <c r="G776">
        <v>-169.2955</v>
      </c>
      <c r="H776">
        <v>3.367537</v>
      </c>
      <c r="I776">
        <v>382.6343</v>
      </c>
      <c r="J776">
        <v>-257.65499999999997</v>
      </c>
      <c r="K776">
        <v>1.120816</v>
      </c>
      <c r="L776">
        <v>367.95850000000002</v>
      </c>
      <c r="M776">
        <v>0.99983129999999998</v>
      </c>
      <c r="N776">
        <v>-1.100393E-2</v>
      </c>
      <c r="O776">
        <v>-1.470808E-2</v>
      </c>
      <c r="P776">
        <v>0.97295359999999997</v>
      </c>
      <c r="Q776">
        <v>0.21485989999999999</v>
      </c>
      <c r="R776">
        <v>-8.4832270000000001E-2</v>
      </c>
      <c r="S776">
        <v>3.110382</v>
      </c>
      <c r="T776">
        <v>7.8905340000000004E-2</v>
      </c>
      <c r="U776">
        <v>0.51528929999999995</v>
      </c>
      <c r="V776">
        <v>7.0512430000000001E-2</v>
      </c>
      <c r="W776">
        <v>0.22556570000000001</v>
      </c>
      <c r="X776">
        <v>0.9716728</v>
      </c>
      <c r="Y776">
        <v>-0.17789269999999999</v>
      </c>
      <c r="Z776">
        <v>-1.7866119999999999E-3</v>
      </c>
      <c r="AA776">
        <v>0.98404820000000004</v>
      </c>
      <c r="AB776">
        <v>37</v>
      </c>
      <c r="AC776">
        <v>88.359499999999898</v>
      </c>
      <c r="AD776">
        <v>2.246721</v>
      </c>
      <c r="AE776">
        <v>14.675799999999899</v>
      </c>
      <c r="AF776">
        <v>-15.9638454905744</v>
      </c>
      <c r="AG776">
        <v>2.246721</v>
      </c>
      <c r="AH776">
        <v>88.078657984549807</v>
      </c>
      <c r="AI776">
        <v>88.562223714771903</v>
      </c>
      <c r="AJ776">
        <v>100.273071617336</v>
      </c>
      <c r="AK776">
        <v>89.541845583269506</v>
      </c>
      <c r="AL776">
        <v>76.963853878600801</v>
      </c>
      <c r="AM776">
        <v>85.849430862000105</v>
      </c>
      <c r="AN776">
        <v>0.99999995903041605</v>
      </c>
    </row>
    <row r="777" spans="1:40" x14ac:dyDescent="0.25">
      <c r="A777" t="str">
        <f>"20190303170954866"</f>
        <v>20190303170954866</v>
      </c>
      <c r="B777" t="str">
        <f>"1551604194861681"</f>
        <v>1551604194861681</v>
      </c>
      <c r="C777" t="s">
        <v>40</v>
      </c>
      <c r="D777">
        <v>4.5668639999999998</v>
      </c>
      <c r="E777">
        <v>0.40699839999999998</v>
      </c>
      <c r="F777" t="s">
        <v>45</v>
      </c>
      <c r="G777">
        <v>-169.2955</v>
      </c>
      <c r="H777">
        <v>3.38774</v>
      </c>
      <c r="I777">
        <v>382.596</v>
      </c>
      <c r="J777">
        <v>-257.47219999999999</v>
      </c>
      <c r="K777">
        <v>1.120816</v>
      </c>
      <c r="L777">
        <v>367.95580000000001</v>
      </c>
      <c r="M777">
        <v>0.99983160000000004</v>
      </c>
      <c r="N777">
        <v>-1.100281E-2</v>
      </c>
      <c r="O777">
        <v>-1.469494E-2</v>
      </c>
      <c r="P777">
        <v>0.9728135</v>
      </c>
      <c r="Q777">
        <v>0.21518480000000001</v>
      </c>
      <c r="R777">
        <v>-8.5613069999999999E-2</v>
      </c>
      <c r="S777">
        <v>3.1107330000000002</v>
      </c>
      <c r="T777">
        <v>7.9810980000000004E-2</v>
      </c>
      <c r="U777">
        <v>0.51531979999999999</v>
      </c>
      <c r="V777">
        <v>7.1306969999999997E-2</v>
      </c>
      <c r="W777">
        <v>0.22588810000000001</v>
      </c>
      <c r="X777">
        <v>0.97153999999999996</v>
      </c>
      <c r="Y777">
        <v>-0.17787020000000001</v>
      </c>
      <c r="Z777">
        <v>-1.8157189999999999E-3</v>
      </c>
      <c r="AA777">
        <v>0.98405229999999999</v>
      </c>
      <c r="AB777">
        <v>37</v>
      </c>
      <c r="AC777">
        <v>88.176699999999897</v>
      </c>
      <c r="AD777">
        <v>2.2669239999999999</v>
      </c>
      <c r="AE777">
        <v>14.640199999999901</v>
      </c>
      <c r="AF777">
        <v>-15.9242059296704</v>
      </c>
      <c r="AG777">
        <v>2.2669239999999999</v>
      </c>
      <c r="AH777">
        <v>87.895492281668893</v>
      </c>
      <c r="AI777">
        <v>88.546259914573795</v>
      </c>
      <c r="AJ777">
        <v>100.269006057469</v>
      </c>
      <c r="AK777">
        <v>89.3551164866861</v>
      </c>
      <c r="AL777">
        <v>76.944893470146098</v>
      </c>
      <c r="AM777">
        <v>85.802256447329299</v>
      </c>
      <c r="AN777">
        <v>1.0000000446460899</v>
      </c>
    </row>
    <row r="778" spans="1:40" x14ac:dyDescent="0.25">
      <c r="A778" t="str">
        <f>"20190303170954878"</f>
        <v>20190303170954878</v>
      </c>
      <c r="B778" t="str">
        <f>"1551604194871441"</f>
        <v>1551604194871441</v>
      </c>
      <c r="C778" t="s">
        <v>40</v>
      </c>
      <c r="D778">
        <v>4.5487880000000001</v>
      </c>
      <c r="E778">
        <v>0.40699839999999998</v>
      </c>
      <c r="F778" t="s">
        <v>45</v>
      </c>
      <c r="G778">
        <v>-169.2955</v>
      </c>
      <c r="H778">
        <v>3.4209839999999998</v>
      </c>
      <c r="I778">
        <v>382.51900000000001</v>
      </c>
      <c r="J778">
        <v>-257.27600000000001</v>
      </c>
      <c r="K778">
        <v>1.1208209999999901</v>
      </c>
      <c r="L778">
        <v>367.9529</v>
      </c>
      <c r="M778">
        <v>0.99983169999999999</v>
      </c>
      <c r="N778">
        <v>-1.1001169999999999E-2</v>
      </c>
      <c r="O778">
        <v>-1.4680840000000001E-2</v>
      </c>
      <c r="P778">
        <v>0.97281019999999896</v>
      </c>
      <c r="Q778">
        <v>0.21512780000000001</v>
      </c>
      <c r="R778">
        <v>-8.5793850000000005E-2</v>
      </c>
      <c r="S778">
        <v>3.1110989999999998</v>
      </c>
      <c r="T778">
        <v>8.1158759999999996E-2</v>
      </c>
      <c r="U778">
        <v>0.51382450000000002</v>
      </c>
      <c r="V778">
        <v>7.1500620000000001E-2</v>
      </c>
      <c r="W778">
        <v>0.22583</v>
      </c>
      <c r="X778">
        <v>0.97153920000000005</v>
      </c>
      <c r="Y778">
        <v>-0.17737559999999999</v>
      </c>
      <c r="Z778">
        <v>-1.8560639999999999E-3</v>
      </c>
      <c r="AA778">
        <v>0.9841415</v>
      </c>
      <c r="AB778">
        <v>37</v>
      </c>
      <c r="AC778">
        <v>87.980500000000006</v>
      </c>
      <c r="AD778">
        <v>2.300163</v>
      </c>
      <c r="AE778">
        <v>14.5661</v>
      </c>
      <c r="AF778">
        <v>-15.845694127849001</v>
      </c>
      <c r="AG778">
        <v>2.300163</v>
      </c>
      <c r="AH778">
        <v>87.698817993445601</v>
      </c>
      <c r="AI778">
        <v>88.521520581747495</v>
      </c>
      <c r="AJ778">
        <v>100.241879540295</v>
      </c>
      <c r="AK778">
        <v>89.148524663436902</v>
      </c>
      <c r="AL778">
        <v>76.948309694587905</v>
      </c>
      <c r="AM778">
        <v>85.790893999581996</v>
      </c>
      <c r="AN778">
        <v>0.99999997234851101</v>
      </c>
    </row>
    <row r="779" spans="1:40" x14ac:dyDescent="0.25">
      <c r="A779" t="str">
        <f>"20190303170954889"</f>
        <v>20190303170954889</v>
      </c>
      <c r="B779" t="str">
        <f>"1551604194881201"</f>
        <v>1551604194881201</v>
      </c>
      <c r="C779" t="s">
        <v>40</v>
      </c>
      <c r="D779">
        <v>4.5748480000000002</v>
      </c>
      <c r="E779">
        <v>0.40049699999999999</v>
      </c>
      <c r="F779" t="s">
        <v>45</v>
      </c>
      <c r="G779">
        <v>-169.2955</v>
      </c>
      <c r="H779">
        <v>3.4094169999999999</v>
      </c>
      <c r="I779">
        <v>382.46319999999997</v>
      </c>
      <c r="J779">
        <v>-257.08670000000001</v>
      </c>
      <c r="K779">
        <v>1.1208229999999999</v>
      </c>
      <c r="L779">
        <v>367.9502</v>
      </c>
      <c r="M779">
        <v>0.9998321</v>
      </c>
      <c r="N779">
        <v>-1.099751E-2</v>
      </c>
      <c r="O779">
        <v>-1.466757E-2</v>
      </c>
      <c r="P779">
        <v>0.97279199999999999</v>
      </c>
      <c r="Q779">
        <v>0.21513099999999999</v>
      </c>
      <c r="R779">
        <v>-8.5992260000000001E-2</v>
      </c>
      <c r="S779">
        <v>3.111237</v>
      </c>
      <c r="T779">
        <v>8.093417E-2</v>
      </c>
      <c r="U779">
        <v>0.51312259999999998</v>
      </c>
      <c r="V779">
        <v>7.1711479999999994E-2</v>
      </c>
      <c r="W779">
        <v>0.22582949999999999</v>
      </c>
      <c r="X779">
        <v>0.97152380000000005</v>
      </c>
      <c r="Y779">
        <v>-0.17713970000000001</v>
      </c>
      <c r="Z779">
        <v>-1.846655E-3</v>
      </c>
      <c r="AA779">
        <v>0.98418399999999995</v>
      </c>
      <c r="AB779">
        <v>37</v>
      </c>
      <c r="AC779">
        <v>87.791200000000003</v>
      </c>
      <c r="AD779">
        <v>2.2885939999999998</v>
      </c>
      <c r="AE779">
        <v>14.5129999999999</v>
      </c>
      <c r="AF779">
        <v>-15.788755652989201</v>
      </c>
      <c r="AG779">
        <v>2.2885939999999998</v>
      </c>
      <c r="AH779">
        <v>87.510983432211205</v>
      </c>
      <c r="AI779">
        <v>88.525729732787298</v>
      </c>
      <c r="AJ779">
        <v>100.22729626112699</v>
      </c>
      <c r="AK779">
        <v>88.953328711405604</v>
      </c>
      <c r="AL779">
        <v>76.948339425615401</v>
      </c>
      <c r="AM779">
        <v>85.778459205044499</v>
      </c>
      <c r="AN779">
        <v>0.99999999670023998</v>
      </c>
    </row>
    <row r="780" spans="1:40" x14ac:dyDescent="0.25">
      <c r="A780" t="str">
        <f>"20190303170954902"</f>
        <v>20190303170954902</v>
      </c>
      <c r="B780" t="str">
        <f>"1551604194890961"</f>
        <v>1551604194890961</v>
      </c>
      <c r="C780" t="s">
        <v>40</v>
      </c>
      <c r="D780">
        <v>4.6360299999999999</v>
      </c>
      <c r="E780">
        <v>0.40049699999999999</v>
      </c>
      <c r="F780" t="s">
        <v>45</v>
      </c>
      <c r="G780">
        <v>-169.2955</v>
      </c>
      <c r="H780">
        <v>3.639662</v>
      </c>
      <c r="I780">
        <v>383.84890000000001</v>
      </c>
      <c r="J780">
        <v>-256.88529999999997</v>
      </c>
      <c r="K780">
        <v>1.1208229999999999</v>
      </c>
      <c r="L780">
        <v>367.94729999999998</v>
      </c>
      <c r="M780">
        <v>0.99983219999999995</v>
      </c>
      <c r="N780">
        <v>-1.0991600000000001E-2</v>
      </c>
      <c r="O780">
        <v>-1.465286E-2</v>
      </c>
      <c r="P780">
        <v>0.9728057</v>
      </c>
      <c r="Q780">
        <v>0.2151266</v>
      </c>
      <c r="R780">
        <v>-8.5847499999999993E-2</v>
      </c>
      <c r="S780">
        <v>3.113998</v>
      </c>
      <c r="T780">
        <v>8.9347480000000007E-2</v>
      </c>
      <c r="U780">
        <v>0.5639343</v>
      </c>
      <c r="V780">
        <v>7.1580179999999993E-2</v>
      </c>
      <c r="W780">
        <v>0.22581979999999999</v>
      </c>
      <c r="X780">
        <v>0.9715357</v>
      </c>
      <c r="Y780">
        <v>-0.19254019999999999</v>
      </c>
      <c r="Z780">
        <v>-2.2492530000000001E-3</v>
      </c>
      <c r="AA780">
        <v>0.98128649999999995</v>
      </c>
      <c r="AB780">
        <v>37</v>
      </c>
      <c r="AC780">
        <v>87.589799999999897</v>
      </c>
      <c r="AD780">
        <v>2.5188389999999998</v>
      </c>
      <c r="AE780">
        <v>15.9016</v>
      </c>
      <c r="AF780">
        <v>-17.1696653830538</v>
      </c>
      <c r="AG780">
        <v>2.5188389999999998</v>
      </c>
      <c r="AH780">
        <v>87.277503741428106</v>
      </c>
      <c r="AI780">
        <v>88.377967819132806</v>
      </c>
      <c r="AJ780">
        <v>101.129391778878</v>
      </c>
      <c r="AK780">
        <v>88.985979899133298</v>
      </c>
      <c r="AL780">
        <v>76.948909448667706</v>
      </c>
      <c r="AM780">
        <v>85.786212188040295</v>
      </c>
      <c r="AN780">
        <v>0.99999996030768001</v>
      </c>
    </row>
    <row r="781" spans="1:40" x14ac:dyDescent="0.25">
      <c r="A781" t="str">
        <f>"20190303170954916"</f>
        <v>20190303170954916</v>
      </c>
      <c r="B781" t="str">
        <f>"1551604194901698"</f>
        <v>1551604194901698</v>
      </c>
      <c r="C781" t="s">
        <v>40</v>
      </c>
      <c r="D781">
        <v>4.7594099999999999</v>
      </c>
      <c r="E781">
        <v>0.41725099999999998</v>
      </c>
      <c r="F781" t="s">
        <v>45</v>
      </c>
      <c r="G781">
        <v>-169.2955</v>
      </c>
      <c r="H781">
        <v>3.63279</v>
      </c>
      <c r="I781">
        <v>383.82530000000003</v>
      </c>
      <c r="J781">
        <v>-256.66269999999997</v>
      </c>
      <c r="K781">
        <v>1.120819</v>
      </c>
      <c r="L781">
        <v>367.94400000000002</v>
      </c>
      <c r="M781">
        <v>0.99983250000000001</v>
      </c>
      <c r="N781">
        <v>-1.098268E-2</v>
      </c>
      <c r="O781">
        <v>-1.4636710000000001E-2</v>
      </c>
      <c r="P781">
        <v>0.97276739999999995</v>
      </c>
      <c r="Q781">
        <v>0.2153408</v>
      </c>
      <c r="R781">
        <v>-8.5743990000000006E-2</v>
      </c>
      <c r="S781">
        <v>3.1139220000000001</v>
      </c>
      <c r="T781">
        <v>8.9306469999999999E-2</v>
      </c>
      <c r="U781">
        <v>0.56448359999999997</v>
      </c>
      <c r="V781">
        <v>7.1492429999999996E-2</v>
      </c>
      <c r="W781">
        <v>0.22602510000000001</v>
      </c>
      <c r="X781">
        <v>0.97149450000000004</v>
      </c>
      <c r="Y781">
        <v>-0.19269620000000001</v>
      </c>
      <c r="Z781">
        <v>-2.2492689999999999E-3</v>
      </c>
      <c r="AA781">
        <v>0.98125589999999996</v>
      </c>
      <c r="AB781">
        <v>37</v>
      </c>
      <c r="AC781">
        <v>87.367199999999897</v>
      </c>
      <c r="AD781">
        <v>2.511971</v>
      </c>
      <c r="AE781">
        <v>15.8813</v>
      </c>
      <c r="AF781">
        <v>-17.144724426073399</v>
      </c>
      <c r="AG781">
        <v>2.511971</v>
      </c>
      <c r="AH781">
        <v>87.055711389049804</v>
      </c>
      <c r="AI781">
        <v>88.378335126253802</v>
      </c>
      <c r="AJ781">
        <v>101.14123454212999</v>
      </c>
      <c r="AK781">
        <v>88.763441007006804</v>
      </c>
      <c r="AL781">
        <v>76.936835467373896</v>
      </c>
      <c r="AM781">
        <v>85.791181447216104</v>
      </c>
      <c r="AN781">
        <v>1.0000000384537799</v>
      </c>
    </row>
    <row r="782" spans="1:40" x14ac:dyDescent="0.25">
      <c r="A782" t="str">
        <f>"20190303170954929"</f>
        <v>20190303170954929</v>
      </c>
      <c r="B782" t="str">
        <f>"1551604194921217"</f>
        <v>1551604194921217</v>
      </c>
      <c r="C782" t="s">
        <v>40</v>
      </c>
      <c r="D782">
        <v>4.6005190000000002</v>
      </c>
      <c r="E782">
        <v>0.42804239999999999</v>
      </c>
      <c r="F782" t="s">
        <v>45</v>
      </c>
      <c r="G782">
        <v>-158.19499999999999</v>
      </c>
      <c r="H782">
        <v>2.195945</v>
      </c>
      <c r="I782">
        <v>381.67079999999999</v>
      </c>
      <c r="J782">
        <v>-256.45319999999998</v>
      </c>
      <c r="K782">
        <v>1.120817</v>
      </c>
      <c r="L782">
        <v>367.9409</v>
      </c>
      <c r="M782">
        <v>0.99983299999999997</v>
      </c>
      <c r="N782">
        <v>-1.0973170000000001E-2</v>
      </c>
      <c r="O782">
        <v>-1.4621510000000001E-2</v>
      </c>
      <c r="P782">
        <v>0.97274550000000004</v>
      </c>
      <c r="Q782">
        <v>0.21557889999999999</v>
      </c>
      <c r="R782">
        <v>-8.5394979999999995E-2</v>
      </c>
      <c r="S782">
        <v>3.1147309999999999</v>
      </c>
      <c r="T782">
        <v>3.4011130000000001E-2</v>
      </c>
      <c r="U782">
        <v>0.43420409999999998</v>
      </c>
      <c r="V782">
        <v>7.1158360000000004E-2</v>
      </c>
      <c r="W782">
        <v>0.2262536</v>
      </c>
      <c r="X782">
        <v>0.97146580000000005</v>
      </c>
      <c r="Y782">
        <v>-0.15253259999999999</v>
      </c>
      <c r="Z782">
        <v>-3.0637239999999999E-4</v>
      </c>
      <c r="AA782">
        <v>0.98829840000000002</v>
      </c>
      <c r="AB782">
        <v>37</v>
      </c>
      <c r="AC782">
        <v>98.258200000000002</v>
      </c>
      <c r="AD782">
        <v>1.0751280000000001</v>
      </c>
      <c r="AE782">
        <v>13.729899999999899</v>
      </c>
      <c r="AF782">
        <v>-15.163421028081601</v>
      </c>
      <c r="AG782">
        <v>1.0751280000000001</v>
      </c>
      <c r="AH782">
        <v>98.035418552153899</v>
      </c>
      <c r="AI782">
        <v>89.379060916247298</v>
      </c>
      <c r="AJ782">
        <v>98.792429495947999</v>
      </c>
      <c r="AK782">
        <v>99.206998383114396</v>
      </c>
      <c r="AL782">
        <v>76.923394728640105</v>
      </c>
      <c r="AM782">
        <v>85.810654922843398</v>
      </c>
      <c r="AN782">
        <v>1.00000000214024</v>
      </c>
    </row>
    <row r="783" spans="1:40" x14ac:dyDescent="0.25">
      <c r="A783" t="str">
        <f>"20190303170954943"</f>
        <v>20190303170954943</v>
      </c>
      <c r="B783" t="str">
        <f>"1551604194930977"</f>
        <v>1551604194930977</v>
      </c>
      <c r="C783" t="s">
        <v>40</v>
      </c>
      <c r="D783">
        <v>4.4914170000000002</v>
      </c>
      <c r="E783">
        <v>0.48718600000000001</v>
      </c>
      <c r="F783" t="s">
        <v>45</v>
      </c>
      <c r="G783">
        <v>-158.19499999999999</v>
      </c>
      <c r="H783">
        <v>1.8909039999999999</v>
      </c>
      <c r="I783">
        <v>378.98320000000001</v>
      </c>
      <c r="J783">
        <v>-256.21190000000001</v>
      </c>
      <c r="K783">
        <v>1.120817</v>
      </c>
      <c r="L783">
        <v>367.93740000000003</v>
      </c>
      <c r="M783">
        <v>0.99983330000000004</v>
      </c>
      <c r="N783">
        <v>-1.0960900000000001E-2</v>
      </c>
      <c r="O783">
        <v>-1.460415E-2</v>
      </c>
      <c r="P783">
        <v>0.97272400000000003</v>
      </c>
      <c r="Q783">
        <v>0.21610660000000001</v>
      </c>
      <c r="R783">
        <v>-8.4298799999999993E-2</v>
      </c>
      <c r="S783">
        <v>3.1093289999999998</v>
      </c>
      <c r="T783">
        <v>2.4371739999999999E-2</v>
      </c>
      <c r="U783">
        <v>0.34942630000000002</v>
      </c>
      <c r="V783">
        <v>7.0079130000000003E-2</v>
      </c>
      <c r="W783">
        <v>0.2267691</v>
      </c>
      <c r="X783">
        <v>0.97142399999999995</v>
      </c>
      <c r="Y783">
        <v>-0.1261777</v>
      </c>
      <c r="Z783" s="1">
        <v>-7.2924419999999997E-5</v>
      </c>
      <c r="AA783">
        <v>0.99200770000000005</v>
      </c>
      <c r="AB783">
        <v>37</v>
      </c>
      <c r="AC783">
        <v>98.016900000000007</v>
      </c>
      <c r="AD783">
        <v>0.77008699999999997</v>
      </c>
      <c r="AE783">
        <v>11.0457999999999</v>
      </c>
      <c r="AF783">
        <v>-12.475400918753101</v>
      </c>
      <c r="AG783">
        <v>0.77008699999999997</v>
      </c>
      <c r="AH783">
        <v>97.839157782681795</v>
      </c>
      <c r="AI783">
        <v>89.552658928629299</v>
      </c>
      <c r="AJ783">
        <v>97.266531849992006</v>
      </c>
      <c r="AK783">
        <v>98.634321905185203</v>
      </c>
      <c r="AL783">
        <v>76.893069868860906</v>
      </c>
      <c r="AM783">
        <v>85.8737949750615</v>
      </c>
      <c r="AN783">
        <v>0.99999994847618201</v>
      </c>
    </row>
    <row r="784" spans="1:40" x14ac:dyDescent="0.25">
      <c r="A784" t="str">
        <f>"20190303170954955"</f>
        <v>20190303170954955</v>
      </c>
      <c r="B784" t="str">
        <f>"1551604194941713"</f>
        <v>1551604194941713</v>
      </c>
      <c r="C784" t="s">
        <v>40</v>
      </c>
      <c r="D784">
        <v>4.7769959999999996</v>
      </c>
      <c r="E784">
        <v>0.49501270000000003</v>
      </c>
      <c r="F784" t="s">
        <v>45</v>
      </c>
      <c r="G784">
        <v>-158.19499999999999</v>
      </c>
      <c r="H784">
        <v>0.76938079999999998</v>
      </c>
      <c r="I784">
        <v>364.23599999999999</v>
      </c>
      <c r="J784">
        <v>-256.0179</v>
      </c>
      <c r="K784">
        <v>1.1208149999999999</v>
      </c>
      <c r="L784">
        <v>367.93459999999999</v>
      </c>
      <c r="M784">
        <v>0.99983359999999999</v>
      </c>
      <c r="N784">
        <v>-1.094989E-2</v>
      </c>
      <c r="O784">
        <v>-1.4590489999999999E-2</v>
      </c>
      <c r="P784">
        <v>0.97269079999999997</v>
      </c>
      <c r="Q784">
        <v>0.21657380000000001</v>
      </c>
      <c r="R784">
        <v>-8.3476999999999996E-2</v>
      </c>
      <c r="S784">
        <v>3.0765380000000002</v>
      </c>
      <c r="T784">
        <v>-1.1028049999999999E-2</v>
      </c>
      <c r="U784">
        <v>-0.1161804</v>
      </c>
      <c r="V784">
        <v>6.927092E-2</v>
      </c>
      <c r="W784">
        <v>0.22722519999999999</v>
      </c>
      <c r="X784">
        <v>0.97137549999999995</v>
      </c>
      <c r="Y784">
        <v>2.3151270000000002E-2</v>
      </c>
      <c r="Z784">
        <v>-2.757328E-4</v>
      </c>
      <c r="AA784">
        <v>0.99973199999999995</v>
      </c>
      <c r="AB784">
        <v>37</v>
      </c>
      <c r="AC784">
        <v>97.822900000000004</v>
      </c>
      <c r="AD784">
        <v>-0.35143419999999898</v>
      </c>
      <c r="AE784">
        <v>-3.6985999999999901</v>
      </c>
      <c r="AF784">
        <v>2.2708073717856498</v>
      </c>
      <c r="AG784">
        <v>-0.35143419999999898</v>
      </c>
      <c r="AH784">
        <v>97.865192142209295</v>
      </c>
      <c r="AI784">
        <v>90.205693068034407</v>
      </c>
      <c r="AJ784">
        <v>88.670780353630306</v>
      </c>
      <c r="AK784">
        <v>97.8921646769966</v>
      </c>
      <c r="AL784">
        <v>76.866238246076705</v>
      </c>
      <c r="AM784">
        <v>85.921017251626594</v>
      </c>
      <c r="AN784">
        <v>1.00000005693646</v>
      </c>
    </row>
    <row r="785" spans="1:40" x14ac:dyDescent="0.25">
      <c r="A785" t="str">
        <f>"20190303170954969"</f>
        <v>20190303170954969</v>
      </c>
      <c r="B785" t="str">
        <f>"1551604194961233"</f>
        <v>1551604194961233</v>
      </c>
      <c r="C785" t="s">
        <v>40</v>
      </c>
      <c r="D785">
        <v>4.5964210000000003</v>
      </c>
      <c r="E785">
        <v>0.5107526</v>
      </c>
      <c r="F785" t="s">
        <v>45</v>
      </c>
      <c r="G785">
        <v>-158.19499999999999</v>
      </c>
      <c r="H785">
        <v>0.61014029999999997</v>
      </c>
      <c r="I785">
        <v>362.34129999999999</v>
      </c>
      <c r="J785">
        <v>-255.79589999999999</v>
      </c>
      <c r="K785">
        <v>1.1208119999999999</v>
      </c>
      <c r="L785">
        <v>367.9314</v>
      </c>
      <c r="M785">
        <v>0.99983409999999995</v>
      </c>
      <c r="N785">
        <v>-1.093354E-2</v>
      </c>
      <c r="O785">
        <v>-1.4574780000000001E-2</v>
      </c>
      <c r="P785">
        <v>0.97260519999999995</v>
      </c>
      <c r="Q785">
        <v>0.21709690000000001</v>
      </c>
      <c r="R785">
        <v>-8.3115499999999995E-2</v>
      </c>
      <c r="S785">
        <v>3.0727229999999999</v>
      </c>
      <c r="T785">
        <v>-1.603806E-2</v>
      </c>
      <c r="U785">
        <v>-0.1756897</v>
      </c>
      <c r="V785">
        <v>6.8925749999999994E-2</v>
      </c>
      <c r="W785">
        <v>0.2277313</v>
      </c>
      <c r="X785">
        <v>0.97128150000000002</v>
      </c>
      <c r="Y785">
        <v>4.252446E-2</v>
      </c>
      <c r="Z785">
        <v>-4.2680989999999998E-4</v>
      </c>
      <c r="AA785">
        <v>0.99909530000000002</v>
      </c>
      <c r="AB785">
        <v>37</v>
      </c>
      <c r="AC785">
        <v>97.600899999999996</v>
      </c>
      <c r="AD785">
        <v>-0.51067169999999995</v>
      </c>
      <c r="AE785">
        <v>-5.5900999999999996</v>
      </c>
      <c r="AF785">
        <v>4.1667959224595803</v>
      </c>
      <c r="AG785">
        <v>-0.51067169999999995</v>
      </c>
      <c r="AH785">
        <v>97.669346064860505</v>
      </c>
      <c r="AI785">
        <v>90.2993004222011</v>
      </c>
      <c r="AJ785">
        <v>87.557113392981805</v>
      </c>
      <c r="AK785">
        <v>97.759521963756001</v>
      </c>
      <c r="AL785">
        <v>76.836459780276698</v>
      </c>
      <c r="AM785">
        <v>85.9408828269286</v>
      </c>
      <c r="AN785">
        <v>1.0000000281275001</v>
      </c>
    </row>
    <row r="786" spans="1:40" x14ac:dyDescent="0.25">
      <c r="A786" t="str">
        <f>"20190303170954982"</f>
        <v>20190303170954982</v>
      </c>
      <c r="B786" t="str">
        <f>"1551604194970993"</f>
        <v>1551604194970993</v>
      </c>
      <c r="C786" t="s">
        <v>40</v>
      </c>
      <c r="D786">
        <v>4.6116239999999999</v>
      </c>
      <c r="E786">
        <v>0.5159395</v>
      </c>
      <c r="F786" t="s">
        <v>41</v>
      </c>
      <c r="G786">
        <v>-164.90700000000001</v>
      </c>
      <c r="H786">
        <v>-0.05</v>
      </c>
      <c r="I786">
        <v>359.08159999999998</v>
      </c>
      <c r="J786">
        <v>-255.5677</v>
      </c>
      <c r="K786">
        <v>1.120808</v>
      </c>
      <c r="L786">
        <v>367.928</v>
      </c>
      <c r="M786">
        <v>0.99983469999999997</v>
      </c>
      <c r="N786">
        <v>-1.0914460000000001E-2</v>
      </c>
      <c r="O786">
        <v>-1.455882E-2</v>
      </c>
      <c r="P786">
        <v>0.97269629999999996</v>
      </c>
      <c r="Q786">
        <v>0.21709790000000001</v>
      </c>
      <c r="R786">
        <v>-8.2042169999999998E-2</v>
      </c>
      <c r="S786">
        <v>3.06778</v>
      </c>
      <c r="T786">
        <v>-3.9518480000000002E-2</v>
      </c>
      <c r="U786">
        <v>-0.29870609999999997</v>
      </c>
      <c r="V786">
        <v>6.7866399999999993E-2</v>
      </c>
      <c r="W786">
        <v>0.22771459999999999</v>
      </c>
      <c r="X786">
        <v>0.97136</v>
      </c>
      <c r="Y786">
        <v>8.2396559999999994E-2</v>
      </c>
      <c r="Z786">
        <v>-9.517064E-4</v>
      </c>
      <c r="AA786">
        <v>0.99659909999999996</v>
      </c>
      <c r="AB786">
        <v>37</v>
      </c>
      <c r="AC786">
        <v>90.660700000000006</v>
      </c>
      <c r="AD786">
        <v>-1.1708080000000001</v>
      </c>
      <c r="AE786">
        <v>-8.8464000000000702</v>
      </c>
      <c r="AF786">
        <v>7.5242281773820103</v>
      </c>
      <c r="AG786">
        <v>-1.1708080000000001</v>
      </c>
      <c r="AH786">
        <v>90.764896321571399</v>
      </c>
      <c r="AI786">
        <v>90.736511152192094</v>
      </c>
      <c r="AJ786">
        <v>85.2611300678834</v>
      </c>
      <c r="AK786">
        <v>91.083759283989707</v>
      </c>
      <c r="AL786">
        <v>76.837442308496406</v>
      </c>
      <c r="AM786">
        <v>86.003387366488894</v>
      </c>
      <c r="AN786">
        <v>1.00000001845105</v>
      </c>
    </row>
    <row r="787" spans="1:40" x14ac:dyDescent="0.25">
      <c r="A787" t="str">
        <f>"20190303170955001"</f>
        <v>20190303170955001</v>
      </c>
      <c r="B787" t="str">
        <f>"1551604194991489"</f>
        <v>1551604194991489</v>
      </c>
      <c r="C787" t="s">
        <v>40</v>
      </c>
      <c r="D787">
        <v>4.6192909999999996</v>
      </c>
      <c r="E787">
        <v>0.52224659999999901</v>
      </c>
      <c r="F787" t="s">
        <v>44</v>
      </c>
      <c r="G787">
        <v>-191.3905</v>
      </c>
      <c r="H787" s="1">
        <v>-7.1352870000000004E-6</v>
      </c>
      <c r="I787">
        <v>360.8972</v>
      </c>
      <c r="J787">
        <v>-255.27170000000001</v>
      </c>
      <c r="K787">
        <v>1.1208039999999999</v>
      </c>
      <c r="L787">
        <v>367.9237</v>
      </c>
      <c r="M787">
        <v>0.99983509999999998</v>
      </c>
      <c r="N787">
        <v>-1.088544E-2</v>
      </c>
      <c r="O787">
        <v>-1.453779E-2</v>
      </c>
      <c r="P787">
        <v>0.97263359999999999</v>
      </c>
      <c r="Q787">
        <v>0.2177607</v>
      </c>
      <c r="R787">
        <v>-8.1019830000000001E-2</v>
      </c>
      <c r="S787">
        <v>3.067825</v>
      </c>
      <c r="T787">
        <v>-5.3577659999999999E-2</v>
      </c>
      <c r="U787">
        <v>-0.3360901</v>
      </c>
      <c r="V787">
        <v>6.6865129999999995E-2</v>
      </c>
      <c r="W787">
        <v>0.2283483</v>
      </c>
      <c r="X787">
        <v>0.97128060000000005</v>
      </c>
      <c r="Y787">
        <v>9.4415070000000004E-2</v>
      </c>
      <c r="Z787">
        <v>-1.242169E-3</v>
      </c>
      <c r="AA787">
        <v>0.99553219999999998</v>
      </c>
      <c r="AB787">
        <v>37</v>
      </c>
      <c r="AC787">
        <v>63.8812</v>
      </c>
      <c r="AD787">
        <v>-1.120811135287</v>
      </c>
      <c r="AE787">
        <v>-7.0264999999999898</v>
      </c>
      <c r="AF787">
        <v>6.0951570142479801</v>
      </c>
      <c r="AG787">
        <v>-1.120811135287</v>
      </c>
      <c r="AH787">
        <v>63.957151181492101</v>
      </c>
      <c r="AI787">
        <v>90.999444382947104</v>
      </c>
      <c r="AJ787">
        <v>84.556117028897404</v>
      </c>
      <c r="AK787">
        <v>64.256706606248997</v>
      </c>
      <c r="AL787">
        <v>76.800150551621101</v>
      </c>
      <c r="AM787">
        <v>86.061843788029293</v>
      </c>
      <c r="AN787">
        <v>0.99999994782958201</v>
      </c>
    </row>
    <row r="788" spans="1:40" x14ac:dyDescent="0.25">
      <c r="A788" t="str">
        <f>"20190303170955015"</f>
        <v>20190303170955015</v>
      </c>
      <c r="B788" t="str">
        <f>"1551604195001249"</f>
        <v>1551604195001249</v>
      </c>
      <c r="C788" t="s">
        <v>40</v>
      </c>
      <c r="D788">
        <v>4.5834849999999996</v>
      </c>
      <c r="E788">
        <v>0.52441569999999904</v>
      </c>
      <c r="F788" t="s">
        <v>44</v>
      </c>
      <c r="G788">
        <v>-204.11189999999999</v>
      </c>
      <c r="H788" s="1">
        <v>-4.2994510000000002E-6</v>
      </c>
      <c r="I788">
        <v>361.5367</v>
      </c>
      <c r="J788">
        <v>-255.01009999999999</v>
      </c>
      <c r="K788">
        <v>1.1208049999999901</v>
      </c>
      <c r="L788">
        <v>367.92</v>
      </c>
      <c r="M788">
        <v>0.99983580000000005</v>
      </c>
      <c r="N788">
        <v>-1.0856319999999999E-2</v>
      </c>
      <c r="O788">
        <v>-1.4519870000000001E-2</v>
      </c>
      <c r="P788">
        <v>0.97256969999999998</v>
      </c>
      <c r="Q788">
        <v>0.21818070000000001</v>
      </c>
      <c r="R788">
        <v>-8.0657590000000001E-2</v>
      </c>
      <c r="S788">
        <v>3.0675659999999998</v>
      </c>
      <c r="T788">
        <v>-6.7204120000000006E-2</v>
      </c>
      <c r="U788">
        <v>-0.3829651</v>
      </c>
      <c r="V788">
        <v>6.6521150000000001E-2</v>
      </c>
      <c r="W788">
        <v>0.22873969999999999</v>
      </c>
      <c r="X788">
        <v>0.97121219999999997</v>
      </c>
      <c r="Y788">
        <v>0.109421699999999</v>
      </c>
      <c r="Z788">
        <v>-1.6305110000000001E-3</v>
      </c>
      <c r="AA788">
        <v>0.99399409999999999</v>
      </c>
      <c r="AB788">
        <v>37</v>
      </c>
      <c r="AC788">
        <v>50.898200000000003</v>
      </c>
      <c r="AD788">
        <v>-1.1208092994509899</v>
      </c>
      <c r="AE788">
        <v>-6.38330000000001</v>
      </c>
      <c r="AF788">
        <v>5.64085537855828</v>
      </c>
      <c r="AG788">
        <v>-1.1208092994509899</v>
      </c>
      <c r="AH788">
        <v>50.961195077776999</v>
      </c>
      <c r="AI788">
        <v>91.252279431913706</v>
      </c>
      <c r="AJ788">
        <v>83.683686656537006</v>
      </c>
      <c r="AK788">
        <v>51.284684523186698</v>
      </c>
      <c r="AL788">
        <v>76.777116369038197</v>
      </c>
      <c r="AM788">
        <v>86.081764850350694</v>
      </c>
      <c r="AN788">
        <v>1.0000000255911199</v>
      </c>
    </row>
    <row r="789" spans="1:40" x14ac:dyDescent="0.25">
      <c r="A789" t="str">
        <f>"20190303170955033"</f>
        <v>20190303170955033</v>
      </c>
      <c r="B789" t="str">
        <f>"1551604195021745"</f>
        <v>1551604195021745</v>
      </c>
      <c r="C789" t="s">
        <v>40</v>
      </c>
      <c r="D789">
        <v>4.5826289999999998</v>
      </c>
      <c r="E789">
        <v>0.52768190000000004</v>
      </c>
      <c r="F789" t="s">
        <v>44</v>
      </c>
      <c r="G789">
        <v>-207.12469999999999</v>
      </c>
      <c r="H789" s="1">
        <v>-5.5600040000000002E-6</v>
      </c>
      <c r="I789">
        <v>361.69380000000001</v>
      </c>
      <c r="J789">
        <v>-254.73269999999999</v>
      </c>
      <c r="K789">
        <v>1.120798</v>
      </c>
      <c r="L789">
        <v>367.916</v>
      </c>
      <c r="M789">
        <v>0.99983639999999996</v>
      </c>
      <c r="N789">
        <v>-1.0825319999999999E-2</v>
      </c>
      <c r="O789">
        <v>-1.44997999999999E-2</v>
      </c>
      <c r="P789">
        <v>0.97242709999999999</v>
      </c>
      <c r="Q789">
        <v>0.21900259999999999</v>
      </c>
      <c r="R789">
        <v>-8.0147949999999996E-2</v>
      </c>
      <c r="S789">
        <v>3.0676269999999999</v>
      </c>
      <c r="T789">
        <v>-7.1801190000000001E-2</v>
      </c>
      <c r="U789">
        <v>-0.39886470000000002</v>
      </c>
      <c r="V789">
        <v>6.6033110000000006E-2</v>
      </c>
      <c r="W789">
        <v>0.2295297</v>
      </c>
      <c r="X789">
        <v>0.97105909999999995</v>
      </c>
      <c r="Y789">
        <v>0.1145012</v>
      </c>
      <c r="Z789">
        <v>-1.7752239999999999E-3</v>
      </c>
      <c r="AA789">
        <v>0.99342160000000002</v>
      </c>
      <c r="AB789">
        <v>37</v>
      </c>
      <c r="AC789">
        <v>47.607999999999997</v>
      </c>
      <c r="AD789">
        <v>-1.1208035600040001</v>
      </c>
      <c r="AE789">
        <v>-6.2221999999999804</v>
      </c>
      <c r="AF789">
        <v>5.5281864651750698</v>
      </c>
      <c r="AG789">
        <v>-1.1208035600040001</v>
      </c>
      <c r="AH789">
        <v>47.667244960785297</v>
      </c>
      <c r="AI789">
        <v>91.337987156952906</v>
      </c>
      <c r="AJ789">
        <v>83.384701894389295</v>
      </c>
      <c r="AK789">
        <v>47.999825920157001</v>
      </c>
      <c r="AL789">
        <v>76.730615395711993</v>
      </c>
      <c r="AM789">
        <v>86.109811507786702</v>
      </c>
      <c r="AN789">
        <v>1.0000000152455799</v>
      </c>
    </row>
    <row r="790" spans="1:40" x14ac:dyDescent="0.25">
      <c r="A790" t="str">
        <f>"20190303170955047"</f>
        <v>20190303170955047</v>
      </c>
      <c r="B790" t="str">
        <f>"1551604195041266"</f>
        <v>1551604195041266</v>
      </c>
      <c r="C790" t="s">
        <v>40</v>
      </c>
      <c r="D790">
        <v>4.5766410000000004</v>
      </c>
      <c r="E790">
        <v>0.53014530000000004</v>
      </c>
      <c r="F790" t="s">
        <v>44</v>
      </c>
      <c r="G790">
        <v>-209.29230000000001</v>
      </c>
      <c r="H790" s="1">
        <v>-6.2932489999999899E-6</v>
      </c>
      <c r="I790">
        <v>361.6447</v>
      </c>
      <c r="J790">
        <v>-254.5027</v>
      </c>
      <c r="K790">
        <v>1.1208020000000001</v>
      </c>
      <c r="L790">
        <v>367.91269999999997</v>
      </c>
      <c r="M790">
        <v>0.99983690000000003</v>
      </c>
      <c r="N790">
        <v>-1.0800799999999999E-2</v>
      </c>
      <c r="O790">
        <v>-1.4483340000000001E-2</v>
      </c>
      <c r="P790">
        <v>0.97243639999999998</v>
      </c>
      <c r="Q790">
        <v>0.21903629999999999</v>
      </c>
      <c r="R790">
        <v>-7.9941670000000006E-2</v>
      </c>
      <c r="S790">
        <v>3.0672299999999999</v>
      </c>
      <c r="T790">
        <v>-7.5654390000000002E-2</v>
      </c>
      <c r="U790">
        <v>-0.4233093</v>
      </c>
      <c r="V790">
        <v>6.5842769999999995E-2</v>
      </c>
      <c r="W790">
        <v>0.2295394</v>
      </c>
      <c r="X790">
        <v>0.97106970000000004</v>
      </c>
      <c r="Y790">
        <v>0.12230050000000001</v>
      </c>
      <c r="Z790">
        <v>-1.9650309999999999E-3</v>
      </c>
      <c r="AA790">
        <v>0.99249120000000002</v>
      </c>
      <c r="AB790">
        <v>37</v>
      </c>
      <c r="AC790">
        <v>45.2103999999999</v>
      </c>
      <c r="AD790">
        <v>-1.120808293249</v>
      </c>
      <c r="AE790">
        <v>-6.2679999999999696</v>
      </c>
      <c r="AF790">
        <v>5.6091244658451203</v>
      </c>
      <c r="AG790">
        <v>-1.120808293249</v>
      </c>
      <c r="AH790">
        <v>45.269146922464401</v>
      </c>
      <c r="AI790">
        <v>91.407524010915694</v>
      </c>
      <c r="AJ790">
        <v>82.936702274223194</v>
      </c>
      <c r="AK790">
        <v>45.629093258481703</v>
      </c>
      <c r="AL790">
        <v>76.730043963866606</v>
      </c>
      <c r="AM790">
        <v>86.1210328811176</v>
      </c>
      <c r="AN790">
        <v>0.99999998438586102</v>
      </c>
    </row>
    <row r="791" spans="1:40" x14ac:dyDescent="0.25">
      <c r="A791" t="str">
        <f>"20190303170955059"</f>
        <v>20190303170955059</v>
      </c>
      <c r="B791" t="str">
        <f>"1551604195051025"</f>
        <v>1551604195051025</v>
      </c>
      <c r="C791" t="s">
        <v>40</v>
      </c>
      <c r="D791">
        <v>4.592117</v>
      </c>
      <c r="E791">
        <v>0.53116799999999997</v>
      </c>
      <c r="F791" t="s">
        <v>42</v>
      </c>
      <c r="G791">
        <v>-212.0059</v>
      </c>
      <c r="H791" s="1">
        <v>-4.800514E-6</v>
      </c>
      <c r="I791">
        <v>361.78739999999999</v>
      </c>
      <c r="J791">
        <v>-254.2919</v>
      </c>
      <c r="K791">
        <v>1.1207990000000001</v>
      </c>
      <c r="L791">
        <v>367.90960000000001</v>
      </c>
      <c r="M791">
        <v>0.99983730000000004</v>
      </c>
      <c r="N791">
        <v>-1.077907E-2</v>
      </c>
      <c r="O791">
        <v>-1.4468079999999999E-2</v>
      </c>
      <c r="P791">
        <v>0.97239850000000005</v>
      </c>
      <c r="Q791">
        <v>0.219277</v>
      </c>
      <c r="R791">
        <v>-7.9743110000000006E-2</v>
      </c>
      <c r="S791">
        <v>3.0668950000000001</v>
      </c>
      <c r="T791">
        <v>-8.0885769999999996E-2</v>
      </c>
      <c r="U791">
        <v>-0.44204710000000003</v>
      </c>
      <c r="V791">
        <v>6.5659579999999995E-2</v>
      </c>
      <c r="W791">
        <v>0.22975889999999999</v>
      </c>
      <c r="X791">
        <v>0.97103019999999995</v>
      </c>
      <c r="Y791">
        <v>0.12826480000000001</v>
      </c>
      <c r="Z791">
        <v>-2.1532040000000001E-3</v>
      </c>
      <c r="AA791">
        <v>0.9917376</v>
      </c>
      <c r="AB791">
        <v>37</v>
      </c>
      <c r="AC791">
        <v>42.286000000000001</v>
      </c>
      <c r="AD791">
        <v>-1.120803800514</v>
      </c>
      <c r="AE791">
        <v>-6.1222000000000198</v>
      </c>
      <c r="AF791">
        <v>5.5059377134003098</v>
      </c>
      <c r="AG791">
        <v>-1.120803800514</v>
      </c>
      <c r="AH791">
        <v>42.341019912689902</v>
      </c>
      <c r="AI791">
        <v>91.503661092113106</v>
      </c>
      <c r="AJ791">
        <v>82.590951928024495</v>
      </c>
      <c r="AK791">
        <v>42.712217438455397</v>
      </c>
      <c r="AL791">
        <v>76.7171222745732</v>
      </c>
      <c r="AM791">
        <v>86.131635391284306</v>
      </c>
      <c r="AN791">
        <v>0.999999990943513</v>
      </c>
    </row>
    <row r="792" spans="1:40" x14ac:dyDescent="0.25">
      <c r="A792" t="str">
        <f>"20190303170955071"</f>
        <v>20190303170955071</v>
      </c>
      <c r="B792" t="str">
        <f>"1551604195061761"</f>
        <v>1551604195061761</v>
      </c>
      <c r="C792" t="s">
        <v>40</v>
      </c>
      <c r="D792">
        <v>4.5978300000000001</v>
      </c>
      <c r="E792">
        <v>0.53206249999999999</v>
      </c>
      <c r="F792" t="s">
        <v>42</v>
      </c>
      <c r="G792">
        <v>-212.40350000000001</v>
      </c>
      <c r="H792" s="1">
        <v>-4.659224E-6</v>
      </c>
      <c r="I792">
        <v>361.76889999999997</v>
      </c>
      <c r="J792">
        <v>-254.0796</v>
      </c>
      <c r="K792">
        <v>1.120797</v>
      </c>
      <c r="L792">
        <v>367.90660000000003</v>
      </c>
      <c r="M792">
        <v>0.9998378</v>
      </c>
      <c r="N792">
        <v>-1.075838E-2</v>
      </c>
      <c r="O792">
        <v>-1.4452359999999999E-2</v>
      </c>
      <c r="P792">
        <v>0.97235139999999998</v>
      </c>
      <c r="Q792">
        <v>0.21952940000000001</v>
      </c>
      <c r="R792">
        <v>-7.9622100000000001E-2</v>
      </c>
      <c r="S792">
        <v>3.0667879999999998</v>
      </c>
      <c r="T792">
        <v>-8.2057599999999994E-2</v>
      </c>
      <c r="U792">
        <v>-0.44958500000000001</v>
      </c>
      <c r="V792">
        <v>6.5554650000000006E-2</v>
      </c>
      <c r="W792">
        <v>0.22999049999999999</v>
      </c>
      <c r="X792">
        <v>0.97098249999999997</v>
      </c>
      <c r="Y792">
        <v>0.13066949999999999</v>
      </c>
      <c r="Z792">
        <v>-2.2156060000000002E-3</v>
      </c>
      <c r="AA792">
        <v>0.99142350000000001</v>
      </c>
      <c r="AB792">
        <v>37</v>
      </c>
      <c r="AC792">
        <v>41.676099999999899</v>
      </c>
      <c r="AD792">
        <v>-1.120801659224</v>
      </c>
      <c r="AE792">
        <v>-6.1377000000000503</v>
      </c>
      <c r="AF792">
        <v>5.5307909291642003</v>
      </c>
      <c r="AG792">
        <v>-1.120801659224</v>
      </c>
      <c r="AH792">
        <v>41.7309153590421</v>
      </c>
      <c r="AI792">
        <v>91.525140046231002</v>
      </c>
      <c r="AJ792">
        <v>82.450324986658998</v>
      </c>
      <c r="AK792">
        <v>42.110748525346601</v>
      </c>
      <c r="AL792">
        <v>76.703487946165893</v>
      </c>
      <c r="AM792">
        <v>86.137609507963404</v>
      </c>
      <c r="AN792">
        <v>1.00000002876656</v>
      </c>
    </row>
    <row r="793" spans="1:40" x14ac:dyDescent="0.25">
      <c r="A793" t="str">
        <f>"20190303170955085"</f>
        <v>20190303170955085</v>
      </c>
      <c r="B793" t="str">
        <f>"1551604195071521"</f>
        <v>1551604195071521</v>
      </c>
      <c r="C793" t="s">
        <v>40</v>
      </c>
      <c r="D793">
        <v>4.6064910000000001</v>
      </c>
      <c r="E793">
        <v>0.53283380000000002</v>
      </c>
      <c r="F793" t="s">
        <v>42</v>
      </c>
      <c r="G793">
        <v>-212.86330000000001</v>
      </c>
      <c r="H793" s="1">
        <v>-4.5007069999999999E-6</v>
      </c>
      <c r="I793">
        <v>361.77659999999997</v>
      </c>
      <c r="J793">
        <v>-253.87039999999999</v>
      </c>
      <c r="K793">
        <v>1.1207959999999999</v>
      </c>
      <c r="L793">
        <v>367.90359999999998</v>
      </c>
      <c r="M793">
        <v>0.99983820000000001</v>
      </c>
      <c r="N793">
        <v>-1.07391E-2</v>
      </c>
      <c r="O793">
        <v>-1.4437E-2</v>
      </c>
      <c r="P793">
        <v>0.97226000000000001</v>
      </c>
      <c r="Q793">
        <v>0.2199284</v>
      </c>
      <c r="R793">
        <v>-7.9636650000000003E-2</v>
      </c>
      <c r="S793">
        <v>3.0668030000000002</v>
      </c>
      <c r="T793">
        <v>-8.3395839999999999E-2</v>
      </c>
      <c r="U793">
        <v>-0.45611570000000001</v>
      </c>
      <c r="V793">
        <v>6.5585630000000006E-2</v>
      </c>
      <c r="W793">
        <v>0.23036999999999999</v>
      </c>
      <c r="X793">
        <v>0.97089040000000004</v>
      </c>
      <c r="Y793">
        <v>0.13274720000000001</v>
      </c>
      <c r="Z793">
        <v>-2.2755689999999999E-3</v>
      </c>
      <c r="AA793">
        <v>0.99114729999999995</v>
      </c>
      <c r="AB793">
        <v>37</v>
      </c>
      <c r="AC793">
        <v>41.007099999999902</v>
      </c>
      <c r="AD793">
        <v>-1.1208005007070001</v>
      </c>
      <c r="AE793">
        <v>-6.1269999999999998</v>
      </c>
      <c r="AF793">
        <v>5.5302667211866501</v>
      </c>
      <c r="AG793">
        <v>-1.1208005007070001</v>
      </c>
      <c r="AH793">
        <v>41.0612821641948</v>
      </c>
      <c r="AI793">
        <v>91.549561720593402</v>
      </c>
      <c r="AJ793">
        <v>82.329376868675098</v>
      </c>
      <c r="AK793">
        <v>41.447182494561403</v>
      </c>
      <c r="AL793">
        <v>76.681143703064393</v>
      </c>
      <c r="AM793">
        <v>86.135424283745394</v>
      </c>
      <c r="AN793">
        <v>0.999999990287328</v>
      </c>
    </row>
    <row r="794" spans="1:40" x14ac:dyDescent="0.25">
      <c r="A794" t="str">
        <f>"20190303170955099"</f>
        <v>20190303170955099</v>
      </c>
      <c r="B794" t="str">
        <f>"1551604195091062"</f>
        <v>1551604195091062</v>
      </c>
      <c r="C794" t="s">
        <v>40</v>
      </c>
      <c r="D794">
        <v>4.6126500000000004</v>
      </c>
      <c r="E794">
        <v>0.53413189999999999</v>
      </c>
      <c r="F794" t="s">
        <v>42</v>
      </c>
      <c r="G794">
        <v>-212.90459999999999</v>
      </c>
      <c r="H794" s="1">
        <v>-4.4995970000000002E-6</v>
      </c>
      <c r="I794">
        <v>361.72789999999998</v>
      </c>
      <c r="J794">
        <v>-253.62780000000001</v>
      </c>
      <c r="K794">
        <v>1.120795</v>
      </c>
      <c r="L794">
        <v>367.9</v>
      </c>
      <c r="M794">
        <v>0.99983880000000003</v>
      </c>
      <c r="N794">
        <v>-1.0717010000000001E-2</v>
      </c>
      <c r="O794">
        <v>-1.441924E-2</v>
      </c>
      <c r="P794">
        <v>0.97229100000000002</v>
      </c>
      <c r="Q794">
        <v>0.219717</v>
      </c>
      <c r="R794">
        <v>-7.9844360000000003E-2</v>
      </c>
      <c r="S794">
        <v>3.0667110000000002</v>
      </c>
      <c r="T794">
        <v>-8.3903430000000001E-2</v>
      </c>
      <c r="U794">
        <v>-0.46231080000000002</v>
      </c>
      <c r="V794">
        <v>6.5809969999999995E-2</v>
      </c>
      <c r="W794">
        <v>0.23013710000000001</v>
      </c>
      <c r="X794">
        <v>0.97093050000000003</v>
      </c>
      <c r="Y794">
        <v>0.1347255</v>
      </c>
      <c r="Z794">
        <v>-2.320103E-3</v>
      </c>
      <c r="AA794">
        <v>0.99088030000000005</v>
      </c>
      <c r="AB794">
        <v>37</v>
      </c>
      <c r="AC794">
        <v>40.723199999999999</v>
      </c>
      <c r="AD794">
        <v>-1.1207994995970001</v>
      </c>
      <c r="AE794">
        <v>-6.1721000000000004</v>
      </c>
      <c r="AF794">
        <v>5.5800951515769999</v>
      </c>
      <c r="AG794">
        <v>-1.1207994995970001</v>
      </c>
      <c r="AH794">
        <v>40.777773106000801</v>
      </c>
      <c r="AI794">
        <v>91.559879759908895</v>
      </c>
      <c r="AJ794">
        <v>82.207951117934101</v>
      </c>
      <c r="AK794">
        <v>41.173054694829602</v>
      </c>
      <c r="AL794">
        <v>76.694856964289997</v>
      </c>
      <c r="AM794">
        <v>86.122405172387801</v>
      </c>
      <c r="AN794">
        <v>1.00000003638902</v>
      </c>
    </row>
    <row r="795" spans="1:40" x14ac:dyDescent="0.25">
      <c r="A795" t="str">
        <f>"20190303170955113"</f>
        <v>20190303170955113</v>
      </c>
      <c r="B795" t="str">
        <f>"1551604195101799"</f>
        <v>1551604195101799</v>
      </c>
      <c r="C795" t="s">
        <v>40</v>
      </c>
      <c r="D795">
        <v>4.5756059999999996</v>
      </c>
      <c r="E795">
        <v>0.53471459999999904</v>
      </c>
      <c r="F795" t="s">
        <v>42</v>
      </c>
      <c r="G795">
        <v>-214.9325</v>
      </c>
      <c r="H795" s="1">
        <v>-3.75627E-6</v>
      </c>
      <c r="I795">
        <v>361.928</v>
      </c>
      <c r="J795">
        <v>-253.40450000000001</v>
      </c>
      <c r="K795">
        <v>1.1207910000000001</v>
      </c>
      <c r="L795">
        <v>367.89690000000002</v>
      </c>
      <c r="M795">
        <v>0.99983909999999998</v>
      </c>
      <c r="N795">
        <v>-1.0695430000000001E-2</v>
      </c>
      <c r="O795">
        <v>-1.440338E-2</v>
      </c>
      <c r="P795">
        <v>0.97228570000000003</v>
      </c>
      <c r="Q795">
        <v>0.2196697</v>
      </c>
      <c r="R795">
        <v>-8.003557E-2</v>
      </c>
      <c r="S795">
        <v>3.0666959999999999</v>
      </c>
      <c r="T795">
        <v>-8.8825699999999994E-2</v>
      </c>
      <c r="U795">
        <v>-0.47329710000000003</v>
      </c>
      <c r="V795">
        <v>6.6016699999999998E-2</v>
      </c>
      <c r="W795">
        <v>0.23006940000000001</v>
      </c>
      <c r="X795">
        <v>0.97093249999999998</v>
      </c>
      <c r="Y795">
        <v>0.13820160000000001</v>
      </c>
      <c r="Z795">
        <v>-2.4715850000000001E-3</v>
      </c>
      <c r="AA795">
        <v>0.99040099999999998</v>
      </c>
      <c r="AB795">
        <v>37</v>
      </c>
      <c r="AC795">
        <v>38.472000000000001</v>
      </c>
      <c r="AD795">
        <v>-1.12079475627</v>
      </c>
      <c r="AE795">
        <v>-5.9688999999999597</v>
      </c>
      <c r="AF795">
        <v>5.4096389095163904</v>
      </c>
      <c r="AG795">
        <v>-1.12079475627</v>
      </c>
      <c r="AH795">
        <v>38.522060122785803</v>
      </c>
      <c r="AI795">
        <v>91.650359336928005</v>
      </c>
      <c r="AJ795">
        <v>82.006247865427795</v>
      </c>
      <c r="AK795">
        <v>38.916185451821399</v>
      </c>
      <c r="AL795">
        <v>76.698842711044406</v>
      </c>
      <c r="AM795">
        <v>86.110269737985504</v>
      </c>
      <c r="AN795">
        <v>1.00000002652574</v>
      </c>
    </row>
    <row r="796" spans="1:40" x14ac:dyDescent="0.25">
      <c r="A796" t="str">
        <f>"20190303170955126"</f>
        <v>20190303170955126</v>
      </c>
      <c r="B796" t="str">
        <f>"1551604195121319"</f>
        <v>1551604195121319</v>
      </c>
      <c r="C796" t="s">
        <v>40</v>
      </c>
      <c r="D796">
        <v>4.6018549999999996</v>
      </c>
      <c r="E796">
        <v>0.53562659999999995</v>
      </c>
      <c r="F796" t="s">
        <v>42</v>
      </c>
      <c r="G796">
        <v>-215.5119</v>
      </c>
      <c r="H796" s="1">
        <v>-3.5430530000000002E-6</v>
      </c>
      <c r="I796">
        <v>361.98829999999998</v>
      </c>
      <c r="J796">
        <v>-253.1876</v>
      </c>
      <c r="K796">
        <v>1.120787</v>
      </c>
      <c r="L796">
        <v>367.89370000000002</v>
      </c>
      <c r="M796">
        <v>0.99983949999999999</v>
      </c>
      <c r="N796">
        <v>-1.0674609999999999E-2</v>
      </c>
      <c r="O796">
        <v>-1.438789E-2</v>
      </c>
      <c r="P796">
        <v>0.97236140000000004</v>
      </c>
      <c r="Q796">
        <v>0.21938099999999999</v>
      </c>
      <c r="R796">
        <v>-7.9908480000000004E-2</v>
      </c>
      <c r="S796">
        <v>3.0666350000000002</v>
      </c>
      <c r="T796">
        <v>-9.0705389999999997E-2</v>
      </c>
      <c r="U796">
        <v>-0.47817989999999999</v>
      </c>
      <c r="V796">
        <v>6.5903279999999995E-2</v>
      </c>
      <c r="W796">
        <v>0.22976070000000001</v>
      </c>
      <c r="X796">
        <v>0.97101320000000002</v>
      </c>
      <c r="Y796">
        <v>0.13975609999999999</v>
      </c>
      <c r="Z796">
        <v>-2.5345509999999999E-3</v>
      </c>
      <c r="AA796">
        <v>0.99018269999999997</v>
      </c>
      <c r="AB796">
        <v>37</v>
      </c>
      <c r="AC796">
        <v>37.675699999999999</v>
      </c>
      <c r="AD796">
        <v>-1.1207905430530001</v>
      </c>
      <c r="AE796">
        <v>-5.9054000000000402</v>
      </c>
      <c r="AF796">
        <v>5.3580559465166102</v>
      </c>
      <c r="AG796">
        <v>-1.1207905430530001</v>
      </c>
      <c r="AH796">
        <v>37.724186731197598</v>
      </c>
      <c r="AI796">
        <v>91.684864736972401</v>
      </c>
      <c r="AJ796">
        <v>81.916213422713795</v>
      </c>
      <c r="AK796">
        <v>38.119275957154002</v>
      </c>
      <c r="AL796">
        <v>76.717015456916897</v>
      </c>
      <c r="AM796">
        <v>86.117253758874995</v>
      </c>
      <c r="AN796">
        <v>0.99999992807674098</v>
      </c>
    </row>
    <row r="797" spans="1:40" x14ac:dyDescent="0.25">
      <c r="A797" t="str">
        <f>"20190303170955145"</f>
        <v>20190303170955145</v>
      </c>
      <c r="B797" t="str">
        <f>"1551604195140838"</f>
        <v>1551604195140838</v>
      </c>
      <c r="C797" t="s">
        <v>40</v>
      </c>
      <c r="D797">
        <v>4.5846580000000001</v>
      </c>
      <c r="E797">
        <v>0.53649269999999905</v>
      </c>
      <c r="F797" t="s">
        <v>42</v>
      </c>
      <c r="G797">
        <v>-216.5693</v>
      </c>
      <c r="H797" s="1">
        <v>-3.1527279999999998E-6</v>
      </c>
      <c r="I797">
        <v>362.1028</v>
      </c>
      <c r="J797">
        <v>-252.8758</v>
      </c>
      <c r="K797">
        <v>1.1207780000000001</v>
      </c>
      <c r="L797">
        <v>367.88929999999999</v>
      </c>
      <c r="M797">
        <v>0.99984010000000001</v>
      </c>
      <c r="N797">
        <v>-1.0645959999999999E-2</v>
      </c>
      <c r="O797">
        <v>-1.436604E-2</v>
      </c>
      <c r="P797">
        <v>0.97239100000000001</v>
      </c>
      <c r="Q797">
        <v>0.21906039999999999</v>
      </c>
      <c r="R797">
        <v>-8.0425199999999905E-2</v>
      </c>
      <c r="S797">
        <v>3.066589</v>
      </c>
      <c r="T797">
        <v>-9.3860029999999997E-2</v>
      </c>
      <c r="U797">
        <v>-0.48495480000000002</v>
      </c>
      <c r="V797">
        <v>6.6440699999999894E-2</v>
      </c>
      <c r="W797">
        <v>0.22941320000000001</v>
      </c>
      <c r="X797">
        <v>0.9710588</v>
      </c>
      <c r="Y797">
        <v>0.1419086</v>
      </c>
      <c r="Z797">
        <v>-2.6333799999999998E-3</v>
      </c>
      <c r="AA797">
        <v>0.98987630000000004</v>
      </c>
      <c r="AB797">
        <v>37</v>
      </c>
      <c r="AC797">
        <v>36.3065</v>
      </c>
      <c r="AD797">
        <v>-1.1207811527280001</v>
      </c>
      <c r="AE797">
        <v>-5.7864999999999798</v>
      </c>
      <c r="AF797">
        <v>5.2594047559548303</v>
      </c>
      <c r="AG797">
        <v>-1.1207811527280001</v>
      </c>
      <c r="AH797">
        <v>36.352102871773702</v>
      </c>
      <c r="AI797">
        <v>91.747755739647602</v>
      </c>
      <c r="AJ797">
        <v>81.767597685556694</v>
      </c>
      <c r="AK797">
        <v>36.747692063302303</v>
      </c>
      <c r="AL797">
        <v>76.737472988011703</v>
      </c>
      <c r="AM797">
        <v>86.085872487040902</v>
      </c>
      <c r="AN797">
        <v>0.99999998800408496</v>
      </c>
    </row>
    <row r="798" spans="1:40" x14ac:dyDescent="0.25">
      <c r="A798" t="str">
        <f>"20190303170955156"</f>
        <v>20190303170955156</v>
      </c>
      <c r="B798" t="str">
        <f>"1551604195151574"</f>
        <v>1551604195151574</v>
      </c>
      <c r="C798" t="s">
        <v>40</v>
      </c>
      <c r="D798">
        <v>4.5509079999999997</v>
      </c>
      <c r="E798">
        <v>0.53691889999999998</v>
      </c>
      <c r="F798" t="s">
        <v>42</v>
      </c>
      <c r="G798">
        <v>-217.43719999999999</v>
      </c>
      <c r="H798" s="1">
        <v>-2.834149E-6</v>
      </c>
      <c r="I798">
        <v>362.1902</v>
      </c>
      <c r="J798">
        <v>-252.6816</v>
      </c>
      <c r="K798">
        <v>1.120779</v>
      </c>
      <c r="L798">
        <v>367.88650000000001</v>
      </c>
      <c r="M798">
        <v>0.99984039999999996</v>
      </c>
      <c r="N798">
        <v>-1.0629059999999999E-2</v>
      </c>
      <c r="O798">
        <v>-1.43526E-2</v>
      </c>
      <c r="P798">
        <v>0.97244299999999995</v>
      </c>
      <c r="Q798">
        <v>0.2187981</v>
      </c>
      <c r="R798">
        <v>-8.0509479999999994E-2</v>
      </c>
      <c r="S798">
        <v>3.0662379999999998</v>
      </c>
      <c r="T798">
        <v>-9.6972699999999995E-2</v>
      </c>
      <c r="U798">
        <v>-0.49310300000000001</v>
      </c>
      <c r="V798">
        <v>6.6537239999999997E-2</v>
      </c>
      <c r="W798">
        <v>0.22913510000000001</v>
      </c>
      <c r="X798">
        <v>0.97111789999999998</v>
      </c>
      <c r="Y798">
        <v>0.14449770000000001</v>
      </c>
      <c r="Z798">
        <v>-2.7437519999999999E-3</v>
      </c>
      <c r="AA798">
        <v>0.98950139999999998</v>
      </c>
      <c r="AB798">
        <v>37</v>
      </c>
      <c r="AC798">
        <v>35.244399999999999</v>
      </c>
      <c r="AD798">
        <v>-1.1207818341489999</v>
      </c>
      <c r="AE798">
        <v>-5.6962999999999999</v>
      </c>
      <c r="AF798">
        <v>5.1847261674566498</v>
      </c>
      <c r="AG798">
        <v>-1.1207818341489999</v>
      </c>
      <c r="AH798">
        <v>35.287754034113298</v>
      </c>
      <c r="AI798">
        <v>91.799861185867698</v>
      </c>
      <c r="AJ798">
        <v>81.641503359854894</v>
      </c>
      <c r="AK798">
        <v>35.684213906479002</v>
      </c>
      <c r="AL798">
        <v>76.753843672296895</v>
      </c>
      <c r="AM798">
        <v>86.080440684583394</v>
      </c>
      <c r="AN798">
        <v>1.00000003702961</v>
      </c>
    </row>
    <row r="799" spans="1:40" x14ac:dyDescent="0.25">
      <c r="A799" t="str">
        <f>"20190303170955167"</f>
        <v>20190303170955167</v>
      </c>
      <c r="B799" t="str">
        <f>"1551604195161334"</f>
        <v>1551604195161334</v>
      </c>
      <c r="C799" t="s">
        <v>40</v>
      </c>
      <c r="D799">
        <v>4.5346580000000003</v>
      </c>
      <c r="E799">
        <v>0.53729780000000005</v>
      </c>
      <c r="F799" t="s">
        <v>42</v>
      </c>
      <c r="G799">
        <v>-217.8073</v>
      </c>
      <c r="H799" s="1">
        <v>-2.6955010000000001E-6</v>
      </c>
      <c r="I799">
        <v>362.23790000000002</v>
      </c>
      <c r="J799">
        <v>-252.4922</v>
      </c>
      <c r="K799">
        <v>1.1207769999999999</v>
      </c>
      <c r="L799">
        <v>367.88380000000001</v>
      </c>
      <c r="M799">
        <v>0.99984090000000003</v>
      </c>
      <c r="N799">
        <v>-1.061429E-2</v>
      </c>
      <c r="O799">
        <v>-1.4339289999999999E-2</v>
      </c>
      <c r="P799">
        <v>0.97246080000000001</v>
      </c>
      <c r="Q799">
        <v>0.21867220000000001</v>
      </c>
      <c r="R799">
        <v>-8.0638550000000003E-2</v>
      </c>
      <c r="S799">
        <v>3.066071</v>
      </c>
      <c r="T799">
        <v>-9.8536490000000004E-2</v>
      </c>
      <c r="U799">
        <v>-0.49661250000000001</v>
      </c>
      <c r="V799">
        <v>6.6678780000000007E-2</v>
      </c>
      <c r="W799">
        <v>0.2289949</v>
      </c>
      <c r="X799">
        <v>0.97114120000000004</v>
      </c>
      <c r="Y799">
        <v>0.1456199</v>
      </c>
      <c r="Z799">
        <v>-2.7959740000000001E-3</v>
      </c>
      <c r="AA799">
        <v>0.98933669999999996</v>
      </c>
      <c r="AB799">
        <v>37</v>
      </c>
      <c r="AC799">
        <v>34.684899999999999</v>
      </c>
      <c r="AD799">
        <v>-1.1207796955010001</v>
      </c>
      <c r="AE799">
        <v>-5.6458999999999797</v>
      </c>
      <c r="AF799">
        <v>5.1427035218149104</v>
      </c>
      <c r="AG799">
        <v>-1.1207796955010001</v>
      </c>
      <c r="AH799">
        <v>34.726972357015299</v>
      </c>
      <c r="AI799">
        <v>91.828596106048806</v>
      </c>
      <c r="AJ799">
        <v>81.576313400773401</v>
      </c>
      <c r="AK799">
        <v>35.123584038705999</v>
      </c>
      <c r="AL799">
        <v>76.762095151949595</v>
      </c>
      <c r="AM799">
        <v>86.072222896521893</v>
      </c>
      <c r="AN799">
        <v>0.99999997713286903</v>
      </c>
    </row>
    <row r="800" spans="1:40" x14ac:dyDescent="0.25">
      <c r="A800" t="str">
        <f>"20190303170955179"</f>
        <v>20190303170955179</v>
      </c>
      <c r="B800" t="str">
        <f>"1551604195171094"</f>
        <v>1551604195171094</v>
      </c>
      <c r="C800" t="s">
        <v>40</v>
      </c>
      <c r="D800">
        <v>4.5343910000000003</v>
      </c>
      <c r="E800">
        <v>0.53769619999999996</v>
      </c>
      <c r="F800" t="s">
        <v>42</v>
      </c>
      <c r="G800">
        <v>-218.04660000000001</v>
      </c>
      <c r="H800" s="1">
        <v>-2.6062640000000002E-6</v>
      </c>
      <c r="I800">
        <v>362.2672</v>
      </c>
      <c r="J800">
        <v>-252.30799999999999</v>
      </c>
      <c r="K800">
        <v>1.1207739999999999</v>
      </c>
      <c r="L800">
        <v>367.88119999999998</v>
      </c>
      <c r="M800">
        <v>0.99984119999999999</v>
      </c>
      <c r="N800">
        <v>-1.060026E-2</v>
      </c>
      <c r="O800">
        <v>-1.43261E-2</v>
      </c>
      <c r="P800">
        <v>0.97247309999999998</v>
      </c>
      <c r="Q800">
        <v>0.21854090000000001</v>
      </c>
      <c r="R800">
        <v>-8.0846100000000004E-2</v>
      </c>
      <c r="S800">
        <v>3.065903</v>
      </c>
      <c r="T800">
        <v>-9.9756960000000006E-2</v>
      </c>
      <c r="U800">
        <v>-0.49990839999999998</v>
      </c>
      <c r="V800">
        <v>6.6898970000000002E-2</v>
      </c>
      <c r="W800">
        <v>0.2288501</v>
      </c>
      <c r="X800">
        <v>0.97116020000000003</v>
      </c>
      <c r="Y800">
        <v>0.1466749</v>
      </c>
      <c r="Z800">
        <v>-2.8408169999999998E-3</v>
      </c>
      <c r="AA800">
        <v>0.98918070000000002</v>
      </c>
      <c r="AB800">
        <v>37</v>
      </c>
      <c r="AC800">
        <v>34.261399999999902</v>
      </c>
      <c r="AD800">
        <v>-1.1207766062640001</v>
      </c>
      <c r="AE800">
        <v>-5.6139999999999697</v>
      </c>
      <c r="AF800">
        <v>5.1172311797759802</v>
      </c>
      <c r="AG800">
        <v>-1.1207766062640001</v>
      </c>
      <c r="AH800">
        <v>34.302567139182102</v>
      </c>
      <c r="AI800">
        <v>91.850906380675795</v>
      </c>
      <c r="AJ800">
        <v>81.5152307347185</v>
      </c>
      <c r="AK800">
        <v>34.7002637956329</v>
      </c>
      <c r="AL800">
        <v>76.770618042147404</v>
      </c>
      <c r="AM800">
        <v>86.059370047305904</v>
      </c>
      <c r="AN800">
        <v>0.99999998726055495</v>
      </c>
    </row>
    <row r="801" spans="1:40" x14ac:dyDescent="0.25">
      <c r="A801" t="str">
        <f>"20190303170955192"</f>
        <v>20190303170955192</v>
      </c>
      <c r="B801" t="str">
        <f>"1551604195181831"</f>
        <v>1551604195181831</v>
      </c>
      <c r="C801" t="s">
        <v>40</v>
      </c>
      <c r="D801">
        <v>4.5450569999999999</v>
      </c>
      <c r="E801">
        <v>0.53807299999999902</v>
      </c>
      <c r="F801" t="s">
        <v>42</v>
      </c>
      <c r="G801">
        <v>-218.2294</v>
      </c>
      <c r="H801" s="1">
        <v>-2.539569E-6</v>
      </c>
      <c r="I801">
        <v>362.28410000000002</v>
      </c>
      <c r="J801">
        <v>-252.095</v>
      </c>
      <c r="K801">
        <v>1.120771</v>
      </c>
      <c r="L801">
        <v>367.87810000000002</v>
      </c>
      <c r="M801">
        <v>0.99984150000000005</v>
      </c>
      <c r="N801">
        <v>-1.0585260000000001E-2</v>
      </c>
      <c r="O801">
        <v>-1.431053E-2</v>
      </c>
      <c r="P801">
        <v>0.97243639999999998</v>
      </c>
      <c r="Q801">
        <v>0.2185628</v>
      </c>
      <c r="R801">
        <v>-8.1226419999999994E-2</v>
      </c>
      <c r="S801">
        <v>3.0657040000000002</v>
      </c>
      <c r="T801">
        <v>-0.1008245</v>
      </c>
      <c r="U801">
        <v>-0.50350950000000005</v>
      </c>
      <c r="V801">
        <v>6.7295030000000006E-2</v>
      </c>
      <c r="W801">
        <v>0.22885710000000001</v>
      </c>
      <c r="X801">
        <v>0.97113119999999997</v>
      </c>
      <c r="Y801">
        <v>0.1478294</v>
      </c>
      <c r="Z801">
        <v>-2.8852510000000001E-3</v>
      </c>
      <c r="AA801">
        <v>0.98900869999999996</v>
      </c>
      <c r="AB801">
        <v>37</v>
      </c>
      <c r="AC801">
        <v>33.865600000000001</v>
      </c>
      <c r="AD801">
        <v>-1.1207735395689999</v>
      </c>
      <c r="AE801">
        <v>-5.5939999999999896</v>
      </c>
      <c r="AF801">
        <v>5.1033242142617903</v>
      </c>
      <c r="AG801">
        <v>-1.1207735395689999</v>
      </c>
      <c r="AH801">
        <v>33.9060396792026</v>
      </c>
      <c r="AI801">
        <v>91.872166165512397</v>
      </c>
      <c r="AJ801">
        <v>81.440450180133496</v>
      </c>
      <c r="AK801">
        <v>34.306261499768901</v>
      </c>
      <c r="AL801">
        <v>76.770206215070303</v>
      </c>
      <c r="AM801">
        <v>86.035996611590605</v>
      </c>
      <c r="AN801">
        <v>1.0000000004482701</v>
      </c>
    </row>
    <row r="802" spans="1:40" x14ac:dyDescent="0.25">
      <c r="A802" t="str">
        <f>"20190303170955205"</f>
        <v>20190303170955205</v>
      </c>
      <c r="B802" t="str">
        <f>"1551604195200882"</f>
        <v>1551604195200882</v>
      </c>
      <c r="C802" t="s">
        <v>40</v>
      </c>
      <c r="D802">
        <v>4.5381369999999999</v>
      </c>
      <c r="E802">
        <v>0.53875079999999997</v>
      </c>
      <c r="F802" t="s">
        <v>42</v>
      </c>
      <c r="G802">
        <v>-218.24</v>
      </c>
      <c r="H802" s="1">
        <v>-2.5394230000000002E-6</v>
      </c>
      <c r="I802">
        <v>362.27109999999999</v>
      </c>
      <c r="J802">
        <v>-251.87700000000001</v>
      </c>
      <c r="K802">
        <v>1.1207689999999999</v>
      </c>
      <c r="L802">
        <v>367.875</v>
      </c>
      <c r="M802">
        <v>0.99984189999999995</v>
      </c>
      <c r="N802">
        <v>-1.0570939999999999E-2</v>
      </c>
      <c r="O802">
        <v>-1.429508E-2</v>
      </c>
      <c r="P802">
        <v>0.97246500000000002</v>
      </c>
      <c r="Q802">
        <v>0.21845200000000001</v>
      </c>
      <c r="R802">
        <v>-8.1183469999999994E-2</v>
      </c>
      <c r="S802">
        <v>3.065445</v>
      </c>
      <c r="T802">
        <v>-0.10148160000000001</v>
      </c>
      <c r="U802">
        <v>-0.50769039999999999</v>
      </c>
      <c r="V802">
        <v>6.7266690000000004E-2</v>
      </c>
      <c r="W802">
        <v>0.22873270000000001</v>
      </c>
      <c r="X802">
        <v>0.97116250000000004</v>
      </c>
      <c r="Y802">
        <v>0.1491691</v>
      </c>
      <c r="Z802">
        <v>-2.92618E-3</v>
      </c>
      <c r="AA802">
        <v>0.9888074</v>
      </c>
      <c r="AB802">
        <v>37</v>
      </c>
      <c r="AC802">
        <v>33.637</v>
      </c>
      <c r="AD802">
        <v>-1.120771539423</v>
      </c>
      <c r="AE802">
        <v>-5.6039000000000003</v>
      </c>
      <c r="AF802">
        <v>5.1169294559498404</v>
      </c>
      <c r="AG802">
        <v>-1.120771539423</v>
      </c>
      <c r="AH802">
        <v>33.677296570180303</v>
      </c>
      <c r="AI802">
        <v>91.884472658709498</v>
      </c>
      <c r="AJ802">
        <v>81.360555876626194</v>
      </c>
      <c r="AK802">
        <v>34.082244646980399</v>
      </c>
      <c r="AL802">
        <v>76.777528401483295</v>
      </c>
      <c r="AM802">
        <v>86.0377879535056</v>
      </c>
      <c r="AN802">
        <v>1.0000000285195401</v>
      </c>
    </row>
    <row r="803" spans="1:40" x14ac:dyDescent="0.25">
      <c r="A803" t="str">
        <f>"20190303170955218"</f>
        <v>20190303170955218</v>
      </c>
      <c r="B803" t="str">
        <f>"1551604195211616"</f>
        <v>1551604195211616</v>
      </c>
      <c r="C803" t="s">
        <v>40</v>
      </c>
      <c r="D803">
        <v>4.4992419999999997</v>
      </c>
      <c r="E803">
        <v>0.53900930000000002</v>
      </c>
      <c r="F803" t="s">
        <v>42</v>
      </c>
      <c r="G803">
        <v>-218.53030000000001</v>
      </c>
      <c r="H803" s="1">
        <v>-2.4332400000000001E-6</v>
      </c>
      <c r="I803">
        <v>362.29880000000003</v>
      </c>
      <c r="J803">
        <v>-251.6557</v>
      </c>
      <c r="K803">
        <v>1.1207659999999999</v>
      </c>
      <c r="L803">
        <v>367.87189999999998</v>
      </c>
      <c r="M803">
        <v>0.99984240000000002</v>
      </c>
      <c r="N803">
        <v>-1.0557179999999999E-2</v>
      </c>
      <c r="O803">
        <v>-1.4279149999999999E-2</v>
      </c>
      <c r="P803">
        <v>0.97245590000000004</v>
      </c>
      <c r="Q803">
        <v>0.21845129999999999</v>
      </c>
      <c r="R803">
        <v>-8.1295179999999995E-2</v>
      </c>
      <c r="S803">
        <v>3.0653079999999999</v>
      </c>
      <c r="T803">
        <v>-0.1030238</v>
      </c>
      <c r="U803">
        <v>-0.51257319999999995</v>
      </c>
      <c r="V803">
        <v>6.7393999999999996E-2</v>
      </c>
      <c r="W803">
        <v>0.2287188</v>
      </c>
      <c r="X803">
        <v>0.97115700000000005</v>
      </c>
      <c r="Y803">
        <v>0.15072079999999999</v>
      </c>
      <c r="Z803">
        <v>-2.9894750000000001E-3</v>
      </c>
      <c r="AA803">
        <v>0.98857189999999995</v>
      </c>
      <c r="AB803">
        <v>37</v>
      </c>
      <c r="AC803">
        <v>33.1253999999999</v>
      </c>
      <c r="AD803">
        <v>-1.1207684332400001</v>
      </c>
      <c r="AE803">
        <v>-5.5730999999999504</v>
      </c>
      <c r="AF803">
        <v>5.0938322321634804</v>
      </c>
      <c r="AG803">
        <v>-1.1207684332400001</v>
      </c>
      <c r="AH803">
        <v>33.164685842953197</v>
      </c>
      <c r="AI803">
        <v>91.913101751569698</v>
      </c>
      <c r="AJ803">
        <v>81.268060485863501</v>
      </c>
      <c r="AK803">
        <v>33.5723045939977</v>
      </c>
      <c r="AL803">
        <v>76.778347188529693</v>
      </c>
      <c r="AM803">
        <v>86.030290551064596</v>
      </c>
      <c r="AN803">
        <v>1.0000000796792099</v>
      </c>
    </row>
    <row r="804" spans="1:40" x14ac:dyDescent="0.25">
      <c r="A804" t="str">
        <f>"20190303170955233"</f>
        <v>20190303170955233</v>
      </c>
      <c r="B804" t="str">
        <f>"1551604195221376"</f>
        <v>1551604195221376</v>
      </c>
      <c r="C804" t="s">
        <v>40</v>
      </c>
      <c r="D804">
        <v>4.514608</v>
      </c>
      <c r="E804">
        <v>0.53933450000000005</v>
      </c>
      <c r="F804" t="s">
        <v>42</v>
      </c>
      <c r="G804">
        <v>-218.3339</v>
      </c>
      <c r="H804" s="1">
        <v>-2.5073180000000002E-6</v>
      </c>
      <c r="I804">
        <v>362.27159999999998</v>
      </c>
      <c r="J804">
        <v>-251.40819999999999</v>
      </c>
      <c r="K804">
        <v>1.120762</v>
      </c>
      <c r="L804">
        <v>367.86829999999998</v>
      </c>
      <c r="M804">
        <v>0.99984280000000003</v>
      </c>
      <c r="N804">
        <v>-1.05433E-2</v>
      </c>
      <c r="O804">
        <v>-1.426097E-2</v>
      </c>
      <c r="P804">
        <v>0.97246290000000002</v>
      </c>
      <c r="Q804">
        <v>0.2183735</v>
      </c>
      <c r="R804">
        <v>-8.141959E-2</v>
      </c>
      <c r="S804">
        <v>3.0650789999999999</v>
      </c>
      <c r="T804">
        <v>-0.1030929</v>
      </c>
      <c r="U804">
        <v>-0.5151367</v>
      </c>
      <c r="V804">
        <v>6.7536289999999999E-2</v>
      </c>
      <c r="W804">
        <v>0.22862730000000001</v>
      </c>
      <c r="X804">
        <v>0.97116860000000005</v>
      </c>
      <c r="Y804">
        <v>0.1515542</v>
      </c>
      <c r="Z804">
        <v>-3.0084040000000001E-3</v>
      </c>
      <c r="AA804">
        <v>0.9884444</v>
      </c>
      <c r="AB804">
        <v>37</v>
      </c>
      <c r="AC804">
        <v>33.074299999999901</v>
      </c>
      <c r="AD804">
        <v>-1.1207645073179999</v>
      </c>
      <c r="AE804">
        <v>-5.5966999999999896</v>
      </c>
      <c r="AF804">
        <v>5.11871891312496</v>
      </c>
      <c r="AG804">
        <v>-1.1207645073179999</v>
      </c>
      <c r="AH804">
        <v>33.113789609548597</v>
      </c>
      <c r="AI804">
        <v>91.915748728004502</v>
      </c>
      <c r="AJ804">
        <v>81.212786211068007</v>
      </c>
      <c r="AK804">
        <v>33.525817793126201</v>
      </c>
      <c r="AL804">
        <v>76.783731656615103</v>
      </c>
      <c r="AM804">
        <v>86.021983485671498</v>
      </c>
      <c r="AN804">
        <v>1.0000000211991</v>
      </c>
    </row>
    <row r="805" spans="1:40" x14ac:dyDescent="0.25">
      <c r="A805" t="str">
        <f>"20190303170955246"</f>
        <v>20190303170955246</v>
      </c>
      <c r="B805" t="str">
        <f>"1551604195231136"</f>
        <v>1551604195231136</v>
      </c>
      <c r="C805" t="s">
        <v>40</v>
      </c>
      <c r="D805">
        <v>4.4680530000000003</v>
      </c>
      <c r="E805">
        <v>0.53955419999999998</v>
      </c>
      <c r="F805" t="s">
        <v>42</v>
      </c>
      <c r="G805">
        <v>-218.16560000000001</v>
      </c>
      <c r="H805" s="1">
        <v>-2.5704150000000002E-6</v>
      </c>
      <c r="I805">
        <v>362.24970000000002</v>
      </c>
      <c r="J805">
        <v>-251.1875</v>
      </c>
      <c r="K805">
        <v>1.1207590000000001</v>
      </c>
      <c r="L805">
        <v>367.86520000000002</v>
      </c>
      <c r="M805">
        <v>0.99984309999999998</v>
      </c>
      <c r="N805">
        <v>-1.0532110000000001E-2</v>
      </c>
      <c r="O805">
        <v>-1.4244700000000001E-2</v>
      </c>
      <c r="P805">
        <v>0.97247669999999997</v>
      </c>
      <c r="Q805">
        <v>0.21834999999999999</v>
      </c>
      <c r="R805">
        <v>-8.1319150000000007E-2</v>
      </c>
      <c r="S805">
        <v>3.0647890000000002</v>
      </c>
      <c r="T805">
        <v>-0.1033282</v>
      </c>
      <c r="U805">
        <v>-0.51800539999999995</v>
      </c>
      <c r="V805">
        <v>6.7451159999999996E-2</v>
      </c>
      <c r="W805">
        <v>0.2285934</v>
      </c>
      <c r="X805">
        <v>0.97118249999999995</v>
      </c>
      <c r="Y805">
        <v>0.15248399999999901</v>
      </c>
      <c r="Z805">
        <v>-3.0330299999999999E-3</v>
      </c>
      <c r="AA805">
        <v>0.98830130000000005</v>
      </c>
      <c r="AB805">
        <v>37</v>
      </c>
      <c r="AC805">
        <v>33.021899999999903</v>
      </c>
      <c r="AD805">
        <v>-1.120761570415</v>
      </c>
      <c r="AE805">
        <v>-5.6154999999999902</v>
      </c>
      <c r="AF805">
        <v>5.1387639714545399</v>
      </c>
      <c r="AG805">
        <v>-1.120761570415</v>
      </c>
      <c r="AH805">
        <v>33.061530881430798</v>
      </c>
      <c r="AI805">
        <v>91.9185227138356</v>
      </c>
      <c r="AJ805">
        <v>81.165192112859202</v>
      </c>
      <c r="AK805">
        <v>33.477273274205601</v>
      </c>
      <c r="AL805">
        <v>76.785726869278406</v>
      </c>
      <c r="AM805">
        <v>86.027038418480203</v>
      </c>
      <c r="AN805">
        <v>1.00000002490757</v>
      </c>
    </row>
    <row r="806" spans="1:40" x14ac:dyDescent="0.25">
      <c r="A806" t="str">
        <f>"20190303170955259"</f>
        <v>20190303170955259</v>
      </c>
      <c r="B806" t="str">
        <f>"1551604195251632"</f>
        <v>1551604195251632</v>
      </c>
      <c r="C806" t="s">
        <v>40</v>
      </c>
      <c r="D806">
        <v>4.4253989999999996</v>
      </c>
      <c r="E806">
        <v>0.53995289999999996</v>
      </c>
      <c r="F806" t="s">
        <v>42</v>
      </c>
      <c r="G806">
        <v>-218.08529999999999</v>
      </c>
      <c r="H806" s="1">
        <v>-2.596229E-6</v>
      </c>
      <c r="I806">
        <v>362.25540000000001</v>
      </c>
      <c r="J806">
        <v>-250.96559999999999</v>
      </c>
      <c r="K806">
        <v>1.12076</v>
      </c>
      <c r="L806">
        <v>367.8621</v>
      </c>
      <c r="M806">
        <v>0.99984340000000005</v>
      </c>
      <c r="N806">
        <v>-1.0521580000000001E-2</v>
      </c>
      <c r="O806">
        <v>-1.422879E-2</v>
      </c>
      <c r="P806">
        <v>0.97250490000000001</v>
      </c>
      <c r="Q806">
        <v>0.21809899999999999</v>
      </c>
      <c r="R806">
        <v>-8.1652600000000006E-2</v>
      </c>
      <c r="S806">
        <v>3.0647579999999999</v>
      </c>
      <c r="T806">
        <v>-0.1037652</v>
      </c>
      <c r="U806">
        <v>-0.51937869999999997</v>
      </c>
      <c r="V806">
        <v>6.7799960000000006E-2</v>
      </c>
      <c r="W806">
        <v>0.22833249999999999</v>
      </c>
      <c r="X806">
        <v>0.97121950000000001</v>
      </c>
      <c r="Y806">
        <v>0.15293080000000001</v>
      </c>
      <c r="Z806">
        <v>-3.0510569999999998E-3</v>
      </c>
      <c r="AA806">
        <v>0.98823220000000001</v>
      </c>
      <c r="AB806">
        <v>37</v>
      </c>
      <c r="AC806">
        <v>32.880299999999998</v>
      </c>
      <c r="AD806">
        <v>-1.120762596229</v>
      </c>
      <c r="AE806">
        <v>-5.6066999999999796</v>
      </c>
      <c r="AF806">
        <v>5.1324648204823804</v>
      </c>
      <c r="AG806">
        <v>-1.120762596229</v>
      </c>
      <c r="AH806">
        <v>32.919584572637397</v>
      </c>
      <c r="AI806">
        <v>91.926650633258902</v>
      </c>
      <c r="AJ806">
        <v>81.138405049490004</v>
      </c>
      <c r="AK806">
        <v>33.336126835096202</v>
      </c>
      <c r="AL806">
        <v>76.801080300382793</v>
      </c>
      <c r="AM806">
        <v>86.006711587384402</v>
      </c>
      <c r="AN806">
        <v>0.99999994115624902</v>
      </c>
    </row>
    <row r="807" spans="1:40" x14ac:dyDescent="0.25">
      <c r="A807" t="str">
        <f>"20190303170955271"</f>
        <v>20190303170955271</v>
      </c>
      <c r="B807" t="str">
        <f>"1551604195261392"</f>
        <v>1551604195261392</v>
      </c>
      <c r="C807" t="s">
        <v>40</v>
      </c>
      <c r="D807">
        <v>4.4284019999999904</v>
      </c>
      <c r="E807">
        <v>0.54014019999999996</v>
      </c>
      <c r="F807" t="s">
        <v>42</v>
      </c>
      <c r="G807">
        <v>-218.33949999999999</v>
      </c>
      <c r="H807" s="1">
        <v>-2.5015180000000002E-6</v>
      </c>
      <c r="I807">
        <v>362.28629999999998</v>
      </c>
      <c r="J807">
        <v>-250.7552</v>
      </c>
      <c r="K807">
        <v>1.120757</v>
      </c>
      <c r="L807">
        <v>367.85910000000001</v>
      </c>
      <c r="M807">
        <v>0.99984390000000001</v>
      </c>
      <c r="N807">
        <v>-1.0512530000000001E-2</v>
      </c>
      <c r="O807">
        <v>-1.42136E-2</v>
      </c>
      <c r="P807">
        <v>0.97245400000000004</v>
      </c>
      <c r="Q807">
        <v>0.21834580000000001</v>
      </c>
      <c r="R807">
        <v>-8.1603140000000005E-2</v>
      </c>
      <c r="S807">
        <v>3.0644680000000002</v>
      </c>
      <c r="T807">
        <v>-0.1052693</v>
      </c>
      <c r="U807">
        <v>-0.52371219999999996</v>
      </c>
      <c r="V807">
        <v>6.7765629999999993E-2</v>
      </c>
      <c r="W807">
        <v>0.2285693</v>
      </c>
      <c r="X807">
        <v>0.97116630000000004</v>
      </c>
      <c r="Y807">
        <v>0.15431549999999999</v>
      </c>
      <c r="Z807">
        <v>-3.111866E-3</v>
      </c>
      <c r="AA807">
        <v>0.98801669999999997</v>
      </c>
      <c r="AB807">
        <v>37</v>
      </c>
      <c r="AC807">
        <v>32.415700000000001</v>
      </c>
      <c r="AD807">
        <v>-1.1207595015180001</v>
      </c>
      <c r="AE807">
        <v>-5.5728000000000204</v>
      </c>
      <c r="AF807">
        <v>5.1055398419063502</v>
      </c>
      <c r="AG807">
        <v>-1.1207595015180001</v>
      </c>
      <c r="AH807">
        <v>32.453957140770903</v>
      </c>
      <c r="AI807">
        <v>91.953846216320997</v>
      </c>
      <c r="AJ807">
        <v>81.059706266377603</v>
      </c>
      <c r="AK807">
        <v>32.8722066955131</v>
      </c>
      <c r="AL807">
        <v>76.787145504674399</v>
      </c>
      <c r="AM807">
        <v>86.008509089159404</v>
      </c>
      <c r="AN807">
        <v>1.00000004388373</v>
      </c>
    </row>
    <row r="808" spans="1:40" x14ac:dyDescent="0.25">
      <c r="A808" t="str">
        <f>"20190303170955285"</f>
        <v>20190303170955285</v>
      </c>
      <c r="B808" t="str">
        <f>"1551604195271152"</f>
        <v>1551604195271152</v>
      </c>
      <c r="C808" t="s">
        <v>40</v>
      </c>
      <c r="D808">
        <v>4.4209550000000002</v>
      </c>
      <c r="E808">
        <v>0.54014019999999996</v>
      </c>
      <c r="F808" t="s">
        <v>42</v>
      </c>
      <c r="G808">
        <v>-218.00020000000001</v>
      </c>
      <c r="H808" s="1">
        <v>-2.627973E-6</v>
      </c>
      <c r="I808">
        <v>362.245</v>
      </c>
      <c r="J808">
        <v>-250.54230000000001</v>
      </c>
      <c r="K808">
        <v>1.120754</v>
      </c>
      <c r="L808">
        <v>367.85599999999999</v>
      </c>
      <c r="M808">
        <v>0.99984410000000001</v>
      </c>
      <c r="N808">
        <v>-1.0504080000000001E-2</v>
      </c>
      <c r="O808">
        <v>-1.419841E-2</v>
      </c>
      <c r="P808">
        <v>0.97250210000000004</v>
      </c>
      <c r="Q808">
        <v>0.2180938</v>
      </c>
      <c r="R808">
        <v>-8.1702369999999996E-2</v>
      </c>
      <c r="S808">
        <v>3.0644529999999999</v>
      </c>
      <c r="T808">
        <v>-0.1048545</v>
      </c>
      <c r="U808">
        <v>-0.52523799999999998</v>
      </c>
      <c r="V808">
        <v>6.7879099999999998E-2</v>
      </c>
      <c r="W808">
        <v>0.22831029999999999</v>
      </c>
      <c r="X808">
        <v>0.97121919999999995</v>
      </c>
      <c r="Y808">
        <v>0.15480969999999999</v>
      </c>
      <c r="Z808">
        <v>-3.1139480000000001E-3</v>
      </c>
      <c r="AA808">
        <v>0.98793940000000002</v>
      </c>
      <c r="AB808">
        <v>37</v>
      </c>
      <c r="AC808">
        <v>32.542099999999998</v>
      </c>
      <c r="AD808">
        <v>-1.1207566279729999</v>
      </c>
      <c r="AE808">
        <v>-5.61099999999999</v>
      </c>
      <c r="AF808">
        <v>5.1424393131991497</v>
      </c>
      <c r="AG808">
        <v>-1.1207566279729999</v>
      </c>
      <c r="AH808">
        <v>32.580961533520998</v>
      </c>
      <c r="AI808">
        <v>91.946075501144605</v>
      </c>
      <c r="AJ808">
        <v>81.030672938563995</v>
      </c>
      <c r="AK808">
        <v>33.003330619164203</v>
      </c>
      <c r="AL808">
        <v>76.802386893419396</v>
      </c>
      <c r="AM808">
        <v>86.002064267583606</v>
      </c>
      <c r="AN808">
        <v>0.99999994987576801</v>
      </c>
    </row>
    <row r="809" spans="1:40" x14ac:dyDescent="0.25">
      <c r="A809" t="str">
        <f>"20190303170955298"</f>
        <v>20190303170955298</v>
      </c>
      <c r="B809" t="str">
        <f>"1551604195291181"</f>
        <v>1551604195291181</v>
      </c>
      <c r="C809" t="s">
        <v>40</v>
      </c>
      <c r="D809">
        <v>4.4040470000000003</v>
      </c>
      <c r="E809">
        <v>0.54051150000000003</v>
      </c>
      <c r="F809" t="s">
        <v>42</v>
      </c>
      <c r="G809">
        <v>-218.05699999999999</v>
      </c>
      <c r="H809" s="1">
        <v>-2.5959660000000001E-6</v>
      </c>
      <c r="I809">
        <v>362.29259999999999</v>
      </c>
      <c r="J809">
        <v>-250.3082</v>
      </c>
      <c r="K809">
        <v>1.1207530000000001</v>
      </c>
      <c r="L809">
        <v>367.85270000000003</v>
      </c>
      <c r="M809">
        <v>0.99984439999999997</v>
      </c>
      <c r="N809">
        <v>-1.049665E-2</v>
      </c>
      <c r="O809">
        <v>-1.418204E-2</v>
      </c>
      <c r="P809">
        <v>0.97252260000000001</v>
      </c>
      <c r="Q809">
        <v>0.21797559999999999</v>
      </c>
      <c r="R809">
        <v>-8.1771659999999996E-2</v>
      </c>
      <c r="S809">
        <v>3.064438</v>
      </c>
      <c r="T809">
        <v>-0.1057242</v>
      </c>
      <c r="U809">
        <v>-0.52481080000000002</v>
      </c>
      <c r="V809">
        <v>6.7963990000000002E-2</v>
      </c>
      <c r="W809">
        <v>0.22818440000000001</v>
      </c>
      <c r="X809">
        <v>0.97124290000000002</v>
      </c>
      <c r="Y809">
        <v>0.154691299999999</v>
      </c>
      <c r="Z809">
        <v>-3.1288280000000002E-3</v>
      </c>
      <c r="AA809">
        <v>0.98795790000000006</v>
      </c>
      <c r="AB809">
        <v>37</v>
      </c>
      <c r="AC809">
        <v>32.251199999999898</v>
      </c>
      <c r="AD809">
        <v>-1.1207555959660001</v>
      </c>
      <c r="AE809">
        <v>-5.5601000000000296</v>
      </c>
      <c r="AF809">
        <v>5.0961512038703196</v>
      </c>
      <c r="AG809">
        <v>-1.1207555959660001</v>
      </c>
      <c r="AH809">
        <v>32.288946754940604</v>
      </c>
      <c r="AI809">
        <v>91.963661745717502</v>
      </c>
      <c r="AJ809">
        <v>81.031015308367699</v>
      </c>
      <c r="AK809">
        <v>32.707842067950402</v>
      </c>
      <c r="AL809">
        <v>76.809796650025604</v>
      </c>
      <c r="AM809">
        <v>85.997178029845202</v>
      </c>
      <c r="AN809">
        <v>0.99999999757024505</v>
      </c>
    </row>
    <row r="810" spans="1:40" x14ac:dyDescent="0.25">
      <c r="A810" t="str">
        <f>"20190303170955311"</f>
        <v>20190303170955311</v>
      </c>
      <c r="B810" t="str">
        <f>"1551604195300942"</f>
        <v>1551604195300942</v>
      </c>
      <c r="C810" t="s">
        <v>40</v>
      </c>
      <c r="D810">
        <v>4.3869879999999997</v>
      </c>
      <c r="E810">
        <v>0.54072880000000001</v>
      </c>
      <c r="F810" t="s">
        <v>42</v>
      </c>
      <c r="G810">
        <v>-217.9657</v>
      </c>
      <c r="H810" s="1">
        <v>-2.6304770000000001E-6</v>
      </c>
      <c r="I810">
        <v>362.27969999999999</v>
      </c>
      <c r="J810">
        <v>-250.09350000000001</v>
      </c>
      <c r="K810">
        <v>1.120744</v>
      </c>
      <c r="L810">
        <v>367.84969999999998</v>
      </c>
      <c r="M810">
        <v>0.99984459999999997</v>
      </c>
      <c r="N810">
        <v>-1.0495579999999999E-2</v>
      </c>
      <c r="O810">
        <v>-1.416713E-2</v>
      </c>
      <c r="P810">
        <v>0.97262130000000002</v>
      </c>
      <c r="Q810">
        <v>0.21760969999999999</v>
      </c>
      <c r="R810">
        <v>-8.1573800000000002E-2</v>
      </c>
      <c r="S810">
        <v>3.0641479999999999</v>
      </c>
      <c r="T810">
        <v>-0.1061807</v>
      </c>
      <c r="U810">
        <v>-0.52798459999999903</v>
      </c>
      <c r="V810">
        <v>6.7779140000000002E-2</v>
      </c>
      <c r="W810">
        <v>0.22781899999999999</v>
      </c>
      <c r="X810">
        <v>0.97134160000000003</v>
      </c>
      <c r="Y810">
        <v>0.15571389999999999</v>
      </c>
      <c r="Z810">
        <v>-3.1614859999999998E-3</v>
      </c>
      <c r="AA810">
        <v>0.98779709999999998</v>
      </c>
      <c r="AB810">
        <v>37</v>
      </c>
      <c r="AC810">
        <v>32.127800000000001</v>
      </c>
      <c r="AD810">
        <v>-1.120746630477</v>
      </c>
      <c r="AE810">
        <v>-5.5699999999999896</v>
      </c>
      <c r="AF810">
        <v>5.1082223903365396</v>
      </c>
      <c r="AG810">
        <v>-1.120746630477</v>
      </c>
      <c r="AH810">
        <v>32.165490755592899</v>
      </c>
      <c r="AI810">
        <v>91.9708784640668</v>
      </c>
      <c r="AJ810">
        <v>80.976179335691498</v>
      </c>
      <c r="AK810">
        <v>32.587862841048498</v>
      </c>
      <c r="AL810">
        <v>76.831298997201102</v>
      </c>
      <c r="AM810">
        <v>86.0084340705545</v>
      </c>
      <c r="AN810">
        <v>1.00000000623534</v>
      </c>
    </row>
    <row r="811" spans="1:40" x14ac:dyDescent="0.25">
      <c r="A811" t="str">
        <f>"20190303170955324"</f>
        <v>20190303170955324</v>
      </c>
      <c r="B811" t="str">
        <f>"1551604195311678"</f>
        <v>1551604195311678</v>
      </c>
      <c r="C811" t="s">
        <v>40</v>
      </c>
      <c r="D811">
        <v>4.3759300000000003</v>
      </c>
      <c r="E811">
        <v>0.54094409999999904</v>
      </c>
      <c r="F811" t="s">
        <v>42</v>
      </c>
      <c r="G811">
        <v>-218.11080000000001</v>
      </c>
      <c r="H811" s="1">
        <v>-2.5689020000000001E-6</v>
      </c>
      <c r="I811">
        <v>362.32549999999998</v>
      </c>
      <c r="J811">
        <v>-249.8921</v>
      </c>
      <c r="K811">
        <v>1.1207450000000001</v>
      </c>
      <c r="L811">
        <v>367.84690000000001</v>
      </c>
      <c r="M811">
        <v>0.99984479999999998</v>
      </c>
      <c r="N811">
        <v>-1.0497009999999999E-2</v>
      </c>
      <c r="O811">
        <v>-1.415283E-2</v>
      </c>
      <c r="P811">
        <v>0.97269220000000001</v>
      </c>
      <c r="Q811">
        <v>0.2174199</v>
      </c>
      <c r="R811">
        <v>-8.1231029999999996E-2</v>
      </c>
      <c r="S811">
        <v>3.0640869999999998</v>
      </c>
      <c r="T811">
        <v>-0.1073723</v>
      </c>
      <c r="U811">
        <v>-0.52923580000000003</v>
      </c>
      <c r="V811">
        <v>6.7449380000000003E-2</v>
      </c>
      <c r="W811">
        <v>0.22763149999999999</v>
      </c>
      <c r="X811">
        <v>0.97140850000000001</v>
      </c>
      <c r="Y811">
        <v>0.1561205</v>
      </c>
      <c r="Z811">
        <v>-3.1957470000000001E-3</v>
      </c>
      <c r="AA811">
        <v>0.98773279999999997</v>
      </c>
      <c r="AB811">
        <v>37</v>
      </c>
      <c r="AC811">
        <v>31.781299999999899</v>
      </c>
      <c r="AD811">
        <v>-1.1207475689019999</v>
      </c>
      <c r="AE811">
        <v>-5.5214000000000203</v>
      </c>
      <c r="AF811">
        <v>5.0649127769959996</v>
      </c>
      <c r="AG811">
        <v>-1.1207475689019999</v>
      </c>
      <c r="AH811">
        <v>31.817855638860198</v>
      </c>
      <c r="AI811">
        <v>91.992280820929196</v>
      </c>
      <c r="AJ811">
        <v>80.955281420307799</v>
      </c>
      <c r="AK811">
        <v>32.237948973331498</v>
      </c>
      <c r="AL811">
        <v>76.842331705433494</v>
      </c>
      <c r="AM811">
        <v>86.028064260917205</v>
      </c>
      <c r="AN811">
        <v>0.99999999626344205</v>
      </c>
    </row>
    <row r="812" spans="1:40" x14ac:dyDescent="0.25">
      <c r="A812" t="str">
        <f>"20190303170955336"</f>
        <v>20190303170955336</v>
      </c>
      <c r="B812" t="str">
        <f>"1551604195321437"</f>
        <v>1551604195321437</v>
      </c>
      <c r="C812" t="s">
        <v>40</v>
      </c>
      <c r="D812">
        <v>4.3912019999999998</v>
      </c>
      <c r="E812">
        <v>0.54116799999999998</v>
      </c>
      <c r="F812" t="s">
        <v>42</v>
      </c>
      <c r="G812">
        <v>-218.0521</v>
      </c>
      <c r="H812" s="1">
        <v>-2.586303E-6</v>
      </c>
      <c r="I812">
        <v>362.33519999999999</v>
      </c>
      <c r="J812">
        <v>-249.68600000000001</v>
      </c>
      <c r="K812">
        <v>1.120746</v>
      </c>
      <c r="L812">
        <v>367.84399999999999</v>
      </c>
      <c r="M812">
        <v>0.99984490000000004</v>
      </c>
      <c r="N812">
        <v>-1.0499949999999999E-2</v>
      </c>
      <c r="O812">
        <v>-1.413795E-2</v>
      </c>
      <c r="P812">
        <v>0.97276180000000001</v>
      </c>
      <c r="Q812">
        <v>0.21722630000000001</v>
      </c>
      <c r="R812">
        <v>-8.0916020000000005E-2</v>
      </c>
      <c r="S812">
        <v>3.0640260000000001</v>
      </c>
      <c r="T812">
        <v>-0.10785160000000001</v>
      </c>
      <c r="U812">
        <v>-0.53039550000000002</v>
      </c>
      <c r="V812">
        <v>6.7147899999999996E-2</v>
      </c>
      <c r="W812">
        <v>0.22744110000000001</v>
      </c>
      <c r="X812">
        <v>0.97147399999999995</v>
      </c>
      <c r="Y812">
        <v>0.15650020000000001</v>
      </c>
      <c r="Z812">
        <v>-3.2149380000000001E-3</v>
      </c>
      <c r="AA812">
        <v>0.98767269999999896</v>
      </c>
      <c r="AB812">
        <v>37</v>
      </c>
      <c r="AC812">
        <v>31.633899999999901</v>
      </c>
      <c r="AD812">
        <v>-1.120748586303</v>
      </c>
      <c r="AE812">
        <v>-5.5087999999999999</v>
      </c>
      <c r="AF812">
        <v>5.0548281503580004</v>
      </c>
      <c r="AG812">
        <v>-1.120748586303</v>
      </c>
      <c r="AH812">
        <v>31.6700433759856</v>
      </c>
      <c r="AI812">
        <v>92.0014416037871</v>
      </c>
      <c r="AJ812">
        <v>80.931560463252197</v>
      </c>
      <c r="AK812">
        <v>32.0904816489276</v>
      </c>
      <c r="AL812">
        <v>76.853534911903793</v>
      </c>
      <c r="AM812">
        <v>86.046027027782003</v>
      </c>
      <c r="AN812">
        <v>1.0000000135598099</v>
      </c>
    </row>
    <row r="813" spans="1:40" x14ac:dyDescent="0.25">
      <c r="A813" t="str">
        <f>"20190303170955349"</f>
        <v>20190303170955349</v>
      </c>
      <c r="B813" t="str">
        <f>"1551604195340957"</f>
        <v>1551604195340957</v>
      </c>
      <c r="C813" t="s">
        <v>40</v>
      </c>
      <c r="D813">
        <v>4.3805269999999998</v>
      </c>
      <c r="E813">
        <v>0.54157440000000001</v>
      </c>
      <c r="F813" t="s">
        <v>42</v>
      </c>
      <c r="G813">
        <v>-218.0498</v>
      </c>
      <c r="H813" s="1">
        <v>-2.580873E-6</v>
      </c>
      <c r="I813">
        <v>362.35849999999999</v>
      </c>
      <c r="J813">
        <v>-249.45660000000001</v>
      </c>
      <c r="K813">
        <v>1.1207469999999999</v>
      </c>
      <c r="L813">
        <v>367.84070000000003</v>
      </c>
      <c r="M813">
        <v>0.99984510000000004</v>
      </c>
      <c r="N813">
        <v>-1.050712E-2</v>
      </c>
      <c r="O813">
        <v>-1.412189E-2</v>
      </c>
      <c r="P813">
        <v>0.97278030000000004</v>
      </c>
      <c r="Q813">
        <v>0.21722060000000001</v>
      </c>
      <c r="R813">
        <v>-8.0708349999999998E-2</v>
      </c>
      <c r="S813">
        <v>3.0640719999999999</v>
      </c>
      <c r="T813">
        <v>-0.1085479</v>
      </c>
      <c r="U813">
        <v>-0.53128050000000004</v>
      </c>
      <c r="V813">
        <v>6.6955790000000001E-2</v>
      </c>
      <c r="W813">
        <v>0.22744249999999999</v>
      </c>
      <c r="X813">
        <v>0.97148690000000004</v>
      </c>
      <c r="Y813">
        <v>0.15678900000000001</v>
      </c>
      <c r="Z813">
        <v>-3.2369870000000002E-3</v>
      </c>
      <c r="AA813">
        <v>0.98762680000000003</v>
      </c>
      <c r="AB813">
        <v>37</v>
      </c>
      <c r="AC813">
        <v>31.4068</v>
      </c>
      <c r="AD813">
        <v>-1.1207495808729999</v>
      </c>
      <c r="AE813">
        <v>-5.4822000000000299</v>
      </c>
      <c r="AF813">
        <v>5.0318871994642604</v>
      </c>
      <c r="AG813">
        <v>-1.1207495808729999</v>
      </c>
      <c r="AH813">
        <v>31.442235989673499</v>
      </c>
      <c r="AI813">
        <v>92.015798480105602</v>
      </c>
      <c r="AJ813">
        <v>80.907716333403002</v>
      </c>
      <c r="AK813">
        <v>31.862049093576498</v>
      </c>
      <c r="AL813">
        <v>76.853452126601994</v>
      </c>
      <c r="AM813">
        <v>86.057355796466794</v>
      </c>
      <c r="AN813">
        <v>0.99999998274619095</v>
      </c>
    </row>
    <row r="814" spans="1:40" x14ac:dyDescent="0.25">
      <c r="A814" t="str">
        <f>"20190303170955362"</f>
        <v>20190303170955362</v>
      </c>
      <c r="B814" t="str">
        <f>"1551604195351693"</f>
        <v>1551604195351693</v>
      </c>
      <c r="C814" t="s">
        <v>40</v>
      </c>
      <c r="D814">
        <v>4.3829469999999997</v>
      </c>
      <c r="E814">
        <v>0.54177299999999995</v>
      </c>
      <c r="F814" t="s">
        <v>42</v>
      </c>
      <c r="G814">
        <v>-217.8065</v>
      </c>
      <c r="H814" s="1">
        <v>-2.6741220000000001E-6</v>
      </c>
      <c r="I814">
        <v>362.3193</v>
      </c>
      <c r="J814">
        <v>-249.25829999999999</v>
      </c>
      <c r="K814">
        <v>1.1207450000000001</v>
      </c>
      <c r="L814">
        <v>367.83800000000002</v>
      </c>
      <c r="M814">
        <v>0.99984530000000005</v>
      </c>
      <c r="N814">
        <v>-1.051406E-2</v>
      </c>
      <c r="O814">
        <v>-1.4107629999999999E-2</v>
      </c>
      <c r="P814">
        <v>0.97281859999999998</v>
      </c>
      <c r="Q814">
        <v>0.21717249999999999</v>
      </c>
      <c r="R814">
        <v>-8.0378539999999998E-2</v>
      </c>
      <c r="S814">
        <v>3.0637970000000001</v>
      </c>
      <c r="T814">
        <v>-0.10849060000000001</v>
      </c>
      <c r="U814">
        <v>-0.53448490000000004</v>
      </c>
      <c r="V814">
        <v>6.6639139999999999E-2</v>
      </c>
      <c r="W814">
        <v>0.22740160000000001</v>
      </c>
      <c r="X814">
        <v>0.97151829999999995</v>
      </c>
      <c r="Y814">
        <v>0.15781979999999901</v>
      </c>
      <c r="Z814">
        <v>-3.26042E-3</v>
      </c>
      <c r="AA814">
        <v>0.98746259999999997</v>
      </c>
      <c r="AB814">
        <v>37</v>
      </c>
      <c r="AC814">
        <v>31.451799999999899</v>
      </c>
      <c r="AD814">
        <v>-1.1207476741219999</v>
      </c>
      <c r="AE814">
        <v>-5.5187000000000204</v>
      </c>
      <c r="AF814">
        <v>5.0681726985046103</v>
      </c>
      <c r="AG814">
        <v>-1.1207476741219999</v>
      </c>
      <c r="AH814">
        <v>31.487741773265999</v>
      </c>
      <c r="AI814">
        <v>92.012594408936806</v>
      </c>
      <c r="AJ814">
        <v>80.856267241313205</v>
      </c>
      <c r="AK814">
        <v>31.9126985983761</v>
      </c>
      <c r="AL814">
        <v>76.855859280545801</v>
      </c>
      <c r="AM814">
        <v>86.076069549574498</v>
      </c>
      <c r="AN814">
        <v>1.0000000349486899</v>
      </c>
    </row>
    <row r="815" spans="1:40" x14ac:dyDescent="0.25">
      <c r="A815" t="str">
        <f>"20190303170955374"</f>
        <v>20190303170955374</v>
      </c>
      <c r="B815" t="str">
        <f>"1551604195361454"</f>
        <v>1551604195361454</v>
      </c>
      <c r="C815" t="s">
        <v>40</v>
      </c>
      <c r="D815">
        <v>4.3887980000000004</v>
      </c>
      <c r="E815">
        <v>0.54196390000000005</v>
      </c>
      <c r="F815" t="s">
        <v>42</v>
      </c>
      <c r="G815">
        <v>-217.685</v>
      </c>
      <c r="H815" s="1">
        <v>-2.7131459999999999E-6</v>
      </c>
      <c r="I815">
        <v>362.32799999999997</v>
      </c>
      <c r="J815">
        <v>-249.05289999999999</v>
      </c>
      <c r="K815">
        <v>1.1207450000000001</v>
      </c>
      <c r="L815">
        <v>367.83510000000001</v>
      </c>
      <c r="M815">
        <v>0.9998454</v>
      </c>
      <c r="N815">
        <v>-1.0522109999999999E-2</v>
      </c>
      <c r="O815">
        <v>-1.4092530000000001E-2</v>
      </c>
      <c r="P815">
        <v>0.97283739999999996</v>
      </c>
      <c r="Q815">
        <v>0.21717900000000001</v>
      </c>
      <c r="R815">
        <v>-8.0132880000000004E-2</v>
      </c>
      <c r="S815">
        <v>3.0639500000000002</v>
      </c>
      <c r="T815">
        <v>-0.10876</v>
      </c>
      <c r="U815">
        <v>-0.53469849999999997</v>
      </c>
      <c r="V815">
        <v>6.6407899999999895E-2</v>
      </c>
      <c r="W815">
        <v>0.22741600000000001</v>
      </c>
      <c r="X815">
        <v>0.97153069999999997</v>
      </c>
      <c r="Y815">
        <v>0.15789259999999999</v>
      </c>
      <c r="Z815">
        <v>-3.2687459999999999E-3</v>
      </c>
      <c r="AA815">
        <v>0.98745090000000002</v>
      </c>
      <c r="AB815">
        <v>37</v>
      </c>
      <c r="AC815">
        <v>31.367899999999899</v>
      </c>
      <c r="AD815">
        <v>-1.120747713146</v>
      </c>
      <c r="AE815">
        <v>-5.5070999999999799</v>
      </c>
      <c r="AF815">
        <v>5.0582114588004004</v>
      </c>
      <c r="AG815">
        <v>-1.120747713146</v>
      </c>
      <c r="AH815">
        <v>31.403507855980799</v>
      </c>
      <c r="AI815">
        <v>92.017952177733093</v>
      </c>
      <c r="AJ815">
        <v>80.849870705403006</v>
      </c>
      <c r="AK815">
        <v>31.828004716901599</v>
      </c>
      <c r="AL815">
        <v>76.855011202332093</v>
      </c>
      <c r="AM815">
        <v>86.089693155944801</v>
      </c>
      <c r="AN815">
        <v>0.99999997364044901</v>
      </c>
    </row>
    <row r="816" spans="1:40" x14ac:dyDescent="0.25">
      <c r="A816" t="str">
        <f>"20190303170955385"</f>
        <v>20190303170955385</v>
      </c>
      <c r="B816" t="str">
        <f>"1551604195371213"</f>
        <v>1551604195371213</v>
      </c>
      <c r="C816" t="s">
        <v>40</v>
      </c>
      <c r="D816">
        <v>4.3464219999999996</v>
      </c>
      <c r="E816">
        <v>0.54212989999999905</v>
      </c>
      <c r="F816" t="s">
        <v>42</v>
      </c>
      <c r="G816">
        <v>-217.4716</v>
      </c>
      <c r="H816" s="1">
        <v>-2.7889180000000002E-6</v>
      </c>
      <c r="I816">
        <v>362.31619999999998</v>
      </c>
      <c r="J816">
        <v>-248.8595</v>
      </c>
      <c r="K816">
        <v>1.1207450000000001</v>
      </c>
      <c r="L816">
        <v>367.83229999999998</v>
      </c>
      <c r="M816">
        <v>0.99984550000000005</v>
      </c>
      <c r="N816">
        <v>-1.052986E-2</v>
      </c>
      <c r="O816">
        <v>-1.4078510000000001E-2</v>
      </c>
      <c r="P816">
        <v>0.97287639999999997</v>
      </c>
      <c r="Q816">
        <v>0.217088</v>
      </c>
      <c r="R816">
        <v>-7.9902280000000006E-2</v>
      </c>
      <c r="S816">
        <v>3.0639500000000002</v>
      </c>
      <c r="T816">
        <v>-0.1087321</v>
      </c>
      <c r="U816">
        <v>-0.53543090000000004</v>
      </c>
      <c r="V816">
        <v>6.6190760000000001E-2</v>
      </c>
      <c r="W816">
        <v>0.2273329</v>
      </c>
      <c r="X816">
        <v>0.97156500000000001</v>
      </c>
      <c r="Y816">
        <v>0.15813529999999901</v>
      </c>
      <c r="Z816">
        <v>-3.2747610000000002E-3</v>
      </c>
      <c r="AA816">
        <v>0.98741199999999996</v>
      </c>
      <c r="AB816">
        <v>37</v>
      </c>
      <c r="AC816">
        <v>31.387899999999998</v>
      </c>
      <c r="AD816">
        <v>-1.120747788918</v>
      </c>
      <c r="AE816">
        <v>-5.51609999999999</v>
      </c>
      <c r="AF816">
        <v>5.0673668571124004</v>
      </c>
      <c r="AG816">
        <v>-1.120747788918</v>
      </c>
      <c r="AH816">
        <v>31.4235885954689</v>
      </c>
      <c r="AI816">
        <v>92.016604198676404</v>
      </c>
      <c r="AJ816">
        <v>80.839348115478202</v>
      </c>
      <c r="AK816">
        <v>31.8492731893243</v>
      </c>
      <c r="AL816">
        <v>76.859900988254395</v>
      </c>
      <c r="AM816">
        <v>86.1025767479168</v>
      </c>
      <c r="AN816">
        <v>1.0000000066783901</v>
      </c>
    </row>
    <row r="817" spans="1:40" x14ac:dyDescent="0.25">
      <c r="A817" t="str">
        <f>"20190303170955399"</f>
        <v>20190303170955399</v>
      </c>
      <c r="B817" t="str">
        <f>"1551604195391240"</f>
        <v>1551604195391240</v>
      </c>
      <c r="C817" t="s">
        <v>40</v>
      </c>
      <c r="D817">
        <v>4.3739790000000003</v>
      </c>
      <c r="E817">
        <v>0.54246149999999904</v>
      </c>
      <c r="F817" t="s">
        <v>42</v>
      </c>
      <c r="G817">
        <v>-217.39240000000001</v>
      </c>
      <c r="H817" s="1">
        <v>-2.8128649999999999E-6</v>
      </c>
      <c r="I817">
        <v>362.32740000000001</v>
      </c>
      <c r="J817">
        <v>-248.6361</v>
      </c>
      <c r="K817">
        <v>1.1207469999999999</v>
      </c>
      <c r="L817">
        <v>367.82920000000001</v>
      </c>
      <c r="M817">
        <v>0.99984569999999995</v>
      </c>
      <c r="N817">
        <v>-1.0538850000000001E-2</v>
      </c>
      <c r="O817">
        <v>-1.406234E-2</v>
      </c>
      <c r="P817">
        <v>0.97293220000000002</v>
      </c>
      <c r="Q817">
        <v>0.2168834</v>
      </c>
      <c r="R817">
        <v>-7.9780740000000003E-2</v>
      </c>
      <c r="S817">
        <v>3.0639500000000002</v>
      </c>
      <c r="T817">
        <v>-0.109127</v>
      </c>
      <c r="U817">
        <v>-0.53601069999999995</v>
      </c>
      <c r="V817">
        <v>6.6084329999999997E-2</v>
      </c>
      <c r="W817">
        <v>0.22713739999999999</v>
      </c>
      <c r="X817">
        <v>0.97161790000000003</v>
      </c>
      <c r="Y817">
        <v>0.15833159999999999</v>
      </c>
      <c r="Z817">
        <v>-3.2888000000000001E-3</v>
      </c>
      <c r="AA817">
        <v>0.98738049999999999</v>
      </c>
      <c r="AB817">
        <v>37</v>
      </c>
      <c r="AC817">
        <v>31.243699999999901</v>
      </c>
      <c r="AD817">
        <v>-1.120749812865</v>
      </c>
      <c r="AE817">
        <v>-5.5018000000000002</v>
      </c>
      <c r="AF817">
        <v>5.0555624763713602</v>
      </c>
      <c r="AG817">
        <v>-1.120749812865</v>
      </c>
      <c r="AH817">
        <v>31.278945247712201</v>
      </c>
      <c r="AI817">
        <v>92.025808183998507</v>
      </c>
      <c r="AJ817">
        <v>80.818780750483597</v>
      </c>
      <c r="AK817">
        <v>31.704687475275701</v>
      </c>
      <c r="AL817">
        <v>76.871402326182803</v>
      </c>
      <c r="AM817">
        <v>86.109035463514701</v>
      </c>
      <c r="AN817">
        <v>0.999999940375357</v>
      </c>
    </row>
    <row r="818" spans="1:40" x14ac:dyDescent="0.25">
      <c r="A818" t="str">
        <f>"20190303170955412"</f>
        <v>20190303170955412</v>
      </c>
      <c r="B818" t="str">
        <f>"1551604195401000"</f>
        <v>1551604195401000</v>
      </c>
      <c r="C818" t="s">
        <v>40</v>
      </c>
      <c r="D818">
        <v>4.3721170000000003</v>
      </c>
      <c r="E818">
        <v>0.54264219999999996</v>
      </c>
      <c r="F818" t="s">
        <v>42</v>
      </c>
      <c r="G818">
        <v>-217.26349999999999</v>
      </c>
      <c r="H818" s="1">
        <v>-2.8590979999999998E-6</v>
      </c>
      <c r="I818">
        <v>362.31849999999997</v>
      </c>
      <c r="J818">
        <v>-248.40170000000001</v>
      </c>
      <c r="K818">
        <v>1.120752</v>
      </c>
      <c r="L818">
        <v>367.82589999999999</v>
      </c>
      <c r="M818">
        <v>0.99984569999999995</v>
      </c>
      <c r="N818">
        <v>-1.054825E-2</v>
      </c>
      <c r="O818">
        <v>-1.40457E-2</v>
      </c>
      <c r="P818">
        <v>0.97300679999999995</v>
      </c>
      <c r="Q818">
        <v>0.21671209999999999</v>
      </c>
      <c r="R818">
        <v>-7.9333360000000006E-2</v>
      </c>
      <c r="S818">
        <v>3.0637050000000001</v>
      </c>
      <c r="T818">
        <v>-0.10944710000000001</v>
      </c>
      <c r="U818">
        <v>-0.53814700000000004</v>
      </c>
      <c r="V818">
        <v>6.5651989999999993E-2</v>
      </c>
      <c r="W818">
        <v>0.22697629999999999</v>
      </c>
      <c r="X818">
        <v>0.97168489999999996</v>
      </c>
      <c r="Y818">
        <v>0.15902810000000001</v>
      </c>
      <c r="Z818">
        <v>-3.312972E-3</v>
      </c>
      <c r="AA818">
        <v>0.98726849999999999</v>
      </c>
      <c r="AB818">
        <v>38</v>
      </c>
      <c r="AC818">
        <v>31.138200000000001</v>
      </c>
      <c r="AD818">
        <v>-1.1207548590980001</v>
      </c>
      <c r="AE818">
        <v>-5.5074000000000103</v>
      </c>
      <c r="AF818">
        <v>5.0631142525951303</v>
      </c>
      <c r="AG818">
        <v>-1.1207548590980001</v>
      </c>
      <c r="AH818">
        <v>31.173327876913099</v>
      </c>
      <c r="AI818">
        <v>92.032421907627693</v>
      </c>
      <c r="AJ818">
        <v>80.774682807643302</v>
      </c>
      <c r="AK818">
        <v>31.601702300834202</v>
      </c>
      <c r="AL818">
        <v>76.880880817462398</v>
      </c>
      <c r="AM818">
        <v>86.134679418411693</v>
      </c>
      <c r="AN818">
        <v>0.99999998472032903</v>
      </c>
    </row>
    <row r="819" spans="1:40" x14ac:dyDescent="0.25">
      <c r="A819" t="str">
        <f>"20190303170955435"</f>
        <v>20190303170955435</v>
      </c>
      <c r="B819" t="str">
        <f>"1551604195421496"</f>
        <v>1551604195421496</v>
      </c>
      <c r="C819" t="s">
        <v>40</v>
      </c>
      <c r="D819">
        <v>4.375877</v>
      </c>
      <c r="E819">
        <v>0.54304019999999897</v>
      </c>
      <c r="F819" t="s">
        <v>42</v>
      </c>
      <c r="G819">
        <v>-217.2013</v>
      </c>
      <c r="H819" s="1">
        <v>-2.8733589999999998E-6</v>
      </c>
      <c r="I819">
        <v>362.34449999999998</v>
      </c>
      <c r="J819">
        <v>-248.02610000000001</v>
      </c>
      <c r="K819">
        <v>1.1207510000000001</v>
      </c>
      <c r="L819">
        <v>367.82069999999999</v>
      </c>
      <c r="M819">
        <v>0.99984600000000001</v>
      </c>
      <c r="N819">
        <v>-1.056318E-2</v>
      </c>
      <c r="O819">
        <v>-1.4018950000000001E-2</v>
      </c>
      <c r="P819">
        <v>0.97312359999999998</v>
      </c>
      <c r="Q819">
        <v>0.2163667</v>
      </c>
      <c r="R819">
        <v>-7.8843960000000005E-2</v>
      </c>
      <c r="S819">
        <v>3.0638580000000002</v>
      </c>
      <c r="T819">
        <v>-0.11005719999999999</v>
      </c>
      <c r="U819">
        <v>-0.538269</v>
      </c>
      <c r="V819">
        <v>6.5186980000000005E-2</v>
      </c>
      <c r="W819">
        <v>0.22664609999999999</v>
      </c>
      <c r="X819">
        <v>0.97179329999999997</v>
      </c>
      <c r="Y819">
        <v>0.159083</v>
      </c>
      <c r="Z819">
        <v>-3.3291280000000002E-3</v>
      </c>
      <c r="AA819">
        <v>0.98725960000000001</v>
      </c>
      <c r="AB819">
        <v>38</v>
      </c>
      <c r="AC819">
        <v>30.8248</v>
      </c>
      <c r="AD819">
        <v>-1.1207538733589999</v>
      </c>
      <c r="AE819">
        <v>-5.4762000000000004</v>
      </c>
      <c r="AF819">
        <v>5.0370513070739804</v>
      </c>
      <c r="AG819">
        <v>-1.1207538733589999</v>
      </c>
      <c r="AH819">
        <v>30.85899897901</v>
      </c>
      <c r="AI819">
        <v>92.052841190322994</v>
      </c>
      <c r="AJ819">
        <v>80.729482714611393</v>
      </c>
      <c r="AK819">
        <v>31.287470225336001</v>
      </c>
      <c r="AL819">
        <v>76.9003064356084</v>
      </c>
      <c r="AM819">
        <v>86.162402027112904</v>
      </c>
      <c r="AN819">
        <v>1.00000000746581</v>
      </c>
    </row>
    <row r="820" spans="1:40" x14ac:dyDescent="0.25">
      <c r="A820" t="str">
        <f>"20190303170955450"</f>
        <v>20190303170955450</v>
      </c>
      <c r="B820" t="str">
        <f>"1551604195441016"</f>
        <v>1551604195441016</v>
      </c>
      <c r="C820" t="s">
        <v>40</v>
      </c>
      <c r="D820">
        <v>4.3996599999999999</v>
      </c>
      <c r="E820">
        <v>0.54338109999999995</v>
      </c>
      <c r="F820" t="s">
        <v>42</v>
      </c>
      <c r="G820">
        <v>-217.04679999999999</v>
      </c>
      <c r="H820" s="1">
        <v>-2.9227929999999998E-6</v>
      </c>
      <c r="I820">
        <v>362.35629999999998</v>
      </c>
      <c r="J820">
        <v>-247.76519999999999</v>
      </c>
      <c r="K820">
        <v>1.1207530000000001</v>
      </c>
      <c r="L820">
        <v>367.81700000000001</v>
      </c>
      <c r="M820">
        <v>0.99984609999999996</v>
      </c>
      <c r="N820">
        <v>-1.057316E-2</v>
      </c>
      <c r="O820">
        <v>-1.400029E-2</v>
      </c>
      <c r="P820">
        <v>0.97327430000000004</v>
      </c>
      <c r="Q820">
        <v>0.215811</v>
      </c>
      <c r="R820">
        <v>-7.8503030000000001E-2</v>
      </c>
      <c r="S820">
        <v>3.063736</v>
      </c>
      <c r="T820">
        <v>-0.1108382</v>
      </c>
      <c r="U820">
        <v>-0.54040529999999998</v>
      </c>
      <c r="V820">
        <v>6.4862240000000002E-2</v>
      </c>
      <c r="W820">
        <v>0.2261022</v>
      </c>
      <c r="X820">
        <v>0.97194170000000002</v>
      </c>
      <c r="Y820">
        <v>0.15977359999999999</v>
      </c>
      <c r="Z820">
        <v>-3.3631730000000001E-3</v>
      </c>
      <c r="AA820">
        <v>0.98714789999999997</v>
      </c>
      <c r="AB820">
        <v>38</v>
      </c>
      <c r="AC820">
        <v>30.718399999999999</v>
      </c>
      <c r="AD820">
        <v>-1.120755922793</v>
      </c>
      <c r="AE820">
        <v>-5.4606999999999699</v>
      </c>
      <c r="AF820">
        <v>5.0235919225650401</v>
      </c>
      <c r="AG820">
        <v>-1.120755922793</v>
      </c>
      <c r="AH820">
        <v>30.7521630732166</v>
      </c>
      <c r="AI820">
        <v>92.059928224931397</v>
      </c>
      <c r="AJ820">
        <v>80.722261394698506</v>
      </c>
      <c r="AK820">
        <v>31.179931098779601</v>
      </c>
      <c r="AL820">
        <v>76.932299942865399</v>
      </c>
      <c r="AM820">
        <v>86.182044277209798</v>
      </c>
      <c r="AN820">
        <v>0.99999999161077302</v>
      </c>
    </row>
    <row r="821" spans="1:40" x14ac:dyDescent="0.25">
      <c r="A821" t="str">
        <f>"20190303170955463"</f>
        <v>20190303170955463</v>
      </c>
      <c r="B821" t="str">
        <f>"1551604195451752"</f>
        <v>1551604195451752</v>
      </c>
      <c r="C821" t="s">
        <v>40</v>
      </c>
      <c r="D821">
        <v>4.5364500000000003</v>
      </c>
      <c r="E821">
        <v>0.54344689999999995</v>
      </c>
      <c r="F821" t="s">
        <v>42</v>
      </c>
      <c r="G821">
        <v>-217.37479999999999</v>
      </c>
      <c r="H821" s="1">
        <v>-2.787875E-6</v>
      </c>
      <c r="I821">
        <v>362.44380000000001</v>
      </c>
      <c r="J821">
        <v>-247.55359999999999</v>
      </c>
      <c r="K821">
        <v>1.120754</v>
      </c>
      <c r="L821">
        <v>367.8141</v>
      </c>
      <c r="M821">
        <v>0.99984620000000002</v>
      </c>
      <c r="N821">
        <v>-1.058101E-2</v>
      </c>
      <c r="O821">
        <v>-1.3985310000000001E-2</v>
      </c>
      <c r="P821">
        <v>0.97335099999999997</v>
      </c>
      <c r="Q821">
        <v>0.215415</v>
      </c>
      <c r="R821">
        <v>-7.8640860000000007E-2</v>
      </c>
      <c r="S821">
        <v>3.0637509999999999</v>
      </c>
      <c r="T821">
        <v>-0.1129869</v>
      </c>
      <c r="U821">
        <v>-0.54168700000000003</v>
      </c>
      <c r="V821">
        <v>6.5013290000000001E-2</v>
      </c>
      <c r="W821">
        <v>0.22571430000000001</v>
      </c>
      <c r="X821">
        <v>0.97202180000000005</v>
      </c>
      <c r="Y821">
        <v>0.160183399999999</v>
      </c>
      <c r="Z821">
        <v>-3.4197350000000001E-3</v>
      </c>
      <c r="AA821">
        <v>0.98708130000000005</v>
      </c>
      <c r="AB821">
        <v>38</v>
      </c>
      <c r="AC821">
        <v>30.178799999999899</v>
      </c>
      <c r="AD821">
        <v>-1.120756787875</v>
      </c>
      <c r="AE821">
        <v>-5.3702999999999799</v>
      </c>
      <c r="AF821">
        <v>4.94108577657944</v>
      </c>
      <c r="AG821">
        <v>-1.120756787875</v>
      </c>
      <c r="AH821">
        <v>30.210570996911699</v>
      </c>
      <c r="AI821">
        <v>92.096760117222203</v>
      </c>
      <c r="AJ821">
        <v>80.711239368895207</v>
      </c>
      <c r="AK821">
        <v>30.632483157402199</v>
      </c>
      <c r="AL821">
        <v>76.9551152334233</v>
      </c>
      <c r="AM821">
        <v>86.173493894211006</v>
      </c>
      <c r="AN821">
        <v>1.0000000263881701</v>
      </c>
    </row>
    <row r="822" spans="1:40" x14ac:dyDescent="0.25">
      <c r="A822" t="str">
        <f>"20190303170955475"</f>
        <v>20190303170955475</v>
      </c>
      <c r="B822" t="str">
        <f>"1551604195461513"</f>
        <v>1551604195461513</v>
      </c>
      <c r="C822" t="s">
        <v>40</v>
      </c>
      <c r="D822">
        <v>4.5313280000000002</v>
      </c>
      <c r="E822">
        <v>0.54344689999999995</v>
      </c>
      <c r="F822" t="s">
        <v>42</v>
      </c>
      <c r="G822">
        <v>-217.34809999999999</v>
      </c>
      <c r="H822" s="1">
        <v>-2.7919139999999999E-6</v>
      </c>
      <c r="I822">
        <v>362.46289999999999</v>
      </c>
      <c r="J822">
        <v>-247.357</v>
      </c>
      <c r="K822">
        <v>1.1207530000000001</v>
      </c>
      <c r="L822">
        <v>367.81139999999999</v>
      </c>
      <c r="M822">
        <v>0.99984649999999997</v>
      </c>
      <c r="N822">
        <v>-1.0588129999999999E-2</v>
      </c>
      <c r="O822">
        <v>-1.39714E-2</v>
      </c>
      <c r="P822">
        <v>0.97338599999999997</v>
      </c>
      <c r="Q822">
        <v>0.21531929999999999</v>
      </c>
      <c r="R822">
        <v>-7.8468839999999998E-2</v>
      </c>
      <c r="S822">
        <v>3.0634769999999998</v>
      </c>
      <c r="T822">
        <v>-0.11366809999999999</v>
      </c>
      <c r="U822">
        <v>-0.5427246</v>
      </c>
      <c r="V822">
        <v>6.4854469999999997E-2</v>
      </c>
      <c r="W822">
        <v>0.2256261</v>
      </c>
      <c r="X822">
        <v>0.9720529</v>
      </c>
      <c r="Y822">
        <v>0.1605347</v>
      </c>
      <c r="Z822">
        <v>-3.4438540000000001E-3</v>
      </c>
      <c r="AA822">
        <v>0.98702420000000002</v>
      </c>
      <c r="AB822">
        <v>38</v>
      </c>
      <c r="AC822">
        <v>30.008900000000001</v>
      </c>
      <c r="AD822">
        <v>-1.1207557919140001</v>
      </c>
      <c r="AE822">
        <v>-5.3484999999999996</v>
      </c>
      <c r="AF822">
        <v>4.9220340862915899</v>
      </c>
      <c r="AG822">
        <v>-1.1207557919140001</v>
      </c>
      <c r="AH822">
        <v>30.040090045602401</v>
      </c>
      <c r="AI822">
        <v>92.1085481472753</v>
      </c>
      <c r="AJ822">
        <v>80.694834951538496</v>
      </c>
      <c r="AK822">
        <v>30.461279077537501</v>
      </c>
      <c r="AL822">
        <v>76.9603027123906</v>
      </c>
      <c r="AM822">
        <v>86.182935706317707</v>
      </c>
      <c r="AN822">
        <v>1.0000000398392901</v>
      </c>
    </row>
    <row r="823" spans="1:40" x14ac:dyDescent="0.25">
      <c r="A823" t="str">
        <f>"20190303170955490"</f>
        <v>20190303170955490</v>
      </c>
      <c r="B823" t="str">
        <f>"1551604195481032"</f>
        <v>1551604195481032</v>
      </c>
      <c r="C823" t="s">
        <v>40</v>
      </c>
      <c r="D823">
        <v>4.3723029999999996</v>
      </c>
      <c r="E823">
        <v>0.52556130000000001</v>
      </c>
      <c r="F823" t="s">
        <v>42</v>
      </c>
      <c r="G823">
        <v>-217.20930000000001</v>
      </c>
      <c r="H823" s="1">
        <v>-2.8365150000000001E-6</v>
      </c>
      <c r="I823">
        <v>362.47280000000001</v>
      </c>
      <c r="J823">
        <v>-247.09829999999999</v>
      </c>
      <c r="K823">
        <v>1.1207499999999999</v>
      </c>
      <c r="L823">
        <v>367.80779999999999</v>
      </c>
      <c r="M823">
        <v>0.99984660000000003</v>
      </c>
      <c r="N823">
        <v>-1.0596950000000001E-2</v>
      </c>
      <c r="O823">
        <v>-1.3952610000000001E-2</v>
      </c>
      <c r="P823">
        <v>0.97334149999999997</v>
      </c>
      <c r="Q823">
        <v>0.2155157</v>
      </c>
      <c r="R823">
        <v>-7.8483810000000001E-2</v>
      </c>
      <c r="S823">
        <v>3.0634920000000001</v>
      </c>
      <c r="T823">
        <v>-0.1138865</v>
      </c>
      <c r="U823">
        <v>-0.54248050000000003</v>
      </c>
      <c r="V823">
        <v>6.4888429999999997E-2</v>
      </c>
      <c r="W823">
        <v>0.22583049999999999</v>
      </c>
      <c r="X823">
        <v>0.97200319999999996</v>
      </c>
      <c r="Y823">
        <v>0.1604757</v>
      </c>
      <c r="Z823">
        <v>-3.448469E-3</v>
      </c>
      <c r="AA823">
        <v>0.98703379999999996</v>
      </c>
      <c r="AB823">
        <v>38</v>
      </c>
      <c r="AC823">
        <v>29.8889999999999</v>
      </c>
      <c r="AD823">
        <v>-1.1207528365149999</v>
      </c>
      <c r="AE823">
        <v>-5.3349999999999804</v>
      </c>
      <c r="AF823">
        <v>4.9107361944894103</v>
      </c>
      <c r="AG823">
        <v>-1.1207528365149999</v>
      </c>
      <c r="AH823">
        <v>29.9197621581073</v>
      </c>
      <c r="AI823">
        <v>92.116919761323004</v>
      </c>
      <c r="AJ823">
        <v>80.679137375200398</v>
      </c>
      <c r="AK823">
        <v>30.340790769031301</v>
      </c>
      <c r="AL823">
        <v>76.948281609856807</v>
      </c>
      <c r="AM823">
        <v>86.180748179083807</v>
      </c>
      <c r="AN823">
        <v>1.00000007194417</v>
      </c>
    </row>
    <row r="824" spans="1:40" x14ac:dyDescent="0.25">
      <c r="A824" t="str">
        <f>"20190303170955503"</f>
        <v>20190303170955503</v>
      </c>
      <c r="B824" t="str">
        <f>"1551604195491769"</f>
        <v>1551604195491769</v>
      </c>
      <c r="C824" t="s">
        <v>40</v>
      </c>
      <c r="D824">
        <v>4.4257350000000004</v>
      </c>
      <c r="E824">
        <v>0.52556130000000001</v>
      </c>
      <c r="F824" t="s">
        <v>44</v>
      </c>
      <c r="G824">
        <v>-189.96440000000001</v>
      </c>
      <c r="H824" s="1">
        <v>-5.5430860000000004E-6</v>
      </c>
      <c r="I824">
        <v>360.29829999999998</v>
      </c>
      <c r="J824">
        <v>-246.8895</v>
      </c>
      <c r="K824">
        <v>1.1207510000000001</v>
      </c>
      <c r="L824">
        <v>367.80489999999998</v>
      </c>
      <c r="M824">
        <v>0.99984660000000003</v>
      </c>
      <c r="N824">
        <v>-1.060377E-2</v>
      </c>
      <c r="O824">
        <v>-1.393751E-2</v>
      </c>
      <c r="P824">
        <v>0.97332839999999998</v>
      </c>
      <c r="Q824">
        <v>0.21563889999999999</v>
      </c>
      <c r="R824">
        <v>-7.8306319999999999E-2</v>
      </c>
      <c r="S824">
        <v>3.0629879999999998</v>
      </c>
      <c r="T824">
        <v>-6.0084459999999999E-2</v>
      </c>
      <c r="U824">
        <v>-0.4025879</v>
      </c>
      <c r="V824">
        <v>6.4725740000000004E-2</v>
      </c>
      <c r="W824">
        <v>0.2259601</v>
      </c>
      <c r="X824">
        <v>0.97198390000000001</v>
      </c>
      <c r="Y824">
        <v>0.1164499</v>
      </c>
      <c r="Z824">
        <v>-1.63237E-3</v>
      </c>
      <c r="AA824">
        <v>0.99319519999999994</v>
      </c>
      <c r="AB824">
        <v>38</v>
      </c>
      <c r="AC824">
        <v>56.925099999999901</v>
      </c>
      <c r="AD824">
        <v>-1.120756543086</v>
      </c>
      <c r="AE824">
        <v>-7.5065999999999899</v>
      </c>
      <c r="AF824">
        <v>6.70987551728083</v>
      </c>
      <c r="AG824">
        <v>-1.120756543086</v>
      </c>
      <c r="AH824">
        <v>57.002481249961299</v>
      </c>
      <c r="AI824">
        <v>91.118656638832306</v>
      </c>
      <c r="AJ824">
        <v>83.286493712077103</v>
      </c>
      <c r="AK824">
        <v>57.406980353772902</v>
      </c>
      <c r="AL824">
        <v>76.940658688579006</v>
      </c>
      <c r="AM824">
        <v>86.190220250848895</v>
      </c>
      <c r="AN824">
        <v>1.00000004503488</v>
      </c>
    </row>
    <row r="825" spans="1:40" x14ac:dyDescent="0.25">
      <c r="A825" t="str">
        <f>"20190303170955516"</f>
        <v>20190303170955516</v>
      </c>
      <c r="B825" t="str">
        <f>"1551604195501528"</f>
        <v>1551604195501528</v>
      </c>
      <c r="C825" t="s">
        <v>40</v>
      </c>
      <c r="D825">
        <v>4.4071210000000001</v>
      </c>
      <c r="E825">
        <v>0.53218350000000003</v>
      </c>
      <c r="F825" t="s">
        <v>44</v>
      </c>
      <c r="G825">
        <v>-189.40549999999999</v>
      </c>
      <c r="H825" s="1">
        <v>-5.5603080000000002E-6</v>
      </c>
      <c r="I825">
        <v>360.25650000000002</v>
      </c>
      <c r="J825">
        <v>-246.66589999999999</v>
      </c>
      <c r="K825">
        <v>1.120754</v>
      </c>
      <c r="L825">
        <v>367.80180000000001</v>
      </c>
      <c r="M825">
        <v>0.99984680000000004</v>
      </c>
      <c r="N825">
        <v>-1.061082E-2</v>
      </c>
      <c r="O825">
        <v>-1.3921569999999999E-2</v>
      </c>
      <c r="P825">
        <v>0.97327399999999997</v>
      </c>
      <c r="Q825">
        <v>0.21582599999999999</v>
      </c>
      <c r="R825">
        <v>-7.8466530000000007E-2</v>
      </c>
      <c r="S825">
        <v>3.0630799999999998</v>
      </c>
      <c r="T825">
        <v>-5.97204E-2</v>
      </c>
      <c r="U825">
        <v>-0.40222170000000002</v>
      </c>
      <c r="V825">
        <v>6.4902249999999995E-2</v>
      </c>
      <c r="W825">
        <v>0.2261533</v>
      </c>
      <c r="X825">
        <v>0.97192719999999999</v>
      </c>
      <c r="Y825">
        <v>0.1163455</v>
      </c>
      <c r="Z825">
        <v>-1.626188E-3</v>
      </c>
      <c r="AA825">
        <v>0.99320750000000002</v>
      </c>
      <c r="AB825">
        <v>38</v>
      </c>
      <c r="AC825">
        <v>57.260399999999997</v>
      </c>
      <c r="AD825">
        <v>-1.1207595603080001</v>
      </c>
      <c r="AE825">
        <v>-7.5452999999999903</v>
      </c>
      <c r="AF825">
        <v>6.7448293012794496</v>
      </c>
      <c r="AG825">
        <v>-1.1207595603080001</v>
      </c>
      <c r="AH825">
        <v>57.338307022987003</v>
      </c>
      <c r="AI825">
        <v>91.112119702732798</v>
      </c>
      <c r="AJ825">
        <v>83.291004789886003</v>
      </c>
      <c r="AK825">
        <v>57.744525944523403</v>
      </c>
      <c r="AL825">
        <v>76.929295046408996</v>
      </c>
      <c r="AM825">
        <v>86.179639333495402</v>
      </c>
      <c r="AN825">
        <v>1.00000004962789</v>
      </c>
    </row>
    <row r="826" spans="1:40" x14ac:dyDescent="0.25">
      <c r="A826" t="str">
        <f>"20190303170955528"</f>
        <v>20190303170955528</v>
      </c>
      <c r="B826" t="str">
        <f>"1551604195521048"</f>
        <v>1551604195521048</v>
      </c>
      <c r="C826" t="s">
        <v>40</v>
      </c>
      <c r="D826">
        <v>4.3904509999999997</v>
      </c>
      <c r="E826">
        <v>0.53158059999999996</v>
      </c>
      <c r="F826" t="s">
        <v>44</v>
      </c>
      <c r="G826">
        <v>-202.50229999999999</v>
      </c>
      <c r="H826" s="1">
        <v>-3.5528839999999999E-6</v>
      </c>
      <c r="I826">
        <v>361.25080000000003</v>
      </c>
      <c r="J826">
        <v>-246.4453</v>
      </c>
      <c r="K826">
        <v>1.1207560000000001</v>
      </c>
      <c r="L826">
        <v>367.7987</v>
      </c>
      <c r="M826">
        <v>0.99984700000000004</v>
      </c>
      <c r="N826">
        <v>-1.061724E-2</v>
      </c>
      <c r="O826">
        <v>-1.3905870000000001E-2</v>
      </c>
      <c r="P826">
        <v>0.97331829999999997</v>
      </c>
      <c r="Q826">
        <v>0.2157009</v>
      </c>
      <c r="R826">
        <v>-7.8261349999999993E-2</v>
      </c>
      <c r="S826">
        <v>3.0629879999999998</v>
      </c>
      <c r="T826">
        <v>-7.7730659999999993E-2</v>
      </c>
      <c r="U826">
        <v>-0.45434570000000002</v>
      </c>
      <c r="V826">
        <v>6.4711759999999993E-2</v>
      </c>
      <c r="W826">
        <v>0.2260354</v>
      </c>
      <c r="X826">
        <v>0.97196729999999998</v>
      </c>
      <c r="Y826">
        <v>0.13290009999999999</v>
      </c>
      <c r="Z826">
        <v>-2.1824729999999999E-3</v>
      </c>
      <c r="AA826">
        <v>0.99112699999999998</v>
      </c>
      <c r="AB826">
        <v>38</v>
      </c>
      <c r="AC826">
        <v>43.942999999999998</v>
      </c>
      <c r="AD826">
        <v>-1.12075955288399</v>
      </c>
      <c r="AE826">
        <v>-6.5478999999999701</v>
      </c>
      <c r="AF826">
        <v>5.9323915697152296</v>
      </c>
      <c r="AG826">
        <v>-1.12075955288399</v>
      </c>
      <c r="AH826">
        <v>44.001808664161899</v>
      </c>
      <c r="AI826">
        <v>91.445974816939398</v>
      </c>
      <c r="AJ826">
        <v>82.321594504693493</v>
      </c>
      <c r="AK826">
        <v>44.4140578806905</v>
      </c>
      <c r="AL826">
        <v>76.936229438190793</v>
      </c>
      <c r="AM826">
        <v>86.190975835203702</v>
      </c>
      <c r="AN826">
        <v>1.00000002310237</v>
      </c>
    </row>
    <row r="827" spans="1:40" x14ac:dyDescent="0.25">
      <c r="A827" t="str">
        <f>"20190303170955548"</f>
        <v>20190303170955548</v>
      </c>
      <c r="B827" t="str">
        <f>"1551604195541545"</f>
        <v>1551604195541545</v>
      </c>
      <c r="C827" t="s">
        <v>40</v>
      </c>
      <c r="D827">
        <v>4.412128</v>
      </c>
      <c r="E827">
        <v>0.53220230000000002</v>
      </c>
      <c r="F827" t="s">
        <v>44</v>
      </c>
      <c r="G827">
        <v>-205.1558</v>
      </c>
      <c r="H827" s="1">
        <v>-4.771663E-6</v>
      </c>
      <c r="I827">
        <v>361.75009999999997</v>
      </c>
      <c r="J827">
        <v>-246.12970000000001</v>
      </c>
      <c r="K827">
        <v>1.1207499999999999</v>
      </c>
      <c r="L827">
        <v>367.79430000000002</v>
      </c>
      <c r="M827">
        <v>0.99984720000000005</v>
      </c>
      <c r="N827">
        <v>-1.062597E-2</v>
      </c>
      <c r="O827">
        <v>-1.388326E-2</v>
      </c>
      <c r="P827">
        <v>0.97341509999999998</v>
      </c>
      <c r="Q827">
        <v>0.21540909999999999</v>
      </c>
      <c r="R827">
        <v>-7.7861429999999995E-2</v>
      </c>
      <c r="S827">
        <v>3.0645899999999999</v>
      </c>
      <c r="T827">
        <v>-8.3185200000000001E-2</v>
      </c>
      <c r="U827">
        <v>-0.44894410000000001</v>
      </c>
      <c r="V827">
        <v>6.4332459999999994E-2</v>
      </c>
      <c r="W827">
        <v>0.22575290000000001</v>
      </c>
      <c r="X827">
        <v>0.97205810000000004</v>
      </c>
      <c r="Y827">
        <v>0.13113129999999901</v>
      </c>
      <c r="Z827">
        <v>-2.242632E-3</v>
      </c>
      <c r="AA827">
        <v>0.99136250000000004</v>
      </c>
      <c r="AB827">
        <v>38</v>
      </c>
      <c r="AC827">
        <v>40.9739</v>
      </c>
      <c r="AD827">
        <v>-1.120754771663</v>
      </c>
      <c r="AE827">
        <v>-6.04420000000004</v>
      </c>
      <c r="AF827">
        <v>5.4707280856998803</v>
      </c>
      <c r="AG827">
        <v>-1.120754771663</v>
      </c>
      <c r="AH827">
        <v>41.023828967583697</v>
      </c>
      <c r="AI827">
        <v>91.551183592522506</v>
      </c>
      <c r="AJ827">
        <v>82.404143258676498</v>
      </c>
      <c r="AK827">
        <v>41.402167820144797</v>
      </c>
      <c r="AL827">
        <v>76.952844583693704</v>
      </c>
      <c r="AM827">
        <v>86.213589504541304</v>
      </c>
      <c r="AN827">
        <v>0.999999993521835</v>
      </c>
    </row>
    <row r="828" spans="1:40" x14ac:dyDescent="0.25">
      <c r="A828" t="str">
        <f>"20190303170955562"</f>
        <v>20190303170955562</v>
      </c>
      <c r="B828" t="str">
        <f>"1551604195551305"</f>
        <v>1551604195551305</v>
      </c>
      <c r="C828" t="s">
        <v>40</v>
      </c>
      <c r="D828">
        <v>4.5467870000000001</v>
      </c>
      <c r="E828">
        <v>0.53303269999999903</v>
      </c>
      <c r="F828" t="s">
        <v>44</v>
      </c>
      <c r="G828">
        <v>-204.38300000000001</v>
      </c>
      <c r="H828" s="1">
        <v>-4.4164349999999997E-6</v>
      </c>
      <c r="I828">
        <v>361.62450000000001</v>
      </c>
      <c r="J828">
        <v>-245.8974</v>
      </c>
      <c r="K828">
        <v>1.1207469999999999</v>
      </c>
      <c r="L828">
        <v>367.79109999999997</v>
      </c>
      <c r="M828">
        <v>0.99984740000000005</v>
      </c>
      <c r="N828">
        <v>-1.0632000000000001E-2</v>
      </c>
      <c r="O828">
        <v>-1.386708E-2</v>
      </c>
      <c r="P828">
        <v>0.97346969999999999</v>
      </c>
      <c r="Q828">
        <v>0.2151786</v>
      </c>
      <c r="R828">
        <v>-7.7814579999999994E-2</v>
      </c>
      <c r="S828">
        <v>3.0639189999999998</v>
      </c>
      <c r="T828">
        <v>-8.2255599999999998E-2</v>
      </c>
      <c r="U828">
        <v>-0.45281979999999999</v>
      </c>
      <c r="V828">
        <v>6.4300689999999994E-2</v>
      </c>
      <c r="W828">
        <v>0.22552849999999999</v>
      </c>
      <c r="X828">
        <v>0.97211230000000004</v>
      </c>
      <c r="Y828">
        <v>0.13240629999999901</v>
      </c>
      <c r="Z828">
        <v>-2.2518450000000001E-3</v>
      </c>
      <c r="AA828">
        <v>0.99119290000000004</v>
      </c>
      <c r="AB828">
        <v>38</v>
      </c>
      <c r="AC828">
        <v>41.514400000000002</v>
      </c>
      <c r="AD828">
        <v>-1.1207514164350001</v>
      </c>
      <c r="AE828">
        <v>-6.1665999999999599</v>
      </c>
      <c r="AF828">
        <v>5.5863074726283797</v>
      </c>
      <c r="AG828">
        <v>-1.1207514164350001</v>
      </c>
      <c r="AH828">
        <v>41.566285001263203</v>
      </c>
      <c r="AI828">
        <v>91.530735824484296</v>
      </c>
      <c r="AJ828">
        <v>82.345589524787997</v>
      </c>
      <c r="AK828">
        <v>41.954963517114699</v>
      </c>
      <c r="AL828">
        <v>76.9660422446361</v>
      </c>
      <c r="AM828">
        <v>86.215664347219402</v>
      </c>
      <c r="AN828">
        <v>1.000000003429</v>
      </c>
    </row>
    <row r="829" spans="1:40" x14ac:dyDescent="0.25">
      <c r="A829" t="str">
        <f>"20190303170955574"</f>
        <v>20190303170955574</v>
      </c>
      <c r="B829" t="str">
        <f>"1551604195561064"</f>
        <v>1551604195561064</v>
      </c>
      <c r="C829" t="s">
        <v>40</v>
      </c>
      <c r="D829">
        <v>4.6091819999999997</v>
      </c>
      <c r="E829">
        <v>0.53399219999999903</v>
      </c>
      <c r="F829" t="s">
        <v>44</v>
      </c>
      <c r="G829">
        <v>-204.61490000000001</v>
      </c>
      <c r="H829" s="1">
        <v>-4.5391100000000002E-6</v>
      </c>
      <c r="I829">
        <v>361.5976</v>
      </c>
      <c r="J829">
        <v>-245.6816</v>
      </c>
      <c r="K829">
        <v>1.1207469999999999</v>
      </c>
      <c r="L829">
        <v>367.78809999999999</v>
      </c>
      <c r="M829">
        <v>0.99984759999999995</v>
      </c>
      <c r="N829">
        <v>-1.0637310000000001E-2</v>
      </c>
      <c r="O829">
        <v>-1.385197E-2</v>
      </c>
      <c r="P829">
        <v>0.97354359999999995</v>
      </c>
      <c r="Q829">
        <v>0.2148526</v>
      </c>
      <c r="R829">
        <v>-7.7793200000000007E-2</v>
      </c>
      <c r="S829">
        <v>3.0634000000000001</v>
      </c>
      <c r="T829">
        <v>-8.3166240000000002E-2</v>
      </c>
      <c r="U829">
        <v>-0.45959470000000002</v>
      </c>
      <c r="V829">
        <v>6.4292760000000004E-2</v>
      </c>
      <c r="W829">
        <v>0.2252084</v>
      </c>
      <c r="X829">
        <v>0.97218700000000002</v>
      </c>
      <c r="Y829">
        <v>0.1345875</v>
      </c>
      <c r="Z829">
        <v>-2.3091930000000002E-3</v>
      </c>
      <c r="AA829">
        <v>0.99089899999999997</v>
      </c>
      <c r="AB829">
        <v>38</v>
      </c>
      <c r="AC829">
        <v>41.066699999999997</v>
      </c>
      <c r="AD829">
        <v>-1.12075153911</v>
      </c>
      <c r="AE829">
        <v>-6.1904999999999797</v>
      </c>
      <c r="AF829">
        <v>5.6169286537726899</v>
      </c>
      <c r="AG829">
        <v>-1.12075153911</v>
      </c>
      <c r="AH829">
        <v>41.1185703202772</v>
      </c>
      <c r="AI829">
        <v>91.546940841034299</v>
      </c>
      <c r="AJ829">
        <v>82.221358500286399</v>
      </c>
      <c r="AK829">
        <v>41.515572941940398</v>
      </c>
      <c r="AL829">
        <v>76.984866507493606</v>
      </c>
      <c r="AM829">
        <v>86.216419598389507</v>
      </c>
      <c r="AN829">
        <v>0.99999997269398799</v>
      </c>
    </row>
    <row r="830" spans="1:40" x14ac:dyDescent="0.25">
      <c r="A830" t="str">
        <f>"20190303170955588"</f>
        <v>20190303170955588</v>
      </c>
      <c r="B830" t="str">
        <f>"1551604195581561"</f>
        <v>1551604195581561</v>
      </c>
      <c r="C830" t="s">
        <v>40</v>
      </c>
      <c r="D830">
        <v>4.5837379999999897</v>
      </c>
      <c r="E830">
        <v>0.53476630000000003</v>
      </c>
      <c r="F830" t="s">
        <v>44</v>
      </c>
      <c r="G830">
        <v>-204.05510000000001</v>
      </c>
      <c r="H830" s="1">
        <v>-4.292861E-6</v>
      </c>
      <c r="I830">
        <v>361.43770000000001</v>
      </c>
      <c r="J830">
        <v>-245.4579</v>
      </c>
      <c r="K830">
        <v>1.1207400000000001</v>
      </c>
      <c r="L830">
        <v>367.7851</v>
      </c>
      <c r="M830">
        <v>0.99984770000000001</v>
      </c>
      <c r="N830">
        <v>-1.064238E-2</v>
      </c>
      <c r="O830">
        <v>-1.38359E-2</v>
      </c>
      <c r="P830">
        <v>0.97352749999999999</v>
      </c>
      <c r="Q830">
        <v>0.2149645</v>
      </c>
      <c r="R830">
        <v>-7.7684160000000002E-2</v>
      </c>
      <c r="S830">
        <v>3.0623779999999998</v>
      </c>
      <c r="T830">
        <v>-8.2451460000000004E-2</v>
      </c>
      <c r="U830">
        <v>-0.46719359999999999</v>
      </c>
      <c r="V830">
        <v>6.4199629999999994E-2</v>
      </c>
      <c r="W830">
        <v>0.22532550000000001</v>
      </c>
      <c r="X830">
        <v>0.97216610000000003</v>
      </c>
      <c r="Y830">
        <v>0.13705499999999901</v>
      </c>
      <c r="Z830">
        <v>-2.344016E-3</v>
      </c>
      <c r="AA830">
        <v>0.99056069999999996</v>
      </c>
      <c r="AB830">
        <v>38</v>
      </c>
      <c r="AC830">
        <v>41.4027999999999</v>
      </c>
      <c r="AD830">
        <v>-1.1207442928610001</v>
      </c>
      <c r="AE830">
        <v>-6.3473999999999897</v>
      </c>
      <c r="AF830">
        <v>5.7697842413010703</v>
      </c>
      <c r="AG830">
        <v>-1.1207442928610001</v>
      </c>
      <c r="AH830">
        <v>41.456983537482003</v>
      </c>
      <c r="AI830">
        <v>91.533775671592196</v>
      </c>
      <c r="AJ830">
        <v>82.076743600822297</v>
      </c>
      <c r="AK830">
        <v>41.871565076889603</v>
      </c>
      <c r="AL830">
        <v>76.977981193217701</v>
      </c>
      <c r="AM830">
        <v>86.221803355726806</v>
      </c>
      <c r="AN830">
        <v>1.0000000497157899</v>
      </c>
    </row>
    <row r="831" spans="1:40" x14ac:dyDescent="0.25">
      <c r="A831" t="str">
        <f>"20190303170955603"</f>
        <v>20190303170955603</v>
      </c>
      <c r="B831" t="str">
        <f>"1551604195591320"</f>
        <v>1551604195591320</v>
      </c>
      <c r="C831" t="s">
        <v>40</v>
      </c>
      <c r="D831">
        <v>4.4870679999999998</v>
      </c>
      <c r="E831">
        <v>0.53457519999999903</v>
      </c>
      <c r="F831" t="s">
        <v>44</v>
      </c>
      <c r="G831">
        <v>-204.13409999999999</v>
      </c>
      <c r="H831" s="1">
        <v>-4.3403270000000003E-6</v>
      </c>
      <c r="I831">
        <v>361.40289999999999</v>
      </c>
      <c r="J831">
        <v>-245.20060000000001</v>
      </c>
      <c r="K831">
        <v>1.120741</v>
      </c>
      <c r="L831">
        <v>367.78160000000003</v>
      </c>
      <c r="M831">
        <v>0.99984810000000002</v>
      </c>
      <c r="N831">
        <v>-1.064796E-2</v>
      </c>
      <c r="O831">
        <v>-1.381757E-2</v>
      </c>
      <c r="P831">
        <v>0.97356949999999998</v>
      </c>
      <c r="Q831">
        <v>0.21477399999999999</v>
      </c>
      <c r="R831">
        <v>-7.7688270000000004E-2</v>
      </c>
      <c r="S831">
        <v>3.0621800000000001</v>
      </c>
      <c r="T831">
        <v>-8.3049540000000005E-2</v>
      </c>
      <c r="U831">
        <v>-0.47293089999999999</v>
      </c>
      <c r="V831">
        <v>6.4221050000000002E-2</v>
      </c>
      <c r="W831">
        <v>0.2251406</v>
      </c>
      <c r="X831">
        <v>0.9722075</v>
      </c>
      <c r="Y831">
        <v>0.13889389999999999</v>
      </c>
      <c r="Z831">
        <v>-2.3899989999999999E-3</v>
      </c>
      <c r="AA831">
        <v>0.99030439999999997</v>
      </c>
      <c r="AB831">
        <v>38</v>
      </c>
      <c r="AC831">
        <v>41.066499999999998</v>
      </c>
      <c r="AD831">
        <v>-1.120745340327</v>
      </c>
      <c r="AE831">
        <v>-6.3787000000000296</v>
      </c>
      <c r="AF831">
        <v>5.8063970006216703</v>
      </c>
      <c r="AG831">
        <v>-1.120745340327</v>
      </c>
      <c r="AH831">
        <v>41.120816958806699</v>
      </c>
      <c r="AI831">
        <v>91.545878906057297</v>
      </c>
      <c r="AJ831">
        <v>81.962779461865594</v>
      </c>
      <c r="AK831">
        <v>41.543855184688603</v>
      </c>
      <c r="AL831">
        <v>76.988854287817503</v>
      </c>
      <c r="AM831">
        <v>86.220706901454506</v>
      </c>
      <c r="AN831">
        <v>1.0000000280438499</v>
      </c>
    </row>
    <row r="832" spans="1:40" x14ac:dyDescent="0.25">
      <c r="A832" t="str">
        <f>"20190303170955618"</f>
        <v>20190303170955618</v>
      </c>
      <c r="B832" t="str">
        <f>"1551604195611816"</f>
        <v>1551604195611816</v>
      </c>
      <c r="C832" t="s">
        <v>40</v>
      </c>
      <c r="D832">
        <v>4.7120439999999997</v>
      </c>
      <c r="E832">
        <v>0.53426989999999996</v>
      </c>
      <c r="F832" t="s">
        <v>44</v>
      </c>
      <c r="G832">
        <v>-204.3948</v>
      </c>
      <c r="H832" s="1">
        <v>-4.4498299999999997E-6</v>
      </c>
      <c r="I832">
        <v>361.50060000000002</v>
      </c>
      <c r="J832">
        <v>-244.94540000000001</v>
      </c>
      <c r="K832">
        <v>1.1207389999999999</v>
      </c>
      <c r="L832">
        <v>367.77800000000002</v>
      </c>
      <c r="M832">
        <v>0.99984799999999996</v>
      </c>
      <c r="N832">
        <v>-1.065319E-2</v>
      </c>
      <c r="O832">
        <v>-1.379913E-2</v>
      </c>
      <c r="P832">
        <v>0.97354819999999997</v>
      </c>
      <c r="Q832">
        <v>0.21487590000000001</v>
      </c>
      <c r="R832">
        <v>-7.7669210000000002E-2</v>
      </c>
      <c r="S832">
        <v>3.0623930000000001</v>
      </c>
      <c r="T832">
        <v>-8.4109660000000003E-2</v>
      </c>
      <c r="U832">
        <v>-0.47137449999999997</v>
      </c>
      <c r="V832">
        <v>6.4220399999999997E-2</v>
      </c>
      <c r="W832">
        <v>0.22524749999999999</v>
      </c>
      <c r="X832">
        <v>0.97218280000000001</v>
      </c>
      <c r="Y832">
        <v>0.1384089</v>
      </c>
      <c r="Z832">
        <v>-2.4005960000000001E-3</v>
      </c>
      <c r="AA832">
        <v>0.99037220000000004</v>
      </c>
      <c r="AB832">
        <v>38</v>
      </c>
      <c r="AC832">
        <v>40.550600000000003</v>
      </c>
      <c r="AD832">
        <v>-1.12074344983</v>
      </c>
      <c r="AE832">
        <v>-6.2774000000000001</v>
      </c>
      <c r="AF832">
        <v>5.71294566852192</v>
      </c>
      <c r="AG832">
        <v>-1.12074344983</v>
      </c>
      <c r="AH832">
        <v>40.6030767232279</v>
      </c>
      <c r="AI832">
        <v>91.565686782663803</v>
      </c>
      <c r="AJ832">
        <v>81.990928960244801</v>
      </c>
      <c r="AK832">
        <v>41.018333138782602</v>
      </c>
      <c r="AL832">
        <v>76.982568138638598</v>
      </c>
      <c r="AM832">
        <v>86.220649301637806</v>
      </c>
      <c r="AN832">
        <v>1.0000000463241201</v>
      </c>
    </row>
    <row r="833" spans="1:40" x14ac:dyDescent="0.25">
      <c r="A833" t="str">
        <f>"20190303170955637"</f>
        <v>20190303170955637</v>
      </c>
      <c r="B833" t="str">
        <f>"1551604195621576"</f>
        <v>1551604195621576</v>
      </c>
      <c r="C833" t="s">
        <v>40</v>
      </c>
      <c r="D833">
        <v>4.4868499999999996</v>
      </c>
      <c r="E833">
        <v>0.5339121</v>
      </c>
      <c r="F833" t="s">
        <v>44</v>
      </c>
      <c r="G833">
        <v>-204.2509</v>
      </c>
      <c r="H833" s="1">
        <v>-4.3672670000000002E-6</v>
      </c>
      <c r="I833">
        <v>361.54649999999998</v>
      </c>
      <c r="J833">
        <v>-244.63210000000001</v>
      </c>
      <c r="K833">
        <v>1.120738</v>
      </c>
      <c r="L833">
        <v>367.77370000000002</v>
      </c>
      <c r="M833">
        <v>0.99984839999999997</v>
      </c>
      <c r="N833">
        <v>-1.065924E-2</v>
      </c>
      <c r="O833">
        <v>-1.3776389999999999E-2</v>
      </c>
      <c r="P833">
        <v>0.97365179999999996</v>
      </c>
      <c r="Q833">
        <v>0.2146015</v>
      </c>
      <c r="R833">
        <v>-7.7126120000000006E-2</v>
      </c>
      <c r="S833">
        <v>3.0627140000000002</v>
      </c>
      <c r="T833">
        <v>-8.4348439999999997E-2</v>
      </c>
      <c r="U833">
        <v>-0.46899410000000002</v>
      </c>
      <c r="V833">
        <v>6.3698290000000005E-2</v>
      </c>
      <c r="W833">
        <v>0.22498029999999999</v>
      </c>
      <c r="X833">
        <v>0.972279</v>
      </c>
      <c r="Y833">
        <v>0.13766389999999901</v>
      </c>
      <c r="Z833">
        <v>-2.3914779999999998E-3</v>
      </c>
      <c r="AA833">
        <v>0.99047609999999997</v>
      </c>
      <c r="AB833">
        <v>38</v>
      </c>
      <c r="AC833">
        <v>40.3812</v>
      </c>
      <c r="AD833">
        <v>-1.1207423672669901</v>
      </c>
      <c r="AE833">
        <v>-6.22720000000003</v>
      </c>
      <c r="AF833">
        <v>5.6660071984572298</v>
      </c>
      <c r="AG833">
        <v>-1.1207423672669901</v>
      </c>
      <c r="AH833">
        <v>40.432739223642201</v>
      </c>
      <c r="AI833">
        <v>91.572400931548202</v>
      </c>
      <c r="AJ833">
        <v>82.022851749081397</v>
      </c>
      <c r="AK833">
        <v>40.843189177068602</v>
      </c>
      <c r="AL833">
        <v>76.998280670830098</v>
      </c>
      <c r="AM833">
        <v>86.251657195363094</v>
      </c>
      <c r="AN833">
        <v>1.000000030689</v>
      </c>
    </row>
    <row r="834" spans="1:40" x14ac:dyDescent="0.25">
      <c r="A834" t="str">
        <f>"20190303170955659"</f>
        <v>20190303170955659</v>
      </c>
      <c r="B834" t="str">
        <f>"1551604195651832"</f>
        <v>1551604195651832</v>
      </c>
      <c r="C834" t="s">
        <v>40</v>
      </c>
      <c r="D834">
        <v>4.6371919999999998</v>
      </c>
      <c r="E834">
        <v>0.53403109999999998</v>
      </c>
      <c r="F834" t="s">
        <v>44</v>
      </c>
      <c r="G834">
        <v>-204.15729999999999</v>
      </c>
      <c r="H834" s="1">
        <v>-4.3006099999999998E-6</v>
      </c>
      <c r="I834">
        <v>361.63459999999998</v>
      </c>
      <c r="J834">
        <v>-244.2422</v>
      </c>
      <c r="K834">
        <v>1.1207339999999999</v>
      </c>
      <c r="L834">
        <v>367.76839999999999</v>
      </c>
      <c r="M834">
        <v>0.99984870000000003</v>
      </c>
      <c r="N834">
        <v>-1.0666770000000001E-2</v>
      </c>
      <c r="O834">
        <v>-1.374854E-2</v>
      </c>
      <c r="P834">
        <v>0.9737169</v>
      </c>
      <c r="Q834">
        <v>0.21446280000000001</v>
      </c>
      <c r="R834">
        <v>-7.6690419999999995E-2</v>
      </c>
      <c r="S834">
        <v>3.0630799999999998</v>
      </c>
      <c r="T834">
        <v>-8.4816219999999998E-2</v>
      </c>
      <c r="U834">
        <v>-0.4645996</v>
      </c>
      <c r="V834">
        <v>6.3288759999999999E-2</v>
      </c>
      <c r="W834">
        <v>0.22484889999999999</v>
      </c>
      <c r="X834">
        <v>0.97233610000000004</v>
      </c>
      <c r="Y834">
        <v>0.13628489999999999</v>
      </c>
      <c r="Z834">
        <v>-2.374471E-3</v>
      </c>
      <c r="AA834">
        <v>0.99066679999999996</v>
      </c>
      <c r="AB834">
        <v>38</v>
      </c>
      <c r="AC834">
        <v>40.084899999999998</v>
      </c>
      <c r="AD834">
        <v>-1.12073830061</v>
      </c>
      <c r="AE834">
        <v>-6.1337999999999999</v>
      </c>
      <c r="AF834">
        <v>5.5778195611309602</v>
      </c>
      <c r="AG834">
        <v>-1.12073830061</v>
      </c>
      <c r="AH834">
        <v>40.134790469272701</v>
      </c>
      <c r="AI834">
        <v>91.5843130699932</v>
      </c>
      <c r="AJ834">
        <v>82.087874998746997</v>
      </c>
      <c r="AK834">
        <v>40.536027573103603</v>
      </c>
      <c r="AL834">
        <v>77.006006808031799</v>
      </c>
      <c r="AM834">
        <v>86.275906147292901</v>
      </c>
      <c r="AN834">
        <v>0.99999999316837795</v>
      </c>
    </row>
    <row r="835" spans="1:40" x14ac:dyDescent="0.25">
      <c r="A835" t="str">
        <f>"20190303170955671"</f>
        <v>20190303170955671</v>
      </c>
      <c r="B835" t="str">
        <f>"1551604195661592"</f>
        <v>1551604195661592</v>
      </c>
      <c r="C835" t="s">
        <v>40</v>
      </c>
      <c r="D835">
        <v>4.6338400000000002</v>
      </c>
      <c r="E835">
        <v>0.53434569999999904</v>
      </c>
      <c r="F835" t="s">
        <v>44</v>
      </c>
      <c r="G835">
        <v>-204.95650000000001</v>
      </c>
      <c r="H835" s="1">
        <v>-4.664256E-6</v>
      </c>
      <c r="I835">
        <v>361.80829999999997</v>
      </c>
      <c r="J835">
        <v>-244.03309999999999</v>
      </c>
      <c r="K835">
        <v>1.1207339999999999</v>
      </c>
      <c r="L835">
        <v>367.76549999999997</v>
      </c>
      <c r="M835">
        <v>0.99984879999999998</v>
      </c>
      <c r="N835">
        <v>-1.067305E-2</v>
      </c>
      <c r="O835">
        <v>-1.3733779999999999E-2</v>
      </c>
      <c r="P835">
        <v>0.97376180000000001</v>
      </c>
      <c r="Q835">
        <v>0.21440210000000001</v>
      </c>
      <c r="R835">
        <v>-7.6289179999999998E-2</v>
      </c>
      <c r="S835">
        <v>3.0636290000000002</v>
      </c>
      <c r="T835">
        <v>-8.7398770000000001E-2</v>
      </c>
      <c r="U835">
        <v>-0.46478269999999999</v>
      </c>
      <c r="V835">
        <v>6.2901180000000001E-2</v>
      </c>
      <c r="W835">
        <v>0.22479489999999999</v>
      </c>
      <c r="X835">
        <v>0.97237370000000001</v>
      </c>
      <c r="Y835">
        <v>0.13632749999999999</v>
      </c>
      <c r="Z835">
        <v>-2.4213870000000001E-3</v>
      </c>
      <c r="AA835">
        <v>0.99066080000000001</v>
      </c>
      <c r="AB835">
        <v>38</v>
      </c>
      <c r="AC835">
        <v>39.0765999999999</v>
      </c>
      <c r="AD835">
        <v>-1.120738664256</v>
      </c>
      <c r="AE835">
        <v>-5.9572000000000003</v>
      </c>
      <c r="AF835">
        <v>5.4155845984756201</v>
      </c>
      <c r="AG835">
        <v>-1.120738664256</v>
      </c>
      <c r="AH835">
        <v>39.123282818565499</v>
      </c>
      <c r="AI835">
        <v>91.625375690617801</v>
      </c>
      <c r="AJ835">
        <v>82.118995031589805</v>
      </c>
      <c r="AK835">
        <v>39.512224313473702</v>
      </c>
      <c r="AL835">
        <v>77.009181615299497</v>
      </c>
      <c r="AM835">
        <v>86.298791610814504</v>
      </c>
      <c r="AN835">
        <v>0.99999995898154503</v>
      </c>
    </row>
    <row r="836" spans="1:40" x14ac:dyDescent="0.25">
      <c r="A836" t="str">
        <f>"20190303170955685"</f>
        <v>20190303170955685</v>
      </c>
      <c r="B836" t="str">
        <f>"1551604195671353"</f>
        <v>1551604195671353</v>
      </c>
      <c r="C836" t="s">
        <v>40</v>
      </c>
      <c r="D836">
        <v>4.5744220000000002</v>
      </c>
      <c r="E836">
        <v>0.53452449999999996</v>
      </c>
      <c r="F836" t="s">
        <v>44</v>
      </c>
      <c r="G836">
        <v>-205.20189999999999</v>
      </c>
      <c r="H836" s="1">
        <v>-4.7699410000000003E-6</v>
      </c>
      <c r="I836">
        <v>361.8546</v>
      </c>
      <c r="J836">
        <v>-243.80600000000001</v>
      </c>
      <c r="K836">
        <v>1.120743</v>
      </c>
      <c r="L836">
        <v>367.76240000000001</v>
      </c>
      <c r="M836">
        <v>0.99984890000000004</v>
      </c>
      <c r="N836">
        <v>-1.068296E-2</v>
      </c>
      <c r="O836">
        <v>-1.3717979999999999E-2</v>
      </c>
      <c r="P836">
        <v>0.97369620000000001</v>
      </c>
      <c r="Q836">
        <v>0.2147326</v>
      </c>
      <c r="R836">
        <v>-7.6197920000000002E-2</v>
      </c>
      <c r="S836">
        <v>3.0637509999999999</v>
      </c>
      <c r="T836">
        <v>-8.8425399999999904E-2</v>
      </c>
      <c r="U836">
        <v>-0.4663696</v>
      </c>
      <c r="V836">
        <v>6.2826300000000002E-2</v>
      </c>
      <c r="W836">
        <v>0.2251341</v>
      </c>
      <c r="X836">
        <v>0.9723001</v>
      </c>
      <c r="Y836">
        <v>0.13683709999999999</v>
      </c>
      <c r="Z836">
        <v>-2.4505669999999998E-3</v>
      </c>
      <c r="AA836">
        <v>0.99059050000000004</v>
      </c>
      <c r="AB836">
        <v>38</v>
      </c>
      <c r="AC836">
        <v>38.604099999999903</v>
      </c>
      <c r="AD836">
        <v>-1.120747769941</v>
      </c>
      <c r="AE836">
        <v>-5.9077999999999999</v>
      </c>
      <c r="AF836">
        <v>5.3732184127082396</v>
      </c>
      <c r="AG836">
        <v>-1.120747769941</v>
      </c>
      <c r="AH836">
        <v>38.649684479525099</v>
      </c>
      <c r="AI836">
        <v>91.645160610801199</v>
      </c>
      <c r="AJ836">
        <v>82.085264928731505</v>
      </c>
      <c r="AK836">
        <v>39.037490468027499</v>
      </c>
      <c r="AL836">
        <v>76.989236095388193</v>
      </c>
      <c r="AM836">
        <v>86.3029063861959</v>
      </c>
      <c r="AN836">
        <v>0.99999999570725495</v>
      </c>
    </row>
    <row r="837" spans="1:40" x14ac:dyDescent="0.25">
      <c r="A837" t="str">
        <f>"20190303170955698"</f>
        <v>20190303170955698</v>
      </c>
      <c r="B837" t="str">
        <f>"1551604195691849"</f>
        <v>1551604195691849</v>
      </c>
      <c r="C837" t="s">
        <v>40</v>
      </c>
      <c r="D837">
        <v>4.6132150000000003</v>
      </c>
      <c r="E837">
        <v>0.53486210000000001</v>
      </c>
      <c r="F837" t="s">
        <v>44</v>
      </c>
      <c r="G837">
        <v>-205.02930000000001</v>
      </c>
      <c r="H837" s="1">
        <v>-4.6913259999999997E-6</v>
      </c>
      <c r="I837">
        <v>361.84660000000002</v>
      </c>
      <c r="J837">
        <v>-243.5823</v>
      </c>
      <c r="K837">
        <v>1.1207469999999999</v>
      </c>
      <c r="L837">
        <v>367.75940000000003</v>
      </c>
      <c r="M837">
        <v>0.99984890000000004</v>
      </c>
      <c r="N837">
        <v>-1.069545E-2</v>
      </c>
      <c r="O837">
        <v>-1.370207E-2</v>
      </c>
      <c r="P837">
        <v>0.97369459999999997</v>
      </c>
      <c r="Q837">
        <v>0.2147887</v>
      </c>
      <c r="R837">
        <v>-7.6056789999999999E-2</v>
      </c>
      <c r="S837">
        <v>3.063965</v>
      </c>
      <c r="T837">
        <v>-8.8556650000000001E-2</v>
      </c>
      <c r="U837">
        <v>-0.46743770000000001</v>
      </c>
      <c r="V837">
        <v>6.2700489999999998E-2</v>
      </c>
      <c r="W837">
        <v>0.22520290000000001</v>
      </c>
      <c r="X837">
        <v>0.9722923</v>
      </c>
      <c r="Y837">
        <v>0.13717960000000001</v>
      </c>
      <c r="Z837">
        <v>-2.4608439999999998E-3</v>
      </c>
      <c r="AA837">
        <v>0.99054310000000001</v>
      </c>
      <c r="AB837">
        <v>38</v>
      </c>
      <c r="AC837">
        <v>38.552999999999997</v>
      </c>
      <c r="AD837">
        <v>-1.1207516913259901</v>
      </c>
      <c r="AE837">
        <v>-5.9127999999999998</v>
      </c>
      <c r="AF837">
        <v>5.3795170302649398</v>
      </c>
      <c r="AG837">
        <v>-1.1207516913259901</v>
      </c>
      <c r="AH837">
        <v>38.598532984525498</v>
      </c>
      <c r="AI837">
        <v>91.647267262252299</v>
      </c>
      <c r="AJ837">
        <v>82.065737617381004</v>
      </c>
      <c r="AK837">
        <v>38.987716480835601</v>
      </c>
      <c r="AL837">
        <v>76.985190398950607</v>
      </c>
      <c r="AM837">
        <v>86.310259845928798</v>
      </c>
      <c r="AN837">
        <v>1.0000000071269699</v>
      </c>
    </row>
    <row r="838" spans="1:40" x14ac:dyDescent="0.25">
      <c r="A838" t="str">
        <f>"20190303170955710"</f>
        <v>20190303170955710</v>
      </c>
      <c r="B838" t="str">
        <f>"1551604195701608"</f>
        <v>1551604195701608</v>
      </c>
      <c r="C838" t="s">
        <v>40</v>
      </c>
      <c r="D838">
        <v>4.5953689999999998</v>
      </c>
      <c r="E838">
        <v>0.53492839999999997</v>
      </c>
      <c r="F838" t="s">
        <v>44</v>
      </c>
      <c r="G838">
        <v>-206.13640000000001</v>
      </c>
      <c r="H838" s="1">
        <v>-5.1677880000000004E-6</v>
      </c>
      <c r="I838">
        <v>362.02370000000002</v>
      </c>
      <c r="J838">
        <v>-243.36959999999999</v>
      </c>
      <c r="K838">
        <v>1.120752</v>
      </c>
      <c r="L838">
        <v>367.75639999999999</v>
      </c>
      <c r="M838">
        <v>0.99984890000000004</v>
      </c>
      <c r="N838">
        <v>-1.0713200000000001E-2</v>
      </c>
      <c r="O838">
        <v>-1.3687380000000001E-2</v>
      </c>
      <c r="P838">
        <v>0.97378980000000004</v>
      </c>
      <c r="Q838">
        <v>0.21436530000000001</v>
      </c>
      <c r="R838">
        <v>-7.6032180000000005E-2</v>
      </c>
      <c r="S838">
        <v>3.0646360000000001</v>
      </c>
      <c r="T838">
        <v>-9.1724280000000005E-2</v>
      </c>
      <c r="U838">
        <v>-0.46942139999999999</v>
      </c>
      <c r="V838">
        <v>6.2688930000000004E-2</v>
      </c>
      <c r="W838">
        <v>0.22479769999999999</v>
      </c>
      <c r="X838">
        <v>0.9723868</v>
      </c>
      <c r="Y838">
        <v>0.137783399999999</v>
      </c>
      <c r="Z838">
        <v>-2.5308179999999998E-3</v>
      </c>
      <c r="AA838">
        <v>0.99045910000000004</v>
      </c>
      <c r="AB838">
        <v>38</v>
      </c>
      <c r="AC838">
        <v>37.233199999999897</v>
      </c>
      <c r="AD838">
        <v>-1.1207571677879999</v>
      </c>
      <c r="AE838">
        <v>-5.7326999999999604</v>
      </c>
      <c r="AF838">
        <v>5.2178903993261496</v>
      </c>
      <c r="AG838">
        <v>-1.1207571677879999</v>
      </c>
      <c r="AH838">
        <v>37.2751899980898</v>
      </c>
      <c r="AI838">
        <v>91.705579975795203</v>
      </c>
      <c r="AJ838">
        <v>82.031348714531603</v>
      </c>
      <c r="AK838">
        <v>37.655308606386697</v>
      </c>
      <c r="AL838">
        <v>77.009017493502199</v>
      </c>
      <c r="AM838">
        <v>86.311295765599496</v>
      </c>
      <c r="AN838">
        <v>0.99999999834203701</v>
      </c>
    </row>
    <row r="839" spans="1:40" x14ac:dyDescent="0.25">
      <c r="A839" t="str">
        <f>"20190303170955726"</f>
        <v>20190303170955726</v>
      </c>
      <c r="B839" t="str">
        <f>"1551604195711368"</f>
        <v>1551604195711368</v>
      </c>
      <c r="C839" t="s">
        <v>40</v>
      </c>
      <c r="D839">
        <v>4.6614529999999998</v>
      </c>
      <c r="E839">
        <v>0.53517590000000004</v>
      </c>
      <c r="F839" t="s">
        <v>44</v>
      </c>
      <c r="G839">
        <v>-206.79849999999999</v>
      </c>
      <c r="H839" s="1">
        <v>-5.378216E-6</v>
      </c>
      <c r="I839">
        <v>362.15870000000001</v>
      </c>
      <c r="J839">
        <v>-243.12880000000001</v>
      </c>
      <c r="K839">
        <v>1.1207609999999999</v>
      </c>
      <c r="L839">
        <v>367.75319999999999</v>
      </c>
      <c r="M839">
        <v>0.99984910000000005</v>
      </c>
      <c r="N839">
        <v>-1.0737190000000001E-2</v>
      </c>
      <c r="O839">
        <v>-1.3670460000000001E-2</v>
      </c>
      <c r="P839">
        <v>0.97391499999999998</v>
      </c>
      <c r="Q839">
        <v>0.2138881</v>
      </c>
      <c r="R839">
        <v>-7.5774149999999998E-2</v>
      </c>
      <c r="S839">
        <v>3.0648040000000001</v>
      </c>
      <c r="T839">
        <v>-9.3923930000000003E-2</v>
      </c>
      <c r="U839">
        <v>-0.46911619999999998</v>
      </c>
      <c r="V839">
        <v>6.2445720000000003E-2</v>
      </c>
      <c r="W839">
        <v>0.22434470000000001</v>
      </c>
      <c r="X839">
        <v>0.97250709999999996</v>
      </c>
      <c r="Y839">
        <v>0.13769239999999999</v>
      </c>
      <c r="Z839">
        <v>-2.5705580000000001E-3</v>
      </c>
      <c r="AA839">
        <v>0.99047169999999896</v>
      </c>
      <c r="AB839">
        <v>38</v>
      </c>
      <c r="AC839">
        <v>36.330300000000001</v>
      </c>
      <c r="AD839">
        <v>-1.120766378216</v>
      </c>
      <c r="AE839">
        <v>-5.5944999999999796</v>
      </c>
      <c r="AF839">
        <v>5.0925624727592096</v>
      </c>
      <c r="AG839">
        <v>-1.120766378216</v>
      </c>
      <c r="AH839">
        <v>36.369577948048999</v>
      </c>
      <c r="AI839">
        <v>91.748028180593707</v>
      </c>
      <c r="AJ839">
        <v>82.029120223196799</v>
      </c>
      <c r="AK839">
        <v>36.741482141208003</v>
      </c>
      <c r="AL839">
        <v>77.035653305778496</v>
      </c>
      <c r="AM839">
        <v>86.326020585551205</v>
      </c>
      <c r="AN839">
        <v>1.0000000359573999</v>
      </c>
    </row>
    <row r="840" spans="1:40" x14ac:dyDescent="0.25">
      <c r="A840" t="str">
        <f>"20190303170955737"</f>
        <v>20190303170955737</v>
      </c>
      <c r="B840" t="str">
        <f>"1551604195731864"</f>
        <v>1551604195731864</v>
      </c>
      <c r="C840" t="s">
        <v>40</v>
      </c>
      <c r="D840">
        <v>4.6038259999999998</v>
      </c>
      <c r="E840">
        <v>0.53538039999999998</v>
      </c>
      <c r="F840" t="s">
        <v>44</v>
      </c>
      <c r="G840">
        <v>-207.38499999999999</v>
      </c>
      <c r="H840" s="1">
        <v>-5.5575779999999998E-6</v>
      </c>
      <c r="I840">
        <v>362.2672</v>
      </c>
      <c r="J840">
        <v>-242.92080000000001</v>
      </c>
      <c r="K840">
        <v>1.1207659999999999</v>
      </c>
      <c r="L840">
        <v>367.75040000000001</v>
      </c>
      <c r="M840">
        <v>0.99984899999999999</v>
      </c>
      <c r="N840">
        <v>-1.0760219999999999E-2</v>
      </c>
      <c r="O840">
        <v>-1.3655560000000001E-2</v>
      </c>
      <c r="P840">
        <v>0.97400149999999996</v>
      </c>
      <c r="Q840">
        <v>0.2135244</v>
      </c>
      <c r="R840">
        <v>-7.5689099999999995E-2</v>
      </c>
      <c r="S840">
        <v>3.0648499999999999</v>
      </c>
      <c r="T840">
        <v>-9.6099970000000007E-2</v>
      </c>
      <c r="U840">
        <v>-0.47039789999999998</v>
      </c>
      <c r="V840">
        <v>6.2374020000000002E-2</v>
      </c>
      <c r="W840">
        <v>0.2240045</v>
      </c>
      <c r="X840">
        <v>0.97259010000000001</v>
      </c>
      <c r="Y840">
        <v>0.13810600000000001</v>
      </c>
      <c r="Z840">
        <v>-2.620327E-3</v>
      </c>
      <c r="AA840">
        <v>0.99041400000000002</v>
      </c>
      <c r="AB840">
        <v>38</v>
      </c>
      <c r="AC840">
        <v>35.535800000000002</v>
      </c>
      <c r="AD840">
        <v>-1.120771557578</v>
      </c>
      <c r="AE840">
        <v>-5.4832000000000098</v>
      </c>
      <c r="AF840">
        <v>4.99254869104651</v>
      </c>
      <c r="AG840">
        <v>-1.120771557578</v>
      </c>
      <c r="AH840">
        <v>35.572804503858002</v>
      </c>
      <c r="AI840">
        <v>91.787084592642302</v>
      </c>
      <c r="AJ840">
        <v>82.010871664854506</v>
      </c>
      <c r="AK840">
        <v>35.938921680908102</v>
      </c>
      <c r="AL840">
        <v>77.055654146809601</v>
      </c>
      <c r="AM840">
        <v>86.330539823714801</v>
      </c>
      <c r="AN840">
        <v>1.0000000185046101</v>
      </c>
    </row>
    <row r="841" spans="1:40" x14ac:dyDescent="0.25">
      <c r="A841" t="str">
        <f>"20190303170955750"</f>
        <v>20190303170955750</v>
      </c>
      <c r="B841" t="str">
        <f>"1551604195741625"</f>
        <v>1551604195741625</v>
      </c>
      <c r="C841" t="s">
        <v>40</v>
      </c>
      <c r="D841">
        <v>4.5992559999999996</v>
      </c>
      <c r="E841">
        <v>0.53545699999999996</v>
      </c>
      <c r="F841" t="s">
        <v>44</v>
      </c>
      <c r="G841">
        <v>-207.99469999999999</v>
      </c>
      <c r="H841" s="1">
        <v>-5.7455079999999997E-6</v>
      </c>
      <c r="I841">
        <v>362.37060000000002</v>
      </c>
      <c r="J841">
        <v>-242.6892</v>
      </c>
      <c r="K841">
        <v>1.1207689999999999</v>
      </c>
      <c r="L841">
        <v>367.74720000000002</v>
      </c>
      <c r="M841">
        <v>0.99984879999999998</v>
      </c>
      <c r="N841">
        <v>-1.0789389999999999E-2</v>
      </c>
      <c r="O841">
        <v>-1.3638549999999999E-2</v>
      </c>
      <c r="P841">
        <v>0.97406079999999995</v>
      </c>
      <c r="Q841">
        <v>0.21338850000000001</v>
      </c>
      <c r="R841">
        <v>-7.5304029999999994E-2</v>
      </c>
      <c r="S841">
        <v>3.0649869999999999</v>
      </c>
      <c r="T841">
        <v>-9.8354700000000003E-2</v>
      </c>
      <c r="U841">
        <v>-0.4721069</v>
      </c>
      <c r="V841">
        <v>6.200493E-2</v>
      </c>
      <c r="W841">
        <v>0.2238976</v>
      </c>
      <c r="X841">
        <v>0.97263829999999996</v>
      </c>
      <c r="Y841">
        <v>0.13865179999999999</v>
      </c>
      <c r="Z841">
        <v>-2.6751460000000002E-3</v>
      </c>
      <c r="AA841">
        <v>0.99033760000000004</v>
      </c>
      <c r="AB841">
        <v>38</v>
      </c>
      <c r="AC841">
        <v>34.694499999999998</v>
      </c>
      <c r="AD841">
        <v>-1.1207747455079999</v>
      </c>
      <c r="AE841">
        <v>-5.3765999999999901</v>
      </c>
      <c r="AF841">
        <v>4.8978983045243201</v>
      </c>
      <c r="AG841">
        <v>-1.1207747455079999</v>
      </c>
      <c r="AH841">
        <v>34.729214115075898</v>
      </c>
      <c r="AI841">
        <v>91.830297278829704</v>
      </c>
      <c r="AJ841">
        <v>81.972457372669396</v>
      </c>
      <c r="AK841">
        <v>35.090794474939102</v>
      </c>
      <c r="AL841">
        <v>77.061938507813593</v>
      </c>
      <c r="AM841">
        <v>86.352374848740098</v>
      </c>
      <c r="AN841">
        <v>1.0000000046284701</v>
      </c>
    </row>
    <row r="842" spans="1:40" x14ac:dyDescent="0.25">
      <c r="A842" t="str">
        <f>"20190303170955764"</f>
        <v>20190303170955764</v>
      </c>
      <c r="B842" t="str">
        <f>"1551604195751384"</f>
        <v>1551604195751384</v>
      </c>
      <c r="C842" t="s">
        <v>40</v>
      </c>
      <c r="D842">
        <v>4.6172279999999999</v>
      </c>
      <c r="E842">
        <v>0.53556329999999996</v>
      </c>
      <c r="F842" t="s">
        <v>44</v>
      </c>
      <c r="G842">
        <v>-208.25649999999999</v>
      </c>
      <c r="H842" s="1">
        <v>-5.8199799999999996E-6</v>
      </c>
      <c r="I842">
        <v>362.45499999999998</v>
      </c>
      <c r="J842">
        <v>-242.4846</v>
      </c>
      <c r="K842">
        <v>1.120768</v>
      </c>
      <c r="L842">
        <v>367.74439999999998</v>
      </c>
      <c r="M842">
        <v>0.99984879999999998</v>
      </c>
      <c r="N842">
        <v>-1.081532E-2</v>
      </c>
      <c r="O842">
        <v>-1.3624030000000001E-2</v>
      </c>
      <c r="P842">
        <v>0.97405839999999999</v>
      </c>
      <c r="Q842">
        <v>0.2133438</v>
      </c>
      <c r="R842">
        <v>-7.546477E-2</v>
      </c>
      <c r="S842">
        <v>3.0653079999999999</v>
      </c>
      <c r="T842">
        <v>-9.9774719999999997E-2</v>
      </c>
      <c r="U842">
        <v>-0.4711304</v>
      </c>
      <c r="V842">
        <v>6.2179720000000001E-2</v>
      </c>
      <c r="W842">
        <v>0.2238781</v>
      </c>
      <c r="X842">
        <v>0.97263160000000004</v>
      </c>
      <c r="Y842">
        <v>0.138340299999999</v>
      </c>
      <c r="Z842">
        <v>-2.696366E-3</v>
      </c>
      <c r="AA842">
        <v>0.99038110000000001</v>
      </c>
      <c r="AB842">
        <v>38</v>
      </c>
      <c r="AC842">
        <v>34.228099999999998</v>
      </c>
      <c r="AD842">
        <v>-1.1207738199799999</v>
      </c>
      <c r="AE842">
        <v>-5.2893999999999997</v>
      </c>
      <c r="AF842">
        <v>4.81751233893183</v>
      </c>
      <c r="AG842">
        <v>-1.1207738199799999</v>
      </c>
      <c r="AH842">
        <v>34.261112498174803</v>
      </c>
      <c r="AI842">
        <v>91.855392686514705</v>
      </c>
      <c r="AJ842">
        <v>81.996019931221696</v>
      </c>
      <c r="AK842">
        <v>34.616302354582899</v>
      </c>
      <c r="AL842">
        <v>77.063084489885696</v>
      </c>
      <c r="AM842">
        <v>86.342095054018898</v>
      </c>
      <c r="AN842">
        <v>0.99999997527872397</v>
      </c>
    </row>
    <row r="843" spans="1:40" x14ac:dyDescent="0.25">
      <c r="A843" t="str">
        <f>"20190303170955777"</f>
        <v>20190303170955777</v>
      </c>
      <c r="B843" t="str">
        <f>"1551604195771880"</f>
        <v>1551604195771880</v>
      </c>
      <c r="C843" t="s">
        <v>40</v>
      </c>
      <c r="D843">
        <v>4.6340469999999998</v>
      </c>
      <c r="E843">
        <v>0.53569009999999995</v>
      </c>
      <c r="F843" t="s">
        <v>44</v>
      </c>
      <c r="G843">
        <v>-208.3372</v>
      </c>
      <c r="H843" s="1">
        <v>-5.8427720000000003E-6</v>
      </c>
      <c r="I843">
        <v>362.4821</v>
      </c>
      <c r="J843">
        <v>-242.25460000000001</v>
      </c>
      <c r="K843">
        <v>1.120773</v>
      </c>
      <c r="L843">
        <v>367.74130000000002</v>
      </c>
      <c r="M843">
        <v>0.99984870000000003</v>
      </c>
      <c r="N843">
        <v>-1.0844609999999999E-2</v>
      </c>
      <c r="O843">
        <v>-1.360773E-2</v>
      </c>
      <c r="P843">
        <v>0.97405350000000002</v>
      </c>
      <c r="Q843">
        <v>0.21330959999999999</v>
      </c>
      <c r="R843">
        <v>-7.5622850000000005E-2</v>
      </c>
      <c r="S843">
        <v>3.0653229999999998</v>
      </c>
      <c r="T843">
        <v>-0.1006092</v>
      </c>
      <c r="U843">
        <v>-0.47238160000000001</v>
      </c>
      <c r="V843">
        <v>6.2353760000000001E-2</v>
      </c>
      <c r="W843">
        <v>0.2238725</v>
      </c>
      <c r="X843">
        <v>0.97262179999999998</v>
      </c>
      <c r="Y843">
        <v>0.13874890000000001</v>
      </c>
      <c r="Z843">
        <v>-2.72303E-3</v>
      </c>
      <c r="AA843">
        <v>0.99032379999999998</v>
      </c>
      <c r="AB843">
        <v>38</v>
      </c>
      <c r="AC843">
        <v>33.917400000000001</v>
      </c>
      <c r="AD843">
        <v>-1.120778842772</v>
      </c>
      <c r="AE843">
        <v>-5.2592000000000203</v>
      </c>
      <c r="AF843">
        <v>4.7920373643968999</v>
      </c>
      <c r="AG843">
        <v>-1.120778842772</v>
      </c>
      <c r="AH843">
        <v>33.9496289732216</v>
      </c>
      <c r="AI843">
        <v>91.872272505160794</v>
      </c>
      <c r="AJ843">
        <v>81.965698150897893</v>
      </c>
      <c r="AK843">
        <v>34.304476016047602</v>
      </c>
      <c r="AL843">
        <v>77.063414379664195</v>
      </c>
      <c r="AM843">
        <v>86.331847694546695</v>
      </c>
      <c r="AN843">
        <v>1.0000000267388101</v>
      </c>
    </row>
    <row r="844" spans="1:40" x14ac:dyDescent="0.25">
      <c r="A844" t="str">
        <f>"20190303170955792"</f>
        <v>20190303170955792</v>
      </c>
      <c r="B844" t="str">
        <f>"1551604195781641"</f>
        <v>1551604195781641</v>
      </c>
      <c r="C844" t="s">
        <v>40</v>
      </c>
      <c r="D844">
        <v>4.6189900000000002</v>
      </c>
      <c r="E844">
        <v>0.53586789999999995</v>
      </c>
      <c r="F844" t="s">
        <v>44</v>
      </c>
      <c r="G844">
        <v>-208.41</v>
      </c>
      <c r="H844" s="1">
        <v>-5.8624249999999899E-6</v>
      </c>
      <c r="I844">
        <v>362.51229999999998</v>
      </c>
      <c r="J844">
        <v>-241.9991</v>
      </c>
      <c r="K844">
        <v>1.120773</v>
      </c>
      <c r="L844">
        <v>367.73779999999999</v>
      </c>
      <c r="M844">
        <v>0.99984850000000003</v>
      </c>
      <c r="N844">
        <v>-1.087889E-2</v>
      </c>
      <c r="O844">
        <v>-1.358968E-2</v>
      </c>
      <c r="P844">
        <v>0.97408930000000005</v>
      </c>
      <c r="Q844">
        <v>0.21299309999999999</v>
      </c>
      <c r="R844">
        <v>-7.6055230000000001E-2</v>
      </c>
      <c r="S844">
        <v>3.0653839999999999</v>
      </c>
      <c r="T844">
        <v>-0.1015115</v>
      </c>
      <c r="U844">
        <v>-0.47360229999999998</v>
      </c>
      <c r="V844">
        <v>6.2803059999999994E-2</v>
      </c>
      <c r="W844">
        <v>0.2235895</v>
      </c>
      <c r="X844">
        <v>0.97265800000000002</v>
      </c>
      <c r="Y844">
        <v>0.1391472</v>
      </c>
      <c r="Z844">
        <v>-2.751257E-3</v>
      </c>
      <c r="AA844">
        <v>0.99026789999999998</v>
      </c>
      <c r="AB844">
        <v>38</v>
      </c>
      <c r="AC844">
        <v>33.589100000000002</v>
      </c>
      <c r="AD844">
        <v>-1.1207788624249999</v>
      </c>
      <c r="AE844">
        <v>-5.22550000000001</v>
      </c>
      <c r="AF844">
        <v>4.7633471876235198</v>
      </c>
      <c r="AG844">
        <v>-1.1207788624249999</v>
      </c>
      <c r="AH844">
        <v>33.6204671700944</v>
      </c>
      <c r="AI844">
        <v>91.890451371413207</v>
      </c>
      <c r="AJ844">
        <v>81.936005926364203</v>
      </c>
      <c r="AK844">
        <v>33.974717576805403</v>
      </c>
      <c r="AL844">
        <v>77.080050936373496</v>
      </c>
      <c r="AM844">
        <v>86.305626299629296</v>
      </c>
      <c r="AN844">
        <v>1.0000000369098001</v>
      </c>
    </row>
    <row r="845" spans="1:40" x14ac:dyDescent="0.25">
      <c r="A845" t="str">
        <f>"20190303170955804"</f>
        <v>20190303170955804</v>
      </c>
      <c r="B845" t="str">
        <f>"1551604195791401"</f>
        <v>1551604195791401</v>
      </c>
      <c r="C845" t="s">
        <v>40</v>
      </c>
      <c r="D845">
        <v>4.5941799999999997</v>
      </c>
      <c r="E845">
        <v>0.53595930000000003</v>
      </c>
      <c r="F845" t="s">
        <v>44</v>
      </c>
      <c r="G845">
        <v>-208.6797</v>
      </c>
      <c r="H845" s="1">
        <v>-5.9454400000000001E-6</v>
      </c>
      <c r="I845">
        <v>362.55869999999999</v>
      </c>
      <c r="J845">
        <v>-241.79560000000001</v>
      </c>
      <c r="K845">
        <v>1.1207769999999999</v>
      </c>
      <c r="L845">
        <v>367.73509999999999</v>
      </c>
      <c r="M845">
        <v>0.99984839999999997</v>
      </c>
      <c r="N845">
        <v>-1.0906290000000001E-2</v>
      </c>
      <c r="O845">
        <v>-1.35754E-2</v>
      </c>
      <c r="P845">
        <v>0.97405169999999996</v>
      </c>
      <c r="Q845">
        <v>0.21305099999999999</v>
      </c>
      <c r="R845">
        <v>-7.6373049999999998E-2</v>
      </c>
      <c r="S845">
        <v>3.0651250000000001</v>
      </c>
      <c r="T845">
        <v>-0.10310270000000001</v>
      </c>
      <c r="U845">
        <v>-0.47644039999999999</v>
      </c>
      <c r="V845">
        <v>6.3135330000000003E-2</v>
      </c>
      <c r="W845">
        <v>0.2236736</v>
      </c>
      <c r="X845">
        <v>0.97261710000000001</v>
      </c>
      <c r="Y845">
        <v>0.140066</v>
      </c>
      <c r="Z845">
        <v>-2.80321E-3</v>
      </c>
      <c r="AA845">
        <v>0.99013819999999997</v>
      </c>
      <c r="AB845">
        <v>38</v>
      </c>
      <c r="AC845">
        <v>33.115900000000003</v>
      </c>
      <c r="AD845">
        <v>-1.12078294544</v>
      </c>
      <c r="AE845">
        <v>-5.1764000000000001</v>
      </c>
      <c r="AF845">
        <v>4.7210559434436998</v>
      </c>
      <c r="AG845">
        <v>-1.12078294544</v>
      </c>
      <c r="AH845">
        <v>33.146062798273</v>
      </c>
      <c r="AI845">
        <v>91.917294859630104</v>
      </c>
      <c r="AJ845">
        <v>81.893777679571002</v>
      </c>
      <c r="AK845">
        <v>33.499343316831897</v>
      </c>
      <c r="AL845">
        <v>77.075106487582005</v>
      </c>
      <c r="AM845">
        <v>86.285979425216297</v>
      </c>
      <c r="AN845">
        <v>0.99999998622178898</v>
      </c>
    </row>
    <row r="846" spans="1:40" x14ac:dyDescent="0.25">
      <c r="A846" t="str">
        <f>"20190303170955817"</f>
        <v>20190303170955817</v>
      </c>
      <c r="B846" t="str">
        <f>"1551604195801161"</f>
        <v>1551604195801161</v>
      </c>
      <c r="C846" t="s">
        <v>40</v>
      </c>
      <c r="D846">
        <v>4.6291840000000004</v>
      </c>
      <c r="E846">
        <v>0.5360587</v>
      </c>
      <c r="F846" t="s">
        <v>44</v>
      </c>
      <c r="G846">
        <v>-208.57220000000001</v>
      </c>
      <c r="H846" s="1">
        <v>-5.9112509999999998E-6</v>
      </c>
      <c r="I846">
        <v>362.54719999999998</v>
      </c>
      <c r="J846">
        <v>-241.56960000000001</v>
      </c>
      <c r="K846">
        <v>1.1207800000000001</v>
      </c>
      <c r="L846">
        <v>367.73200000000003</v>
      </c>
      <c r="M846">
        <v>0.99984830000000002</v>
      </c>
      <c r="N846">
        <v>-1.093701E-2</v>
      </c>
      <c r="O846">
        <v>-1.355923E-2</v>
      </c>
      <c r="P846">
        <v>0.97403410000000001</v>
      </c>
      <c r="Q846">
        <v>0.2131663</v>
      </c>
      <c r="R846">
        <v>-7.6275889999999999E-2</v>
      </c>
      <c r="S846">
        <v>3.0650179999999998</v>
      </c>
      <c r="T846">
        <v>-0.10339760000000001</v>
      </c>
      <c r="U846">
        <v>-0.47860720000000001</v>
      </c>
      <c r="V846">
        <v>6.305405E-2</v>
      </c>
      <c r="W846">
        <v>0.22381909999999999</v>
      </c>
      <c r="X846">
        <v>0.97258889999999998</v>
      </c>
      <c r="Y846">
        <v>0.14076949999999999</v>
      </c>
      <c r="Z846">
        <v>-2.8272129999999999E-3</v>
      </c>
      <c r="AA846">
        <v>0.99003839999999999</v>
      </c>
      <c r="AB846">
        <v>38</v>
      </c>
      <c r="AC846">
        <v>32.997399999999999</v>
      </c>
      <c r="AD846">
        <v>-1.1207859112509999</v>
      </c>
      <c r="AE846">
        <v>-5.1847999999999903</v>
      </c>
      <c r="AF846">
        <v>4.7315500460314599</v>
      </c>
      <c r="AG846">
        <v>-1.1207859112509999</v>
      </c>
      <c r="AH846">
        <v>33.027487133599102</v>
      </c>
      <c r="AI846">
        <v>91.923955126558099</v>
      </c>
      <c r="AJ846">
        <v>81.847223745359003</v>
      </c>
      <c r="AK846">
        <v>33.383508402458403</v>
      </c>
      <c r="AL846">
        <v>77.066553092503199</v>
      </c>
      <c r="AM846">
        <v>86.290640224753602</v>
      </c>
      <c r="AN846">
        <v>0.99999998557471104</v>
      </c>
    </row>
    <row r="847" spans="1:40" x14ac:dyDescent="0.25">
      <c r="A847" t="str">
        <f>"20190303170955838"</f>
        <v>20190303170955838</v>
      </c>
      <c r="B847" t="str">
        <f>"1551604195831416"</f>
        <v>1551604195831416</v>
      </c>
      <c r="C847" t="s">
        <v>40</v>
      </c>
      <c r="D847">
        <v>4.6266939999999996</v>
      </c>
      <c r="E847">
        <v>0.53623399999999999</v>
      </c>
      <c r="F847" t="s">
        <v>44</v>
      </c>
      <c r="G847">
        <v>-208.2637</v>
      </c>
      <c r="H847" s="1">
        <v>-5.8116140000000004E-6</v>
      </c>
      <c r="I847">
        <v>362.524</v>
      </c>
      <c r="J847">
        <v>-241.22059999999999</v>
      </c>
      <c r="K847">
        <v>1.120776</v>
      </c>
      <c r="L847">
        <v>367.72730000000001</v>
      </c>
      <c r="M847">
        <v>0.99984799999999996</v>
      </c>
      <c r="N847">
        <v>-1.0991330000000001E-2</v>
      </c>
      <c r="O847">
        <v>-1.3534020000000001E-2</v>
      </c>
      <c r="P847">
        <v>0.97404919999999995</v>
      </c>
      <c r="Q847">
        <v>0.21308759999999999</v>
      </c>
      <c r="R847">
        <v>-7.6301099999999997E-2</v>
      </c>
      <c r="S847">
        <v>3.0650330000000001</v>
      </c>
      <c r="T847">
        <v>-0.1031421</v>
      </c>
      <c r="U847">
        <v>-0.4792786</v>
      </c>
      <c r="V847">
        <v>6.3103820000000005E-2</v>
      </c>
      <c r="W847">
        <v>0.22379299999999999</v>
      </c>
      <c r="X847">
        <v>0.97259169999999995</v>
      </c>
      <c r="Y847">
        <v>0.14100550000000001</v>
      </c>
      <c r="Z847">
        <v>-2.8328770000000001E-3</v>
      </c>
      <c r="AA847">
        <v>0.99000480000000002</v>
      </c>
      <c r="AB847">
        <v>38</v>
      </c>
      <c r="AC847">
        <v>32.956899999999898</v>
      </c>
      <c r="AD847">
        <v>-1.120781811614</v>
      </c>
      <c r="AE847">
        <v>-5.2033000000000103</v>
      </c>
      <c r="AF847">
        <v>4.7513956933117196</v>
      </c>
      <c r="AG847">
        <v>-1.120781811614</v>
      </c>
      <c r="AH847">
        <v>32.987084890918702</v>
      </c>
      <c r="AI847">
        <v>91.926092241071999</v>
      </c>
      <c r="AJ847">
        <v>81.803600332460903</v>
      </c>
      <c r="AK847">
        <v>33.346359359071698</v>
      </c>
      <c r="AL847">
        <v>77.068087713836803</v>
      </c>
      <c r="AM847">
        <v>86.287731183842297</v>
      </c>
      <c r="AN847">
        <v>1.00000000692824</v>
      </c>
    </row>
    <row r="848" spans="1:40" x14ac:dyDescent="0.25">
      <c r="A848" t="str">
        <f>"20190303170955860"</f>
        <v>20190303170955860</v>
      </c>
      <c r="B848" t="str">
        <f>"1551604195850937"</f>
        <v>1551604195850937</v>
      </c>
      <c r="C848" t="s">
        <v>40</v>
      </c>
      <c r="D848">
        <v>4.6135449999999896</v>
      </c>
      <c r="E848">
        <v>0.53630459999999902</v>
      </c>
      <c r="F848" t="s">
        <v>44</v>
      </c>
      <c r="G848">
        <v>-208.64940000000001</v>
      </c>
      <c r="H848" s="1">
        <v>-5.9258799999999998E-6</v>
      </c>
      <c r="I848">
        <v>362.6191</v>
      </c>
      <c r="J848">
        <v>-240.82589999999999</v>
      </c>
      <c r="K848">
        <v>1.1207849999999999</v>
      </c>
      <c r="L848">
        <v>367.72199999999998</v>
      </c>
      <c r="M848">
        <v>0.99984770000000001</v>
      </c>
      <c r="N848">
        <v>-1.106087E-2</v>
      </c>
      <c r="O848">
        <v>-1.350555E-2</v>
      </c>
      <c r="P848">
        <v>0.97406079999999995</v>
      </c>
      <c r="Q848">
        <v>0.2130688</v>
      </c>
      <c r="R848">
        <v>-7.6205129999999996E-2</v>
      </c>
      <c r="S848">
        <v>3.0653380000000001</v>
      </c>
      <c r="T848">
        <v>-0.10547910000000001</v>
      </c>
      <c r="U848">
        <v>-0.48074339999999999</v>
      </c>
      <c r="V848">
        <v>6.3035579999999994E-2</v>
      </c>
      <c r="W848">
        <v>0.22384180000000001</v>
      </c>
      <c r="X848">
        <v>0.97258489999999997</v>
      </c>
      <c r="Y848">
        <v>0.14147589999999999</v>
      </c>
      <c r="Z848">
        <v>-2.892978E-3</v>
      </c>
      <c r="AA848">
        <v>0.98993750000000003</v>
      </c>
      <c r="AB848">
        <v>38</v>
      </c>
      <c r="AC848">
        <v>32.176499999999898</v>
      </c>
      <c r="AD848">
        <v>-1.12079092588</v>
      </c>
      <c r="AE848">
        <v>-5.1028999999999698</v>
      </c>
      <c r="AF848">
        <v>4.6623285965157697</v>
      </c>
      <c r="AG848">
        <v>-1.12079092588</v>
      </c>
      <c r="AH848">
        <v>32.204371462422202</v>
      </c>
      <c r="AI848">
        <v>91.972679586450994</v>
      </c>
      <c r="AJ848">
        <v>81.762342566369497</v>
      </c>
      <c r="AK848">
        <v>32.559407573404897</v>
      </c>
      <c r="AL848">
        <v>77.065218964507196</v>
      </c>
      <c r="AM848">
        <v>86.291708541757401</v>
      </c>
      <c r="AN848">
        <v>1.0000000117405901</v>
      </c>
    </row>
    <row r="849" spans="1:40" x14ac:dyDescent="0.25">
      <c r="A849" t="str">
        <f>"20190303170955881"</f>
        <v>20190303170955881</v>
      </c>
      <c r="B849" t="str">
        <f>"1551604195871433"</f>
        <v>1551604195871433</v>
      </c>
      <c r="C849" t="s">
        <v>40</v>
      </c>
      <c r="D849">
        <v>4.5746149999999997</v>
      </c>
      <c r="E849">
        <v>0.53645339999999997</v>
      </c>
      <c r="F849" t="s">
        <v>44</v>
      </c>
      <c r="G849">
        <v>-208.65719999999999</v>
      </c>
      <c r="H849" s="1">
        <v>-5.9195130000000004E-6</v>
      </c>
      <c r="I849">
        <v>362.67649999999998</v>
      </c>
      <c r="J849">
        <v>-240.48150000000001</v>
      </c>
      <c r="K849">
        <v>1.1208</v>
      </c>
      <c r="L849">
        <v>367.71730000000002</v>
      </c>
      <c r="M849">
        <v>0.99984720000000005</v>
      </c>
      <c r="N849">
        <v>-1.1126250000000001E-2</v>
      </c>
      <c r="O849">
        <v>-1.3481109999999999E-2</v>
      </c>
      <c r="P849">
        <v>0.97401360000000003</v>
      </c>
      <c r="Q849">
        <v>0.2133458</v>
      </c>
      <c r="R849">
        <v>-7.6034080000000004E-2</v>
      </c>
      <c r="S849">
        <v>3.0656590000000001</v>
      </c>
      <c r="T849">
        <v>-0.10681069999999999</v>
      </c>
      <c r="U849">
        <v>-0.48083500000000001</v>
      </c>
      <c r="V849">
        <v>6.2888680000000002E-2</v>
      </c>
      <c r="W849">
        <v>0.22418199999999999</v>
      </c>
      <c r="X849">
        <v>0.97251609999999999</v>
      </c>
      <c r="Y849">
        <v>0.14151059999999999</v>
      </c>
      <c r="Z849">
        <v>-2.9243699999999999E-3</v>
      </c>
      <c r="AA849">
        <v>0.98993240000000005</v>
      </c>
      <c r="AB849">
        <v>38</v>
      </c>
      <c r="AC849">
        <v>31.824300000000001</v>
      </c>
      <c r="AD849">
        <v>-1.120805919513</v>
      </c>
      <c r="AE849">
        <v>-5.0408000000000399</v>
      </c>
      <c r="AF849">
        <v>4.6057155408181698</v>
      </c>
      <c r="AG849">
        <v>-1.120805919513</v>
      </c>
      <c r="AH849">
        <v>31.850828251566799</v>
      </c>
      <c r="AI849">
        <v>91.994633489166603</v>
      </c>
      <c r="AJ849">
        <v>81.771909282114706</v>
      </c>
      <c r="AK849">
        <v>32.201616137438698</v>
      </c>
      <c r="AL849">
        <v>77.045219296680202</v>
      </c>
      <c r="AM849">
        <v>86.300065421700893</v>
      </c>
      <c r="AN849">
        <v>1.0000000599776699</v>
      </c>
    </row>
    <row r="850" spans="1:40" x14ac:dyDescent="0.25">
      <c r="A850" t="str">
        <f>"20190303170955894"</f>
        <v>20190303170955894</v>
      </c>
      <c r="B850" t="str">
        <f>"1551604195881194"</f>
        <v>1551604195881194</v>
      </c>
      <c r="C850" t="s">
        <v>40</v>
      </c>
      <c r="D850">
        <v>4.5815979999999996</v>
      </c>
      <c r="E850">
        <v>0.53654239999999997</v>
      </c>
      <c r="F850" t="s">
        <v>44</v>
      </c>
      <c r="G850">
        <v>-208.20320000000001</v>
      </c>
      <c r="H850" s="1">
        <v>-5.7723039999999999E-6</v>
      </c>
      <c r="I850">
        <v>362.64609999999999</v>
      </c>
      <c r="J850">
        <v>-240.25129999999999</v>
      </c>
      <c r="K850">
        <v>1.1208100000000001</v>
      </c>
      <c r="L850">
        <v>367.71429999999998</v>
      </c>
      <c r="M850">
        <v>0.99984689999999998</v>
      </c>
      <c r="N850">
        <v>-1.117372E-2</v>
      </c>
      <c r="O850">
        <v>-1.346491E-2</v>
      </c>
      <c r="P850">
        <v>0.97401669999999996</v>
      </c>
      <c r="Q850">
        <v>0.2133388</v>
      </c>
      <c r="R850">
        <v>-7.6013549999999999E-2</v>
      </c>
      <c r="S850">
        <v>3.0657350000000001</v>
      </c>
      <c r="T850">
        <v>-0.1064522</v>
      </c>
      <c r="U850">
        <v>-0.4816589</v>
      </c>
      <c r="V850">
        <v>6.2883880000000003E-2</v>
      </c>
      <c r="W850">
        <v>0.22422149999999999</v>
      </c>
      <c r="X850">
        <v>0.97250720000000002</v>
      </c>
      <c r="Y850">
        <v>0.14178289999999999</v>
      </c>
      <c r="Z850">
        <v>-2.928263E-3</v>
      </c>
      <c r="AA850">
        <v>0.98989340000000003</v>
      </c>
      <c r="AB850">
        <v>38</v>
      </c>
      <c r="AC850">
        <v>32.048099999999899</v>
      </c>
      <c r="AD850">
        <v>-1.120815772304</v>
      </c>
      <c r="AE850">
        <v>-5.0681999999999903</v>
      </c>
      <c r="AF850">
        <v>4.6306631548121402</v>
      </c>
      <c r="AG850">
        <v>-1.120815772304</v>
      </c>
      <c r="AH850">
        <v>32.075167302626603</v>
      </c>
      <c r="AI850">
        <v>91.980776671796093</v>
      </c>
      <c r="AJ850">
        <v>81.785019278419298</v>
      </c>
      <c r="AK850">
        <v>32.4270816870755</v>
      </c>
      <c r="AL850">
        <v>77.042895659510094</v>
      </c>
      <c r="AM850">
        <v>86.3003132724143</v>
      </c>
      <c r="AN850">
        <v>0.99999995873897096</v>
      </c>
    </row>
    <row r="851" spans="1:40" x14ac:dyDescent="0.25">
      <c r="A851" t="str">
        <f>"20190303170955907"</f>
        <v>20190303170955907</v>
      </c>
      <c r="B851" t="str">
        <f>"1551604195901689"</f>
        <v>1551604195901689</v>
      </c>
      <c r="C851" t="s">
        <v>40</v>
      </c>
      <c r="D851">
        <v>4.7963630000000004</v>
      </c>
      <c r="E851">
        <v>0.53660200000000002</v>
      </c>
      <c r="F851" t="s">
        <v>44</v>
      </c>
      <c r="G851">
        <v>-207.99529999999999</v>
      </c>
      <c r="H851" s="1">
        <v>-5.7032849999999999E-6</v>
      </c>
      <c r="I851">
        <v>362.64240000000001</v>
      </c>
      <c r="J851">
        <v>-240.03639999999999</v>
      </c>
      <c r="K851">
        <v>1.1208199999999999</v>
      </c>
      <c r="L851">
        <v>367.71140000000003</v>
      </c>
      <c r="M851">
        <v>0.99984660000000003</v>
      </c>
      <c r="N851">
        <v>-1.122359E-2</v>
      </c>
      <c r="O851">
        <v>-1.344981E-2</v>
      </c>
      <c r="P851">
        <v>0.97401349999999998</v>
      </c>
      <c r="Q851">
        <v>0.21345810000000001</v>
      </c>
      <c r="R851">
        <v>-7.5716839999999994E-2</v>
      </c>
      <c r="S851">
        <v>3.06575</v>
      </c>
      <c r="T851">
        <v>-0.10652739999999999</v>
      </c>
      <c r="U851">
        <v>-0.48205569999999998</v>
      </c>
      <c r="V851">
        <v>6.2601889999999993E-2</v>
      </c>
      <c r="W851">
        <v>0.2243888</v>
      </c>
      <c r="X851">
        <v>0.97248690000000004</v>
      </c>
      <c r="Y851">
        <v>0.14192170000000001</v>
      </c>
      <c r="Z851">
        <v>-2.9373989999999998E-3</v>
      </c>
      <c r="AA851">
        <v>0.98987349999999996</v>
      </c>
      <c r="AB851">
        <v>38</v>
      </c>
      <c r="AC851">
        <v>32.0411</v>
      </c>
      <c r="AD851">
        <v>-1.120825703285</v>
      </c>
      <c r="AE851">
        <v>-5.0690000000000097</v>
      </c>
      <c r="AF851">
        <v>4.6320379540471599</v>
      </c>
      <c r="AG851">
        <v>-1.120825703285</v>
      </c>
      <c r="AH851">
        <v>32.068100442796599</v>
      </c>
      <c r="AI851">
        <v>91.9812094544872</v>
      </c>
      <c r="AJ851">
        <v>81.7808275026769</v>
      </c>
      <c r="AK851">
        <v>32.420288275617899</v>
      </c>
      <c r="AL851">
        <v>77.033060647727396</v>
      </c>
      <c r="AM851">
        <v>86.316781326173995</v>
      </c>
      <c r="AN851">
        <v>1.0000000504343001</v>
      </c>
    </row>
    <row r="852" spans="1:40" x14ac:dyDescent="0.25">
      <c r="A852" t="str">
        <f>"20190303170955920"</f>
        <v>20190303170955920</v>
      </c>
      <c r="B852" t="str">
        <f>"1551604195911449"</f>
        <v>1551604195911449</v>
      </c>
      <c r="C852" t="s">
        <v>40</v>
      </c>
      <c r="D852">
        <v>4.5636530000000004</v>
      </c>
      <c r="E852">
        <v>0.53661759999999903</v>
      </c>
      <c r="F852" t="s">
        <v>44</v>
      </c>
      <c r="G852">
        <v>-207.62960000000001</v>
      </c>
      <c r="H852" s="1">
        <v>-5.58428999999999E-6</v>
      </c>
      <c r="I852">
        <v>362.62049999999999</v>
      </c>
      <c r="J852">
        <v>-239.82429999999999</v>
      </c>
      <c r="K852">
        <v>1.12083</v>
      </c>
      <c r="L852">
        <v>367.70859999999999</v>
      </c>
      <c r="M852">
        <v>0.99984620000000002</v>
      </c>
      <c r="N852">
        <v>-1.12762E-2</v>
      </c>
      <c r="O852">
        <v>-1.343484E-2</v>
      </c>
      <c r="P852">
        <v>0.9740394</v>
      </c>
      <c r="Q852">
        <v>0.21346709999999999</v>
      </c>
      <c r="R852">
        <v>-7.5362520000000002E-2</v>
      </c>
      <c r="S852">
        <v>3.0658569999999998</v>
      </c>
      <c r="T852">
        <v>-0.1060363</v>
      </c>
      <c r="U852">
        <v>-0.48162840000000001</v>
      </c>
      <c r="V852">
        <v>6.2261669999999998E-2</v>
      </c>
      <c r="W852">
        <v>0.22444919999999999</v>
      </c>
      <c r="X852">
        <v>0.97249470000000005</v>
      </c>
      <c r="Y852">
        <v>0.14179729999999999</v>
      </c>
      <c r="Z852">
        <v>-2.9301599999999998E-3</v>
      </c>
      <c r="AA852">
        <v>0.98989139999999998</v>
      </c>
      <c r="AB852">
        <v>38</v>
      </c>
      <c r="AC852">
        <v>32.194699999999898</v>
      </c>
      <c r="AD852">
        <v>-1.12083558429</v>
      </c>
      <c r="AE852">
        <v>-5.0880999999999901</v>
      </c>
      <c r="AF852">
        <v>4.6495844732791198</v>
      </c>
      <c r="AG852">
        <v>-1.12083558429</v>
      </c>
      <c r="AH852">
        <v>32.222053608036703</v>
      </c>
      <c r="AI852">
        <v>91.971808893915593</v>
      </c>
      <c r="AJ852">
        <v>81.788998619083699</v>
      </c>
      <c r="AK852">
        <v>32.5750770820325</v>
      </c>
      <c r="AL852">
        <v>77.029508077891194</v>
      </c>
      <c r="AM852">
        <v>86.336773015557796</v>
      </c>
      <c r="AN852">
        <v>0.99999995022995802</v>
      </c>
    </row>
    <row r="853" spans="1:40" x14ac:dyDescent="0.25">
      <c r="A853" t="str">
        <f>"20190303170955931"</f>
        <v>20190303170955931</v>
      </c>
      <c r="B853" t="str">
        <f>"1551604195921209"</f>
        <v>1551604195921209</v>
      </c>
      <c r="C853" t="s">
        <v>40</v>
      </c>
      <c r="D853">
        <v>4.5963440000000002</v>
      </c>
      <c r="E853">
        <v>0.53673719999999903</v>
      </c>
      <c r="F853" t="s">
        <v>44</v>
      </c>
      <c r="G853">
        <v>-207.32849999999999</v>
      </c>
      <c r="H853" s="1">
        <v>-5.4851939999999999E-6</v>
      </c>
      <c r="I853">
        <v>362.6096</v>
      </c>
      <c r="J853">
        <v>-239.60919999999999</v>
      </c>
      <c r="K853">
        <v>1.1208419999999999</v>
      </c>
      <c r="L853">
        <v>367.70569999999998</v>
      </c>
      <c r="M853">
        <v>0.99984569999999995</v>
      </c>
      <c r="N853">
        <v>-1.133617E-2</v>
      </c>
      <c r="O853">
        <v>-1.341931E-2</v>
      </c>
      <c r="P853">
        <v>0.97398720000000005</v>
      </c>
      <c r="Q853">
        <v>0.2137213</v>
      </c>
      <c r="R853">
        <v>-7.5313660000000004E-2</v>
      </c>
      <c r="S853">
        <v>3.065887</v>
      </c>
      <c r="T853">
        <v>-0.1057477</v>
      </c>
      <c r="U853">
        <v>-0.48107909999999998</v>
      </c>
      <c r="V853">
        <v>6.222859E-2</v>
      </c>
      <c r="W853">
        <v>0.2247615</v>
      </c>
      <c r="X853">
        <v>0.97242470000000003</v>
      </c>
      <c r="Y853">
        <v>0.1416385</v>
      </c>
      <c r="Z853">
        <v>-2.9265960000000001E-3</v>
      </c>
      <c r="AA853">
        <v>0.98991410000000002</v>
      </c>
      <c r="AB853">
        <v>38</v>
      </c>
      <c r="AC853">
        <v>32.280700000000003</v>
      </c>
      <c r="AD853">
        <v>-1.120847485194</v>
      </c>
      <c r="AE853">
        <v>-5.0960999999999697</v>
      </c>
      <c r="AF853">
        <v>4.6569505715463801</v>
      </c>
      <c r="AG853">
        <v>-1.120847485194</v>
      </c>
      <c r="AH853">
        <v>32.308179572597197</v>
      </c>
      <c r="AI853">
        <v>91.966621010455398</v>
      </c>
      <c r="AJ853">
        <v>81.797792249117094</v>
      </c>
      <c r="AK853">
        <v>32.661322003343301</v>
      </c>
      <c r="AL853">
        <v>77.011145607822399</v>
      </c>
      <c r="AM853">
        <v>86.338451173956599</v>
      </c>
      <c r="AN853">
        <v>0.999999963232863</v>
      </c>
    </row>
    <row r="854" spans="1:40" x14ac:dyDescent="0.25">
      <c r="A854" t="str">
        <f>"20190303170955945"</f>
        <v>20190303170955945</v>
      </c>
      <c r="B854" t="str">
        <f>"1551604195930969"</f>
        <v>1551604195930969</v>
      </c>
      <c r="C854" t="s">
        <v>40</v>
      </c>
      <c r="D854">
        <v>4.6047229999999999</v>
      </c>
      <c r="E854">
        <v>0.53673719999999903</v>
      </c>
      <c r="F854" t="s">
        <v>44</v>
      </c>
      <c r="G854">
        <v>-206.7372</v>
      </c>
      <c r="H854" s="1">
        <v>-5.2990539999999998E-6</v>
      </c>
      <c r="I854">
        <v>362.53399999999999</v>
      </c>
      <c r="J854">
        <v>-239.4068</v>
      </c>
      <c r="K854">
        <v>1.1208549999999999</v>
      </c>
      <c r="L854">
        <v>367.70299999999997</v>
      </c>
      <c r="M854">
        <v>0.99984510000000004</v>
      </c>
      <c r="N854">
        <v>-1.139537E-2</v>
      </c>
      <c r="O854">
        <v>-1.340438E-2</v>
      </c>
      <c r="P854">
        <v>0.97391640000000002</v>
      </c>
      <c r="Q854">
        <v>0.21412970000000001</v>
      </c>
      <c r="R854">
        <v>-7.5069230000000001E-2</v>
      </c>
      <c r="S854">
        <v>3.06575</v>
      </c>
      <c r="T854">
        <v>-0.10453369999999999</v>
      </c>
      <c r="U854">
        <v>-0.48233029999999999</v>
      </c>
      <c r="V854">
        <v>6.1999329999999998E-2</v>
      </c>
      <c r="W854">
        <v>0.2252266</v>
      </c>
      <c r="X854">
        <v>0.97233179999999997</v>
      </c>
      <c r="Y854">
        <v>0.14205599999999999</v>
      </c>
      <c r="Z854">
        <v>-2.918875E-3</v>
      </c>
      <c r="AA854">
        <v>0.98985429999999996</v>
      </c>
      <c r="AB854">
        <v>38</v>
      </c>
      <c r="AC854">
        <v>32.669600000000003</v>
      </c>
      <c r="AD854">
        <v>-1.120860299054</v>
      </c>
      <c r="AE854">
        <v>-5.1690000000000396</v>
      </c>
      <c r="AF854">
        <v>4.7251651409601996</v>
      </c>
      <c r="AG854">
        <v>-1.120860299054</v>
      </c>
      <c r="AH854">
        <v>32.6984067724146</v>
      </c>
      <c r="AI854">
        <v>91.943090926653994</v>
      </c>
      <c r="AJ854">
        <v>81.777251590091595</v>
      </c>
      <c r="AK854">
        <v>33.057061558366499</v>
      </c>
      <c r="AL854">
        <v>76.983797036252795</v>
      </c>
      <c r="AM854">
        <v>86.351556794327195</v>
      </c>
      <c r="AN854">
        <v>1.00000003377962</v>
      </c>
    </row>
    <row r="855" spans="1:40" x14ac:dyDescent="0.25">
      <c r="A855" t="str">
        <f>"20190303170955960"</f>
        <v>20190303170955960</v>
      </c>
      <c r="B855" t="str">
        <f>"1551604195951464"</f>
        <v>1551604195951464</v>
      </c>
      <c r="C855" t="s">
        <v>40</v>
      </c>
      <c r="D855">
        <v>4.5257110000000003</v>
      </c>
      <c r="E855">
        <v>0.53691169999999899</v>
      </c>
      <c r="F855" t="s">
        <v>44</v>
      </c>
      <c r="G855">
        <v>-206.1138</v>
      </c>
      <c r="H855" s="1">
        <v>-5.0573849999999999E-6</v>
      </c>
      <c r="I855">
        <v>362.47390000000001</v>
      </c>
      <c r="J855">
        <v>-239.14500000000001</v>
      </c>
      <c r="K855">
        <v>1.120871</v>
      </c>
      <c r="L855">
        <v>367.6995</v>
      </c>
      <c r="M855">
        <v>0.99984459999999997</v>
      </c>
      <c r="N855">
        <v>-1.147544E-2</v>
      </c>
      <c r="O855">
        <v>-1.3385029999999999E-2</v>
      </c>
      <c r="P855">
        <v>0.97374870000000002</v>
      </c>
      <c r="Q855">
        <v>0.21491150000000001</v>
      </c>
      <c r="R855">
        <v>-7.501215E-2</v>
      </c>
      <c r="S855">
        <v>3.0659179999999999</v>
      </c>
      <c r="T855">
        <v>-0.1032187</v>
      </c>
      <c r="U855">
        <v>-0.48153689999999999</v>
      </c>
      <c r="V855">
        <v>6.1962879999999998E-2</v>
      </c>
      <c r="W855">
        <v>0.2260846</v>
      </c>
      <c r="X855">
        <v>0.97213490000000002</v>
      </c>
      <c r="Y855">
        <v>0.141819</v>
      </c>
      <c r="Z855">
        <v>-2.8961289999999999E-3</v>
      </c>
      <c r="AA855">
        <v>0.9898884</v>
      </c>
      <c r="AB855">
        <v>38</v>
      </c>
      <c r="AC855">
        <v>33.031199999999998</v>
      </c>
      <c r="AD855">
        <v>-1.1208760573849901</v>
      </c>
      <c r="AE855">
        <v>-5.2255999999999796</v>
      </c>
      <c r="AF855">
        <v>4.7776119846873097</v>
      </c>
      <c r="AG855">
        <v>-1.1208760573849901</v>
      </c>
      <c r="AH855">
        <v>33.061049500558298</v>
      </c>
      <c r="AI855">
        <v>91.921820114669003</v>
      </c>
      <c r="AJ855">
        <v>81.777179870212507</v>
      </c>
      <c r="AK855">
        <v>33.423269341741701</v>
      </c>
      <c r="AL855">
        <v>76.933334658949306</v>
      </c>
      <c r="AM855">
        <v>86.3529594169799</v>
      </c>
      <c r="AN855">
        <v>0.99999995432653099</v>
      </c>
    </row>
    <row r="856" spans="1:40" x14ac:dyDescent="0.25">
      <c r="A856" t="str">
        <f>"20190303170955972"</f>
        <v>20190303170955972</v>
      </c>
      <c r="B856" t="str">
        <f>"1551604195961225"</f>
        <v>1551604195961225</v>
      </c>
      <c r="C856" t="s">
        <v>40</v>
      </c>
      <c r="D856">
        <v>4.5578760000000003</v>
      </c>
      <c r="E856">
        <v>0.53708420000000001</v>
      </c>
      <c r="F856" t="s">
        <v>44</v>
      </c>
      <c r="G856">
        <v>-205.256</v>
      </c>
      <c r="H856" s="1">
        <v>-4.6820640000000003E-6</v>
      </c>
      <c r="I856">
        <v>362.3646</v>
      </c>
      <c r="J856">
        <v>-238.9254</v>
      </c>
      <c r="K856">
        <v>1.120884</v>
      </c>
      <c r="L856">
        <v>367.69659999999999</v>
      </c>
      <c r="M856">
        <v>0.99984410000000001</v>
      </c>
      <c r="N856">
        <v>-1.1547719999999999E-2</v>
      </c>
      <c r="O856">
        <v>-1.33691E-2</v>
      </c>
      <c r="P856">
        <v>0.97373279999999995</v>
      </c>
      <c r="Q856">
        <v>0.21501700000000001</v>
      </c>
      <c r="R856">
        <v>-7.4916499999999997E-2</v>
      </c>
      <c r="S856">
        <v>3.0660400000000001</v>
      </c>
      <c r="T856">
        <v>-0.1014091</v>
      </c>
      <c r="U856">
        <v>-0.48266599999999998</v>
      </c>
      <c r="V856">
        <v>6.1882479999999997E-2</v>
      </c>
      <c r="W856">
        <v>0.22625960000000001</v>
      </c>
      <c r="X856">
        <v>0.97209939999999995</v>
      </c>
      <c r="Y856">
        <v>0.14218699999999901</v>
      </c>
      <c r="Z856">
        <v>-2.8769400000000001E-3</v>
      </c>
      <c r="AA856">
        <v>0.98983560000000004</v>
      </c>
      <c r="AB856">
        <v>38</v>
      </c>
      <c r="AC856">
        <v>33.669400000000003</v>
      </c>
      <c r="AD856">
        <v>-1.1208886820640001</v>
      </c>
      <c r="AE856">
        <v>-5.3319999999999901</v>
      </c>
      <c r="AF856">
        <v>4.8760919721180702</v>
      </c>
      <c r="AG856">
        <v>-1.1208886820640001</v>
      </c>
      <c r="AH856">
        <v>33.701242318986999</v>
      </c>
      <c r="AI856">
        <v>91.885313570320093</v>
      </c>
      <c r="AJ856">
        <v>81.767243910319905</v>
      </c>
      <c r="AK856">
        <v>34.0706090083699</v>
      </c>
      <c r="AL856">
        <v>76.923042381524098</v>
      </c>
      <c r="AM856">
        <v>86.357546235647504</v>
      </c>
      <c r="AN856">
        <v>1.00000004570173</v>
      </c>
    </row>
    <row r="857" spans="1:40" x14ac:dyDescent="0.25">
      <c r="A857" t="str">
        <f>"20190303170955986"</f>
        <v>20190303170955986</v>
      </c>
      <c r="B857" t="str">
        <f>"1551604195981721"</f>
        <v>1551604195981721</v>
      </c>
      <c r="C857" t="s">
        <v>40</v>
      </c>
      <c r="D857">
        <v>4.5075880000000002</v>
      </c>
      <c r="E857">
        <v>0.5372498</v>
      </c>
      <c r="F857" t="s">
        <v>44</v>
      </c>
      <c r="G857">
        <v>-205.02119999999999</v>
      </c>
      <c r="H857" s="1">
        <v>-4.5769850000000002E-6</v>
      </c>
      <c r="I857">
        <v>362.34519999999998</v>
      </c>
      <c r="J857">
        <v>-238.70099999999999</v>
      </c>
      <c r="K857">
        <v>1.1209009999999999</v>
      </c>
      <c r="L857">
        <v>367.6936</v>
      </c>
      <c r="M857">
        <v>0.99984329999999999</v>
      </c>
      <c r="N857">
        <v>-1.162641E-2</v>
      </c>
      <c r="O857">
        <v>-1.3354039999999999E-2</v>
      </c>
      <c r="P857">
        <v>0.97370869999999998</v>
      </c>
      <c r="Q857">
        <v>0.21513789999999999</v>
      </c>
      <c r="R857">
        <v>-7.4882190000000001E-2</v>
      </c>
      <c r="S857">
        <v>3.0660859999999999</v>
      </c>
      <c r="T857">
        <v>-0.1013662</v>
      </c>
      <c r="U857">
        <v>-0.48394779999999998</v>
      </c>
      <c r="V857">
        <v>6.1862809999999997E-2</v>
      </c>
      <c r="W857">
        <v>0.22645709999999999</v>
      </c>
      <c r="X857">
        <v>0.97205459999999999</v>
      </c>
      <c r="Y857">
        <v>0.14260300000000001</v>
      </c>
      <c r="Z857">
        <v>-2.8923339999999999E-3</v>
      </c>
      <c r="AA857">
        <v>0.98977570000000004</v>
      </c>
      <c r="AB857">
        <v>38</v>
      </c>
      <c r="AC857">
        <v>33.6798</v>
      </c>
      <c r="AD857">
        <v>-1.12090557698499</v>
      </c>
      <c r="AE857">
        <v>-5.3484000000000202</v>
      </c>
      <c r="AF857">
        <v>4.8928450456100103</v>
      </c>
      <c r="AG857">
        <v>-1.12090557698499</v>
      </c>
      <c r="AH857">
        <v>33.711801877072403</v>
      </c>
      <c r="AI857">
        <v>91.884631124244507</v>
      </c>
      <c r="AJ857">
        <v>81.741899641900204</v>
      </c>
      <c r="AK857">
        <v>34.083455631022098</v>
      </c>
      <c r="AL857">
        <v>76.9114241205572</v>
      </c>
      <c r="AM857">
        <v>86.358533544123702</v>
      </c>
      <c r="AN857">
        <v>0.99999998539133295</v>
      </c>
    </row>
    <row r="858" spans="1:40" x14ac:dyDescent="0.25">
      <c r="A858" t="str">
        <f>"20190303170956000"</f>
        <v>20190303170956000</v>
      </c>
      <c r="B858" t="str">
        <f>"1551604195991481"</f>
        <v>1551604195991481</v>
      </c>
      <c r="C858" t="s">
        <v>40</v>
      </c>
      <c r="D858">
        <v>4.4989610000000004</v>
      </c>
      <c r="E858">
        <v>0.53736660000000003</v>
      </c>
      <c r="F858" t="s">
        <v>44</v>
      </c>
      <c r="G858">
        <v>-204.8648</v>
      </c>
      <c r="H858" s="1">
        <v>-4.4998749999999998E-6</v>
      </c>
      <c r="I858">
        <v>362.34160000000003</v>
      </c>
      <c r="J858">
        <v>-238.4616</v>
      </c>
      <c r="K858">
        <v>1.120916</v>
      </c>
      <c r="L858">
        <v>367.69040000000001</v>
      </c>
      <c r="M858">
        <v>0.99984240000000002</v>
      </c>
      <c r="N858">
        <v>-1.1717139999999999E-2</v>
      </c>
      <c r="O858">
        <v>-1.3339180000000001E-2</v>
      </c>
      <c r="P858">
        <v>0.97374660000000002</v>
      </c>
      <c r="Q858">
        <v>0.2149517</v>
      </c>
      <c r="R858">
        <v>-7.4921139999999997E-2</v>
      </c>
      <c r="S858">
        <v>3.0661619999999998</v>
      </c>
      <c r="T858">
        <v>-0.1015741</v>
      </c>
      <c r="U858">
        <v>-0.48498540000000001</v>
      </c>
      <c r="V858">
        <v>6.1915629999999999E-2</v>
      </c>
      <c r="W858">
        <v>0.22636000000000001</v>
      </c>
      <c r="X858">
        <v>0.97207390000000005</v>
      </c>
      <c r="Y858">
        <v>0.14293979999999901</v>
      </c>
      <c r="Z858">
        <v>-2.91172E-3</v>
      </c>
      <c r="AA858">
        <v>0.98972709999999997</v>
      </c>
      <c r="AB858">
        <v>38</v>
      </c>
      <c r="AC858">
        <v>33.596800000000002</v>
      </c>
      <c r="AD858">
        <v>-1.120920499875</v>
      </c>
      <c r="AE858">
        <v>-5.3487999999999802</v>
      </c>
      <c r="AF858">
        <v>4.8948255433618</v>
      </c>
      <c r="AG858">
        <v>-1.120920499875</v>
      </c>
      <c r="AH858">
        <v>33.628655567895002</v>
      </c>
      <c r="AI858">
        <v>91.889200349666794</v>
      </c>
      <c r="AJ858">
        <v>81.718459899074006</v>
      </c>
      <c r="AK858">
        <v>34.001503719263702</v>
      </c>
      <c r="AL858">
        <v>76.917136467484994</v>
      </c>
      <c r="AM858">
        <v>86.355504912252599</v>
      </c>
      <c r="AN858">
        <v>1.0000000309497501</v>
      </c>
    </row>
    <row r="859" spans="1:40" x14ac:dyDescent="0.25">
      <c r="A859" t="str">
        <f>"20190303170956011"</f>
        <v>20190303170956011</v>
      </c>
      <c r="B859" t="str">
        <f>"1551604196001241"</f>
        <v>1551604196001241</v>
      </c>
      <c r="C859" t="s">
        <v>40</v>
      </c>
      <c r="D859">
        <v>4.4761850000000001</v>
      </c>
      <c r="E859">
        <v>0.53749119999999995</v>
      </c>
      <c r="F859" t="s">
        <v>44</v>
      </c>
      <c r="G859">
        <v>-204.95009999999999</v>
      </c>
      <c r="H859" s="1">
        <v>-4.5358540000000001E-6</v>
      </c>
      <c r="I859">
        <v>362.37299999999999</v>
      </c>
      <c r="J859">
        <v>-238.25200000000001</v>
      </c>
      <c r="K859">
        <v>1.1209309999999999</v>
      </c>
      <c r="L859">
        <v>367.68770000000001</v>
      </c>
      <c r="M859">
        <v>0.99984150000000005</v>
      </c>
      <c r="N859">
        <v>-1.180868E-2</v>
      </c>
      <c r="O859">
        <v>-1.332683E-2</v>
      </c>
      <c r="P859">
        <v>0.97375579999999995</v>
      </c>
      <c r="Q859">
        <v>0.21494360000000001</v>
      </c>
      <c r="R859">
        <v>-7.4826519999999994E-2</v>
      </c>
      <c r="S859">
        <v>3.0661010000000002</v>
      </c>
      <c r="T859">
        <v>-0.1025575</v>
      </c>
      <c r="U859">
        <v>-0.48651119999999998</v>
      </c>
      <c r="V859">
        <v>6.1832970000000001E-2</v>
      </c>
      <c r="W859">
        <v>0.22644030000000001</v>
      </c>
      <c r="X859">
        <v>0.97206040000000005</v>
      </c>
      <c r="Y859">
        <v>0.14343330000000001</v>
      </c>
      <c r="Z859">
        <v>-2.949428E-3</v>
      </c>
      <c r="AA859">
        <v>0.98965559999999997</v>
      </c>
      <c r="AB859">
        <v>38</v>
      </c>
      <c r="AC859">
        <v>33.301900000000003</v>
      </c>
      <c r="AD859">
        <v>-1.1209355358540001</v>
      </c>
      <c r="AE859">
        <v>-5.3146999999999496</v>
      </c>
      <c r="AF859">
        <v>4.8650131908392096</v>
      </c>
      <c r="AG859">
        <v>-1.1209355358540001</v>
      </c>
      <c r="AH859">
        <v>33.332947543966498</v>
      </c>
      <c r="AI859">
        <v>91.905865454778905</v>
      </c>
      <c r="AJ859">
        <v>81.696192867010595</v>
      </c>
      <c r="AK859">
        <v>33.704751026990301</v>
      </c>
      <c r="AL859">
        <v>76.912412201982804</v>
      </c>
      <c r="AM859">
        <v>86.360306969304204</v>
      </c>
      <c r="AN859">
        <v>0.99999997344563496</v>
      </c>
    </row>
    <row r="860" spans="1:40" x14ac:dyDescent="0.25">
      <c r="A860" t="str">
        <f>"20190303170956028"</f>
        <v>20190303170956028</v>
      </c>
      <c r="B860" t="str">
        <f>"1551604196021737"</f>
        <v>1551604196021737</v>
      </c>
      <c r="C860" t="s">
        <v>40</v>
      </c>
      <c r="D860">
        <v>4.4584440000000001</v>
      </c>
      <c r="E860">
        <v>0.54413310000000004</v>
      </c>
      <c r="F860" t="s">
        <v>44</v>
      </c>
      <c r="G860">
        <v>-204.82570000000001</v>
      </c>
      <c r="H860" s="1">
        <v>-4.4726320000000002E-6</v>
      </c>
      <c r="I860">
        <v>362.37580000000003</v>
      </c>
      <c r="J860">
        <v>-237.98419999999999</v>
      </c>
      <c r="K860">
        <v>1.1209469999999999</v>
      </c>
      <c r="L860">
        <v>367.6841</v>
      </c>
      <c r="M860">
        <v>0.99984019999999996</v>
      </c>
      <c r="N860">
        <v>-1.1938239999999999E-2</v>
      </c>
      <c r="O860">
        <v>-1.330925E-2</v>
      </c>
      <c r="P860">
        <v>0.97387140000000005</v>
      </c>
      <c r="Q860">
        <v>0.2145292</v>
      </c>
      <c r="R860">
        <v>-7.4512700000000001E-2</v>
      </c>
      <c r="S860">
        <v>3.0661320000000001</v>
      </c>
      <c r="T860">
        <v>-0.1028212</v>
      </c>
      <c r="U860">
        <v>-0.4872437</v>
      </c>
      <c r="V860">
        <v>6.1535359999999997E-2</v>
      </c>
      <c r="W860">
        <v>0.2261533</v>
      </c>
      <c r="X860">
        <v>0.97214610000000001</v>
      </c>
      <c r="Y860">
        <v>0.14367869999999999</v>
      </c>
      <c r="Z860">
        <v>-2.9713869999999998E-3</v>
      </c>
      <c r="AA860">
        <v>0.9896199</v>
      </c>
      <c r="AB860">
        <v>38</v>
      </c>
      <c r="AC860">
        <v>33.158499999999897</v>
      </c>
      <c r="AD860">
        <v>-1.120951472632</v>
      </c>
      <c r="AE860">
        <v>-5.3082999999999698</v>
      </c>
      <c r="AF860">
        <v>4.8610669832102396</v>
      </c>
      <c r="AG860">
        <v>-1.120951472632</v>
      </c>
      <c r="AH860">
        <v>33.189235132287102</v>
      </c>
      <c r="AI860">
        <v>91.913998614665402</v>
      </c>
      <c r="AJ860">
        <v>81.667410507836493</v>
      </c>
      <c r="AK860">
        <v>33.562059428549503</v>
      </c>
      <c r="AL860">
        <v>76.929294089448106</v>
      </c>
      <c r="AM860">
        <v>86.3780969941119</v>
      </c>
      <c r="AN860">
        <v>0.99999997768821403</v>
      </c>
    </row>
    <row r="861" spans="1:40" x14ac:dyDescent="0.25">
      <c r="A861" t="str">
        <f>"20190303170956051"</f>
        <v>20190303170956051</v>
      </c>
      <c r="B861" t="str">
        <f>"1551604196041257"</f>
        <v>1551604196041257</v>
      </c>
      <c r="C861" t="s">
        <v>40</v>
      </c>
      <c r="D861">
        <v>4.4688410000000003</v>
      </c>
      <c r="E861">
        <v>0.5437784</v>
      </c>
      <c r="F861" t="s">
        <v>44</v>
      </c>
      <c r="G861">
        <v>-208.84190000000001</v>
      </c>
      <c r="H861" s="1">
        <v>-5.9990909999999901E-6</v>
      </c>
      <c r="I861">
        <v>362.56279999999998</v>
      </c>
      <c r="J861">
        <v>-237.61320000000001</v>
      </c>
      <c r="K861">
        <v>1.1209789999999999</v>
      </c>
      <c r="L861">
        <v>367.67919999999998</v>
      </c>
      <c r="M861">
        <v>0.99983809999999995</v>
      </c>
      <c r="N861">
        <v>-1.213637E-2</v>
      </c>
      <c r="O861">
        <v>-1.328292E-2</v>
      </c>
      <c r="P861">
        <v>0.97393649999999998</v>
      </c>
      <c r="Q861">
        <v>0.2142877</v>
      </c>
      <c r="R861">
        <v>-7.4353139999999998E-2</v>
      </c>
      <c r="S861">
        <v>3.0652309999999998</v>
      </c>
      <c r="T861">
        <v>-0.1179036</v>
      </c>
      <c r="U861">
        <v>-0.53866579999999997</v>
      </c>
      <c r="V861">
        <v>6.1402020000000002E-2</v>
      </c>
      <c r="W861">
        <v>0.226105</v>
      </c>
      <c r="X861">
        <v>0.97216579999999997</v>
      </c>
      <c r="Y861">
        <v>0.1598359</v>
      </c>
      <c r="Z861">
        <v>-3.6806389999999999E-3</v>
      </c>
      <c r="AA861">
        <v>0.98713669999999998</v>
      </c>
      <c r="AB861">
        <v>38</v>
      </c>
      <c r="AC861">
        <v>28.7713</v>
      </c>
      <c r="AD861">
        <v>-1.1209849990909999</v>
      </c>
      <c r="AE861">
        <v>-5.1163999999999898</v>
      </c>
      <c r="AF861">
        <v>4.7267980524730397</v>
      </c>
      <c r="AG861">
        <v>-1.1209849990909999</v>
      </c>
      <c r="AH861">
        <v>28.794356296038</v>
      </c>
      <c r="AI861">
        <v>92.200023981325401</v>
      </c>
      <c r="AJ861">
        <v>80.677635846808499</v>
      </c>
      <c r="AK861">
        <v>29.201270206965901</v>
      </c>
      <c r="AL861">
        <v>76.932135506029098</v>
      </c>
      <c r="AM861">
        <v>86.385997456677202</v>
      </c>
      <c r="AN861">
        <v>1.0000000108873599</v>
      </c>
    </row>
    <row r="862" spans="1:40" x14ac:dyDescent="0.25">
      <c r="A862" t="str">
        <f>"20190303170956072"</f>
        <v>20190303170956072</v>
      </c>
      <c r="B862" t="str">
        <f>"1551604196061753"</f>
        <v>1551604196061753</v>
      </c>
      <c r="C862" t="s">
        <v>40</v>
      </c>
      <c r="D862">
        <v>4.4584780000000004</v>
      </c>
      <c r="E862">
        <v>0.54395469999999901</v>
      </c>
      <c r="F862" t="s">
        <v>44</v>
      </c>
      <c r="G862">
        <v>-209.7139</v>
      </c>
      <c r="H862" s="1">
        <v>-6.252681E-6</v>
      </c>
      <c r="I862">
        <v>362.8082</v>
      </c>
      <c r="J862">
        <v>-237.2431</v>
      </c>
      <c r="K862">
        <v>1.1210059999999999</v>
      </c>
      <c r="L862">
        <v>367.67430000000002</v>
      </c>
      <c r="M862">
        <v>0.99983610000000001</v>
      </c>
      <c r="N862">
        <v>-1.2341039999999999E-2</v>
      </c>
      <c r="O862">
        <v>-1.3255579999999999E-2</v>
      </c>
      <c r="P862">
        <v>0.97403580000000001</v>
      </c>
      <c r="Q862">
        <v>0.2138612</v>
      </c>
      <c r="R862">
        <v>-7.4281829999999993E-2</v>
      </c>
      <c r="S862">
        <v>3.0665439999999999</v>
      </c>
      <c r="T862">
        <v>-0.12321310000000001</v>
      </c>
      <c r="U862">
        <v>-0.5354004</v>
      </c>
      <c r="V862">
        <v>6.1357259999999997E-2</v>
      </c>
      <c r="W862">
        <v>0.2258783</v>
      </c>
      <c r="X862">
        <v>0.97222129999999995</v>
      </c>
      <c r="Y862">
        <v>0.15875980000000001</v>
      </c>
      <c r="Z862">
        <v>-3.785938E-3</v>
      </c>
      <c r="AA862">
        <v>0.98731000000000002</v>
      </c>
      <c r="AB862">
        <v>38</v>
      </c>
      <c r="AC862">
        <v>27.529199999999999</v>
      </c>
      <c r="AD862">
        <v>-1.121012252681</v>
      </c>
      <c r="AE862">
        <v>-4.8661000000000101</v>
      </c>
      <c r="AF862">
        <v>4.4935038248419499</v>
      </c>
      <c r="AG862">
        <v>-1.121012252681</v>
      </c>
      <c r="AH862">
        <v>27.546994705140602</v>
      </c>
      <c r="AI862">
        <v>92.299974177722007</v>
      </c>
      <c r="AJ862">
        <v>80.735430593462198</v>
      </c>
      <c r="AK862">
        <v>27.9335848465529</v>
      </c>
      <c r="AL862">
        <v>76.945469113102405</v>
      </c>
      <c r="AM862">
        <v>86.388830580556103</v>
      </c>
      <c r="AN862">
        <v>0.99999998796964296</v>
      </c>
    </row>
    <row r="863" spans="1:40" x14ac:dyDescent="0.25">
      <c r="A863" t="str">
        <f>"20190303170956087"</f>
        <v>20190303170956087</v>
      </c>
      <c r="B863" t="str">
        <f>"1551604196081273"</f>
        <v>1551604196081273</v>
      </c>
      <c r="C863" t="s">
        <v>40</v>
      </c>
      <c r="D863">
        <v>4.4869089999999998</v>
      </c>
      <c r="E863">
        <v>0.54430749999999894</v>
      </c>
      <c r="F863" t="s">
        <v>44</v>
      </c>
      <c r="G863">
        <v>-209.5762</v>
      </c>
      <c r="H863" s="1">
        <v>-6.2021740000000002E-6</v>
      </c>
      <c r="I863">
        <v>362.83640000000003</v>
      </c>
      <c r="J863">
        <v>-236.9958</v>
      </c>
      <c r="K863">
        <v>1.121022</v>
      </c>
      <c r="L863">
        <v>367.67110000000002</v>
      </c>
      <c r="M863">
        <v>0.99983460000000002</v>
      </c>
      <c r="N863">
        <v>-1.247117E-2</v>
      </c>
      <c r="O863">
        <v>-1.323684E-2</v>
      </c>
      <c r="P863">
        <v>0.97407999999999995</v>
      </c>
      <c r="Q863">
        <v>0.2135978</v>
      </c>
      <c r="R863">
        <v>-7.4460879999999993E-2</v>
      </c>
      <c r="S863">
        <v>3.06636</v>
      </c>
      <c r="T863">
        <v>-0.1242436</v>
      </c>
      <c r="U863">
        <v>-0.53619380000000005</v>
      </c>
      <c r="V863">
        <v>6.1554310000000001E-2</v>
      </c>
      <c r="W863">
        <v>0.22574169999999999</v>
      </c>
      <c r="X863">
        <v>0.97224060000000001</v>
      </c>
      <c r="Y863">
        <v>0.15903310000000001</v>
      </c>
      <c r="Z863">
        <v>-3.8279519999999999E-3</v>
      </c>
      <c r="AA863">
        <v>0.98726579999999997</v>
      </c>
      <c r="AB863">
        <v>38</v>
      </c>
      <c r="AC863">
        <v>27.419599999999999</v>
      </c>
      <c r="AD863">
        <v>-1.1210282021739999</v>
      </c>
      <c r="AE863">
        <v>-4.83469999999999</v>
      </c>
      <c r="AF863">
        <v>4.4640625027533103</v>
      </c>
      <c r="AG863">
        <v>-1.1210282021739999</v>
      </c>
      <c r="AH863">
        <v>27.436720364717399</v>
      </c>
      <c r="AI863">
        <v>92.309393944993303</v>
      </c>
      <c r="AJ863">
        <v>80.758729841556303</v>
      </c>
      <c r="AK863">
        <v>27.820103929177801</v>
      </c>
      <c r="AL863">
        <v>76.953503602285807</v>
      </c>
      <c r="AM863">
        <v>86.377335801131494</v>
      </c>
      <c r="AN863">
        <v>1.00000001624341</v>
      </c>
    </row>
    <row r="864" spans="1:40" x14ac:dyDescent="0.25">
      <c r="A864" t="str">
        <f>"20190303170956101"</f>
        <v>20190303170956101</v>
      </c>
      <c r="B864" t="str">
        <f>"1551604196092009"</f>
        <v>1551604196092009</v>
      </c>
      <c r="C864" t="s">
        <v>40</v>
      </c>
      <c r="D864">
        <v>4.4633289999999999</v>
      </c>
      <c r="E864">
        <v>0.54454190000000002</v>
      </c>
      <c r="F864" t="s">
        <v>44</v>
      </c>
      <c r="G864">
        <v>-209.80170000000001</v>
      </c>
      <c r="H864" s="1">
        <v>-6.2702440000000001E-6</v>
      </c>
      <c r="I864">
        <v>362.88380000000001</v>
      </c>
      <c r="J864">
        <v>-236.74529999999999</v>
      </c>
      <c r="K864">
        <v>1.1210359999999999</v>
      </c>
      <c r="L864">
        <v>367.6678</v>
      </c>
      <c r="M864">
        <v>0.99983350000000004</v>
      </c>
      <c r="N864">
        <v>-1.2596799999999899E-2</v>
      </c>
      <c r="O864">
        <v>-1.321843E-2</v>
      </c>
      <c r="P864">
        <v>0.9741455</v>
      </c>
      <c r="Q864">
        <v>0.2133719</v>
      </c>
      <c r="R864">
        <v>-7.4249949999999995E-2</v>
      </c>
      <c r="S864">
        <v>3.066284</v>
      </c>
      <c r="T864">
        <v>-0.12640199999999999</v>
      </c>
      <c r="U864">
        <v>-0.53979489999999997</v>
      </c>
      <c r="V864">
        <v>6.136084E-2</v>
      </c>
      <c r="W864">
        <v>0.22563859999999999</v>
      </c>
      <c r="X864">
        <v>0.97227669999999999</v>
      </c>
      <c r="Y864">
        <v>0.1601736</v>
      </c>
      <c r="Z864">
        <v>-3.9169000000000001E-3</v>
      </c>
      <c r="AA864">
        <v>0.98708110000000004</v>
      </c>
      <c r="AB864">
        <v>38</v>
      </c>
      <c r="AC864">
        <v>26.943599999999901</v>
      </c>
      <c r="AD864">
        <v>-1.1210422702439999</v>
      </c>
      <c r="AE864">
        <v>-4.78399999999999</v>
      </c>
      <c r="AF864">
        <v>4.41998392846528</v>
      </c>
      <c r="AG864">
        <v>-1.1210422702439999</v>
      </c>
      <c r="AH864">
        <v>26.959243695805601</v>
      </c>
      <c r="AI864">
        <v>92.349814200960594</v>
      </c>
      <c r="AJ864">
        <v>80.6891579105734</v>
      </c>
      <c r="AK864">
        <v>27.342161844839499</v>
      </c>
      <c r="AL864">
        <v>76.959566443866706</v>
      </c>
      <c r="AM864">
        <v>86.388825668622403</v>
      </c>
      <c r="AN864">
        <v>0.99999995592917601</v>
      </c>
    </row>
    <row r="865" spans="1:40" x14ac:dyDescent="0.25">
      <c r="A865" t="str">
        <f>"20190303170956115"</f>
        <v>20190303170956115</v>
      </c>
      <c r="B865" t="str">
        <f>"1551604196101769"</f>
        <v>1551604196101769</v>
      </c>
      <c r="C865" t="s">
        <v>40</v>
      </c>
      <c r="D865">
        <v>4.5021959999999996</v>
      </c>
      <c r="E865">
        <v>0.54467919999999903</v>
      </c>
      <c r="F865" t="s">
        <v>44</v>
      </c>
      <c r="G865">
        <v>-209.49950000000001</v>
      </c>
      <c r="H865" s="1">
        <v>-6.172929E-6</v>
      </c>
      <c r="I865">
        <v>362.85930000000002</v>
      </c>
      <c r="J865">
        <v>-236.50749999999999</v>
      </c>
      <c r="K865">
        <v>1.1210450000000001</v>
      </c>
      <c r="L865">
        <v>367.66460000000001</v>
      </c>
      <c r="M865">
        <v>0.99983219999999995</v>
      </c>
      <c r="N865">
        <v>-1.2709750000000001E-2</v>
      </c>
      <c r="O865">
        <v>-1.320114E-2</v>
      </c>
      <c r="P865">
        <v>0.97414199999999995</v>
      </c>
      <c r="Q865">
        <v>0.21339279999999999</v>
      </c>
      <c r="R865">
        <v>-7.4237960000000006E-2</v>
      </c>
      <c r="S865">
        <v>3.0660099999999999</v>
      </c>
      <c r="T865">
        <v>-0.1261525</v>
      </c>
      <c r="U865">
        <v>-0.54110719999999901</v>
      </c>
      <c r="V865">
        <v>6.1365589999999998E-2</v>
      </c>
      <c r="W865">
        <v>0.22576959999999999</v>
      </c>
      <c r="X865">
        <v>0.9722461</v>
      </c>
      <c r="Y865">
        <v>0.16061510000000001</v>
      </c>
      <c r="Z865">
        <v>-3.934608E-3</v>
      </c>
      <c r="AA865">
        <v>0.98700929999999998</v>
      </c>
      <c r="AB865">
        <v>38</v>
      </c>
      <c r="AC865">
        <v>27.0079999999999</v>
      </c>
      <c r="AD865">
        <v>-1.121051172929</v>
      </c>
      <c r="AE865">
        <v>-4.8052999999999804</v>
      </c>
      <c r="AF865">
        <v>4.4408995043752499</v>
      </c>
      <c r="AG865">
        <v>-1.121051172929</v>
      </c>
      <c r="AH865">
        <v>27.0239552024548</v>
      </c>
      <c r="AI865">
        <v>92.344069490986399</v>
      </c>
      <c r="AJ865">
        <v>80.6678803704893</v>
      </c>
      <c r="AK865">
        <v>27.409350574659101</v>
      </c>
      <c r="AL865">
        <v>76.951863314893899</v>
      </c>
      <c r="AM865">
        <v>86.388433499764105</v>
      </c>
      <c r="AN865">
        <v>1.0000000634427</v>
      </c>
    </row>
    <row r="866" spans="1:40" x14ac:dyDescent="0.25">
      <c r="A866" t="str">
        <f>"20190303170956130"</f>
        <v>20190303170956130</v>
      </c>
      <c r="B866" t="str">
        <f>"1551604196121289"</f>
        <v>1551604196121289</v>
      </c>
      <c r="C866" t="s">
        <v>40</v>
      </c>
      <c r="D866">
        <v>4.4991969999999997</v>
      </c>
      <c r="E866">
        <v>0.5449775</v>
      </c>
      <c r="F866" t="s">
        <v>44</v>
      </c>
      <c r="G866">
        <v>-209.2611</v>
      </c>
      <c r="H866" s="1">
        <v>-6.0953319999999999E-6</v>
      </c>
      <c r="I866">
        <v>362.84500000000003</v>
      </c>
      <c r="J866">
        <v>-236.25489999999999</v>
      </c>
      <c r="K866">
        <v>1.121057</v>
      </c>
      <c r="L866">
        <v>367.66129999999998</v>
      </c>
      <c r="M866">
        <v>0.99983100000000003</v>
      </c>
      <c r="N866">
        <v>-1.2821000000000001E-2</v>
      </c>
      <c r="O866">
        <v>-1.3184420000000001E-2</v>
      </c>
      <c r="P866">
        <v>0.97423559999999998</v>
      </c>
      <c r="Q866">
        <v>0.21303059999999999</v>
      </c>
      <c r="R866">
        <v>-7.4047310000000005E-2</v>
      </c>
      <c r="S866">
        <v>3.0659179999999999</v>
      </c>
      <c r="T866">
        <v>-0.1261468</v>
      </c>
      <c r="U866">
        <v>-0.54232789999999997</v>
      </c>
      <c r="V866">
        <v>6.1189920000000002E-2</v>
      </c>
      <c r="W866">
        <v>0.22551689999999999</v>
      </c>
      <c r="X866">
        <v>0.9723157</v>
      </c>
      <c r="Y866">
        <v>0.16101689999999999</v>
      </c>
      <c r="Z866">
        <v>-3.9562319999999996E-3</v>
      </c>
      <c r="AA866">
        <v>0.98694369999999998</v>
      </c>
      <c r="AB866">
        <v>38</v>
      </c>
      <c r="AC866">
        <v>26.9938</v>
      </c>
      <c r="AD866">
        <v>-1.121063095332</v>
      </c>
      <c r="AE866">
        <v>-4.8162999999999503</v>
      </c>
      <c r="AF866">
        <v>4.4525118567956898</v>
      </c>
      <c r="AG866">
        <v>-1.121063095332</v>
      </c>
      <c r="AH866">
        <v>27.0098101754288</v>
      </c>
      <c r="AI866">
        <v>92.345126920194502</v>
      </c>
      <c r="AJ866">
        <v>80.639096000300697</v>
      </c>
      <c r="AK866">
        <v>27.3972898296769</v>
      </c>
      <c r="AL866">
        <v>76.966723735223397</v>
      </c>
      <c r="AM866">
        <v>86.399002114890905</v>
      </c>
      <c r="AN866">
        <v>0.99999994948085102</v>
      </c>
    </row>
    <row r="867" spans="1:40" x14ac:dyDescent="0.25">
      <c r="A867" t="str">
        <f>"20190303170956143"</f>
        <v>20190303170956143</v>
      </c>
      <c r="B867" t="str">
        <f>"1551604196131049"</f>
        <v>1551604196131049</v>
      </c>
      <c r="C867" t="s">
        <v>40</v>
      </c>
      <c r="D867">
        <v>4.5127790000000001</v>
      </c>
      <c r="E867">
        <v>0.54513199999999995</v>
      </c>
      <c r="F867" t="s">
        <v>44</v>
      </c>
      <c r="G867">
        <v>-209.4349</v>
      </c>
      <c r="H867" s="1">
        <v>-6.1445740000000001E-6</v>
      </c>
      <c r="I867">
        <v>362.90230000000003</v>
      </c>
      <c r="J867">
        <v>-236.0326</v>
      </c>
      <c r="K867">
        <v>1.121068</v>
      </c>
      <c r="L867">
        <v>367.65839999999997</v>
      </c>
      <c r="M867">
        <v>0.99982990000000005</v>
      </c>
      <c r="N867">
        <v>-1.291394E-2</v>
      </c>
      <c r="O867">
        <v>-1.3169510000000001E-2</v>
      </c>
      <c r="P867">
        <v>0.97431290000000004</v>
      </c>
      <c r="Q867">
        <v>0.21274650000000001</v>
      </c>
      <c r="R867">
        <v>-7.3847430000000006E-2</v>
      </c>
      <c r="S867">
        <v>3.0660099999999999</v>
      </c>
      <c r="T867">
        <v>-0.12815750000000001</v>
      </c>
      <c r="U867">
        <v>-0.54403690000000005</v>
      </c>
      <c r="V867">
        <v>6.100328E-2</v>
      </c>
      <c r="W867">
        <v>0.2253241</v>
      </c>
      <c r="X867">
        <v>0.97237220000000002</v>
      </c>
      <c r="Y867">
        <v>0.16155429999999901</v>
      </c>
      <c r="Z867">
        <v>-4.0236600000000001E-3</v>
      </c>
      <c r="AA867">
        <v>0.98685560000000005</v>
      </c>
      <c r="AB867">
        <v>38</v>
      </c>
      <c r="AC867">
        <v>26.5977</v>
      </c>
      <c r="AD867">
        <v>-1.121074144574</v>
      </c>
      <c r="AE867">
        <v>-4.7560999999999396</v>
      </c>
      <c r="AF867">
        <v>4.3978086912876204</v>
      </c>
      <c r="AG867">
        <v>-1.121074144574</v>
      </c>
      <c r="AH867">
        <v>26.612220364271799</v>
      </c>
      <c r="AI867">
        <v>92.379991263616105</v>
      </c>
      <c r="AJ867">
        <v>80.616379264039395</v>
      </c>
      <c r="AK867">
        <v>26.9964405290653</v>
      </c>
      <c r="AL867">
        <v>76.978063167535794</v>
      </c>
      <c r="AM867">
        <v>86.410165076435703</v>
      </c>
      <c r="AN867">
        <v>1.0000000227721999</v>
      </c>
    </row>
    <row r="868" spans="1:40" x14ac:dyDescent="0.25">
      <c r="A868" t="str">
        <f>"20190303170956156"</f>
        <v>20190303170956156</v>
      </c>
      <c r="B868" t="str">
        <f>"1551604196141785"</f>
        <v>1551604196141785</v>
      </c>
      <c r="C868" t="s">
        <v>40</v>
      </c>
      <c r="D868">
        <v>4.5195019999999904</v>
      </c>
      <c r="E868">
        <v>0.54530719999999899</v>
      </c>
      <c r="F868" t="s">
        <v>44</v>
      </c>
      <c r="G868">
        <v>-209.471</v>
      </c>
      <c r="H868" s="1">
        <v>-6.150975E-6</v>
      </c>
      <c r="I868">
        <v>362.93880000000001</v>
      </c>
      <c r="J868">
        <v>-235.8185</v>
      </c>
      <c r="K868">
        <v>1.121076</v>
      </c>
      <c r="L868">
        <v>367.65559999999999</v>
      </c>
      <c r="M868">
        <v>0.99982890000000002</v>
      </c>
      <c r="N868">
        <v>-1.2999749999999999E-2</v>
      </c>
      <c r="O868">
        <v>-1.3155149999999999E-2</v>
      </c>
      <c r="P868">
        <v>0.97432859999999999</v>
      </c>
      <c r="Q868">
        <v>0.21265890000000001</v>
      </c>
      <c r="R868">
        <v>-7.3893559999999997E-2</v>
      </c>
      <c r="S868">
        <v>3.066055</v>
      </c>
      <c r="T868">
        <v>-0.129408</v>
      </c>
      <c r="U868">
        <v>-0.54479979999999995</v>
      </c>
      <c r="V868">
        <v>6.1062930000000001E-2</v>
      </c>
      <c r="W868">
        <v>0.22531989999999999</v>
      </c>
      <c r="X868">
        <v>0.97236940000000005</v>
      </c>
      <c r="Y868">
        <v>0.16180039999999901</v>
      </c>
      <c r="Z868">
        <v>-4.0662049999999998E-3</v>
      </c>
      <c r="AA868">
        <v>0.9868152</v>
      </c>
      <c r="AB868">
        <v>38</v>
      </c>
      <c r="AC868">
        <v>26.3475</v>
      </c>
      <c r="AD868">
        <v>-1.121082150975</v>
      </c>
      <c r="AE868">
        <v>-4.7167999999999699</v>
      </c>
      <c r="AF868">
        <v>4.3621048509601597</v>
      </c>
      <c r="AG868">
        <v>-1.121082150975</v>
      </c>
      <c r="AH868">
        <v>26.361030866869001</v>
      </c>
      <c r="AI868">
        <v>92.402575371278004</v>
      </c>
      <c r="AJ868">
        <v>80.604094665774298</v>
      </c>
      <c r="AK868">
        <v>26.743012775004001</v>
      </c>
      <c r="AL868">
        <v>76.978309785545704</v>
      </c>
      <c r="AM868">
        <v>86.4066537498842</v>
      </c>
      <c r="AN868">
        <v>0.99999999440627696</v>
      </c>
    </row>
    <row r="869" spans="1:40" x14ac:dyDescent="0.25">
      <c r="A869" t="str">
        <f>"20190303170956168"</f>
        <v>20190303170956168</v>
      </c>
      <c r="B869" t="str">
        <f>"1551604196161305"</f>
        <v>1551604196161305</v>
      </c>
      <c r="C869" t="s">
        <v>40</v>
      </c>
      <c r="D869">
        <v>4.4974990000000004</v>
      </c>
      <c r="E869">
        <v>0.54552369999999994</v>
      </c>
      <c r="F869" t="s">
        <v>44</v>
      </c>
      <c r="G869">
        <v>-209.36529999999999</v>
      </c>
      <c r="H869" s="1">
        <v>-6.1152689999999999E-6</v>
      </c>
      <c r="I869">
        <v>362.9409</v>
      </c>
      <c r="J869">
        <v>-235.61930000000001</v>
      </c>
      <c r="K869">
        <v>1.1210819999999999</v>
      </c>
      <c r="L869">
        <v>367.65300000000002</v>
      </c>
      <c r="M869">
        <v>0.99982819999999994</v>
      </c>
      <c r="N869">
        <v>-1.3072200000000001E-2</v>
      </c>
      <c r="O869">
        <v>-1.314214E-2</v>
      </c>
      <c r="P869">
        <v>0.97438570000000002</v>
      </c>
      <c r="Q869">
        <v>0.2124721</v>
      </c>
      <c r="R869">
        <v>-7.3679399999999895E-2</v>
      </c>
      <c r="S869">
        <v>3.0659939999999999</v>
      </c>
      <c r="T869">
        <v>-0.12993660000000001</v>
      </c>
      <c r="U869">
        <v>-0.54644780000000004</v>
      </c>
      <c r="V869">
        <v>6.086043E-2</v>
      </c>
      <c r="W869">
        <v>0.22520419999999999</v>
      </c>
      <c r="X869">
        <v>0.97240890000000002</v>
      </c>
      <c r="Y869">
        <v>0.16232859999999999</v>
      </c>
      <c r="Z869">
        <v>-4.099564E-3</v>
      </c>
      <c r="AA869">
        <v>0.9867283</v>
      </c>
      <c r="AB869">
        <v>38</v>
      </c>
      <c r="AC869">
        <v>26.254000000000001</v>
      </c>
      <c r="AD869">
        <v>-1.121088115269</v>
      </c>
      <c r="AE869">
        <v>-4.7121000000000199</v>
      </c>
      <c r="AF869">
        <v>4.3589296189572098</v>
      </c>
      <c r="AG869">
        <v>-1.121088115269</v>
      </c>
      <c r="AH869">
        <v>26.267262950427099</v>
      </c>
      <c r="AI869">
        <v>92.410972224101698</v>
      </c>
      <c r="AJ869">
        <v>80.5778950205965</v>
      </c>
      <c r="AK869">
        <v>26.650069585126801</v>
      </c>
      <c r="AL869">
        <v>76.985113806144597</v>
      </c>
      <c r="AM869">
        <v>86.418684223132502</v>
      </c>
      <c r="AN869">
        <v>0.99999999621831703</v>
      </c>
    </row>
    <row r="870" spans="1:40" x14ac:dyDescent="0.25">
      <c r="A870" t="str">
        <f>"20190303170956183"</f>
        <v>20190303170956183</v>
      </c>
      <c r="B870" t="str">
        <f>"1551604196171065"</f>
        <v>1551604196171065</v>
      </c>
      <c r="C870" t="s">
        <v>40</v>
      </c>
      <c r="D870">
        <v>4.489223</v>
      </c>
      <c r="E870">
        <v>0.54560730000000002</v>
      </c>
      <c r="F870" t="s">
        <v>44</v>
      </c>
      <c r="G870">
        <v>-209.37090000000001</v>
      </c>
      <c r="H870" s="1">
        <v>-6.1132899999999997E-6</v>
      </c>
      <c r="I870">
        <v>362.96539999999999</v>
      </c>
      <c r="J870">
        <v>-235.35820000000001</v>
      </c>
      <c r="K870">
        <v>1.121089</v>
      </c>
      <c r="L870">
        <v>367.64960000000002</v>
      </c>
      <c r="M870">
        <v>0.99982729999999997</v>
      </c>
      <c r="N870">
        <v>-1.316263E-2</v>
      </c>
      <c r="O870">
        <v>-1.3124719999999999E-2</v>
      </c>
      <c r="P870">
        <v>0.97434200000000004</v>
      </c>
      <c r="Q870">
        <v>0.2127201</v>
      </c>
      <c r="R870">
        <v>-7.3538099999999995E-2</v>
      </c>
      <c r="S870">
        <v>3.0659939999999999</v>
      </c>
      <c r="T870">
        <v>-0.1309505</v>
      </c>
      <c r="U870">
        <v>-0.54754639999999999</v>
      </c>
      <c r="V870">
        <v>6.0736470000000001E-2</v>
      </c>
      <c r="W870">
        <v>0.22554009999999999</v>
      </c>
      <c r="X870">
        <v>0.97233879999999995</v>
      </c>
      <c r="Y870">
        <v>0.1626852</v>
      </c>
      <c r="Z870">
        <v>-4.1408119999999998E-3</v>
      </c>
      <c r="AA870">
        <v>0.98666940000000003</v>
      </c>
      <c r="AB870">
        <v>38</v>
      </c>
      <c r="AC870">
        <v>25.987300000000001</v>
      </c>
      <c r="AD870">
        <v>-1.12109511329</v>
      </c>
      <c r="AE870">
        <v>-4.6842000000000299</v>
      </c>
      <c r="AF870">
        <v>4.3348772612052597</v>
      </c>
      <c r="AG870">
        <v>-1.12109511329</v>
      </c>
      <c r="AH870">
        <v>25.999680800342102</v>
      </c>
      <c r="AI870">
        <v>92.435462580262097</v>
      </c>
      <c r="AJ870">
        <v>80.534253342683897</v>
      </c>
      <c r="AK870">
        <v>26.382407335996401</v>
      </c>
      <c r="AL870">
        <v>76.965359974476996</v>
      </c>
      <c r="AM870">
        <v>86.425702689931896</v>
      </c>
      <c r="AN870">
        <v>0.99999999874075496</v>
      </c>
    </row>
    <row r="871" spans="1:40" x14ac:dyDescent="0.25">
      <c r="A871" t="str">
        <f>"20190303170956206"</f>
        <v>20190303170956206</v>
      </c>
      <c r="B871" t="str">
        <f>"1551604196191561"</f>
        <v>1551604196191561</v>
      </c>
      <c r="C871" t="s">
        <v>40</v>
      </c>
      <c r="D871">
        <v>4.520829</v>
      </c>
      <c r="E871">
        <v>0.54893890000000001</v>
      </c>
      <c r="F871" t="s">
        <v>44</v>
      </c>
      <c r="G871">
        <v>-208.98689999999999</v>
      </c>
      <c r="H871" s="1">
        <v>-5.9893079999999998E-6</v>
      </c>
      <c r="I871">
        <v>362.93619999999999</v>
      </c>
      <c r="J871">
        <v>-234.98249999999999</v>
      </c>
      <c r="K871">
        <v>1.121095</v>
      </c>
      <c r="L871">
        <v>367.6447</v>
      </c>
      <c r="M871">
        <v>0.99982610000000005</v>
      </c>
      <c r="N871">
        <v>-1.327976E-2</v>
      </c>
      <c r="O871">
        <v>-1.3098780000000001E-2</v>
      </c>
      <c r="P871">
        <v>0.97434989999999999</v>
      </c>
      <c r="Q871">
        <v>0.212701</v>
      </c>
      <c r="R871">
        <v>-7.3489639999999995E-2</v>
      </c>
      <c r="S871">
        <v>3.0660859999999999</v>
      </c>
      <c r="T871">
        <v>-0.13034509999999999</v>
      </c>
      <c r="U871">
        <v>-0.54800419999999905</v>
      </c>
      <c r="V871">
        <v>6.0713620000000003E-2</v>
      </c>
      <c r="W871">
        <v>0.22563440000000001</v>
      </c>
      <c r="X871">
        <v>0.97231840000000003</v>
      </c>
      <c r="Y871">
        <v>0.1628493</v>
      </c>
      <c r="Z871">
        <v>-4.1437949999999996E-3</v>
      </c>
      <c r="AA871">
        <v>0.98664220000000002</v>
      </c>
      <c r="AB871">
        <v>38</v>
      </c>
      <c r="AC871">
        <v>25.9956</v>
      </c>
      <c r="AD871">
        <v>-1.121100989308</v>
      </c>
      <c r="AE871">
        <v>-4.7085000000000097</v>
      </c>
      <c r="AF871">
        <v>4.3597042782498301</v>
      </c>
      <c r="AG871">
        <v>-1.121100989308</v>
      </c>
      <c r="AH871">
        <v>26.008214265376999</v>
      </c>
      <c r="AI871">
        <v>92.434321336650299</v>
      </c>
      <c r="AJ871">
        <v>80.484095895870297</v>
      </c>
      <c r="AK871">
        <v>26.394906669578798</v>
      </c>
      <c r="AL871">
        <v>76.959814685272093</v>
      </c>
      <c r="AM871">
        <v>86.426969142590494</v>
      </c>
      <c r="AN871">
        <v>1.0000000485477101</v>
      </c>
    </row>
    <row r="872" spans="1:40" x14ac:dyDescent="0.25">
      <c r="A872" t="str">
        <f>"20190303170956217"</f>
        <v>20190303170956217</v>
      </c>
      <c r="B872" t="str">
        <f>"1551604196201321"</f>
        <v>1551604196201321</v>
      </c>
      <c r="C872" t="s">
        <v>40</v>
      </c>
      <c r="D872">
        <v>4.5008010000000001</v>
      </c>
      <c r="E872">
        <v>0.54845109999999997</v>
      </c>
      <c r="F872" t="s">
        <v>44</v>
      </c>
      <c r="G872">
        <v>-209.393</v>
      </c>
      <c r="H872" s="1">
        <v>-6.1386329999999901E-6</v>
      </c>
      <c r="I872">
        <v>362.85059999999999</v>
      </c>
      <c r="J872">
        <v>-234.7843</v>
      </c>
      <c r="K872">
        <v>1.1210990000000001</v>
      </c>
      <c r="L872">
        <v>367.64210000000003</v>
      </c>
      <c r="M872">
        <v>0.99982539999999998</v>
      </c>
      <c r="N872">
        <v>-1.333698E-2</v>
      </c>
      <c r="O872">
        <v>-1.308485E-2</v>
      </c>
      <c r="P872">
        <v>0.97441599999999995</v>
      </c>
      <c r="Q872">
        <v>0.2124423</v>
      </c>
      <c r="R872">
        <v>-7.3361280000000001E-2</v>
      </c>
      <c r="S872">
        <v>3.064972</v>
      </c>
      <c r="T872">
        <v>-0.1342796</v>
      </c>
      <c r="U872">
        <v>-0.57421880000000003</v>
      </c>
      <c r="V872">
        <v>6.0597869999999998E-2</v>
      </c>
      <c r="W872">
        <v>0.22543279999999999</v>
      </c>
      <c r="X872">
        <v>0.97237240000000003</v>
      </c>
      <c r="Y872">
        <v>0.17106459999999901</v>
      </c>
      <c r="Z872">
        <v>-4.4696850000000002E-3</v>
      </c>
      <c r="AA872">
        <v>0.98524959999999995</v>
      </c>
      <c r="AB872">
        <v>38</v>
      </c>
      <c r="AC872">
        <v>25.391300000000001</v>
      </c>
      <c r="AD872">
        <v>-1.121105138633</v>
      </c>
      <c r="AE872">
        <v>-4.7915000000000401</v>
      </c>
      <c r="AF872">
        <v>4.4504410149355396</v>
      </c>
      <c r="AG872">
        <v>-1.121105138633</v>
      </c>
      <c r="AH872">
        <v>25.4040053839575</v>
      </c>
      <c r="AI872">
        <v>92.489025573542904</v>
      </c>
      <c r="AJ872">
        <v>80.063381812732004</v>
      </c>
      <c r="AK872">
        <v>25.815243394309299</v>
      </c>
      <c r="AL872">
        <v>76.971671227802005</v>
      </c>
      <c r="AM872">
        <v>86.433961036100598</v>
      </c>
      <c r="AN872">
        <v>1.00000006672306</v>
      </c>
    </row>
    <row r="873" spans="1:40" x14ac:dyDescent="0.25">
      <c r="A873" t="str">
        <f>"20190303170956233"</f>
        <v>20190303170956233</v>
      </c>
      <c r="B873" t="str">
        <f>"1551604196221816"</f>
        <v>1551604196221816</v>
      </c>
      <c r="C873" t="s">
        <v>40</v>
      </c>
      <c r="D873">
        <v>4.5093259999999997</v>
      </c>
      <c r="E873">
        <v>0.5488809</v>
      </c>
      <c r="F873" t="s">
        <v>44</v>
      </c>
      <c r="G873">
        <v>-208.53829999999999</v>
      </c>
      <c r="H873" s="1">
        <v>-5.8666049999999901E-6</v>
      </c>
      <c r="I873">
        <v>362.76029999999997</v>
      </c>
      <c r="J873">
        <v>-234.51750000000001</v>
      </c>
      <c r="K873">
        <v>1.1211040000000001</v>
      </c>
      <c r="L873">
        <v>367.6386</v>
      </c>
      <c r="M873">
        <v>0.99982479999999996</v>
      </c>
      <c r="N873">
        <v>-1.340626E-2</v>
      </c>
      <c r="O873">
        <v>-1.306647E-2</v>
      </c>
      <c r="P873">
        <v>0.97439249999999999</v>
      </c>
      <c r="Q873">
        <v>0.2125495</v>
      </c>
      <c r="R873">
        <v>-7.3363750000000005E-2</v>
      </c>
      <c r="S873">
        <v>3.0643769999999999</v>
      </c>
      <c r="T873">
        <v>-0.130895699999999</v>
      </c>
      <c r="U873">
        <v>-0.56997679999999995</v>
      </c>
      <c r="V873">
        <v>6.0618400000000003E-2</v>
      </c>
      <c r="W873">
        <v>0.22560659999999999</v>
      </c>
      <c r="X873">
        <v>0.97233069999999999</v>
      </c>
      <c r="Y873">
        <v>0.16980909999999999</v>
      </c>
      <c r="Z873">
        <v>-4.3636630000000003E-3</v>
      </c>
      <c r="AA873">
        <v>0.98546730000000005</v>
      </c>
      <c r="AB873">
        <v>38</v>
      </c>
      <c r="AC873">
        <v>25.979199999999999</v>
      </c>
      <c r="AD873">
        <v>-1.1211098666049999</v>
      </c>
      <c r="AE873">
        <v>-4.8783000000000198</v>
      </c>
      <c r="AF873">
        <v>4.5302472927667798</v>
      </c>
      <c r="AG873">
        <v>-1.1211098666049999</v>
      </c>
      <c r="AH873">
        <v>25.993970357730898</v>
      </c>
      <c r="AI873">
        <v>92.4329862158217</v>
      </c>
      <c r="AJ873">
        <v>80.113747708453502</v>
      </c>
      <c r="AK873">
        <v>26.4095914929636</v>
      </c>
      <c r="AL873">
        <v>76.961448480843401</v>
      </c>
      <c r="AM873">
        <v>86.432603422061902</v>
      </c>
      <c r="AN873">
        <v>0.99999995927230401</v>
      </c>
    </row>
    <row r="874" spans="1:40" x14ac:dyDescent="0.25">
      <c r="A874" t="str">
        <f>"20190303170956251"</f>
        <v>20190303170956251</v>
      </c>
      <c r="B874" t="str">
        <f>"1551604196241337"</f>
        <v>1551604196241337</v>
      </c>
      <c r="C874" t="s">
        <v>40</v>
      </c>
      <c r="D874">
        <v>4.4860069999999999</v>
      </c>
      <c r="E874">
        <v>0.54906339999999998</v>
      </c>
      <c r="F874" t="s">
        <v>44</v>
      </c>
      <c r="G874">
        <v>-208.22409999999999</v>
      </c>
      <c r="H874" s="1">
        <v>-5.7685729999999996E-6</v>
      </c>
      <c r="I874">
        <v>362.71460000000002</v>
      </c>
      <c r="J874">
        <v>-234.21709999999999</v>
      </c>
      <c r="K874">
        <v>1.121103</v>
      </c>
      <c r="L874">
        <v>367.63470000000001</v>
      </c>
      <c r="M874">
        <v>0.99982420000000005</v>
      </c>
      <c r="N874">
        <v>-1.347697E-2</v>
      </c>
      <c r="O874">
        <v>-1.304525E-2</v>
      </c>
      <c r="P874">
        <v>0.97445329999999997</v>
      </c>
      <c r="Q874">
        <v>0.21227550000000001</v>
      </c>
      <c r="R874">
        <v>-7.3348259999999998E-2</v>
      </c>
      <c r="S874">
        <v>3.064117</v>
      </c>
      <c r="T874">
        <v>-0.13064899999999999</v>
      </c>
      <c r="U874">
        <v>-0.57382200000000005</v>
      </c>
      <c r="V874">
        <v>6.0622919999999997E-2</v>
      </c>
      <c r="W874">
        <v>0.22540209999999999</v>
      </c>
      <c r="X874">
        <v>0.97237790000000002</v>
      </c>
      <c r="Y874">
        <v>0.17103879999999999</v>
      </c>
      <c r="Z874">
        <v>-4.3998809999999996E-3</v>
      </c>
      <c r="AA874">
        <v>0.98525450000000003</v>
      </c>
      <c r="AB874">
        <v>38</v>
      </c>
      <c r="AC874">
        <v>25.992999999999899</v>
      </c>
      <c r="AD874">
        <v>-1.1211087685729999</v>
      </c>
      <c r="AE874">
        <v>-4.9200999999999899</v>
      </c>
      <c r="AF874">
        <v>4.5723535922916598</v>
      </c>
      <c r="AG874">
        <v>-1.1211087685729999</v>
      </c>
      <c r="AH874">
        <v>26.008267947486399</v>
      </c>
      <c r="AI874">
        <v>92.431019745952398</v>
      </c>
      <c r="AJ874">
        <v>80.029072073551106</v>
      </c>
      <c r="AK874">
        <v>26.430915683573399</v>
      </c>
      <c r="AL874">
        <v>76.973475960947198</v>
      </c>
      <c r="AM874">
        <v>86.432510836698796</v>
      </c>
      <c r="AN874">
        <v>1.00000001276107</v>
      </c>
    </row>
    <row r="875" spans="1:40" x14ac:dyDescent="0.25">
      <c r="A875" t="str">
        <f>"20190303170956266"</f>
        <v>20190303170956266</v>
      </c>
      <c r="B875" t="str">
        <f>"1551604196261833"</f>
        <v>1551604196261833</v>
      </c>
      <c r="C875" t="s">
        <v>40</v>
      </c>
      <c r="D875">
        <v>4.5201949999999904</v>
      </c>
      <c r="E875">
        <v>0.54928219999999905</v>
      </c>
      <c r="F875" t="s">
        <v>44</v>
      </c>
      <c r="G875">
        <v>-208.2929</v>
      </c>
      <c r="H875" s="1">
        <v>-5.7829939999999998E-6</v>
      </c>
      <c r="I875">
        <v>362.7697</v>
      </c>
      <c r="J875">
        <v>-233.96700000000001</v>
      </c>
      <c r="K875">
        <v>1.121105</v>
      </c>
      <c r="L875">
        <v>367.63150000000002</v>
      </c>
      <c r="M875">
        <v>0.99982360000000003</v>
      </c>
      <c r="N875">
        <v>-1.3530240000000001E-2</v>
      </c>
      <c r="O875">
        <v>-1.3027250000000001E-2</v>
      </c>
      <c r="P875">
        <v>0.97444350000000002</v>
      </c>
      <c r="Q875">
        <v>0.21225630000000001</v>
      </c>
      <c r="R875">
        <v>-7.3534769999999999E-2</v>
      </c>
      <c r="S875">
        <v>3.0642399999999999</v>
      </c>
      <c r="T875">
        <v>-0.13251499999999999</v>
      </c>
      <c r="U875">
        <v>-0.57504270000000002</v>
      </c>
      <c r="V875">
        <v>6.082709E-2</v>
      </c>
      <c r="W875">
        <v>0.22543469999999999</v>
      </c>
      <c r="X875">
        <v>0.97235760000000004</v>
      </c>
      <c r="Y875">
        <v>0.1714232</v>
      </c>
      <c r="Z875">
        <v>-4.4600739999999996E-3</v>
      </c>
      <c r="AA875">
        <v>0.98518740000000005</v>
      </c>
      <c r="AB875">
        <v>38</v>
      </c>
      <c r="AC875">
        <v>25.674099999999999</v>
      </c>
      <c r="AD875">
        <v>-1.1211107829939999</v>
      </c>
      <c r="AE875">
        <v>-4.8618000000000103</v>
      </c>
      <c r="AF875">
        <v>4.5185760452806401</v>
      </c>
      <c r="AG875">
        <v>-1.1211107829939999</v>
      </c>
      <c r="AH875">
        <v>25.687976289173601</v>
      </c>
      <c r="AI875">
        <v>92.461257077189401</v>
      </c>
      <c r="AJ875">
        <v>80.0235962293564</v>
      </c>
      <c r="AK875">
        <v>26.106446420335999</v>
      </c>
      <c r="AL875">
        <v>76.971558877497998</v>
      </c>
      <c r="AM875">
        <v>86.420452654548498</v>
      </c>
      <c r="AN875">
        <v>1.00000002055985</v>
      </c>
    </row>
    <row r="876" spans="1:40" x14ac:dyDescent="0.25">
      <c r="A876" t="str">
        <f>"20190303170956280"</f>
        <v>20190303170956280</v>
      </c>
      <c r="B876" t="str">
        <f>"1551604196271593"</f>
        <v>1551604196271593</v>
      </c>
      <c r="C876" t="s">
        <v>40</v>
      </c>
      <c r="D876">
        <v>4.5181170000000002</v>
      </c>
      <c r="E876">
        <v>0.54953680000000005</v>
      </c>
      <c r="F876" t="s">
        <v>44</v>
      </c>
      <c r="G876">
        <v>-208.12569999999999</v>
      </c>
      <c r="H876" s="1">
        <v>-5.7283209999999998E-6</v>
      </c>
      <c r="I876">
        <v>362.76150000000001</v>
      </c>
      <c r="J876">
        <v>-233.7278</v>
      </c>
      <c r="K876">
        <v>1.1211089999999999</v>
      </c>
      <c r="L876">
        <v>367.6284</v>
      </c>
      <c r="M876">
        <v>0.99982320000000002</v>
      </c>
      <c r="N876">
        <v>-1.357738E-2</v>
      </c>
      <c r="O876">
        <v>-1.3010399999999899E-2</v>
      </c>
      <c r="P876">
        <v>0.97442810000000002</v>
      </c>
      <c r="Q876">
        <v>0.212342</v>
      </c>
      <c r="R876">
        <v>-7.3492650000000007E-2</v>
      </c>
      <c r="S876">
        <v>3.0640719999999999</v>
      </c>
      <c r="T876">
        <v>-0.1329331</v>
      </c>
      <c r="U876">
        <v>-0.57745360000000001</v>
      </c>
      <c r="V876">
        <v>6.0801699999999903E-2</v>
      </c>
      <c r="W876">
        <v>0.22556609999999999</v>
      </c>
      <c r="X876">
        <v>0.97232870000000005</v>
      </c>
      <c r="Y876">
        <v>0.17219599999999999</v>
      </c>
      <c r="Z876">
        <v>-4.4970030000000003E-3</v>
      </c>
      <c r="AA876">
        <v>0.9850525</v>
      </c>
      <c r="AB876">
        <v>38</v>
      </c>
      <c r="AC876">
        <v>25.6021</v>
      </c>
      <c r="AD876">
        <v>-1.1211147283209999</v>
      </c>
      <c r="AE876">
        <v>-4.8668999999999798</v>
      </c>
      <c r="AF876">
        <v>4.52498942043621</v>
      </c>
      <c r="AG876">
        <v>-1.1211147283209999</v>
      </c>
      <c r="AH876">
        <v>25.6158520348657</v>
      </c>
      <c r="AI876">
        <v>92.467872907357503</v>
      </c>
      <c r="AJ876">
        <v>79.982161701276695</v>
      </c>
      <c r="AK876">
        <v>26.0365954564197</v>
      </c>
      <c r="AL876">
        <v>76.963830983973196</v>
      </c>
      <c r="AM876">
        <v>86.421836848289502</v>
      </c>
      <c r="AN876">
        <v>1.00000000651789</v>
      </c>
    </row>
    <row r="877" spans="1:40" x14ac:dyDescent="0.25">
      <c r="A877" t="str">
        <f>"20190303170956293"</f>
        <v>20190303170956293</v>
      </c>
      <c r="B877" t="str">
        <f>"1551604196281354"</f>
        <v>1551604196281354</v>
      </c>
      <c r="C877" t="s">
        <v>40</v>
      </c>
      <c r="D877">
        <v>4.5252309999999998</v>
      </c>
      <c r="E877">
        <v>0.54964389999999996</v>
      </c>
      <c r="F877" t="s">
        <v>44</v>
      </c>
      <c r="G877">
        <v>-207.80430000000001</v>
      </c>
      <c r="H877" s="1">
        <v>-5.6260900000000004E-6</v>
      </c>
      <c r="I877">
        <v>362.72719999999998</v>
      </c>
      <c r="J877">
        <v>-233.50470000000001</v>
      </c>
      <c r="K877">
        <v>1.121113</v>
      </c>
      <c r="L877">
        <v>367.62549999999999</v>
      </c>
      <c r="M877">
        <v>0.99982289999999996</v>
      </c>
      <c r="N877">
        <v>-1.361744E-2</v>
      </c>
      <c r="O877">
        <v>-1.299528E-2</v>
      </c>
      <c r="P877">
        <v>0.97441730000000004</v>
      </c>
      <c r="Q877">
        <v>0.21235770000000001</v>
      </c>
      <c r="R877">
        <v>-7.3587819999999998E-2</v>
      </c>
      <c r="S877">
        <v>3.0639340000000002</v>
      </c>
      <c r="T877">
        <v>-0.13250609999999999</v>
      </c>
      <c r="U877">
        <v>-0.57928469999999999</v>
      </c>
      <c r="V877">
        <v>6.0911710000000001E-2</v>
      </c>
      <c r="W877">
        <v>0.2256205</v>
      </c>
      <c r="X877">
        <v>0.97230919999999998</v>
      </c>
      <c r="Y877">
        <v>0.17278760000000001</v>
      </c>
      <c r="Z877">
        <v>-4.50812E-3</v>
      </c>
      <c r="AA877">
        <v>0.98494879999999996</v>
      </c>
      <c r="AB877">
        <v>38</v>
      </c>
      <c r="AC877">
        <v>25.700399999999998</v>
      </c>
      <c r="AD877">
        <v>-1.1211186260899999</v>
      </c>
      <c r="AE877">
        <v>-4.8982999999999999</v>
      </c>
      <c r="AF877">
        <v>4.5555064992860199</v>
      </c>
      <c r="AG877">
        <v>-1.1211186260899999</v>
      </c>
      <c r="AH877">
        <v>25.714672011077901</v>
      </c>
      <c r="AI877">
        <v>92.458195297661504</v>
      </c>
      <c r="AJ877">
        <v>79.953943694102307</v>
      </c>
      <c r="AK877">
        <v>26.139125904974598</v>
      </c>
      <c r="AL877">
        <v>76.960631710560406</v>
      </c>
      <c r="AM877">
        <v>86.415307952361204</v>
      </c>
      <c r="AN877">
        <v>1.00000001342</v>
      </c>
    </row>
    <row r="878" spans="1:40" x14ac:dyDescent="0.25">
      <c r="A878" t="str">
        <f>"20190303170956307"</f>
        <v>20190303170956307</v>
      </c>
      <c r="B878" t="str">
        <f>"1551604196301849"</f>
        <v>1551604196301849</v>
      </c>
      <c r="C878" t="s">
        <v>40</v>
      </c>
      <c r="D878">
        <v>4.5124420000000001</v>
      </c>
      <c r="E878">
        <v>0.54991919999999905</v>
      </c>
      <c r="F878" t="s">
        <v>44</v>
      </c>
      <c r="G878">
        <v>-207.7063</v>
      </c>
      <c r="H878" s="1">
        <v>-5.5919039999999999E-6</v>
      </c>
      <c r="I878">
        <v>362.73610000000002</v>
      </c>
      <c r="J878">
        <v>-233.28319999999999</v>
      </c>
      <c r="K878">
        <v>1.1211169999999999</v>
      </c>
      <c r="L878">
        <v>367.62270000000001</v>
      </c>
      <c r="M878">
        <v>0.99982260000000001</v>
      </c>
      <c r="N878">
        <v>-1.3653490000000001E-2</v>
      </c>
      <c r="O878">
        <v>-1.297967E-2</v>
      </c>
      <c r="P878">
        <v>0.9743752</v>
      </c>
      <c r="Q878">
        <v>0.2125068</v>
      </c>
      <c r="R878">
        <v>-7.3716499999999893E-2</v>
      </c>
      <c r="S878">
        <v>3.0639500000000002</v>
      </c>
      <c r="T878">
        <v>-0.1331502</v>
      </c>
      <c r="U878">
        <v>-0.58068850000000005</v>
      </c>
      <c r="V878">
        <v>6.1055909999999998E-2</v>
      </c>
      <c r="W878">
        <v>0.22580449999999999</v>
      </c>
      <c r="X878">
        <v>0.97225740000000005</v>
      </c>
      <c r="Y878">
        <v>0.17323529999999901</v>
      </c>
      <c r="Z878">
        <v>-4.5400859999999996E-3</v>
      </c>
      <c r="AA878">
        <v>0.98487000000000002</v>
      </c>
      <c r="AB878">
        <v>38</v>
      </c>
      <c r="AC878">
        <v>25.576899999999899</v>
      </c>
      <c r="AD878">
        <v>-1.121122591904</v>
      </c>
      <c r="AE878">
        <v>-4.8865999999999801</v>
      </c>
      <c r="AF878">
        <v>4.5457511556785999</v>
      </c>
      <c r="AG878">
        <v>-1.121122591904</v>
      </c>
      <c r="AH878">
        <v>25.590739740762</v>
      </c>
      <c r="AI878">
        <v>92.469891737445295</v>
      </c>
      <c r="AJ878">
        <v>79.927462151803496</v>
      </c>
      <c r="AK878">
        <v>26.015509411019501</v>
      </c>
      <c r="AL878">
        <v>76.949809500260898</v>
      </c>
      <c r="AM878">
        <v>86.406652964207197</v>
      </c>
      <c r="AN878">
        <v>0.99999997411046804</v>
      </c>
    </row>
    <row r="879" spans="1:40" x14ac:dyDescent="0.25">
      <c r="A879" t="str">
        <f>"20190303170956319"</f>
        <v>20190303170956319</v>
      </c>
      <c r="B879" t="str">
        <f>"1551604196311609"</f>
        <v>1551604196311609</v>
      </c>
      <c r="C879" t="s">
        <v>40</v>
      </c>
      <c r="D879">
        <v>4.5083409999999997</v>
      </c>
      <c r="E879">
        <v>0.55000119999999997</v>
      </c>
      <c r="F879" t="s">
        <v>44</v>
      </c>
      <c r="G879">
        <v>-207.61259999999999</v>
      </c>
      <c r="H879" s="1">
        <v>-5.5607409999999996E-6</v>
      </c>
      <c r="I879">
        <v>362.73469999999998</v>
      </c>
      <c r="J879">
        <v>-233.06630000000001</v>
      </c>
      <c r="K879">
        <v>1.1211199999999999</v>
      </c>
      <c r="L879">
        <v>367.6198</v>
      </c>
      <c r="M879">
        <v>0.99982230000000005</v>
      </c>
      <c r="N879">
        <v>-1.36867E-2</v>
      </c>
      <c r="O879">
        <v>-1.2964639999999999E-2</v>
      </c>
      <c r="P879">
        <v>0.97433689999999995</v>
      </c>
      <c r="Q879">
        <v>0.21261060000000001</v>
      </c>
      <c r="R879">
        <v>-7.3920340000000001E-2</v>
      </c>
      <c r="S879">
        <v>3.0639500000000002</v>
      </c>
      <c r="T879">
        <v>-0.13381309999999999</v>
      </c>
      <c r="U879">
        <v>-0.58340449999999999</v>
      </c>
      <c r="V879">
        <v>6.1275030000000001E-2</v>
      </c>
      <c r="W879">
        <v>0.22593959999999999</v>
      </c>
      <c r="X879">
        <v>0.97221230000000003</v>
      </c>
      <c r="Y879">
        <v>0.17408979999999999</v>
      </c>
      <c r="Z879">
        <v>-4.5838509999999999E-3</v>
      </c>
      <c r="AA879">
        <v>0.98471909999999896</v>
      </c>
      <c r="AB879">
        <v>38</v>
      </c>
      <c r="AC879">
        <v>25.453700000000001</v>
      </c>
      <c r="AD879">
        <v>-1.121125560741</v>
      </c>
      <c r="AE879">
        <v>-4.88510000000002</v>
      </c>
      <c r="AF879">
        <v>4.5461540737088297</v>
      </c>
      <c r="AG879">
        <v>-1.121125560741</v>
      </c>
      <c r="AH879">
        <v>25.467248020226201</v>
      </c>
      <c r="AI879">
        <v>92.481484717145506</v>
      </c>
      <c r="AJ879">
        <v>79.878748743669206</v>
      </c>
      <c r="AK879">
        <v>25.894114410586901</v>
      </c>
      <c r="AL879">
        <v>76.941864422904402</v>
      </c>
      <c r="AM879">
        <v>86.3936241335755</v>
      </c>
      <c r="AN879">
        <v>1.00000004421047</v>
      </c>
    </row>
    <row r="880" spans="1:40" x14ac:dyDescent="0.25">
      <c r="A880" t="str">
        <f>"20190303170956332"</f>
        <v>20190303170956332</v>
      </c>
      <c r="B880" t="str">
        <f>"1551604196321369"</f>
        <v>1551604196321369</v>
      </c>
      <c r="C880" t="s">
        <v>40</v>
      </c>
      <c r="D880">
        <v>4.5346580000000003</v>
      </c>
      <c r="E880">
        <v>0.55013069999999997</v>
      </c>
      <c r="F880" t="s">
        <v>44</v>
      </c>
      <c r="G880">
        <v>-207.47499999999999</v>
      </c>
      <c r="H880" s="1">
        <v>-5.51410999999999E-6</v>
      </c>
      <c r="I880">
        <v>362.73840000000001</v>
      </c>
      <c r="J880">
        <v>-232.8509</v>
      </c>
      <c r="K880">
        <v>1.1211249999999999</v>
      </c>
      <c r="L880">
        <v>367.61700000000002</v>
      </c>
      <c r="M880">
        <v>0.99982210000000005</v>
      </c>
      <c r="N880">
        <v>-1.3716529999999999E-2</v>
      </c>
      <c r="O880">
        <v>-1.295017E-2</v>
      </c>
      <c r="P880">
        <v>0.97436140000000004</v>
      </c>
      <c r="Q880">
        <v>0.2124106</v>
      </c>
      <c r="R880">
        <v>-7.4175889999999994E-2</v>
      </c>
      <c r="S880">
        <v>3.063965</v>
      </c>
      <c r="T880">
        <v>-0.1342286</v>
      </c>
      <c r="U880">
        <v>-0.58444209999999996</v>
      </c>
      <c r="V880">
        <v>6.1544160000000001E-2</v>
      </c>
      <c r="W880">
        <v>0.22576959999999999</v>
      </c>
      <c r="X880">
        <v>0.97223470000000001</v>
      </c>
      <c r="Y880">
        <v>0.1744233</v>
      </c>
      <c r="Z880">
        <v>-4.6066919999999999E-3</v>
      </c>
      <c r="AA880">
        <v>0.98465999999999998</v>
      </c>
      <c r="AB880">
        <v>38</v>
      </c>
      <c r="AC880">
        <v>25.375900000000001</v>
      </c>
      <c r="AD880">
        <v>-1.1211305141100001</v>
      </c>
      <c r="AE880">
        <v>-4.8785999999999401</v>
      </c>
      <c r="AF880">
        <v>4.5409898344306798</v>
      </c>
      <c r="AG880">
        <v>-1.1211305141100001</v>
      </c>
      <c r="AH880">
        <v>25.3891642858597</v>
      </c>
      <c r="AI880">
        <v>92.488969098468402</v>
      </c>
      <c r="AJ880">
        <v>79.859560016288199</v>
      </c>
      <c r="AK880">
        <v>25.816413101754598</v>
      </c>
      <c r="AL880">
        <v>76.951861860321699</v>
      </c>
      <c r="AM880">
        <v>86.377909648101806</v>
      </c>
      <c r="AN880">
        <v>0.99999995389917595</v>
      </c>
    </row>
    <row r="881" spans="1:40" x14ac:dyDescent="0.25">
      <c r="A881" t="str">
        <f>"20190303170956347"</f>
        <v>20190303170956347</v>
      </c>
      <c r="B881" t="str">
        <f>"1551604196341866"</f>
        <v>1551604196341866</v>
      </c>
      <c r="C881" t="s">
        <v>40</v>
      </c>
      <c r="D881">
        <v>4.5531230000000003</v>
      </c>
      <c r="E881">
        <v>0.55048850000000005</v>
      </c>
      <c r="F881" t="s">
        <v>44</v>
      </c>
      <c r="G881">
        <v>-207.542</v>
      </c>
      <c r="H881" s="1">
        <v>-5.5306159999999996E-6</v>
      </c>
      <c r="I881">
        <v>362.77620000000002</v>
      </c>
      <c r="J881">
        <v>-232.60769999999999</v>
      </c>
      <c r="K881">
        <v>1.121127</v>
      </c>
      <c r="L881">
        <v>367.6139</v>
      </c>
      <c r="M881">
        <v>0.99982199999999999</v>
      </c>
      <c r="N881">
        <v>-1.374714E-2</v>
      </c>
      <c r="O881">
        <v>-1.293357E-2</v>
      </c>
      <c r="P881">
        <v>0.97430430000000001</v>
      </c>
      <c r="Q881">
        <v>0.21264449999999999</v>
      </c>
      <c r="R881">
        <v>-7.4256310000000006E-2</v>
      </c>
      <c r="S881">
        <v>3.063904</v>
      </c>
      <c r="T881">
        <v>-0.1357244</v>
      </c>
      <c r="U881">
        <v>-0.58602909999999997</v>
      </c>
      <c r="V881">
        <v>6.1641309999999998E-2</v>
      </c>
      <c r="W881">
        <v>0.22603200000000001</v>
      </c>
      <c r="X881">
        <v>0.97216760000000002</v>
      </c>
      <c r="Y881">
        <v>0.17493049999999999</v>
      </c>
      <c r="Z881">
        <v>-4.6607819999999996E-3</v>
      </c>
      <c r="AA881">
        <v>0.98456969999999999</v>
      </c>
      <c r="AB881">
        <v>38</v>
      </c>
      <c r="AC881">
        <v>25.0657</v>
      </c>
      <c r="AD881">
        <v>-1.121132530616</v>
      </c>
      <c r="AE881">
        <v>-4.8376999999999803</v>
      </c>
      <c r="AF881">
        <v>4.5043879714081996</v>
      </c>
      <c r="AG881">
        <v>-1.121132530616</v>
      </c>
      <c r="AH881">
        <v>25.077809407909001</v>
      </c>
      <c r="AI881">
        <v>92.519503387834106</v>
      </c>
      <c r="AJ881">
        <v>79.817311897064997</v>
      </c>
      <c r="AK881">
        <v>25.503783520246198</v>
      </c>
      <c r="AL881">
        <v>76.936428837194995</v>
      </c>
      <c r="AM881">
        <v>86.371957560780999</v>
      </c>
      <c r="AN881">
        <v>0.99999997930613704</v>
      </c>
    </row>
    <row r="882" spans="1:40" x14ac:dyDescent="0.25">
      <c r="A882" t="str">
        <f>"20190303170956362"</f>
        <v>20190303170956362</v>
      </c>
      <c r="B882" t="str">
        <f>"1551604196351625"</f>
        <v>1551604196351625</v>
      </c>
      <c r="C882" t="s">
        <v>40</v>
      </c>
      <c r="D882">
        <v>4.5424540000000002</v>
      </c>
      <c r="E882">
        <v>0.55068619999999902</v>
      </c>
      <c r="F882" t="s">
        <v>44</v>
      </c>
      <c r="G882">
        <v>-207.37049999999999</v>
      </c>
      <c r="H882" s="1">
        <v>-5.4753440000000003E-6</v>
      </c>
      <c r="I882">
        <v>362.7627</v>
      </c>
      <c r="J882">
        <v>-232.3588</v>
      </c>
      <c r="K882">
        <v>1.121129</v>
      </c>
      <c r="L882">
        <v>367.61070000000001</v>
      </c>
      <c r="M882">
        <v>0.99982170000000004</v>
      </c>
      <c r="N882">
        <v>-1.377594E-2</v>
      </c>
      <c r="O882">
        <v>-1.291613E-2</v>
      </c>
      <c r="P882">
        <v>0.97423119999999996</v>
      </c>
      <c r="Q882">
        <v>0.21285200000000001</v>
      </c>
      <c r="R882">
        <v>-7.4616450000000001E-2</v>
      </c>
      <c r="S882">
        <v>3.0639340000000002</v>
      </c>
      <c r="T882">
        <v>-0.1361117</v>
      </c>
      <c r="U882">
        <v>-0.58895869999999995</v>
      </c>
      <c r="V882">
        <v>6.2019850000000001E-2</v>
      </c>
      <c r="W882">
        <v>0.22626660000000001</v>
      </c>
      <c r="X882">
        <v>0.97208890000000003</v>
      </c>
      <c r="Y882">
        <v>0.17585149999999999</v>
      </c>
      <c r="Z882">
        <v>-4.6999880000000004E-3</v>
      </c>
      <c r="AA882">
        <v>0.98440550000000004</v>
      </c>
      <c r="AB882">
        <v>38</v>
      </c>
      <c r="AC882">
        <v>24.988299999999999</v>
      </c>
      <c r="AD882">
        <v>-1.121134475344</v>
      </c>
      <c r="AE882">
        <v>-4.8480000000000096</v>
      </c>
      <c r="AF882">
        <v>4.5160517548931498</v>
      </c>
      <c r="AG882">
        <v>-1.121134475344</v>
      </c>
      <c r="AH882">
        <v>25.0003385743656</v>
      </c>
      <c r="AI882">
        <v>92.526854564208804</v>
      </c>
      <c r="AJ882">
        <v>79.760532619859703</v>
      </c>
      <c r="AK882">
        <v>25.429679408077298</v>
      </c>
      <c r="AL882">
        <v>76.922629130066895</v>
      </c>
      <c r="AM882">
        <v>86.349443040195197</v>
      </c>
      <c r="AN882">
        <v>0.99999993278639399</v>
      </c>
    </row>
    <row r="883" spans="1:40" x14ac:dyDescent="0.25">
      <c r="A883" t="str">
        <f>"20190303170956376"</f>
        <v>20190303170956376</v>
      </c>
      <c r="B883" t="str">
        <f>"1551604196361385"</f>
        <v>1551604196361385</v>
      </c>
      <c r="C883" t="s">
        <v>40</v>
      </c>
      <c r="D883">
        <v>4.5346409999999997</v>
      </c>
      <c r="E883">
        <v>0.55068619999999902</v>
      </c>
      <c r="F883" t="s">
        <v>44</v>
      </c>
      <c r="G883">
        <v>-207.06309999999999</v>
      </c>
      <c r="H883" s="1">
        <v>-5.3782420000000003E-6</v>
      </c>
      <c r="I883">
        <v>362.72550000000001</v>
      </c>
      <c r="J883">
        <v>-232.13489999999999</v>
      </c>
      <c r="K883">
        <v>1.1211310000000001</v>
      </c>
      <c r="L883">
        <v>367.6078</v>
      </c>
      <c r="M883">
        <v>0.99982150000000003</v>
      </c>
      <c r="N883">
        <v>-1.37997E-2</v>
      </c>
      <c r="O883">
        <v>-1.2900440000000001E-2</v>
      </c>
      <c r="P883">
        <v>0.97417189999999998</v>
      </c>
      <c r="Q883">
        <v>0.21304519999999999</v>
      </c>
      <c r="R883">
        <v>-7.4838890000000005E-2</v>
      </c>
      <c r="S883">
        <v>3.0637050000000001</v>
      </c>
      <c r="T883">
        <v>-0.13578699999999999</v>
      </c>
      <c r="U883">
        <v>-0.59167479999999995</v>
      </c>
      <c r="V883">
        <v>6.2258130000000002E-2</v>
      </c>
      <c r="W883">
        <v>0.22648209999999999</v>
      </c>
      <c r="X883">
        <v>0.97202350000000004</v>
      </c>
      <c r="Y883">
        <v>0.17672170000000001</v>
      </c>
      <c r="Z883">
        <v>-4.7202219999999996E-3</v>
      </c>
      <c r="AA883">
        <v>0.9842495</v>
      </c>
      <c r="AB883">
        <v>37</v>
      </c>
      <c r="AC883">
        <v>25.0718</v>
      </c>
      <c r="AD883">
        <v>-1.1211363782420001</v>
      </c>
      <c r="AE883">
        <v>-4.8822999999999803</v>
      </c>
      <c r="AF883">
        <v>4.5496603998309002</v>
      </c>
      <c r="AG883">
        <v>-1.1211363782420001</v>
      </c>
      <c r="AH883">
        <v>25.084376638408401</v>
      </c>
      <c r="AI883">
        <v>92.518080420361002</v>
      </c>
      <c r="AJ883">
        <v>79.719776054478999</v>
      </c>
      <c r="AK883">
        <v>25.518273998645299</v>
      </c>
      <c r="AL883">
        <v>76.909953051821304</v>
      </c>
      <c r="AM883">
        <v>86.335209873580695</v>
      </c>
      <c r="AN883">
        <v>0.99999995046187695</v>
      </c>
    </row>
    <row r="884" spans="1:40" x14ac:dyDescent="0.25">
      <c r="A884" t="str">
        <f>"20190303170956388"</f>
        <v>20190303170956388</v>
      </c>
      <c r="B884" t="str">
        <f>"1551604196380905"</f>
        <v>1551604196380905</v>
      </c>
      <c r="C884" t="s">
        <v>40</v>
      </c>
      <c r="D884">
        <v>4.5427650000000002</v>
      </c>
      <c r="E884">
        <v>0.55508259999999998</v>
      </c>
      <c r="F884" t="s">
        <v>44</v>
      </c>
      <c r="G884">
        <v>-206.7346</v>
      </c>
      <c r="H884" s="1">
        <v>-5.2725529999999999E-6</v>
      </c>
      <c r="I884">
        <v>362.69819999999999</v>
      </c>
      <c r="J884">
        <v>-231.91489999999999</v>
      </c>
      <c r="K884">
        <v>1.1211340000000001</v>
      </c>
      <c r="L884">
        <v>367.60500000000002</v>
      </c>
      <c r="M884">
        <v>0.99982159999999998</v>
      </c>
      <c r="N884">
        <v>-1.3820270000000001E-2</v>
      </c>
      <c r="O884">
        <v>-1.2885550000000001E-2</v>
      </c>
      <c r="P884">
        <v>0.97418119999999997</v>
      </c>
      <c r="Q884">
        <v>0.21297530000000001</v>
      </c>
      <c r="R884">
        <v>-7.4917360000000002E-2</v>
      </c>
      <c r="S884">
        <v>3.0636139999999998</v>
      </c>
      <c r="T884">
        <v>-0.13522429999999999</v>
      </c>
      <c r="U884">
        <v>-0.59216309999999905</v>
      </c>
      <c r="V884">
        <v>6.2351129999999998E-2</v>
      </c>
      <c r="W884">
        <v>0.22643240000000001</v>
      </c>
      <c r="X884">
        <v>0.97202909999999998</v>
      </c>
      <c r="Y884">
        <v>0.1768943</v>
      </c>
      <c r="Z884">
        <v>-4.7140890000000003E-3</v>
      </c>
      <c r="AA884">
        <v>0.98421860000000005</v>
      </c>
      <c r="AB884">
        <v>37</v>
      </c>
      <c r="AC884">
        <v>25.1802999999999</v>
      </c>
      <c r="AD884">
        <v>-1.1211392725530001</v>
      </c>
      <c r="AE884">
        <v>-4.9068000000000298</v>
      </c>
      <c r="AF884">
        <v>4.5731652863084902</v>
      </c>
      <c r="AG884">
        <v>-1.1211392725530001</v>
      </c>
      <c r="AH884">
        <v>25.1933251226713</v>
      </c>
      <c r="AI884">
        <v>92.507146000990403</v>
      </c>
      <c r="AJ884">
        <v>79.711531726604605</v>
      </c>
      <c r="AK884">
        <v>25.629561540162499</v>
      </c>
      <c r="AL884">
        <v>76.912876373106798</v>
      </c>
      <c r="AM884">
        <v>86.329771519875607</v>
      </c>
      <c r="AN884">
        <v>0.99999993321442104</v>
      </c>
    </row>
    <row r="885" spans="1:40" x14ac:dyDescent="0.25">
      <c r="A885" t="str">
        <f>"20190303170956401"</f>
        <v>20190303170956401</v>
      </c>
      <c r="B885" t="str">
        <f>"1551604196391641"</f>
        <v>1551604196391641</v>
      </c>
      <c r="C885" t="s">
        <v>40</v>
      </c>
      <c r="D885">
        <v>4.5514049999999999</v>
      </c>
      <c r="E885">
        <v>0.55473050000000002</v>
      </c>
      <c r="F885" t="s">
        <v>44</v>
      </c>
      <c r="G885">
        <v>-206.83699999999999</v>
      </c>
      <c r="H885" s="1">
        <v>-5.3435249999999998E-6</v>
      </c>
      <c r="I885">
        <v>362.4631</v>
      </c>
      <c r="J885">
        <v>-231.6978</v>
      </c>
      <c r="K885">
        <v>1.121135</v>
      </c>
      <c r="L885">
        <v>367.60219999999998</v>
      </c>
      <c r="M885">
        <v>0.99982159999999998</v>
      </c>
      <c r="N885">
        <v>-1.383936E-2</v>
      </c>
      <c r="O885">
        <v>-1.2870309999999999E-2</v>
      </c>
      <c r="P885">
        <v>0.97416320000000001</v>
      </c>
      <c r="Q885">
        <v>0.21311740000000001</v>
      </c>
      <c r="R885">
        <v>-7.4747380000000002E-2</v>
      </c>
      <c r="S885">
        <v>3.061188</v>
      </c>
      <c r="T885">
        <v>-0.136853799999999</v>
      </c>
      <c r="U885">
        <v>-0.62765499999999996</v>
      </c>
      <c r="V885">
        <v>6.2196080000000001E-2</v>
      </c>
      <c r="W885">
        <v>0.22659270000000001</v>
      </c>
      <c r="X885">
        <v>0.97200169999999997</v>
      </c>
      <c r="Y885">
        <v>0.1880001</v>
      </c>
      <c r="Z885">
        <v>-5.079592E-3</v>
      </c>
      <c r="AA885">
        <v>0.98215589999999997</v>
      </c>
      <c r="AB885">
        <v>37</v>
      </c>
      <c r="AC885">
        <v>24.860799999999902</v>
      </c>
      <c r="AD885">
        <v>-1.121140343525</v>
      </c>
      <c r="AE885">
        <v>-5.1390999999999796</v>
      </c>
      <c r="AF885">
        <v>4.8092975654413097</v>
      </c>
      <c r="AG885">
        <v>-1.121140343525</v>
      </c>
      <c r="AH885">
        <v>24.876370445694398</v>
      </c>
      <c r="AI885">
        <v>92.533636786396698</v>
      </c>
      <c r="AJ885">
        <v>79.058112222620693</v>
      </c>
      <c r="AK885">
        <v>25.361784347601802</v>
      </c>
      <c r="AL885">
        <v>76.903447049813806</v>
      </c>
      <c r="AM885">
        <v>86.338770584323896</v>
      </c>
      <c r="AN885">
        <v>0.99999995443177203</v>
      </c>
    </row>
    <row r="886" spans="1:40" x14ac:dyDescent="0.25">
      <c r="A886" t="str">
        <f>"20190303170956414"</f>
        <v>20190303170956414</v>
      </c>
      <c r="B886" t="str">
        <f>"1551604196401401"</f>
        <v>1551604196401401</v>
      </c>
      <c r="C886" t="s">
        <v>40</v>
      </c>
      <c r="D886">
        <v>4.5497670000000001</v>
      </c>
      <c r="E886">
        <v>0.55489029999999995</v>
      </c>
      <c r="F886" t="s">
        <v>44</v>
      </c>
      <c r="G886">
        <v>-206.74549999999999</v>
      </c>
      <c r="H886" s="1">
        <v>-5.3049910000000004E-6</v>
      </c>
      <c r="I886">
        <v>362.51389999999998</v>
      </c>
      <c r="J886">
        <v>-231.48869999999999</v>
      </c>
      <c r="K886">
        <v>1.1211390000000001</v>
      </c>
      <c r="L886">
        <v>367.59949999999998</v>
      </c>
      <c r="M886">
        <v>0.99982150000000003</v>
      </c>
      <c r="N886">
        <v>-1.3856220000000001E-2</v>
      </c>
      <c r="O886">
        <v>-1.285552E-2</v>
      </c>
      <c r="P886">
        <v>0.97415669999999999</v>
      </c>
      <c r="Q886">
        <v>0.21316560000000001</v>
      </c>
      <c r="R886">
        <v>-7.4693910000000002E-2</v>
      </c>
      <c r="S886">
        <v>3.0617519999999998</v>
      </c>
      <c r="T886">
        <v>-0.13756869999999999</v>
      </c>
      <c r="U886">
        <v>-0.62435909999999994</v>
      </c>
      <c r="V886">
        <v>6.2157240000000002E-2</v>
      </c>
      <c r="W886">
        <v>0.2266572</v>
      </c>
      <c r="X886">
        <v>0.9719892</v>
      </c>
      <c r="Y886">
        <v>0.18696309999999999</v>
      </c>
      <c r="Z886">
        <v>-5.0698970000000003E-3</v>
      </c>
      <c r="AA886">
        <v>0.9823539</v>
      </c>
      <c r="AB886">
        <v>37</v>
      </c>
      <c r="AC886">
        <v>24.743200000000002</v>
      </c>
      <c r="AD886">
        <v>-1.1211443049909999</v>
      </c>
      <c r="AE886">
        <v>-5.0856000000000003</v>
      </c>
      <c r="AF886">
        <v>4.7576903534465496</v>
      </c>
      <c r="AG886">
        <v>-1.1211443049909999</v>
      </c>
      <c r="AH886">
        <v>24.7577692002343</v>
      </c>
      <c r="AI886">
        <v>92.546314514010902</v>
      </c>
      <c r="AJ886">
        <v>79.122103634405093</v>
      </c>
      <c r="AK886">
        <v>25.235683422962001</v>
      </c>
      <c r="AL886">
        <v>76.899653451207897</v>
      </c>
      <c r="AM886">
        <v>86.341003796557999</v>
      </c>
      <c r="AN886">
        <v>1.0000000068564401</v>
      </c>
    </row>
    <row r="887" spans="1:40" x14ac:dyDescent="0.25">
      <c r="A887" t="str">
        <f>"20190303170956430"</f>
        <v>20190303170956430</v>
      </c>
      <c r="B887" t="str">
        <f>"1551604196420921"</f>
        <v>1551604196420921</v>
      </c>
      <c r="C887" t="s">
        <v>40</v>
      </c>
      <c r="D887">
        <v>4.5306550000000003</v>
      </c>
      <c r="E887">
        <v>0.55517139999999998</v>
      </c>
      <c r="F887" t="s">
        <v>44</v>
      </c>
      <c r="G887">
        <v>-206.39680000000001</v>
      </c>
      <c r="H887" s="1">
        <v>-5.188654E-6</v>
      </c>
      <c r="I887">
        <v>362.47649999999999</v>
      </c>
      <c r="J887">
        <v>-231.2227</v>
      </c>
      <c r="K887">
        <v>1.121143</v>
      </c>
      <c r="L887">
        <v>367.59620000000001</v>
      </c>
      <c r="M887">
        <v>0.99982139999999997</v>
      </c>
      <c r="N887">
        <v>-1.38752999999999E-2</v>
      </c>
      <c r="O887">
        <v>-1.2836470000000001E-2</v>
      </c>
      <c r="P887">
        <v>0.97413680000000002</v>
      </c>
      <c r="Q887">
        <v>0.2132628</v>
      </c>
      <c r="R887">
        <v>-7.4676380000000001E-2</v>
      </c>
      <c r="S887">
        <v>3.0615999999999999</v>
      </c>
      <c r="T887">
        <v>-0.1367968</v>
      </c>
      <c r="U887">
        <v>-0.62509159999999997</v>
      </c>
      <c r="V887">
        <v>6.215855E-2</v>
      </c>
      <c r="W887">
        <v>0.22677240000000001</v>
      </c>
      <c r="X887">
        <v>0.9719622</v>
      </c>
      <c r="Y887">
        <v>0.18721889999999999</v>
      </c>
      <c r="Z887">
        <v>-5.0599879999999996E-3</v>
      </c>
      <c r="AA887">
        <v>0.98230519999999999</v>
      </c>
      <c r="AB887">
        <v>37</v>
      </c>
      <c r="AC887">
        <v>24.825899999999901</v>
      </c>
      <c r="AD887">
        <v>-1.121148188654</v>
      </c>
      <c r="AE887">
        <v>-5.1197000000000203</v>
      </c>
      <c r="AF887">
        <v>4.79119765948432</v>
      </c>
      <c r="AG887">
        <v>-1.121148188654</v>
      </c>
      <c r="AH887">
        <v>24.840983778774699</v>
      </c>
      <c r="AI887">
        <v>92.537472845443602</v>
      </c>
      <c r="AJ887">
        <v>79.083146882087703</v>
      </c>
      <c r="AK887">
        <v>25.323645538715802</v>
      </c>
      <c r="AL887">
        <v>76.892875922119302</v>
      </c>
      <c r="AM887">
        <v>86.340825521869704</v>
      </c>
      <c r="AN887">
        <v>0.99999996248434997</v>
      </c>
    </row>
    <row r="888" spans="1:40" x14ac:dyDescent="0.25">
      <c r="A888" t="str">
        <f>"20190303170956445"</f>
        <v>20190303170956445</v>
      </c>
      <c r="B888" t="str">
        <f>"1551604196431657"</f>
        <v>1551604196431657</v>
      </c>
      <c r="C888" t="s">
        <v>40</v>
      </c>
      <c r="D888">
        <v>4.5708820000000001</v>
      </c>
      <c r="E888">
        <v>0.555226</v>
      </c>
      <c r="F888" t="s">
        <v>44</v>
      </c>
      <c r="G888">
        <v>-205.91739999999999</v>
      </c>
      <c r="H888" s="1">
        <v>-4.9801690000000004E-6</v>
      </c>
      <c r="I888">
        <v>362.40980000000002</v>
      </c>
      <c r="J888">
        <v>-230.96850000000001</v>
      </c>
      <c r="K888">
        <v>1.1211439999999999</v>
      </c>
      <c r="L888">
        <v>367.59289999999999</v>
      </c>
      <c r="M888">
        <v>0.99982150000000003</v>
      </c>
      <c r="N888">
        <v>-1.3891840000000001E-2</v>
      </c>
      <c r="O888">
        <v>-1.281882E-2</v>
      </c>
      <c r="P888">
        <v>0.97414299999999998</v>
      </c>
      <c r="Q888">
        <v>0.213116</v>
      </c>
      <c r="R888">
        <v>-7.5014490000000003E-2</v>
      </c>
      <c r="S888">
        <v>3.0612490000000001</v>
      </c>
      <c r="T888">
        <v>-0.13562850000000001</v>
      </c>
      <c r="U888">
        <v>-0.62741089999999999</v>
      </c>
      <c r="V888">
        <v>6.2513840000000001E-2</v>
      </c>
      <c r="W888">
        <v>0.22664190000000001</v>
      </c>
      <c r="X888">
        <v>0.97196990000000005</v>
      </c>
      <c r="Y888">
        <v>0.1879749</v>
      </c>
      <c r="Z888">
        <v>-5.0539089999999997E-3</v>
      </c>
      <c r="AA888">
        <v>0.98216079999999994</v>
      </c>
      <c r="AB888">
        <v>37</v>
      </c>
      <c r="AC888">
        <v>25.051100000000002</v>
      </c>
      <c r="AD888">
        <v>-1.121148980169</v>
      </c>
      <c r="AE888">
        <v>-5.1830999999999596</v>
      </c>
      <c r="AF888">
        <v>4.8521977611792604</v>
      </c>
      <c r="AG888">
        <v>-1.121148980169</v>
      </c>
      <c r="AH888">
        <v>25.067341065586</v>
      </c>
      <c r="AI888">
        <v>92.514267275368198</v>
      </c>
      <c r="AJ888">
        <v>79.044936408162499</v>
      </c>
      <c r="AK888">
        <v>25.557237453366099</v>
      </c>
      <c r="AL888">
        <v>76.900553524603694</v>
      </c>
      <c r="AM888">
        <v>86.319996552502104</v>
      </c>
      <c r="AN888">
        <v>1.0000000087665799</v>
      </c>
    </row>
    <row r="889" spans="1:40" x14ac:dyDescent="0.25">
      <c r="A889" t="str">
        <f>"20190303170956462"</f>
        <v>20190303170956462</v>
      </c>
      <c r="B889" t="str">
        <f>"1551604196451177"</f>
        <v>1551604196451177</v>
      </c>
      <c r="C889" t="s">
        <v>40</v>
      </c>
      <c r="D889">
        <v>4.5727609999999999</v>
      </c>
      <c r="E889">
        <v>0.55526489999999995</v>
      </c>
      <c r="F889" t="s">
        <v>44</v>
      </c>
      <c r="G889">
        <v>-205.93610000000001</v>
      </c>
      <c r="H889" s="1">
        <v>-4.979534E-6</v>
      </c>
      <c r="I889">
        <v>362.45190000000002</v>
      </c>
      <c r="J889">
        <v>-230.67699999999999</v>
      </c>
      <c r="K889">
        <v>1.121148</v>
      </c>
      <c r="L889">
        <v>367.58920000000001</v>
      </c>
      <c r="M889">
        <v>0.99982139999999997</v>
      </c>
      <c r="N889">
        <v>-1.3908810000000001E-2</v>
      </c>
      <c r="O889">
        <v>-1.2798550000000001E-2</v>
      </c>
      <c r="P889">
        <v>0.9740605</v>
      </c>
      <c r="Q889">
        <v>0.21333840000000001</v>
      </c>
      <c r="R889">
        <v>-7.5451899999999905E-2</v>
      </c>
      <c r="S889">
        <v>3.0612339999999998</v>
      </c>
      <c r="T889">
        <v>-0.13710639999999999</v>
      </c>
      <c r="U889">
        <v>-0.62869259999999905</v>
      </c>
      <c r="V889">
        <v>6.2972020000000004E-2</v>
      </c>
      <c r="W889">
        <v>0.22687969999999999</v>
      </c>
      <c r="X889">
        <v>0.97188479999999999</v>
      </c>
      <c r="Y889">
        <v>0.18838550000000001</v>
      </c>
      <c r="Z889">
        <v>-5.1069979999999997E-3</v>
      </c>
      <c r="AA889">
        <v>0.98208189999999995</v>
      </c>
      <c r="AB889">
        <v>37</v>
      </c>
      <c r="AC889">
        <v>24.7409</v>
      </c>
      <c r="AD889">
        <v>-1.1211529795340001</v>
      </c>
      <c r="AE889">
        <v>-5.1372999999999802</v>
      </c>
      <c r="AF889">
        <v>4.81073029218987</v>
      </c>
      <c r="AG889">
        <v>-1.1211529795340001</v>
      </c>
      <c r="AH889">
        <v>24.7558941336153</v>
      </c>
      <c r="AI889">
        <v>92.545505047996201</v>
      </c>
      <c r="AJ889">
        <v>79.002961829403802</v>
      </c>
      <c r="AK889">
        <v>25.243898357870201</v>
      </c>
      <c r="AL889">
        <v>76.886563641958006</v>
      </c>
      <c r="AM889">
        <v>86.292776113344502</v>
      </c>
      <c r="AN889">
        <v>0.99999996902300403</v>
      </c>
    </row>
    <row r="890" spans="1:40" x14ac:dyDescent="0.25">
      <c r="A890" t="str">
        <f>"20190303170956475"</f>
        <v>20190303170956475</v>
      </c>
      <c r="B890" t="str">
        <f>"1551604196471673"</f>
        <v>1551604196471673</v>
      </c>
      <c r="C890" t="s">
        <v>40</v>
      </c>
      <c r="D890">
        <v>4.5878779999999999</v>
      </c>
      <c r="E890">
        <v>0.55750759999999999</v>
      </c>
      <c r="F890" t="s">
        <v>44</v>
      </c>
      <c r="G890">
        <v>-205.7242</v>
      </c>
      <c r="H890" s="1">
        <v>-4.8806759999999999E-6</v>
      </c>
      <c r="I890">
        <v>362.45260000000002</v>
      </c>
      <c r="J890">
        <v>-230.4641</v>
      </c>
      <c r="K890">
        <v>1.1211530000000001</v>
      </c>
      <c r="L890">
        <v>367.5865</v>
      </c>
      <c r="M890">
        <v>0.99982139999999997</v>
      </c>
      <c r="N890">
        <v>-1.392001E-2</v>
      </c>
      <c r="O890">
        <v>-1.278349E-2</v>
      </c>
      <c r="P890">
        <v>0.97404219999999997</v>
      </c>
      <c r="Q890">
        <v>0.21328859999999999</v>
      </c>
      <c r="R890">
        <v>-7.5827900000000004E-2</v>
      </c>
      <c r="S890">
        <v>3.0612029999999999</v>
      </c>
      <c r="T890">
        <v>-0.1375432</v>
      </c>
      <c r="U890">
        <v>-0.63015750000000004</v>
      </c>
      <c r="V890">
        <v>6.3362829999999995E-2</v>
      </c>
      <c r="W890">
        <v>0.22684070000000001</v>
      </c>
      <c r="X890">
        <v>0.97186859999999997</v>
      </c>
      <c r="Y890">
        <v>0.18885109999999999</v>
      </c>
      <c r="Z890">
        <v>-5.1336919999999996E-3</v>
      </c>
      <c r="AA890">
        <v>0.98199230000000004</v>
      </c>
      <c r="AB890">
        <v>37</v>
      </c>
      <c r="AC890">
        <v>24.739899999999999</v>
      </c>
      <c r="AD890">
        <v>-1.1211578806759901</v>
      </c>
      <c r="AE890">
        <v>-5.1338999999999801</v>
      </c>
      <c r="AF890">
        <v>4.8077215067230998</v>
      </c>
      <c r="AG890">
        <v>-1.1211578806759901</v>
      </c>
      <c r="AH890">
        <v>24.754773488331999</v>
      </c>
      <c r="AI890">
        <v>92.545684904456095</v>
      </c>
      <c r="AJ890">
        <v>79.009186792339605</v>
      </c>
      <c r="AK890">
        <v>25.242226358588798</v>
      </c>
      <c r="AL890">
        <v>76.888859258637098</v>
      </c>
      <c r="AM890">
        <v>86.269771503826703</v>
      </c>
      <c r="AN890">
        <v>1.00000006353402</v>
      </c>
    </row>
    <row r="891" spans="1:40" x14ac:dyDescent="0.25">
      <c r="A891" t="str">
        <f>"20190303170956487"</f>
        <v>20190303170956487</v>
      </c>
      <c r="B891" t="str">
        <f>"1551604196481433"</f>
        <v>1551604196481433</v>
      </c>
      <c r="C891" t="s">
        <v>40</v>
      </c>
      <c r="D891">
        <v>4.590198</v>
      </c>
      <c r="E891">
        <v>0.55897730000000001</v>
      </c>
      <c r="F891" t="s">
        <v>44</v>
      </c>
      <c r="G891">
        <v>-205.1354</v>
      </c>
      <c r="H891" s="1">
        <v>-4.6599040000000002E-6</v>
      </c>
      <c r="I891">
        <v>362.21120000000002</v>
      </c>
      <c r="J891">
        <v>-230.25550000000001</v>
      </c>
      <c r="K891">
        <v>1.121157</v>
      </c>
      <c r="L891">
        <v>367.5838</v>
      </c>
      <c r="M891">
        <v>0.99982159999999998</v>
      </c>
      <c r="N891">
        <v>-1.3929520000000001E-2</v>
      </c>
      <c r="O891">
        <v>-1.276948E-2</v>
      </c>
      <c r="P891">
        <v>0.97400750000000003</v>
      </c>
      <c r="Q891">
        <v>0.2133536</v>
      </c>
      <c r="R891">
        <v>-7.6091629999999993E-2</v>
      </c>
      <c r="S891">
        <v>3.0590519999999999</v>
      </c>
      <c r="T891">
        <v>-0.135407</v>
      </c>
      <c r="U891">
        <v>-0.64920040000000001</v>
      </c>
      <c r="V891">
        <v>6.3640699999999994E-2</v>
      </c>
      <c r="W891">
        <v>0.22691449999999999</v>
      </c>
      <c r="X891">
        <v>0.97183319999999995</v>
      </c>
      <c r="Y891">
        <v>0.19485340000000001</v>
      </c>
      <c r="Z891">
        <v>-5.2533669999999897E-3</v>
      </c>
      <c r="AA891">
        <v>0.98081830000000003</v>
      </c>
      <c r="AB891">
        <v>37</v>
      </c>
      <c r="AC891">
        <v>25.120100000000001</v>
      </c>
      <c r="AD891">
        <v>-1.121161659904</v>
      </c>
      <c r="AE891">
        <v>-5.3725999999999701</v>
      </c>
      <c r="AF891">
        <v>5.0417562185048501</v>
      </c>
      <c r="AG891">
        <v>-1.121161659904</v>
      </c>
      <c r="AH891">
        <v>25.138776963228299</v>
      </c>
      <c r="AI891">
        <v>92.503841875487893</v>
      </c>
      <c r="AJ891">
        <v>78.659387745454296</v>
      </c>
      <c r="AK891">
        <v>25.663873761406499</v>
      </c>
      <c r="AL891">
        <v>76.884517418054401</v>
      </c>
      <c r="AM891">
        <v>86.253323445781206</v>
      </c>
      <c r="AN891">
        <v>1.00000004881448</v>
      </c>
    </row>
    <row r="892" spans="1:40" x14ac:dyDescent="0.25">
      <c r="A892" t="str">
        <f>"20190303170956499"</f>
        <v>20190303170956499</v>
      </c>
      <c r="B892" t="str">
        <f>"1551604196491193"</f>
        <v>1551604196491193</v>
      </c>
      <c r="C892" t="s">
        <v>40</v>
      </c>
      <c r="D892">
        <v>4.565696</v>
      </c>
      <c r="E892">
        <v>0.56025119999999995</v>
      </c>
      <c r="F892" t="s">
        <v>44</v>
      </c>
      <c r="G892">
        <v>-204.30160000000001</v>
      </c>
      <c r="H892" s="1">
        <v>-4.3006300000000004E-6</v>
      </c>
      <c r="I892">
        <v>361.96190000000001</v>
      </c>
      <c r="J892">
        <v>-230.0496</v>
      </c>
      <c r="K892">
        <v>1.121159</v>
      </c>
      <c r="L892">
        <v>367.58120000000002</v>
      </c>
      <c r="M892">
        <v>0.99982150000000003</v>
      </c>
      <c r="N892">
        <v>-1.393839E-2</v>
      </c>
      <c r="O892">
        <v>-1.275536E-2</v>
      </c>
      <c r="P892">
        <v>0.97388050000000004</v>
      </c>
      <c r="Q892">
        <v>0.21381510000000001</v>
      </c>
      <c r="R892">
        <v>-7.641937E-2</v>
      </c>
      <c r="S892">
        <v>3.0572659999999998</v>
      </c>
      <c r="T892">
        <v>-0.1320682</v>
      </c>
      <c r="U892">
        <v>-0.66223140000000003</v>
      </c>
      <c r="V892">
        <v>6.3983719999999994E-2</v>
      </c>
      <c r="W892">
        <v>0.227383</v>
      </c>
      <c r="X892">
        <v>0.97170109999999998</v>
      </c>
      <c r="Y892">
        <v>0.1989834</v>
      </c>
      <c r="Z892">
        <v>-5.281745E-3</v>
      </c>
      <c r="AA892">
        <v>0.97998859999999999</v>
      </c>
      <c r="AB892">
        <v>37</v>
      </c>
      <c r="AC892">
        <v>25.747999999999902</v>
      </c>
      <c r="AD892">
        <v>-1.1211633006299999</v>
      </c>
      <c r="AE892">
        <v>-5.6193000000000097</v>
      </c>
      <c r="AF892">
        <v>5.2808283338949096</v>
      </c>
      <c r="AG892">
        <v>-1.1211633006299999</v>
      </c>
      <c r="AH892">
        <v>25.7709464874936</v>
      </c>
      <c r="AI892">
        <v>92.440431749675497</v>
      </c>
      <c r="AJ892">
        <v>78.419601276383901</v>
      </c>
      <c r="AK892">
        <v>26.3303216444464</v>
      </c>
      <c r="AL892">
        <v>76.856953001828799</v>
      </c>
      <c r="AM892">
        <v>86.232676428583204</v>
      </c>
      <c r="AN892">
        <v>0.999999986427624</v>
      </c>
    </row>
    <row r="893" spans="1:40" x14ac:dyDescent="0.25">
      <c r="A893" t="str">
        <f>"20190303170956511"</f>
        <v>20190303170956511</v>
      </c>
      <c r="B893" t="str">
        <f>"1551604196500953"</f>
        <v>1551604196500953</v>
      </c>
      <c r="C893" t="s">
        <v>40</v>
      </c>
      <c r="D893">
        <v>4.5642940000000003</v>
      </c>
      <c r="E893">
        <v>0.5613726</v>
      </c>
      <c r="F893" t="s">
        <v>44</v>
      </c>
      <c r="G893">
        <v>-203.49590000000001</v>
      </c>
      <c r="H893" s="1">
        <v>-3.9469719999999997E-6</v>
      </c>
      <c r="I893">
        <v>361.7285</v>
      </c>
      <c r="J893">
        <v>-229.85329999999999</v>
      </c>
      <c r="K893">
        <v>1.1211629999999999</v>
      </c>
      <c r="L893">
        <v>367.57870000000003</v>
      </c>
      <c r="M893">
        <v>0.99982170000000004</v>
      </c>
      <c r="N893">
        <v>-1.394599E-2</v>
      </c>
      <c r="O893">
        <v>-1.2741819999999999E-2</v>
      </c>
      <c r="P893">
        <v>0.97383750000000002</v>
      </c>
      <c r="Q893">
        <v>0.21397440000000001</v>
      </c>
      <c r="R893">
        <v>-7.6523999999999995E-2</v>
      </c>
      <c r="S893">
        <v>3.055939</v>
      </c>
      <c r="T893">
        <v>-0.12902939999999999</v>
      </c>
      <c r="U893">
        <v>-0.67355350000000003</v>
      </c>
      <c r="V893">
        <v>6.4101950000000005E-2</v>
      </c>
      <c r="W893">
        <v>0.2275488</v>
      </c>
      <c r="X893">
        <v>0.97165449999999998</v>
      </c>
      <c r="Y893">
        <v>0.2025537</v>
      </c>
      <c r="Z893">
        <v>-5.2980950000000001E-3</v>
      </c>
      <c r="AA893">
        <v>0.97925680000000004</v>
      </c>
      <c r="AB893">
        <v>37</v>
      </c>
      <c r="AC893">
        <v>26.357399999999899</v>
      </c>
      <c r="AD893">
        <v>-1.12116694697199</v>
      </c>
      <c r="AE893">
        <v>-5.8502000000000196</v>
      </c>
      <c r="AF893">
        <v>5.5043591364750197</v>
      </c>
      <c r="AG893">
        <v>-1.12116694697199</v>
      </c>
      <c r="AH893">
        <v>26.384310919697299</v>
      </c>
      <c r="AI893">
        <v>92.382022004908194</v>
      </c>
      <c r="AJ893">
        <v>78.215836821477197</v>
      </c>
      <c r="AK893">
        <v>26.975671400977902</v>
      </c>
      <c r="AL893">
        <v>76.847197707599506</v>
      </c>
      <c r="AM893">
        <v>86.225554729967001</v>
      </c>
      <c r="AN893">
        <v>0.99999999187274602</v>
      </c>
    </row>
    <row r="894" spans="1:40" x14ac:dyDescent="0.25">
      <c r="A894" t="str">
        <f>"20190303170956524"</f>
        <v>20190303170956524</v>
      </c>
      <c r="B894" t="str">
        <f>"1551604196511690"</f>
        <v>1551604196511690</v>
      </c>
      <c r="C894" t="s">
        <v>40</v>
      </c>
      <c r="D894">
        <v>4.5769799999999998</v>
      </c>
      <c r="E894">
        <v>0.56236319999999995</v>
      </c>
      <c r="F894" t="s">
        <v>44</v>
      </c>
      <c r="G894">
        <v>-202.80709999999999</v>
      </c>
      <c r="H894" s="1">
        <v>-3.643734E-6</v>
      </c>
      <c r="I894">
        <v>361.53280000000001</v>
      </c>
      <c r="J894">
        <v>-229.64840000000001</v>
      </c>
      <c r="K894">
        <v>1.121167</v>
      </c>
      <c r="L894">
        <v>367.5761</v>
      </c>
      <c r="M894">
        <v>0.99982170000000004</v>
      </c>
      <c r="N894">
        <v>-1.3953190000000001E-2</v>
      </c>
      <c r="O894">
        <v>-1.2727570000000001E-2</v>
      </c>
      <c r="P894">
        <v>0.97377910000000001</v>
      </c>
      <c r="Q894">
        <v>0.2141371</v>
      </c>
      <c r="R894">
        <v>-7.68094E-2</v>
      </c>
      <c r="S894">
        <v>3.054764</v>
      </c>
      <c r="T894">
        <v>-0.12663139999999901</v>
      </c>
      <c r="U894">
        <v>-0.6828613</v>
      </c>
      <c r="V894">
        <v>6.4402059999999997E-2</v>
      </c>
      <c r="W894">
        <v>0.2277178</v>
      </c>
      <c r="X894">
        <v>0.97159499999999999</v>
      </c>
      <c r="Y894">
        <v>0.20549339999999999</v>
      </c>
      <c r="Z894">
        <v>-5.3122469999999896E-3</v>
      </c>
      <c r="AA894">
        <v>0.97864410000000002</v>
      </c>
      <c r="AB894">
        <v>37</v>
      </c>
      <c r="AC894">
        <v>26.8413</v>
      </c>
      <c r="AD894">
        <v>-1.1211706437340001</v>
      </c>
      <c r="AE894">
        <v>-6.0432999999999799</v>
      </c>
      <c r="AF894">
        <v>5.6917010916439796</v>
      </c>
      <c r="AG894">
        <v>-1.1211706437340001</v>
      </c>
      <c r="AH894">
        <v>26.8714272114794</v>
      </c>
      <c r="AI894">
        <v>92.337397704949396</v>
      </c>
      <c r="AJ894">
        <v>78.040801206689395</v>
      </c>
      <c r="AK894">
        <v>27.490472628000202</v>
      </c>
      <c r="AL894">
        <v>76.837252868710493</v>
      </c>
      <c r="AM894">
        <v>86.207703571816296</v>
      </c>
      <c r="AN894">
        <v>0.99999993289703903</v>
      </c>
    </row>
    <row r="895" spans="1:40" x14ac:dyDescent="0.25">
      <c r="A895" t="str">
        <f>"20190303170956537"</f>
        <v>20190303170956537</v>
      </c>
      <c r="B895" t="str">
        <f>"1551604196531210"</f>
        <v>1551604196531210</v>
      </c>
      <c r="C895" t="s">
        <v>40</v>
      </c>
      <c r="D895">
        <v>4.6161120000000002</v>
      </c>
      <c r="E895">
        <v>0.56397410000000003</v>
      </c>
      <c r="F895" t="s">
        <v>44</v>
      </c>
      <c r="G895">
        <v>-202.15289999999999</v>
      </c>
      <c r="H895" s="1">
        <v>-3.3555650000000002E-6</v>
      </c>
      <c r="I895">
        <v>361.34769999999997</v>
      </c>
      <c r="J895">
        <v>-229.4365</v>
      </c>
      <c r="K895">
        <v>1.12117</v>
      </c>
      <c r="L895">
        <v>367.57339999999999</v>
      </c>
      <c r="M895">
        <v>0.99982179999999998</v>
      </c>
      <c r="N895">
        <v>-1.3960159999999999E-2</v>
      </c>
      <c r="O895">
        <v>-1.271272E-2</v>
      </c>
      <c r="P895">
        <v>0.97369000000000006</v>
      </c>
      <c r="Q895">
        <v>0.21448780000000001</v>
      </c>
      <c r="R895">
        <v>-7.6959780000000005E-2</v>
      </c>
      <c r="S895">
        <v>3.053604</v>
      </c>
      <c r="T895">
        <v>-0.1245153</v>
      </c>
      <c r="U895">
        <v>-0.69171139999999998</v>
      </c>
      <c r="V895">
        <v>6.4568180000000003E-2</v>
      </c>
      <c r="W895">
        <v>0.22807440000000001</v>
      </c>
      <c r="X895">
        <v>0.97150040000000004</v>
      </c>
      <c r="Y895">
        <v>0.2082891</v>
      </c>
      <c r="Z895">
        <v>-5.3285479999999998E-3</v>
      </c>
      <c r="AA895">
        <v>0.97805279999999994</v>
      </c>
      <c r="AB895">
        <v>37</v>
      </c>
      <c r="AC895">
        <v>27.2836</v>
      </c>
      <c r="AD895">
        <v>-1.1211733555650001</v>
      </c>
      <c r="AE895">
        <v>-6.2257000000000096</v>
      </c>
      <c r="AF895">
        <v>5.8688941771427601</v>
      </c>
      <c r="AG895">
        <v>-1.1211733555650001</v>
      </c>
      <c r="AH895">
        <v>27.316702421684099</v>
      </c>
      <c r="AI895">
        <v>92.297922331024594</v>
      </c>
      <c r="AJ895">
        <v>77.874533892238105</v>
      </c>
      <c r="AK895">
        <v>27.9625317121066</v>
      </c>
      <c r="AL895">
        <v>76.816269972569998</v>
      </c>
      <c r="AM895">
        <v>86.197581159127694</v>
      </c>
      <c r="AN895">
        <v>1.0000000045020101</v>
      </c>
    </row>
    <row r="896" spans="1:40" x14ac:dyDescent="0.25">
      <c r="A896" t="str">
        <f>"20190303170956551"</f>
        <v>20190303170956551</v>
      </c>
      <c r="B896" t="str">
        <f>"1551604196541947"</f>
        <v>1551604196541947</v>
      </c>
      <c r="C896" t="s">
        <v>40</v>
      </c>
      <c r="D896">
        <v>4.6098339999999904</v>
      </c>
      <c r="E896">
        <v>0.564473</v>
      </c>
      <c r="F896" t="s">
        <v>44</v>
      </c>
      <c r="G896">
        <v>-201.09870000000001</v>
      </c>
      <c r="H896" s="1">
        <v>-2.8961199999999998E-6</v>
      </c>
      <c r="I896">
        <v>361.02730000000003</v>
      </c>
      <c r="J896">
        <v>-229.18879999999999</v>
      </c>
      <c r="K896">
        <v>1.121173</v>
      </c>
      <c r="L896">
        <v>367.57029999999997</v>
      </c>
      <c r="M896">
        <v>0.99982199999999999</v>
      </c>
      <c r="N896">
        <v>-1.3967190000000001E-2</v>
      </c>
      <c r="O896">
        <v>-1.269584E-2</v>
      </c>
      <c r="P896">
        <v>0.97358020000000001</v>
      </c>
      <c r="Q896">
        <v>0.21471599999999999</v>
      </c>
      <c r="R896">
        <v>-7.7711219999999998E-2</v>
      </c>
      <c r="S896">
        <v>3.0519560000000001</v>
      </c>
      <c r="T896">
        <v>-0.1207492</v>
      </c>
      <c r="U896">
        <v>-0.70501709999999995</v>
      </c>
      <c r="V896">
        <v>6.5337320000000004E-2</v>
      </c>
      <c r="W896">
        <v>0.2283075</v>
      </c>
      <c r="X896">
        <v>0.97139419999999999</v>
      </c>
      <c r="Y896">
        <v>0.2124761</v>
      </c>
      <c r="Z896">
        <v>-5.3306889999999996E-3</v>
      </c>
      <c r="AA896">
        <v>0.97715169999999996</v>
      </c>
      <c r="AB896">
        <v>37</v>
      </c>
      <c r="AC896">
        <v>28.0900999999999</v>
      </c>
      <c r="AD896">
        <v>-1.12117589612</v>
      </c>
      <c r="AE896">
        <v>-6.5429999999999398</v>
      </c>
      <c r="AF896">
        <v>6.1764770979874299</v>
      </c>
      <c r="AG896">
        <v>-1.12117589612</v>
      </c>
      <c r="AH896">
        <v>28.1284075974561</v>
      </c>
      <c r="AI896">
        <v>92.2294953389315</v>
      </c>
      <c r="AJ896">
        <v>77.615456414683806</v>
      </c>
      <c r="AK896">
        <v>28.8203611826887</v>
      </c>
      <c r="AL896">
        <v>76.8025521572429</v>
      </c>
      <c r="AM896">
        <v>86.152002389173404</v>
      </c>
      <c r="AN896">
        <v>0.99999998586733596</v>
      </c>
    </row>
    <row r="897" spans="1:40" x14ac:dyDescent="0.25">
      <c r="A897" t="str">
        <f>"20190303170956565"</f>
        <v>20190303170956565</v>
      </c>
      <c r="B897" t="str">
        <f>"1551604196551705"</f>
        <v>1551604196551705</v>
      </c>
      <c r="C897" t="s">
        <v>40</v>
      </c>
      <c r="D897">
        <v>4.603415</v>
      </c>
      <c r="E897">
        <v>0.56496979999999997</v>
      </c>
      <c r="F897" t="s">
        <v>44</v>
      </c>
      <c r="G897">
        <v>-200.77780000000001</v>
      </c>
      <c r="H897" s="1">
        <v>-2.7508119999999999E-6</v>
      </c>
      <c r="I897">
        <v>360.95420000000001</v>
      </c>
      <c r="J897">
        <v>-228.96430000000001</v>
      </c>
      <c r="K897">
        <v>1.1211770000000001</v>
      </c>
      <c r="L897">
        <v>367.56740000000002</v>
      </c>
      <c r="M897">
        <v>0.99982199999999999</v>
      </c>
      <c r="N897">
        <v>-1.397289E-2</v>
      </c>
      <c r="O897">
        <v>-1.268026E-2</v>
      </c>
      <c r="P897">
        <v>0.97359180000000001</v>
      </c>
      <c r="Q897">
        <v>0.2145185</v>
      </c>
      <c r="R897">
        <v>-7.8108060000000007E-2</v>
      </c>
      <c r="S897">
        <v>3.0512540000000001</v>
      </c>
      <c r="T897">
        <v>-0.1204107</v>
      </c>
      <c r="U897">
        <v>-0.71054079999999997</v>
      </c>
      <c r="V897">
        <v>6.5749150000000006E-2</v>
      </c>
      <c r="W897">
        <v>0.22811619999999999</v>
      </c>
      <c r="X897">
        <v>0.97141129999999998</v>
      </c>
      <c r="Y897">
        <v>0.2142182</v>
      </c>
      <c r="Z897">
        <v>-5.3681270000000003E-3</v>
      </c>
      <c r="AA897">
        <v>0.9767711</v>
      </c>
      <c r="AB897">
        <v>37</v>
      </c>
      <c r="AC897">
        <v>28.186499999999899</v>
      </c>
      <c r="AD897">
        <v>-1.1211797508120001</v>
      </c>
      <c r="AE897">
        <v>-6.6132</v>
      </c>
      <c r="AF897">
        <v>6.2458544497438604</v>
      </c>
      <c r="AG897">
        <v>-1.1211797508120001</v>
      </c>
      <c r="AH897">
        <v>28.225769339126501</v>
      </c>
      <c r="AI897">
        <v>92.221026971369596</v>
      </c>
      <c r="AJ897">
        <v>77.522538637355893</v>
      </c>
      <c r="AK897">
        <v>28.9302920245647</v>
      </c>
      <c r="AL897">
        <v>76.813809200316697</v>
      </c>
      <c r="AM897">
        <v>86.127889448488702</v>
      </c>
      <c r="AN897">
        <v>0.99999993259792397</v>
      </c>
    </row>
    <row r="898" spans="1:40" x14ac:dyDescent="0.25">
      <c r="A898" t="str">
        <f>"20190303170956580"</f>
        <v>20190303170956580</v>
      </c>
      <c r="B898" t="str">
        <f>"1551604196571225"</f>
        <v>1551604196571225</v>
      </c>
      <c r="C898" t="s">
        <v>40</v>
      </c>
      <c r="D898">
        <v>4.6507800000000001</v>
      </c>
      <c r="E898">
        <v>0.56590469999999904</v>
      </c>
      <c r="F898" t="s">
        <v>44</v>
      </c>
      <c r="G898">
        <v>-200.66419999999999</v>
      </c>
      <c r="H898" s="1">
        <v>-2.6983699999999999E-6</v>
      </c>
      <c r="I898">
        <v>360.93220000000002</v>
      </c>
      <c r="J898">
        <v>-228.7311</v>
      </c>
      <c r="K898">
        <v>1.1211719999999901</v>
      </c>
      <c r="L898">
        <v>367.56450000000001</v>
      </c>
      <c r="M898">
        <v>0.99982219999999999</v>
      </c>
      <c r="N898">
        <v>-1.3978300000000001E-2</v>
      </c>
      <c r="O898">
        <v>-1.266421E-2</v>
      </c>
      <c r="P898">
        <v>0.97354960000000001</v>
      </c>
      <c r="Q898">
        <v>0.21464630000000001</v>
      </c>
      <c r="R898">
        <v>-7.8283439999999996E-2</v>
      </c>
      <c r="S898">
        <v>3.0506129999999998</v>
      </c>
      <c r="T898">
        <v>-0.1208576</v>
      </c>
      <c r="U898">
        <v>-0.71524049999999995</v>
      </c>
      <c r="V898">
        <v>6.5940750000000006E-2</v>
      </c>
      <c r="W898">
        <v>0.22824849999999999</v>
      </c>
      <c r="X898">
        <v>0.97136730000000004</v>
      </c>
      <c r="Y898">
        <v>0.2157029</v>
      </c>
      <c r="Z898">
        <v>-5.4227040000000004E-3</v>
      </c>
      <c r="AA898">
        <v>0.97644399999999998</v>
      </c>
      <c r="AB898">
        <v>37</v>
      </c>
      <c r="AC898">
        <v>28.0669</v>
      </c>
      <c r="AD898">
        <v>-1.1211746983699999</v>
      </c>
      <c r="AE898">
        <v>-6.6322999999999803</v>
      </c>
      <c r="AF898">
        <v>6.26681697240147</v>
      </c>
      <c r="AG898">
        <v>-1.1211746983699999</v>
      </c>
      <c r="AH898">
        <v>28.106172034698101</v>
      </c>
      <c r="AI898">
        <v>92.229662544479396</v>
      </c>
      <c r="AJ898">
        <v>77.430401935999697</v>
      </c>
      <c r="AK898">
        <v>28.818170207594601</v>
      </c>
      <c r="AL898">
        <v>76.8060244209871</v>
      </c>
      <c r="AM898">
        <v>86.116464816275993</v>
      </c>
      <c r="AN898">
        <v>0.99999999588605104</v>
      </c>
    </row>
    <row r="899" spans="1:40" x14ac:dyDescent="0.25">
      <c r="A899" t="str">
        <f>"20190303170956597"</f>
        <v>20190303170956597</v>
      </c>
      <c r="B899" t="str">
        <f>"1551604196591721"</f>
        <v>1551604196591721</v>
      </c>
      <c r="C899" t="s">
        <v>40</v>
      </c>
      <c r="D899">
        <v>4.6157680000000001</v>
      </c>
      <c r="E899">
        <v>0.56675399999999998</v>
      </c>
      <c r="F899" t="s">
        <v>44</v>
      </c>
      <c r="G899">
        <v>-200.18049999999999</v>
      </c>
      <c r="H899" s="1">
        <v>-2.4484900000000001E-6</v>
      </c>
      <c r="I899">
        <v>360.7953</v>
      </c>
      <c r="J899">
        <v>-228.4418</v>
      </c>
      <c r="K899">
        <v>1.1211739999999999</v>
      </c>
      <c r="L899">
        <v>367.56079999999997</v>
      </c>
      <c r="M899">
        <v>0.9998224</v>
      </c>
      <c r="N899">
        <v>-1.3984170000000001E-2</v>
      </c>
      <c r="O899">
        <v>-1.2644229999999999E-2</v>
      </c>
      <c r="P899">
        <v>0.97349969999999997</v>
      </c>
      <c r="Q899">
        <v>0.2145319</v>
      </c>
      <c r="R899">
        <v>-7.9212320000000003E-2</v>
      </c>
      <c r="S899">
        <v>3.0497740000000002</v>
      </c>
      <c r="T899">
        <v>-0.11976390000000001</v>
      </c>
      <c r="U899">
        <v>-0.72308349999999999</v>
      </c>
      <c r="V899">
        <v>6.6889899999999905E-2</v>
      </c>
      <c r="W899">
        <v>0.22813890000000001</v>
      </c>
      <c r="X899">
        <v>0.97132810000000003</v>
      </c>
      <c r="Y899">
        <v>0.2181611</v>
      </c>
      <c r="Z899">
        <v>-5.4555999999999997E-3</v>
      </c>
      <c r="AA899">
        <v>0.97589760000000003</v>
      </c>
      <c r="AB899">
        <v>37</v>
      </c>
      <c r="AC899">
        <v>28.261299999999999</v>
      </c>
      <c r="AD899">
        <v>-1.12117644849</v>
      </c>
      <c r="AE899">
        <v>-6.7654999999999701</v>
      </c>
      <c r="AF899">
        <v>6.3980579741442201</v>
      </c>
      <c r="AG899">
        <v>-1.12117644849</v>
      </c>
      <c r="AH899">
        <v>28.3024636947126</v>
      </c>
      <c r="AI899">
        <v>92.212756841032402</v>
      </c>
      <c r="AJ899">
        <v>77.2618167645265</v>
      </c>
      <c r="AK899">
        <v>29.038278765444801</v>
      </c>
      <c r="AL899">
        <v>76.812473556771906</v>
      </c>
      <c r="AM899">
        <v>86.060581550804599</v>
      </c>
      <c r="AN899">
        <v>0.99999994713241303</v>
      </c>
    </row>
    <row r="900" spans="1:40" x14ac:dyDescent="0.25">
      <c r="A900" t="str">
        <f>"20190303170956610"</f>
        <v>20190303170956610</v>
      </c>
      <c r="B900" t="str">
        <f>"1551604196601481"</f>
        <v>1551604196601481</v>
      </c>
      <c r="C900" t="s">
        <v>40</v>
      </c>
      <c r="D900">
        <v>4.64968</v>
      </c>
      <c r="E900">
        <v>0.56719049999999904</v>
      </c>
      <c r="F900" t="s">
        <v>44</v>
      </c>
      <c r="G900">
        <v>-199.9795</v>
      </c>
      <c r="H900" s="1">
        <v>-1.018968E-5</v>
      </c>
      <c r="I900">
        <v>360.73340000000002</v>
      </c>
      <c r="J900">
        <v>-228.2054</v>
      </c>
      <c r="K900">
        <v>1.121175</v>
      </c>
      <c r="L900">
        <v>367.55779999999999</v>
      </c>
      <c r="M900">
        <v>0.99982249999999995</v>
      </c>
      <c r="N900">
        <v>-1.3988270000000001E-2</v>
      </c>
      <c r="O900">
        <v>-1.26296E-2</v>
      </c>
      <c r="P900">
        <v>0.97342410000000001</v>
      </c>
      <c r="Q900">
        <v>0.2146595</v>
      </c>
      <c r="R900">
        <v>-7.9792189999999999E-2</v>
      </c>
      <c r="S900">
        <v>3.0486300000000002</v>
      </c>
      <c r="T900">
        <v>-0.1200913</v>
      </c>
      <c r="U900">
        <v>-0.73129270000000002</v>
      </c>
      <c r="V900">
        <v>6.7485149999999994E-2</v>
      </c>
      <c r="W900">
        <v>0.2282699</v>
      </c>
      <c r="X900">
        <v>0.97125620000000001</v>
      </c>
      <c r="Y900">
        <v>0.22073960000000001</v>
      </c>
      <c r="Z900">
        <v>-5.5356709999999998E-3</v>
      </c>
      <c r="AA900">
        <v>0.97531710000000005</v>
      </c>
      <c r="AB900">
        <v>37</v>
      </c>
      <c r="AC900">
        <v>28.225899999999999</v>
      </c>
      <c r="AD900">
        <v>-1.12118518968</v>
      </c>
      <c r="AE900">
        <v>-6.8243999999999598</v>
      </c>
      <c r="AF900">
        <v>6.4577125125643899</v>
      </c>
      <c r="AG900">
        <v>-1.12118518968</v>
      </c>
      <c r="AH900">
        <v>28.267707959617901</v>
      </c>
      <c r="AI900">
        <v>92.214350047938794</v>
      </c>
      <c r="AJ900">
        <v>77.1316979217289</v>
      </c>
      <c r="AK900">
        <v>29.0176225837806</v>
      </c>
      <c r="AL900">
        <v>76.804765091159894</v>
      </c>
      <c r="AM900">
        <v>86.025343436594397</v>
      </c>
      <c r="AN900">
        <v>0.99999999937748596</v>
      </c>
    </row>
    <row r="901" spans="1:40" x14ac:dyDescent="0.25">
      <c r="A901" t="str">
        <f>"20190303170956623"</f>
        <v>20190303170956623</v>
      </c>
      <c r="B901" t="str">
        <f>"1551604196611243"</f>
        <v>1551604196611243</v>
      </c>
      <c r="C901" t="s">
        <v>40</v>
      </c>
      <c r="D901">
        <v>4.6347990000000001</v>
      </c>
      <c r="E901">
        <v>0.56758949999999997</v>
      </c>
      <c r="F901" t="s">
        <v>44</v>
      </c>
      <c r="G901">
        <v>-199.62450000000001</v>
      </c>
      <c r="H901" s="1">
        <v>-1.007184E-5</v>
      </c>
      <c r="I901">
        <v>360.65519999999998</v>
      </c>
      <c r="J901">
        <v>-227.99539999999999</v>
      </c>
      <c r="K901">
        <v>1.1211770000000001</v>
      </c>
      <c r="L901">
        <v>367.55520000000001</v>
      </c>
      <c r="M901">
        <v>0.99982260000000001</v>
      </c>
      <c r="N901">
        <v>-1.399153E-2</v>
      </c>
      <c r="O901">
        <v>-1.261748E-2</v>
      </c>
      <c r="P901">
        <v>0.9733735</v>
      </c>
      <c r="Q901">
        <v>0.21465609999999999</v>
      </c>
      <c r="R901">
        <v>-8.0415630000000002E-2</v>
      </c>
      <c r="S901">
        <v>3.0479129999999999</v>
      </c>
      <c r="T901">
        <v>-0.11956509999999999</v>
      </c>
      <c r="U901">
        <v>-0.7361145</v>
      </c>
      <c r="V901">
        <v>6.812174E-2</v>
      </c>
      <c r="W901">
        <v>0.22826850000000001</v>
      </c>
      <c r="X901">
        <v>0.97121210000000002</v>
      </c>
      <c r="Y901">
        <v>0.22226170000000001</v>
      </c>
      <c r="Z901">
        <v>-5.5604130000000002E-3</v>
      </c>
      <c r="AA901">
        <v>0.97497120000000004</v>
      </c>
      <c r="AB901">
        <v>37</v>
      </c>
      <c r="AC901">
        <v>28.370899999999899</v>
      </c>
      <c r="AD901">
        <v>-1.1211870718400001</v>
      </c>
      <c r="AE901">
        <v>-6.9000000000000297</v>
      </c>
      <c r="AF901">
        <v>6.5318150206126599</v>
      </c>
      <c r="AG901">
        <v>-1.1211870718400001</v>
      </c>
      <c r="AH901">
        <v>28.413813335089198</v>
      </c>
      <c r="AI901">
        <v>92.202291984589294</v>
      </c>
      <c r="AJ901">
        <v>77.053674523580895</v>
      </c>
      <c r="AK901">
        <v>29.176470933868199</v>
      </c>
      <c r="AL901">
        <v>76.804847641586306</v>
      </c>
      <c r="AM901">
        <v>85.987790638363506</v>
      </c>
      <c r="AN901">
        <v>1.0000000113696399</v>
      </c>
    </row>
    <row r="902" spans="1:40" x14ac:dyDescent="0.25">
      <c r="A902" t="str">
        <f>"20190303170956637"</f>
        <v>20190303170956637</v>
      </c>
      <c r="B902" t="str">
        <f>"1551604196631737"</f>
        <v>1551604196631737</v>
      </c>
      <c r="C902" t="s">
        <v>40</v>
      </c>
      <c r="D902">
        <v>4.6445759999999998</v>
      </c>
      <c r="E902">
        <v>0.56840519999999894</v>
      </c>
      <c r="F902" t="s">
        <v>44</v>
      </c>
      <c r="G902">
        <v>-199.46520000000001</v>
      </c>
      <c r="H902" s="1">
        <v>-1.001886E-5</v>
      </c>
      <c r="I902">
        <v>360.62079999999997</v>
      </c>
      <c r="J902">
        <v>-227.7758</v>
      </c>
      <c r="K902">
        <v>1.1211770000000001</v>
      </c>
      <c r="L902">
        <v>367.55239999999998</v>
      </c>
      <c r="M902">
        <v>0.99982269999999895</v>
      </c>
      <c r="N902">
        <v>-1.3994650000000001E-2</v>
      </c>
      <c r="O902">
        <v>-1.260561E-2</v>
      </c>
      <c r="P902">
        <v>0.97330740000000004</v>
      </c>
      <c r="Q902">
        <v>0.21474889999999999</v>
      </c>
      <c r="R902">
        <v>-8.0968380000000006E-2</v>
      </c>
      <c r="S902">
        <v>3.0472869999999999</v>
      </c>
      <c r="T902">
        <v>-0.119753</v>
      </c>
      <c r="U902">
        <v>-0.74066160000000003</v>
      </c>
      <c r="V902">
        <v>6.868747E-2</v>
      </c>
      <c r="W902">
        <v>0.2283636</v>
      </c>
      <c r="X902">
        <v>0.97114990000000001</v>
      </c>
      <c r="Y902">
        <v>0.2236908</v>
      </c>
      <c r="Z902">
        <v>-5.605245E-3</v>
      </c>
      <c r="AA902">
        <v>0.97464399999999995</v>
      </c>
      <c r="AB902">
        <v>37</v>
      </c>
      <c r="AC902">
        <v>28.310599999999901</v>
      </c>
      <c r="AD902">
        <v>-1.1211870188599999</v>
      </c>
      <c r="AE902">
        <v>-6.9316000000000004</v>
      </c>
      <c r="AF902">
        <v>6.5644284617453401</v>
      </c>
      <c r="AG902">
        <v>-1.1211870188599999</v>
      </c>
      <c r="AH902">
        <v>28.353780673068599</v>
      </c>
      <c r="AI902">
        <v>92.206159721014203</v>
      </c>
      <c r="AJ902">
        <v>76.964623477592099</v>
      </c>
      <c r="AK902">
        <v>29.125343943327302</v>
      </c>
      <c r="AL902">
        <v>76.799251041909102</v>
      </c>
      <c r="AM902">
        <v>85.954322414339501</v>
      </c>
      <c r="AN902">
        <v>1.00000001530498</v>
      </c>
    </row>
    <row r="903" spans="1:40" x14ac:dyDescent="0.25">
      <c r="A903" t="str">
        <f>"20190303170956652"</f>
        <v>20190303170956652</v>
      </c>
      <c r="B903" t="str">
        <f>"1551604196641499"</f>
        <v>1551604196641499</v>
      </c>
      <c r="C903" t="s">
        <v>40</v>
      </c>
      <c r="D903">
        <v>4.6464790000000002</v>
      </c>
      <c r="E903">
        <v>0.56878609999999996</v>
      </c>
      <c r="F903" t="s">
        <v>44</v>
      </c>
      <c r="G903">
        <v>-199.12270000000001</v>
      </c>
      <c r="H903" s="1">
        <v>-9.9097639999999994E-6</v>
      </c>
      <c r="I903">
        <v>360.51330000000002</v>
      </c>
      <c r="J903">
        <v>-227.51910000000001</v>
      </c>
      <c r="K903">
        <v>1.1211770000000001</v>
      </c>
      <c r="L903">
        <v>367.54919999999998</v>
      </c>
      <c r="M903">
        <v>0.99982280000000001</v>
      </c>
      <c r="N903">
        <v>-1.399768E-2</v>
      </c>
      <c r="O903">
        <v>-1.259506E-2</v>
      </c>
      <c r="P903">
        <v>0.97330620000000001</v>
      </c>
      <c r="Q903">
        <v>0.2143958</v>
      </c>
      <c r="R903">
        <v>-8.1913280000000005E-2</v>
      </c>
      <c r="S903">
        <v>3.046341</v>
      </c>
      <c r="T903">
        <v>-0.1192024</v>
      </c>
      <c r="U903">
        <v>-0.74838260000000001</v>
      </c>
      <c r="V903">
        <v>6.9644049999999999E-2</v>
      </c>
      <c r="W903">
        <v>0.2280131</v>
      </c>
      <c r="X903">
        <v>0.97116409999999997</v>
      </c>
      <c r="Y903">
        <v>0.2261002</v>
      </c>
      <c r="Z903">
        <v>-5.6522159999999998E-3</v>
      </c>
      <c r="AA903">
        <v>0.9740877</v>
      </c>
      <c r="AB903">
        <v>37</v>
      </c>
      <c r="AC903">
        <v>28.3964</v>
      </c>
      <c r="AD903">
        <v>-1.1211869097639999</v>
      </c>
      <c r="AE903">
        <v>-7.0358999999999696</v>
      </c>
      <c r="AF903">
        <v>6.66785888064787</v>
      </c>
      <c r="AG903">
        <v>-1.1211869097639999</v>
      </c>
      <c r="AH903">
        <v>28.441000117981599</v>
      </c>
      <c r="AI903">
        <v>92.197979958985101</v>
      </c>
      <c r="AJ903">
        <v>76.805571047159106</v>
      </c>
      <c r="AK903">
        <v>29.2336773234208</v>
      </c>
      <c r="AL903">
        <v>76.8198770350796</v>
      </c>
      <c r="AM903">
        <v>85.898230822833</v>
      </c>
      <c r="AN903">
        <v>0.99999998830041104</v>
      </c>
    </row>
    <row r="904" spans="1:40" x14ac:dyDescent="0.25">
      <c r="A904" t="str">
        <f>"20190303170956670"</f>
        <v>20190303170956670</v>
      </c>
      <c r="B904" t="str">
        <f>"1551604196661017"</f>
        <v>1551604196661017</v>
      </c>
      <c r="C904" t="s">
        <v>40</v>
      </c>
      <c r="D904">
        <v>4.6735989999999896</v>
      </c>
      <c r="E904">
        <v>0.56951439999999998</v>
      </c>
      <c r="F904" t="s">
        <v>44</v>
      </c>
      <c r="G904">
        <v>-198.9632</v>
      </c>
      <c r="H904" s="1">
        <v>-9.8600440000000008E-6</v>
      </c>
      <c r="I904">
        <v>360.4701</v>
      </c>
      <c r="J904">
        <v>-227.22890000000001</v>
      </c>
      <c r="K904">
        <v>1.121175</v>
      </c>
      <c r="L904">
        <v>367.5455</v>
      </c>
      <c r="M904">
        <v>0.99982289999999996</v>
      </c>
      <c r="N904">
        <v>-1.400061E-2</v>
      </c>
      <c r="O904">
        <v>-1.258513E-2</v>
      </c>
      <c r="P904">
        <v>0.97327050000000004</v>
      </c>
      <c r="Q904">
        <v>0.21447250000000001</v>
      </c>
      <c r="R904">
        <v>-8.2135479999999997E-2</v>
      </c>
      <c r="S904">
        <v>3.0450740000000001</v>
      </c>
      <c r="T904">
        <v>-0.11955830000000001</v>
      </c>
      <c r="U904">
        <v>-0.75488279999999996</v>
      </c>
      <c r="V904">
        <v>6.9878430000000005E-2</v>
      </c>
      <c r="W904">
        <v>0.22809109999999999</v>
      </c>
      <c r="X904">
        <v>0.97112889999999996</v>
      </c>
      <c r="Y904">
        <v>0.2281599</v>
      </c>
      <c r="Z904">
        <v>-5.7198099999999997E-3</v>
      </c>
      <c r="AA904">
        <v>0.97360690000000005</v>
      </c>
      <c r="AB904">
        <v>37</v>
      </c>
      <c r="AC904">
        <v>28.265699999999999</v>
      </c>
      <c r="AD904">
        <v>-1.121184860044</v>
      </c>
      <c r="AE904">
        <v>-7.0754000000000001</v>
      </c>
      <c r="AF904">
        <v>6.7091435763314502</v>
      </c>
      <c r="AG904">
        <v>-1.121184860044</v>
      </c>
      <c r="AH904">
        <v>28.310597587668799</v>
      </c>
      <c r="AI904">
        <v>92.206840197263404</v>
      </c>
      <c r="AJ904">
        <v>76.667799735925797</v>
      </c>
      <c r="AK904">
        <v>29.116311558800501</v>
      </c>
      <c r="AL904">
        <v>76.815286399424906</v>
      </c>
      <c r="AM904">
        <v>85.884325426335707</v>
      </c>
      <c r="AN904">
        <v>0.99999994264684</v>
      </c>
    </row>
    <row r="905" spans="1:40" x14ac:dyDescent="0.25">
      <c r="A905" t="str">
        <f>"20190303170956684"</f>
        <v>20190303170956684</v>
      </c>
      <c r="B905" t="str">
        <f>"1551604196671753"</f>
        <v>1551604196671753</v>
      </c>
      <c r="C905" t="s">
        <v>40</v>
      </c>
      <c r="D905">
        <v>4.6485190000000003</v>
      </c>
      <c r="E905">
        <v>0.56985189999999997</v>
      </c>
      <c r="F905" t="s">
        <v>44</v>
      </c>
      <c r="G905">
        <v>-198.38310000000001</v>
      </c>
      <c r="H905" s="1">
        <v>-9.6786650000000003E-6</v>
      </c>
      <c r="I905">
        <v>360.32769999999999</v>
      </c>
      <c r="J905">
        <v>-226.99449999999999</v>
      </c>
      <c r="K905">
        <v>1.121175</v>
      </c>
      <c r="L905">
        <v>367.54259999999999</v>
      </c>
      <c r="M905">
        <v>0.99982300000000002</v>
      </c>
      <c r="N905">
        <v>-1.400264E-2</v>
      </c>
      <c r="O905">
        <v>-1.2578880000000001E-2</v>
      </c>
      <c r="P905">
        <v>0.97315229999999997</v>
      </c>
      <c r="Q905">
        <v>0.2148101</v>
      </c>
      <c r="R905">
        <v>-8.2651879999999997E-2</v>
      </c>
      <c r="S905">
        <v>3.0441889999999998</v>
      </c>
      <c r="T905">
        <v>-0.1183221</v>
      </c>
      <c r="U905">
        <v>-0.76171880000000003</v>
      </c>
      <c r="V905">
        <v>7.0403900000000005E-2</v>
      </c>
      <c r="W905">
        <v>0.2284291</v>
      </c>
      <c r="X905">
        <v>0.97101159999999997</v>
      </c>
      <c r="Y905">
        <v>0.23029189999999999</v>
      </c>
      <c r="Z905">
        <v>-5.7360600000000003E-3</v>
      </c>
      <c r="AA905">
        <v>0.97310469999999905</v>
      </c>
      <c r="AB905">
        <v>37</v>
      </c>
      <c r="AC905">
        <v>28.6113999999999</v>
      </c>
      <c r="AD905">
        <v>-1.1211846786649999</v>
      </c>
      <c r="AE905">
        <v>-7.2149000000000001</v>
      </c>
      <c r="AF905">
        <v>6.8445124717406101</v>
      </c>
      <c r="AG905">
        <v>-1.1211846786649999</v>
      </c>
      <c r="AH905">
        <v>28.658523428684099</v>
      </c>
      <c r="AI905">
        <v>92.179168638917105</v>
      </c>
      <c r="AJ905">
        <v>76.5676736747956</v>
      </c>
      <c r="AK905">
        <v>29.485850355245301</v>
      </c>
      <c r="AL905">
        <v>76.795396680780001</v>
      </c>
      <c r="AM905">
        <v>85.852984873392899</v>
      </c>
      <c r="AN905">
        <v>1.00000004509828</v>
      </c>
    </row>
    <row r="906" spans="1:40" x14ac:dyDescent="0.25">
      <c r="A906" t="str">
        <f>"20190303170956698"</f>
        <v>20190303170956698</v>
      </c>
      <c r="B906" t="str">
        <f>"1551604196691274"</f>
        <v>1551604196691274</v>
      </c>
      <c r="C906" t="s">
        <v>40</v>
      </c>
      <c r="D906">
        <v>4.6583129999999997</v>
      </c>
      <c r="E906">
        <v>0.57051019999999997</v>
      </c>
      <c r="F906" t="s">
        <v>44</v>
      </c>
      <c r="G906">
        <v>-197.7552</v>
      </c>
      <c r="H906" s="1">
        <v>-9.4811589999999995E-6</v>
      </c>
      <c r="I906">
        <v>360.18110000000001</v>
      </c>
      <c r="J906">
        <v>-226.76519999999999</v>
      </c>
      <c r="K906">
        <v>1.1211739999999999</v>
      </c>
      <c r="L906">
        <v>367.53969999999998</v>
      </c>
      <c r="M906">
        <v>0.99982280000000001</v>
      </c>
      <c r="N906">
        <v>-1.400438E-2</v>
      </c>
      <c r="O906">
        <v>-1.2574770000000001E-2</v>
      </c>
      <c r="P906">
        <v>0.97285960000000005</v>
      </c>
      <c r="Q906">
        <v>0.2156679</v>
      </c>
      <c r="R906">
        <v>-8.3854810000000002E-2</v>
      </c>
      <c r="S906">
        <v>3.0434420000000002</v>
      </c>
      <c r="T906">
        <v>-0.116701</v>
      </c>
      <c r="U906">
        <v>-0.76623540000000001</v>
      </c>
      <c r="V906">
        <v>7.1616180000000002E-2</v>
      </c>
      <c r="W906">
        <v>0.22928409999999999</v>
      </c>
      <c r="X906">
        <v>0.97072139999999996</v>
      </c>
      <c r="Y906">
        <v>0.23171430000000001</v>
      </c>
      <c r="Z906">
        <v>-5.7200860000000001E-3</v>
      </c>
      <c r="AA906">
        <v>0.9727671</v>
      </c>
      <c r="AB906">
        <v>37</v>
      </c>
      <c r="AC906">
        <v>29.009999999999899</v>
      </c>
      <c r="AD906">
        <v>-1.12118348115899</v>
      </c>
      <c r="AE906">
        <v>-7.3585999999999601</v>
      </c>
      <c r="AF906">
        <v>6.9833878180390299</v>
      </c>
      <c r="AG906">
        <v>-1.12118348115899</v>
      </c>
      <c r="AH906">
        <v>29.059466035084199</v>
      </c>
      <c r="AI906">
        <v>92.148406364530103</v>
      </c>
      <c r="AJ906">
        <v>76.487273114903402</v>
      </c>
      <c r="AK906">
        <v>29.907813762623501</v>
      </c>
      <c r="AL906">
        <v>76.745073360579298</v>
      </c>
      <c r="AM906">
        <v>85.780576791389905</v>
      </c>
      <c r="AN906">
        <v>1.0000000560842699</v>
      </c>
    </row>
    <row r="907" spans="1:40" x14ac:dyDescent="0.25">
      <c r="A907" t="str">
        <f>"20190303170956709"</f>
        <v>20190303170956709</v>
      </c>
      <c r="B907" t="str">
        <f>"1551604196701033"</f>
        <v>1551604196701033</v>
      </c>
      <c r="C907" t="s">
        <v>40</v>
      </c>
      <c r="D907">
        <v>4.6593580000000001</v>
      </c>
      <c r="E907">
        <v>0.57082929999999998</v>
      </c>
      <c r="F907" t="s">
        <v>44</v>
      </c>
      <c r="G907">
        <v>-196.81710000000001</v>
      </c>
      <c r="H907" s="1">
        <v>-9.1934670000000007E-6</v>
      </c>
      <c r="I907">
        <v>359.91500000000002</v>
      </c>
      <c r="J907">
        <v>-226.5684</v>
      </c>
      <c r="K907">
        <v>1.1211770000000001</v>
      </c>
      <c r="L907">
        <v>367.53730000000002</v>
      </c>
      <c r="M907">
        <v>0.99982289999999996</v>
      </c>
      <c r="N907">
        <v>-1.400561E-2</v>
      </c>
      <c r="O907">
        <v>-1.257891E-2</v>
      </c>
      <c r="P907">
        <v>0.97270020000000001</v>
      </c>
      <c r="Q907">
        <v>0.21611549999999999</v>
      </c>
      <c r="R907">
        <v>-8.4549890000000003E-2</v>
      </c>
      <c r="S907">
        <v>3.0421909999999999</v>
      </c>
      <c r="T907">
        <v>-0.1138921</v>
      </c>
      <c r="U907">
        <v>-0.77453609999999995</v>
      </c>
      <c r="V907">
        <v>7.2311760000000003E-2</v>
      </c>
      <c r="W907">
        <v>0.22972970000000001</v>
      </c>
      <c r="X907">
        <v>0.97056439999999999</v>
      </c>
      <c r="Y907">
        <v>0.23430480000000001</v>
      </c>
      <c r="Z907">
        <v>-5.6932569999999898E-3</v>
      </c>
      <c r="AA907">
        <v>0.97214650000000002</v>
      </c>
      <c r="AB907">
        <v>37</v>
      </c>
      <c r="AC907">
        <v>29.751299999999901</v>
      </c>
      <c r="AD907">
        <v>-1.121186193467</v>
      </c>
      <c r="AE907">
        <v>-7.6222999999999903</v>
      </c>
      <c r="AF907">
        <v>7.2377754191927304</v>
      </c>
      <c r="AG907">
        <v>-1.121186193467</v>
      </c>
      <c r="AH907">
        <v>29.8051139226814</v>
      </c>
      <c r="AI907">
        <v>92.093507384112797</v>
      </c>
      <c r="AJ907">
        <v>76.350687086612297</v>
      </c>
      <c r="AK907">
        <v>30.691811081184301</v>
      </c>
      <c r="AL907">
        <v>76.718841282230002</v>
      </c>
      <c r="AM907">
        <v>85.739058735966097</v>
      </c>
      <c r="AN907">
        <v>0.99999999012187302</v>
      </c>
    </row>
    <row r="908" spans="1:40" x14ac:dyDescent="0.25">
      <c r="A908" t="str">
        <f>"20190303170956722"</f>
        <v>20190303170956722</v>
      </c>
      <c r="B908" t="str">
        <f>"1551604196711769"</f>
        <v>1551604196711769</v>
      </c>
      <c r="C908" t="s">
        <v>40</v>
      </c>
      <c r="D908">
        <v>4.632098</v>
      </c>
      <c r="E908">
        <v>0.57114299999999996</v>
      </c>
      <c r="F908" t="s">
        <v>44</v>
      </c>
      <c r="G908">
        <v>-196.23570000000001</v>
      </c>
      <c r="H908" s="1">
        <v>-9.0119999999999994E-6</v>
      </c>
      <c r="I908">
        <v>359.77010000000001</v>
      </c>
      <c r="J908">
        <v>-226.3655</v>
      </c>
      <c r="K908">
        <v>1.1211739999999999</v>
      </c>
      <c r="L908">
        <v>367.53469999999999</v>
      </c>
      <c r="M908">
        <v>0.99982280000000001</v>
      </c>
      <c r="N908">
        <v>-1.400672E-2</v>
      </c>
      <c r="O908">
        <v>-1.259037E-2</v>
      </c>
      <c r="P908">
        <v>0.97268929999999998</v>
      </c>
      <c r="Q908">
        <v>0.2160048</v>
      </c>
      <c r="R908">
        <v>-8.4958450000000005E-2</v>
      </c>
      <c r="S908">
        <v>3.041458</v>
      </c>
      <c r="T908">
        <v>-0.11242099999999999</v>
      </c>
      <c r="U908">
        <v>-0.77880859999999996</v>
      </c>
      <c r="V908">
        <v>7.2713239999999998E-2</v>
      </c>
      <c r="W908">
        <v>0.22961870000000001</v>
      </c>
      <c r="X908">
        <v>0.97056070000000005</v>
      </c>
      <c r="Y908">
        <v>0.23563490000000001</v>
      </c>
      <c r="Z908">
        <v>-5.67755E-3</v>
      </c>
      <c r="AA908">
        <v>0.9718251</v>
      </c>
      <c r="AB908">
        <v>37</v>
      </c>
      <c r="AC908">
        <v>30.1297999999999</v>
      </c>
      <c r="AD908">
        <v>-1.1211830119999999</v>
      </c>
      <c r="AE908">
        <v>-7.7645999999999704</v>
      </c>
      <c r="AF908">
        <v>7.3750256301814003</v>
      </c>
      <c r="AG908">
        <v>-1.1211830119999999</v>
      </c>
      <c r="AH908">
        <v>30.185984227263798</v>
      </c>
      <c r="AI908">
        <v>92.066405783768104</v>
      </c>
      <c r="AJ908">
        <v>76.270485144554499</v>
      </c>
      <c r="AK908">
        <v>31.094078184774101</v>
      </c>
      <c r="AL908">
        <v>76.725376167683393</v>
      </c>
      <c r="AM908">
        <v>85.715473267438895</v>
      </c>
      <c r="AN908">
        <v>1.0000000175227299</v>
      </c>
    </row>
    <row r="909" spans="1:40" x14ac:dyDescent="0.25">
      <c r="A909" t="str">
        <f>"20190303170956736"</f>
        <v>20190303170956736</v>
      </c>
      <c r="B909" t="str">
        <f>"1551604196721530"</f>
        <v>1551604196721530</v>
      </c>
      <c r="C909" t="s">
        <v>40</v>
      </c>
      <c r="D909">
        <v>4.6682649999999999</v>
      </c>
      <c r="E909">
        <v>0.57143219999999995</v>
      </c>
      <c r="F909" t="s">
        <v>44</v>
      </c>
      <c r="G909">
        <v>-196.13980000000001</v>
      </c>
      <c r="H909" s="1">
        <v>-8.9807579999999904E-6</v>
      </c>
      <c r="I909">
        <v>359.75479999999999</v>
      </c>
      <c r="J909">
        <v>-226.13679999999999</v>
      </c>
      <c r="K909">
        <v>1.121167</v>
      </c>
      <c r="L909">
        <v>367.53179999999998</v>
      </c>
      <c r="M909">
        <v>0.9998224</v>
      </c>
      <c r="N909">
        <v>-1.4007790000000001E-2</v>
      </c>
      <c r="O909">
        <v>-1.2611529999999999E-2</v>
      </c>
      <c r="P909">
        <v>0.97269530000000004</v>
      </c>
      <c r="Q909">
        <v>0.21572649999999999</v>
      </c>
      <c r="R909">
        <v>-8.5592360000000006E-2</v>
      </c>
      <c r="S909">
        <v>3.040924</v>
      </c>
      <c r="T909">
        <v>-0.1127992</v>
      </c>
      <c r="U909">
        <v>-0.78271480000000004</v>
      </c>
      <c r="V909">
        <v>7.3332179999999997E-2</v>
      </c>
      <c r="W909">
        <v>0.22933979999999901</v>
      </c>
      <c r="X909">
        <v>0.97058</v>
      </c>
      <c r="Y909">
        <v>0.23682400000000001</v>
      </c>
      <c r="Z909">
        <v>-5.7205260000000001E-3</v>
      </c>
      <c r="AA909">
        <v>0.9715357</v>
      </c>
      <c r="AB909">
        <v>37</v>
      </c>
      <c r="AC909">
        <v>29.9969999999999</v>
      </c>
      <c r="AD909">
        <v>-1.121175980758</v>
      </c>
      <c r="AE909">
        <v>-7.7769999999999797</v>
      </c>
      <c r="AF909">
        <v>7.3883648439079099</v>
      </c>
      <c r="AG909">
        <v>-1.121175980758</v>
      </c>
      <c r="AH909">
        <v>30.053363531444901</v>
      </c>
      <c r="AI909">
        <v>92.074773987780304</v>
      </c>
      <c r="AJ909">
        <v>76.1882223898847</v>
      </c>
      <c r="AK909">
        <v>30.968526445404301</v>
      </c>
      <c r="AL909">
        <v>76.741793109966693</v>
      </c>
      <c r="AM909">
        <v>85.6792262198759</v>
      </c>
      <c r="AN909">
        <v>0.99999994444379403</v>
      </c>
    </row>
    <row r="910" spans="1:40" x14ac:dyDescent="0.25">
      <c r="A910" t="str">
        <f>"20190303170956746"</f>
        <v>20190303170956746</v>
      </c>
      <c r="B910" t="str">
        <f>"1551604196741050"</f>
        <v>1551604196741050</v>
      </c>
      <c r="C910" t="s">
        <v>40</v>
      </c>
      <c r="D910">
        <v>4.6791879999999999</v>
      </c>
      <c r="E910">
        <v>0.57170840000000001</v>
      </c>
      <c r="F910" t="s">
        <v>44</v>
      </c>
      <c r="G910">
        <v>-196.05099999999999</v>
      </c>
      <c r="H910" s="1">
        <v>-8.9510990000000003E-6</v>
      </c>
      <c r="I910">
        <v>359.745</v>
      </c>
      <c r="J910">
        <v>-225.95249999999999</v>
      </c>
      <c r="K910">
        <v>1.1211519999999999</v>
      </c>
      <c r="L910">
        <v>367.52940000000001</v>
      </c>
      <c r="M910">
        <v>0.99982190000000004</v>
      </c>
      <c r="N910">
        <v>-1.400845E-2</v>
      </c>
      <c r="O910">
        <v>-1.265222E-2</v>
      </c>
      <c r="P910">
        <v>0.97270120000000004</v>
      </c>
      <c r="Q910">
        <v>0.2154633</v>
      </c>
      <c r="R910">
        <v>-8.6187620000000006E-2</v>
      </c>
      <c r="S910">
        <v>3.0400999999999998</v>
      </c>
      <c r="T910">
        <v>-0.1132923</v>
      </c>
      <c r="U910">
        <v>-0.7868347</v>
      </c>
      <c r="V910">
        <v>7.3896459999999997E-2</v>
      </c>
      <c r="W910">
        <v>0.22907430000000001</v>
      </c>
      <c r="X910">
        <v>0.97059989999999996</v>
      </c>
      <c r="Y910">
        <v>0.2380795</v>
      </c>
      <c r="Z910">
        <v>-5.7691319999999997E-3</v>
      </c>
      <c r="AA910">
        <v>0.97122850000000005</v>
      </c>
      <c r="AB910">
        <v>37</v>
      </c>
      <c r="AC910">
        <v>29.901499999999999</v>
      </c>
      <c r="AD910">
        <v>-1.1211609510989999</v>
      </c>
      <c r="AE910">
        <v>-7.7843999999999998</v>
      </c>
      <c r="AF910">
        <v>7.3956818112694096</v>
      </c>
      <c r="AG910">
        <v>-1.1211609510989999</v>
      </c>
      <c r="AH910">
        <v>29.958161305308</v>
      </c>
      <c r="AI910">
        <v>92.080838388285699</v>
      </c>
      <c r="AJ910">
        <v>76.132828351241102</v>
      </c>
      <c r="AK910">
        <v>30.877897275019698</v>
      </c>
      <c r="AL910">
        <v>76.757421187448301</v>
      </c>
      <c r="AM910">
        <v>85.646194803378705</v>
      </c>
      <c r="AN910">
        <v>0.99999994380051405</v>
      </c>
    </row>
    <row r="911" spans="1:40" x14ac:dyDescent="0.25">
      <c r="A911" t="str">
        <f>"20190303170956759"</f>
        <v>20190303170956759</v>
      </c>
      <c r="B911" t="str">
        <f>"1551604196751785"</f>
        <v>1551604196751785</v>
      </c>
      <c r="C911" t="s">
        <v>40</v>
      </c>
      <c r="D911">
        <v>4.6570369999999999</v>
      </c>
      <c r="E911">
        <v>0.58315280000000003</v>
      </c>
      <c r="F911" t="s">
        <v>44</v>
      </c>
      <c r="G911">
        <v>-196.0427</v>
      </c>
      <c r="H911" s="1">
        <v>-8.9486019999999998E-6</v>
      </c>
      <c r="I911">
        <v>359.74239999999998</v>
      </c>
      <c r="J911">
        <v>-225.75559999999999</v>
      </c>
      <c r="K911">
        <v>1.1211329999999999</v>
      </c>
      <c r="L911">
        <v>367.52690000000001</v>
      </c>
      <c r="M911">
        <v>0.99982119999999997</v>
      </c>
      <c r="N911">
        <v>-1.40091E-2</v>
      </c>
      <c r="O911">
        <v>-1.270513E-2</v>
      </c>
      <c r="P911">
        <v>0.97263619999999995</v>
      </c>
      <c r="Q911">
        <v>0.2155357</v>
      </c>
      <c r="R911">
        <v>-8.6736649999999998E-2</v>
      </c>
      <c r="S911">
        <v>3.0393219999999999</v>
      </c>
      <c r="T911">
        <v>-0.113928</v>
      </c>
      <c r="U911">
        <v>-0.7912903</v>
      </c>
      <c r="V911">
        <v>7.4405650000000004E-2</v>
      </c>
      <c r="W911">
        <v>0.2291435</v>
      </c>
      <c r="X911">
        <v>0.97054470000000004</v>
      </c>
      <c r="Y911">
        <v>0.23941879999999999</v>
      </c>
      <c r="Z911">
        <v>-5.8246330000000001E-3</v>
      </c>
      <c r="AA911">
        <v>0.97089890000000001</v>
      </c>
      <c r="AB911">
        <v>37</v>
      </c>
      <c r="AC911">
        <v>29.712899999999902</v>
      </c>
      <c r="AD911">
        <v>-1.121141948602</v>
      </c>
      <c r="AE911">
        <v>-7.7845000000000297</v>
      </c>
      <c r="AF911">
        <v>7.3964739989675401</v>
      </c>
      <c r="AG911">
        <v>-1.121141948602</v>
      </c>
      <c r="AH911">
        <v>29.7697520230363</v>
      </c>
      <c r="AI911">
        <v>92.093185036357198</v>
      </c>
      <c r="AJ911">
        <v>76.047046722394896</v>
      </c>
      <c r="AK911">
        <v>30.6953241129556</v>
      </c>
      <c r="AL911">
        <v>76.753348456861204</v>
      </c>
      <c r="AM911">
        <v>85.616062718932497</v>
      </c>
      <c r="AN911">
        <v>0.99999997952113096</v>
      </c>
    </row>
    <row r="912" spans="1:40" x14ac:dyDescent="0.25">
      <c r="A912" t="str">
        <f>"20190303170956770"</f>
        <v>20190303170956770</v>
      </c>
      <c r="B912" t="str">
        <f>"1551604196761546"</f>
        <v>1551604196761546</v>
      </c>
      <c r="C912" t="s">
        <v>40</v>
      </c>
      <c r="D912">
        <v>4.6837689999999998</v>
      </c>
      <c r="E912">
        <v>0.58368240000000005</v>
      </c>
      <c r="F912" t="s">
        <v>44</v>
      </c>
      <c r="G912">
        <v>-196.3228</v>
      </c>
      <c r="H912" s="1">
        <v>-6.0535870000000002E-6</v>
      </c>
      <c r="I912">
        <v>358.93950000000001</v>
      </c>
      <c r="J912">
        <v>-225.56270000000001</v>
      </c>
      <c r="K912">
        <v>1.1211089999999999</v>
      </c>
      <c r="L912">
        <v>367.52440000000001</v>
      </c>
      <c r="M912">
        <v>0.9998203</v>
      </c>
      <c r="N912">
        <v>-1.400961E-2</v>
      </c>
      <c r="O912">
        <v>-1.2784520000000001E-2</v>
      </c>
      <c r="P912">
        <v>0.97254490000000005</v>
      </c>
      <c r="Q912">
        <v>0.21556059999999999</v>
      </c>
      <c r="R912">
        <v>-8.7694270000000005E-2</v>
      </c>
      <c r="S912">
        <v>3.0311279999999998</v>
      </c>
      <c r="T912">
        <v>-0.1154604</v>
      </c>
      <c r="U912">
        <v>-0.88436890000000001</v>
      </c>
      <c r="V912">
        <v>7.5302279999999999E-2</v>
      </c>
      <c r="W912">
        <v>0.22916249999999999</v>
      </c>
      <c r="X912">
        <v>0.97047110000000003</v>
      </c>
      <c r="Y912">
        <v>0.267542</v>
      </c>
      <c r="Z912">
        <v>-6.6019700000000004E-3</v>
      </c>
      <c r="AA912">
        <v>0.96352360000000004</v>
      </c>
      <c r="AB912">
        <v>37</v>
      </c>
      <c r="AC912">
        <v>29.239899999999999</v>
      </c>
      <c r="AD912">
        <v>-1.12111505358699</v>
      </c>
      <c r="AE912">
        <v>-8.5848999999999993</v>
      </c>
      <c r="AF912">
        <v>8.1992463875958297</v>
      </c>
      <c r="AG912">
        <v>-1.12111505358699</v>
      </c>
      <c r="AH912">
        <v>29.307608482674102</v>
      </c>
      <c r="AI912">
        <v>92.109757926349204</v>
      </c>
      <c r="AJ912">
        <v>74.370233954972406</v>
      </c>
      <c r="AK912">
        <v>30.453578693834899</v>
      </c>
      <c r="AL912">
        <v>76.752230628255404</v>
      </c>
      <c r="AM912">
        <v>85.563108349080196</v>
      </c>
      <c r="AN912">
        <v>1.0000000203573201</v>
      </c>
    </row>
    <row r="913" spans="1:40" x14ac:dyDescent="0.25">
      <c r="A913" t="str">
        <f>"20190303170956783"</f>
        <v>20190303170956783</v>
      </c>
      <c r="B913" t="str">
        <f>"1551604196771306"</f>
        <v>1551604196771306</v>
      </c>
      <c r="C913" t="s">
        <v>40</v>
      </c>
      <c r="D913">
        <v>4.6802380000000001</v>
      </c>
      <c r="E913">
        <v>0.58377349999999995</v>
      </c>
      <c r="F913" t="s">
        <v>44</v>
      </c>
      <c r="G913">
        <v>-195.75239999999999</v>
      </c>
      <c r="H913" s="1">
        <v>-5.9000719999999997E-6</v>
      </c>
      <c r="I913">
        <v>358.74709999999999</v>
      </c>
      <c r="J913">
        <v>-225.36709999999999</v>
      </c>
      <c r="K913">
        <v>1.1210800000000001</v>
      </c>
      <c r="L913">
        <v>367.52179999999998</v>
      </c>
      <c r="M913">
        <v>0.99981889999999995</v>
      </c>
      <c r="N913">
        <v>-1.4010069999999999E-2</v>
      </c>
      <c r="O913">
        <v>-1.288604E-2</v>
      </c>
      <c r="P913">
        <v>0.97248040000000002</v>
      </c>
      <c r="Q913">
        <v>0.21546000000000001</v>
      </c>
      <c r="R913">
        <v>-8.8651919999999995E-2</v>
      </c>
      <c r="S913">
        <v>3.02948</v>
      </c>
      <c r="T913">
        <v>-0.1139337</v>
      </c>
      <c r="U913">
        <v>-0.89199830000000002</v>
      </c>
      <c r="V913">
        <v>7.6179529999999995E-2</v>
      </c>
      <c r="W913">
        <v>0.2290558</v>
      </c>
      <c r="X913">
        <v>0.97042779999999995</v>
      </c>
      <c r="Y913">
        <v>0.26982220000000001</v>
      </c>
      <c r="Z913">
        <v>-6.5997219999999997E-3</v>
      </c>
      <c r="AA913">
        <v>0.96288759999999995</v>
      </c>
      <c r="AB913">
        <v>37</v>
      </c>
      <c r="AC913">
        <v>29.614699999999999</v>
      </c>
      <c r="AD913">
        <v>-1.1210859000719999</v>
      </c>
      <c r="AE913">
        <v>-8.7746999999999904</v>
      </c>
      <c r="AF913">
        <v>8.3812761791071608</v>
      </c>
      <c r="AG913">
        <v>-1.1210859000719999</v>
      </c>
      <c r="AH913">
        <v>29.686214260927901</v>
      </c>
      <c r="AI913">
        <v>92.081431466176099</v>
      </c>
      <c r="AJ913">
        <v>74.234093285102702</v>
      </c>
      <c r="AK913">
        <v>30.867036481196699</v>
      </c>
      <c r="AL913">
        <v>76.758510838876603</v>
      </c>
      <c r="AM913">
        <v>85.511430376999499</v>
      </c>
      <c r="AN913">
        <v>0.99999999765875003</v>
      </c>
    </row>
    <row r="914" spans="1:40" x14ac:dyDescent="0.25">
      <c r="A914" t="str">
        <f>"20190303170956794"</f>
        <v>20190303170956794</v>
      </c>
      <c r="B914" t="str">
        <f>"1551604196781065"</f>
        <v>1551604196781065</v>
      </c>
      <c r="C914" t="s">
        <v>40</v>
      </c>
      <c r="D914">
        <v>4.6832969999999996</v>
      </c>
      <c r="E914">
        <v>0.58416309999999905</v>
      </c>
      <c r="F914" t="s">
        <v>44</v>
      </c>
      <c r="G914">
        <v>-195.6601</v>
      </c>
      <c r="H914" s="1">
        <v>-5.8820550000000002E-6</v>
      </c>
      <c r="I914">
        <v>358.73630000000003</v>
      </c>
      <c r="J914">
        <v>-225.1679</v>
      </c>
      <c r="K914">
        <v>1.1210450000000001</v>
      </c>
      <c r="L914">
        <v>367.51909999999998</v>
      </c>
      <c r="M914">
        <v>0.99981739999999997</v>
      </c>
      <c r="N914">
        <v>-1.401049E-2</v>
      </c>
      <c r="O914">
        <v>-1.300742E-2</v>
      </c>
      <c r="P914">
        <v>0.97235110000000002</v>
      </c>
      <c r="Q914">
        <v>0.21572189999999999</v>
      </c>
      <c r="R914">
        <v>-8.9432020000000001E-2</v>
      </c>
      <c r="S914">
        <v>3.0285799999999998</v>
      </c>
      <c r="T914">
        <v>-0.1142929</v>
      </c>
      <c r="U914">
        <v>-0.89566039999999902</v>
      </c>
      <c r="V914">
        <v>7.6863029999999999E-2</v>
      </c>
      <c r="W914">
        <v>0.22930919999999999</v>
      </c>
      <c r="X914">
        <v>0.97031409999999996</v>
      </c>
      <c r="Y914">
        <v>0.27085140000000002</v>
      </c>
      <c r="Z914">
        <v>-6.6383359999999999E-3</v>
      </c>
      <c r="AA914">
        <v>0.96259830000000002</v>
      </c>
      <c r="AB914">
        <v>37</v>
      </c>
      <c r="AC914">
        <v>29.5078</v>
      </c>
      <c r="AD914">
        <v>-1.121050882055</v>
      </c>
      <c r="AE914">
        <v>-8.7827999999999502</v>
      </c>
      <c r="AF914">
        <v>8.3870784067322699</v>
      </c>
      <c r="AG914">
        <v>-1.121050882055</v>
      </c>
      <c r="AH914">
        <v>29.5803352331437</v>
      </c>
      <c r="AI914">
        <v>92.088150295746999</v>
      </c>
      <c r="AJ914">
        <v>74.1700782484277</v>
      </c>
      <c r="AK914">
        <v>30.766801455237299</v>
      </c>
      <c r="AL914">
        <v>76.743595703024795</v>
      </c>
      <c r="AM914">
        <v>85.470796239627205</v>
      </c>
      <c r="AN914">
        <v>1.0000000436221099</v>
      </c>
    </row>
    <row r="915" spans="1:40" x14ac:dyDescent="0.25">
      <c r="A915" t="str">
        <f>"20190303170956809"</f>
        <v>20190303170956809</v>
      </c>
      <c r="B915" t="str">
        <f>"1551604196801561"</f>
        <v>1551604196801561</v>
      </c>
      <c r="C915" t="s">
        <v>40</v>
      </c>
      <c r="D915">
        <v>4.6664879999999904</v>
      </c>
      <c r="E915">
        <v>0.5843313</v>
      </c>
      <c r="F915" t="s">
        <v>44</v>
      </c>
      <c r="G915">
        <v>-194.6146</v>
      </c>
      <c r="H915" s="1">
        <v>-5.6136729999999996E-6</v>
      </c>
      <c r="I915">
        <v>358.42239999999998</v>
      </c>
      <c r="J915">
        <v>-224.94040000000001</v>
      </c>
      <c r="K915">
        <v>1.121</v>
      </c>
      <c r="L915">
        <v>367.51600000000002</v>
      </c>
      <c r="M915">
        <v>0.99981489999999995</v>
      </c>
      <c r="N915">
        <v>-1.401085E-2</v>
      </c>
      <c r="O915">
        <v>-1.31953E-2</v>
      </c>
      <c r="P915">
        <v>0.97221639999999998</v>
      </c>
      <c r="Q915">
        <v>0.21559680000000001</v>
      </c>
      <c r="R915">
        <v>-9.1178819999999994E-2</v>
      </c>
      <c r="S915">
        <v>3.0270229999999998</v>
      </c>
      <c r="T915">
        <v>-0.1110665</v>
      </c>
      <c r="U915">
        <v>-0.90124510000000002</v>
      </c>
      <c r="V915">
        <v>7.8455430000000007E-2</v>
      </c>
      <c r="W915">
        <v>0.22917370000000001</v>
      </c>
      <c r="X915">
        <v>0.97021860000000004</v>
      </c>
      <c r="Y915">
        <v>0.27244699999999999</v>
      </c>
      <c r="Z915">
        <v>-6.5481949999999997E-3</v>
      </c>
      <c r="AA915">
        <v>0.96214849999999996</v>
      </c>
      <c r="AB915">
        <v>37</v>
      </c>
      <c r="AC915">
        <v>30.325800000000001</v>
      </c>
      <c r="AD915">
        <v>-1.121005613673</v>
      </c>
      <c r="AE915">
        <v>-9.0935999999999808</v>
      </c>
      <c r="AF915">
        <v>8.68172651051648</v>
      </c>
      <c r="AG915">
        <v>-1.121005613673</v>
      </c>
      <c r="AH915">
        <v>30.405044692860098</v>
      </c>
      <c r="AI915">
        <v>92.030408899139402</v>
      </c>
      <c r="AJ915">
        <v>74.064063133364201</v>
      </c>
      <c r="AK915">
        <v>31.640097527727502</v>
      </c>
      <c r="AL915">
        <v>76.751570900773899</v>
      </c>
      <c r="AM915">
        <v>85.376912562493303</v>
      </c>
      <c r="AN915">
        <v>0.99999998552706704</v>
      </c>
    </row>
    <row r="916" spans="1:40" x14ac:dyDescent="0.25">
      <c r="A916" t="str">
        <f>"20190303170956824"</f>
        <v>20190303170956824</v>
      </c>
      <c r="B916" t="str">
        <f>"1551604196811321"</f>
        <v>1551604196811321</v>
      </c>
      <c r="C916" t="s">
        <v>40</v>
      </c>
      <c r="D916">
        <v>4.6796620000000004</v>
      </c>
      <c r="E916">
        <v>0.58452320000000002</v>
      </c>
      <c r="F916" t="s">
        <v>44</v>
      </c>
      <c r="G916">
        <v>-194.01220000000001</v>
      </c>
      <c r="H916" s="1">
        <v>-5.4575120000000002E-6</v>
      </c>
      <c r="I916">
        <v>358.23700000000002</v>
      </c>
      <c r="J916">
        <v>-224.69970000000001</v>
      </c>
      <c r="K916">
        <v>1.1209439999999999</v>
      </c>
      <c r="L916">
        <v>367.51260000000002</v>
      </c>
      <c r="M916">
        <v>0.99981160000000002</v>
      </c>
      <c r="N916">
        <v>-1.401117E-2</v>
      </c>
      <c r="O916">
        <v>-1.343458E-2</v>
      </c>
      <c r="P916">
        <v>0.9722189</v>
      </c>
      <c r="Q916">
        <v>0.2152327</v>
      </c>
      <c r="R916">
        <v>-9.2009110000000005E-2</v>
      </c>
      <c r="S916">
        <v>3.0249329999999999</v>
      </c>
      <c r="T916">
        <v>-0.1096396</v>
      </c>
      <c r="U916">
        <v>-0.90753170000000005</v>
      </c>
      <c r="V916">
        <v>7.9083769999999998E-2</v>
      </c>
      <c r="W916">
        <v>0.22879910000000001</v>
      </c>
      <c r="X916">
        <v>0.97025600000000001</v>
      </c>
      <c r="Y916">
        <v>0.27423710000000001</v>
      </c>
      <c r="Z916">
        <v>-6.5330350000000004E-3</v>
      </c>
      <c r="AA916">
        <v>0.96163989999999999</v>
      </c>
      <c r="AB916">
        <v>37</v>
      </c>
      <c r="AC916">
        <v>30.6875</v>
      </c>
      <c r="AD916">
        <v>-1.120949457512</v>
      </c>
      <c r="AE916">
        <v>-9.2756000000000505</v>
      </c>
      <c r="AF916">
        <v>8.8516266870732903</v>
      </c>
      <c r="AG916">
        <v>-1.120949457512</v>
      </c>
      <c r="AH916">
        <v>30.771734796415402</v>
      </c>
      <c r="AI916">
        <v>92.005008624089001</v>
      </c>
      <c r="AJ916">
        <v>73.951882895018997</v>
      </c>
      <c r="AK916">
        <v>32.039155498772502</v>
      </c>
      <c r="AL916">
        <v>76.773619782250805</v>
      </c>
      <c r="AM916">
        <v>85.340228070901205</v>
      </c>
      <c r="AN916">
        <v>0.999999988187111</v>
      </c>
    </row>
    <row r="917" spans="1:40" x14ac:dyDescent="0.25">
      <c r="A917" t="str">
        <f>"20190303170956842"</f>
        <v>20190303170956842</v>
      </c>
      <c r="B917" t="str">
        <f>"1551604196831818"</f>
        <v>1551604196831818</v>
      </c>
      <c r="C917" t="s">
        <v>40</v>
      </c>
      <c r="D917">
        <v>4.6672129999999896</v>
      </c>
      <c r="E917">
        <v>0.58494449999999998</v>
      </c>
      <c r="F917" t="s">
        <v>44</v>
      </c>
      <c r="G917">
        <v>-193.75749999999999</v>
      </c>
      <c r="H917" s="1">
        <v>-5.3996349999999998E-6</v>
      </c>
      <c r="I917">
        <v>358.18290000000002</v>
      </c>
      <c r="J917">
        <v>-224.3853</v>
      </c>
      <c r="K917">
        <v>1.1208530000000001</v>
      </c>
      <c r="L917">
        <v>367.50799999999998</v>
      </c>
      <c r="M917">
        <v>0.99980630000000004</v>
      </c>
      <c r="N917">
        <v>-1.40115E-2</v>
      </c>
      <c r="O917">
        <v>-1.382741E-2</v>
      </c>
      <c r="P917">
        <v>0.97215680000000004</v>
      </c>
      <c r="Q917">
        <v>0.21486040000000001</v>
      </c>
      <c r="R917">
        <v>-9.3522659999999994E-2</v>
      </c>
      <c r="S917">
        <v>3.0237120000000002</v>
      </c>
      <c r="T917">
        <v>-0.1095407</v>
      </c>
      <c r="U917">
        <v>-0.91171259999999998</v>
      </c>
      <c r="V917">
        <v>8.0261199999999894E-2</v>
      </c>
      <c r="W917">
        <v>0.22841</v>
      </c>
      <c r="X917">
        <v>0.97025099999999997</v>
      </c>
      <c r="Y917">
        <v>0.27518490000000001</v>
      </c>
      <c r="Z917">
        <v>-6.5453960000000002E-3</v>
      </c>
      <c r="AA917">
        <v>0.96136900000000003</v>
      </c>
      <c r="AB917">
        <v>37</v>
      </c>
      <c r="AC917">
        <v>30.627800000000001</v>
      </c>
      <c r="AD917">
        <v>-1.1208583996349999</v>
      </c>
      <c r="AE917">
        <v>-9.3251000000000097</v>
      </c>
      <c r="AF917">
        <v>8.8897678077618796</v>
      </c>
      <c r="AG917">
        <v>-1.1208583996349999</v>
      </c>
      <c r="AH917">
        <v>30.716178408154899</v>
      </c>
      <c r="AI917">
        <v>92.007527444778006</v>
      </c>
      <c r="AJ917">
        <v>73.8586861504956</v>
      </c>
      <c r="AK917">
        <v>31.9963734074591</v>
      </c>
      <c r="AL917">
        <v>76.796520082777604</v>
      </c>
      <c r="AM917">
        <v>85.271139644438506</v>
      </c>
      <c r="AN917">
        <v>0.99999999566321995</v>
      </c>
    </row>
    <row r="918" spans="1:40" x14ac:dyDescent="0.25">
      <c r="A918" t="str">
        <f>"20190303170956868"</f>
        <v>20190303170956868</v>
      </c>
      <c r="B918" t="str">
        <f>"1551604196861097"</f>
        <v>1551604196861097</v>
      </c>
      <c r="C918" t="s">
        <v>40</v>
      </c>
      <c r="D918">
        <v>4.6701980000000001</v>
      </c>
      <c r="E918">
        <v>0.58560780000000001</v>
      </c>
      <c r="F918" t="s">
        <v>44</v>
      </c>
      <c r="G918">
        <v>-194.23570000000001</v>
      </c>
      <c r="H918" s="1">
        <v>-5.52484299999999E-6</v>
      </c>
      <c r="I918">
        <v>358.3338</v>
      </c>
      <c r="J918">
        <v>-223.95650000000001</v>
      </c>
      <c r="K918">
        <v>1.1207290000000001</v>
      </c>
      <c r="L918">
        <v>367.50139999999999</v>
      </c>
      <c r="M918">
        <v>0.99979649999999998</v>
      </c>
      <c r="N918">
        <v>-1.401199E-2</v>
      </c>
      <c r="O918">
        <v>-1.451773E-2</v>
      </c>
      <c r="P918">
        <v>0.97200370000000003</v>
      </c>
      <c r="Q918">
        <v>0.21466450000000001</v>
      </c>
      <c r="R918">
        <v>-9.5542810000000006E-2</v>
      </c>
      <c r="S918">
        <v>3.022278</v>
      </c>
      <c r="T918">
        <v>-0.1123579</v>
      </c>
      <c r="U918">
        <v>-0.9196472</v>
      </c>
      <c r="V918">
        <v>8.1680100000000005E-2</v>
      </c>
      <c r="W918">
        <v>0.22818820000000001</v>
      </c>
      <c r="X918">
        <v>0.97018479999999996</v>
      </c>
      <c r="Y918">
        <v>0.276947</v>
      </c>
      <c r="Z918">
        <v>-6.688299E-3</v>
      </c>
      <c r="AA918">
        <v>0.96086190000000005</v>
      </c>
      <c r="AB918">
        <v>37</v>
      </c>
      <c r="AC918">
        <v>29.720800000000001</v>
      </c>
      <c r="AD918">
        <v>-1.1207345248430001</v>
      </c>
      <c r="AE918">
        <v>-9.1675999999999895</v>
      </c>
      <c r="AF918">
        <v>8.7237857067276803</v>
      </c>
      <c r="AG918">
        <v>-1.1207345248430001</v>
      </c>
      <c r="AH918">
        <v>29.812064633824001</v>
      </c>
      <c r="AI918">
        <v>92.066350870205596</v>
      </c>
      <c r="AJ918">
        <v>73.689151076112296</v>
      </c>
      <c r="AK918">
        <v>31.082465807322698</v>
      </c>
      <c r="AL918">
        <v>76.809573324190595</v>
      </c>
      <c r="AM918">
        <v>85.187602725474505</v>
      </c>
      <c r="AN918">
        <v>1.00000001975314</v>
      </c>
    </row>
    <row r="919" spans="1:40" x14ac:dyDescent="0.25">
      <c r="A919" t="str">
        <f>"20190303170956883"</f>
        <v>20190303170956883</v>
      </c>
      <c r="B919" t="str">
        <f>"1551604196871833"</f>
        <v>1551604196871833</v>
      </c>
      <c r="C919" t="s">
        <v>40</v>
      </c>
      <c r="D919">
        <v>4.6864359999999996</v>
      </c>
      <c r="E919">
        <v>0.58572329999999995</v>
      </c>
      <c r="F919" t="s">
        <v>44</v>
      </c>
      <c r="G919">
        <v>-194.03360000000001</v>
      </c>
      <c r="H919" s="1">
        <v>-5.474405E-6</v>
      </c>
      <c r="I919">
        <v>358.27749999999997</v>
      </c>
      <c r="J919">
        <v>-223.71520000000001</v>
      </c>
      <c r="K919">
        <v>1.12066</v>
      </c>
      <c r="L919">
        <v>367.4975</v>
      </c>
      <c r="M919">
        <v>0.99978959999999995</v>
      </c>
      <c r="N919">
        <v>-1.401228E-2</v>
      </c>
      <c r="O919">
        <v>-1.498639E-2</v>
      </c>
      <c r="P919">
        <v>0.97189689999999995</v>
      </c>
      <c r="Q919">
        <v>0.21465680000000001</v>
      </c>
      <c r="R919">
        <v>-9.6637769999999998E-2</v>
      </c>
      <c r="S919">
        <v>3.0198969999999998</v>
      </c>
      <c r="T919">
        <v>-0.113107399999999</v>
      </c>
      <c r="U919">
        <v>-0.93090819999999996</v>
      </c>
      <c r="V919">
        <v>8.2361829999999997E-2</v>
      </c>
      <c r="W919">
        <v>0.22816439999999999</v>
      </c>
      <c r="X919">
        <v>0.97013269999999996</v>
      </c>
      <c r="Y919">
        <v>0.27997610000000001</v>
      </c>
      <c r="Z919">
        <v>-6.7867869999999999E-3</v>
      </c>
      <c r="AA919">
        <v>0.95998300000000003</v>
      </c>
      <c r="AB919">
        <v>37</v>
      </c>
      <c r="AC919">
        <v>29.6816</v>
      </c>
      <c r="AD919">
        <v>-1.120665474405</v>
      </c>
      <c r="AE919">
        <v>-9.2200000000000202</v>
      </c>
      <c r="AF919">
        <v>8.7627084222252893</v>
      </c>
      <c r="AG919">
        <v>-1.120665474405</v>
      </c>
      <c r="AH919">
        <v>29.777740466331299</v>
      </c>
      <c r="AI919">
        <v>92.067685233829906</v>
      </c>
      <c r="AJ919">
        <v>73.602403264112795</v>
      </c>
      <c r="AK919">
        <v>31.0605018838821</v>
      </c>
      <c r="AL919">
        <v>76.810973109656302</v>
      </c>
      <c r="AM919">
        <v>85.147368461083303</v>
      </c>
      <c r="AN919">
        <v>0.99999996003879799</v>
      </c>
    </row>
    <row r="920" spans="1:40" x14ac:dyDescent="0.25">
      <c r="A920" t="str">
        <f>"20190303170956898"</f>
        <v>20190303170956898</v>
      </c>
      <c r="B920" t="str">
        <f>"1551604196891353"</f>
        <v>1551604196891353</v>
      </c>
      <c r="C920" t="s">
        <v>40</v>
      </c>
      <c r="D920">
        <v>4.6763899999999996</v>
      </c>
      <c r="E920">
        <v>0.58613999999999999</v>
      </c>
      <c r="F920" t="s">
        <v>44</v>
      </c>
      <c r="G920">
        <v>-193.9761</v>
      </c>
      <c r="H920" s="1">
        <v>-5.4680659999999997E-6</v>
      </c>
      <c r="I920">
        <v>358.28530000000001</v>
      </c>
      <c r="J920">
        <v>-223.46789999999999</v>
      </c>
      <c r="K920">
        <v>1.120574</v>
      </c>
      <c r="L920">
        <v>367.49329999999998</v>
      </c>
      <c r="M920">
        <v>0.99978129999999998</v>
      </c>
      <c r="N920">
        <v>-1.4012520000000001E-2</v>
      </c>
      <c r="O920">
        <v>-1.5526720000000001E-2</v>
      </c>
      <c r="P920">
        <v>0.97195050000000005</v>
      </c>
      <c r="Q920">
        <v>0.213697</v>
      </c>
      <c r="R920">
        <v>-9.8212839999999996E-2</v>
      </c>
      <c r="S920">
        <v>3.0188899999999999</v>
      </c>
      <c r="T920">
        <v>-0.1137613</v>
      </c>
      <c r="U920">
        <v>-0.93515009999999998</v>
      </c>
      <c r="V920">
        <v>8.3453470000000002E-2</v>
      </c>
      <c r="W920">
        <v>0.227189</v>
      </c>
      <c r="X920">
        <v>0.97026840000000003</v>
      </c>
      <c r="Y920">
        <v>0.28077560000000001</v>
      </c>
      <c r="Z920">
        <v>-6.8221599999999999E-3</v>
      </c>
      <c r="AA920">
        <v>0.95974919999999997</v>
      </c>
      <c r="AB920">
        <v>37</v>
      </c>
      <c r="AC920">
        <v>29.491799999999898</v>
      </c>
      <c r="AD920">
        <v>-1.120579468066</v>
      </c>
      <c r="AE920">
        <v>-9.20799999999997</v>
      </c>
      <c r="AF920">
        <v>8.7374399737190291</v>
      </c>
      <c r="AG920">
        <v>-1.120579468066</v>
      </c>
      <c r="AH920">
        <v>29.5923000817209</v>
      </c>
      <c r="AI920">
        <v>92.079913397151799</v>
      </c>
      <c r="AJ920">
        <v>73.550206375651598</v>
      </c>
      <c r="AK920">
        <v>30.875601690739799</v>
      </c>
      <c r="AL920">
        <v>76.868367905117793</v>
      </c>
      <c r="AM920">
        <v>85.084048213725794</v>
      </c>
      <c r="AN920">
        <v>1.00000004570729</v>
      </c>
    </row>
    <row r="921" spans="1:40" x14ac:dyDescent="0.25">
      <c r="A921" t="str">
        <f>"20190303170956910"</f>
        <v>20190303170956910</v>
      </c>
      <c r="B921" t="str">
        <f>"1551604196901811"</f>
        <v>1551604196901811</v>
      </c>
      <c r="C921" t="s">
        <v>40</v>
      </c>
      <c r="D921">
        <v>4.6783159999999997</v>
      </c>
      <c r="E921">
        <v>0.58626699999999998</v>
      </c>
      <c r="F921" t="s">
        <v>44</v>
      </c>
      <c r="G921">
        <v>-194.64109999999999</v>
      </c>
      <c r="H921" s="1">
        <v>-5.6377950000000001E-6</v>
      </c>
      <c r="I921">
        <v>358.4821</v>
      </c>
      <c r="J921">
        <v>-223.25309999999999</v>
      </c>
      <c r="K921">
        <v>1.120495</v>
      </c>
      <c r="L921">
        <v>367.48950000000002</v>
      </c>
      <c r="M921">
        <v>0.99977269999999896</v>
      </c>
      <c r="N921">
        <v>-1.401282E-2</v>
      </c>
      <c r="O921">
        <v>-1.6076320000000002E-2</v>
      </c>
      <c r="P921">
        <v>0.97197250000000002</v>
      </c>
      <c r="Q921">
        <v>0.21308740000000001</v>
      </c>
      <c r="R921">
        <v>-9.9314849999999996E-2</v>
      </c>
      <c r="S921">
        <v>3.01709</v>
      </c>
      <c r="T921">
        <v>-0.117283</v>
      </c>
      <c r="U921">
        <v>-0.94314580000000003</v>
      </c>
      <c r="V921">
        <v>8.4062440000000002E-2</v>
      </c>
      <c r="W921">
        <v>0.22656390000000001</v>
      </c>
      <c r="X921">
        <v>0.9703619</v>
      </c>
      <c r="Y921">
        <v>0.2827132</v>
      </c>
      <c r="Z921">
        <v>-7.0033860000000003E-3</v>
      </c>
      <c r="AA921">
        <v>0.95917889999999995</v>
      </c>
      <c r="AB921">
        <v>37</v>
      </c>
      <c r="AC921">
        <v>28.611999999999899</v>
      </c>
      <c r="AD921">
        <v>-1.120500637795</v>
      </c>
      <c r="AE921">
        <v>-9.0074000000000094</v>
      </c>
      <c r="AF921">
        <v>8.53430647202679</v>
      </c>
      <c r="AG921">
        <v>-1.120500637795</v>
      </c>
      <c r="AH921">
        <v>28.713056514704</v>
      </c>
      <c r="AI921">
        <v>92.142248054716006</v>
      </c>
      <c r="AJ921">
        <v>73.446609504666696</v>
      </c>
      <c r="AK921">
        <v>29.975482032060199</v>
      </c>
      <c r="AL921">
        <v>76.905141246997104</v>
      </c>
      <c r="AM921">
        <v>85.048828379872006</v>
      </c>
      <c r="AN921">
        <v>0.99999995578678502</v>
      </c>
    </row>
    <row r="922" spans="1:40" x14ac:dyDescent="0.25">
      <c r="A922" t="str">
        <f>"20190303170956924"</f>
        <v>20190303170956924</v>
      </c>
      <c r="B922" t="str">
        <f>"1551604196911571"</f>
        <v>1551604196911571</v>
      </c>
      <c r="C922" t="s">
        <v>40</v>
      </c>
      <c r="D922">
        <v>4.6679219999999999</v>
      </c>
      <c r="E922">
        <v>0.58644680000000005</v>
      </c>
      <c r="F922" t="s">
        <v>44</v>
      </c>
      <c r="G922">
        <v>-194.8843</v>
      </c>
      <c r="H922" s="1">
        <v>-5.7057219999999996E-6</v>
      </c>
      <c r="I922">
        <v>358.57150000000001</v>
      </c>
      <c r="J922">
        <v>-223.0438</v>
      </c>
      <c r="K922">
        <v>1.120411</v>
      </c>
      <c r="L922">
        <v>367.48570000000001</v>
      </c>
      <c r="M922">
        <v>0.99976279999999995</v>
      </c>
      <c r="N922">
        <v>-1.401325E-2</v>
      </c>
      <c r="O922">
        <v>-1.6668309999999999E-2</v>
      </c>
      <c r="P922">
        <v>0.97196559999999999</v>
      </c>
      <c r="Q922">
        <v>0.2126643</v>
      </c>
      <c r="R922">
        <v>-0.1002835</v>
      </c>
      <c r="S922">
        <v>3.0157470000000002</v>
      </c>
      <c r="T922">
        <v>-0.119114899999999</v>
      </c>
      <c r="U922">
        <v>-0.9480286</v>
      </c>
      <c r="V922">
        <v>8.4498729999999994E-2</v>
      </c>
      <c r="W922">
        <v>0.22612450000000001</v>
      </c>
      <c r="X922">
        <v>0.97042660000000003</v>
      </c>
      <c r="Y922">
        <v>0.2836727</v>
      </c>
      <c r="Z922">
        <v>-7.0897520000000004E-3</v>
      </c>
      <c r="AA922">
        <v>0.95889500000000005</v>
      </c>
      <c r="AB922">
        <v>37</v>
      </c>
      <c r="AC922">
        <v>28.159500000000001</v>
      </c>
      <c r="AD922">
        <v>-1.120416705722</v>
      </c>
      <c r="AE922">
        <v>-8.9141999999999904</v>
      </c>
      <c r="AF922">
        <v>8.4314119077277194</v>
      </c>
      <c r="AG922">
        <v>-1.120416705722</v>
      </c>
      <c r="AH922">
        <v>28.2635177658061</v>
      </c>
      <c r="AI922">
        <v>92.175479472805094</v>
      </c>
      <c r="AJ922">
        <v>73.389404810433405</v>
      </c>
      <c r="AK922">
        <v>29.515597179292701</v>
      </c>
      <c r="AL922">
        <v>76.930989124932793</v>
      </c>
      <c r="AM922">
        <v>85.023590316807002</v>
      </c>
      <c r="AN922">
        <v>1.0000000554297099</v>
      </c>
    </row>
    <row r="923" spans="1:40" x14ac:dyDescent="0.25">
      <c r="A923" t="str">
        <f>"20190303170956937"</f>
        <v>20190303170956937</v>
      </c>
      <c r="B923" t="str">
        <f>"1551604196931090"</f>
        <v>1551604196931090</v>
      </c>
      <c r="C923" t="s">
        <v>40</v>
      </c>
      <c r="D923">
        <v>4.680803</v>
      </c>
      <c r="E923">
        <v>0.59079599999999999</v>
      </c>
      <c r="F923" t="s">
        <v>44</v>
      </c>
      <c r="G923">
        <v>-194.93379999999999</v>
      </c>
      <c r="H923" s="1">
        <v>-5.7236639999999998E-6</v>
      </c>
      <c r="I923">
        <v>358.60199999999998</v>
      </c>
      <c r="J923">
        <v>-222.8357</v>
      </c>
      <c r="K923">
        <v>1.1203240000000001</v>
      </c>
      <c r="L923">
        <v>367.48169999999999</v>
      </c>
      <c r="M923">
        <v>0.99975219999999998</v>
      </c>
      <c r="N923">
        <v>-1.401373E-2</v>
      </c>
      <c r="O923">
        <v>-1.729675E-2</v>
      </c>
      <c r="P923">
        <v>0.97185770000000005</v>
      </c>
      <c r="Q923">
        <v>0.2124606</v>
      </c>
      <c r="R923">
        <v>-0.1017498</v>
      </c>
      <c r="S923">
        <v>3.0145569999999999</v>
      </c>
      <c r="T923">
        <v>-0.1201555</v>
      </c>
      <c r="U923">
        <v>-0.95269780000000004</v>
      </c>
      <c r="V923">
        <v>8.5401050000000006E-2</v>
      </c>
      <c r="W923">
        <v>0.22590199999999999</v>
      </c>
      <c r="X923">
        <v>0.97039940000000002</v>
      </c>
      <c r="Y923">
        <v>0.28452440000000001</v>
      </c>
      <c r="Z923">
        <v>-7.1399979999999998E-3</v>
      </c>
      <c r="AA923">
        <v>0.9586422</v>
      </c>
      <c r="AB923">
        <v>37</v>
      </c>
      <c r="AC923">
        <v>27.901900000000001</v>
      </c>
      <c r="AD923">
        <v>-1.120329723664</v>
      </c>
      <c r="AE923">
        <v>-8.8797000000000104</v>
      </c>
      <c r="AF923">
        <v>8.3834388312425094</v>
      </c>
      <c r="AG923">
        <v>-1.120329723664</v>
      </c>
      <c r="AH923">
        <v>28.010324405832101</v>
      </c>
      <c r="AI923">
        <v>92.194363128409194</v>
      </c>
      <c r="AJ923">
        <v>73.337654545496505</v>
      </c>
      <c r="AK923">
        <v>29.259450757778399</v>
      </c>
      <c r="AL923">
        <v>76.944075655468396</v>
      </c>
      <c r="AM923">
        <v>84.970580574625103</v>
      </c>
      <c r="AN923">
        <v>1.00000002423273</v>
      </c>
    </row>
    <row r="924" spans="1:40" x14ac:dyDescent="0.25">
      <c r="A924" t="str">
        <f>"20190303170956949"</f>
        <v>20190303170956949</v>
      </c>
      <c r="B924" t="str">
        <f>"1551604196941826"</f>
        <v>1551604196941826</v>
      </c>
      <c r="C924" t="s">
        <v>40</v>
      </c>
      <c r="D924">
        <v>4.6889900000000004</v>
      </c>
      <c r="E924">
        <v>0.59110430000000003</v>
      </c>
      <c r="F924" t="s">
        <v>44</v>
      </c>
      <c r="G924">
        <v>-196.24719999999999</v>
      </c>
      <c r="H924" s="1">
        <v>-5.9700350000000003E-6</v>
      </c>
      <c r="I924">
        <v>358.72519999999997</v>
      </c>
      <c r="J924">
        <v>-222.61949999999999</v>
      </c>
      <c r="K924">
        <v>1.120225</v>
      </c>
      <c r="L924">
        <v>367.47730000000001</v>
      </c>
      <c r="M924">
        <v>0.99973889999999999</v>
      </c>
      <c r="N924">
        <v>-1.401457E-2</v>
      </c>
      <c r="O924">
        <v>-1.8058319999999999E-2</v>
      </c>
      <c r="P924">
        <v>0.97170639999999997</v>
      </c>
      <c r="Q924">
        <v>0.21245059999999999</v>
      </c>
      <c r="R924">
        <v>-0.1032073</v>
      </c>
      <c r="S924">
        <v>3.0107729999999999</v>
      </c>
      <c r="T924">
        <v>-0.12686149999999999</v>
      </c>
      <c r="U924">
        <v>-0.99154659999999994</v>
      </c>
      <c r="V924">
        <v>8.6174979999999998E-2</v>
      </c>
      <c r="W924">
        <v>0.22586899999999999</v>
      </c>
      <c r="X924">
        <v>0.97033860000000005</v>
      </c>
      <c r="Y924">
        <v>0.29528579999999999</v>
      </c>
      <c r="Z924">
        <v>-7.6883659999999899E-3</v>
      </c>
      <c r="AA924">
        <v>0.95537810000000001</v>
      </c>
      <c r="AB924">
        <v>37</v>
      </c>
      <c r="AC924">
        <v>26.372299999999999</v>
      </c>
      <c r="AD924">
        <v>-1.1202309700349999</v>
      </c>
      <c r="AE924">
        <v>-8.7521000000000395</v>
      </c>
      <c r="AF924">
        <v>8.2609596123094509</v>
      </c>
      <c r="AG924">
        <v>-1.1202309700349999</v>
      </c>
      <c r="AH924">
        <v>26.483018689025499</v>
      </c>
      <c r="AI924">
        <v>92.312403170087705</v>
      </c>
      <c r="AJ924">
        <v>72.675513194253597</v>
      </c>
      <c r="AK924">
        <v>27.7641612519757</v>
      </c>
      <c r="AL924">
        <v>76.946015801277696</v>
      </c>
      <c r="AM924">
        <v>84.924923082653805</v>
      </c>
      <c r="AN924">
        <v>0.999999965494479</v>
      </c>
    </row>
    <row r="925" spans="1:40" x14ac:dyDescent="0.25">
      <c r="A925" t="str">
        <f>"20190303170956962"</f>
        <v>20190303170956962</v>
      </c>
      <c r="B925" t="str">
        <f>"1551604196951586"</f>
        <v>1551604196951586</v>
      </c>
      <c r="C925" t="s">
        <v>40</v>
      </c>
      <c r="D925">
        <v>4.6989470000000004</v>
      </c>
      <c r="E925">
        <v>0.59139790000000003</v>
      </c>
      <c r="F925" t="s">
        <v>44</v>
      </c>
      <c r="G925">
        <v>-194.79939999999999</v>
      </c>
      <c r="H925" s="1">
        <v>-5.5806660000000001E-6</v>
      </c>
      <c r="I925">
        <v>358.23750000000001</v>
      </c>
      <c r="J925">
        <v>-222.41550000000001</v>
      </c>
      <c r="K925">
        <v>1.120123</v>
      </c>
      <c r="L925">
        <v>367.47300000000001</v>
      </c>
      <c r="M925">
        <v>0.99972439999999996</v>
      </c>
      <c r="N925">
        <v>-1.401555E-2</v>
      </c>
      <c r="O925">
        <v>-1.8831939999999998E-2</v>
      </c>
      <c r="P925">
        <v>0.97154649999999998</v>
      </c>
      <c r="Q925">
        <v>0.2123275</v>
      </c>
      <c r="R925">
        <v>-0.10494870000000001</v>
      </c>
      <c r="S925">
        <v>3.0077060000000002</v>
      </c>
      <c r="T925">
        <v>-0.121111</v>
      </c>
      <c r="U925">
        <v>-0.99893189999999998</v>
      </c>
      <c r="V925">
        <v>8.7220339999999993E-2</v>
      </c>
      <c r="W925">
        <v>0.22572220000000001</v>
      </c>
      <c r="X925">
        <v>0.97027940000000001</v>
      </c>
      <c r="Y925">
        <v>0.29697220000000002</v>
      </c>
      <c r="Z925">
        <v>-7.4768319999999897E-3</v>
      </c>
      <c r="AA925">
        <v>0.95485690000000001</v>
      </c>
      <c r="AB925">
        <v>37</v>
      </c>
      <c r="AC925">
        <v>27.616099999999999</v>
      </c>
      <c r="AD925">
        <v>-1.120128580666</v>
      </c>
      <c r="AE925">
        <v>-9.2355</v>
      </c>
      <c r="AF925">
        <v>8.7008715102455696</v>
      </c>
      <c r="AG925">
        <v>-1.120128580666</v>
      </c>
      <c r="AH925">
        <v>27.744088685767899</v>
      </c>
      <c r="AI925">
        <v>92.206147319201705</v>
      </c>
      <c r="AJ925">
        <v>72.587963602368703</v>
      </c>
      <c r="AK925">
        <v>29.098012132769199</v>
      </c>
      <c r="AL925">
        <v>76.954650344239198</v>
      </c>
      <c r="AM925">
        <v>84.863374652822003</v>
      </c>
      <c r="AN925">
        <v>1.00000000667345</v>
      </c>
    </row>
    <row r="926" spans="1:40" x14ac:dyDescent="0.25">
      <c r="A926" t="str">
        <f>"20190303170956977"</f>
        <v>20190303170956977</v>
      </c>
      <c r="B926" t="str">
        <f>"1551604196971106"</f>
        <v>1551604196971106</v>
      </c>
      <c r="C926" t="s">
        <v>40</v>
      </c>
      <c r="D926">
        <v>4.6952740000000004</v>
      </c>
      <c r="E926">
        <v>0.59220150000000005</v>
      </c>
      <c r="F926" t="s">
        <v>44</v>
      </c>
      <c r="G926">
        <v>-194.84960000000001</v>
      </c>
      <c r="H926" s="1">
        <v>-5.5909360000000003E-6</v>
      </c>
      <c r="I926">
        <v>358.2448</v>
      </c>
      <c r="J926">
        <v>-222.1781</v>
      </c>
      <c r="K926">
        <v>1.119999</v>
      </c>
      <c r="L926">
        <v>367.46769999999998</v>
      </c>
      <c r="M926">
        <v>0.99970570000000003</v>
      </c>
      <c r="N926">
        <v>-1.401692E-2</v>
      </c>
      <c r="O926">
        <v>-1.9804059999999998E-2</v>
      </c>
      <c r="P926">
        <v>0.97135059999999995</v>
      </c>
      <c r="Q926">
        <v>0.2118746</v>
      </c>
      <c r="R926">
        <v>-0.10764609999999999</v>
      </c>
      <c r="S926">
        <v>3.0058440000000002</v>
      </c>
      <c r="T926">
        <v>-0.12214120000000001</v>
      </c>
      <c r="U926">
        <v>-1.006256</v>
      </c>
      <c r="V926">
        <v>8.9040279999999999E-2</v>
      </c>
      <c r="W926">
        <v>0.2252391</v>
      </c>
      <c r="X926">
        <v>0.97022629999999999</v>
      </c>
      <c r="Y926">
        <v>0.29830859999999998</v>
      </c>
      <c r="Z926">
        <v>-7.533054E-3</v>
      </c>
      <c r="AA926">
        <v>0.95443979999999995</v>
      </c>
      <c r="AB926">
        <v>37</v>
      </c>
      <c r="AC926">
        <v>27.328499999999899</v>
      </c>
      <c r="AD926">
        <v>-1.1200045909359999</v>
      </c>
      <c r="AE926">
        <v>-9.2228999999999797</v>
      </c>
      <c r="AF926">
        <v>8.6667541296736701</v>
      </c>
      <c r="AG926">
        <v>-1.1200045909359999</v>
      </c>
      <c r="AH926">
        <v>27.464395351510898</v>
      </c>
      <c r="AI926">
        <v>92.227102171597295</v>
      </c>
      <c r="AJ926">
        <v>72.486218170839507</v>
      </c>
      <c r="AK926">
        <v>28.821173630718501</v>
      </c>
      <c r="AL926">
        <v>76.983060820371193</v>
      </c>
      <c r="AM926">
        <v>84.756499771905396</v>
      </c>
      <c r="AN926">
        <v>0.99999994842148698</v>
      </c>
    </row>
    <row r="927" spans="1:40" x14ac:dyDescent="0.25">
      <c r="A927" t="str">
        <f>"20190303170956988"</f>
        <v>20190303170956988</v>
      </c>
      <c r="B927" t="str">
        <f>"1551604196981843"</f>
        <v>1551604196981843</v>
      </c>
      <c r="C927" t="s">
        <v>40</v>
      </c>
      <c r="D927">
        <v>4.7140219999999999</v>
      </c>
      <c r="E927">
        <v>0.5924488</v>
      </c>
      <c r="F927" t="s">
        <v>44</v>
      </c>
      <c r="G927">
        <v>-195.13069999999999</v>
      </c>
      <c r="H927" s="1">
        <v>-5.6437940000000003E-6</v>
      </c>
      <c r="I927">
        <v>358.27159999999998</v>
      </c>
      <c r="J927">
        <v>-221.9752</v>
      </c>
      <c r="K927">
        <v>1.119883</v>
      </c>
      <c r="L927">
        <v>367.46280000000002</v>
      </c>
      <c r="M927">
        <v>0.99968639999999998</v>
      </c>
      <c r="N927">
        <v>-1.401852E-2</v>
      </c>
      <c r="O927">
        <v>-2.0758229999999999E-2</v>
      </c>
      <c r="P927">
        <v>0.9712826</v>
      </c>
      <c r="Q927">
        <v>0.21137739999999999</v>
      </c>
      <c r="R927">
        <v>-0.1092245</v>
      </c>
      <c r="S927">
        <v>3.0024869999999999</v>
      </c>
      <c r="T927">
        <v>-0.1243296</v>
      </c>
      <c r="U927">
        <v>-1.0208440000000001</v>
      </c>
      <c r="V927">
        <v>8.9753280000000005E-2</v>
      </c>
      <c r="W927">
        <v>0.22471640000000001</v>
      </c>
      <c r="X927">
        <v>0.97028179999999997</v>
      </c>
      <c r="Y927">
        <v>0.30186689999999999</v>
      </c>
      <c r="Z927">
        <v>-7.6999199999999999E-3</v>
      </c>
      <c r="AA927">
        <v>0.95331900000000003</v>
      </c>
      <c r="AB927">
        <v>37</v>
      </c>
      <c r="AC927">
        <v>26.8445</v>
      </c>
      <c r="AD927">
        <v>-1.1198886437940001</v>
      </c>
      <c r="AE927">
        <v>-9.1912000000000305</v>
      </c>
      <c r="AF927">
        <v>8.6184947208413192</v>
      </c>
      <c r="AG927">
        <v>-1.1198886437940001</v>
      </c>
      <c r="AH927">
        <v>26.987486620411801</v>
      </c>
      <c r="AI927">
        <v>92.2637113986694</v>
      </c>
      <c r="AJ927">
        <v>72.289038899024007</v>
      </c>
      <c r="AK927">
        <v>28.3523726681662</v>
      </c>
      <c r="AL927">
        <v>77.013797198803402</v>
      </c>
      <c r="AM927">
        <v>84.715049307772603</v>
      </c>
      <c r="AN927">
        <v>0.999999941555477</v>
      </c>
    </row>
    <row r="928" spans="1:40" x14ac:dyDescent="0.25">
      <c r="A928" t="str">
        <f>"20190303170957001"</f>
        <v>20190303170957001</v>
      </c>
      <c r="B928" t="str">
        <f>"1551604196991602"</f>
        <v>1551604196991602</v>
      </c>
      <c r="C928" t="s">
        <v>40</v>
      </c>
      <c r="D928">
        <v>4.703246</v>
      </c>
      <c r="E928">
        <v>0.59260100000000004</v>
      </c>
      <c r="F928" t="s">
        <v>44</v>
      </c>
      <c r="G928">
        <v>-194.82149999999999</v>
      </c>
      <c r="H928" s="1">
        <v>-5.5555779999999996E-6</v>
      </c>
      <c r="I928">
        <v>358.15230000000003</v>
      </c>
      <c r="J928">
        <v>-221.77510000000001</v>
      </c>
      <c r="K928">
        <v>1.1197649999999999</v>
      </c>
      <c r="L928">
        <v>367.45780000000002</v>
      </c>
      <c r="M928">
        <v>0.99966500000000003</v>
      </c>
      <c r="N928">
        <v>-1.4020289999999999E-2</v>
      </c>
      <c r="O928">
        <v>-2.1753000000000002E-2</v>
      </c>
      <c r="P928">
        <v>0.97116650000000004</v>
      </c>
      <c r="Q928">
        <v>0.211066</v>
      </c>
      <c r="R928">
        <v>-0.1108465</v>
      </c>
      <c r="S928">
        <v>2.9999539999999998</v>
      </c>
      <c r="T928">
        <v>-0.12372569999999999</v>
      </c>
      <c r="U928">
        <v>-1.0286249999999999</v>
      </c>
      <c r="V928">
        <v>9.0472220000000006E-2</v>
      </c>
      <c r="W928">
        <v>0.2243791</v>
      </c>
      <c r="X928">
        <v>0.97029319999999997</v>
      </c>
      <c r="Y928">
        <v>0.3033788</v>
      </c>
      <c r="Z928">
        <v>-7.6926240000000003E-3</v>
      </c>
      <c r="AA928">
        <v>0.95283899999999999</v>
      </c>
      <c r="AB928">
        <v>37</v>
      </c>
      <c r="AC928">
        <v>26.953600000000002</v>
      </c>
      <c r="AD928">
        <v>-1.119770555578</v>
      </c>
      <c r="AE928">
        <v>-9.3054999999999897</v>
      </c>
      <c r="AF928">
        <v>8.7034964305129208</v>
      </c>
      <c r="AG928">
        <v>-1.119770555578</v>
      </c>
      <c r="AH928">
        <v>27.107859560444101</v>
      </c>
      <c r="AI928">
        <v>92.252309666248195</v>
      </c>
      <c r="AJ928">
        <v>72.199779887632801</v>
      </c>
      <c r="AK928">
        <v>28.492819905405199</v>
      </c>
      <c r="AL928">
        <v>77.033630934211601</v>
      </c>
      <c r="AM928">
        <v>84.6730207046283</v>
      </c>
      <c r="AN928">
        <v>1.0000000485373799</v>
      </c>
    </row>
    <row r="929" spans="1:40" x14ac:dyDescent="0.25">
      <c r="A929" t="str">
        <f>"20190303170957013"</f>
        <v>20190303170957013</v>
      </c>
      <c r="B929" t="str">
        <f>"1551604197001870"</f>
        <v>1551604197001870</v>
      </c>
      <c r="C929" t="s">
        <v>40</v>
      </c>
      <c r="D929">
        <v>4.7147160000000001</v>
      </c>
      <c r="E929">
        <v>0.59273109999999996</v>
      </c>
      <c r="F929" t="s">
        <v>44</v>
      </c>
      <c r="G929">
        <v>-194.90620000000001</v>
      </c>
      <c r="H929" s="1">
        <v>-5.577771E-6</v>
      </c>
      <c r="I929">
        <v>358.17910000000001</v>
      </c>
      <c r="J929">
        <v>-221.56909999999999</v>
      </c>
      <c r="K929">
        <v>1.1196390000000001</v>
      </c>
      <c r="L929">
        <v>367.45240000000001</v>
      </c>
      <c r="M929">
        <v>0.99964059999999999</v>
      </c>
      <c r="N929">
        <v>-1.4022410000000001E-2</v>
      </c>
      <c r="O929">
        <v>-2.285156E-2</v>
      </c>
      <c r="P929">
        <v>0.97099420000000003</v>
      </c>
      <c r="Q929">
        <v>0.21081630000000001</v>
      </c>
      <c r="R929">
        <v>-0.112813</v>
      </c>
      <c r="S929">
        <v>2.9980769999999999</v>
      </c>
      <c r="T929">
        <v>-0.124945899999999</v>
      </c>
      <c r="U929">
        <v>-1.035339</v>
      </c>
      <c r="V929">
        <v>9.1440389999999996E-2</v>
      </c>
      <c r="W929">
        <v>0.22409979999999999</v>
      </c>
      <c r="X929">
        <v>0.97026690000000004</v>
      </c>
      <c r="Y929">
        <v>0.30441629999999997</v>
      </c>
      <c r="Z929">
        <v>-7.7453919999999898E-3</v>
      </c>
      <c r="AA929">
        <v>0.95250760000000001</v>
      </c>
      <c r="AB929">
        <v>37</v>
      </c>
      <c r="AC929">
        <v>26.662899999999901</v>
      </c>
      <c r="AD929">
        <v>-1.119644577771</v>
      </c>
      <c r="AE929">
        <v>-9.2733000000000008</v>
      </c>
      <c r="AF929">
        <v>8.6479252707125394</v>
      </c>
      <c r="AG929">
        <v>-1.119644577771</v>
      </c>
      <c r="AH929">
        <v>26.825667066647199</v>
      </c>
      <c r="AI929">
        <v>92.274856884701293</v>
      </c>
      <c r="AJ929">
        <v>72.131974481998</v>
      </c>
      <c r="AK929">
        <v>28.207386072427202</v>
      </c>
      <c r="AL929">
        <v>77.050050667720299</v>
      </c>
      <c r="AM929">
        <v>84.616203235196906</v>
      </c>
      <c r="AN929">
        <v>0.99999996125949997</v>
      </c>
    </row>
    <row r="930" spans="1:40" x14ac:dyDescent="0.25">
      <c r="A930" t="str">
        <f>"20190303170957027"</f>
        <v>20190303170957027</v>
      </c>
      <c r="B930" t="str">
        <f>"1551604197021391"</f>
        <v>1551604197021391</v>
      </c>
      <c r="C930" t="s">
        <v>40</v>
      </c>
      <c r="D930">
        <v>4.7081289999999996</v>
      </c>
      <c r="E930">
        <v>0.59315689999999999</v>
      </c>
      <c r="F930" t="s">
        <v>44</v>
      </c>
      <c r="G930">
        <v>-194.69990000000001</v>
      </c>
      <c r="H930" s="1">
        <v>-5.5179599999999899E-6</v>
      </c>
      <c r="I930">
        <v>358.09660000000002</v>
      </c>
      <c r="J930">
        <v>-221.3682</v>
      </c>
      <c r="K930">
        <v>1.119507</v>
      </c>
      <c r="L930">
        <v>367.4468</v>
      </c>
      <c r="M930">
        <v>0.99961270000000002</v>
      </c>
      <c r="N930">
        <v>-1.402495E-2</v>
      </c>
      <c r="O930">
        <v>-2.4037530000000001E-2</v>
      </c>
      <c r="P930">
        <v>0.97076519999999999</v>
      </c>
      <c r="Q930">
        <v>0.21065890000000001</v>
      </c>
      <c r="R930">
        <v>-0.1150552</v>
      </c>
      <c r="S930">
        <v>2.995514</v>
      </c>
      <c r="T930">
        <v>-0.1248237</v>
      </c>
      <c r="U930">
        <v>-1.0430299999999999</v>
      </c>
      <c r="V930">
        <v>9.2602480000000001E-2</v>
      </c>
      <c r="W930">
        <v>0.2239111</v>
      </c>
      <c r="X930">
        <v>0.97020030000000002</v>
      </c>
      <c r="Y930">
        <v>0.30571959999999998</v>
      </c>
      <c r="Z930">
        <v>-7.7477129999999998E-3</v>
      </c>
      <c r="AA930">
        <v>0.95209010000000005</v>
      </c>
      <c r="AB930">
        <v>37</v>
      </c>
      <c r="AC930">
        <v>26.668299999999899</v>
      </c>
      <c r="AD930">
        <v>-1.1195125179600001</v>
      </c>
      <c r="AE930">
        <v>-9.3501999999999708</v>
      </c>
      <c r="AF930">
        <v>8.6927528622631396</v>
      </c>
      <c r="AG930">
        <v>-1.1195125179600001</v>
      </c>
      <c r="AH930">
        <v>26.843244667963098</v>
      </c>
      <c r="AI930">
        <v>92.272131996276798</v>
      </c>
      <c r="AJ930">
        <v>72.056288323698297</v>
      </c>
      <c r="AK930">
        <v>28.237865445291401</v>
      </c>
      <c r="AL930">
        <v>77.061144949793501</v>
      </c>
      <c r="AM930">
        <v>84.547819776741704</v>
      </c>
      <c r="AN930">
        <v>1.0000000110627201</v>
      </c>
    </row>
    <row r="931" spans="1:40" x14ac:dyDescent="0.25">
      <c r="A931" t="str">
        <f>"20190303170957043"</f>
        <v>20190303170957043</v>
      </c>
      <c r="B931" t="str">
        <f>"1551604197031150"</f>
        <v>1551604197031150</v>
      </c>
      <c r="C931" t="s">
        <v>40</v>
      </c>
      <c r="D931">
        <v>4.7190899999999996</v>
      </c>
      <c r="E931">
        <v>0.59326610000000002</v>
      </c>
      <c r="F931" t="s">
        <v>44</v>
      </c>
      <c r="G931">
        <v>-194.71170000000001</v>
      </c>
      <c r="H931" s="1">
        <v>-5.5099920000000004E-6</v>
      </c>
      <c r="I931">
        <v>358.06740000000002</v>
      </c>
      <c r="J931">
        <v>-221.0941</v>
      </c>
      <c r="K931">
        <v>1.119319</v>
      </c>
      <c r="L931">
        <v>367.43869999999998</v>
      </c>
      <c r="M931">
        <v>0.99956940000000005</v>
      </c>
      <c r="N931">
        <v>-1.4028819999999999E-2</v>
      </c>
      <c r="O931">
        <v>-2.5773250000000001E-2</v>
      </c>
      <c r="P931">
        <v>0.97025700000000004</v>
      </c>
      <c r="Q931">
        <v>0.21044650000000001</v>
      </c>
      <c r="R931">
        <v>-0.1196406</v>
      </c>
      <c r="S931">
        <v>2.9928279999999998</v>
      </c>
      <c r="T931">
        <v>-0.1256921</v>
      </c>
      <c r="U931">
        <v>-1.05307</v>
      </c>
      <c r="V931">
        <v>9.560842E-2</v>
      </c>
      <c r="W931">
        <v>0.22364429999999999</v>
      </c>
      <c r="X931">
        <v>0.9699702</v>
      </c>
      <c r="Y931">
        <v>0.30717179999999999</v>
      </c>
      <c r="Z931">
        <v>-7.7805349999999999E-3</v>
      </c>
      <c r="AA931">
        <v>0.95162219999999997</v>
      </c>
      <c r="AB931">
        <v>37</v>
      </c>
      <c r="AC931">
        <v>26.382399999999901</v>
      </c>
      <c r="AD931">
        <v>-1.1193245099919999</v>
      </c>
      <c r="AE931">
        <v>-9.3712999999999607</v>
      </c>
      <c r="AF931">
        <v>8.6742945379389607</v>
      </c>
      <c r="AG931">
        <v>-1.1193245099919999</v>
      </c>
      <c r="AH931">
        <v>26.5727139743585</v>
      </c>
      <c r="AI931">
        <v>92.293100938587799</v>
      </c>
      <c r="AJ931">
        <v>71.921445389841793</v>
      </c>
      <c r="AK931">
        <v>27.975085362741201</v>
      </c>
      <c r="AL931">
        <v>77.0768286194117</v>
      </c>
      <c r="AM931">
        <v>84.370630287511204</v>
      </c>
      <c r="AN931">
        <v>0.99999996589271201</v>
      </c>
    </row>
    <row r="932" spans="1:40" x14ac:dyDescent="0.25">
      <c r="A932" t="str">
        <f>"20190303170957067"</f>
        <v>20190303170957067</v>
      </c>
      <c r="B932" t="str">
        <f>"1551604197061405"</f>
        <v>1551604197061405</v>
      </c>
      <c r="C932" t="s">
        <v>40</v>
      </c>
      <c r="D932">
        <v>4.7293379999999896</v>
      </c>
      <c r="E932">
        <v>0.59393580000000001</v>
      </c>
      <c r="F932" t="s">
        <v>44</v>
      </c>
      <c r="G932">
        <v>-194.8605</v>
      </c>
      <c r="H932" s="1">
        <v>-5.5337379999999998E-6</v>
      </c>
      <c r="I932">
        <v>358.06880000000001</v>
      </c>
      <c r="J932">
        <v>-220.72130000000001</v>
      </c>
      <c r="K932">
        <v>1.1190580000000001</v>
      </c>
      <c r="L932">
        <v>367.42669999999998</v>
      </c>
      <c r="M932">
        <v>0.99949790000000005</v>
      </c>
      <c r="N932">
        <v>-1.403532E-2</v>
      </c>
      <c r="O932">
        <v>-2.8410080000000001E-2</v>
      </c>
      <c r="P932">
        <v>0.96965290000000004</v>
      </c>
      <c r="Q932">
        <v>0.21005589999999999</v>
      </c>
      <c r="R932">
        <v>-0.12510080000000001</v>
      </c>
      <c r="S932">
        <v>2.988022</v>
      </c>
      <c r="T932">
        <v>-0.12749160000000001</v>
      </c>
      <c r="U932">
        <v>-1.0672299999999999</v>
      </c>
      <c r="V932">
        <v>9.8656820000000006E-2</v>
      </c>
      <c r="W932">
        <v>0.22318089999999999</v>
      </c>
      <c r="X932">
        <v>0.96977170000000001</v>
      </c>
      <c r="Y932">
        <v>0.30913620000000003</v>
      </c>
      <c r="Z932">
        <v>-7.8437839999999995E-3</v>
      </c>
      <c r="AA932">
        <v>0.95098539999999998</v>
      </c>
      <c r="AB932">
        <v>36</v>
      </c>
      <c r="AC932">
        <v>25.860800000000001</v>
      </c>
      <c r="AD932">
        <v>-1.1190635337379999</v>
      </c>
      <c r="AE932">
        <v>-9.3578999999999706</v>
      </c>
      <c r="AF932">
        <v>8.6050946560282604</v>
      </c>
      <c r="AG932">
        <v>-1.1190635337379999</v>
      </c>
      <c r="AH932">
        <v>26.073074527155299</v>
      </c>
      <c r="AI932">
        <v>92.333961937526993</v>
      </c>
      <c r="AJ932">
        <v>71.735167890115605</v>
      </c>
      <c r="AK932">
        <v>27.479177071563502</v>
      </c>
      <c r="AL932">
        <v>77.104068647884006</v>
      </c>
      <c r="AM932">
        <v>84.191169735656999</v>
      </c>
      <c r="AN932">
        <v>1.0000000161891001</v>
      </c>
    </row>
    <row r="933" spans="1:40" x14ac:dyDescent="0.25">
      <c r="A933" t="str">
        <f>"20190303170957080"</f>
        <v>20190303170957080</v>
      </c>
      <c r="B933" t="str">
        <f>"1551604197071166"</f>
        <v>1551604197071166</v>
      </c>
      <c r="C933" t="s">
        <v>40</v>
      </c>
      <c r="D933">
        <v>4.7347739999999998</v>
      </c>
      <c r="E933">
        <v>0.59406569999999903</v>
      </c>
      <c r="F933" t="s">
        <v>44</v>
      </c>
      <c r="G933">
        <v>-194.83869999999999</v>
      </c>
      <c r="H933" s="1">
        <v>-5.4972490000000004E-6</v>
      </c>
      <c r="I933">
        <v>357.97</v>
      </c>
      <c r="J933">
        <v>-220.4734</v>
      </c>
      <c r="K933">
        <v>1.1188880000000001</v>
      </c>
      <c r="L933">
        <v>367.41800000000001</v>
      </c>
      <c r="M933">
        <v>0.99944180000000005</v>
      </c>
      <c r="N933">
        <v>-1.404E-2</v>
      </c>
      <c r="O933">
        <v>-3.0315450000000001E-2</v>
      </c>
      <c r="P933">
        <v>0.96928939999999997</v>
      </c>
      <c r="Q933">
        <v>0.21009739999999999</v>
      </c>
      <c r="R933">
        <v>-0.12781719999999999</v>
      </c>
      <c r="S933">
        <v>2.981293</v>
      </c>
      <c r="T933">
        <v>-0.1288995</v>
      </c>
      <c r="U933">
        <v>-1.089264</v>
      </c>
      <c r="V933">
        <v>9.9622970000000005E-2</v>
      </c>
      <c r="W933">
        <v>0.22317909999999999</v>
      </c>
      <c r="X933">
        <v>0.96967329999999996</v>
      </c>
      <c r="Y933">
        <v>0.31420239999999999</v>
      </c>
      <c r="Z933">
        <v>-7.9986180000000007E-3</v>
      </c>
      <c r="AA933">
        <v>0.94932229999999995</v>
      </c>
      <c r="AB933">
        <v>36</v>
      </c>
      <c r="AC933">
        <v>25.634699999999999</v>
      </c>
      <c r="AD933">
        <v>-1.1188934972489999</v>
      </c>
      <c r="AE933">
        <v>-9.4479999999999809</v>
      </c>
      <c r="AF933">
        <v>8.6519409282046507</v>
      </c>
      <c r="AG933">
        <v>-1.1188934972489999</v>
      </c>
      <c r="AH933">
        <v>25.865979709792999</v>
      </c>
      <c r="AI933">
        <v>92.349141615900905</v>
      </c>
      <c r="AJ933">
        <v>71.505368460528501</v>
      </c>
      <c r="AK933">
        <v>27.297562360598199</v>
      </c>
      <c r="AL933">
        <v>77.104173945031803</v>
      </c>
      <c r="AM933">
        <v>84.134087280753604</v>
      </c>
      <c r="AN933">
        <v>0.99999997778065997</v>
      </c>
    </row>
    <row r="934" spans="1:40" x14ac:dyDescent="0.25">
      <c r="A934" t="str">
        <f>"20190303170957093"</f>
        <v>20190303170957093</v>
      </c>
      <c r="B934" t="str">
        <f>"1551604197081902"</f>
        <v>1551604197081902</v>
      </c>
      <c r="C934" t="s">
        <v>40</v>
      </c>
      <c r="D934">
        <v>4.7332830000000001</v>
      </c>
      <c r="E934">
        <v>0.59424849999999996</v>
      </c>
      <c r="F934" t="s">
        <v>44</v>
      </c>
      <c r="G934">
        <v>-194.59379999999999</v>
      </c>
      <c r="H934" s="1">
        <v>-5.4234649999999999E-6</v>
      </c>
      <c r="I934">
        <v>357.8639</v>
      </c>
      <c r="J934">
        <v>-220.27340000000001</v>
      </c>
      <c r="K934">
        <v>1.1187499999999999</v>
      </c>
      <c r="L934">
        <v>367.41059999999999</v>
      </c>
      <c r="M934">
        <v>0.99939129999999998</v>
      </c>
      <c r="N934">
        <v>-1.404384E-2</v>
      </c>
      <c r="O934">
        <v>-3.1939410000000001E-2</v>
      </c>
      <c r="P934">
        <v>0.96895830000000005</v>
      </c>
      <c r="Q934">
        <v>0.2100542</v>
      </c>
      <c r="R934">
        <v>-0.13037409999999999</v>
      </c>
      <c r="S934">
        <v>2.9779819999999999</v>
      </c>
      <c r="T934">
        <v>-0.1287518</v>
      </c>
      <c r="U934">
        <v>-1.09939599999999</v>
      </c>
      <c r="V934">
        <v>0.1006826</v>
      </c>
      <c r="W934">
        <v>0.22309960000000001</v>
      </c>
      <c r="X934">
        <v>0.9695821</v>
      </c>
      <c r="Y934">
        <v>0.31584449999999997</v>
      </c>
      <c r="Z934">
        <v>-7.9975900000000006E-3</v>
      </c>
      <c r="AA934">
        <v>0.94877730000000005</v>
      </c>
      <c r="AB934">
        <v>36</v>
      </c>
      <c r="AC934">
        <v>25.679600000000001</v>
      </c>
      <c r="AD934">
        <v>-1.1187554234649999</v>
      </c>
      <c r="AE934">
        <v>-9.54669999999998</v>
      </c>
      <c r="AF934">
        <v>8.7070371372274007</v>
      </c>
      <c r="AG934">
        <v>-1.1187554234649999</v>
      </c>
      <c r="AH934">
        <v>25.928205902989902</v>
      </c>
      <c r="AI934">
        <v>92.342288952087401</v>
      </c>
      <c r="AJ934">
        <v>71.437262511387701</v>
      </c>
      <c r="AK934">
        <v>27.374001730737699</v>
      </c>
      <c r="AL934">
        <v>77.108846191277905</v>
      </c>
      <c r="AM934">
        <v>84.071583433950707</v>
      </c>
      <c r="AN934">
        <v>0.99999993305166202</v>
      </c>
    </row>
    <row r="935" spans="1:40" x14ac:dyDescent="0.25">
      <c r="A935" t="str">
        <f>"20190303170957105"</f>
        <v>20190303170957105</v>
      </c>
      <c r="B935" t="str">
        <f>"1551604197091662"</f>
        <v>1551604197091662</v>
      </c>
      <c r="C935" t="s">
        <v>40</v>
      </c>
      <c r="D935">
        <v>4.7312409999999998</v>
      </c>
      <c r="E935">
        <v>0.59438040000000003</v>
      </c>
      <c r="F935" t="s">
        <v>44</v>
      </c>
      <c r="G935">
        <v>-194.56620000000001</v>
      </c>
      <c r="H935" s="1">
        <v>-5.4075189999999998E-6</v>
      </c>
      <c r="I935">
        <v>357.82909999999998</v>
      </c>
      <c r="J935">
        <v>-220.08109999999999</v>
      </c>
      <c r="K935">
        <v>1.118619</v>
      </c>
      <c r="L935">
        <v>367.40300000000002</v>
      </c>
      <c r="M935">
        <v>0.99933680000000003</v>
      </c>
      <c r="N935">
        <v>-1.4047509999999999E-2</v>
      </c>
      <c r="O935">
        <v>-3.3594560000000002E-2</v>
      </c>
      <c r="P935">
        <v>0.96864329999999998</v>
      </c>
      <c r="Q935">
        <v>0.20985880000000001</v>
      </c>
      <c r="R935">
        <v>-0.1330017</v>
      </c>
      <c r="S935">
        <v>2.9749910000000002</v>
      </c>
      <c r="T935">
        <v>-0.12946879999999999</v>
      </c>
      <c r="U935">
        <v>-1.1088260000000001</v>
      </c>
      <c r="V935">
        <v>0.1017771</v>
      </c>
      <c r="W935">
        <v>0.2228686</v>
      </c>
      <c r="X935">
        <v>0.96952099999999997</v>
      </c>
      <c r="Y935">
        <v>0.3172217</v>
      </c>
      <c r="Z935">
        <v>-8.0229829999999992E-3</v>
      </c>
      <c r="AA935">
        <v>0.94831750000000004</v>
      </c>
      <c r="AB935">
        <v>36</v>
      </c>
      <c r="AC935">
        <v>25.514899999999901</v>
      </c>
      <c r="AD935">
        <v>-1.1186244075189999</v>
      </c>
      <c r="AE935">
        <v>-9.5739000000000303</v>
      </c>
      <c r="AF935">
        <v>8.6965955918956706</v>
      </c>
      <c r="AG935">
        <v>-1.1186244075189999</v>
      </c>
      <c r="AH935">
        <v>25.7787233596483</v>
      </c>
      <c r="AI935">
        <v>92.354483457254503</v>
      </c>
      <c r="AJ935">
        <v>71.357891229383</v>
      </c>
      <c r="AK935">
        <v>27.2291144458896</v>
      </c>
      <c r="AL935">
        <v>77.122423979747296</v>
      </c>
      <c r="AM935">
        <v>84.007228374151595</v>
      </c>
      <c r="AN935">
        <v>0.99999998019568404</v>
      </c>
    </row>
    <row r="936" spans="1:40" x14ac:dyDescent="0.25">
      <c r="A936" t="str">
        <f>"20190303170957118"</f>
        <v>20190303170957118</v>
      </c>
      <c r="B936" t="str">
        <f>"1551604197111689"</f>
        <v>1551604197111689</v>
      </c>
      <c r="C936" t="s">
        <v>40</v>
      </c>
      <c r="D936">
        <v>4.735163</v>
      </c>
      <c r="E936">
        <v>0.59473489999999996</v>
      </c>
      <c r="F936" t="s">
        <v>44</v>
      </c>
      <c r="G936">
        <v>-194.63910000000001</v>
      </c>
      <c r="H936" s="1">
        <v>-5.4206609999999996E-6</v>
      </c>
      <c r="I936">
        <v>357.83440000000002</v>
      </c>
      <c r="J936">
        <v>-219.8717</v>
      </c>
      <c r="K936">
        <v>1.118482</v>
      </c>
      <c r="L936">
        <v>367.39449999999999</v>
      </c>
      <c r="M936">
        <v>0.99927279999999996</v>
      </c>
      <c r="N936">
        <v>-1.405124E-2</v>
      </c>
      <c r="O936">
        <v>-3.5447909999999999E-2</v>
      </c>
      <c r="P936">
        <v>0.96826080000000003</v>
      </c>
      <c r="Q936">
        <v>0.2097434</v>
      </c>
      <c r="R936">
        <v>-0.1359378</v>
      </c>
      <c r="S936">
        <v>2.9719389999999999</v>
      </c>
      <c r="T936">
        <v>-0.13066910000000001</v>
      </c>
      <c r="U936">
        <v>-1.117737</v>
      </c>
      <c r="V936">
        <v>0.1029954</v>
      </c>
      <c r="W936">
        <v>0.22271379999999999</v>
      </c>
      <c r="X936">
        <v>0.96942790000000001</v>
      </c>
      <c r="Y936">
        <v>0.31826890000000002</v>
      </c>
      <c r="Z936">
        <v>-8.0525459999999903E-3</v>
      </c>
      <c r="AA936">
        <v>0.94796630000000004</v>
      </c>
      <c r="AB936">
        <v>36</v>
      </c>
      <c r="AC936">
        <v>25.232599999999898</v>
      </c>
      <c r="AD936">
        <v>-1.118487420661</v>
      </c>
      <c r="AE936">
        <v>-9.5600999999999701</v>
      </c>
      <c r="AF936">
        <v>8.6447056796971697</v>
      </c>
      <c r="AG936">
        <v>-1.118487420661</v>
      </c>
      <c r="AH936">
        <v>25.5118224386114</v>
      </c>
      <c r="AI936">
        <v>92.377718692195899</v>
      </c>
      <c r="AJ936">
        <v>71.281000332380103</v>
      </c>
      <c r="AK936">
        <v>26.959878236705698</v>
      </c>
      <c r="AL936">
        <v>77.131521917897501</v>
      </c>
      <c r="AM936">
        <v>83.935446585233507</v>
      </c>
      <c r="AN936">
        <v>0.99999997121500395</v>
      </c>
    </row>
    <row r="937" spans="1:40" x14ac:dyDescent="0.25">
      <c r="A937" t="str">
        <f>"20190303170957131"</f>
        <v>20190303170957131</v>
      </c>
      <c r="B937" t="str">
        <f>"1551604197121449"</f>
        <v>1551604197121449</v>
      </c>
      <c r="C937" t="s">
        <v>40</v>
      </c>
      <c r="D937">
        <v>4.7361110000000002</v>
      </c>
      <c r="E937">
        <v>0.5948097</v>
      </c>
      <c r="F937" t="s">
        <v>44</v>
      </c>
      <c r="G937">
        <v>-194.6934</v>
      </c>
      <c r="H937" s="1">
        <v>-5.4223359999999999E-6</v>
      </c>
      <c r="I937">
        <v>357.81400000000002</v>
      </c>
      <c r="J937">
        <v>-219.64709999999999</v>
      </c>
      <c r="K937">
        <v>1.118333</v>
      </c>
      <c r="L937">
        <v>367.38470000000001</v>
      </c>
      <c r="M937">
        <v>0.99919559999999996</v>
      </c>
      <c r="N937">
        <v>-1.405558E-2</v>
      </c>
      <c r="O937">
        <v>-3.7557210000000001E-2</v>
      </c>
      <c r="P937">
        <v>0.96778359999999997</v>
      </c>
      <c r="Q937">
        <v>0.209702</v>
      </c>
      <c r="R937">
        <v>-0.1393546</v>
      </c>
      <c r="S937">
        <v>2.9683069999999998</v>
      </c>
      <c r="T937">
        <v>-0.13186030000000001</v>
      </c>
      <c r="U937">
        <v>-1.129456</v>
      </c>
      <c r="V937">
        <v>0.1044537</v>
      </c>
      <c r="W937">
        <v>0.2226283</v>
      </c>
      <c r="X937">
        <v>0.96929149999999997</v>
      </c>
      <c r="Y937">
        <v>0.31991649999999999</v>
      </c>
      <c r="Z937">
        <v>-8.0910400000000007E-3</v>
      </c>
      <c r="AA937">
        <v>0.94741120000000001</v>
      </c>
      <c r="AB937">
        <v>36</v>
      </c>
      <c r="AC937">
        <v>24.953700000000001</v>
      </c>
      <c r="AD937">
        <v>-1.118338422336</v>
      </c>
      <c r="AE937">
        <v>-9.5706999999999791</v>
      </c>
      <c r="AF937">
        <v>8.6115838868196093</v>
      </c>
      <c r="AG937">
        <v>-1.118338422336</v>
      </c>
      <c r="AH937">
        <v>25.2513615045923</v>
      </c>
      <c r="AI937">
        <v>92.400300259880296</v>
      </c>
      <c r="AJ937">
        <v>71.168856117991595</v>
      </c>
      <c r="AK937">
        <v>26.702833477034002</v>
      </c>
      <c r="AL937">
        <v>77.136546897713004</v>
      </c>
      <c r="AM937">
        <v>83.849373936732505</v>
      </c>
      <c r="AN937">
        <v>0.99999997368841398</v>
      </c>
    </row>
    <row r="938" spans="1:40" x14ac:dyDescent="0.25">
      <c r="A938" t="str">
        <f>"20190303170957143"</f>
        <v>20190303170957143</v>
      </c>
      <c r="B938" t="str">
        <f>"1551604197131209"</f>
        <v>1551604197131209</v>
      </c>
      <c r="C938" t="s">
        <v>40</v>
      </c>
      <c r="D938">
        <v>4.7412729999999996</v>
      </c>
      <c r="E938">
        <v>0.59491059999999996</v>
      </c>
      <c r="F938" t="s">
        <v>44</v>
      </c>
      <c r="G938">
        <v>-194.70050000000001</v>
      </c>
      <c r="H938" s="1">
        <v>-5.4164149999999997E-6</v>
      </c>
      <c r="I938">
        <v>357.79300000000001</v>
      </c>
      <c r="J938">
        <v>-219.459</v>
      </c>
      <c r="K938">
        <v>1.1182160000000001</v>
      </c>
      <c r="L938">
        <v>367.37599999999998</v>
      </c>
      <c r="M938">
        <v>0.99912500000000004</v>
      </c>
      <c r="N938">
        <v>-1.40594E-2</v>
      </c>
      <c r="O938">
        <v>-3.9388810000000003E-2</v>
      </c>
      <c r="P938">
        <v>0.96731350000000005</v>
      </c>
      <c r="Q938">
        <v>0.20910049999999999</v>
      </c>
      <c r="R938">
        <v>-0.14346220000000001</v>
      </c>
      <c r="S938">
        <v>2.9645389999999998</v>
      </c>
      <c r="T938">
        <v>-0.1328984</v>
      </c>
      <c r="U938">
        <v>-1.139832</v>
      </c>
      <c r="V938">
        <v>0.1068539</v>
      </c>
      <c r="W938">
        <v>0.22198209999999999</v>
      </c>
      <c r="X938">
        <v>0.96917810000000004</v>
      </c>
      <c r="Y938">
        <v>0.32146580000000002</v>
      </c>
      <c r="Z938">
        <v>-8.1282669999999998E-3</v>
      </c>
      <c r="AA938">
        <v>0.94688629999999996</v>
      </c>
      <c r="AB938">
        <v>36</v>
      </c>
      <c r="AC938">
        <v>24.758500000000002</v>
      </c>
      <c r="AD938">
        <v>-1.1182214164149999</v>
      </c>
      <c r="AE938">
        <v>-9.58299999999997</v>
      </c>
      <c r="AF938">
        <v>8.5850267095372494</v>
      </c>
      <c r="AG938">
        <v>-1.1182214164149999</v>
      </c>
      <c r="AH938">
        <v>25.072302024104602</v>
      </c>
      <c r="AI938">
        <v>92.416153085583105</v>
      </c>
      <c r="AJ938">
        <v>71.098242872799602</v>
      </c>
      <c r="AK938">
        <v>26.5249586527014</v>
      </c>
      <c r="AL938">
        <v>77.174522001527194</v>
      </c>
      <c r="AM938">
        <v>83.708431536649101</v>
      </c>
      <c r="AN938">
        <v>0.99999999909261394</v>
      </c>
    </row>
    <row r="939" spans="1:40" x14ac:dyDescent="0.25">
      <c r="A939" t="str">
        <f>"20190303170957155"</f>
        <v>20190303170957155</v>
      </c>
      <c r="B939" t="str">
        <f>"1551604197140970"</f>
        <v>1551604197140970</v>
      </c>
      <c r="C939" t="s">
        <v>40</v>
      </c>
      <c r="D939">
        <v>4.7566800000000002</v>
      </c>
      <c r="E939">
        <v>0.59502949999999999</v>
      </c>
      <c r="F939" t="s">
        <v>44</v>
      </c>
      <c r="G939">
        <v>-195.0548</v>
      </c>
      <c r="H939" s="1">
        <v>-5.4989860000000002E-6</v>
      </c>
      <c r="I939">
        <v>357.87439999999998</v>
      </c>
      <c r="J939">
        <v>-219.2629</v>
      </c>
      <c r="K939">
        <v>1.1180939999999999</v>
      </c>
      <c r="L939">
        <v>367.36680000000001</v>
      </c>
      <c r="M939">
        <v>0.99904630000000005</v>
      </c>
      <c r="N939">
        <v>-1.4063310000000001E-2</v>
      </c>
      <c r="O939">
        <v>-4.1340219999999997E-2</v>
      </c>
      <c r="P939">
        <v>0.96695699999999996</v>
      </c>
      <c r="Q939">
        <v>0.20890929999999999</v>
      </c>
      <c r="R939">
        <v>-0.14612059999999999</v>
      </c>
      <c r="S939">
        <v>2.959778</v>
      </c>
      <c r="T939">
        <v>-0.1356195</v>
      </c>
      <c r="U939">
        <v>-1.152374</v>
      </c>
      <c r="V939">
        <v>0.10768949999999999</v>
      </c>
      <c r="W939">
        <v>0.2217566</v>
      </c>
      <c r="X939">
        <v>0.96913729999999998</v>
      </c>
      <c r="Y939">
        <v>0.32360040000000001</v>
      </c>
      <c r="Z939">
        <v>-8.2455500000000008E-3</v>
      </c>
      <c r="AA939">
        <v>0.9461579</v>
      </c>
      <c r="AB939">
        <v>36</v>
      </c>
      <c r="AC939">
        <v>24.208100000000002</v>
      </c>
      <c r="AD939">
        <v>-1.118099498986</v>
      </c>
      <c r="AE939">
        <v>-9.4924000000000301</v>
      </c>
      <c r="AF939">
        <v>8.46776011336196</v>
      </c>
      <c r="AG939">
        <v>-1.118099498986</v>
      </c>
      <c r="AH939">
        <v>24.534494622497601</v>
      </c>
      <c r="AI939">
        <v>92.466716842470802</v>
      </c>
      <c r="AJ939">
        <v>70.958555000148195</v>
      </c>
      <c r="AK939">
        <v>25.978732344139502</v>
      </c>
      <c r="AL939">
        <v>77.187773270338198</v>
      </c>
      <c r="AM939">
        <v>83.659365716687503</v>
      </c>
      <c r="AN939">
        <v>1.00000006215254</v>
      </c>
    </row>
    <row r="940" spans="1:40" x14ac:dyDescent="0.25">
      <c r="A940" t="str">
        <f>"20190303170957168"</f>
        <v>20190303170957168</v>
      </c>
      <c r="B940" t="str">
        <f>"1551604197161465"</f>
        <v>1551604197161465</v>
      </c>
      <c r="C940" t="s">
        <v>40</v>
      </c>
      <c r="D940">
        <v>4.756202</v>
      </c>
      <c r="E940">
        <v>0.59513709999999997</v>
      </c>
      <c r="F940" t="s">
        <v>44</v>
      </c>
      <c r="G940">
        <v>-194.98589999999999</v>
      </c>
      <c r="H940" s="1">
        <v>-5.4730550000000004E-6</v>
      </c>
      <c r="I940">
        <v>357.82900000000001</v>
      </c>
      <c r="J940">
        <v>-219.04740000000001</v>
      </c>
      <c r="K940">
        <v>1.117964</v>
      </c>
      <c r="L940">
        <v>367.35579999999999</v>
      </c>
      <c r="M940">
        <v>0.99895049999999996</v>
      </c>
      <c r="N940">
        <v>-1.4067929999999999E-2</v>
      </c>
      <c r="O940">
        <v>-4.3590230000000001E-2</v>
      </c>
      <c r="P940">
        <v>0.96657709999999997</v>
      </c>
      <c r="Q940">
        <v>0.2086066</v>
      </c>
      <c r="R940">
        <v>-0.14903829999999901</v>
      </c>
      <c r="S940">
        <v>2.9564360000000001</v>
      </c>
      <c r="T940">
        <v>-0.13616130000000001</v>
      </c>
      <c r="U940">
        <v>-1.1614990000000001</v>
      </c>
      <c r="V940">
        <v>0.1084977</v>
      </c>
      <c r="W940">
        <v>0.22141849999999999</v>
      </c>
      <c r="X940">
        <v>0.9691244</v>
      </c>
      <c r="Y940">
        <v>0.3243607</v>
      </c>
      <c r="Z940">
        <v>-8.22524E-3</v>
      </c>
      <c r="AA940">
        <v>0.94589769999999895</v>
      </c>
      <c r="AB940">
        <v>36</v>
      </c>
      <c r="AC940">
        <v>24.061499999999999</v>
      </c>
      <c r="AD940">
        <v>-1.1179694730550001</v>
      </c>
      <c r="AE940">
        <v>-9.5267999999999802</v>
      </c>
      <c r="AF940">
        <v>8.4530174397689795</v>
      </c>
      <c r="AG940">
        <v>-1.1179694730550001</v>
      </c>
      <c r="AH940">
        <v>24.408389242613602</v>
      </c>
      <c r="AI940">
        <v>92.478255773209298</v>
      </c>
      <c r="AJ940">
        <v>70.898208219004701</v>
      </c>
      <c r="AK940">
        <v>25.8548414228101</v>
      </c>
      <c r="AL940">
        <v>77.207638048920401</v>
      </c>
      <c r="AM940">
        <v>83.6120873964216</v>
      </c>
      <c r="AN940">
        <v>1.00000000286145</v>
      </c>
    </row>
    <row r="941" spans="1:40" x14ac:dyDescent="0.25">
      <c r="A941" t="str">
        <f>"20190303170957180"</f>
        <v>20190303170957180</v>
      </c>
      <c r="B941" t="str">
        <f>"1551604197171225"</f>
        <v>1551604197171225</v>
      </c>
      <c r="C941" t="s">
        <v>40</v>
      </c>
      <c r="D941">
        <v>4.7559430000000003</v>
      </c>
      <c r="E941">
        <v>0.59884139999999997</v>
      </c>
      <c r="F941" t="s">
        <v>44</v>
      </c>
      <c r="G941">
        <v>-194.94579999999999</v>
      </c>
      <c r="H941" s="1">
        <v>-5.4551240000000003E-6</v>
      </c>
      <c r="I941">
        <v>357.79419999999999</v>
      </c>
      <c r="J941">
        <v>-218.84360000000001</v>
      </c>
      <c r="K941">
        <v>1.1178380000000001</v>
      </c>
      <c r="L941">
        <v>367.34519999999998</v>
      </c>
      <c r="M941">
        <v>0.99885330000000006</v>
      </c>
      <c r="N941">
        <v>-1.4072100000000001E-2</v>
      </c>
      <c r="O941">
        <v>-4.5763129999999999E-2</v>
      </c>
      <c r="P941">
        <v>0.96617489999999995</v>
      </c>
      <c r="Q941">
        <v>0.20831720000000001</v>
      </c>
      <c r="R941">
        <v>-0.1520205</v>
      </c>
      <c r="S941">
        <v>2.9526819999999998</v>
      </c>
      <c r="T941">
        <v>-0.13696179999999999</v>
      </c>
      <c r="U941">
        <v>-1.171387</v>
      </c>
      <c r="V941">
        <v>0.1094412</v>
      </c>
      <c r="W941">
        <v>0.2210944</v>
      </c>
      <c r="X941">
        <v>0.96909230000000002</v>
      </c>
      <c r="Y941">
        <v>0.32544770000000001</v>
      </c>
      <c r="Z941">
        <v>-8.2265800000000007E-3</v>
      </c>
      <c r="AA941">
        <v>0.94552420000000004</v>
      </c>
      <c r="AB941">
        <v>36</v>
      </c>
      <c r="AC941">
        <v>23.8978</v>
      </c>
      <c r="AD941">
        <v>-1.117843455124</v>
      </c>
      <c r="AE941">
        <v>-9.5509999999999806</v>
      </c>
      <c r="AF941">
        <v>8.4313383717292201</v>
      </c>
      <c r="AG941">
        <v>-1.117843455124</v>
      </c>
      <c r="AH941">
        <v>24.264106945742402</v>
      </c>
      <c r="AI941">
        <v>92.491794559267703</v>
      </c>
      <c r="AJ941">
        <v>70.838585147772406</v>
      </c>
      <c r="AK941">
        <v>25.711552395823599</v>
      </c>
      <c r="AL941">
        <v>77.226679478068903</v>
      </c>
      <c r="AM941">
        <v>83.556791376685894</v>
      </c>
      <c r="AN941">
        <v>0.99999999794404504</v>
      </c>
    </row>
    <row r="942" spans="1:40" x14ac:dyDescent="0.25">
      <c r="A942" t="str">
        <f>"20190303170957195"</f>
        <v>20190303170957195</v>
      </c>
      <c r="B942" t="str">
        <f>"1551604197180985"</f>
        <v>1551604197180985</v>
      </c>
      <c r="C942" t="s">
        <v>40</v>
      </c>
      <c r="D942">
        <v>4.7432369999999997</v>
      </c>
      <c r="E942">
        <v>0.59878100000000001</v>
      </c>
      <c r="F942" t="s">
        <v>44</v>
      </c>
      <c r="G942">
        <v>-194.75659999999999</v>
      </c>
      <c r="H942" s="1">
        <v>-5.3097369999999997E-6</v>
      </c>
      <c r="I942">
        <v>357.44819999999999</v>
      </c>
      <c r="J942">
        <v>-218.61940000000001</v>
      </c>
      <c r="K942">
        <v>1.117707</v>
      </c>
      <c r="L942">
        <v>367.3329</v>
      </c>
      <c r="M942">
        <v>0.99873780000000001</v>
      </c>
      <c r="N942">
        <v>-1.407661E-2</v>
      </c>
      <c r="O942">
        <v>-4.8217740000000002E-2</v>
      </c>
      <c r="P942">
        <v>0.96571629999999997</v>
      </c>
      <c r="Q942">
        <v>0.20807439999999999</v>
      </c>
      <c r="R942">
        <v>-0.15523299999999901</v>
      </c>
      <c r="S942">
        <v>2.9441679999999999</v>
      </c>
      <c r="T942">
        <v>-0.1366347</v>
      </c>
      <c r="U942">
        <v>-1.2097169999999999</v>
      </c>
      <c r="V942">
        <v>0.1103483</v>
      </c>
      <c r="W942">
        <v>0.22081529999999999</v>
      </c>
      <c r="X942">
        <v>0.9690531</v>
      </c>
      <c r="Y942">
        <v>0.33461669999999999</v>
      </c>
      <c r="Z942">
        <v>-8.4170789999999992E-3</v>
      </c>
      <c r="AA942">
        <v>0.94231679999999995</v>
      </c>
      <c r="AB942">
        <v>36</v>
      </c>
      <c r="AC942">
        <v>23.8628</v>
      </c>
      <c r="AD942">
        <v>-1.1177123097370001</v>
      </c>
      <c r="AE942">
        <v>-9.8847000000000094</v>
      </c>
      <c r="AF942">
        <v>8.7061730925834997</v>
      </c>
      <c r="AG942">
        <v>-1.1177123097370001</v>
      </c>
      <c r="AH942">
        <v>24.2662627342653</v>
      </c>
      <c r="AI942">
        <v>92.482473507985205</v>
      </c>
      <c r="AJ942">
        <v>70.263189099385997</v>
      </c>
      <c r="AK942">
        <v>25.8050041234982</v>
      </c>
      <c r="AL942">
        <v>77.243076366799599</v>
      </c>
      <c r="AM942">
        <v>83.5035811507434</v>
      </c>
      <c r="AN942">
        <v>1.0000000273232901</v>
      </c>
    </row>
    <row r="943" spans="1:40" x14ac:dyDescent="0.25">
      <c r="A943" t="str">
        <f>"20190303170957207"</f>
        <v>20190303170957207</v>
      </c>
      <c r="B943" t="str">
        <f>"1551604197201012"</f>
        <v>1551604197201012</v>
      </c>
      <c r="C943" t="s">
        <v>40</v>
      </c>
      <c r="D943">
        <v>4.7822089999999999</v>
      </c>
      <c r="E943">
        <v>0.59914669999999903</v>
      </c>
      <c r="F943" t="s">
        <v>44</v>
      </c>
      <c r="G943">
        <v>-195.01300000000001</v>
      </c>
      <c r="H943" s="1">
        <v>-5.3840889999999997E-6</v>
      </c>
      <c r="I943">
        <v>357.55059999999997</v>
      </c>
      <c r="J943">
        <v>-218.4109</v>
      </c>
      <c r="K943">
        <v>1.1175930000000001</v>
      </c>
      <c r="L943">
        <v>367.32069999999999</v>
      </c>
      <c r="M943">
        <v>0.99862079999999998</v>
      </c>
      <c r="N943">
        <v>-1.4081E-2</v>
      </c>
      <c r="O943">
        <v>-5.0578829999999998E-2</v>
      </c>
      <c r="P943">
        <v>0.96518720000000002</v>
      </c>
      <c r="Q943">
        <v>0.20794589999999999</v>
      </c>
      <c r="R943">
        <v>-0.158657299999999</v>
      </c>
      <c r="S943">
        <v>2.9406430000000001</v>
      </c>
      <c r="T943">
        <v>-0.139233</v>
      </c>
      <c r="U943">
        <v>-1.218567</v>
      </c>
      <c r="V943">
        <v>0.1115535</v>
      </c>
      <c r="W943">
        <v>0.22065070000000001</v>
      </c>
      <c r="X943">
        <v>0.96895260000000005</v>
      </c>
      <c r="Y943">
        <v>0.33519640000000001</v>
      </c>
      <c r="Z943">
        <v>-8.4660029999999997E-3</v>
      </c>
      <c r="AA943">
        <v>0.94211020000000001</v>
      </c>
      <c r="AB943">
        <v>36</v>
      </c>
      <c r="AC943">
        <v>23.3979</v>
      </c>
      <c r="AD943">
        <v>-1.117598384089</v>
      </c>
      <c r="AE943">
        <v>-9.77010000000001</v>
      </c>
      <c r="AF943">
        <v>8.5574118313757701</v>
      </c>
      <c r="AG943">
        <v>-1.117598384089</v>
      </c>
      <c r="AH943">
        <v>23.8158873380237</v>
      </c>
      <c r="AI943">
        <v>92.528668479016204</v>
      </c>
      <c r="AJ943">
        <v>70.235862559422301</v>
      </c>
      <c r="AK943">
        <v>25.331301054176599</v>
      </c>
      <c r="AL943">
        <v>77.252745761930896</v>
      </c>
      <c r="AM943">
        <v>83.432569942124005</v>
      </c>
      <c r="AN943">
        <v>1.0000000279097401</v>
      </c>
    </row>
    <row r="944" spans="1:40" x14ac:dyDescent="0.25">
      <c r="A944" t="str">
        <f>"20190303170957221"</f>
        <v>20190303170957221</v>
      </c>
      <c r="B944" t="str">
        <f>"1551604197211748"</f>
        <v>1551604197211748</v>
      </c>
      <c r="C944" t="s">
        <v>40</v>
      </c>
      <c r="D944">
        <v>4.7803930000000001</v>
      </c>
      <c r="E944">
        <v>0.59914149999999999</v>
      </c>
      <c r="F944" t="s">
        <v>44</v>
      </c>
      <c r="G944">
        <v>-195.73079999999999</v>
      </c>
      <c r="H944" s="1">
        <v>-5.5832199999999999E-6</v>
      </c>
      <c r="I944">
        <v>357.81060000000002</v>
      </c>
      <c r="J944">
        <v>-218.1926</v>
      </c>
      <c r="K944">
        <v>1.1174820000000001</v>
      </c>
      <c r="L944">
        <v>367.3075</v>
      </c>
      <c r="M944">
        <v>0.99849030000000005</v>
      </c>
      <c r="N944">
        <v>-1.408534E-2</v>
      </c>
      <c r="O944">
        <v>-5.3091859999999998E-2</v>
      </c>
      <c r="P944">
        <v>0.9645243</v>
      </c>
      <c r="Q944">
        <v>0.20651610000000001</v>
      </c>
      <c r="R944">
        <v>-0.16445179999999901</v>
      </c>
      <c r="S944">
        <v>2.936966</v>
      </c>
      <c r="T944">
        <v>-0.1447234</v>
      </c>
      <c r="U944">
        <v>-1.231506</v>
      </c>
      <c r="V944">
        <v>0.1149744</v>
      </c>
      <c r="W944">
        <v>0.21916359999999999</v>
      </c>
      <c r="X944">
        <v>0.96889020000000003</v>
      </c>
      <c r="Y944">
        <v>0.33674979999999999</v>
      </c>
      <c r="Z944">
        <v>-8.6444869999999993E-3</v>
      </c>
      <c r="AA944">
        <v>0.94155449999999996</v>
      </c>
      <c r="AB944">
        <v>36</v>
      </c>
      <c r="AC944">
        <v>22.4618</v>
      </c>
      <c r="AD944">
        <v>-1.11748758322</v>
      </c>
      <c r="AE944">
        <v>-9.4968999999999806</v>
      </c>
      <c r="AF944">
        <v>8.2734738454596304</v>
      </c>
      <c r="AG944">
        <v>-1.11748758322</v>
      </c>
      <c r="AH944">
        <v>22.886316585063199</v>
      </c>
      <c r="AI944">
        <v>92.629140238047498</v>
      </c>
      <c r="AJ944">
        <v>70.124920891787298</v>
      </c>
      <c r="AK944">
        <v>24.3614990261662</v>
      </c>
      <c r="AL944">
        <v>77.340088142889499</v>
      </c>
      <c r="AM944">
        <v>83.232581596848306</v>
      </c>
      <c r="AN944">
        <v>1.0000000079381799</v>
      </c>
    </row>
    <row r="945" spans="1:40" x14ac:dyDescent="0.25">
      <c r="A945" t="str">
        <f>"20190303170957234"</f>
        <v>20190303170957234</v>
      </c>
      <c r="B945" t="str">
        <f>"1551604197221508"</f>
        <v>1551604197221508</v>
      </c>
      <c r="C945" t="s">
        <v>40</v>
      </c>
      <c r="D945">
        <v>4.7681360000000002</v>
      </c>
      <c r="E945">
        <v>0.59926899999999905</v>
      </c>
      <c r="F945" t="s">
        <v>44</v>
      </c>
      <c r="G945">
        <v>-196.16079999999999</v>
      </c>
      <c r="H945" s="1">
        <v>-5.6885249999999999E-6</v>
      </c>
      <c r="I945">
        <v>357.9246</v>
      </c>
      <c r="J945">
        <v>-217.97890000000001</v>
      </c>
      <c r="K945">
        <v>1.1173789999999999</v>
      </c>
      <c r="L945">
        <v>367.29410000000001</v>
      </c>
      <c r="M945">
        <v>0.9983535</v>
      </c>
      <c r="N945">
        <v>-1.408942E-2</v>
      </c>
      <c r="O945">
        <v>-5.5604609999999999E-2</v>
      </c>
      <c r="P945">
        <v>0.96402399999999999</v>
      </c>
      <c r="Q945">
        <v>0.20563899999999999</v>
      </c>
      <c r="R945">
        <v>-0.168436</v>
      </c>
      <c r="S945">
        <v>2.9294280000000001</v>
      </c>
      <c r="T945">
        <v>-0.1485851</v>
      </c>
      <c r="U945">
        <v>-1.2475889999999901</v>
      </c>
      <c r="V945">
        <v>0.1165805</v>
      </c>
      <c r="W945">
        <v>0.21824789999999999</v>
      </c>
      <c r="X945">
        <v>0.96890500000000002</v>
      </c>
      <c r="Y945">
        <v>0.33960370000000001</v>
      </c>
      <c r="Z945">
        <v>-8.8036209999999993E-3</v>
      </c>
      <c r="AA945">
        <v>0.94052740000000001</v>
      </c>
      <c r="AB945">
        <v>36</v>
      </c>
      <c r="AC945">
        <v>21.818100000000001</v>
      </c>
      <c r="AD945">
        <v>-1.1173846885250001</v>
      </c>
      <c r="AE945">
        <v>-9.3695000000000093</v>
      </c>
      <c r="AF945">
        <v>8.12370434565943</v>
      </c>
      <c r="AG945">
        <v>-1.1173846885250001</v>
      </c>
      <c r="AH945">
        <v>22.256091719531</v>
      </c>
      <c r="AI945">
        <v>92.700195657675096</v>
      </c>
      <c r="AJ945">
        <v>69.947393384772099</v>
      </c>
      <c r="AK945">
        <v>23.7187002060823</v>
      </c>
      <c r="AL945">
        <v>77.393855821910506</v>
      </c>
      <c r="AM945">
        <v>83.139045032663802</v>
      </c>
      <c r="AN945">
        <v>1.0000000289298201</v>
      </c>
    </row>
    <row r="946" spans="1:40" x14ac:dyDescent="0.25">
      <c r="A946" t="str">
        <f>"20190303170957247"</f>
        <v>20190303170957247</v>
      </c>
      <c r="B946" t="str">
        <f>"1551604197241028"</f>
        <v>1551604197241028</v>
      </c>
      <c r="C946" t="s">
        <v>40</v>
      </c>
      <c r="D946">
        <v>4.7487510000000004</v>
      </c>
      <c r="E946">
        <v>0.59941889999999998</v>
      </c>
      <c r="F946" t="s">
        <v>44</v>
      </c>
      <c r="G946">
        <v>-196.4905</v>
      </c>
      <c r="H946" s="1">
        <v>-5.776459E-6</v>
      </c>
      <c r="I946">
        <v>358.03339999999997</v>
      </c>
      <c r="J946">
        <v>-217.77250000000001</v>
      </c>
      <c r="K946">
        <v>1.1172869999999999</v>
      </c>
      <c r="L946">
        <v>367.28039999999999</v>
      </c>
      <c r="M946">
        <v>0.99821170000000004</v>
      </c>
      <c r="N946">
        <v>-1.4093420000000001E-2</v>
      </c>
      <c r="O946">
        <v>-5.809433E-2</v>
      </c>
      <c r="P946">
        <v>0.96351580000000003</v>
      </c>
      <c r="Q946">
        <v>0.20473259999999999</v>
      </c>
      <c r="R946">
        <v>-0.17240150000000001</v>
      </c>
      <c r="S946">
        <v>2.92421</v>
      </c>
      <c r="T946">
        <v>-0.1520571</v>
      </c>
      <c r="U946">
        <v>-1.2602230000000001</v>
      </c>
      <c r="V946">
        <v>0.11818529999999999</v>
      </c>
      <c r="W946">
        <v>0.21730450000000001</v>
      </c>
      <c r="X946">
        <v>0.96892259999999997</v>
      </c>
      <c r="Y946">
        <v>0.34127560000000001</v>
      </c>
      <c r="Z946">
        <v>-8.9052799999999998E-3</v>
      </c>
      <c r="AA946">
        <v>0.93992109999999995</v>
      </c>
      <c r="AB946">
        <v>36</v>
      </c>
      <c r="AC946">
        <v>21.282</v>
      </c>
      <c r="AD946">
        <v>-1.1172927764589999</v>
      </c>
      <c r="AE946">
        <v>-9.2470000000000105</v>
      </c>
      <c r="AF946">
        <v>7.9764002299252397</v>
      </c>
      <c r="AG946">
        <v>-1.1172927764589999</v>
      </c>
      <c r="AH946">
        <v>21.7329137969706</v>
      </c>
      <c r="AI946">
        <v>92.763081340560902</v>
      </c>
      <c r="AJ946">
        <v>69.845885347446</v>
      </c>
      <c r="AK946">
        <v>23.177377890581901</v>
      </c>
      <c r="AL946">
        <v>77.449237631934196</v>
      </c>
      <c r="AM946">
        <v>83.045643703015998</v>
      </c>
      <c r="AN946">
        <v>1.00000000782355</v>
      </c>
    </row>
    <row r="947" spans="1:40" x14ac:dyDescent="0.25">
      <c r="A947" t="str">
        <f>"20190303170957261"</f>
        <v>20190303170957261</v>
      </c>
      <c r="B947" t="str">
        <f>"1551604197251764"</f>
        <v>1551604197251764</v>
      </c>
      <c r="C947" t="s">
        <v>40</v>
      </c>
      <c r="D947">
        <v>4.7446630000000001</v>
      </c>
      <c r="E947">
        <v>0.59954849999999904</v>
      </c>
      <c r="F947" t="s">
        <v>44</v>
      </c>
      <c r="G947">
        <v>-196.57570000000001</v>
      </c>
      <c r="H947" s="1">
        <v>-5.7895299999999998E-6</v>
      </c>
      <c r="I947">
        <v>358.03269999999998</v>
      </c>
      <c r="J947">
        <v>-217.5532</v>
      </c>
      <c r="K947">
        <v>1.1171869999999999</v>
      </c>
      <c r="L947">
        <v>367.2654</v>
      </c>
      <c r="M947">
        <v>0.99805189999999999</v>
      </c>
      <c r="N947">
        <v>-1.4097490000000001E-2</v>
      </c>
      <c r="O947">
        <v>-6.0776480000000001E-2</v>
      </c>
      <c r="P947">
        <v>0.96300580000000002</v>
      </c>
      <c r="Q947">
        <v>0.2038846</v>
      </c>
      <c r="R947">
        <v>-0.17621339999999999</v>
      </c>
      <c r="S947">
        <v>2.9184570000000001</v>
      </c>
      <c r="T947">
        <v>-0.153833</v>
      </c>
      <c r="U947">
        <v>-1.2732540000000001</v>
      </c>
      <c r="V947">
        <v>0.1194516</v>
      </c>
      <c r="W947">
        <v>0.21642149999999999</v>
      </c>
      <c r="X947">
        <v>0.96896490000000002</v>
      </c>
      <c r="Y947">
        <v>0.34294350000000001</v>
      </c>
      <c r="Z947">
        <v>-8.9354099999999995E-3</v>
      </c>
      <c r="AA947">
        <v>0.93931350000000002</v>
      </c>
      <c r="AB947">
        <v>36</v>
      </c>
      <c r="AC947">
        <v>20.9774999999999</v>
      </c>
      <c r="AD947">
        <v>-1.11719278953</v>
      </c>
      <c r="AE947">
        <v>-9.2327000000000208</v>
      </c>
      <c r="AF947">
        <v>7.9217415769090902</v>
      </c>
      <c r="AG947">
        <v>-1.11719278953</v>
      </c>
      <c r="AH947">
        <v>21.448936921106998</v>
      </c>
      <c r="AI947">
        <v>92.797262365279096</v>
      </c>
      <c r="AJ947">
        <v>69.729285896920302</v>
      </c>
      <c r="AK947">
        <v>22.892335057523798</v>
      </c>
      <c r="AL947">
        <v>77.501062590290601</v>
      </c>
      <c r="AM947">
        <v>82.972176084509499</v>
      </c>
      <c r="AN947">
        <v>0.99999996391840895</v>
      </c>
    </row>
    <row r="948" spans="1:40" x14ac:dyDescent="0.25">
      <c r="A948" t="str">
        <f>"20190303170957279"</f>
        <v>20190303170957279</v>
      </c>
      <c r="B948" t="str">
        <f>"1551604197271284"</f>
        <v>1551604197271284</v>
      </c>
      <c r="C948" t="s">
        <v>40</v>
      </c>
      <c r="D948">
        <v>4.755433</v>
      </c>
      <c r="E948">
        <v>0.59976660000000004</v>
      </c>
      <c r="F948" t="s">
        <v>44</v>
      </c>
      <c r="G948">
        <v>-196.71619999999999</v>
      </c>
      <c r="H948" s="1">
        <v>-5.8214669999999998E-6</v>
      </c>
      <c r="I948">
        <v>358.0625</v>
      </c>
      <c r="J948">
        <v>-217.28039999999999</v>
      </c>
      <c r="K948">
        <v>1.117067</v>
      </c>
      <c r="L948">
        <v>367.24579999999997</v>
      </c>
      <c r="M948">
        <v>0.99783829999999996</v>
      </c>
      <c r="N948">
        <v>-1.410263E-2</v>
      </c>
      <c r="O948">
        <v>-6.4189199999999905E-2</v>
      </c>
      <c r="P948">
        <v>0.96229290000000001</v>
      </c>
      <c r="Q948">
        <v>0.2030498</v>
      </c>
      <c r="R948">
        <v>-0.1810068</v>
      </c>
      <c r="S948">
        <v>2.9128880000000001</v>
      </c>
      <c r="T948">
        <v>-0.15617690000000001</v>
      </c>
      <c r="U948">
        <v>-1.2864990000000001</v>
      </c>
      <c r="V948">
        <v>0.12101000000000001</v>
      </c>
      <c r="W948">
        <v>0.2155425</v>
      </c>
      <c r="X948">
        <v>0.96896749999999998</v>
      </c>
      <c r="Y948">
        <v>0.34395700000000001</v>
      </c>
      <c r="Z948">
        <v>-8.9348309999999903E-3</v>
      </c>
      <c r="AA948">
        <v>0.93894290000000002</v>
      </c>
      <c r="AB948">
        <v>36</v>
      </c>
      <c r="AC948">
        <v>20.5642</v>
      </c>
      <c r="AD948">
        <v>-1.117072821467</v>
      </c>
      <c r="AE948">
        <v>-9.1832999999999707</v>
      </c>
      <c r="AF948">
        <v>7.8249765246034899</v>
      </c>
      <c r="AG948">
        <v>-1.117072821467</v>
      </c>
      <c r="AH948">
        <v>21.059499976264998</v>
      </c>
      <c r="AI948">
        <v>92.846530461561301</v>
      </c>
      <c r="AJ948">
        <v>69.616687803141602</v>
      </c>
      <c r="AK948">
        <v>22.494013615834799</v>
      </c>
      <c r="AL948">
        <v>77.552643510266805</v>
      </c>
      <c r="AM948">
        <v>82.881442639901607</v>
      </c>
      <c r="AN948">
        <v>1.0000000027312499</v>
      </c>
    </row>
    <row r="949" spans="1:40" x14ac:dyDescent="0.25">
      <c r="A949" t="str">
        <f>"20190303170957291"</f>
        <v>20190303170957291</v>
      </c>
      <c r="B949" t="str">
        <f>"1551604197281046"</f>
        <v>1551604197281046</v>
      </c>
      <c r="C949" t="s">
        <v>40</v>
      </c>
      <c r="D949">
        <v>4.7451489999999996</v>
      </c>
      <c r="E949">
        <v>0.59981399999999996</v>
      </c>
      <c r="F949" t="s">
        <v>44</v>
      </c>
      <c r="G949">
        <v>-196.6566</v>
      </c>
      <c r="H949" s="1">
        <v>-5.790398E-6</v>
      </c>
      <c r="I949">
        <v>357.99759999999998</v>
      </c>
      <c r="J949">
        <v>-217.0401</v>
      </c>
      <c r="K949">
        <v>1.116959</v>
      </c>
      <c r="L949">
        <v>367.2276</v>
      </c>
      <c r="M949">
        <v>0.99763480000000004</v>
      </c>
      <c r="N949">
        <v>-1.4107649999999999E-2</v>
      </c>
      <c r="O949">
        <v>-6.7274379999999995E-2</v>
      </c>
      <c r="P949">
        <v>0.96105739999999995</v>
      </c>
      <c r="Q949">
        <v>0.2027892</v>
      </c>
      <c r="R949">
        <v>-0.18773790000000001</v>
      </c>
      <c r="S949">
        <v>2.9056850000000001</v>
      </c>
      <c r="T949">
        <v>-0.15738379999999999</v>
      </c>
      <c r="U949">
        <v>-1.3029790000000001</v>
      </c>
      <c r="V949">
        <v>0.1248533</v>
      </c>
      <c r="W949">
        <v>0.2152123</v>
      </c>
      <c r="X949">
        <v>0.9685532</v>
      </c>
      <c r="Y949">
        <v>0.34634670000000001</v>
      </c>
      <c r="Z949">
        <v>-8.9506169999999993E-3</v>
      </c>
      <c r="AA949">
        <v>0.93806389999999995</v>
      </c>
      <c r="AB949">
        <v>36</v>
      </c>
      <c r="AC949">
        <v>20.383500000000002</v>
      </c>
      <c r="AD949">
        <v>-1.116964790398</v>
      </c>
      <c r="AE949">
        <v>-9.2300000000000093</v>
      </c>
      <c r="AF949">
        <v>7.8181800321785202</v>
      </c>
      <c r="AG949">
        <v>-1.116964790398</v>
      </c>
      <c r="AH949">
        <v>20.906221757261498</v>
      </c>
      <c r="AI949">
        <v>92.864842243187496</v>
      </c>
      <c r="AJ949">
        <v>69.495999012048202</v>
      </c>
      <c r="AK949">
        <v>22.348191370272801</v>
      </c>
      <c r="AL949">
        <v>77.572017112196605</v>
      </c>
      <c r="AM949">
        <v>82.654679243436505</v>
      </c>
      <c r="AN949">
        <v>0.99999999091120995</v>
      </c>
    </row>
    <row r="950" spans="1:40" x14ac:dyDescent="0.25">
      <c r="A950" t="str">
        <f>"20190303170957310"</f>
        <v>20190303170957310</v>
      </c>
      <c r="B950" t="str">
        <f>"1551604197301071"</f>
        <v>1551604197301071</v>
      </c>
      <c r="C950" t="s">
        <v>40</v>
      </c>
      <c r="D950">
        <v>4.7549900000000003</v>
      </c>
      <c r="E950">
        <v>0.59988619999999904</v>
      </c>
      <c r="F950" t="s">
        <v>44</v>
      </c>
      <c r="G950">
        <v>-196.65790000000001</v>
      </c>
      <c r="H950" s="1">
        <v>-5.763794E-6</v>
      </c>
      <c r="I950">
        <v>357.91739999999999</v>
      </c>
      <c r="J950">
        <v>-216.7422</v>
      </c>
      <c r="K950">
        <v>1.11683</v>
      </c>
      <c r="L950">
        <v>367.20389999999998</v>
      </c>
      <c r="M950">
        <v>0.99736340000000001</v>
      </c>
      <c r="N950">
        <v>-1.411423E-2</v>
      </c>
      <c r="O950">
        <v>-7.1184200000000003E-2</v>
      </c>
      <c r="P950">
        <v>0.95939920000000001</v>
      </c>
      <c r="Q950">
        <v>0.2030382</v>
      </c>
      <c r="R950">
        <v>-0.19577820000000001</v>
      </c>
      <c r="S950">
        <v>2.8965610000000002</v>
      </c>
      <c r="T950">
        <v>-0.1587346</v>
      </c>
      <c r="U950">
        <v>-1.3230900000000001</v>
      </c>
      <c r="V950">
        <v>0.12925029999999901</v>
      </c>
      <c r="W950">
        <v>0.21537580000000001</v>
      </c>
      <c r="X950">
        <v>0.96793989999999996</v>
      </c>
      <c r="Y950">
        <v>0.34916419999999998</v>
      </c>
      <c r="Z950">
        <v>-8.9555169999999996E-3</v>
      </c>
      <c r="AA950">
        <v>0.93701880000000004</v>
      </c>
      <c r="AB950">
        <v>36</v>
      </c>
      <c r="AC950">
        <v>20.084299999999899</v>
      </c>
      <c r="AD950">
        <v>-1.1168357637940001</v>
      </c>
      <c r="AE950">
        <v>-9.2864999999999895</v>
      </c>
      <c r="AF950">
        <v>7.8132055894906198</v>
      </c>
      <c r="AG950">
        <v>-1.1168357637940001</v>
      </c>
      <c r="AH950">
        <v>20.6418716070717</v>
      </c>
      <c r="AI950">
        <v>92.896795815200804</v>
      </c>
      <c r="AJ950">
        <v>69.267721279291194</v>
      </c>
      <c r="AK950">
        <v>22.0993295633548</v>
      </c>
      <c r="AL950">
        <v>77.562424568149495</v>
      </c>
      <c r="AM950">
        <v>82.394210830647907</v>
      </c>
      <c r="AN950">
        <v>1.00000001264387</v>
      </c>
    </row>
    <row r="951" spans="1:40" x14ac:dyDescent="0.25">
      <c r="A951" t="str">
        <f>"20190303170957325"</f>
        <v>20190303170957325</v>
      </c>
      <c r="B951" t="str">
        <f>"1551604197311806"</f>
        <v>1551604197311806</v>
      </c>
      <c r="C951" t="s">
        <v>40</v>
      </c>
      <c r="D951">
        <v>4.774851</v>
      </c>
      <c r="E951">
        <v>0.59984680000000001</v>
      </c>
      <c r="F951" t="s">
        <v>44</v>
      </c>
      <c r="G951">
        <v>-196.59690000000001</v>
      </c>
      <c r="H951" s="1">
        <v>-5.7186800000000003E-6</v>
      </c>
      <c r="I951">
        <v>357.81110000000001</v>
      </c>
      <c r="J951">
        <v>-216.52269999999999</v>
      </c>
      <c r="K951">
        <v>1.11673</v>
      </c>
      <c r="L951">
        <v>367.1857</v>
      </c>
      <c r="M951">
        <v>0.99714760000000002</v>
      </c>
      <c r="N951">
        <v>-1.411948E-2</v>
      </c>
      <c r="O951">
        <v>-7.4145409999999995E-2</v>
      </c>
      <c r="P951">
        <v>0.95844039999999997</v>
      </c>
      <c r="Q951">
        <v>0.20313990000000001</v>
      </c>
      <c r="R951">
        <v>-0.20031560000000001</v>
      </c>
      <c r="S951">
        <v>2.8862000000000001</v>
      </c>
      <c r="T951">
        <v>-0.16000829999999999</v>
      </c>
      <c r="U951">
        <v>-1.3457030000000001</v>
      </c>
      <c r="V951">
        <v>0.13101559999999901</v>
      </c>
      <c r="W951">
        <v>0.2154298</v>
      </c>
      <c r="X951">
        <v>0.96769050000000001</v>
      </c>
      <c r="Y951">
        <v>0.3536839</v>
      </c>
      <c r="Z951">
        <v>-9.0507260000000003E-3</v>
      </c>
      <c r="AA951">
        <v>0.93532119999999996</v>
      </c>
      <c r="AB951">
        <v>36</v>
      </c>
      <c r="AC951">
        <v>19.925799999999899</v>
      </c>
      <c r="AD951">
        <v>-1.11673571867999</v>
      </c>
      <c r="AE951">
        <v>-9.3745999999999796</v>
      </c>
      <c r="AF951">
        <v>7.8510459947496498</v>
      </c>
      <c r="AG951">
        <v>-1.11673571867999</v>
      </c>
      <c r="AH951">
        <v>20.513339539905601</v>
      </c>
      <c r="AI951">
        <v>92.910578899754199</v>
      </c>
      <c r="AJ951">
        <v>69.056711820163201</v>
      </c>
      <c r="AK951">
        <v>21.992797024401099</v>
      </c>
      <c r="AL951">
        <v>77.559255996768499</v>
      </c>
      <c r="AM951">
        <v>82.289608943256297</v>
      </c>
      <c r="AN951">
        <v>0.99999999498082504</v>
      </c>
    </row>
    <row r="952" spans="1:40" x14ac:dyDescent="0.25">
      <c r="A952" t="str">
        <f>"20190303170957339"</f>
        <v>20190303170957339</v>
      </c>
      <c r="B952" t="str">
        <f>"1551604197331326"</f>
        <v>1551604197331326</v>
      </c>
      <c r="C952" t="s">
        <v>40</v>
      </c>
      <c r="D952">
        <v>4.7864870000000002</v>
      </c>
      <c r="E952">
        <v>0.59986589999999995</v>
      </c>
      <c r="F952" t="s">
        <v>44</v>
      </c>
      <c r="G952">
        <v>-196.4049</v>
      </c>
      <c r="H952" s="1">
        <v>-5.6499370000000003E-6</v>
      </c>
      <c r="I952">
        <v>357.69540000000001</v>
      </c>
      <c r="J952">
        <v>-216.28200000000001</v>
      </c>
      <c r="K952">
        <v>1.1166149999999999</v>
      </c>
      <c r="L952">
        <v>367.16500000000002</v>
      </c>
      <c r="M952">
        <v>0.99689499999999998</v>
      </c>
      <c r="N952">
        <v>-1.412569E-2</v>
      </c>
      <c r="O952">
        <v>-7.7465549999999994E-2</v>
      </c>
      <c r="P952">
        <v>0.95744280000000004</v>
      </c>
      <c r="Q952">
        <v>0.20313529999999999</v>
      </c>
      <c r="R952">
        <v>-0.20503550000000001</v>
      </c>
      <c r="S952">
        <v>2.88002</v>
      </c>
      <c r="T952">
        <v>-0.15986919999999999</v>
      </c>
      <c r="U952">
        <v>-1.3586119999999999</v>
      </c>
      <c r="V952">
        <v>0.13262589999999999</v>
      </c>
      <c r="W952">
        <v>0.21537390000000001</v>
      </c>
      <c r="X952">
        <v>0.9674836</v>
      </c>
      <c r="Y952">
        <v>0.35477360000000002</v>
      </c>
      <c r="Z952">
        <v>-8.9637280000000007E-3</v>
      </c>
      <c r="AA952">
        <v>0.93490930000000005</v>
      </c>
      <c r="AB952">
        <v>36</v>
      </c>
      <c r="AC952">
        <v>19.877099999999999</v>
      </c>
      <c r="AD952">
        <v>-1.1166206499369999</v>
      </c>
      <c r="AE952">
        <v>-9.4696000000000105</v>
      </c>
      <c r="AF952">
        <v>7.8809245327437498</v>
      </c>
      <c r="AG952">
        <v>-1.1166206499369999</v>
      </c>
      <c r="AH952">
        <v>20.498277037956001</v>
      </c>
      <c r="AI952">
        <v>92.910724310041701</v>
      </c>
      <c r="AJ952">
        <v>68.969862795605394</v>
      </c>
      <c r="AK952">
        <v>21.989433250801699</v>
      </c>
      <c r="AL952">
        <v>77.562536280979501</v>
      </c>
      <c r="AM952">
        <v>82.194353722554496</v>
      </c>
      <c r="AN952">
        <v>1.00000003121048</v>
      </c>
    </row>
    <row r="953" spans="1:40" x14ac:dyDescent="0.25">
      <c r="A953" t="str">
        <f>"20190303170957350"</f>
        <v>20190303170957350</v>
      </c>
      <c r="B953" t="str">
        <f>"1551604197341086"</f>
        <v>1551604197341086</v>
      </c>
      <c r="C953" t="s">
        <v>40</v>
      </c>
      <c r="D953">
        <v>4.8042290000000003</v>
      </c>
      <c r="E953">
        <v>0.59988149999999996</v>
      </c>
      <c r="F953" t="s">
        <v>44</v>
      </c>
      <c r="G953">
        <v>-196.1516</v>
      </c>
      <c r="H953" s="1">
        <v>-5.5590779999999997E-6</v>
      </c>
      <c r="I953">
        <v>357.5421</v>
      </c>
      <c r="J953">
        <v>-216.08680000000001</v>
      </c>
      <c r="K953">
        <v>1.1165130000000001</v>
      </c>
      <c r="L953">
        <v>367.1474</v>
      </c>
      <c r="M953">
        <v>0.99667519999999998</v>
      </c>
      <c r="N953">
        <v>-1.4131970000000001E-2</v>
      </c>
      <c r="O953">
        <v>-8.0242110000000005E-2</v>
      </c>
      <c r="P953">
        <v>0.95677679999999998</v>
      </c>
      <c r="Q953">
        <v>0.2024734</v>
      </c>
      <c r="R953">
        <v>-0.20876449999999999</v>
      </c>
      <c r="S953">
        <v>2.8730470000000001</v>
      </c>
      <c r="T953">
        <v>-0.1593657</v>
      </c>
      <c r="U953">
        <v>-1.373383</v>
      </c>
      <c r="V953">
        <v>0.1337392</v>
      </c>
      <c r="W953">
        <v>0.21467310000000001</v>
      </c>
      <c r="X953">
        <v>0.96748610000000002</v>
      </c>
      <c r="Y953">
        <v>0.35696450000000002</v>
      </c>
      <c r="Z953">
        <v>-8.9239390000000005E-3</v>
      </c>
      <c r="AA953">
        <v>0.9340754</v>
      </c>
      <c r="AB953">
        <v>36</v>
      </c>
      <c r="AC953">
        <v>19.935199999999998</v>
      </c>
      <c r="AD953">
        <v>-1.11651855907799</v>
      </c>
      <c r="AE953">
        <v>-9.6052999999999997</v>
      </c>
      <c r="AF953">
        <v>7.9542682769504101</v>
      </c>
      <c r="AG953">
        <v>-1.11651855907799</v>
      </c>
      <c r="AH953">
        <v>20.5893143306808</v>
      </c>
      <c r="AI953">
        <v>92.895804734456505</v>
      </c>
      <c r="AJ953">
        <v>68.876961473202599</v>
      </c>
      <c r="AK953">
        <v>22.100607731961698</v>
      </c>
      <c r="AL953">
        <v>77.603650909583095</v>
      </c>
      <c r="AM953">
        <v>82.129668729717196</v>
      </c>
      <c r="AN953">
        <v>1.0000000335867201</v>
      </c>
    </row>
    <row r="954" spans="1:40" x14ac:dyDescent="0.25">
      <c r="A954" t="str">
        <f>"20190303170957363"</f>
        <v>20190303170957363</v>
      </c>
      <c r="B954" t="str">
        <f>"1551604197351822"</f>
        <v>1551604197351822</v>
      </c>
      <c r="C954" t="s">
        <v>40</v>
      </c>
      <c r="D954">
        <v>4.7613599999999998</v>
      </c>
      <c r="E954">
        <v>0.59988430000000004</v>
      </c>
      <c r="F954" t="s">
        <v>44</v>
      </c>
      <c r="G954">
        <v>-196.1643</v>
      </c>
      <c r="H954" s="1">
        <v>-5.5550290000000003E-6</v>
      </c>
      <c r="I954">
        <v>357.52409999999998</v>
      </c>
      <c r="J954">
        <v>-215.904</v>
      </c>
      <c r="K954">
        <v>1.1164130000000001</v>
      </c>
      <c r="L954">
        <v>367.13049999999998</v>
      </c>
      <c r="M954">
        <v>0.99645760000000005</v>
      </c>
      <c r="N954">
        <v>-1.4138599999999999E-2</v>
      </c>
      <c r="O954">
        <v>-8.2899420000000001E-2</v>
      </c>
      <c r="P954">
        <v>0.95601990000000003</v>
      </c>
      <c r="Q954">
        <v>0.20200799999999999</v>
      </c>
      <c r="R954">
        <v>-0.21264640000000001</v>
      </c>
      <c r="S954">
        <v>2.8673549999999999</v>
      </c>
      <c r="T954">
        <v>-0.16069559999999999</v>
      </c>
      <c r="U954">
        <v>-1.38504</v>
      </c>
      <c r="V954">
        <v>0.13512950000000001</v>
      </c>
      <c r="W954">
        <v>0.2141644</v>
      </c>
      <c r="X954">
        <v>0.96740559999999998</v>
      </c>
      <c r="Y954">
        <v>0.3582709</v>
      </c>
      <c r="Z954">
        <v>-8.9165960000000006E-3</v>
      </c>
      <c r="AA954">
        <v>0.93357509999999999</v>
      </c>
      <c r="AB954">
        <v>36</v>
      </c>
      <c r="AC954">
        <v>19.739699999999999</v>
      </c>
      <c r="AD954">
        <v>-1.11641855502899</v>
      </c>
      <c r="AE954">
        <v>-9.6064000000000007</v>
      </c>
      <c r="AF954">
        <v>7.91628097952188</v>
      </c>
      <c r="AG954">
        <v>-1.11641855502899</v>
      </c>
      <c r="AH954">
        <v>20.415387058150301</v>
      </c>
      <c r="AI954">
        <v>92.918768187202403</v>
      </c>
      <c r="AJ954">
        <v>68.805673964202001</v>
      </c>
      <c r="AK954">
        <v>21.924915590962801</v>
      </c>
      <c r="AL954">
        <v>77.633490675234398</v>
      </c>
      <c r="AM954">
        <v>82.048239805574198</v>
      </c>
      <c r="AN954">
        <v>0.99999998345448404</v>
      </c>
    </row>
    <row r="955" spans="1:40" x14ac:dyDescent="0.25">
      <c r="A955" t="str">
        <f>"20190303170957377"</f>
        <v>20190303170957377</v>
      </c>
      <c r="B955" t="str">
        <f>"1551604197371342"</f>
        <v>1551604197371342</v>
      </c>
      <c r="C955" t="s">
        <v>40</v>
      </c>
      <c r="D955">
        <v>4.7872389999999996</v>
      </c>
      <c r="E955">
        <v>0.59995889999999996</v>
      </c>
      <c r="F955" t="s">
        <v>44</v>
      </c>
      <c r="G955">
        <v>-196.16970000000001</v>
      </c>
      <c r="H955" s="1">
        <v>-5.5467620000000002E-6</v>
      </c>
      <c r="I955">
        <v>357.49689999999998</v>
      </c>
      <c r="J955">
        <v>-215.6842</v>
      </c>
      <c r="K955">
        <v>1.116285</v>
      </c>
      <c r="L955">
        <v>367.1096</v>
      </c>
      <c r="M955">
        <v>0.99618209999999996</v>
      </c>
      <c r="N955">
        <v>-1.414694E-2</v>
      </c>
      <c r="O955">
        <v>-8.6145869999999999E-2</v>
      </c>
      <c r="P955">
        <v>0.95515000000000005</v>
      </c>
      <c r="Q955">
        <v>0.20156950000000001</v>
      </c>
      <c r="R955">
        <v>-0.2169287</v>
      </c>
      <c r="S955">
        <v>2.8614959999999998</v>
      </c>
      <c r="T955">
        <v>-0.16188229999999901</v>
      </c>
      <c r="U955">
        <v>-1.396881</v>
      </c>
      <c r="V955">
        <v>0.13636779999999901</v>
      </c>
      <c r="W955">
        <v>0.2136786</v>
      </c>
      <c r="X955">
        <v>0.96733930000000001</v>
      </c>
      <c r="Y955">
        <v>0.35909609999999997</v>
      </c>
      <c r="Z955">
        <v>-8.8641029999999999E-3</v>
      </c>
      <c r="AA955">
        <v>0.93325849999999999</v>
      </c>
      <c r="AB955">
        <v>36</v>
      </c>
      <c r="AC955">
        <v>19.514500000000002</v>
      </c>
      <c r="AD955">
        <v>-1.1162905467619999</v>
      </c>
      <c r="AE955">
        <v>-9.6127000000000091</v>
      </c>
      <c r="AF955">
        <v>7.8749594300974799</v>
      </c>
      <c r="AG955">
        <v>-1.1162905467619999</v>
      </c>
      <c r="AH955">
        <v>20.216882197838402</v>
      </c>
      <c r="AI955">
        <v>92.945288182873995</v>
      </c>
      <c r="AJ955">
        <v>68.717895861851204</v>
      </c>
      <c r="AK955">
        <v>21.725179318287498</v>
      </c>
      <c r="AL955">
        <v>77.661985047577602</v>
      </c>
      <c r="AM955">
        <v>81.975773416683296</v>
      </c>
      <c r="AN955">
        <v>1.00000002114964</v>
      </c>
    </row>
    <row r="956" spans="1:40" x14ac:dyDescent="0.25">
      <c r="A956" t="str">
        <f>"20190303170957388"</f>
        <v>20190303170957388</v>
      </c>
      <c r="B956" t="str">
        <f>"1551604197381102"</f>
        <v>1551604197381102</v>
      </c>
      <c r="C956" t="s">
        <v>40</v>
      </c>
      <c r="D956">
        <v>4.7843689999999999</v>
      </c>
      <c r="E956">
        <v>0.60001470000000001</v>
      </c>
      <c r="F956" t="s">
        <v>44</v>
      </c>
      <c r="G956">
        <v>-196.15649999999999</v>
      </c>
      <c r="H956" s="1">
        <v>-5.5327189999999999E-6</v>
      </c>
      <c r="I956">
        <v>357.46109999999999</v>
      </c>
      <c r="J956">
        <v>-215.47399999999999</v>
      </c>
      <c r="K956">
        <v>1.116152</v>
      </c>
      <c r="L956">
        <v>367.08850000000001</v>
      </c>
      <c r="M956">
        <v>0.99589660000000002</v>
      </c>
      <c r="N956">
        <v>-1.4156169999999999E-2</v>
      </c>
      <c r="O956">
        <v>-8.9385010000000001E-2</v>
      </c>
      <c r="P956">
        <v>0.95406150000000001</v>
      </c>
      <c r="Q956">
        <v>0.2010371</v>
      </c>
      <c r="R956">
        <v>-0.22215029999999999</v>
      </c>
      <c r="S956">
        <v>2.854965</v>
      </c>
      <c r="T956">
        <v>-0.1632024</v>
      </c>
      <c r="U956">
        <v>-1.410614</v>
      </c>
      <c r="V956">
        <v>0.13856969999999999</v>
      </c>
      <c r="W956">
        <v>0.21308369999999999</v>
      </c>
      <c r="X956">
        <v>0.9671575</v>
      </c>
      <c r="Y956">
        <v>0.36050959999999899</v>
      </c>
      <c r="Z956">
        <v>-8.8347619999999995E-3</v>
      </c>
      <c r="AA956">
        <v>0.93271369999999998</v>
      </c>
      <c r="AB956">
        <v>36</v>
      </c>
      <c r="AC956">
        <v>19.317499999999999</v>
      </c>
      <c r="AD956">
        <v>-1.1161575327190001</v>
      </c>
      <c r="AE956">
        <v>-9.6274000000000193</v>
      </c>
      <c r="AF956">
        <v>7.84101847898296</v>
      </c>
      <c r="AG956">
        <v>-1.1161575327190001</v>
      </c>
      <c r="AH956">
        <v>20.047179608118</v>
      </c>
      <c r="AI956">
        <v>92.968212245464798</v>
      </c>
      <c r="AJ956">
        <v>68.638127641594807</v>
      </c>
      <c r="AK956">
        <v>21.554971321385199</v>
      </c>
      <c r="AL956">
        <v>77.696872657490005</v>
      </c>
      <c r="AM956">
        <v>81.846424254638507</v>
      </c>
      <c r="AN956">
        <v>0.99999992738501198</v>
      </c>
    </row>
    <row r="957" spans="1:40" x14ac:dyDescent="0.25">
      <c r="A957" t="str">
        <f>"20190303170957402"</f>
        <v>20190303170957402</v>
      </c>
      <c r="B957" t="str">
        <f>"1551604197391839"</f>
        <v>1551604197391839</v>
      </c>
      <c r="C957" t="s">
        <v>40</v>
      </c>
      <c r="D957">
        <v>4.7706540000000004</v>
      </c>
      <c r="E957">
        <v>0.60001959999999999</v>
      </c>
      <c r="F957" t="s">
        <v>44</v>
      </c>
      <c r="G957">
        <v>-196.2166</v>
      </c>
      <c r="H957" s="1">
        <v>-5.5363270000000004E-6</v>
      </c>
      <c r="I957">
        <v>357.44380000000001</v>
      </c>
      <c r="J957">
        <v>-215.27850000000001</v>
      </c>
      <c r="K957">
        <v>1.116031</v>
      </c>
      <c r="L957">
        <v>367.0684</v>
      </c>
      <c r="M957">
        <v>0.99561650000000002</v>
      </c>
      <c r="N957">
        <v>-1.4164950000000001E-2</v>
      </c>
      <c r="O957">
        <v>-9.2450749999999998E-2</v>
      </c>
      <c r="P957">
        <v>0.95312129999999995</v>
      </c>
      <c r="Q957">
        <v>0.20107939999999999</v>
      </c>
      <c r="R957">
        <v>-0.2261127</v>
      </c>
      <c r="S957">
        <v>2.8471980000000001</v>
      </c>
      <c r="T957">
        <v>-0.16502429999999901</v>
      </c>
      <c r="U957">
        <v>-1.425964</v>
      </c>
      <c r="V957">
        <v>0.13967779999999999</v>
      </c>
      <c r="W957">
        <v>0.21307909999999999</v>
      </c>
      <c r="X957">
        <v>0.96699919999999995</v>
      </c>
      <c r="Y957">
        <v>0.36266389999999998</v>
      </c>
      <c r="Z957">
        <v>-8.8521769999999993E-3</v>
      </c>
      <c r="AA957">
        <v>0.93187799999999998</v>
      </c>
      <c r="AB957">
        <v>36</v>
      </c>
      <c r="AC957">
        <v>19.061900000000001</v>
      </c>
      <c r="AD957">
        <v>-1.116036536327</v>
      </c>
      <c r="AE957">
        <v>-9.6245999999999796</v>
      </c>
      <c r="AF957">
        <v>7.79960358129855</v>
      </c>
      <c r="AG957">
        <v>-1.116036536327</v>
      </c>
      <c r="AH957">
        <v>19.816009567661698</v>
      </c>
      <c r="AI957">
        <v>92.999932114083407</v>
      </c>
      <c r="AJ957">
        <v>68.5153454885494</v>
      </c>
      <c r="AK957">
        <v>21.324952256956699</v>
      </c>
      <c r="AL957">
        <v>77.697143592135106</v>
      </c>
      <c r="AM957">
        <v>81.780782754457803</v>
      </c>
      <c r="AN957">
        <v>1.0000000217351399</v>
      </c>
    </row>
    <row r="958" spans="1:40" x14ac:dyDescent="0.25">
      <c r="A958" t="str">
        <f>"20190303170957415"</f>
        <v>20190303170957415</v>
      </c>
      <c r="B958" t="str">
        <f>"1551604197401129"</f>
        <v>1551604197401129</v>
      </c>
      <c r="C958" t="s">
        <v>40</v>
      </c>
      <c r="D958">
        <v>4.8052780000000004</v>
      </c>
      <c r="E958">
        <v>0.59998450000000003</v>
      </c>
      <c r="F958" t="s">
        <v>44</v>
      </c>
      <c r="G958">
        <v>-196.0926</v>
      </c>
      <c r="H958" s="1">
        <v>-5.48816E-6</v>
      </c>
      <c r="I958">
        <v>357.3578</v>
      </c>
      <c r="J958">
        <v>-215.0471</v>
      </c>
      <c r="K958">
        <v>1.1158840000000001</v>
      </c>
      <c r="L958">
        <v>367.04379999999998</v>
      </c>
      <c r="M958">
        <v>0.99526460000000005</v>
      </c>
      <c r="N958">
        <v>-1.417581E-2</v>
      </c>
      <c r="O958">
        <v>-9.6163150000000003E-2</v>
      </c>
      <c r="P958">
        <v>0.95200260000000003</v>
      </c>
      <c r="Q958">
        <v>0.20133809999999999</v>
      </c>
      <c r="R958">
        <v>-0.2305516</v>
      </c>
      <c r="S958">
        <v>2.8412630000000001</v>
      </c>
      <c r="T958">
        <v>-0.16527549999999999</v>
      </c>
      <c r="U958">
        <v>-1.4380489999999999</v>
      </c>
      <c r="V958">
        <v>0.14066400000000001</v>
      </c>
      <c r="W958">
        <v>0.21328459999999999</v>
      </c>
      <c r="X958">
        <v>0.96681090000000003</v>
      </c>
      <c r="Y958">
        <v>0.36312879999999997</v>
      </c>
      <c r="Z958">
        <v>-8.7351129999999992E-3</v>
      </c>
      <c r="AA958">
        <v>0.93169800000000003</v>
      </c>
      <c r="AB958">
        <v>36</v>
      </c>
      <c r="AC958">
        <v>18.954499999999999</v>
      </c>
      <c r="AD958">
        <v>-1.1158894881599899</v>
      </c>
      <c r="AE958">
        <v>-9.6859999999999804</v>
      </c>
      <c r="AF958">
        <v>7.79676688534032</v>
      </c>
      <c r="AG958">
        <v>-1.1158894881599899</v>
      </c>
      <c r="AH958">
        <v>19.743907987946098</v>
      </c>
      <c r="AI958">
        <v>93.009145123026698</v>
      </c>
      <c r="AJ958">
        <v>68.451193542284798</v>
      </c>
      <c r="AK958">
        <v>21.256920892984699</v>
      </c>
      <c r="AL958">
        <v>77.685091995319695</v>
      </c>
      <c r="AM958">
        <v>81.721962218037703</v>
      </c>
      <c r="AN958">
        <v>0.99999999892598401</v>
      </c>
    </row>
    <row r="959" spans="1:40" x14ac:dyDescent="0.25">
      <c r="A959" t="str">
        <f>"20190303170957429"</f>
        <v>20190303170957429</v>
      </c>
      <c r="B959" t="str">
        <f>"1551604197421627"</f>
        <v>1551604197421627</v>
      </c>
      <c r="C959" t="s">
        <v>40</v>
      </c>
      <c r="D959">
        <v>4.7846190000000002</v>
      </c>
      <c r="E959">
        <v>0.5999833</v>
      </c>
      <c r="F959" t="s">
        <v>44</v>
      </c>
      <c r="G959">
        <v>-195.8366</v>
      </c>
      <c r="H959" s="1">
        <v>-5.3987969999999898E-6</v>
      </c>
      <c r="I959">
        <v>357.21030000000002</v>
      </c>
      <c r="J959">
        <v>-214.83410000000001</v>
      </c>
      <c r="K959">
        <v>1.1157440000000001</v>
      </c>
      <c r="L959">
        <v>367.02</v>
      </c>
      <c r="M959">
        <v>0.99491379999999996</v>
      </c>
      <c r="N959">
        <v>-1.418696E-2</v>
      </c>
      <c r="O959">
        <v>-9.9728349999999993E-2</v>
      </c>
      <c r="P959">
        <v>0.95093099999999997</v>
      </c>
      <c r="Q959">
        <v>0.20147229999999999</v>
      </c>
      <c r="R959">
        <v>-0.23481879999999999</v>
      </c>
      <c r="S959">
        <v>2.8346710000000002</v>
      </c>
      <c r="T959">
        <v>-0.16465949999999999</v>
      </c>
      <c r="U959">
        <v>-1.4510190000000001</v>
      </c>
      <c r="V959">
        <v>0.141615299999999</v>
      </c>
      <c r="W959">
        <v>0.2133679</v>
      </c>
      <c r="X959">
        <v>0.9666536</v>
      </c>
      <c r="Y959">
        <v>0.36405159999999998</v>
      </c>
      <c r="Z959">
        <v>-8.6162749999999996E-3</v>
      </c>
      <c r="AA959">
        <v>0.93133900000000003</v>
      </c>
      <c r="AB959">
        <v>36</v>
      </c>
      <c r="AC959">
        <v>18.997499999999999</v>
      </c>
      <c r="AD959">
        <v>-1.115749398797</v>
      </c>
      <c r="AE959">
        <v>-9.8096999999999603</v>
      </c>
      <c r="AF959">
        <v>7.8446433289914399</v>
      </c>
      <c r="AG959">
        <v>-1.115749398797</v>
      </c>
      <c r="AH959">
        <v>19.827181636745799</v>
      </c>
      <c r="AI959">
        <v>92.995381394986794</v>
      </c>
      <c r="AJ959">
        <v>68.413724188008004</v>
      </c>
      <c r="AK959">
        <v>21.351825620693798</v>
      </c>
      <c r="AL959">
        <v>77.680206419896905</v>
      </c>
      <c r="AM959">
        <v>81.665425070337506</v>
      </c>
      <c r="AN959">
        <v>0.99999996816872905</v>
      </c>
    </row>
    <row r="960" spans="1:40" x14ac:dyDescent="0.25">
      <c r="A960" t="str">
        <f>"20190303170957442"</f>
        <v>20190303170957442</v>
      </c>
      <c r="B960" t="str">
        <f>"1551604197431386"</f>
        <v>1551604197431386</v>
      </c>
      <c r="C960" t="s">
        <v>40</v>
      </c>
      <c r="D960">
        <v>4.8176019999999999</v>
      </c>
      <c r="E960">
        <v>0.59999789999999997</v>
      </c>
      <c r="F960" t="s">
        <v>44</v>
      </c>
      <c r="G960">
        <v>-195.62860000000001</v>
      </c>
      <c r="H960" s="1">
        <v>-5.3234749999999999E-6</v>
      </c>
      <c r="I960">
        <v>357.08229999999998</v>
      </c>
      <c r="J960">
        <v>-214.6301</v>
      </c>
      <c r="K960">
        <v>1.115604</v>
      </c>
      <c r="L960">
        <v>366.99650000000003</v>
      </c>
      <c r="M960">
        <v>0.99455760000000004</v>
      </c>
      <c r="N960">
        <v>-1.4197909999999999E-2</v>
      </c>
      <c r="O960">
        <v>-0.1032179</v>
      </c>
      <c r="P960">
        <v>0.9498934</v>
      </c>
      <c r="Q960">
        <v>0.20159830000000001</v>
      </c>
      <c r="R960">
        <v>-0.23887420000000001</v>
      </c>
      <c r="S960">
        <v>2.8282470000000002</v>
      </c>
      <c r="T960">
        <v>-0.16430799999999901</v>
      </c>
      <c r="U960">
        <v>-1.4634400000000001</v>
      </c>
      <c r="V960">
        <v>0.14242729999999901</v>
      </c>
      <c r="W960">
        <v>0.21344569999999999</v>
      </c>
      <c r="X960">
        <v>0.96651719999999997</v>
      </c>
      <c r="Y960">
        <v>0.3648769</v>
      </c>
      <c r="Z960">
        <v>-8.5049679999999999E-3</v>
      </c>
      <c r="AA960">
        <v>0.93101690000000004</v>
      </c>
      <c r="AB960">
        <v>36</v>
      </c>
      <c r="AC960">
        <v>19.0015</v>
      </c>
      <c r="AD960">
        <v>-1.115609323475</v>
      </c>
      <c r="AE960">
        <v>-9.9142000000000507</v>
      </c>
      <c r="AF960">
        <v>7.8783967953810903</v>
      </c>
      <c r="AG960">
        <v>-1.115609323475</v>
      </c>
      <c r="AH960">
        <v>19.869578241972501</v>
      </c>
      <c r="AI960">
        <v>92.987754393017894</v>
      </c>
      <c r="AJ960">
        <v>68.371402412073607</v>
      </c>
      <c r="AK960">
        <v>21.403594551896202</v>
      </c>
      <c r="AL960">
        <v>77.675644726319504</v>
      </c>
      <c r="AM960">
        <v>81.617146853535303</v>
      </c>
      <c r="AN960">
        <v>1.0000000502648001</v>
      </c>
    </row>
    <row r="961" spans="1:40" x14ac:dyDescent="0.25">
      <c r="A961" t="str">
        <f>"20190303170957454"</f>
        <v>20190303170957454</v>
      </c>
      <c r="B961" t="str">
        <f>"1551604197441145"</f>
        <v>1551604197441145</v>
      </c>
      <c r="C961" t="s">
        <v>40</v>
      </c>
      <c r="D961">
        <v>4.8085930000000001</v>
      </c>
      <c r="E961">
        <v>0.59996839999999996</v>
      </c>
      <c r="F961" t="s">
        <v>44</v>
      </c>
      <c r="G961">
        <v>-195.477</v>
      </c>
      <c r="H961" s="1">
        <v>-5.2673170000000002E-6</v>
      </c>
      <c r="I961">
        <v>356.9853</v>
      </c>
      <c r="J961">
        <v>-214.4237</v>
      </c>
      <c r="K961">
        <v>1.115456</v>
      </c>
      <c r="L961">
        <v>366.97210000000001</v>
      </c>
      <c r="M961">
        <v>0.99417529999999998</v>
      </c>
      <c r="N961">
        <v>-1.420942E-2</v>
      </c>
      <c r="O961">
        <v>-0.10683520000000001</v>
      </c>
      <c r="P961">
        <v>0.94890039999999998</v>
      </c>
      <c r="Q961">
        <v>0.2013943</v>
      </c>
      <c r="R961">
        <v>-0.24295829999999999</v>
      </c>
      <c r="S961">
        <v>2.8222049999999999</v>
      </c>
      <c r="T961">
        <v>-0.16438539999999999</v>
      </c>
      <c r="U961">
        <v>-1.4751590000000001</v>
      </c>
      <c r="V961">
        <v>0.1431385</v>
      </c>
      <c r="W961">
        <v>0.2131933</v>
      </c>
      <c r="X961">
        <v>0.96646779999999999</v>
      </c>
      <c r="Y961">
        <v>0.365346</v>
      </c>
      <c r="Z961">
        <v>-8.3873909999999992E-3</v>
      </c>
      <c r="AA961">
        <v>0.93083400000000005</v>
      </c>
      <c r="AB961">
        <v>36</v>
      </c>
      <c r="AC961">
        <v>18.9467</v>
      </c>
      <c r="AD961">
        <v>-1.1154612673169999</v>
      </c>
      <c r="AE961">
        <v>-9.9868000000000094</v>
      </c>
      <c r="AF961">
        <v>7.88386786419463</v>
      </c>
      <c r="AG961">
        <v>-1.1154612673169999</v>
      </c>
      <c r="AH961">
        <v>19.851443864794199</v>
      </c>
      <c r="AI961">
        <v>92.989430041240695</v>
      </c>
      <c r="AJ961">
        <v>68.339830248853701</v>
      </c>
      <c r="AK961">
        <v>21.3887692459394</v>
      </c>
      <c r="AL961">
        <v>77.690446396988307</v>
      </c>
      <c r="AM961">
        <v>81.575462492554493</v>
      </c>
      <c r="AN961">
        <v>1.00000001089199</v>
      </c>
    </row>
    <row r="962" spans="1:40" x14ac:dyDescent="0.25">
      <c r="A962" t="str">
        <f>"20190303170957469"</f>
        <v>20190303170957469</v>
      </c>
      <c r="B962" t="str">
        <f>"1551604197461640"</f>
        <v>1551604197461640</v>
      </c>
      <c r="C962" t="s">
        <v>40</v>
      </c>
      <c r="D962">
        <v>4.7929409999999999</v>
      </c>
      <c r="E962">
        <v>0.60003660000000003</v>
      </c>
      <c r="F962" t="s">
        <v>44</v>
      </c>
      <c r="G962">
        <v>-195.43190000000001</v>
      </c>
      <c r="H962" s="1">
        <v>-5.2462550000000003E-6</v>
      </c>
      <c r="I962">
        <v>356.9434</v>
      </c>
      <c r="J962">
        <v>-214.2079</v>
      </c>
      <c r="K962">
        <v>1.1152959999999901</v>
      </c>
      <c r="L962">
        <v>366.94540000000001</v>
      </c>
      <c r="M962">
        <v>0.99374499999999999</v>
      </c>
      <c r="N962">
        <v>-1.4223609999999999E-2</v>
      </c>
      <c r="O962">
        <v>-0.1107634</v>
      </c>
      <c r="P962">
        <v>0.94787809999999995</v>
      </c>
      <c r="Q962">
        <v>0.20045560000000001</v>
      </c>
      <c r="R962">
        <v>-0.2476787</v>
      </c>
      <c r="S962">
        <v>2.8159329999999998</v>
      </c>
      <c r="T962">
        <v>-0.1653905</v>
      </c>
      <c r="U962">
        <v>-1.486969</v>
      </c>
      <c r="V962">
        <v>0.14417749999999999</v>
      </c>
      <c r="W962">
        <v>0.21220169999999999</v>
      </c>
      <c r="X962">
        <v>0.96653160000000005</v>
      </c>
      <c r="Y962">
        <v>0.36557299999999998</v>
      </c>
      <c r="Z962">
        <v>-8.2721549999999998E-3</v>
      </c>
      <c r="AA962">
        <v>0.93074590000000001</v>
      </c>
      <c r="AB962">
        <v>36</v>
      </c>
      <c r="AC962">
        <v>18.7759999999999</v>
      </c>
      <c r="AD962">
        <v>-1.1153012462549901</v>
      </c>
      <c r="AE962">
        <v>-10.002000000000001</v>
      </c>
      <c r="AF962">
        <v>7.8389939711002796</v>
      </c>
      <c r="AG962">
        <v>-1.1153012462549901</v>
      </c>
      <c r="AH962">
        <v>19.714227825559298</v>
      </c>
      <c r="AI962">
        <v>93.009264958714198</v>
      </c>
      <c r="AJ962">
        <v>68.315683154826999</v>
      </c>
      <c r="AK962">
        <v>21.244870018592799</v>
      </c>
      <c r="AL962">
        <v>77.748591517132198</v>
      </c>
      <c r="AM962">
        <v>81.515750175575903</v>
      </c>
      <c r="AN962">
        <v>1.00000002339384</v>
      </c>
    </row>
    <row r="963" spans="1:40" x14ac:dyDescent="0.25">
      <c r="A963" t="str">
        <f>"20190303170957483"</f>
        <v>20190303170957483</v>
      </c>
      <c r="B963" t="str">
        <f>"1551604197471401"</f>
        <v>1551604197471401</v>
      </c>
      <c r="C963" t="s">
        <v>40</v>
      </c>
      <c r="D963">
        <v>4.7978670000000001</v>
      </c>
      <c r="E963">
        <v>0.60006150000000003</v>
      </c>
      <c r="F963" t="s">
        <v>44</v>
      </c>
      <c r="G963">
        <v>-195.67959999999999</v>
      </c>
      <c r="H963" s="1">
        <v>-5.3195550000000001E-6</v>
      </c>
      <c r="I963">
        <v>357.04680000000002</v>
      </c>
      <c r="J963">
        <v>-213.9845</v>
      </c>
      <c r="K963">
        <v>1.11513</v>
      </c>
      <c r="L963">
        <v>366.91699999999997</v>
      </c>
      <c r="M963">
        <v>0.99327270000000001</v>
      </c>
      <c r="N963">
        <v>-1.423846E-2</v>
      </c>
      <c r="O963">
        <v>-0.1149206</v>
      </c>
      <c r="P963">
        <v>0.94674860000000005</v>
      </c>
      <c r="Q963">
        <v>0.19995009999999999</v>
      </c>
      <c r="R963">
        <v>-0.25236399999999998</v>
      </c>
      <c r="S963">
        <v>2.80864</v>
      </c>
      <c r="T963">
        <v>-0.16906399999999999</v>
      </c>
      <c r="U963">
        <v>-1.5004879999999901</v>
      </c>
      <c r="V963">
        <v>0.14497889999999999</v>
      </c>
      <c r="W963">
        <v>0.21164340000000001</v>
      </c>
      <c r="X963">
        <v>0.96653409999999995</v>
      </c>
      <c r="Y963">
        <v>0.36615019999999998</v>
      </c>
      <c r="Z963">
        <v>-8.2199579999999994E-3</v>
      </c>
      <c r="AA963">
        <v>0.93051950000000005</v>
      </c>
      <c r="AB963">
        <v>36</v>
      </c>
      <c r="AC963">
        <v>18.3049</v>
      </c>
      <c r="AD963">
        <v>-1.115135319555</v>
      </c>
      <c r="AE963">
        <v>-9.8701999999999508</v>
      </c>
      <c r="AF963">
        <v>7.67889135957354</v>
      </c>
      <c r="AG963">
        <v>-1.115135319555</v>
      </c>
      <c r="AH963">
        <v>19.2626184988642</v>
      </c>
      <c r="AI963">
        <v>93.078157754307099</v>
      </c>
      <c r="AJ963">
        <v>68.265690821189295</v>
      </c>
      <c r="AK963">
        <v>20.7667371227604</v>
      </c>
      <c r="AL963">
        <v>77.781322767890899</v>
      </c>
      <c r="AM963">
        <v>81.469304829913298</v>
      </c>
      <c r="AN963">
        <v>0.99999998833578996</v>
      </c>
    </row>
    <row r="964" spans="1:40" x14ac:dyDescent="0.25">
      <c r="A964" t="str">
        <f>"20190303170957497"</f>
        <v>20190303170957497</v>
      </c>
      <c r="B964" t="str">
        <f>"1551604197491898"</f>
        <v>1551604197491898</v>
      </c>
      <c r="C964" t="s">
        <v>40</v>
      </c>
      <c r="D964">
        <v>4.7915169999999998</v>
      </c>
      <c r="E964">
        <v>0.6001377</v>
      </c>
      <c r="F964" t="s">
        <v>44</v>
      </c>
      <c r="G964">
        <v>-195.63290000000001</v>
      </c>
      <c r="H964" s="1">
        <v>-5.2935549999999998E-6</v>
      </c>
      <c r="I964">
        <v>356.99099999999999</v>
      </c>
      <c r="J964">
        <v>-213.75040000000001</v>
      </c>
      <c r="K964">
        <v>1.114957</v>
      </c>
      <c r="L964">
        <v>366.88619999999997</v>
      </c>
      <c r="M964">
        <v>0.99274620000000002</v>
      </c>
      <c r="N964">
        <v>-1.425415E-2</v>
      </c>
      <c r="O964">
        <v>-0.11938260000000001</v>
      </c>
      <c r="P964">
        <v>0.94547289999999995</v>
      </c>
      <c r="Q964">
        <v>0.1996049</v>
      </c>
      <c r="R964">
        <v>-0.25737070000000001</v>
      </c>
      <c r="S964">
        <v>2.8008419999999998</v>
      </c>
      <c r="T964">
        <v>-0.17019329999999999</v>
      </c>
      <c r="U964">
        <v>-1.514923</v>
      </c>
      <c r="V964">
        <v>0.1458267</v>
      </c>
      <c r="W964">
        <v>0.2112417</v>
      </c>
      <c r="X964">
        <v>0.96649439999999998</v>
      </c>
      <c r="Y964">
        <v>0.36675940000000001</v>
      </c>
      <c r="Z964">
        <v>-8.0920590000000004E-3</v>
      </c>
      <c r="AA964">
        <v>0.93028060000000001</v>
      </c>
      <c r="AB964">
        <v>36</v>
      </c>
      <c r="AC964">
        <v>18.1175</v>
      </c>
      <c r="AD964">
        <v>-1.1149622935550001</v>
      </c>
      <c r="AE964">
        <v>-9.8951999999999796</v>
      </c>
      <c r="AF964">
        <v>7.6390011423075199</v>
      </c>
      <c r="AG964">
        <v>-1.1149622935550001</v>
      </c>
      <c r="AH964">
        <v>19.113581712616501</v>
      </c>
      <c r="AI964">
        <v>93.100543991930905</v>
      </c>
      <c r="AJ964">
        <v>68.215212698515103</v>
      </c>
      <c r="AK964">
        <v>20.6137450564689</v>
      </c>
      <c r="AL964">
        <v>77.804870467726104</v>
      </c>
      <c r="AM964">
        <v>81.419812604102006</v>
      </c>
      <c r="AN964">
        <v>0.99999995374156803</v>
      </c>
    </row>
    <row r="965" spans="1:40" x14ac:dyDescent="0.25">
      <c r="A965" t="str">
        <f>"20190303170957510"</f>
        <v>20190303170957510</v>
      </c>
      <c r="B965" t="str">
        <f>"1551604197501187"</f>
        <v>1551604197501187</v>
      </c>
      <c r="C965" t="s">
        <v>40</v>
      </c>
      <c r="D965">
        <v>4.8092959999999998</v>
      </c>
      <c r="E965">
        <v>0.60013909999999904</v>
      </c>
      <c r="F965" t="s">
        <v>44</v>
      </c>
      <c r="G965">
        <v>-195.59030000000001</v>
      </c>
      <c r="H965" s="1">
        <v>-5.2676000000000002E-6</v>
      </c>
      <c r="I965">
        <v>356.93329999999997</v>
      </c>
      <c r="J965">
        <v>-213.52879999999999</v>
      </c>
      <c r="K965">
        <v>1.1147959999999999</v>
      </c>
      <c r="L965">
        <v>366.85559999999998</v>
      </c>
      <c r="M965">
        <v>0.99220980000000003</v>
      </c>
      <c r="N965">
        <v>-1.426987E-2</v>
      </c>
      <c r="O965">
        <v>-0.12375899999999999</v>
      </c>
      <c r="P965">
        <v>0.94420360000000003</v>
      </c>
      <c r="Q965">
        <v>0.19937930000000001</v>
      </c>
      <c r="R965">
        <v>-0.26215939999999999</v>
      </c>
      <c r="S965">
        <v>2.7926030000000002</v>
      </c>
      <c r="T965">
        <v>-0.17145469999999999</v>
      </c>
      <c r="U965">
        <v>-1.530518</v>
      </c>
      <c r="V965">
        <v>0.14653740000000001</v>
      </c>
      <c r="W965">
        <v>0.21096529999999999</v>
      </c>
      <c r="X965">
        <v>0.96644739999999996</v>
      </c>
      <c r="Y965">
        <v>0.36780380000000001</v>
      </c>
      <c r="Z965">
        <v>-7.9833600000000001E-3</v>
      </c>
      <c r="AA965">
        <v>0.92986919999999995</v>
      </c>
      <c r="AB965">
        <v>36</v>
      </c>
      <c r="AC965">
        <v>17.938499999999902</v>
      </c>
      <c r="AD965">
        <v>-1.1148012676000001</v>
      </c>
      <c r="AE965">
        <v>-9.9222999999999999</v>
      </c>
      <c r="AF965">
        <v>7.60324305564792</v>
      </c>
      <c r="AG965">
        <v>-1.1148012676000001</v>
      </c>
      <c r="AH965">
        <v>18.972557375632999</v>
      </c>
      <c r="AI965">
        <v>93.121927416272499</v>
      </c>
      <c r="AJ965">
        <v>68.161579643679801</v>
      </c>
      <c r="AK965">
        <v>20.469734248426001</v>
      </c>
      <c r="AL965">
        <v>77.8210736123403</v>
      </c>
      <c r="AM965">
        <v>81.378210144472703</v>
      </c>
      <c r="AN965">
        <v>1.0000000721847999</v>
      </c>
    </row>
    <row r="966" spans="1:40" x14ac:dyDescent="0.25">
      <c r="A966" t="str">
        <f>"20190303170957523"</f>
        <v>20190303170957523</v>
      </c>
      <c r="B966" t="str">
        <f>"1551604197511924"</f>
        <v>1551604197511924</v>
      </c>
      <c r="C966" t="s">
        <v>40</v>
      </c>
      <c r="D966">
        <v>4.7945779999999996</v>
      </c>
      <c r="E966">
        <v>0.6001592</v>
      </c>
      <c r="F966" t="s">
        <v>44</v>
      </c>
      <c r="G966">
        <v>-195.46019999999999</v>
      </c>
      <c r="H966" s="1">
        <v>-5.2069680000000003E-6</v>
      </c>
      <c r="I966">
        <v>356.82889999999998</v>
      </c>
      <c r="J966">
        <v>-213.32040000000001</v>
      </c>
      <c r="K966">
        <v>1.114652</v>
      </c>
      <c r="L966">
        <v>366.82600000000002</v>
      </c>
      <c r="M966">
        <v>0.99167720000000004</v>
      </c>
      <c r="N966">
        <v>-1.4284410000000001E-2</v>
      </c>
      <c r="O966">
        <v>-0.12795519999999999</v>
      </c>
      <c r="P966">
        <v>0.94275339999999996</v>
      </c>
      <c r="Q966">
        <v>0.1992052</v>
      </c>
      <c r="R966">
        <v>-0.26745819999999998</v>
      </c>
      <c r="S966">
        <v>2.7845149999999999</v>
      </c>
      <c r="T966">
        <v>-0.171799799999999</v>
      </c>
      <c r="U966">
        <v>-1.5451969999999999</v>
      </c>
      <c r="V966">
        <v>0.14794749999999901</v>
      </c>
      <c r="W966">
        <v>0.2107299</v>
      </c>
      <c r="X966">
        <v>0.96628380000000003</v>
      </c>
      <c r="Y966">
        <v>0.36876330000000002</v>
      </c>
      <c r="Z966">
        <v>-7.8579099999999992E-3</v>
      </c>
      <c r="AA966">
        <v>0.92949009999999999</v>
      </c>
      <c r="AB966">
        <v>36</v>
      </c>
      <c r="AC966">
        <v>17.860199999999999</v>
      </c>
      <c r="AD966">
        <v>-1.1146572069679901</v>
      </c>
      <c r="AE966">
        <v>-9.9970999999999801</v>
      </c>
      <c r="AF966">
        <v>7.6068078336212803</v>
      </c>
      <c r="AG966">
        <v>-1.1146572069679901</v>
      </c>
      <c r="AH966">
        <v>18.936507512916599</v>
      </c>
      <c r="AI966">
        <v>93.126429683750004</v>
      </c>
      <c r="AJ966">
        <v>68.114638556476393</v>
      </c>
      <c r="AK966">
        <v>20.437644259880699</v>
      </c>
      <c r="AL966">
        <v>77.834869933719006</v>
      </c>
      <c r="AM966">
        <v>81.295057890636002</v>
      </c>
      <c r="AN966">
        <v>0.99999996782634903</v>
      </c>
    </row>
    <row r="967" spans="1:40" x14ac:dyDescent="0.25">
      <c r="A967" t="str">
        <f>"20190303170957536"</f>
        <v>20190303170957536</v>
      </c>
      <c r="B967" t="str">
        <f>"1551604197521684"</f>
        <v>1551604197521684</v>
      </c>
      <c r="C967" t="s">
        <v>40</v>
      </c>
      <c r="D967">
        <v>4.8132859999999997</v>
      </c>
      <c r="E967">
        <v>0.60016049999999999</v>
      </c>
      <c r="F967" t="s">
        <v>44</v>
      </c>
      <c r="G967">
        <v>-195.3032</v>
      </c>
      <c r="H967" s="1">
        <v>-5.1076769999999998E-6</v>
      </c>
      <c r="I967">
        <v>356.69049999999999</v>
      </c>
      <c r="J967">
        <v>-213.12880000000001</v>
      </c>
      <c r="K967">
        <v>1.114519</v>
      </c>
      <c r="L967">
        <v>366.79820000000001</v>
      </c>
      <c r="M967">
        <v>0.99116479999999996</v>
      </c>
      <c r="N967">
        <v>-1.4297320000000001E-2</v>
      </c>
      <c r="O967">
        <v>-0.1318627</v>
      </c>
      <c r="P967">
        <v>0.94150100000000003</v>
      </c>
      <c r="Q967">
        <v>0.19924559999999999</v>
      </c>
      <c r="R967">
        <v>-0.27180320000000002</v>
      </c>
      <c r="S967">
        <v>2.7754970000000001</v>
      </c>
      <c r="T967">
        <v>-0.17170969999999999</v>
      </c>
      <c r="U967">
        <v>-1.56134</v>
      </c>
      <c r="V967">
        <v>0.1486661</v>
      </c>
      <c r="W967">
        <v>0.2107243</v>
      </c>
      <c r="X967">
        <v>0.9661748</v>
      </c>
      <c r="Y967">
        <v>0.37049650000000001</v>
      </c>
      <c r="Z967">
        <v>-7.7642429999999997E-3</v>
      </c>
      <c r="AA967">
        <v>0.9288014</v>
      </c>
      <c r="AB967">
        <v>36</v>
      </c>
      <c r="AC967">
        <v>17.825600000000001</v>
      </c>
      <c r="AD967">
        <v>-1.1145241076770001</v>
      </c>
      <c r="AE967">
        <v>-10.107699999999999</v>
      </c>
      <c r="AF967">
        <v>7.64603129370379</v>
      </c>
      <c r="AG967">
        <v>-1.1145241076770001</v>
      </c>
      <c r="AH967">
        <v>18.9468327749303</v>
      </c>
      <c r="AI967">
        <v>93.1223575605257</v>
      </c>
      <c r="AJ967">
        <v>68.0233645698316</v>
      </c>
      <c r="AK967">
        <v>20.461828626299901</v>
      </c>
      <c r="AL967">
        <v>77.835199076902299</v>
      </c>
      <c r="AM967">
        <v>81.252457659003696</v>
      </c>
      <c r="AN967">
        <v>1.00000004202736</v>
      </c>
    </row>
    <row r="968" spans="1:40" x14ac:dyDescent="0.25">
      <c r="A968" t="str">
        <f>"20190303170957549"</f>
        <v>20190303170957549</v>
      </c>
      <c r="B968" t="str">
        <f>"1551604197541204"</f>
        <v>1551604197541204</v>
      </c>
      <c r="C968" t="s">
        <v>40</v>
      </c>
      <c r="D968">
        <v>4.7944680000000002</v>
      </c>
      <c r="E968">
        <v>0.60020390000000001</v>
      </c>
      <c r="F968" t="s">
        <v>44</v>
      </c>
      <c r="G968">
        <v>-195.1386</v>
      </c>
      <c r="H968" s="1">
        <v>-5.0127859999999997E-6</v>
      </c>
      <c r="I968">
        <v>356.56509999999997</v>
      </c>
      <c r="J968">
        <v>-212.92500000000001</v>
      </c>
      <c r="K968">
        <v>1.1143829999999999</v>
      </c>
      <c r="L968">
        <v>366.7672</v>
      </c>
      <c r="M968">
        <v>0.99058389999999996</v>
      </c>
      <c r="N968">
        <v>-1.431148E-2</v>
      </c>
      <c r="O968">
        <v>-0.1361581</v>
      </c>
      <c r="P968">
        <v>0.94016239999999995</v>
      </c>
      <c r="Q968">
        <v>0.1991569</v>
      </c>
      <c r="R968">
        <v>-0.27646270000000001</v>
      </c>
      <c r="S968">
        <v>2.7681269999999998</v>
      </c>
      <c r="T968">
        <v>-0.17149029999999901</v>
      </c>
      <c r="U968">
        <v>-1.574554</v>
      </c>
      <c r="V968">
        <v>0.14933070000000001</v>
      </c>
      <c r="W968">
        <v>0.21058869999999999</v>
      </c>
      <c r="X968">
        <v>0.96610180000000001</v>
      </c>
      <c r="Y968">
        <v>0.37088700000000002</v>
      </c>
      <c r="Z968">
        <v>-7.6020799999999998E-3</v>
      </c>
      <c r="AA968">
        <v>0.92864690000000005</v>
      </c>
      <c r="AB968">
        <v>36</v>
      </c>
      <c r="AC968">
        <v>17.7864</v>
      </c>
      <c r="AD968">
        <v>-1.114388012786</v>
      </c>
      <c r="AE968">
        <v>-10.2021</v>
      </c>
      <c r="AF968">
        <v>7.66242674932478</v>
      </c>
      <c r="AG968">
        <v>-1.114388012786</v>
      </c>
      <c r="AH968">
        <v>18.953979148434598</v>
      </c>
      <c r="AI968">
        <v>93.120031348669499</v>
      </c>
      <c r="AJ968">
        <v>67.988249479405994</v>
      </c>
      <c r="AK968">
        <v>20.474568857270299</v>
      </c>
      <c r="AL968">
        <v>77.843145879475102</v>
      </c>
      <c r="AM968">
        <v>81.213307772310699</v>
      </c>
      <c r="AN968">
        <v>0.99999997324670897</v>
      </c>
    </row>
    <row r="969" spans="1:40" x14ac:dyDescent="0.25">
      <c r="A969" t="str">
        <f>"20190303170957562"</f>
        <v>20190303170957562</v>
      </c>
      <c r="B969" t="str">
        <f>"1551604197551940"</f>
        <v>1551604197551940</v>
      </c>
      <c r="C969" t="s">
        <v>40</v>
      </c>
      <c r="D969">
        <v>4.8025330000000004</v>
      </c>
      <c r="E969">
        <v>0.60021289999999905</v>
      </c>
      <c r="F969" t="s">
        <v>44</v>
      </c>
      <c r="G969">
        <v>-195.0162</v>
      </c>
      <c r="H969" s="1">
        <v>-4.9371609999999999E-6</v>
      </c>
      <c r="I969">
        <v>356.46109999999999</v>
      </c>
      <c r="J969">
        <v>-212.71799999999999</v>
      </c>
      <c r="K969">
        <v>1.114239</v>
      </c>
      <c r="L969">
        <v>366.73500000000001</v>
      </c>
      <c r="M969">
        <v>0.98996499999999998</v>
      </c>
      <c r="N969">
        <v>-1.432567E-2</v>
      </c>
      <c r="O969">
        <v>-0.14058499999999999</v>
      </c>
      <c r="P969">
        <v>0.93884179999999995</v>
      </c>
      <c r="Q969">
        <v>0.19919880000000001</v>
      </c>
      <c r="R969">
        <v>-0.28088429999999998</v>
      </c>
      <c r="S969">
        <v>2.760208</v>
      </c>
      <c r="T969">
        <v>-0.17175579999999999</v>
      </c>
      <c r="U969">
        <v>-1.5884400000000001</v>
      </c>
      <c r="V969">
        <v>0.14963270000000001</v>
      </c>
      <c r="W969">
        <v>0.21058959999999999</v>
      </c>
      <c r="X969">
        <v>0.96605490000000005</v>
      </c>
      <c r="Y969">
        <v>0.37139810000000001</v>
      </c>
      <c r="Z969">
        <v>-7.4471650000000004E-3</v>
      </c>
      <c r="AA969">
        <v>0.92844380000000004</v>
      </c>
      <c r="AB969">
        <v>36</v>
      </c>
      <c r="AC969">
        <v>17.701799999999899</v>
      </c>
      <c r="AD969">
        <v>-1.114243937161</v>
      </c>
      <c r="AE969">
        <v>-10.273899999999999</v>
      </c>
      <c r="AF969">
        <v>7.6602787710392697</v>
      </c>
      <c r="AG969">
        <v>-1.114243937161</v>
      </c>
      <c r="AH969">
        <v>18.9144069406385</v>
      </c>
      <c r="AI969">
        <v>93.125348406481194</v>
      </c>
      <c r="AJ969">
        <v>67.952198372708693</v>
      </c>
      <c r="AK969">
        <v>20.437127986035801</v>
      </c>
      <c r="AL969">
        <v>77.843093425703302</v>
      </c>
      <c r="AM969">
        <v>81.195395343768894</v>
      </c>
      <c r="AN969">
        <v>0.99999999717572996</v>
      </c>
    </row>
    <row r="970" spans="1:40" x14ac:dyDescent="0.25">
      <c r="A970" t="str">
        <f>"20190303170957576"</f>
        <v>20190303170957576</v>
      </c>
      <c r="B970" t="str">
        <f>"1551604197561700"</f>
        <v>1551604197561700</v>
      </c>
      <c r="C970" t="s">
        <v>40</v>
      </c>
      <c r="D970">
        <v>4.8093440000000003</v>
      </c>
      <c r="E970">
        <v>0.60023780000000004</v>
      </c>
      <c r="F970" t="s">
        <v>44</v>
      </c>
      <c r="G970">
        <v>-194.82550000000001</v>
      </c>
      <c r="H970" s="1">
        <v>-4.8308149999999998E-6</v>
      </c>
      <c r="I970">
        <v>356.32350000000002</v>
      </c>
      <c r="J970">
        <v>-212.48859999999999</v>
      </c>
      <c r="K970">
        <v>1.11408</v>
      </c>
      <c r="L970">
        <v>366.69830000000002</v>
      </c>
      <c r="M970">
        <v>0.98924210000000001</v>
      </c>
      <c r="N970">
        <v>-1.434151E-2</v>
      </c>
      <c r="O970">
        <v>-0.1455835</v>
      </c>
      <c r="P970">
        <v>0.93727210000000005</v>
      </c>
      <c r="Q970">
        <v>0.19893759999999999</v>
      </c>
      <c r="R970">
        <v>-0.28626020000000002</v>
      </c>
      <c r="S970">
        <v>2.7525940000000002</v>
      </c>
      <c r="T970">
        <v>-0.1714165</v>
      </c>
      <c r="U970">
        <v>-1.601715</v>
      </c>
      <c r="V970">
        <v>0.15035879999999999</v>
      </c>
      <c r="W970">
        <v>0.2102754</v>
      </c>
      <c r="X970">
        <v>0.96601060000000005</v>
      </c>
      <c r="Y970">
        <v>0.37117640000000002</v>
      </c>
      <c r="Z970">
        <v>-7.2319709999999898E-3</v>
      </c>
      <c r="AA970">
        <v>0.92853419999999998</v>
      </c>
      <c r="AB970">
        <v>36</v>
      </c>
      <c r="AC970">
        <v>17.663099999999901</v>
      </c>
      <c r="AD970">
        <v>-1.114084830815</v>
      </c>
      <c r="AE970">
        <v>-10.374799999999899</v>
      </c>
      <c r="AF970">
        <v>7.6698371524414002</v>
      </c>
      <c r="AG970">
        <v>-1.114084830815</v>
      </c>
      <c r="AH970">
        <v>18.929442020049901</v>
      </c>
      <c r="AI970">
        <v>93.122227176343301</v>
      </c>
      <c r="AJ970">
        <v>67.943177939371296</v>
      </c>
      <c r="AK970">
        <v>20.454617135151999</v>
      </c>
      <c r="AL970">
        <v>77.861508078710699</v>
      </c>
      <c r="AM970">
        <v>81.152945518551704</v>
      </c>
      <c r="AN970">
        <v>0.99999999594748001</v>
      </c>
    </row>
    <row r="971" spans="1:40" x14ac:dyDescent="0.25">
      <c r="A971" t="str">
        <f>"20190303170957590"</f>
        <v>20190303170957590</v>
      </c>
      <c r="B971" t="str">
        <f>"1551604197581220"</f>
        <v>1551604197581220</v>
      </c>
      <c r="C971" t="s">
        <v>40</v>
      </c>
      <c r="D971">
        <v>4.7999890000000001</v>
      </c>
      <c r="E971">
        <v>0.6002672</v>
      </c>
      <c r="F971" t="s">
        <v>44</v>
      </c>
      <c r="G971">
        <v>-194.74440000000001</v>
      </c>
      <c r="H971" s="1">
        <v>-4.7716030000000001E-6</v>
      </c>
      <c r="I971">
        <v>356.23500000000001</v>
      </c>
      <c r="J971">
        <v>-212.25819999999999</v>
      </c>
      <c r="K971">
        <v>1.1139129999999999</v>
      </c>
      <c r="L971">
        <v>366.65980000000002</v>
      </c>
      <c r="M971">
        <v>0.98846769999999995</v>
      </c>
      <c r="N971">
        <v>-1.43596E-2</v>
      </c>
      <c r="O971">
        <v>-0.1507501</v>
      </c>
      <c r="P971">
        <v>0.93564219999999998</v>
      </c>
      <c r="Q971">
        <v>0.19831309999999999</v>
      </c>
      <c r="R971">
        <v>-0.29196889999999998</v>
      </c>
      <c r="S971">
        <v>2.7432859999999999</v>
      </c>
      <c r="T971">
        <v>-0.1722397</v>
      </c>
      <c r="U971">
        <v>-1.617645</v>
      </c>
      <c r="V971">
        <v>0.15125139999999901</v>
      </c>
      <c r="W971">
        <v>0.20959800000000001</v>
      </c>
      <c r="X971">
        <v>0.9660185</v>
      </c>
      <c r="Y971">
        <v>0.37170310000000001</v>
      </c>
      <c r="Z971">
        <v>-7.0542130000000001E-3</v>
      </c>
      <c r="AA971">
        <v>0.92832479999999995</v>
      </c>
      <c r="AB971">
        <v>36</v>
      </c>
      <c r="AC971">
        <v>17.5137999999999</v>
      </c>
      <c r="AD971">
        <v>-1.113917771603</v>
      </c>
      <c r="AE971">
        <v>-10.424799999999999</v>
      </c>
      <c r="AF971">
        <v>7.6423332226779399</v>
      </c>
      <c r="AG971">
        <v>-1.113917771603</v>
      </c>
      <c r="AH971">
        <v>18.829068948159001</v>
      </c>
      <c r="AI971">
        <v>93.137605487881999</v>
      </c>
      <c r="AJ971">
        <v>67.908774586078295</v>
      </c>
      <c r="AK971">
        <v>20.351410450945799</v>
      </c>
      <c r="AL971">
        <v>77.901205241425799</v>
      </c>
      <c r="AM971">
        <v>81.101334992440997</v>
      </c>
      <c r="AN971">
        <v>1.0000000249740999</v>
      </c>
    </row>
    <row r="972" spans="1:40" x14ac:dyDescent="0.25">
      <c r="A972" t="str">
        <f>"20190303170957605"</f>
        <v>20190303170957605</v>
      </c>
      <c r="B972" t="str">
        <f>"1551604197591956"</f>
        <v>1551604197591956</v>
      </c>
      <c r="C972" t="s">
        <v>40</v>
      </c>
      <c r="D972">
        <v>4.7995080000000003</v>
      </c>
      <c r="E972">
        <v>0.60029399999999999</v>
      </c>
      <c r="F972" t="s">
        <v>44</v>
      </c>
      <c r="G972">
        <v>-194.78639999999999</v>
      </c>
      <c r="H972" s="1">
        <v>-4.7690210000000004E-6</v>
      </c>
      <c r="I972">
        <v>356.20949999999999</v>
      </c>
      <c r="J972">
        <v>-212.0402</v>
      </c>
      <c r="K972">
        <v>1.1137649999999999</v>
      </c>
      <c r="L972">
        <v>366.62220000000002</v>
      </c>
      <c r="M972">
        <v>0.98769580000000001</v>
      </c>
      <c r="N972">
        <v>-1.437662E-2</v>
      </c>
      <c r="O972">
        <v>-0.155726</v>
      </c>
      <c r="P972">
        <v>0.93405070000000001</v>
      </c>
      <c r="Q972">
        <v>0.19809479999999999</v>
      </c>
      <c r="R972">
        <v>-0.29716690000000001</v>
      </c>
      <c r="S972">
        <v>2.7331699999999999</v>
      </c>
      <c r="T972">
        <v>-0.1742533</v>
      </c>
      <c r="U972">
        <v>-1.6347659999999999</v>
      </c>
      <c r="V972">
        <v>0.15182319999999999</v>
      </c>
      <c r="W972">
        <v>0.20933270000000001</v>
      </c>
      <c r="X972">
        <v>0.96598629999999996</v>
      </c>
      <c r="Y972">
        <v>0.37281599999999998</v>
      </c>
      <c r="Z972">
        <v>-6.9167079999999997E-3</v>
      </c>
      <c r="AA972">
        <v>0.92787949999999997</v>
      </c>
      <c r="AB972">
        <v>36</v>
      </c>
      <c r="AC972">
        <v>17.253799999999998</v>
      </c>
      <c r="AD972">
        <v>-1.113769769021</v>
      </c>
      <c r="AE972">
        <v>-10.412699999999999</v>
      </c>
      <c r="AF972">
        <v>7.5753602172244703</v>
      </c>
      <c r="AG972">
        <v>-1.113769769021</v>
      </c>
      <c r="AH972">
        <v>18.608122100932999</v>
      </c>
      <c r="AI972">
        <v>93.173015565349601</v>
      </c>
      <c r="AJ972">
        <v>67.8487782781541</v>
      </c>
      <c r="AK972">
        <v>20.121848166665099</v>
      </c>
      <c r="AL972">
        <v>77.9167503339267</v>
      </c>
      <c r="AM972">
        <v>81.067942384120997</v>
      </c>
      <c r="AN972">
        <v>0.99999999756760904</v>
      </c>
    </row>
    <row r="973" spans="1:40" x14ac:dyDescent="0.25">
      <c r="A973" t="str">
        <f>"20190303170957618"</f>
        <v>20190303170957618</v>
      </c>
      <c r="B973" t="str">
        <f>"1551604197611983"</f>
        <v>1551604197611983</v>
      </c>
      <c r="C973" t="s">
        <v>40</v>
      </c>
      <c r="D973">
        <v>4.7947620000000004</v>
      </c>
      <c r="E973">
        <v>0.60037879999999999</v>
      </c>
      <c r="F973" t="s">
        <v>44</v>
      </c>
      <c r="G973">
        <v>-194.62020000000001</v>
      </c>
      <c r="H973" s="1">
        <v>-4.664631E-6</v>
      </c>
      <c r="I973">
        <v>356.06450000000001</v>
      </c>
      <c r="J973">
        <v>-211.81360000000001</v>
      </c>
      <c r="K973">
        <v>1.1136170000000001</v>
      </c>
      <c r="L973">
        <v>366.58210000000003</v>
      </c>
      <c r="M973">
        <v>0.98685199999999995</v>
      </c>
      <c r="N973">
        <v>-1.4394179999999999E-2</v>
      </c>
      <c r="O973">
        <v>-0.1609845</v>
      </c>
      <c r="P973">
        <v>0.93226410000000004</v>
      </c>
      <c r="Q973">
        <v>0.1982981</v>
      </c>
      <c r="R973">
        <v>-0.30259150000000001</v>
      </c>
      <c r="S973">
        <v>2.7236180000000001</v>
      </c>
      <c r="T973">
        <v>-0.1741375</v>
      </c>
      <c r="U973">
        <v>-1.6506959999999999</v>
      </c>
      <c r="V973">
        <v>0.15238350000000001</v>
      </c>
      <c r="W973">
        <v>0.20948610000000001</v>
      </c>
      <c r="X973">
        <v>0.96586479999999997</v>
      </c>
      <c r="Y973">
        <v>0.37328939999999999</v>
      </c>
      <c r="Z973">
        <v>-6.7165819999999996E-3</v>
      </c>
      <c r="AA973">
        <v>0.92769060000000003</v>
      </c>
      <c r="AB973">
        <v>36</v>
      </c>
      <c r="AC973">
        <v>17.193399999999901</v>
      </c>
      <c r="AD973">
        <v>-1.113621664631</v>
      </c>
      <c r="AE973">
        <v>-10.5176</v>
      </c>
      <c r="AF973">
        <v>7.5890640645592899</v>
      </c>
      <c r="AG973">
        <v>-1.113621664631</v>
      </c>
      <c r="AH973">
        <v>18.6056449856769</v>
      </c>
      <c r="AI973">
        <v>93.172141111545599</v>
      </c>
      <c r="AJ973">
        <v>67.809923906877998</v>
      </c>
      <c r="AK973">
        <v>20.1247129649336</v>
      </c>
      <c r="AL973">
        <v>77.907761709438205</v>
      </c>
      <c r="AM973">
        <v>81.034403842316294</v>
      </c>
      <c r="AN973">
        <v>0.99999998452224903</v>
      </c>
    </row>
    <row r="974" spans="1:40" x14ac:dyDescent="0.25">
      <c r="A974" t="str">
        <f>"20190303170957631"</f>
        <v>20190303170957631</v>
      </c>
      <c r="B974" t="str">
        <f>"1551604197621743"</f>
        <v>1551604197621743</v>
      </c>
      <c r="C974" t="s">
        <v>40</v>
      </c>
      <c r="D974">
        <v>4.8105440000000002</v>
      </c>
      <c r="E974">
        <v>0.60042099999999998</v>
      </c>
      <c r="F974" t="s">
        <v>44</v>
      </c>
      <c r="G974">
        <v>-194.31649999999999</v>
      </c>
      <c r="H974" s="1">
        <v>-4.4865199999999999E-6</v>
      </c>
      <c r="I974">
        <v>355.82670000000002</v>
      </c>
      <c r="J974">
        <v>-211.60749999999999</v>
      </c>
      <c r="K974">
        <v>1.1134790000000001</v>
      </c>
      <c r="L974">
        <v>366.54430000000002</v>
      </c>
      <c r="M974">
        <v>0.98604130000000001</v>
      </c>
      <c r="N974">
        <v>-1.4411E-2</v>
      </c>
      <c r="O974">
        <v>-0.16587660000000001</v>
      </c>
      <c r="P974">
        <v>0.93058779999999997</v>
      </c>
      <c r="Q974">
        <v>0.19839319999999999</v>
      </c>
      <c r="R974">
        <v>-0.30764649999999999</v>
      </c>
      <c r="S974">
        <v>2.7133479999999999</v>
      </c>
      <c r="T974">
        <v>-0.1726935</v>
      </c>
      <c r="U974">
        <v>-1.6678770000000001</v>
      </c>
      <c r="V974">
        <v>0.15291270000000001</v>
      </c>
      <c r="W974">
        <v>0.20953649999999999</v>
      </c>
      <c r="X974">
        <v>0.96577020000000002</v>
      </c>
      <c r="Y974">
        <v>0.37452750000000001</v>
      </c>
      <c r="Z974">
        <v>-6.550228E-3</v>
      </c>
      <c r="AA974">
        <v>0.92719269999999998</v>
      </c>
      <c r="AB974">
        <v>36</v>
      </c>
      <c r="AC974">
        <v>17.290999999999901</v>
      </c>
      <c r="AD974">
        <v>-1.1134834865200001</v>
      </c>
      <c r="AE974">
        <v>-10.717599999999999</v>
      </c>
      <c r="AF974">
        <v>7.6776214737764201</v>
      </c>
      <c r="AG974">
        <v>-1.1134834865200001</v>
      </c>
      <c r="AH974">
        <v>18.7731501718904</v>
      </c>
      <c r="AI974">
        <v>93.142321757909997</v>
      </c>
      <c r="AJ974">
        <v>67.756999268190498</v>
      </c>
      <c r="AK974">
        <v>20.312973301456701</v>
      </c>
      <c r="AL974">
        <v>77.904808144099903</v>
      </c>
      <c r="AM974">
        <v>81.002909535121205</v>
      </c>
      <c r="AN974">
        <v>0.99999995893078897</v>
      </c>
    </row>
    <row r="975" spans="1:40" x14ac:dyDescent="0.25">
      <c r="A975" t="str">
        <f>"20190303170957648"</f>
        <v>20190303170957648</v>
      </c>
      <c r="B975" t="str">
        <f>"1551604197641262"</f>
        <v>1551604197641262</v>
      </c>
      <c r="C975" t="s">
        <v>40</v>
      </c>
      <c r="D975">
        <v>4.7828249999999999</v>
      </c>
      <c r="E975">
        <v>0.60049090000000005</v>
      </c>
      <c r="F975" t="s">
        <v>44</v>
      </c>
      <c r="G975">
        <v>-194.09049999999999</v>
      </c>
      <c r="H975" s="1">
        <v>-4.3502969999999998E-6</v>
      </c>
      <c r="I975">
        <v>355.64179999999999</v>
      </c>
      <c r="J975">
        <v>-211.36250000000001</v>
      </c>
      <c r="K975">
        <v>1.1133169999999999</v>
      </c>
      <c r="L975">
        <v>366.49770000000001</v>
      </c>
      <c r="M975">
        <v>0.98502650000000003</v>
      </c>
      <c r="N975">
        <v>-1.443124E-2</v>
      </c>
      <c r="O975">
        <v>-0.171798799999999</v>
      </c>
      <c r="P975">
        <v>0.928369</v>
      </c>
      <c r="Q975">
        <v>0.19818530000000001</v>
      </c>
      <c r="R975">
        <v>-0.31441059999999998</v>
      </c>
      <c r="S975">
        <v>2.7040709999999999</v>
      </c>
      <c r="T975">
        <v>-0.17188639999999999</v>
      </c>
      <c r="U975">
        <v>-1.6829829999999999</v>
      </c>
      <c r="V975">
        <v>0.1542116</v>
      </c>
      <c r="W975">
        <v>0.2092627</v>
      </c>
      <c r="X975">
        <v>0.96562300000000001</v>
      </c>
      <c r="Y975">
        <v>0.37412610000000002</v>
      </c>
      <c r="Z975">
        <v>-6.28832E-3</v>
      </c>
      <c r="AA975">
        <v>0.92735650000000003</v>
      </c>
      <c r="AB975">
        <v>36</v>
      </c>
      <c r="AC975">
        <v>17.271999999999998</v>
      </c>
      <c r="AD975">
        <v>-1.1133213502969901</v>
      </c>
      <c r="AE975">
        <v>-10.8559</v>
      </c>
      <c r="AF975">
        <v>7.7038993310093202</v>
      </c>
      <c r="AG975">
        <v>-1.1133213502969901</v>
      </c>
      <c r="AH975">
        <v>18.8243073148466</v>
      </c>
      <c r="AI975">
        <v>93.133031975161501</v>
      </c>
      <c r="AJ975">
        <v>67.743033900284402</v>
      </c>
      <c r="AK975">
        <v>20.370176612271699</v>
      </c>
      <c r="AL975">
        <v>77.9208511328263</v>
      </c>
      <c r="AM975">
        <v>80.926390573976306</v>
      </c>
      <c r="AN975">
        <v>0.99999993665742304</v>
      </c>
    </row>
    <row r="976" spans="1:40" x14ac:dyDescent="0.25">
      <c r="A976" t="str">
        <f>"20190303170957659"</f>
        <v>20190303170957659</v>
      </c>
      <c r="B976" t="str">
        <f>"1551604197651999"</f>
        <v>1551604197651999</v>
      </c>
      <c r="C976" t="s">
        <v>40</v>
      </c>
      <c r="D976">
        <v>4.7601149999999999</v>
      </c>
      <c r="E976">
        <v>0.60054459999999998</v>
      </c>
      <c r="F976" t="s">
        <v>44</v>
      </c>
      <c r="G976">
        <v>-193.9837</v>
      </c>
      <c r="H976" s="1">
        <v>-4.2610380000000001E-6</v>
      </c>
      <c r="I976">
        <v>355.50110000000001</v>
      </c>
      <c r="J976">
        <v>-211.18430000000001</v>
      </c>
      <c r="K976">
        <v>1.1131960000000001</v>
      </c>
      <c r="L976">
        <v>366.46319999999997</v>
      </c>
      <c r="M976">
        <v>0.98425600000000002</v>
      </c>
      <c r="N976">
        <v>-1.4445660000000001E-2</v>
      </c>
      <c r="O976">
        <v>-0.1761588</v>
      </c>
      <c r="P976">
        <v>0.92687209999999998</v>
      </c>
      <c r="Q976">
        <v>0.19795840000000001</v>
      </c>
      <c r="R976">
        <v>-0.31893729999999998</v>
      </c>
      <c r="S976">
        <v>2.691513</v>
      </c>
      <c r="T976">
        <v>-0.17242399999999999</v>
      </c>
      <c r="U976">
        <v>-1.7030940000000001</v>
      </c>
      <c r="V976">
        <v>0.15469620000000001</v>
      </c>
      <c r="W976">
        <v>0.20899789999999999</v>
      </c>
      <c r="X976">
        <v>0.96560290000000004</v>
      </c>
      <c r="Y976">
        <v>0.37691669999999999</v>
      </c>
      <c r="Z976">
        <v>-6.2191030000000001E-3</v>
      </c>
      <c r="AA976">
        <v>0.92622629999999995</v>
      </c>
      <c r="AB976">
        <v>36</v>
      </c>
      <c r="AC976">
        <v>17.200600000000001</v>
      </c>
      <c r="AD976">
        <v>-1.1132002610379901</v>
      </c>
      <c r="AE976">
        <v>-10.9620999999999</v>
      </c>
      <c r="AF976">
        <v>7.7372367968622804</v>
      </c>
      <c r="AG976">
        <v>-1.1132002610379901</v>
      </c>
      <c r="AH976">
        <v>18.806808440851</v>
      </c>
      <c r="AI976">
        <v>93.133235147389598</v>
      </c>
      <c r="AJ976">
        <v>67.6374322985546</v>
      </c>
      <c r="AK976">
        <v>20.366641642714701</v>
      </c>
      <c r="AL976">
        <v>77.936366884401593</v>
      </c>
      <c r="AM976">
        <v>80.898167588628297</v>
      </c>
      <c r="AN976">
        <v>0.99999999849362997</v>
      </c>
    </row>
    <row r="977" spans="1:40" x14ac:dyDescent="0.25">
      <c r="A977" t="str">
        <f>"20190303170957672"</f>
        <v>20190303170957672</v>
      </c>
      <c r="B977" t="str">
        <f>"1551604197661758"</f>
        <v>1551604197661758</v>
      </c>
      <c r="C977" t="s">
        <v>40</v>
      </c>
      <c r="D977">
        <v>4.768383</v>
      </c>
      <c r="E977">
        <v>0.60059819999999997</v>
      </c>
      <c r="F977" t="s">
        <v>44</v>
      </c>
      <c r="G977">
        <v>-193.9623</v>
      </c>
      <c r="H977" s="1">
        <v>-4.2303900000000003E-6</v>
      </c>
      <c r="I977">
        <v>355.44540000000001</v>
      </c>
      <c r="J977">
        <v>-210.9649</v>
      </c>
      <c r="K977">
        <v>1.1130469999999999</v>
      </c>
      <c r="L977">
        <v>366.41919999999999</v>
      </c>
      <c r="M977">
        <v>0.98325790000000002</v>
      </c>
      <c r="N977">
        <v>-1.446383E-2</v>
      </c>
      <c r="O977">
        <v>-0.18164440000000001</v>
      </c>
      <c r="P977">
        <v>0.92494989999999999</v>
      </c>
      <c r="Q977">
        <v>0.19789010000000001</v>
      </c>
      <c r="R977">
        <v>-0.3245112</v>
      </c>
      <c r="S977">
        <v>2.6830750000000001</v>
      </c>
      <c r="T977">
        <v>-0.17342959999999999</v>
      </c>
      <c r="U977">
        <v>-1.7164919999999999</v>
      </c>
      <c r="V977">
        <v>0.15519539999999901</v>
      </c>
      <c r="W977">
        <v>0.20888370000000001</v>
      </c>
      <c r="X977">
        <v>0.9655475</v>
      </c>
      <c r="Y977">
        <v>0.37635679999999999</v>
      </c>
      <c r="Z977">
        <v>-5.9770730000000003E-3</v>
      </c>
      <c r="AA977">
        <v>0.92645549999999999</v>
      </c>
      <c r="AB977">
        <v>36</v>
      </c>
      <c r="AC977">
        <v>17.002600000000001</v>
      </c>
      <c r="AD977">
        <v>-1.11305123039</v>
      </c>
      <c r="AE977">
        <v>-10.973799999999899</v>
      </c>
      <c r="AF977">
        <v>7.6792225829985501</v>
      </c>
      <c r="AG977">
        <v>-1.11305123039</v>
      </c>
      <c r="AH977">
        <v>18.656786065415101</v>
      </c>
      <c r="AI977">
        <v>93.157736945718597</v>
      </c>
      <c r="AJ977">
        <v>67.627699411756197</v>
      </c>
      <c r="AK977">
        <v>20.206063664439299</v>
      </c>
      <c r="AL977">
        <v>77.943057680352297</v>
      </c>
      <c r="AM977">
        <v>80.868775163785102</v>
      </c>
      <c r="AN977">
        <v>0.99999999353155</v>
      </c>
    </row>
    <row r="978" spans="1:40" x14ac:dyDescent="0.25">
      <c r="A978" t="str">
        <f>"20190303170957686"</f>
        <v>20190303170957686</v>
      </c>
      <c r="B978" t="str">
        <f>"1551604197671519"</f>
        <v>1551604197671519</v>
      </c>
      <c r="C978" t="s">
        <v>40</v>
      </c>
      <c r="D978">
        <v>4.7761180000000003</v>
      </c>
      <c r="E978">
        <v>0.60065780000000002</v>
      </c>
      <c r="F978" t="s">
        <v>44</v>
      </c>
      <c r="G978">
        <v>-193.8707</v>
      </c>
      <c r="H978" s="1">
        <v>-4.1597189999999996E-6</v>
      </c>
      <c r="I978">
        <v>355.33730000000003</v>
      </c>
      <c r="J978">
        <v>-210.75579999999999</v>
      </c>
      <c r="K978">
        <v>1.112905</v>
      </c>
      <c r="L978">
        <v>366.3759</v>
      </c>
      <c r="M978">
        <v>0.98225929999999995</v>
      </c>
      <c r="N978">
        <v>-1.448202E-2</v>
      </c>
      <c r="O978">
        <v>-0.1869671</v>
      </c>
      <c r="P978">
        <v>0.92294900000000002</v>
      </c>
      <c r="Q978">
        <v>0.19761780000000001</v>
      </c>
      <c r="R978">
        <v>-0.33032099999999998</v>
      </c>
      <c r="S978">
        <v>2.6727599999999998</v>
      </c>
      <c r="T978">
        <v>-0.17403099999999999</v>
      </c>
      <c r="U978">
        <v>-1.7326969999999999</v>
      </c>
      <c r="V978">
        <v>0.15609379999999901</v>
      </c>
      <c r="W978">
        <v>0.2085591</v>
      </c>
      <c r="X978">
        <v>0.96547289999999997</v>
      </c>
      <c r="Y978">
        <v>0.3769265</v>
      </c>
      <c r="Z978">
        <v>-5.780444E-3</v>
      </c>
      <c r="AA978">
        <v>0.92622510000000002</v>
      </c>
      <c r="AB978">
        <v>36</v>
      </c>
      <c r="AC978">
        <v>16.885099999999898</v>
      </c>
      <c r="AD978">
        <v>-1.112909159719</v>
      </c>
      <c r="AE978">
        <v>-11.038599999999899</v>
      </c>
      <c r="AF978">
        <v>7.6632932670291796</v>
      </c>
      <c r="AG978">
        <v>-1.112909159719</v>
      </c>
      <c r="AH978">
        <v>18.594766941945299</v>
      </c>
      <c r="AI978">
        <v>93.167269391359298</v>
      </c>
      <c r="AJ978">
        <v>67.602414226979903</v>
      </c>
      <c r="AK978">
        <v>20.1427403329225</v>
      </c>
      <c r="AL978">
        <v>77.962075387184399</v>
      </c>
      <c r="AM978">
        <v>80.816116661068307</v>
      </c>
      <c r="AN978">
        <v>1.00000004661282</v>
      </c>
    </row>
    <row r="979" spans="1:40" x14ac:dyDescent="0.25">
      <c r="A979" t="str">
        <f>"20190303170957699"</f>
        <v>20190303170957699</v>
      </c>
      <c r="B979" t="str">
        <f>"1551604197691039"</f>
        <v>1551604197691039</v>
      </c>
      <c r="C979" t="s">
        <v>40</v>
      </c>
      <c r="D979">
        <v>4.7332769999999904</v>
      </c>
      <c r="E979">
        <v>0.60080149999999999</v>
      </c>
      <c r="F979" t="s">
        <v>44</v>
      </c>
      <c r="G979">
        <v>-193.8304</v>
      </c>
      <c r="H979" s="1">
        <v>-4.1089120000000001E-6</v>
      </c>
      <c r="I979">
        <v>355.24740000000003</v>
      </c>
      <c r="J979">
        <v>-210.54640000000001</v>
      </c>
      <c r="K979">
        <v>1.112765</v>
      </c>
      <c r="L979">
        <v>366.33150000000001</v>
      </c>
      <c r="M979">
        <v>0.98121599999999998</v>
      </c>
      <c r="N979">
        <v>-1.4500320000000001E-2</v>
      </c>
      <c r="O979">
        <v>-0.19236729999999999</v>
      </c>
      <c r="P979">
        <v>0.92097790000000002</v>
      </c>
      <c r="Q979">
        <v>0.1973713</v>
      </c>
      <c r="R979">
        <v>-0.33592369999999999</v>
      </c>
      <c r="S979">
        <v>2.6616059999999999</v>
      </c>
      <c r="T979">
        <v>-0.17501029999999901</v>
      </c>
      <c r="U979">
        <v>-1.75</v>
      </c>
      <c r="V979">
        <v>0.1567066</v>
      </c>
      <c r="W979">
        <v>0.2082667</v>
      </c>
      <c r="X979">
        <v>0.96543670000000004</v>
      </c>
      <c r="Y979">
        <v>0.37781569999999998</v>
      </c>
      <c r="Z979">
        <v>-5.5905379999999999E-3</v>
      </c>
      <c r="AA979">
        <v>0.92586400000000002</v>
      </c>
      <c r="AB979">
        <v>35</v>
      </c>
      <c r="AC979">
        <v>16.716000000000001</v>
      </c>
      <c r="AD979">
        <v>-1.112769108912</v>
      </c>
      <c r="AE979">
        <v>-11.0840999999999</v>
      </c>
      <c r="AF979">
        <v>7.6375798060029201</v>
      </c>
      <c r="AG979">
        <v>-1.112769108912</v>
      </c>
      <c r="AH979">
        <v>18.479290595860999</v>
      </c>
      <c r="AI979">
        <v>93.1852932864184</v>
      </c>
      <c r="AJ979">
        <v>67.5444565050189</v>
      </c>
      <c r="AK979">
        <v>20.0263591625909</v>
      </c>
      <c r="AL979">
        <v>77.979204241010095</v>
      </c>
      <c r="AM979">
        <v>80.780340349012405</v>
      </c>
      <c r="AN979">
        <v>0.99999999925966998</v>
      </c>
    </row>
    <row r="980" spans="1:40" x14ac:dyDescent="0.25">
      <c r="A980" t="str">
        <f>"20190303170957713"</f>
        <v>20190303170957713</v>
      </c>
      <c r="B980" t="str">
        <f>"1551604197701306"</f>
        <v>1551604197701306</v>
      </c>
      <c r="C980" t="s">
        <v>40</v>
      </c>
      <c r="D980">
        <v>4.7548760000000003</v>
      </c>
      <c r="E980">
        <v>0.60085109999999997</v>
      </c>
      <c r="F980" t="s">
        <v>44</v>
      </c>
      <c r="G980">
        <v>-193.7604</v>
      </c>
      <c r="H980" s="1">
        <v>-4.0437239999999997E-6</v>
      </c>
      <c r="I980">
        <v>355.14080000000001</v>
      </c>
      <c r="J980">
        <v>-210.33179999999999</v>
      </c>
      <c r="K980">
        <v>1.112608</v>
      </c>
      <c r="L980">
        <v>366.28449999999998</v>
      </c>
      <c r="M980">
        <v>0.98009139999999995</v>
      </c>
      <c r="N980">
        <v>-1.4520190000000001E-2</v>
      </c>
      <c r="O980">
        <v>-0.19801540000000001</v>
      </c>
      <c r="P980">
        <v>0.9187573</v>
      </c>
      <c r="Q980">
        <v>0.1963384</v>
      </c>
      <c r="R980">
        <v>-0.342543599999999</v>
      </c>
      <c r="S980">
        <v>2.6505429999999999</v>
      </c>
      <c r="T980">
        <v>-0.17570810000000001</v>
      </c>
      <c r="U980">
        <v>-1.767029</v>
      </c>
      <c r="V980">
        <v>0.158107</v>
      </c>
      <c r="W980">
        <v>0.2071711</v>
      </c>
      <c r="X980">
        <v>0.96544410000000003</v>
      </c>
      <c r="Y980">
        <v>0.37838539999999998</v>
      </c>
      <c r="Z980">
        <v>-5.3753169999999897E-3</v>
      </c>
      <c r="AA980">
        <v>0.92563249999999997</v>
      </c>
      <c r="AB980">
        <v>35</v>
      </c>
      <c r="AC980">
        <v>16.571399999999901</v>
      </c>
      <c r="AD980">
        <v>-1.1126120437239999</v>
      </c>
      <c r="AE980">
        <v>-11.1436999999999</v>
      </c>
      <c r="AF980">
        <v>7.6176113308346798</v>
      </c>
      <c r="AG980">
        <v>-1.1126120437239999</v>
      </c>
      <c r="AH980">
        <v>18.3929610032421</v>
      </c>
      <c r="AI980">
        <v>93.198798637356205</v>
      </c>
      <c r="AJ980">
        <v>67.502665779815899</v>
      </c>
      <c r="AK980">
        <v>19.939080280050199</v>
      </c>
      <c r="AL980">
        <v>78.043377204562503</v>
      </c>
      <c r="AM980">
        <v>80.699452923573105</v>
      </c>
      <c r="AN980">
        <v>0.99999999917450999</v>
      </c>
    </row>
    <row r="981" spans="1:40" x14ac:dyDescent="0.25">
      <c r="A981" t="str">
        <f>"20190303170957724"</f>
        <v>20190303170957724</v>
      </c>
      <c r="B981" t="str">
        <f>"1551604197711067"</f>
        <v>1551604197711067</v>
      </c>
      <c r="C981" t="s">
        <v>40</v>
      </c>
      <c r="D981">
        <v>4.7637080000000003</v>
      </c>
      <c r="E981">
        <v>0.60091059999999996</v>
      </c>
      <c r="F981" t="s">
        <v>44</v>
      </c>
      <c r="G981">
        <v>-193.90260000000001</v>
      </c>
      <c r="H981" s="1">
        <v>-4.081745E-6</v>
      </c>
      <c r="I981">
        <v>355.15480000000002</v>
      </c>
      <c r="J981">
        <v>-210.15729999999999</v>
      </c>
      <c r="K981">
        <v>1.1124860000000001</v>
      </c>
      <c r="L981">
        <v>366.24520000000001</v>
      </c>
      <c r="M981">
        <v>0.97913479999999997</v>
      </c>
      <c r="N981">
        <v>-1.453727E-2</v>
      </c>
      <c r="O981">
        <v>-0.20269180000000001</v>
      </c>
      <c r="P981">
        <v>0.91700800000000005</v>
      </c>
      <c r="Q981">
        <v>0.19584950000000001</v>
      </c>
      <c r="R981">
        <v>-0.34747600000000001</v>
      </c>
      <c r="S981">
        <v>2.6373139999999999</v>
      </c>
      <c r="T981">
        <v>-0.17860319999999999</v>
      </c>
      <c r="U981">
        <v>-1.786621</v>
      </c>
      <c r="V981">
        <v>0.15871589999999999</v>
      </c>
      <c r="W981">
        <v>0.20664199999999999</v>
      </c>
      <c r="X981">
        <v>0.96545760000000003</v>
      </c>
      <c r="Y981">
        <v>0.38081979999999999</v>
      </c>
      <c r="Z981">
        <v>-5.2642369999999997E-3</v>
      </c>
      <c r="AA981">
        <v>0.92463430000000002</v>
      </c>
      <c r="AB981">
        <v>35</v>
      </c>
      <c r="AC981">
        <v>16.2546999999999</v>
      </c>
      <c r="AD981">
        <v>-1.1124900817450001</v>
      </c>
      <c r="AE981">
        <v>-11.090399999999899</v>
      </c>
      <c r="AF981">
        <v>7.5409975876304101</v>
      </c>
      <c r="AG981">
        <v>-1.1124900817450001</v>
      </c>
      <c r="AH981">
        <v>18.107516348955201</v>
      </c>
      <c r="AI981">
        <v>93.246124146479602</v>
      </c>
      <c r="AJ981">
        <v>67.390383481563305</v>
      </c>
      <c r="AK981">
        <v>19.646537280811302</v>
      </c>
      <c r="AL981">
        <v>78.074363104990098</v>
      </c>
      <c r="AM981">
        <v>80.664392428300104</v>
      </c>
      <c r="AN981">
        <v>1.0000000152372801</v>
      </c>
    </row>
    <row r="982" spans="1:40" x14ac:dyDescent="0.25">
      <c r="A982" t="str">
        <f>"20190303170957737"</f>
        <v>20190303170957737</v>
      </c>
      <c r="B982" t="str">
        <f>"1551604197731563"</f>
        <v>1551604197731563</v>
      </c>
      <c r="C982" t="s">
        <v>40</v>
      </c>
      <c r="D982">
        <v>4.718172</v>
      </c>
      <c r="E982">
        <v>0.60101309999999997</v>
      </c>
      <c r="F982" t="s">
        <v>44</v>
      </c>
      <c r="G982">
        <v>-193.90100000000001</v>
      </c>
      <c r="H982" s="1">
        <v>-4.0553760000000004E-6</v>
      </c>
      <c r="I982">
        <v>355.09890000000001</v>
      </c>
      <c r="J982">
        <v>-209.96080000000001</v>
      </c>
      <c r="K982">
        <v>1.1123499999999999</v>
      </c>
      <c r="L982">
        <v>366.20030000000003</v>
      </c>
      <c r="M982">
        <v>0.97802140000000004</v>
      </c>
      <c r="N982">
        <v>-1.455613E-2</v>
      </c>
      <c r="O982">
        <v>-0.20799580000000001</v>
      </c>
      <c r="P982">
        <v>0.91479549999999998</v>
      </c>
      <c r="Q982">
        <v>0.19583220000000001</v>
      </c>
      <c r="R982">
        <v>-0.35326920000000001</v>
      </c>
      <c r="S982">
        <v>2.6272739999999999</v>
      </c>
      <c r="T982">
        <v>-0.17979629999999999</v>
      </c>
      <c r="U982">
        <v>-1.8014220000000001</v>
      </c>
      <c r="V982">
        <v>0.1596572</v>
      </c>
      <c r="W982">
        <v>0.20657159999999999</v>
      </c>
      <c r="X982">
        <v>0.96531739999999999</v>
      </c>
      <c r="Y982">
        <v>0.38099830000000001</v>
      </c>
      <c r="Z982">
        <v>-5.0377209999999898E-3</v>
      </c>
      <c r="AA982">
        <v>0.92456199999999999</v>
      </c>
      <c r="AB982">
        <v>35</v>
      </c>
      <c r="AC982">
        <v>16.059799999999999</v>
      </c>
      <c r="AD982">
        <v>-1.1123540553760001</v>
      </c>
      <c r="AE982">
        <v>-11.1014</v>
      </c>
      <c r="AF982">
        <v>7.4935066057809703</v>
      </c>
      <c r="AG982">
        <v>-1.1123540553760001</v>
      </c>
      <c r="AH982">
        <v>17.959480831680299</v>
      </c>
      <c r="AI982">
        <v>93.271509758919706</v>
      </c>
      <c r="AJ982">
        <v>67.351898352228602</v>
      </c>
      <c r="AK982">
        <v>19.491868164413699</v>
      </c>
      <c r="AL982">
        <v>78.078485069572395</v>
      </c>
      <c r="AM982">
        <v>80.608669297980299</v>
      </c>
      <c r="AN982">
        <v>0.99999996509057898</v>
      </c>
    </row>
    <row r="983" spans="1:40" x14ac:dyDescent="0.25">
      <c r="A983" t="str">
        <f>"20190303170957749"</f>
        <v>20190303170957749</v>
      </c>
      <c r="B983" t="str">
        <f>"1551604197741323"</f>
        <v>1551604197741323</v>
      </c>
      <c r="C983" t="s">
        <v>40</v>
      </c>
      <c r="D983">
        <v>4.709022</v>
      </c>
      <c r="E983">
        <v>0.60107140000000003</v>
      </c>
      <c r="F983" t="s">
        <v>44</v>
      </c>
      <c r="G983">
        <v>-193.72739999999999</v>
      </c>
      <c r="H983" s="1">
        <v>-3.9291890000000003E-6</v>
      </c>
      <c r="I983">
        <v>354.91070000000002</v>
      </c>
      <c r="J983">
        <v>-209.7704</v>
      </c>
      <c r="K983">
        <v>1.112217</v>
      </c>
      <c r="L983">
        <v>366.15499999999997</v>
      </c>
      <c r="M983">
        <v>0.97688540000000001</v>
      </c>
      <c r="N983">
        <v>-1.4575869999999999E-2</v>
      </c>
      <c r="O983">
        <v>-0.2132666</v>
      </c>
      <c r="P983">
        <v>0.9126474</v>
      </c>
      <c r="Q983">
        <v>0.19573099999999999</v>
      </c>
      <c r="R983">
        <v>-0.35883769999999998</v>
      </c>
      <c r="S983">
        <v>2.6153719999999998</v>
      </c>
      <c r="T983">
        <v>-0.1792115</v>
      </c>
      <c r="U983">
        <v>-1.818878</v>
      </c>
      <c r="V983">
        <v>0.1603956</v>
      </c>
      <c r="W983">
        <v>0.2064232</v>
      </c>
      <c r="X983">
        <v>0.96522680000000005</v>
      </c>
      <c r="Y983">
        <v>0.38214910000000002</v>
      </c>
      <c r="Z983">
        <v>-4.85762E-3</v>
      </c>
      <c r="AA983">
        <v>0.92408789999999996</v>
      </c>
      <c r="AB983">
        <v>35</v>
      </c>
      <c r="AC983">
        <v>16.042999999999999</v>
      </c>
      <c r="AD983">
        <v>-1.112220929189</v>
      </c>
      <c r="AE983">
        <v>-11.2442999999999</v>
      </c>
      <c r="AF983">
        <v>7.53945941896938</v>
      </c>
      <c r="AG983">
        <v>-1.112220929189</v>
      </c>
      <c r="AH983">
        <v>18.014064565108502</v>
      </c>
      <c r="AI983">
        <v>93.259739558895603</v>
      </c>
      <c r="AJ983">
        <v>67.289137947357005</v>
      </c>
      <c r="AK983">
        <v>19.5598314379626</v>
      </c>
      <c r="AL983">
        <v>78.087175850857506</v>
      </c>
      <c r="AM983">
        <v>80.565144693271506</v>
      </c>
      <c r="AN983">
        <v>1.00000003071791</v>
      </c>
    </row>
    <row r="984" spans="1:40" x14ac:dyDescent="0.25">
      <c r="A984" t="str">
        <f>"20190303170957758"</f>
        <v>20190303170957758</v>
      </c>
      <c r="B984" t="str">
        <f>"1551604197752060"</f>
        <v>1551604197752060</v>
      </c>
      <c r="C984" t="s">
        <v>40</v>
      </c>
      <c r="D984">
        <v>4.6987459999999999</v>
      </c>
      <c r="E984">
        <v>0.60113950000000005</v>
      </c>
      <c r="F984" t="s">
        <v>44</v>
      </c>
      <c r="G984">
        <v>-193.64619999999999</v>
      </c>
      <c r="H984" s="1">
        <v>-3.8559459999999998E-6</v>
      </c>
      <c r="I984">
        <v>354.7921</v>
      </c>
      <c r="J984">
        <v>-209.61539999999999</v>
      </c>
      <c r="K984">
        <v>1.1121099999999999</v>
      </c>
      <c r="L984">
        <v>366.11770000000001</v>
      </c>
      <c r="M984">
        <v>0.97593260000000004</v>
      </c>
      <c r="N984">
        <v>-1.459154E-2</v>
      </c>
      <c r="O984">
        <v>-0.2175839</v>
      </c>
      <c r="P984">
        <v>0.91068729999999998</v>
      </c>
      <c r="Q984">
        <v>0.19582359999999999</v>
      </c>
      <c r="R984">
        <v>-0.36373369999999999</v>
      </c>
      <c r="S984">
        <v>2.6041110000000001</v>
      </c>
      <c r="T984">
        <v>-0.1796267</v>
      </c>
      <c r="U984">
        <v>-1.8351440000000001</v>
      </c>
      <c r="V984">
        <v>0.16137319999999999</v>
      </c>
      <c r="W984">
        <v>0.2064675</v>
      </c>
      <c r="X984">
        <v>0.96505430000000003</v>
      </c>
      <c r="Y984">
        <v>0.38379950000000002</v>
      </c>
      <c r="Z984">
        <v>-4.7321350000000002E-3</v>
      </c>
      <c r="AA984">
        <v>0.92340429999999996</v>
      </c>
      <c r="AB984">
        <v>35</v>
      </c>
      <c r="AC984">
        <v>15.969200000000001</v>
      </c>
      <c r="AD984">
        <v>-1.112113855946</v>
      </c>
      <c r="AE984">
        <v>-11.3256</v>
      </c>
      <c r="AF984">
        <v>7.5548097847039797</v>
      </c>
      <c r="AG984">
        <v>-1.112113855946</v>
      </c>
      <c r="AH984">
        <v>17.992991418533499</v>
      </c>
      <c r="AI984">
        <v>93.261676385588501</v>
      </c>
      <c r="AJ984">
        <v>67.223675780550295</v>
      </c>
      <c r="AK984">
        <v>19.546347185575801</v>
      </c>
      <c r="AL984">
        <v>78.084581033498196</v>
      </c>
      <c r="AM984">
        <v>80.507017419070294</v>
      </c>
      <c r="AN984">
        <v>0.999999970091489</v>
      </c>
    </row>
    <row r="985" spans="1:40" x14ac:dyDescent="0.25">
      <c r="A985" t="str">
        <f>"20190303170957769"</f>
        <v>20190303170957769</v>
      </c>
      <c r="B985" t="str">
        <f>"1551604197761819"</f>
        <v>1551604197761819</v>
      </c>
      <c r="C985" t="s">
        <v>40</v>
      </c>
      <c r="D985">
        <v>4.6855979999999997</v>
      </c>
      <c r="E985">
        <v>0.6012094</v>
      </c>
      <c r="F985" t="s">
        <v>44</v>
      </c>
      <c r="G985">
        <v>-193.52809999999999</v>
      </c>
      <c r="H985" s="1">
        <v>-3.7624019999999998E-6</v>
      </c>
      <c r="I985">
        <v>354.64749999999998</v>
      </c>
      <c r="J985">
        <v>-209.44749999999999</v>
      </c>
      <c r="K985">
        <v>1.1119950000000001</v>
      </c>
      <c r="L985">
        <v>366.07619999999997</v>
      </c>
      <c r="M985">
        <v>0.9748597</v>
      </c>
      <c r="N985">
        <v>-1.460964E-2</v>
      </c>
      <c r="O985">
        <v>-0.22234080000000001</v>
      </c>
      <c r="P985">
        <v>0.90861069999999999</v>
      </c>
      <c r="Q985">
        <v>0.1958271</v>
      </c>
      <c r="R985">
        <v>-0.36888850000000001</v>
      </c>
      <c r="S985">
        <v>2.5940400000000001</v>
      </c>
      <c r="T985">
        <v>-0.1793256</v>
      </c>
      <c r="U985">
        <v>-1.849548</v>
      </c>
      <c r="V985">
        <v>0.16219529999999999</v>
      </c>
      <c r="W985">
        <v>0.206425</v>
      </c>
      <c r="X985">
        <v>0.96492560000000005</v>
      </c>
      <c r="Y985">
        <v>0.38439459999999998</v>
      </c>
      <c r="Z985">
        <v>-4.551673E-3</v>
      </c>
      <c r="AA985">
        <v>0.92315760000000002</v>
      </c>
      <c r="AB985">
        <v>35</v>
      </c>
      <c r="AC985">
        <v>15.9193999999999</v>
      </c>
      <c r="AD985">
        <v>-1.111998762402</v>
      </c>
      <c r="AE985">
        <v>-11.4286999999999</v>
      </c>
      <c r="AF985">
        <v>7.5782566614350202</v>
      </c>
      <c r="AG985">
        <v>-1.111998762402</v>
      </c>
      <c r="AH985">
        <v>18.004202751443302</v>
      </c>
      <c r="AI985">
        <v>93.258103952424193</v>
      </c>
      <c r="AJ985">
        <v>67.172996622628702</v>
      </c>
      <c r="AK985">
        <v>19.5657310619676</v>
      </c>
      <c r="AL985">
        <v>78.087070134488201</v>
      </c>
      <c r="AM985">
        <v>80.458294040637597</v>
      </c>
      <c r="AN985">
        <v>1.0000000047512201</v>
      </c>
    </row>
    <row r="986" spans="1:40" x14ac:dyDescent="0.25">
      <c r="A986" t="str">
        <f>"20190303170957782"</f>
        <v>20190303170957782</v>
      </c>
      <c r="B986" t="str">
        <f>"1551604197771579"</f>
        <v>1551604197771579</v>
      </c>
      <c r="C986" t="s">
        <v>40</v>
      </c>
      <c r="D986">
        <v>4.6964139999999999</v>
      </c>
      <c r="E986">
        <v>0.60127869999999894</v>
      </c>
      <c r="F986" t="s">
        <v>44</v>
      </c>
      <c r="G986">
        <v>-193.42339999999999</v>
      </c>
      <c r="H986" s="1">
        <v>-3.6699019999999998E-6</v>
      </c>
      <c r="I986">
        <v>354.50630000000001</v>
      </c>
      <c r="J986">
        <v>-209.26759999999999</v>
      </c>
      <c r="K986">
        <v>1.1118749999999999</v>
      </c>
      <c r="L986">
        <v>366.0308</v>
      </c>
      <c r="M986">
        <v>0.97366949999999997</v>
      </c>
      <c r="N986">
        <v>-1.462891E-2</v>
      </c>
      <c r="O986">
        <v>-0.2274941</v>
      </c>
      <c r="P986">
        <v>0.90625069999999996</v>
      </c>
      <c r="Q986">
        <v>0.19586870000000001</v>
      </c>
      <c r="R986">
        <v>-0.37462699999999999</v>
      </c>
      <c r="S986">
        <v>2.583145</v>
      </c>
      <c r="T986">
        <v>-0.17925820000000001</v>
      </c>
      <c r="U986">
        <v>-1.8651120000000001</v>
      </c>
      <c r="V986">
        <v>0.1632604</v>
      </c>
      <c r="W986">
        <v>0.20641190000000001</v>
      </c>
      <c r="X986">
        <v>0.96474870000000001</v>
      </c>
      <c r="Y986">
        <v>0.38501960000000002</v>
      </c>
      <c r="Z986">
        <v>-4.35345E-3</v>
      </c>
      <c r="AA986">
        <v>0.9228982</v>
      </c>
      <c r="AB986">
        <v>35</v>
      </c>
      <c r="AC986">
        <v>15.844200000000001</v>
      </c>
      <c r="AD986">
        <v>-1.111878669902</v>
      </c>
      <c r="AE986">
        <v>-11.5244999999999</v>
      </c>
      <c r="AF986">
        <v>7.5929531548540901</v>
      </c>
      <c r="AG986">
        <v>-1.111878669902</v>
      </c>
      <c r="AH986">
        <v>17.9927535923796</v>
      </c>
      <c r="AI986">
        <v>93.258558930351697</v>
      </c>
      <c r="AJ986">
        <v>67.120225089261993</v>
      </c>
      <c r="AK986">
        <v>19.560889387358699</v>
      </c>
      <c r="AL986">
        <v>78.087836476003304</v>
      </c>
      <c r="AM986">
        <v>80.395070934239499</v>
      </c>
      <c r="AN986">
        <v>0.99999994241072798</v>
      </c>
    </row>
    <row r="987" spans="1:40" x14ac:dyDescent="0.25">
      <c r="A987" t="str">
        <f>"20190303170957793"</f>
        <v>20190303170957793</v>
      </c>
      <c r="B987" t="str">
        <f>"1551604197781339"</f>
        <v>1551604197781339</v>
      </c>
      <c r="C987" t="s">
        <v>40</v>
      </c>
      <c r="D987">
        <v>4.6996039999999999</v>
      </c>
      <c r="E987">
        <v>0.60135179999999999</v>
      </c>
      <c r="F987" t="s">
        <v>44</v>
      </c>
      <c r="G987">
        <v>-193.27799999999999</v>
      </c>
      <c r="H987" s="1">
        <v>-3.5472589999999998E-6</v>
      </c>
      <c r="I987">
        <v>354.32659999999998</v>
      </c>
      <c r="J987">
        <v>-209.08179999999999</v>
      </c>
      <c r="K987">
        <v>1.111748</v>
      </c>
      <c r="L987">
        <v>365.98289999999997</v>
      </c>
      <c r="M987">
        <v>0.97239370000000003</v>
      </c>
      <c r="N987">
        <v>-1.4648889999999999E-2</v>
      </c>
      <c r="O987">
        <v>-0.23288639999999999</v>
      </c>
      <c r="P987">
        <v>0.90396860000000001</v>
      </c>
      <c r="Q987">
        <v>0.19546859999999999</v>
      </c>
      <c r="R987">
        <v>-0.3803067</v>
      </c>
      <c r="S987">
        <v>2.5710299999999999</v>
      </c>
      <c r="T987">
        <v>-0.1787831</v>
      </c>
      <c r="U987">
        <v>-1.881958</v>
      </c>
      <c r="V987">
        <v>0.1640046</v>
      </c>
      <c r="W987">
        <v>0.2059655</v>
      </c>
      <c r="X987">
        <v>0.96471790000000002</v>
      </c>
      <c r="Y987">
        <v>0.38592029999999999</v>
      </c>
      <c r="Z987">
        <v>-4.1602339999999996E-3</v>
      </c>
      <c r="AA987">
        <v>0.92252279999999998</v>
      </c>
      <c r="AB987">
        <v>35</v>
      </c>
      <c r="AC987">
        <v>15.803799999999899</v>
      </c>
      <c r="AD987">
        <v>-1.1117515472590001</v>
      </c>
      <c r="AE987">
        <v>-11.6562999999999</v>
      </c>
      <c r="AF987">
        <v>7.6303869412243603</v>
      </c>
      <c r="AG987">
        <v>-1.1117515472590001</v>
      </c>
      <c r="AH987">
        <v>18.026271666570501</v>
      </c>
      <c r="AI987">
        <v>93.250638830606405</v>
      </c>
      <c r="AJ987">
        <v>67.057420327047495</v>
      </c>
      <c r="AK987">
        <v>19.606255801979199</v>
      </c>
      <c r="AL987">
        <v>78.113975199010994</v>
      </c>
      <c r="AM987">
        <v>80.351807086175896</v>
      </c>
      <c r="AN987">
        <v>0.99999996129590896</v>
      </c>
    </row>
    <row r="988" spans="1:40" x14ac:dyDescent="0.25">
      <c r="A988" t="str">
        <f>"20190303170957804"</f>
        <v>20190303170957804</v>
      </c>
      <c r="B988" t="str">
        <f>"1551604197791099"</f>
        <v>1551604197791099</v>
      </c>
      <c r="C988" t="s">
        <v>40</v>
      </c>
      <c r="D988">
        <v>4.6543999999999999</v>
      </c>
      <c r="E988">
        <v>0.60139969999999998</v>
      </c>
      <c r="F988" t="s">
        <v>44</v>
      </c>
      <c r="G988">
        <v>-193.23</v>
      </c>
      <c r="H988" s="1">
        <v>-3.4811060000000002E-6</v>
      </c>
      <c r="I988">
        <v>354.21629999999999</v>
      </c>
      <c r="J988">
        <v>-208.9186</v>
      </c>
      <c r="K988">
        <v>1.111632</v>
      </c>
      <c r="L988">
        <v>365.93950000000001</v>
      </c>
      <c r="M988">
        <v>0.97122569999999997</v>
      </c>
      <c r="N988">
        <v>-1.4667319999999999E-2</v>
      </c>
      <c r="O988">
        <v>-0.23770949999999999</v>
      </c>
      <c r="P988">
        <v>0.90171780000000001</v>
      </c>
      <c r="Q988">
        <v>0.1954446</v>
      </c>
      <c r="R988">
        <v>-0.3856253</v>
      </c>
      <c r="S988">
        <v>2.5585330000000002</v>
      </c>
      <c r="T988">
        <v>-0.17944060000000001</v>
      </c>
      <c r="U988">
        <v>-1.89917</v>
      </c>
      <c r="V988">
        <v>0.164956399999999</v>
      </c>
      <c r="W988">
        <v>0.20589270000000001</v>
      </c>
      <c r="X988">
        <v>0.96457119999999996</v>
      </c>
      <c r="Y988">
        <v>0.38749729999999999</v>
      </c>
      <c r="Z988">
        <v>-4.0044310000000001E-3</v>
      </c>
      <c r="AA988">
        <v>0.92186210000000002</v>
      </c>
      <c r="AB988">
        <v>35</v>
      </c>
      <c r="AC988">
        <v>15.688599999999999</v>
      </c>
      <c r="AD988">
        <v>-1.1116354811060001</v>
      </c>
      <c r="AE988">
        <v>-11.7232</v>
      </c>
      <c r="AF988">
        <v>7.6327759193466704</v>
      </c>
      <c r="AG988">
        <v>-1.1116354811060001</v>
      </c>
      <c r="AH988">
        <v>17.967936594662099</v>
      </c>
      <c r="AI988">
        <v>93.259067766621698</v>
      </c>
      <c r="AJ988">
        <v>66.984224277432503</v>
      </c>
      <c r="AK988">
        <v>19.553560983810801</v>
      </c>
      <c r="AL988">
        <v>78.118238263439096</v>
      </c>
      <c r="AM988">
        <v>80.295427653784202</v>
      </c>
      <c r="AN988">
        <v>1.0000000088418399</v>
      </c>
    </row>
    <row r="989" spans="1:40" x14ac:dyDescent="0.25">
      <c r="A989" t="str">
        <f>"20190303170957816"</f>
        <v>20190303170957816</v>
      </c>
      <c r="B989" t="str">
        <f>"1551604197801367"</f>
        <v>1551604197801367</v>
      </c>
      <c r="C989" t="s">
        <v>40</v>
      </c>
      <c r="D989">
        <v>4.6518309999999996</v>
      </c>
      <c r="E989">
        <v>0.60144390000000003</v>
      </c>
      <c r="F989" t="s">
        <v>44</v>
      </c>
      <c r="G989">
        <v>-193.10650000000001</v>
      </c>
      <c r="H989" s="1">
        <v>-3.3718079999999999E-6</v>
      </c>
      <c r="I989">
        <v>354.05349999999999</v>
      </c>
      <c r="J989">
        <v>-208.74199999999999</v>
      </c>
      <c r="K989">
        <v>1.1115079999999999</v>
      </c>
      <c r="L989">
        <v>365.8922</v>
      </c>
      <c r="M989">
        <v>0.96992610000000001</v>
      </c>
      <c r="N989">
        <v>-1.4686619999999999E-2</v>
      </c>
      <c r="O989">
        <v>-0.24295649999999999</v>
      </c>
      <c r="P989">
        <v>0.89931689999999997</v>
      </c>
      <c r="Q989">
        <v>0.19543369999999999</v>
      </c>
      <c r="R989">
        <v>-0.3911965</v>
      </c>
      <c r="S989">
        <v>2.5470280000000001</v>
      </c>
      <c r="T989">
        <v>-0.1790638</v>
      </c>
      <c r="U989">
        <v>-1.914612</v>
      </c>
      <c r="V989">
        <v>0.16577159999999999</v>
      </c>
      <c r="W989">
        <v>0.20583199999999999</v>
      </c>
      <c r="X989">
        <v>0.96444439999999998</v>
      </c>
      <c r="Y989">
        <v>0.38808979999999998</v>
      </c>
      <c r="Z989">
        <v>-3.8045409999999998E-3</v>
      </c>
      <c r="AA989">
        <v>0.92161369999999998</v>
      </c>
      <c r="AB989">
        <v>35</v>
      </c>
      <c r="AC989">
        <v>15.6355</v>
      </c>
      <c r="AD989">
        <v>-1.1115113718080001</v>
      </c>
      <c r="AE989">
        <v>-11.838699999999999</v>
      </c>
      <c r="AF989">
        <v>7.6601405458753797</v>
      </c>
      <c r="AG989">
        <v>-1.1115113718080001</v>
      </c>
      <c r="AH989">
        <v>17.985740580480499</v>
      </c>
      <c r="AI989">
        <v>93.254197934640601</v>
      </c>
      <c r="AJ989">
        <v>66.930808348625106</v>
      </c>
      <c r="AK989">
        <v>19.580604560139701</v>
      </c>
      <c r="AL989">
        <v>78.121792352061405</v>
      </c>
      <c r="AM989">
        <v>80.247129660432606</v>
      </c>
      <c r="AN989">
        <v>1.0000000181409501</v>
      </c>
    </row>
    <row r="990" spans="1:40" x14ac:dyDescent="0.25">
      <c r="A990" t="str">
        <f>"20190303170957830"</f>
        <v>20190303170957830</v>
      </c>
      <c r="B990" t="str">
        <f>"1551604197821862"</f>
        <v>1551604197821862</v>
      </c>
      <c r="C990" t="s">
        <v>40</v>
      </c>
      <c r="D990">
        <v>4.6450379999999996</v>
      </c>
      <c r="E990">
        <v>0.601522</v>
      </c>
      <c r="F990" t="s">
        <v>44</v>
      </c>
      <c r="G990">
        <v>-192.9896</v>
      </c>
      <c r="H990" s="1">
        <v>-3.2649599999999998E-6</v>
      </c>
      <c r="I990">
        <v>353.89269999999999</v>
      </c>
      <c r="J990">
        <v>-208.51669999999999</v>
      </c>
      <c r="K990">
        <v>1.1113489999999999</v>
      </c>
      <c r="L990">
        <v>365.82940000000002</v>
      </c>
      <c r="M990">
        <v>0.96818320000000002</v>
      </c>
      <c r="N990">
        <v>-1.471369E-2</v>
      </c>
      <c r="O990">
        <v>-0.24981010000000001</v>
      </c>
      <c r="P990">
        <v>0.89626439999999996</v>
      </c>
      <c r="Q990">
        <v>0.19524830000000001</v>
      </c>
      <c r="R990">
        <v>-0.39823199999999997</v>
      </c>
      <c r="S990">
        <v>2.534821</v>
      </c>
      <c r="T990">
        <v>-0.1788604</v>
      </c>
      <c r="U990">
        <v>-1.9309080000000001</v>
      </c>
      <c r="V990">
        <v>0.16657439999999901</v>
      </c>
      <c r="W990">
        <v>0.20559169999999999</v>
      </c>
      <c r="X990">
        <v>0.96435729999999997</v>
      </c>
      <c r="Y990">
        <v>0.38746910000000001</v>
      </c>
      <c r="Z990">
        <v>-3.4868989999999999E-3</v>
      </c>
      <c r="AA990">
        <v>0.92187609999999998</v>
      </c>
      <c r="AB990">
        <v>35</v>
      </c>
      <c r="AC990">
        <v>15.5270999999999</v>
      </c>
      <c r="AD990">
        <v>-1.1113522649599901</v>
      </c>
      <c r="AE990">
        <v>-11.9367</v>
      </c>
      <c r="AF990">
        <v>7.6542696009235902</v>
      </c>
      <c r="AG990">
        <v>-1.1113522649599901</v>
      </c>
      <c r="AH990">
        <v>17.9591055026182</v>
      </c>
      <c r="AI990">
        <v>93.258191030506495</v>
      </c>
      <c r="AJ990">
        <v>66.916030260419205</v>
      </c>
      <c r="AK990">
        <v>19.553833829574799</v>
      </c>
      <c r="AL990">
        <v>78.135861089243093</v>
      </c>
      <c r="AM990">
        <v>80.199944006457898</v>
      </c>
      <c r="AN990">
        <v>0.99999998995376904</v>
      </c>
    </row>
    <row r="991" spans="1:40" x14ac:dyDescent="0.25">
      <c r="A991" t="str">
        <f>"20190303170957841"</f>
        <v>20190303170957841</v>
      </c>
      <c r="B991" t="str">
        <f>"1551604197831622"</f>
        <v>1551604197831622</v>
      </c>
      <c r="C991" t="s">
        <v>40</v>
      </c>
      <c r="D991">
        <v>4.6399520000000001</v>
      </c>
      <c r="E991">
        <v>0.60156229999999999</v>
      </c>
      <c r="F991" t="s">
        <v>44</v>
      </c>
      <c r="G991">
        <v>-192.88390000000001</v>
      </c>
      <c r="H991" s="1">
        <v>-3.155326E-6</v>
      </c>
      <c r="I991">
        <v>353.72140000000002</v>
      </c>
      <c r="J991">
        <v>-208.34379999999999</v>
      </c>
      <c r="K991">
        <v>1.111224</v>
      </c>
      <c r="L991">
        <v>365.78030000000001</v>
      </c>
      <c r="M991">
        <v>0.96679369999999998</v>
      </c>
      <c r="N991">
        <v>-1.473461E-2</v>
      </c>
      <c r="O991">
        <v>-0.25513269999999999</v>
      </c>
      <c r="P991">
        <v>0.89370439999999995</v>
      </c>
      <c r="Q991">
        <v>0.1953056</v>
      </c>
      <c r="R991">
        <v>-0.40391569999999999</v>
      </c>
      <c r="S991">
        <v>2.5192570000000001</v>
      </c>
      <c r="T991">
        <v>-0.17909659999999999</v>
      </c>
      <c r="U991">
        <v>-1.951233</v>
      </c>
      <c r="V991">
        <v>0.16746059999999999</v>
      </c>
      <c r="W991">
        <v>0.2055987</v>
      </c>
      <c r="X991">
        <v>0.96420229999999996</v>
      </c>
      <c r="Y991">
        <v>0.3898007</v>
      </c>
      <c r="Z991">
        <v>-3.3420910000000002E-3</v>
      </c>
      <c r="AA991">
        <v>0.92089319999999997</v>
      </c>
      <c r="AB991">
        <v>35</v>
      </c>
      <c r="AC991">
        <v>15.4598999999999</v>
      </c>
      <c r="AD991">
        <v>-1.111227155326</v>
      </c>
      <c r="AE991">
        <v>-12.0588999999999</v>
      </c>
      <c r="AF991">
        <v>7.69027840283632</v>
      </c>
      <c r="AG991">
        <v>-1.111227155326</v>
      </c>
      <c r="AH991">
        <v>17.967398037493599</v>
      </c>
      <c r="AI991">
        <v>93.254204001053495</v>
      </c>
      <c r="AJ991">
        <v>66.828449849250404</v>
      </c>
      <c r="AK991">
        <v>19.575561293142901</v>
      </c>
      <c r="AL991">
        <v>78.135451103706899</v>
      </c>
      <c r="AM991">
        <v>80.147272542384101</v>
      </c>
      <c r="AN991">
        <v>0.999999976659669</v>
      </c>
    </row>
    <row r="992" spans="1:40" x14ac:dyDescent="0.25">
      <c r="A992" t="str">
        <f>"20190303170957853"</f>
        <v>20190303170957853</v>
      </c>
      <c r="B992" t="str">
        <f>"1551604197841383"</f>
        <v>1551604197841383</v>
      </c>
      <c r="C992" t="s">
        <v>40</v>
      </c>
      <c r="D992">
        <v>4.6283909999999997</v>
      </c>
      <c r="E992">
        <v>0.60159390000000001</v>
      </c>
      <c r="F992" t="s">
        <v>44</v>
      </c>
      <c r="G992">
        <v>-192.76840000000001</v>
      </c>
      <c r="H992" s="1">
        <v>-3.0463040000000001E-6</v>
      </c>
      <c r="I992">
        <v>353.5557</v>
      </c>
      <c r="J992">
        <v>-208.16399999999999</v>
      </c>
      <c r="K992">
        <v>1.1110910000000001</v>
      </c>
      <c r="L992">
        <v>365.72820000000002</v>
      </c>
      <c r="M992">
        <v>0.96529759999999998</v>
      </c>
      <c r="N992">
        <v>-1.4756770000000001E-2</v>
      </c>
      <c r="O992">
        <v>-0.2607351</v>
      </c>
      <c r="P992">
        <v>0.89122400000000002</v>
      </c>
      <c r="Q992">
        <v>0.1948097</v>
      </c>
      <c r="R992">
        <v>-0.40959659999999998</v>
      </c>
      <c r="S992">
        <v>2.5067140000000001</v>
      </c>
      <c r="T992">
        <v>-0.17884149999999999</v>
      </c>
      <c r="U992">
        <v>-1.967438</v>
      </c>
      <c r="V992">
        <v>0.16803129999999999</v>
      </c>
      <c r="W992">
        <v>0.20506060000000001</v>
      </c>
      <c r="X992">
        <v>0.96421760000000001</v>
      </c>
      <c r="Y992">
        <v>0.39038669999999998</v>
      </c>
      <c r="Z992">
        <v>-3.1264550000000002E-3</v>
      </c>
      <c r="AA992">
        <v>0.92064570000000001</v>
      </c>
      <c r="AB992">
        <v>35</v>
      </c>
      <c r="AC992">
        <v>15.3956</v>
      </c>
      <c r="AD992">
        <v>-1.111094046304</v>
      </c>
      <c r="AE992">
        <v>-12.172499999999999</v>
      </c>
      <c r="AF992">
        <v>7.7120373922346896</v>
      </c>
      <c r="AG992">
        <v>-1.111094046304</v>
      </c>
      <c r="AH992">
        <v>17.979474247795299</v>
      </c>
      <c r="AI992">
        <v>93.250550579399601</v>
      </c>
      <c r="AJ992">
        <v>66.783781870976597</v>
      </c>
      <c r="AK992">
        <v>19.595191883370099</v>
      </c>
      <c r="AL992">
        <v>78.166953148412802</v>
      </c>
      <c r="AM992">
        <v>80.114509891578606</v>
      </c>
      <c r="AN992">
        <v>0.999999973800904</v>
      </c>
    </row>
    <row r="993" spans="1:40" x14ac:dyDescent="0.25">
      <c r="A993" t="str">
        <f>"20190303170957864"</f>
        <v>20190303170957864</v>
      </c>
      <c r="B993" t="str">
        <f>"1551604197851143"</f>
        <v>1551604197851143</v>
      </c>
      <c r="C993" t="s">
        <v>40</v>
      </c>
      <c r="D993">
        <v>4.6302599999999998</v>
      </c>
      <c r="E993">
        <v>0.6016089</v>
      </c>
      <c r="F993" t="s">
        <v>44</v>
      </c>
      <c r="G993">
        <v>-192.79900000000001</v>
      </c>
      <c r="H993" s="1">
        <v>-3.030208E-6</v>
      </c>
      <c r="I993">
        <v>353.5102</v>
      </c>
      <c r="J993">
        <v>-207.99209999999999</v>
      </c>
      <c r="K993">
        <v>1.1109659999999999</v>
      </c>
      <c r="L993">
        <v>365.67689999999999</v>
      </c>
      <c r="M993">
        <v>0.96380889999999997</v>
      </c>
      <c r="N993">
        <v>-1.47791E-2</v>
      </c>
      <c r="O993">
        <v>-0.26618439999999999</v>
      </c>
      <c r="P993">
        <v>0.8886231</v>
      </c>
      <c r="Q993">
        <v>0.1945298</v>
      </c>
      <c r="R993">
        <v>-0.41534009999999999</v>
      </c>
      <c r="S993">
        <v>2.4940799999999999</v>
      </c>
      <c r="T993">
        <v>-0.1803545</v>
      </c>
      <c r="U993">
        <v>-1.9832460000000001</v>
      </c>
      <c r="V993">
        <v>0.1688461</v>
      </c>
      <c r="W993">
        <v>0.20473340000000001</v>
      </c>
      <c r="X993">
        <v>0.96414480000000002</v>
      </c>
      <c r="Y993">
        <v>0.39102900000000002</v>
      </c>
      <c r="Z993">
        <v>-2.8816480000000001E-3</v>
      </c>
      <c r="AA993">
        <v>0.92037389999999997</v>
      </c>
      <c r="AB993">
        <v>35</v>
      </c>
      <c r="AC993">
        <v>15.1930999999999</v>
      </c>
      <c r="AD993">
        <v>-1.110969030208</v>
      </c>
      <c r="AE993">
        <v>-12.166699999999899</v>
      </c>
      <c r="AF993">
        <v>7.6580974032639402</v>
      </c>
      <c r="AG993">
        <v>-1.110969030208</v>
      </c>
      <c r="AH993">
        <v>17.825709719409598</v>
      </c>
      <c r="AI993">
        <v>93.277361752814897</v>
      </c>
      <c r="AJ993">
        <v>66.751171889190402</v>
      </c>
      <c r="AK993">
        <v>19.432875109582099</v>
      </c>
      <c r="AL993">
        <v>78.186106808411793</v>
      </c>
      <c r="AM993">
        <v>80.066791538771199</v>
      </c>
      <c r="AN993">
        <v>0.99999998296390402</v>
      </c>
    </row>
    <row r="994" spans="1:40" x14ac:dyDescent="0.25">
      <c r="A994" t="str">
        <f>"20190303170957880"</f>
        <v>20190303170957880</v>
      </c>
      <c r="B994" t="str">
        <f>"1551604197871639"</f>
        <v>1551604197871639</v>
      </c>
      <c r="C994" t="s">
        <v>40</v>
      </c>
      <c r="D994">
        <v>4.613963</v>
      </c>
      <c r="E994">
        <v>0.60160419999999903</v>
      </c>
      <c r="F994" t="s">
        <v>44</v>
      </c>
      <c r="G994">
        <v>-192.79839999999999</v>
      </c>
      <c r="H994" s="1">
        <v>-2.9930239999999998E-6</v>
      </c>
      <c r="I994">
        <v>353.4366</v>
      </c>
      <c r="J994">
        <v>-207.7697</v>
      </c>
      <c r="K994">
        <v>1.110808</v>
      </c>
      <c r="L994">
        <v>365.60939999999999</v>
      </c>
      <c r="M994">
        <v>0.96181539999999999</v>
      </c>
      <c r="N994">
        <v>-1.480763E-2</v>
      </c>
      <c r="O994">
        <v>-0.2732984</v>
      </c>
      <c r="P994">
        <v>0.8853896</v>
      </c>
      <c r="Q994">
        <v>0.1940933</v>
      </c>
      <c r="R994">
        <v>-0.4223905</v>
      </c>
      <c r="S994">
        <v>2.4813999999999998</v>
      </c>
      <c r="T994">
        <v>-0.18144060000000001</v>
      </c>
      <c r="U994">
        <v>-1.9990540000000001</v>
      </c>
      <c r="V994">
        <v>0.16942750000000001</v>
      </c>
      <c r="W994">
        <v>0.2042494</v>
      </c>
      <c r="X994">
        <v>0.96414549999999999</v>
      </c>
      <c r="Y994">
        <v>0.39008569999999998</v>
      </c>
      <c r="Z994">
        <v>-2.5056200000000001E-3</v>
      </c>
      <c r="AA994">
        <v>0.92077520000000002</v>
      </c>
      <c r="AB994">
        <v>35</v>
      </c>
      <c r="AC994">
        <v>14.971299999999999</v>
      </c>
      <c r="AD994">
        <v>-1.110810993024</v>
      </c>
      <c r="AE994">
        <v>-12.172799999999899</v>
      </c>
      <c r="AF994">
        <v>7.5920278980246696</v>
      </c>
      <c r="AG994">
        <v>-1.110810993024</v>
      </c>
      <c r="AH994">
        <v>17.669816288980499</v>
      </c>
      <c r="AI994">
        <v>93.305682224502107</v>
      </c>
      <c r="AJ994">
        <v>66.748697851415301</v>
      </c>
      <c r="AK994">
        <v>19.2638312999498</v>
      </c>
      <c r="AL994">
        <v>78.214437066619794</v>
      </c>
      <c r="AM994">
        <v>80.033279580040599</v>
      </c>
      <c r="AN994">
        <v>1.00000002016342</v>
      </c>
    </row>
    <row r="995" spans="1:40" x14ac:dyDescent="0.25">
      <c r="A995" t="str">
        <f>"20190303170957892"</f>
        <v>20190303170957892</v>
      </c>
      <c r="B995" t="str">
        <f>"1551604197881398"</f>
        <v>1551604197881398</v>
      </c>
      <c r="C995" t="s">
        <v>40</v>
      </c>
      <c r="D995">
        <v>4.6100009999999996</v>
      </c>
      <c r="E995">
        <v>0.60160119999999995</v>
      </c>
      <c r="F995" t="s">
        <v>44</v>
      </c>
      <c r="G995">
        <v>-192.7784</v>
      </c>
      <c r="H995" s="1">
        <v>-2.934684E-6</v>
      </c>
      <c r="I995">
        <v>353.32940000000002</v>
      </c>
      <c r="J995">
        <v>-207.56700000000001</v>
      </c>
      <c r="K995">
        <v>1.1106609999999999</v>
      </c>
      <c r="L995">
        <v>365.54590000000002</v>
      </c>
      <c r="M995">
        <v>0.95991559999999998</v>
      </c>
      <c r="N995">
        <v>-1.483407E-2</v>
      </c>
      <c r="O995">
        <v>-0.27989629999999999</v>
      </c>
      <c r="P995">
        <v>0.88220569999999898</v>
      </c>
      <c r="Q995">
        <v>0.1939466</v>
      </c>
      <c r="R995">
        <v>-0.42906610000000001</v>
      </c>
      <c r="S995">
        <v>2.4650569999999998</v>
      </c>
      <c r="T995">
        <v>-0.18265380000000001</v>
      </c>
      <c r="U995">
        <v>-2.0192260000000002</v>
      </c>
      <c r="V995">
        <v>0.17014760000000001</v>
      </c>
      <c r="W995">
        <v>0.20405380000000001</v>
      </c>
      <c r="X995">
        <v>0.96406009999999998</v>
      </c>
      <c r="Y995">
        <v>0.39126290000000002</v>
      </c>
      <c r="Z995">
        <v>-2.2266199999999999E-3</v>
      </c>
      <c r="AA995">
        <v>0.92027630000000005</v>
      </c>
      <c r="AB995">
        <v>35</v>
      </c>
      <c r="AC995">
        <v>14.788600000000001</v>
      </c>
      <c r="AD995">
        <v>-1.1106639346839999</v>
      </c>
      <c r="AE995">
        <v>-12.2164999999999</v>
      </c>
      <c r="AF995">
        <v>7.5630138971960399</v>
      </c>
      <c r="AG995">
        <v>-1.1106639346839999</v>
      </c>
      <c r="AH995">
        <v>17.558234138567201</v>
      </c>
      <c r="AI995">
        <v>93.3249047838124</v>
      </c>
      <c r="AJ995">
        <v>66.696576846432606</v>
      </c>
      <c r="AK995">
        <v>19.150048032569899</v>
      </c>
      <c r="AL995">
        <v>78.225885198455401</v>
      </c>
      <c r="AM995">
        <v>79.990905099208604</v>
      </c>
      <c r="AN995">
        <v>1.0000000177460999</v>
      </c>
    </row>
    <row r="996" spans="1:40" x14ac:dyDescent="0.25">
      <c r="A996" t="str">
        <f>"20190303170957905"</f>
        <v>20190303170957905</v>
      </c>
      <c r="B996" t="str">
        <f>"1551604197892135"</f>
        <v>1551604197892135</v>
      </c>
      <c r="C996" t="s">
        <v>40</v>
      </c>
      <c r="D996">
        <v>4.5933409999999997</v>
      </c>
      <c r="E996">
        <v>0.60159219999999902</v>
      </c>
      <c r="F996" t="s">
        <v>44</v>
      </c>
      <c r="G996">
        <v>-192.71889999999999</v>
      </c>
      <c r="H996" s="1">
        <v>-2.851386E-6</v>
      </c>
      <c r="I996">
        <v>353.1977</v>
      </c>
      <c r="J996">
        <v>-207.38480000000001</v>
      </c>
      <c r="K996">
        <v>1.1105339999999999</v>
      </c>
      <c r="L996">
        <v>365.48739999999998</v>
      </c>
      <c r="M996">
        <v>0.95814189999999999</v>
      </c>
      <c r="N996">
        <v>-1.485787E-2</v>
      </c>
      <c r="O996">
        <v>-0.285908</v>
      </c>
      <c r="P996">
        <v>0.87906909999999905</v>
      </c>
      <c r="Q996">
        <v>0.1933694</v>
      </c>
      <c r="R996">
        <v>-0.43571290000000001</v>
      </c>
      <c r="S996">
        <v>2.4499209999999998</v>
      </c>
      <c r="T996">
        <v>-0.18325830000000001</v>
      </c>
      <c r="U996">
        <v>-2.037445</v>
      </c>
      <c r="V996">
        <v>0.1713933</v>
      </c>
      <c r="W996">
        <v>0.2034185</v>
      </c>
      <c r="X996">
        <v>0.96397370000000004</v>
      </c>
      <c r="Y996">
        <v>0.3923354</v>
      </c>
      <c r="Z996">
        <v>-1.9815990000000001E-3</v>
      </c>
      <c r="AA996">
        <v>0.91982010000000003</v>
      </c>
      <c r="AB996">
        <v>35</v>
      </c>
      <c r="AC996">
        <v>14.665900000000001</v>
      </c>
      <c r="AD996">
        <v>-1.1105368513859999</v>
      </c>
      <c r="AE996">
        <v>-12.2896999999999</v>
      </c>
      <c r="AF996">
        <v>7.5575576505942204</v>
      </c>
      <c r="AG996">
        <v>-1.1105368513859999</v>
      </c>
      <c r="AH996">
        <v>17.508697676936599</v>
      </c>
      <c r="AI996">
        <v>93.332813088448503</v>
      </c>
      <c r="AJ996">
        <v>66.652755107070305</v>
      </c>
      <c r="AK996">
        <v>19.102472721684599</v>
      </c>
      <c r="AL996">
        <v>78.263065072052598</v>
      </c>
      <c r="AM996">
        <v>79.918238299001402</v>
      </c>
      <c r="AN996">
        <v>1.0000000218594101</v>
      </c>
    </row>
    <row r="997" spans="1:40" x14ac:dyDescent="0.25">
      <c r="A997" t="str">
        <f>"20190303170957918"</f>
        <v>20190303170957918</v>
      </c>
      <c r="B997" t="str">
        <f>"1551604197911184"</f>
        <v>1551604197911184</v>
      </c>
      <c r="C997" t="s">
        <v>40</v>
      </c>
      <c r="D997">
        <v>4.5811469999999996</v>
      </c>
      <c r="E997">
        <v>0.60158859999999903</v>
      </c>
      <c r="F997" t="s">
        <v>44</v>
      </c>
      <c r="G997">
        <v>-192.80950000000001</v>
      </c>
      <c r="H997" s="1">
        <v>-2.8653619999999999E-6</v>
      </c>
      <c r="I997">
        <v>353.18060000000003</v>
      </c>
      <c r="J997">
        <v>-207.19319999999999</v>
      </c>
      <c r="K997">
        <v>1.1104019999999999</v>
      </c>
      <c r="L997">
        <v>365.42500000000001</v>
      </c>
      <c r="M997">
        <v>0.95622039999999997</v>
      </c>
      <c r="N997">
        <v>-1.4882080000000001E-2</v>
      </c>
      <c r="O997">
        <v>-0.2922691</v>
      </c>
      <c r="P997">
        <v>0.87594159999999899</v>
      </c>
      <c r="Q997">
        <v>0.19325049999999999</v>
      </c>
      <c r="R997">
        <v>-0.44201889999999999</v>
      </c>
      <c r="S997">
        <v>2.4346009999999998</v>
      </c>
      <c r="T997">
        <v>-0.18550059999999999</v>
      </c>
      <c r="U997">
        <v>-2.0556950000000001</v>
      </c>
      <c r="V997">
        <v>0.17196649999999999</v>
      </c>
      <c r="W997">
        <v>0.2032574</v>
      </c>
      <c r="X997">
        <v>0.96390560000000003</v>
      </c>
      <c r="Y997">
        <v>0.393096</v>
      </c>
      <c r="Z997">
        <v>-1.655964E-3</v>
      </c>
      <c r="AA997">
        <v>0.91949590000000003</v>
      </c>
      <c r="AB997">
        <v>35</v>
      </c>
      <c r="AC997">
        <v>14.3836999999999</v>
      </c>
      <c r="AD997">
        <v>-1.110404865362</v>
      </c>
      <c r="AE997">
        <v>-12.244399999999899</v>
      </c>
      <c r="AF997">
        <v>7.4794190228540396</v>
      </c>
      <c r="AG997">
        <v>-1.110404865362</v>
      </c>
      <c r="AH997">
        <v>17.274871161898599</v>
      </c>
      <c r="AI997">
        <v>93.375801694964196</v>
      </c>
      <c r="AJ997">
        <v>66.589064791766802</v>
      </c>
      <c r="AK997">
        <v>18.857250105586601</v>
      </c>
      <c r="AL997">
        <v>78.272492429379895</v>
      </c>
      <c r="AM997">
        <v>79.884516509699395</v>
      </c>
      <c r="AN997">
        <v>1.00000002674418</v>
      </c>
    </row>
    <row r="998" spans="1:40" x14ac:dyDescent="0.25">
      <c r="A998" t="str">
        <f>"20190303170957929"</f>
        <v>20190303170957929</v>
      </c>
      <c r="B998" t="str">
        <f>"1551604197921921"</f>
        <v>1551604197921921</v>
      </c>
      <c r="C998" t="s">
        <v>40</v>
      </c>
      <c r="D998">
        <v>4.5880769999999904</v>
      </c>
      <c r="E998">
        <v>0.60158859999999903</v>
      </c>
      <c r="F998" t="s">
        <v>44</v>
      </c>
      <c r="G998">
        <v>-192.76439999999999</v>
      </c>
      <c r="H998" s="1">
        <v>-2.7862959999999998E-6</v>
      </c>
      <c r="I998">
        <v>353.06729999999999</v>
      </c>
      <c r="J998">
        <v>-206.99950000000001</v>
      </c>
      <c r="K998">
        <v>1.110276</v>
      </c>
      <c r="L998">
        <v>365.35969999999998</v>
      </c>
      <c r="M998">
        <v>0.95419319999999996</v>
      </c>
      <c r="N998">
        <v>-1.490681E-2</v>
      </c>
      <c r="O998">
        <v>-0.29881960000000002</v>
      </c>
      <c r="P998">
        <v>0.87274119999999999</v>
      </c>
      <c r="Q998">
        <v>0.19291559999999999</v>
      </c>
      <c r="R998">
        <v>-0.44844899999999999</v>
      </c>
      <c r="S998">
        <v>2.4200439999999999</v>
      </c>
      <c r="T998">
        <v>-0.1862415</v>
      </c>
      <c r="U998">
        <v>-2.0726930000000001</v>
      </c>
      <c r="V998">
        <v>0.17247579999999901</v>
      </c>
      <c r="W998">
        <v>0.20288390000000001</v>
      </c>
      <c r="X998">
        <v>0.96389329999999995</v>
      </c>
      <c r="Y998">
        <v>0.39325139999999997</v>
      </c>
      <c r="Z998">
        <v>-1.336262E-3</v>
      </c>
      <c r="AA998">
        <v>0.91942999999999997</v>
      </c>
      <c r="AB998">
        <v>35</v>
      </c>
      <c r="AC998">
        <v>14.235099999999999</v>
      </c>
      <c r="AD998">
        <v>-1.110278786296</v>
      </c>
      <c r="AE998">
        <v>-12.292399999999899</v>
      </c>
      <c r="AF998">
        <v>7.4504648035044596</v>
      </c>
      <c r="AG998">
        <v>-1.110278786296</v>
      </c>
      <c r="AH998">
        <v>17.198230541270298</v>
      </c>
      <c r="AI998">
        <v>93.390122900353006</v>
      </c>
      <c r="AJ998">
        <v>66.577202506853297</v>
      </c>
      <c r="AK998">
        <v>18.775550019167</v>
      </c>
      <c r="AL998">
        <v>78.294347890075102</v>
      </c>
      <c r="AM998">
        <v>79.855052824373303</v>
      </c>
      <c r="AN998">
        <v>1.00000003612486</v>
      </c>
    </row>
    <row r="999" spans="1:40" x14ac:dyDescent="0.25">
      <c r="A999" t="str">
        <f>"20190303170957940"</f>
        <v>20190303170957940</v>
      </c>
      <c r="B999" t="str">
        <f>"1551604197931680"</f>
        <v>1551604197931680</v>
      </c>
      <c r="C999" t="s">
        <v>40</v>
      </c>
      <c r="D999">
        <v>4.5384949999999904</v>
      </c>
      <c r="E999">
        <v>0.5998019</v>
      </c>
      <c r="F999" t="s">
        <v>44</v>
      </c>
      <c r="G999">
        <v>-192.7474</v>
      </c>
      <c r="H999" s="1">
        <v>-2.7257029999999999E-6</v>
      </c>
      <c r="I999">
        <v>352.9726</v>
      </c>
      <c r="J999">
        <v>-206.84289999999999</v>
      </c>
      <c r="K999">
        <v>1.1101799999999999</v>
      </c>
      <c r="L999">
        <v>365.30619999999999</v>
      </c>
      <c r="M999">
        <v>0.95250789999999996</v>
      </c>
      <c r="N999">
        <v>-1.492628E-2</v>
      </c>
      <c r="O999">
        <v>-0.30414839999999999</v>
      </c>
      <c r="P999">
        <v>0.8700348</v>
      </c>
      <c r="Q999">
        <v>0.1927063</v>
      </c>
      <c r="R999">
        <v>-0.45376660000000002</v>
      </c>
      <c r="S999">
        <v>2.4048609999999999</v>
      </c>
      <c r="T999">
        <v>-0.1873455</v>
      </c>
      <c r="U999">
        <v>-2.090179</v>
      </c>
      <c r="V999">
        <v>0.1729994</v>
      </c>
      <c r="W999">
        <v>0.2026406</v>
      </c>
      <c r="X999">
        <v>0.9638506</v>
      </c>
      <c r="Y999">
        <v>0.39479140000000001</v>
      </c>
      <c r="Z999">
        <v>-1.112296E-3</v>
      </c>
      <c r="AA999">
        <v>0.91877010000000003</v>
      </c>
      <c r="AB999">
        <v>35</v>
      </c>
      <c r="AC999">
        <v>14.0954999999999</v>
      </c>
      <c r="AD999">
        <v>-1.1101827257029999</v>
      </c>
      <c r="AE999">
        <v>-12.333599999999899</v>
      </c>
      <c r="AF999">
        <v>7.4354339271556196</v>
      </c>
      <c r="AG999">
        <v>-1.1101827257029999</v>
      </c>
      <c r="AH999">
        <v>17.119084392706601</v>
      </c>
      <c r="AI999">
        <v>93.404070680831097</v>
      </c>
      <c r="AJ999">
        <v>66.522960464546699</v>
      </c>
      <c r="AK999">
        <v>18.6970915870399</v>
      </c>
      <c r="AL999">
        <v>78.308583136714503</v>
      </c>
      <c r="AM999">
        <v>79.824456079977693</v>
      </c>
      <c r="AN999">
        <v>0.99999999214454005</v>
      </c>
    </row>
    <row r="1000" spans="1:40" x14ac:dyDescent="0.25">
      <c r="A1000" t="str">
        <f>"20190303170957951"</f>
        <v>20190303170957951</v>
      </c>
      <c r="B1000" t="str">
        <f>"1551604197941441"</f>
        <v>1551604197941441</v>
      </c>
      <c r="C1000" t="s">
        <v>40</v>
      </c>
      <c r="D1000">
        <v>4.5272230000000002</v>
      </c>
      <c r="E1000">
        <v>0.5998019</v>
      </c>
      <c r="F1000" t="s">
        <v>44</v>
      </c>
      <c r="G1000">
        <v>-193.98920000000001</v>
      </c>
      <c r="H1000" s="1">
        <v>-3.59571E-6</v>
      </c>
      <c r="I1000">
        <v>354.10950000000003</v>
      </c>
      <c r="J1000">
        <v>-206.6747</v>
      </c>
      <c r="K1000">
        <v>1.1100760000000001</v>
      </c>
      <c r="L1000">
        <v>365.2475</v>
      </c>
      <c r="M1000">
        <v>0.95064219999999999</v>
      </c>
      <c r="N1000">
        <v>-1.494729E-2</v>
      </c>
      <c r="O1000">
        <v>-0.30992910000000001</v>
      </c>
      <c r="P1000">
        <v>0.86703439999999998</v>
      </c>
      <c r="Q1000">
        <v>0.1924159</v>
      </c>
      <c r="R1000">
        <v>-0.45959480000000003</v>
      </c>
      <c r="S1000">
        <v>2.4025729999999998</v>
      </c>
      <c r="T1000">
        <v>-0.2075129</v>
      </c>
      <c r="U1000">
        <v>-2.0928650000000002</v>
      </c>
      <c r="V1000">
        <v>0.17363519999999999</v>
      </c>
      <c r="W1000">
        <v>0.2023123</v>
      </c>
      <c r="X1000">
        <v>0.96380529999999998</v>
      </c>
      <c r="Y1000">
        <v>0.39016380000000001</v>
      </c>
      <c r="Z1000" s="1">
        <v>7.9796649999999998E-5</v>
      </c>
      <c r="AA1000">
        <v>0.92074540000000005</v>
      </c>
      <c r="AB1000">
        <v>35</v>
      </c>
      <c r="AC1000">
        <v>12.6854999999999</v>
      </c>
      <c r="AD1000">
        <v>-1.11007959571</v>
      </c>
      <c r="AE1000">
        <v>-11.1379999999999</v>
      </c>
      <c r="AF1000">
        <v>6.6287273037271</v>
      </c>
      <c r="AG1000">
        <v>-1.11007959571</v>
      </c>
      <c r="AH1000">
        <v>15.4463027634798</v>
      </c>
      <c r="AI1000">
        <v>93.778466373548</v>
      </c>
      <c r="AJ1000">
        <v>66.773577243745294</v>
      </c>
      <c r="AK1000">
        <v>16.845194312832199</v>
      </c>
      <c r="AL1000">
        <v>78.3277919140059</v>
      </c>
      <c r="AM1000">
        <v>79.787375076559499</v>
      </c>
      <c r="AN1000">
        <v>1.0000000528591999</v>
      </c>
    </row>
    <row r="1001" spans="1:40" x14ac:dyDescent="0.25">
      <c r="A1001" t="str">
        <f>"20190303170957962"</f>
        <v>20190303170957962</v>
      </c>
      <c r="B1001" t="str">
        <f>"1551604197951201"</f>
        <v>1551604197951201</v>
      </c>
      <c r="C1001" t="s">
        <v>40</v>
      </c>
      <c r="D1001">
        <v>4.527736</v>
      </c>
      <c r="E1001">
        <v>0.61965059999999905</v>
      </c>
      <c r="F1001" t="s">
        <v>44</v>
      </c>
      <c r="G1001">
        <v>-193.93979999999999</v>
      </c>
      <c r="H1001" s="1">
        <v>-3.5303989999999999E-6</v>
      </c>
      <c r="I1001">
        <v>354.00150000000002</v>
      </c>
      <c r="J1001">
        <v>-206.51249999999999</v>
      </c>
      <c r="K1001">
        <v>1.1099810000000001</v>
      </c>
      <c r="L1001">
        <v>365.18970000000002</v>
      </c>
      <c r="M1001">
        <v>0.94878779999999996</v>
      </c>
      <c r="N1001">
        <v>-1.4967329999999999E-2</v>
      </c>
      <c r="O1001">
        <v>-0.31555939999999999</v>
      </c>
      <c r="P1001">
        <v>0.86403819999999998</v>
      </c>
      <c r="Q1001">
        <v>0.1922896</v>
      </c>
      <c r="R1001">
        <v>-0.46525559999999999</v>
      </c>
      <c r="S1001">
        <v>2.38829</v>
      </c>
      <c r="T1001">
        <v>-0.20818339999999999</v>
      </c>
      <c r="U1001">
        <v>-2.10907</v>
      </c>
      <c r="V1001">
        <v>0.17426040000000001</v>
      </c>
      <c r="W1001">
        <v>0.20214979999999999</v>
      </c>
      <c r="X1001">
        <v>0.96372650000000004</v>
      </c>
      <c r="Y1001">
        <v>0.3909493</v>
      </c>
      <c r="Z1001">
        <v>3.7404989999999998E-4</v>
      </c>
      <c r="AA1001">
        <v>0.92041209999999996</v>
      </c>
      <c r="AB1001">
        <v>35</v>
      </c>
      <c r="AC1001">
        <v>12.5726999999999</v>
      </c>
      <c r="AD1001">
        <v>-1.1099845303989999</v>
      </c>
      <c r="AE1001">
        <v>-11.188199999999901</v>
      </c>
      <c r="AF1001">
        <v>6.6197442423169104</v>
      </c>
      <c r="AG1001">
        <v>-1.1099845303989999</v>
      </c>
      <c r="AH1001">
        <v>15.394136683772899</v>
      </c>
      <c r="AI1001">
        <v>93.789716073481898</v>
      </c>
      <c r="AJ1001">
        <v>66.731461325344199</v>
      </c>
      <c r="AK1001">
        <v>16.793823975798201</v>
      </c>
      <c r="AL1001">
        <v>78.337298260776507</v>
      </c>
      <c r="AM1001">
        <v>79.750560738898898</v>
      </c>
      <c r="AN1001">
        <v>0.99999999772522496</v>
      </c>
    </row>
    <row r="1002" spans="1:40" x14ac:dyDescent="0.25">
      <c r="A1002" t="str">
        <f>"20190303170957974"</f>
        <v>20190303170957974</v>
      </c>
      <c r="B1002" t="str">
        <f>"1551604197961937"</f>
        <v>1551604197961937</v>
      </c>
      <c r="C1002" t="s">
        <v>40</v>
      </c>
      <c r="D1002">
        <v>4.5026409999999997</v>
      </c>
      <c r="E1002">
        <v>0.62797309999999995</v>
      </c>
      <c r="F1002" t="s">
        <v>42</v>
      </c>
      <c r="G1002">
        <v>-187.78540000000001</v>
      </c>
      <c r="H1002" s="1">
        <v>-3.4025009999999998E-6</v>
      </c>
      <c r="I1002">
        <v>346.64839999999998</v>
      </c>
      <c r="J1002">
        <v>-206.33760000000001</v>
      </c>
      <c r="K1002">
        <v>1.1098790000000001</v>
      </c>
      <c r="L1002">
        <v>365.12630000000001</v>
      </c>
      <c r="M1002">
        <v>0.94673450000000003</v>
      </c>
      <c r="N1002">
        <v>-1.4988339999999999E-2</v>
      </c>
      <c r="O1002">
        <v>-0.32166620000000001</v>
      </c>
      <c r="P1002">
        <v>0.86060919999999896</v>
      </c>
      <c r="Q1002">
        <v>0.19237750000000001</v>
      </c>
      <c r="R1002">
        <v>-0.47153230000000002</v>
      </c>
      <c r="S1002">
        <v>2.2843779999999998</v>
      </c>
      <c r="T1002">
        <v>-0.1353993</v>
      </c>
      <c r="U1002">
        <v>-2.2617189999999998</v>
      </c>
      <c r="V1002">
        <v>0.17512459999999999</v>
      </c>
      <c r="W1002">
        <v>0.20219190000000001</v>
      </c>
      <c r="X1002">
        <v>0.963561</v>
      </c>
      <c r="Y1002">
        <v>0.43717270000000003</v>
      </c>
      <c r="Z1002">
        <v>-3.721139E-3</v>
      </c>
      <c r="AA1002">
        <v>0.89936990000000006</v>
      </c>
      <c r="AB1002">
        <v>35</v>
      </c>
      <c r="AC1002">
        <v>18.552199999999999</v>
      </c>
      <c r="AD1002">
        <v>-1.1098824025009999</v>
      </c>
      <c r="AE1002">
        <v>-18.477900000000002</v>
      </c>
      <c r="AF1002">
        <v>11.506670694308999</v>
      </c>
      <c r="AG1002">
        <v>-1.1098824025009999</v>
      </c>
      <c r="AH1002">
        <v>23.4681995198717</v>
      </c>
      <c r="AI1002">
        <v>92.431518616562997</v>
      </c>
      <c r="AJ1002">
        <v>63.880868674852202</v>
      </c>
      <c r="AK1002">
        <v>26.160881065422</v>
      </c>
      <c r="AL1002">
        <v>78.334835219633504</v>
      </c>
      <c r="AM1002">
        <v>79.699085433368694</v>
      </c>
      <c r="AN1002">
        <v>0.99999999533588402</v>
      </c>
    </row>
    <row r="1003" spans="1:40" x14ac:dyDescent="0.25">
      <c r="A1003" t="str">
        <f>"20190303170957986"</f>
        <v>20190303170957986</v>
      </c>
      <c r="B1003" t="str">
        <f>"1551604197981457"</f>
        <v>1551604197981457</v>
      </c>
      <c r="C1003" t="s">
        <v>40</v>
      </c>
      <c r="D1003">
        <v>4.674455</v>
      </c>
      <c r="E1003">
        <v>0.64214740000000003</v>
      </c>
      <c r="F1003" t="s">
        <v>42</v>
      </c>
      <c r="G1003">
        <v>-183.89869999999999</v>
      </c>
      <c r="H1003" s="1">
        <v>-2.2991780000000002E-6</v>
      </c>
      <c r="I1003">
        <v>341.63389999999998</v>
      </c>
      <c r="J1003">
        <v>-206.17410000000001</v>
      </c>
      <c r="K1003">
        <v>1.1097859999999999</v>
      </c>
      <c r="L1003">
        <v>365.06549999999999</v>
      </c>
      <c r="M1003">
        <v>0.94475039999999999</v>
      </c>
      <c r="N1003">
        <v>-1.5008250000000001E-2</v>
      </c>
      <c r="O1003">
        <v>-0.32744699999999999</v>
      </c>
      <c r="P1003">
        <v>0.85740179999999999</v>
      </c>
      <c r="Q1003">
        <v>0.19242790000000001</v>
      </c>
      <c r="R1003">
        <v>-0.47731990000000002</v>
      </c>
      <c r="S1003">
        <v>2.2308810000000001</v>
      </c>
      <c r="T1003">
        <v>-0.110345</v>
      </c>
      <c r="U1003">
        <v>-2.3356319999999999</v>
      </c>
      <c r="V1003">
        <v>0.17577679999999901</v>
      </c>
      <c r="W1003">
        <v>0.20220589999999999</v>
      </c>
      <c r="X1003">
        <v>0.9634393</v>
      </c>
      <c r="Y1003">
        <v>0.45675209999999999</v>
      </c>
      <c r="Z1003">
        <v>-4.9600540000000002E-3</v>
      </c>
      <c r="AA1003">
        <v>0.88958019999999904</v>
      </c>
      <c r="AB1003">
        <v>35</v>
      </c>
      <c r="AC1003">
        <v>22.275400000000001</v>
      </c>
      <c r="AD1003">
        <v>-1.1097882991779999</v>
      </c>
      <c r="AE1003">
        <v>-23.4316</v>
      </c>
      <c r="AF1003">
        <v>14.8272004173543</v>
      </c>
      <c r="AG1003">
        <v>-1.1097882991779999</v>
      </c>
      <c r="AH1003">
        <v>28.686731050023599</v>
      </c>
      <c r="AI1003">
        <v>91.9683244893384</v>
      </c>
      <c r="AJ1003">
        <v>62.667087790399499</v>
      </c>
      <c r="AK1003">
        <v>32.311082318947001</v>
      </c>
      <c r="AL1003">
        <v>78.3340161814791</v>
      </c>
      <c r="AM1003">
        <v>79.6602707458716</v>
      </c>
      <c r="AN1003">
        <v>0.99999999709876897</v>
      </c>
    </row>
    <row r="1004" spans="1:40" x14ac:dyDescent="0.25">
      <c r="A1004" t="str">
        <f>"20190303170957997"</f>
        <v>20190303170957997</v>
      </c>
      <c r="B1004" t="str">
        <f>"1551604197991216"</f>
        <v>1551604197991216</v>
      </c>
      <c r="C1004" t="s">
        <v>40</v>
      </c>
      <c r="D1004">
        <v>4.671926</v>
      </c>
      <c r="E1004">
        <v>0.64679940000000002</v>
      </c>
      <c r="F1004" t="s">
        <v>42</v>
      </c>
      <c r="G1004">
        <v>-179.49080000000001</v>
      </c>
      <c r="H1004">
        <v>7.9985420000000002E-2</v>
      </c>
      <c r="I1004">
        <v>334.7457</v>
      </c>
      <c r="J1004">
        <v>-206.00729999999999</v>
      </c>
      <c r="K1004">
        <v>1.109693</v>
      </c>
      <c r="L1004">
        <v>365.00290000000001</v>
      </c>
      <c r="M1004">
        <v>0.94268160000000001</v>
      </c>
      <c r="N1004">
        <v>-1.502765E-2</v>
      </c>
      <c r="O1004">
        <v>-0.33335530000000002</v>
      </c>
      <c r="P1004">
        <v>0.85395100000000002</v>
      </c>
      <c r="Q1004">
        <v>0.19237870000000001</v>
      </c>
      <c r="R1004">
        <v>-0.48348570000000002</v>
      </c>
      <c r="S1004">
        <v>2.154633</v>
      </c>
      <c r="T1004">
        <v>-8.3154679999999995E-2</v>
      </c>
      <c r="U1004">
        <v>-2.4482729999999999</v>
      </c>
      <c r="V1004">
        <v>0.17672879999999999</v>
      </c>
      <c r="W1004">
        <v>0.2021106</v>
      </c>
      <c r="X1004">
        <v>0.96328510000000001</v>
      </c>
      <c r="Y1004">
        <v>0.48725000000000002</v>
      </c>
      <c r="Z1004">
        <v>-6.4493329999999998E-3</v>
      </c>
      <c r="AA1004">
        <v>0.87323869999999904</v>
      </c>
      <c r="AB1004">
        <v>35</v>
      </c>
      <c r="AC1004">
        <v>26.516499999999901</v>
      </c>
      <c r="AD1004">
        <v>-1.02970758</v>
      </c>
      <c r="AE1004">
        <v>-30.257200000000001</v>
      </c>
      <c r="AF1004">
        <v>19.672824099977301</v>
      </c>
      <c r="AG1004">
        <v>-1.02970758</v>
      </c>
      <c r="AH1004">
        <v>35.064004370339397</v>
      </c>
      <c r="AI1004">
        <v>91.467077876565398</v>
      </c>
      <c r="AJ1004">
        <v>60.705191544920702</v>
      </c>
      <c r="AK1004">
        <v>40.218959562029198</v>
      </c>
      <c r="AL1004">
        <v>78.339591307905906</v>
      </c>
      <c r="AM1004">
        <v>79.603861038717298</v>
      </c>
      <c r="AN1004">
        <v>0.99999997363190396</v>
      </c>
    </row>
    <row r="1005" spans="1:40" x14ac:dyDescent="0.25">
      <c r="A1005" t="str">
        <f>"20190303170958007"</f>
        <v>20190303170958007</v>
      </c>
      <c r="B1005" t="str">
        <f>"1551604197991216"</f>
        <v>1551604197991216</v>
      </c>
      <c r="C1005" t="s">
        <v>40</v>
      </c>
      <c r="D1005">
        <v>4.671926</v>
      </c>
      <c r="E1005">
        <v>0.64679940000000002</v>
      </c>
      <c r="F1005" t="s">
        <v>42</v>
      </c>
      <c r="G1005">
        <v>-175.83160000000001</v>
      </c>
      <c r="H1005">
        <v>7.9986940000000006E-2</v>
      </c>
      <c r="I1005">
        <v>329.42779999999999</v>
      </c>
      <c r="J1005">
        <v>-205.83789999999999</v>
      </c>
      <c r="K1005">
        <v>1.1095980000000001</v>
      </c>
      <c r="L1005">
        <v>364.93720000000002</v>
      </c>
      <c r="M1005">
        <v>0.94050599999999995</v>
      </c>
      <c r="N1005">
        <v>-1.504775E-2</v>
      </c>
      <c r="O1005">
        <v>-0.33944370000000001</v>
      </c>
      <c r="P1005">
        <v>0.85036339999999999</v>
      </c>
      <c r="Q1005">
        <v>0.19205739999999999</v>
      </c>
      <c r="R1005">
        <v>-0.4898942</v>
      </c>
      <c r="S1005">
        <v>2.1165769999999999</v>
      </c>
      <c r="T1005">
        <v>-7.2225330000000004E-2</v>
      </c>
      <c r="U1005">
        <v>-2.4952999999999999</v>
      </c>
      <c r="V1005">
        <v>0.177756</v>
      </c>
      <c r="W1005">
        <v>0.20174300000000001</v>
      </c>
      <c r="X1005">
        <v>0.96317319999999995</v>
      </c>
      <c r="Y1005">
        <v>0.49751830000000002</v>
      </c>
      <c r="Z1005">
        <v>-6.9190329999999998E-3</v>
      </c>
      <c r="AA1005">
        <v>0.86742589999999997</v>
      </c>
      <c r="AB1005">
        <v>35</v>
      </c>
      <c r="AC1005">
        <v>30.0062999999999</v>
      </c>
      <c r="AD1005">
        <v>-1.0296110599999999</v>
      </c>
      <c r="AE1005">
        <v>-35.509399999999999</v>
      </c>
      <c r="AF1005">
        <v>23.2026019806313</v>
      </c>
      <c r="AG1005">
        <v>-1.0296110599999999</v>
      </c>
      <c r="AH1005">
        <v>40.259361028217803</v>
      </c>
      <c r="AI1005">
        <v>91.269347872230099</v>
      </c>
      <c r="AJ1005">
        <v>60.043942931192497</v>
      </c>
      <c r="AK1005">
        <v>46.478349669570399</v>
      </c>
      <c r="AL1005">
        <v>78.361096812462193</v>
      </c>
      <c r="AM1005">
        <v>79.543576480643395</v>
      </c>
      <c r="AN1005">
        <v>1.00000002339161</v>
      </c>
    </row>
    <row r="1006" spans="1:40" x14ac:dyDescent="0.25">
      <c r="A1006" t="str">
        <f>"20190303170958019"</f>
        <v>20190303170958019</v>
      </c>
      <c r="B1006" t="str">
        <f>"1551604198011243"</f>
        <v>1551604198011243</v>
      </c>
      <c r="C1006" t="s">
        <v>40</v>
      </c>
      <c r="D1006">
        <v>4.674455</v>
      </c>
      <c r="E1006">
        <v>0.65233469999999905</v>
      </c>
      <c r="F1006" t="s">
        <v>42</v>
      </c>
      <c r="G1006">
        <v>-176.41210000000001</v>
      </c>
      <c r="H1006">
        <v>7.9985529999999999E-2</v>
      </c>
      <c r="I1006">
        <v>329.71800000000002</v>
      </c>
      <c r="J1006">
        <v>-205.68639999999999</v>
      </c>
      <c r="K1006">
        <v>1.109518</v>
      </c>
      <c r="L1006">
        <v>364.87810000000002</v>
      </c>
      <c r="M1006">
        <v>0.93852060000000004</v>
      </c>
      <c r="N1006">
        <v>-1.5064859999999999E-2</v>
      </c>
      <c r="O1006">
        <v>-0.3448948</v>
      </c>
      <c r="P1006">
        <v>0.84710160000000001</v>
      </c>
      <c r="Q1006">
        <v>0.1916311</v>
      </c>
      <c r="R1006">
        <v>-0.49567800000000001</v>
      </c>
      <c r="S1006">
        <v>2.0979160000000001</v>
      </c>
      <c r="T1006">
        <v>-7.340634E-2</v>
      </c>
      <c r="U1006">
        <v>-2.5109560000000002</v>
      </c>
      <c r="V1006">
        <v>0.1787261</v>
      </c>
      <c r="W1006">
        <v>0.20127320000000001</v>
      </c>
      <c r="X1006">
        <v>0.9630919</v>
      </c>
      <c r="Y1006">
        <v>0.49893739999999998</v>
      </c>
      <c r="Z1006">
        <v>-6.8679149999999996E-3</v>
      </c>
      <c r="AA1006">
        <v>0.86661080000000001</v>
      </c>
      <c r="AB1006">
        <v>35</v>
      </c>
      <c r="AC1006">
        <v>29.274299999999901</v>
      </c>
      <c r="AD1006">
        <v>-1.0295324699999999</v>
      </c>
      <c r="AE1006">
        <v>-35.1601</v>
      </c>
      <c r="AF1006">
        <v>22.892927990612399</v>
      </c>
      <c r="AG1006">
        <v>-1.0295324699999999</v>
      </c>
      <c r="AH1006">
        <v>39.585513200786103</v>
      </c>
      <c r="AI1006">
        <v>91.289739557760697</v>
      </c>
      <c r="AJ1006">
        <v>59.958526439260197</v>
      </c>
      <c r="AK1006">
        <v>45.7401240101048</v>
      </c>
      <c r="AL1006">
        <v>78.388577396121207</v>
      </c>
      <c r="AM1006">
        <v>79.486911852648603</v>
      </c>
      <c r="AN1006">
        <v>0.99999996385252898</v>
      </c>
    </row>
    <row r="1007" spans="1:40" x14ac:dyDescent="0.25">
      <c r="A1007" t="str">
        <f>"20190303170958029"</f>
        <v>20190303170958029</v>
      </c>
      <c r="B1007" t="str">
        <f>"1551604198021980"</f>
        <v>1551604198021980</v>
      </c>
      <c r="C1007" t="s">
        <v>40</v>
      </c>
      <c r="D1007">
        <v>4.6778180000000003</v>
      </c>
      <c r="E1007">
        <v>0.654111</v>
      </c>
      <c r="F1007" t="s">
        <v>47</v>
      </c>
      <c r="G1007">
        <v>-168.4</v>
      </c>
      <c r="H1007">
        <v>6.0602280000000001E-2</v>
      </c>
      <c r="I1007">
        <v>318.37079999999997</v>
      </c>
      <c r="J1007">
        <v>-205.51480000000001</v>
      </c>
      <c r="K1007">
        <v>1.109432</v>
      </c>
      <c r="L1007">
        <v>364.80919999999998</v>
      </c>
      <c r="M1007">
        <v>0.93620400000000004</v>
      </c>
      <c r="N1007">
        <v>-1.508425E-2</v>
      </c>
      <c r="O1007">
        <v>-0.35113299999999997</v>
      </c>
      <c r="P1007">
        <v>0.84364980000000001</v>
      </c>
      <c r="Q1007">
        <v>0.19109979999999999</v>
      </c>
      <c r="R1007">
        <v>-0.50173279999999998</v>
      </c>
      <c r="S1007">
        <v>2.05484</v>
      </c>
      <c r="T1007">
        <v>-5.780482E-2</v>
      </c>
      <c r="U1007">
        <v>-2.5629879999999998</v>
      </c>
      <c r="V1007">
        <v>0.17919849999999901</v>
      </c>
      <c r="W1007">
        <v>0.20071449999999999</v>
      </c>
      <c r="X1007">
        <v>0.9631208</v>
      </c>
      <c r="Y1007">
        <v>0.51069240000000005</v>
      </c>
      <c r="Z1007">
        <v>-7.5218569999999998E-3</v>
      </c>
      <c r="AA1007">
        <v>0.85973060000000001</v>
      </c>
      <c r="AB1007">
        <v>35</v>
      </c>
      <c r="AC1007">
        <v>37.114800000000002</v>
      </c>
      <c r="AD1007">
        <v>-1.0488297200000001</v>
      </c>
      <c r="AE1007">
        <v>-46.438400000000001</v>
      </c>
      <c r="AF1007">
        <v>30.437576807315299</v>
      </c>
      <c r="AG1007">
        <v>-1.0488297200000001</v>
      </c>
      <c r="AH1007">
        <v>51.043003741416399</v>
      </c>
      <c r="AI1007">
        <v>91.011072675615495</v>
      </c>
      <c r="AJ1007">
        <v>59.191851448519998</v>
      </c>
      <c r="AK1007">
        <v>59.438492213623903</v>
      </c>
      <c r="AL1007">
        <v>78.421256369274701</v>
      </c>
      <c r="AM1007">
        <v>79.460055274505805</v>
      </c>
      <c r="AN1007">
        <v>1.0000000441525601</v>
      </c>
    </row>
    <row r="1008" spans="1:40" x14ac:dyDescent="0.25">
      <c r="A1008" t="str">
        <f>"20190303170958040"</f>
        <v>20190303170958040</v>
      </c>
      <c r="B1008" t="str">
        <f>"1551604198031740"</f>
        <v>1551604198031740</v>
      </c>
      <c r="C1008" t="s">
        <v>40</v>
      </c>
      <c r="D1008">
        <v>4.6586179999999997</v>
      </c>
      <c r="E1008">
        <v>0.6556746</v>
      </c>
      <c r="F1008" t="s">
        <v>47</v>
      </c>
      <c r="G1008">
        <v>-168.4</v>
      </c>
      <c r="H1008">
        <v>0.12535099999999999</v>
      </c>
      <c r="I1008">
        <v>317.42250000000001</v>
      </c>
      <c r="J1008">
        <v>-205.36109999999999</v>
      </c>
      <c r="K1008">
        <v>1.109361</v>
      </c>
      <c r="L1008">
        <v>364.74669999999998</v>
      </c>
      <c r="M1008">
        <v>0.9340813</v>
      </c>
      <c r="N1008">
        <v>-1.5100830000000001E-2</v>
      </c>
      <c r="O1008">
        <v>-0.35674109999999998</v>
      </c>
      <c r="P1008">
        <v>0.84048429999999996</v>
      </c>
      <c r="Q1008">
        <v>0.19044990000000001</v>
      </c>
      <c r="R1008">
        <v>-0.5072624</v>
      </c>
      <c r="S1008">
        <v>2.028168</v>
      </c>
      <c r="T1008">
        <v>-5.3775549999999998E-2</v>
      </c>
      <c r="U1008">
        <v>-2.5894780000000002</v>
      </c>
      <c r="V1008">
        <v>0.17971210000000001</v>
      </c>
      <c r="W1008">
        <v>0.20003760000000001</v>
      </c>
      <c r="X1008">
        <v>0.96316590000000002</v>
      </c>
      <c r="Y1008">
        <v>0.51531059999999995</v>
      </c>
      <c r="Z1008">
        <v>-7.7089309999999996E-3</v>
      </c>
      <c r="AA1008">
        <v>0.85696879999999998</v>
      </c>
      <c r="AB1008">
        <v>35</v>
      </c>
      <c r="AC1008">
        <v>36.961099999999902</v>
      </c>
      <c r="AD1008">
        <v>-0.98401000000000005</v>
      </c>
      <c r="AE1008">
        <v>-47.324199999999898</v>
      </c>
      <c r="AF1008">
        <v>31.014313626732999</v>
      </c>
      <c r="AG1008">
        <v>-0.98401000000000005</v>
      </c>
      <c r="AH1008">
        <v>51.399215923355001</v>
      </c>
      <c r="AI1008">
        <v>90.939084987795397</v>
      </c>
      <c r="AJ1008">
        <v>58.893197003112199</v>
      </c>
      <c r="AK1008">
        <v>60.039448056699598</v>
      </c>
      <c r="AL1008">
        <v>78.460842396211802</v>
      </c>
      <c r="AM1008">
        <v>79.431010291086196</v>
      </c>
      <c r="AN1008">
        <v>1.0000000156114801</v>
      </c>
    </row>
    <row r="1009" spans="1:40" x14ac:dyDescent="0.25">
      <c r="A1009" t="str">
        <f>"20190303170958050"</f>
        <v>20190303170958050</v>
      </c>
      <c r="B1009" t="str">
        <f>"1551604198041500"</f>
        <v>1551604198041500</v>
      </c>
      <c r="C1009" t="s">
        <v>40</v>
      </c>
      <c r="D1009">
        <v>4.6403840000000001</v>
      </c>
      <c r="E1009">
        <v>0.65684310000000001</v>
      </c>
      <c r="F1009" t="s">
        <v>47</v>
      </c>
      <c r="G1009">
        <v>-168.91130000000001</v>
      </c>
      <c r="H1009">
        <v>0.19505510000000001</v>
      </c>
      <c r="I1009">
        <v>317.19709999999998</v>
      </c>
      <c r="J1009">
        <v>-205.21119999999999</v>
      </c>
      <c r="K1009">
        <v>1.1092900000000001</v>
      </c>
      <c r="L1009">
        <v>364.68459999999999</v>
      </c>
      <c r="M1009">
        <v>0.93196020000000002</v>
      </c>
      <c r="N1009">
        <v>-1.511651E-2</v>
      </c>
      <c r="O1009">
        <v>-0.36224529999999999</v>
      </c>
      <c r="P1009">
        <v>0.83700140000000001</v>
      </c>
      <c r="Q1009">
        <v>0.19014049999999999</v>
      </c>
      <c r="R1009">
        <v>-0.51310370000000005</v>
      </c>
      <c r="S1009">
        <v>2.0034329999999998</v>
      </c>
      <c r="T1009">
        <v>-5.025375E-2</v>
      </c>
      <c r="U1009">
        <v>-2.6135250000000001</v>
      </c>
      <c r="V1009">
        <v>0.1807376</v>
      </c>
      <c r="W1009">
        <v>0.19968530000000001</v>
      </c>
      <c r="X1009">
        <v>0.96304710000000004</v>
      </c>
      <c r="Y1009">
        <v>0.51918569999999997</v>
      </c>
      <c r="Z1009">
        <v>-7.8751229999999995E-3</v>
      </c>
      <c r="AA1009">
        <v>0.85462519999999997</v>
      </c>
      <c r="AB1009">
        <v>35</v>
      </c>
      <c r="AC1009">
        <v>36.299899999999901</v>
      </c>
      <c r="AD1009">
        <v>-0.91423489999999996</v>
      </c>
      <c r="AE1009">
        <v>-47.487499999999997</v>
      </c>
      <c r="AF1009">
        <v>31.103270403958</v>
      </c>
      <c r="AG1009">
        <v>-0.91423489999999996</v>
      </c>
      <c r="AH1009">
        <v>51.026080605527703</v>
      </c>
      <c r="AI1009">
        <v>90.876490279417098</v>
      </c>
      <c r="AJ1009">
        <v>58.635339269308098</v>
      </c>
      <c r="AK1009">
        <v>59.7654595668428</v>
      </c>
      <c r="AL1009">
        <v>78.481443250899602</v>
      </c>
      <c r="AM1009">
        <v>79.370788941643099</v>
      </c>
      <c r="AN1009">
        <v>1.00000000795413</v>
      </c>
    </row>
    <row r="1010" spans="1:40" x14ac:dyDescent="0.25">
      <c r="A1010" t="str">
        <f>"20190303170958062"</f>
        <v>20190303170958062</v>
      </c>
      <c r="B1010" t="str">
        <f>"1551604198051260"</f>
        <v>1551604198051260</v>
      </c>
      <c r="C1010" t="s">
        <v>40</v>
      </c>
      <c r="D1010">
        <v>4.6427350000000001</v>
      </c>
      <c r="E1010">
        <v>0.65770220000000001</v>
      </c>
      <c r="F1010" t="s">
        <v>47</v>
      </c>
      <c r="G1010">
        <v>-168.9819</v>
      </c>
      <c r="H1010">
        <v>0.26166450000000002</v>
      </c>
      <c r="I1010">
        <v>316.44139999999999</v>
      </c>
      <c r="J1010">
        <v>-205.0504</v>
      </c>
      <c r="K1010">
        <v>1.1092200000000001</v>
      </c>
      <c r="L1010">
        <v>364.61680000000001</v>
      </c>
      <c r="M1010">
        <v>0.92963169999999995</v>
      </c>
      <c r="N1010">
        <v>-1.513273E-2</v>
      </c>
      <c r="O1010">
        <v>-0.36817909999999998</v>
      </c>
      <c r="P1010">
        <v>0.83326350000000005</v>
      </c>
      <c r="Q1010">
        <v>0.19003020000000001</v>
      </c>
      <c r="R1010">
        <v>-0.51919229999999905</v>
      </c>
      <c r="S1010">
        <v>1.979141</v>
      </c>
      <c r="T1010">
        <v>-4.6303990000000003E-2</v>
      </c>
      <c r="U1010">
        <v>-2.635437</v>
      </c>
      <c r="V1010">
        <v>0.18164150000000001</v>
      </c>
      <c r="W1010">
        <v>0.19953489999999999</v>
      </c>
      <c r="X1010">
        <v>0.96290819999999999</v>
      </c>
      <c r="Y1010">
        <v>0.52220109999999997</v>
      </c>
      <c r="Z1010">
        <v>-8.0470409999999996E-3</v>
      </c>
      <c r="AA1010">
        <v>0.8527844</v>
      </c>
      <c r="AB1010">
        <v>35</v>
      </c>
      <c r="AC1010">
        <v>36.0685</v>
      </c>
      <c r="AD1010">
        <v>-0.84755550000000002</v>
      </c>
      <c r="AE1010">
        <v>-48.175400000000003</v>
      </c>
      <c r="AF1010">
        <v>31.503071654572899</v>
      </c>
      <c r="AG1010">
        <v>-0.84755550000000002</v>
      </c>
      <c r="AH1010">
        <v>51.263301302259897</v>
      </c>
      <c r="AI1010">
        <v>90.807022426258698</v>
      </c>
      <c r="AJ1010">
        <v>58.4278365693933</v>
      </c>
      <c r="AK1010">
        <v>60.175476187605099</v>
      </c>
      <c r="AL1010">
        <v>78.490237497056796</v>
      </c>
      <c r="AM1010">
        <v>79.317345257896307</v>
      </c>
      <c r="AN1010">
        <v>1.00000000623375</v>
      </c>
    </row>
    <row r="1011" spans="1:40" x14ac:dyDescent="0.25">
      <c r="A1011" t="str">
        <f>"20190303170958076"</f>
        <v>20190303170958076</v>
      </c>
      <c r="B1011" t="str">
        <f>"1551604198061996"</f>
        <v>1551604198061996</v>
      </c>
      <c r="C1011" t="s">
        <v>40</v>
      </c>
      <c r="D1011">
        <v>4.6286139999999998</v>
      </c>
      <c r="E1011">
        <v>0.65837709999999905</v>
      </c>
      <c r="F1011" t="s">
        <v>47</v>
      </c>
      <c r="G1011">
        <v>-168.9819</v>
      </c>
      <c r="H1011">
        <v>0.30923659999999997</v>
      </c>
      <c r="I1011">
        <v>315.62950000000001</v>
      </c>
      <c r="J1011">
        <v>-204.8485</v>
      </c>
      <c r="K1011">
        <v>1.1091420000000001</v>
      </c>
      <c r="L1011">
        <v>364.53019999999998</v>
      </c>
      <c r="M1011">
        <v>0.92663510000000004</v>
      </c>
      <c r="N1011">
        <v>-1.5152209999999999E-2</v>
      </c>
      <c r="O1011">
        <v>-0.3756564</v>
      </c>
      <c r="P1011">
        <v>0.82873169999999996</v>
      </c>
      <c r="Q1011">
        <v>0.19000500000000001</v>
      </c>
      <c r="R1011">
        <v>-0.52640469999999995</v>
      </c>
      <c r="S1011">
        <v>1.955414</v>
      </c>
      <c r="T1011">
        <v>-4.3370010000000001E-2</v>
      </c>
      <c r="U1011">
        <v>-2.6557919999999999</v>
      </c>
      <c r="V1011">
        <v>0.18227860000000001</v>
      </c>
      <c r="W1011">
        <v>0.19947500000000001</v>
      </c>
      <c r="X1011">
        <v>0.96280019999999999</v>
      </c>
      <c r="Y1011">
        <v>0.52340520000000001</v>
      </c>
      <c r="Z1011">
        <v>-8.1657750000000001E-3</v>
      </c>
      <c r="AA1011">
        <v>0.85204480000000005</v>
      </c>
      <c r="AB1011">
        <v>35</v>
      </c>
      <c r="AC1011">
        <v>35.866599999999998</v>
      </c>
      <c r="AD1011">
        <v>-0.79990539999999999</v>
      </c>
      <c r="AE1011">
        <v>-48.900699999999901</v>
      </c>
      <c r="AF1011">
        <v>31.837704819793601</v>
      </c>
      <c r="AG1011">
        <v>-0.79990539999999999</v>
      </c>
      <c r="AH1011">
        <v>51.602060467068199</v>
      </c>
      <c r="AI1011">
        <v>90.755829737489904</v>
      </c>
      <c r="AJ1011">
        <v>58.326030596741703</v>
      </c>
      <c r="AK1011">
        <v>60.638700029669401</v>
      </c>
      <c r="AL1011">
        <v>78.493739785917199</v>
      </c>
      <c r="AM1011">
        <v>79.279568494639193</v>
      </c>
      <c r="AN1011">
        <v>0.9999999943815</v>
      </c>
    </row>
    <row r="1012" spans="1:40" x14ac:dyDescent="0.25">
      <c r="A1012" t="str">
        <f>"20190303170958089"</f>
        <v>20190303170958089</v>
      </c>
      <c r="B1012" t="str">
        <f>"1551604198081516"</f>
        <v>1551604198081516</v>
      </c>
      <c r="C1012" t="s">
        <v>40</v>
      </c>
      <c r="D1012">
        <v>4.6072189999999997</v>
      </c>
      <c r="E1012">
        <v>0.65932170000000001</v>
      </c>
      <c r="F1012" t="s">
        <v>47</v>
      </c>
      <c r="G1012">
        <v>-168.9819</v>
      </c>
      <c r="H1012">
        <v>0.3402406</v>
      </c>
      <c r="I1012">
        <v>314.76350000000002</v>
      </c>
      <c r="J1012">
        <v>-204.65639999999999</v>
      </c>
      <c r="K1012">
        <v>1.10907</v>
      </c>
      <c r="L1012">
        <v>364.44529999999997</v>
      </c>
      <c r="M1012">
        <v>0.92368939999999999</v>
      </c>
      <c r="N1012">
        <v>-1.517018E-2</v>
      </c>
      <c r="O1012">
        <v>-0.38284180000000001</v>
      </c>
      <c r="P1012">
        <v>0.82406679999999999</v>
      </c>
      <c r="Q1012">
        <v>0.19014120000000001</v>
      </c>
      <c r="R1012">
        <v>-0.53363000000000005</v>
      </c>
      <c r="S1012">
        <v>1.9291689999999999</v>
      </c>
      <c r="T1012">
        <v>-4.1356799999999999E-2</v>
      </c>
      <c r="U1012">
        <v>-2.6768190000000001</v>
      </c>
      <c r="V1012">
        <v>0.18326999999999999</v>
      </c>
      <c r="W1012">
        <v>0.199568</v>
      </c>
      <c r="X1012">
        <v>0.96259269999999997</v>
      </c>
      <c r="Y1012">
        <v>0.52546819999999905</v>
      </c>
      <c r="Z1012">
        <v>-8.2767099999999996E-3</v>
      </c>
      <c r="AA1012">
        <v>0.850773</v>
      </c>
      <c r="AB1012">
        <v>35</v>
      </c>
      <c r="AC1012">
        <v>35.674499999999902</v>
      </c>
      <c r="AD1012">
        <v>-0.7688294</v>
      </c>
      <c r="AE1012">
        <v>-49.681799999999903</v>
      </c>
      <c r="AF1012">
        <v>32.231477621663203</v>
      </c>
      <c r="AG1012">
        <v>-0.7688294</v>
      </c>
      <c r="AH1012">
        <v>51.970194675956201</v>
      </c>
      <c r="AI1012">
        <v>90.720289908194104</v>
      </c>
      <c r="AJ1012">
        <v>58.193158611212802</v>
      </c>
      <c r="AK1012">
        <v>61.158485780624602</v>
      </c>
      <c r="AL1012">
        <v>78.4883019237502</v>
      </c>
      <c r="AM1012">
        <v>79.220354169070504</v>
      </c>
      <c r="AN1012">
        <v>0.99999999280864404</v>
      </c>
    </row>
    <row r="1013" spans="1:40" x14ac:dyDescent="0.25">
      <c r="A1013" t="str">
        <f>"20190303170958105"</f>
        <v>20190303170958105</v>
      </c>
      <c r="B1013" t="str">
        <f>"1551604198091276"</f>
        <v>1551604198091276</v>
      </c>
      <c r="C1013" t="s">
        <v>40</v>
      </c>
      <c r="D1013">
        <v>4.625521</v>
      </c>
      <c r="E1013">
        <v>0.65965260000000003</v>
      </c>
      <c r="F1013" t="s">
        <v>48</v>
      </c>
      <c r="G1013">
        <v>-157.25</v>
      </c>
      <c r="H1013">
        <v>0.16274640000000001</v>
      </c>
      <c r="I1013">
        <v>297.12290000000002</v>
      </c>
      <c r="J1013">
        <v>-204.42330000000001</v>
      </c>
      <c r="K1013">
        <v>1.108989</v>
      </c>
      <c r="L1013">
        <v>364.34030000000001</v>
      </c>
      <c r="M1013">
        <v>0.92001089999999996</v>
      </c>
      <c r="N1013">
        <v>-1.519096E-2</v>
      </c>
      <c r="O1013">
        <v>-0.3915981</v>
      </c>
      <c r="P1013">
        <v>0.81815389999999999</v>
      </c>
      <c r="Q1013">
        <v>0.19052150000000001</v>
      </c>
      <c r="R1013">
        <v>-0.5425181</v>
      </c>
      <c r="S1013">
        <v>1.9010309999999999</v>
      </c>
      <c r="T1013">
        <v>-3.7945149999999997E-2</v>
      </c>
      <c r="U1013">
        <v>-2.6996769999999999</v>
      </c>
      <c r="V1013">
        <v>0.18463360000000001</v>
      </c>
      <c r="W1013">
        <v>0.19989000000000001</v>
      </c>
      <c r="X1013">
        <v>0.96226529999999999</v>
      </c>
      <c r="Y1013">
        <v>0.52672109999999905</v>
      </c>
      <c r="Z1013">
        <v>-8.4397880000000002E-3</v>
      </c>
      <c r="AA1013">
        <v>0.84999629999999904</v>
      </c>
      <c r="AB1013">
        <v>35</v>
      </c>
      <c r="AC1013">
        <v>47.173299999999998</v>
      </c>
      <c r="AD1013">
        <v>-0.94624259999999905</v>
      </c>
      <c r="AE1013">
        <v>-67.217399999999998</v>
      </c>
      <c r="AF1013">
        <v>43.367014986248201</v>
      </c>
      <c r="AG1013">
        <v>-0.94624259999999905</v>
      </c>
      <c r="AH1013">
        <v>69.720948884150403</v>
      </c>
      <c r="AI1013">
        <v>90.660269006329997</v>
      </c>
      <c r="AJ1013">
        <v>58.118041354621802</v>
      </c>
      <c r="AK1013">
        <v>82.113361136795902</v>
      </c>
      <c r="AL1013">
        <v>78.469473894329099</v>
      </c>
      <c r="AM1013">
        <v>79.138442714518206</v>
      </c>
      <c r="AN1013">
        <v>1.0000000429665199</v>
      </c>
    </row>
    <row r="1014" spans="1:40" x14ac:dyDescent="0.25">
      <c r="A1014" t="str">
        <f>"20190303170958118"</f>
        <v>20190303170958118</v>
      </c>
      <c r="B1014" t="str">
        <f>"1551604198111302"</f>
        <v>1551604198111302</v>
      </c>
      <c r="C1014" t="s">
        <v>40</v>
      </c>
      <c r="D1014">
        <v>4.6258790000000003</v>
      </c>
      <c r="E1014">
        <v>0.66006489999999995</v>
      </c>
      <c r="F1014" t="s">
        <v>48</v>
      </c>
      <c r="G1014">
        <v>-157.25</v>
      </c>
      <c r="H1014">
        <v>0.22396279999999999</v>
      </c>
      <c r="I1014">
        <v>295.6533</v>
      </c>
      <c r="J1014">
        <v>-204.23920000000001</v>
      </c>
      <c r="K1014">
        <v>1.1089249999999999</v>
      </c>
      <c r="L1014">
        <v>364.2559</v>
      </c>
      <c r="M1014">
        <v>0.91702709999999998</v>
      </c>
      <c r="N1014">
        <v>-1.5206610000000001E-2</v>
      </c>
      <c r="O1014">
        <v>-0.39853490000000003</v>
      </c>
      <c r="P1014">
        <v>0.81369609999999903</v>
      </c>
      <c r="Q1014">
        <v>0.19046850000000001</v>
      </c>
      <c r="R1014">
        <v>-0.5491994</v>
      </c>
      <c r="S1014">
        <v>1.8697360000000001</v>
      </c>
      <c r="T1014">
        <v>-3.5075309999999998E-2</v>
      </c>
      <c r="U1014">
        <v>-2.7224430000000002</v>
      </c>
      <c r="V1014">
        <v>0.1852705</v>
      </c>
      <c r="W1014">
        <v>0.19980590000000001</v>
      </c>
      <c r="X1014">
        <v>0.96216029999999997</v>
      </c>
      <c r="Y1014">
        <v>0.53026340000000005</v>
      </c>
      <c r="Z1014">
        <v>-8.6263480000000007E-3</v>
      </c>
      <c r="AA1014">
        <v>0.84778899999999902</v>
      </c>
      <c r="AB1014">
        <v>35</v>
      </c>
      <c r="AC1014">
        <v>46.989199999999997</v>
      </c>
      <c r="AD1014">
        <v>-0.88496219999999903</v>
      </c>
      <c r="AE1014">
        <v>-68.602599999999995</v>
      </c>
      <c r="AF1014">
        <v>44.183711880733298</v>
      </c>
      <c r="AG1014">
        <v>-0.88496219999999903</v>
      </c>
      <c r="AH1014">
        <v>70.431066992668804</v>
      </c>
      <c r="AI1014">
        <v>90.609826061469306</v>
      </c>
      <c r="AJ1014">
        <v>57.898606625950102</v>
      </c>
      <c r="AK1014">
        <v>83.147572131607603</v>
      </c>
      <c r="AL1014">
        <v>78.474391166606296</v>
      </c>
      <c r="AM1014">
        <v>79.100710263880799</v>
      </c>
      <c r="AN1014">
        <v>0.99999999937057404</v>
      </c>
    </row>
    <row r="1015" spans="1:40" x14ac:dyDescent="0.25">
      <c r="A1015" t="str">
        <f>"20190303170958129"</f>
        <v>20190303170958129</v>
      </c>
      <c r="B1015" t="str">
        <f>"1551604198122038"</f>
        <v>1551604198122038</v>
      </c>
      <c r="C1015" t="s">
        <v>40</v>
      </c>
      <c r="D1015">
        <v>4.6301880000000004</v>
      </c>
      <c r="E1015">
        <v>0.66022150000000002</v>
      </c>
      <c r="F1015" t="s">
        <v>48</v>
      </c>
      <c r="G1015">
        <v>-157.25</v>
      </c>
      <c r="H1015">
        <v>0.24867249999999999</v>
      </c>
      <c r="I1015">
        <v>294.45710000000003</v>
      </c>
      <c r="J1015">
        <v>-204.06030000000001</v>
      </c>
      <c r="K1015">
        <v>1.1088659999999999</v>
      </c>
      <c r="L1015">
        <v>364.17160000000001</v>
      </c>
      <c r="M1015">
        <v>0.91404620000000003</v>
      </c>
      <c r="N1015">
        <v>-1.5221439999999999E-2</v>
      </c>
      <c r="O1015">
        <v>-0.40532479999999999</v>
      </c>
      <c r="P1015">
        <v>0.80938429999999995</v>
      </c>
      <c r="Q1015">
        <v>0.1903117</v>
      </c>
      <c r="R1015">
        <v>-0.55558909999999995</v>
      </c>
      <c r="S1015">
        <v>1.8450009999999999</v>
      </c>
      <c r="T1015">
        <v>-3.3774140000000001E-2</v>
      </c>
      <c r="U1015">
        <v>-2.7406009999999998</v>
      </c>
      <c r="V1015">
        <v>0.18571750000000001</v>
      </c>
      <c r="W1015">
        <v>0.199627</v>
      </c>
      <c r="X1015">
        <v>0.96211120000000006</v>
      </c>
      <c r="Y1015">
        <v>0.53184819999999999</v>
      </c>
      <c r="Z1015">
        <v>-8.7256790000000001E-3</v>
      </c>
      <c r="AA1015">
        <v>0.84679479999999996</v>
      </c>
      <c r="AB1015">
        <v>35</v>
      </c>
      <c r="AC1015">
        <v>46.810299999999998</v>
      </c>
      <c r="AD1015">
        <v>-0.86019349999999895</v>
      </c>
      <c r="AE1015">
        <v>-69.714499999999902</v>
      </c>
      <c r="AF1015">
        <v>44.749379773360701</v>
      </c>
      <c r="AG1015">
        <v>-0.86019349999999895</v>
      </c>
      <c r="AH1015">
        <v>71.044556958486098</v>
      </c>
      <c r="AI1015">
        <v>90.586967542061004</v>
      </c>
      <c r="AJ1015">
        <v>57.794090219469801</v>
      </c>
      <c r="AK1015">
        <v>83.967708057237601</v>
      </c>
      <c r="AL1015">
        <v>78.484851496891096</v>
      </c>
      <c r="AM1015">
        <v>79.074501584631804</v>
      </c>
      <c r="AN1015">
        <v>0.99999994505034295</v>
      </c>
    </row>
    <row r="1016" spans="1:40" x14ac:dyDescent="0.25">
      <c r="A1016" t="str">
        <f>"20190303170958141"</f>
        <v>20190303170958141</v>
      </c>
      <c r="B1016" t="str">
        <f>"1551604198131799"</f>
        <v>1551604198131799</v>
      </c>
      <c r="C1016" t="s">
        <v>40</v>
      </c>
      <c r="D1016">
        <v>4.5997199999999996</v>
      </c>
      <c r="E1016">
        <v>0.66032009999999997</v>
      </c>
      <c r="F1016" t="s">
        <v>48</v>
      </c>
      <c r="G1016">
        <v>-157.25</v>
      </c>
      <c r="H1016">
        <v>0.25423620000000002</v>
      </c>
      <c r="I1016">
        <v>293.36020000000002</v>
      </c>
      <c r="J1016">
        <v>-203.91220000000001</v>
      </c>
      <c r="K1016">
        <v>1.1088180000000001</v>
      </c>
      <c r="L1016">
        <v>364.10070000000002</v>
      </c>
      <c r="M1016">
        <v>0.91152659999999996</v>
      </c>
      <c r="N1016">
        <v>-1.5233119999999999E-2</v>
      </c>
      <c r="O1016">
        <v>-0.41095890000000002</v>
      </c>
      <c r="P1016">
        <v>0.80570459999999899</v>
      </c>
      <c r="Q1016">
        <v>0.19000880000000001</v>
      </c>
      <c r="R1016">
        <v>-0.56101420000000002</v>
      </c>
      <c r="S1016">
        <v>1.8222050000000001</v>
      </c>
      <c r="T1016">
        <v>-3.3265469999999998E-2</v>
      </c>
      <c r="U1016">
        <v>-2.7565</v>
      </c>
      <c r="V1016">
        <v>0.18622639999999999</v>
      </c>
      <c r="W1016">
        <v>0.19930120000000001</v>
      </c>
      <c r="X1016">
        <v>0.96208039999999995</v>
      </c>
      <c r="Y1016">
        <v>0.53374219999999895</v>
      </c>
      <c r="Z1016">
        <v>-8.7943320000000002E-3</v>
      </c>
      <c r="AA1016">
        <v>0.84560149999999901</v>
      </c>
      <c r="AB1016">
        <v>35</v>
      </c>
      <c r="AC1016">
        <v>46.662199999999999</v>
      </c>
      <c r="AD1016">
        <v>-0.85458179999999995</v>
      </c>
      <c r="AE1016">
        <v>-70.740499999999997</v>
      </c>
      <c r="AF1016">
        <v>45.306251045635904</v>
      </c>
      <c r="AG1016">
        <v>-0.85458179999999995</v>
      </c>
      <c r="AH1016">
        <v>71.606301873118497</v>
      </c>
      <c r="AI1016">
        <v>90.577824206378594</v>
      </c>
      <c r="AJ1016">
        <v>57.677923557970402</v>
      </c>
      <c r="AK1016">
        <v>84.739891207195001</v>
      </c>
      <c r="AL1016">
        <v>78.503901535567195</v>
      </c>
      <c r="AM1016">
        <v>79.044944832333599</v>
      </c>
      <c r="AN1016">
        <v>0.99999996822127901</v>
      </c>
    </row>
    <row r="1017" spans="1:40" x14ac:dyDescent="0.25">
      <c r="A1017" t="str">
        <f>"20190303170958151"</f>
        <v>20190303170958151</v>
      </c>
      <c r="B1017" t="str">
        <f>"1551604198141559"</f>
        <v>1551604198141559</v>
      </c>
      <c r="C1017" t="s">
        <v>40</v>
      </c>
      <c r="D1017">
        <v>4.5951510000000004</v>
      </c>
      <c r="E1017">
        <v>0.66027650000000004</v>
      </c>
      <c r="F1017" t="s">
        <v>48</v>
      </c>
      <c r="G1017">
        <v>-157.25</v>
      </c>
      <c r="H1017">
        <v>0.243259</v>
      </c>
      <c r="I1017">
        <v>292.45260000000002</v>
      </c>
      <c r="J1017">
        <v>-203.76050000000001</v>
      </c>
      <c r="K1017">
        <v>1.1087739999999999</v>
      </c>
      <c r="L1017">
        <v>364.02699999999999</v>
      </c>
      <c r="M1017">
        <v>0.9088946</v>
      </c>
      <c r="N1017">
        <v>-1.5244600000000001E-2</v>
      </c>
      <c r="O1017">
        <v>-0.41674719999999998</v>
      </c>
      <c r="P1017">
        <v>0.80180490000000004</v>
      </c>
      <c r="Q1017">
        <v>0.1897644</v>
      </c>
      <c r="R1017">
        <v>-0.56665580000000004</v>
      </c>
      <c r="S1017">
        <v>1.8033140000000001</v>
      </c>
      <c r="T1017">
        <v>-3.3447499999999998E-2</v>
      </c>
      <c r="U1017">
        <v>-2.7689210000000002</v>
      </c>
      <c r="V1017">
        <v>0.18685089999999999</v>
      </c>
      <c r="W1017">
        <v>0.1990307</v>
      </c>
      <c r="X1017">
        <v>0.96201530000000002</v>
      </c>
      <c r="Y1017">
        <v>0.53414919999999899</v>
      </c>
      <c r="Z1017">
        <v>-8.8103379999999992E-3</v>
      </c>
      <c r="AA1017">
        <v>0.84534430000000005</v>
      </c>
      <c r="AB1017">
        <v>35</v>
      </c>
      <c r="AC1017">
        <v>46.5105</v>
      </c>
      <c r="AD1017">
        <v>-0.86551499999999904</v>
      </c>
      <c r="AE1017">
        <v>-71.574399999999898</v>
      </c>
      <c r="AF1017">
        <v>45.671076697261498</v>
      </c>
      <c r="AG1017">
        <v>-0.86551499999999904</v>
      </c>
      <c r="AH1017">
        <v>72.102538773055102</v>
      </c>
      <c r="AI1017">
        <v>90.581003561306403</v>
      </c>
      <c r="AJ1017">
        <v>57.6490768876224</v>
      </c>
      <c r="AK1017">
        <v>85.354393328183704</v>
      </c>
      <c r="AL1017">
        <v>78.519716772826996</v>
      </c>
      <c r="AM1017">
        <v>79.0083751948371</v>
      </c>
      <c r="AN1017">
        <v>0.999999957903694</v>
      </c>
    </row>
    <row r="1018" spans="1:40" x14ac:dyDescent="0.25">
      <c r="A1018" t="str">
        <f>"20190303170958163"</f>
        <v>20190303170958163</v>
      </c>
      <c r="B1018" t="str">
        <f>"1551604198151319"</f>
        <v>1551604198151319</v>
      </c>
      <c r="C1018" t="s">
        <v>40</v>
      </c>
      <c r="D1018">
        <v>4.6318460000000004</v>
      </c>
      <c r="E1018">
        <v>0.66021070000000004</v>
      </c>
      <c r="F1018" t="s">
        <v>48</v>
      </c>
      <c r="G1018">
        <v>-157.25</v>
      </c>
      <c r="H1018">
        <v>0.2189488</v>
      </c>
      <c r="I1018">
        <v>291.53199999999998</v>
      </c>
      <c r="J1018">
        <v>-203.60390000000001</v>
      </c>
      <c r="K1018">
        <v>1.1087320000000001</v>
      </c>
      <c r="L1018">
        <v>363.94959999999998</v>
      </c>
      <c r="M1018">
        <v>0.90612020000000004</v>
      </c>
      <c r="N1018">
        <v>-1.5255879999999999E-2</v>
      </c>
      <c r="O1018">
        <v>-0.42274519999999999</v>
      </c>
      <c r="P1018">
        <v>0.79779060000000002</v>
      </c>
      <c r="Q1018">
        <v>0.18935099999999999</v>
      </c>
      <c r="R1018">
        <v>-0.57243049999999995</v>
      </c>
      <c r="S1018">
        <v>1.7842249999999999</v>
      </c>
      <c r="T1018">
        <v>-3.4132240000000001E-2</v>
      </c>
      <c r="U1018">
        <v>-2.7810359999999998</v>
      </c>
      <c r="V1018">
        <v>0.18740560000000001</v>
      </c>
      <c r="W1018">
        <v>0.1985951</v>
      </c>
      <c r="X1018">
        <v>0.9619974</v>
      </c>
      <c r="Y1018">
        <v>0.53434380000000004</v>
      </c>
      <c r="Z1018">
        <v>-8.7979819999999993E-3</v>
      </c>
      <c r="AA1018">
        <v>0.84522149999999996</v>
      </c>
      <c r="AB1018">
        <v>35</v>
      </c>
      <c r="AC1018">
        <v>46.353900000000003</v>
      </c>
      <c r="AD1018">
        <v>-0.8897832</v>
      </c>
      <c r="AE1018">
        <v>-72.417599999999993</v>
      </c>
      <c r="AF1018">
        <v>46.023588059099303</v>
      </c>
      <c r="AG1018">
        <v>-0.8897832</v>
      </c>
      <c r="AH1018">
        <v>72.617071017547502</v>
      </c>
      <c r="AI1018">
        <v>90.592963132481401</v>
      </c>
      <c r="AJ1018">
        <v>57.634102770648802</v>
      </c>
      <c r="AK1018">
        <v>85.977912135293295</v>
      </c>
      <c r="AL1018">
        <v>78.545182925589103</v>
      </c>
      <c r="AM1018">
        <v>78.976342679125807</v>
      </c>
      <c r="AN1018">
        <v>0.999999935131062</v>
      </c>
    </row>
    <row r="1019" spans="1:40" x14ac:dyDescent="0.25">
      <c r="A1019" t="str">
        <f>"20190303170958173"</f>
        <v>20190303170958173</v>
      </c>
      <c r="B1019" t="str">
        <f>"1551604198161079"</f>
        <v>1551604198161079</v>
      </c>
      <c r="C1019" t="s">
        <v>40</v>
      </c>
      <c r="D1019">
        <v>4.6374700000000004</v>
      </c>
      <c r="E1019">
        <v>0.66010729999999995</v>
      </c>
      <c r="F1019" t="s">
        <v>48</v>
      </c>
      <c r="G1019">
        <v>-157.25</v>
      </c>
      <c r="H1019">
        <v>0.17764279999999999</v>
      </c>
      <c r="I1019">
        <v>290.58429999999998</v>
      </c>
      <c r="J1019">
        <v>-203.4521</v>
      </c>
      <c r="K1019">
        <v>1.1086940000000001</v>
      </c>
      <c r="L1019">
        <v>363.87349999999998</v>
      </c>
      <c r="M1019">
        <v>0.90338149999999995</v>
      </c>
      <c r="N1019">
        <v>-1.526628E-2</v>
      </c>
      <c r="O1019">
        <v>-0.42856620000000001</v>
      </c>
      <c r="P1019">
        <v>0.79363139999999999</v>
      </c>
      <c r="Q1019">
        <v>0.18882090000000001</v>
      </c>
      <c r="R1019">
        <v>-0.5783566</v>
      </c>
      <c r="S1019">
        <v>1.7647250000000001</v>
      </c>
      <c r="T1019">
        <v>-3.5444259999999998E-2</v>
      </c>
      <c r="U1019">
        <v>-2.7930600000000001</v>
      </c>
      <c r="V1019">
        <v>0.1883312</v>
      </c>
      <c r="W1019">
        <v>0.1980305</v>
      </c>
      <c r="X1019">
        <v>0.96193309999999999</v>
      </c>
      <c r="Y1019">
        <v>0.53476159999999995</v>
      </c>
      <c r="Z1019">
        <v>-8.7533939999999994E-3</v>
      </c>
      <c r="AA1019">
        <v>0.84495759999999898</v>
      </c>
      <c r="AB1019">
        <v>35</v>
      </c>
      <c r="AC1019">
        <v>46.202100000000002</v>
      </c>
      <c r="AD1019">
        <v>-0.93105119999999997</v>
      </c>
      <c r="AE1019">
        <v>-73.289199999999994</v>
      </c>
      <c r="AF1019">
        <v>46.4074940022143</v>
      </c>
      <c r="AG1019">
        <v>-0.93105119999999997</v>
      </c>
      <c r="AH1019">
        <v>73.147467277426699</v>
      </c>
      <c r="AI1019">
        <v>90.615782097415604</v>
      </c>
      <c r="AJ1019">
        <v>57.6074275016936</v>
      </c>
      <c r="AK1019">
        <v>86.631832053840299</v>
      </c>
      <c r="AL1019">
        <v>78.578188440420902</v>
      </c>
      <c r="AM1019">
        <v>78.922517834842296</v>
      </c>
      <c r="AN1019">
        <v>1.00000000434965</v>
      </c>
    </row>
    <row r="1020" spans="1:40" x14ac:dyDescent="0.25">
      <c r="A1020" t="str">
        <f>"20190303170958183"</f>
        <v>20190303170958183</v>
      </c>
      <c r="B1020" t="str">
        <f>"1551604198171815"</f>
        <v>1551604198171815</v>
      </c>
      <c r="C1020" t="s">
        <v>40</v>
      </c>
      <c r="D1020">
        <v>4.6262759999999998</v>
      </c>
      <c r="E1020">
        <v>0.6599661</v>
      </c>
      <c r="F1020" t="s">
        <v>48</v>
      </c>
      <c r="G1020">
        <v>-157.25</v>
      </c>
      <c r="H1020">
        <v>0.1207695</v>
      </c>
      <c r="I1020">
        <v>289.59309999999999</v>
      </c>
      <c r="J1020">
        <v>-203.32069999999999</v>
      </c>
      <c r="K1020">
        <v>1.108665</v>
      </c>
      <c r="L1020">
        <v>363.80630000000002</v>
      </c>
      <c r="M1020">
        <v>0.9009625</v>
      </c>
      <c r="N1020">
        <v>-1.5274950000000001E-2</v>
      </c>
      <c r="O1020">
        <v>-0.43362790000000001</v>
      </c>
      <c r="P1020">
        <v>0.78990340000000003</v>
      </c>
      <c r="Q1020">
        <v>0.18841620000000001</v>
      </c>
      <c r="R1020">
        <v>-0.58356850000000005</v>
      </c>
      <c r="S1020">
        <v>1.7447509999999999</v>
      </c>
      <c r="T1020">
        <v>-3.7304400000000001E-2</v>
      </c>
      <c r="U1020">
        <v>-2.8050839999999999</v>
      </c>
      <c r="V1020">
        <v>0.1892288</v>
      </c>
      <c r="W1020">
        <v>0.19759350000000001</v>
      </c>
      <c r="X1020">
        <v>0.9618468</v>
      </c>
      <c r="Y1020">
        <v>0.53597609999999996</v>
      </c>
      <c r="Z1020">
        <v>-8.6855070000000003E-3</v>
      </c>
      <c r="AA1020">
        <v>0.84418850000000001</v>
      </c>
      <c r="AB1020">
        <v>35</v>
      </c>
      <c r="AC1020">
        <v>46.070699999999903</v>
      </c>
      <c r="AD1020">
        <v>-0.98789550000000004</v>
      </c>
      <c r="AE1020">
        <v>-74.213200000000001</v>
      </c>
      <c r="AF1020">
        <v>46.885245350816298</v>
      </c>
      <c r="AG1020">
        <v>-0.98789550000000004</v>
      </c>
      <c r="AH1020">
        <v>73.688063622999294</v>
      </c>
      <c r="AI1020">
        <v>90.648045216781099</v>
      </c>
      <c r="AJ1020">
        <v>57.532769756243098</v>
      </c>
      <c r="AK1020">
        <v>87.344907634231006</v>
      </c>
      <c r="AL1020">
        <v>78.603731356661797</v>
      </c>
      <c r="AM1020">
        <v>78.870063105175305</v>
      </c>
      <c r="AN1020">
        <v>0.99999999833096498</v>
      </c>
    </row>
    <row r="1021" spans="1:40" x14ac:dyDescent="0.25">
      <c r="A1021" t="str">
        <f>"20190303170958194"</f>
        <v>20190303170958194</v>
      </c>
      <c r="B1021" t="str">
        <f>"1551604198181575"</f>
        <v>1551604198181575</v>
      </c>
      <c r="C1021" t="s">
        <v>40</v>
      </c>
      <c r="D1021">
        <v>4.6261010000000002</v>
      </c>
      <c r="E1021">
        <v>0.6597788</v>
      </c>
      <c r="F1021" t="s">
        <v>48</v>
      </c>
      <c r="G1021">
        <v>-157.25</v>
      </c>
      <c r="H1021">
        <v>7.8328850000000005E-2</v>
      </c>
      <c r="I1021">
        <v>288.6986</v>
      </c>
      <c r="J1021">
        <v>-203.15889999999999</v>
      </c>
      <c r="K1021">
        <v>1.1086290000000001</v>
      </c>
      <c r="L1021">
        <v>363.72280000000001</v>
      </c>
      <c r="M1021">
        <v>0.89793529999999999</v>
      </c>
      <c r="N1021">
        <v>-1.5285160000000001E-2</v>
      </c>
      <c r="O1021">
        <v>-0.43986219999999998</v>
      </c>
      <c r="P1021">
        <v>0.7855297</v>
      </c>
      <c r="Q1021">
        <v>0.18811259999999999</v>
      </c>
      <c r="R1021">
        <v>-0.58953919999999904</v>
      </c>
      <c r="S1021">
        <v>1.7270509999999999</v>
      </c>
      <c r="T1021">
        <v>-3.862119E-2</v>
      </c>
      <c r="U1021">
        <v>-2.8155519999999998</v>
      </c>
      <c r="V1021">
        <v>0.1898302</v>
      </c>
      <c r="W1021">
        <v>0.19726630000000001</v>
      </c>
      <c r="X1021">
        <v>0.96179539999999997</v>
      </c>
      <c r="Y1021">
        <v>0.53537519999999905</v>
      </c>
      <c r="Z1021">
        <v>-8.6132299999999995E-3</v>
      </c>
      <c r="AA1021">
        <v>0.8445705</v>
      </c>
      <c r="AB1021">
        <v>35</v>
      </c>
      <c r="AC1021">
        <v>45.908899999999903</v>
      </c>
      <c r="AD1021">
        <v>-1.03030015</v>
      </c>
      <c r="AE1021">
        <v>-75.024199999999993</v>
      </c>
      <c r="AF1021">
        <v>47.172322182997398</v>
      </c>
      <c r="AG1021">
        <v>-1.03030015</v>
      </c>
      <c r="AH1021">
        <v>74.222012265897902</v>
      </c>
      <c r="AI1021">
        <v>90.671213450709999</v>
      </c>
      <c r="AJ1021">
        <v>57.561713754906101</v>
      </c>
      <c r="AK1021">
        <v>87.949966477166399</v>
      </c>
      <c r="AL1021">
        <v>78.622854327042305</v>
      </c>
      <c r="AM1021">
        <v>78.8349959419741</v>
      </c>
      <c r="AN1021">
        <v>0.99999994470444298</v>
      </c>
    </row>
    <row r="1022" spans="1:40" x14ac:dyDescent="0.25">
      <c r="A1022" t="str">
        <f>"20190303170958206"</f>
        <v>20190303170958206</v>
      </c>
      <c r="B1022" t="str">
        <f>"1551604198191335"</f>
        <v>1551604198191335</v>
      </c>
      <c r="C1022" t="s">
        <v>40</v>
      </c>
      <c r="D1022">
        <v>4.6361990000000004</v>
      </c>
      <c r="E1022">
        <v>0.65955220000000003</v>
      </c>
      <c r="F1022" t="s">
        <v>48</v>
      </c>
      <c r="G1022">
        <v>-157.25</v>
      </c>
      <c r="H1022">
        <v>6.172681E-2</v>
      </c>
      <c r="I1022">
        <v>287.65839999999997</v>
      </c>
      <c r="J1022">
        <v>-203.00399999999999</v>
      </c>
      <c r="K1022">
        <v>1.1086</v>
      </c>
      <c r="L1022">
        <v>363.64080000000001</v>
      </c>
      <c r="M1022">
        <v>0.89497039999999894</v>
      </c>
      <c r="N1022">
        <v>-1.529459E-2</v>
      </c>
      <c r="O1022">
        <v>-0.44586350000000002</v>
      </c>
      <c r="P1022">
        <v>0.78124150000000003</v>
      </c>
      <c r="Q1022">
        <v>0.1881852</v>
      </c>
      <c r="R1022">
        <v>-0.59518780000000004</v>
      </c>
      <c r="S1022">
        <v>1.70646699999999</v>
      </c>
      <c r="T1022">
        <v>-3.8911220000000003E-2</v>
      </c>
      <c r="U1022">
        <v>-2.8273619999999999</v>
      </c>
      <c r="V1022">
        <v>0.1903514</v>
      </c>
      <c r="W1022">
        <v>0.1973173</v>
      </c>
      <c r="X1022">
        <v>0.96168200000000004</v>
      </c>
      <c r="Y1022">
        <v>0.53578649999999906</v>
      </c>
      <c r="Z1022">
        <v>-8.6078979999999992E-3</v>
      </c>
      <c r="AA1022">
        <v>0.84430959999999999</v>
      </c>
      <c r="AB1022">
        <v>35</v>
      </c>
      <c r="AC1022">
        <v>45.753999999999998</v>
      </c>
      <c r="AD1022">
        <v>-1.0468731899999999</v>
      </c>
      <c r="AE1022">
        <v>-75.982399999999998</v>
      </c>
      <c r="AF1022">
        <v>47.600892703798401</v>
      </c>
      <c r="AG1022">
        <v>-1.0468731899999999</v>
      </c>
      <c r="AH1022">
        <v>74.824576247133194</v>
      </c>
      <c r="AI1022">
        <v>90.676330950910994</v>
      </c>
      <c r="AJ1022">
        <v>57.536845731314401</v>
      </c>
      <c r="AK1022">
        <v>88.688545710466599</v>
      </c>
      <c r="AL1022">
        <v>78.619874533356594</v>
      </c>
      <c r="AM1022">
        <v>78.803827679528098</v>
      </c>
      <c r="AN1022">
        <v>1.0000000207426201</v>
      </c>
    </row>
    <row r="1023" spans="1:40" x14ac:dyDescent="0.25">
      <c r="A1023" t="str">
        <f>"20190303170958218"</f>
        <v>20190303170958218</v>
      </c>
      <c r="B1023" t="str">
        <f>"1551604198201602"</f>
        <v>1551604198201602</v>
      </c>
      <c r="C1023" t="s">
        <v>40</v>
      </c>
      <c r="D1023">
        <v>4.6461160000000001</v>
      </c>
      <c r="E1023">
        <v>0.6593677</v>
      </c>
      <c r="F1023" t="s">
        <v>48</v>
      </c>
      <c r="G1023">
        <v>-157.25</v>
      </c>
      <c r="H1023">
        <v>7.8441140000000006E-2</v>
      </c>
      <c r="I1023">
        <v>286.64580000000001</v>
      </c>
      <c r="J1023">
        <v>-202.84690000000001</v>
      </c>
      <c r="K1023">
        <v>1.1085719999999999</v>
      </c>
      <c r="L1023">
        <v>363.55700000000002</v>
      </c>
      <c r="M1023">
        <v>0.89191369999999903</v>
      </c>
      <c r="N1023">
        <v>-1.530374E-2</v>
      </c>
      <c r="O1023">
        <v>-0.45194719999999999</v>
      </c>
      <c r="P1023">
        <v>0.77678659999999999</v>
      </c>
      <c r="Q1023">
        <v>0.18823419999999999</v>
      </c>
      <c r="R1023">
        <v>-0.60097529999999999</v>
      </c>
      <c r="S1023">
        <v>1.6867369999999999</v>
      </c>
      <c r="T1023">
        <v>-3.7974359999999999E-2</v>
      </c>
      <c r="U1023">
        <v>-2.8384399999999999</v>
      </c>
      <c r="V1023">
        <v>0.1909698</v>
      </c>
      <c r="W1023">
        <v>0.19734160000000001</v>
      </c>
      <c r="X1023">
        <v>0.96155440000000003</v>
      </c>
      <c r="Y1023">
        <v>0.53582289999999999</v>
      </c>
      <c r="Z1023">
        <v>-8.6665579999999996E-3</v>
      </c>
      <c r="AA1023">
        <v>0.84428579999999998</v>
      </c>
      <c r="AB1023">
        <v>35</v>
      </c>
      <c r="AC1023">
        <v>45.596899999999998</v>
      </c>
      <c r="AD1023">
        <v>-1.0301308600000001</v>
      </c>
      <c r="AE1023">
        <v>-76.911199999999894</v>
      </c>
      <c r="AF1023">
        <v>47.989999765022901</v>
      </c>
      <c r="AG1023">
        <v>-1.0301308600000001</v>
      </c>
      <c r="AH1023">
        <v>75.427103755390604</v>
      </c>
      <c r="AI1023">
        <v>90.660176781366999</v>
      </c>
      <c r="AJ1023">
        <v>57.533709824397697</v>
      </c>
      <c r="AK1023">
        <v>89.405532423682203</v>
      </c>
      <c r="AL1023">
        <v>78.618454287625596</v>
      </c>
      <c r="AM1023">
        <v>78.766925044307499</v>
      </c>
      <c r="AN1023">
        <v>1.00000001788097</v>
      </c>
    </row>
    <row r="1024" spans="1:40" x14ac:dyDescent="0.25">
      <c r="A1024" t="str">
        <f>"20190303170958229"</f>
        <v>20190303170958229</v>
      </c>
      <c r="B1024" t="str">
        <f>"1551604198221122"</f>
        <v>1551604198221122</v>
      </c>
      <c r="C1024" t="s">
        <v>40</v>
      </c>
      <c r="D1024">
        <v>4.6132150000000003</v>
      </c>
      <c r="E1024">
        <v>0.6588619</v>
      </c>
      <c r="F1024" t="s">
        <v>48</v>
      </c>
      <c r="G1024">
        <v>-165.88069999999999</v>
      </c>
      <c r="H1024">
        <v>0.29965310000000001</v>
      </c>
      <c r="I1024">
        <v>300.31029999999998</v>
      </c>
      <c r="J1024">
        <v>-202.6713</v>
      </c>
      <c r="K1024">
        <v>1.1085389999999999</v>
      </c>
      <c r="L1024">
        <v>363.46100000000001</v>
      </c>
      <c r="M1024">
        <v>0.88841700000000001</v>
      </c>
      <c r="N1024">
        <v>-1.531368E-2</v>
      </c>
      <c r="O1024">
        <v>-0.45878200000000002</v>
      </c>
      <c r="P1024">
        <v>0.77177510000000005</v>
      </c>
      <c r="Q1024">
        <v>0.18870990000000001</v>
      </c>
      <c r="R1024">
        <v>-0.607249699999999</v>
      </c>
      <c r="S1024">
        <v>1.6658329999999999</v>
      </c>
      <c r="T1024">
        <v>-3.6449309999999999E-2</v>
      </c>
      <c r="U1024">
        <v>-2.8501280000000002</v>
      </c>
      <c r="V1024">
        <v>0.1914613</v>
      </c>
      <c r="W1024">
        <v>0.19779640000000001</v>
      </c>
      <c r="X1024">
        <v>0.96136319999999997</v>
      </c>
      <c r="Y1024">
        <v>0.53546759999999904</v>
      </c>
      <c r="Z1024">
        <v>-8.7594049999999996E-3</v>
      </c>
      <c r="AA1024">
        <v>0.844510399999999</v>
      </c>
      <c r="AB1024">
        <v>34</v>
      </c>
      <c r="AC1024">
        <v>36.790599999999998</v>
      </c>
      <c r="AD1024">
        <v>-0.80888589999999905</v>
      </c>
      <c r="AE1024">
        <v>-63.150700000000001</v>
      </c>
      <c r="AF1024">
        <v>39.225081905802803</v>
      </c>
      <c r="AG1024">
        <v>-0.80888589999999905</v>
      </c>
      <c r="AH1024">
        <v>61.657471209358697</v>
      </c>
      <c r="AI1024">
        <v>90.634178237272806</v>
      </c>
      <c r="AJ1024">
        <v>57.536408448434102</v>
      </c>
      <c r="AK1024">
        <v>73.081496309593007</v>
      </c>
      <c r="AL1024">
        <v>78.591872275721698</v>
      </c>
      <c r="AM1024">
        <v>78.736569895448994</v>
      </c>
      <c r="AN1024">
        <v>1.00000002378244</v>
      </c>
    </row>
    <row r="1025" spans="1:40" x14ac:dyDescent="0.25">
      <c r="A1025" t="str">
        <f>"20190303170958241"</f>
        <v>20190303170958241</v>
      </c>
      <c r="B1025" t="str">
        <f>"1551604198231857"</f>
        <v>1551604198231857</v>
      </c>
      <c r="C1025" t="s">
        <v>40</v>
      </c>
      <c r="D1025">
        <v>4.6199320000000004</v>
      </c>
      <c r="E1025">
        <v>0.65855739999999996</v>
      </c>
      <c r="F1025" t="s">
        <v>48</v>
      </c>
      <c r="G1025">
        <v>-166.34989999999999</v>
      </c>
      <c r="H1025">
        <v>0.3381653</v>
      </c>
      <c r="I1025">
        <v>300.31029999999998</v>
      </c>
      <c r="J1025">
        <v>-202.523</v>
      </c>
      <c r="K1025">
        <v>1.108517</v>
      </c>
      <c r="L1025">
        <v>363.37880000000001</v>
      </c>
      <c r="M1025">
        <v>0.88540959999999902</v>
      </c>
      <c r="N1025">
        <v>-1.532176E-2</v>
      </c>
      <c r="O1025">
        <v>-0.46455950000000001</v>
      </c>
      <c r="P1025">
        <v>0.76733980000000002</v>
      </c>
      <c r="Q1025">
        <v>0.18891050000000001</v>
      </c>
      <c r="R1025">
        <v>-0.61278310000000002</v>
      </c>
      <c r="S1025">
        <v>1.6451260000000001</v>
      </c>
      <c r="T1025">
        <v>-3.4889459999999997E-2</v>
      </c>
      <c r="U1025">
        <v>-2.8603209999999999</v>
      </c>
      <c r="V1025">
        <v>0.1921533</v>
      </c>
      <c r="W1025">
        <v>0.1979707</v>
      </c>
      <c r="X1025">
        <v>0.96118919999999997</v>
      </c>
      <c r="Y1025">
        <v>0.53586180000000005</v>
      </c>
      <c r="Z1025">
        <v>-8.8697089999999999E-3</v>
      </c>
      <c r="AA1025">
        <v>0.84425910000000004</v>
      </c>
      <c r="AB1025">
        <v>34</v>
      </c>
      <c r="AC1025">
        <v>36.173099999999998</v>
      </c>
      <c r="AD1025">
        <v>-0.77035169999999997</v>
      </c>
      <c r="AE1025">
        <v>-63.0685</v>
      </c>
      <c r="AF1025">
        <v>39.037089844812897</v>
      </c>
      <c r="AG1025">
        <v>-0.77035169999999997</v>
      </c>
      <c r="AH1025">
        <v>61.327382046366999</v>
      </c>
      <c r="AI1025">
        <v>90.607121067118996</v>
      </c>
      <c r="AJ1025">
        <v>57.521776825258101</v>
      </c>
      <c r="AK1025">
        <v>72.701689209775196</v>
      </c>
      <c r="AL1025">
        <v>78.581683690594303</v>
      </c>
      <c r="AM1025">
        <v>78.694913153184999</v>
      </c>
      <c r="AN1025">
        <v>0.999999983478009</v>
      </c>
    </row>
    <row r="1026" spans="1:40" x14ac:dyDescent="0.25">
      <c r="A1026" t="str">
        <f>"20190303170958252"</f>
        <v>20190303170958252</v>
      </c>
      <c r="B1026" t="str">
        <f>"1551604198241618"</f>
        <v>1551604198241618</v>
      </c>
      <c r="C1026" t="s">
        <v>40</v>
      </c>
      <c r="D1026">
        <v>4.6334099999999996</v>
      </c>
      <c r="E1026">
        <v>0.65824259999999901</v>
      </c>
      <c r="F1026" t="s">
        <v>48</v>
      </c>
      <c r="G1026">
        <v>-166.7859</v>
      </c>
      <c r="H1026">
        <v>0.34275529999999998</v>
      </c>
      <c r="I1026">
        <v>300.31029999999998</v>
      </c>
      <c r="J1026">
        <v>-202.36250000000001</v>
      </c>
      <c r="K1026">
        <v>1.1084909999999999</v>
      </c>
      <c r="L1026">
        <v>363.2885</v>
      </c>
      <c r="M1026">
        <v>0.88209280000000001</v>
      </c>
      <c r="N1026">
        <v>-1.533027E-2</v>
      </c>
      <c r="O1026">
        <v>-0.47082639999999998</v>
      </c>
      <c r="P1026">
        <v>0.76247640000000005</v>
      </c>
      <c r="Q1026">
        <v>0.1894187</v>
      </c>
      <c r="R1026">
        <v>-0.61866849999999995</v>
      </c>
      <c r="S1026">
        <v>1.6262509999999999</v>
      </c>
      <c r="T1026">
        <v>-3.4843209999999999E-2</v>
      </c>
      <c r="U1026">
        <v>-2.8699949999999999</v>
      </c>
      <c r="V1026">
        <v>0.19282009999999999</v>
      </c>
      <c r="W1026">
        <v>0.19845309999999999</v>
      </c>
      <c r="X1026">
        <v>0.96095620000000004</v>
      </c>
      <c r="Y1026">
        <v>0.53529669999999996</v>
      </c>
      <c r="Z1026">
        <v>-8.8747700000000006E-3</v>
      </c>
      <c r="AA1026">
        <v>0.84461739999999996</v>
      </c>
      <c r="AB1026">
        <v>34</v>
      </c>
      <c r="AC1026">
        <v>35.576599999999999</v>
      </c>
      <c r="AD1026">
        <v>-0.76573569999999902</v>
      </c>
      <c r="AE1026">
        <v>-62.978200000000001</v>
      </c>
      <c r="AF1026">
        <v>38.802421688714801</v>
      </c>
      <c r="AG1026">
        <v>-0.76573569999999902</v>
      </c>
      <c r="AH1026">
        <v>61.033988143300803</v>
      </c>
      <c r="AI1026">
        <v>90.606599788541601</v>
      </c>
      <c r="AJ1026">
        <v>57.553796835298797</v>
      </c>
      <c r="AK1026">
        <v>72.328154882781803</v>
      </c>
      <c r="AL1026">
        <v>78.553485151688406</v>
      </c>
      <c r="AM1026">
        <v>78.654019211569107</v>
      </c>
      <c r="AN1026">
        <v>1.00000002109102</v>
      </c>
    </row>
    <row r="1027" spans="1:40" x14ac:dyDescent="0.25">
      <c r="A1027" t="str">
        <f>"20190303170958271"</f>
        <v>20190303170958271</v>
      </c>
      <c r="B1027" t="str">
        <f>"1551604198261138"</f>
        <v>1551604198261138</v>
      </c>
      <c r="C1027" t="s">
        <v>40</v>
      </c>
      <c r="D1027">
        <v>4.6241370000000002</v>
      </c>
      <c r="E1027">
        <v>0.6575839</v>
      </c>
      <c r="F1027" t="s">
        <v>48</v>
      </c>
      <c r="G1027">
        <v>-167.26179999999999</v>
      </c>
      <c r="H1027">
        <v>0.38201429999999997</v>
      </c>
      <c r="I1027">
        <v>300.31029999999998</v>
      </c>
      <c r="J1027">
        <v>-202.11109999999999</v>
      </c>
      <c r="K1027">
        <v>1.1084540000000001</v>
      </c>
      <c r="L1027">
        <v>363.14370000000002</v>
      </c>
      <c r="M1027">
        <v>0.87676580000000004</v>
      </c>
      <c r="N1027">
        <v>-1.534289E-2</v>
      </c>
      <c r="O1027">
        <v>-0.48067270000000001</v>
      </c>
      <c r="P1027">
        <v>0.75499469999999902</v>
      </c>
      <c r="Q1027">
        <v>0.18970500000000001</v>
      </c>
      <c r="R1027">
        <v>-0.62769039999999998</v>
      </c>
      <c r="S1027">
        <v>1.6054839999999999</v>
      </c>
      <c r="T1027">
        <v>-3.3225060000000001E-2</v>
      </c>
      <c r="U1027">
        <v>-2.880585</v>
      </c>
      <c r="V1027">
        <v>0.1935489</v>
      </c>
      <c r="W1027">
        <v>0.1987101</v>
      </c>
      <c r="X1027">
        <v>0.96075650000000001</v>
      </c>
      <c r="Y1027">
        <v>0.53180530000000004</v>
      </c>
      <c r="Z1027">
        <v>-8.9514280000000009E-3</v>
      </c>
      <c r="AA1027">
        <v>0.84681930000000005</v>
      </c>
      <c r="AB1027">
        <v>34</v>
      </c>
      <c r="AC1027">
        <v>34.849299999999999</v>
      </c>
      <c r="AD1027">
        <v>-0.72643970000000002</v>
      </c>
      <c r="AE1027">
        <v>-62.833399999999997</v>
      </c>
      <c r="AF1027">
        <v>38.339664973435603</v>
      </c>
      <c r="AG1027">
        <v>-0.72643970000000002</v>
      </c>
      <c r="AH1027">
        <v>60.7579187292244</v>
      </c>
      <c r="AI1027">
        <v>90.579323768002098</v>
      </c>
      <c r="AJ1027">
        <v>57.747117834137498</v>
      </c>
      <c r="AK1027">
        <v>71.846936700321905</v>
      </c>
      <c r="AL1027">
        <v>78.5384602841998</v>
      </c>
      <c r="AM1027">
        <v>78.609948235457693</v>
      </c>
      <c r="AN1027">
        <v>0.99999996641273403</v>
      </c>
    </row>
    <row r="1028" spans="1:40" x14ac:dyDescent="0.25">
      <c r="A1028" t="str">
        <f>"20190303170958285"</f>
        <v>20190303170958285</v>
      </c>
      <c r="B1028" t="str">
        <f>"1551604198271873"</f>
        <v>1551604198271873</v>
      </c>
      <c r="C1028" t="s">
        <v>40</v>
      </c>
      <c r="D1028">
        <v>4.6121990000000004</v>
      </c>
      <c r="E1028">
        <v>0.65726219999999902</v>
      </c>
      <c r="F1028" t="s">
        <v>48</v>
      </c>
      <c r="G1028">
        <v>-167.9494</v>
      </c>
      <c r="H1028">
        <v>0.3869667</v>
      </c>
      <c r="I1028">
        <v>300.31029999999998</v>
      </c>
      <c r="J1028">
        <v>-201.9263</v>
      </c>
      <c r="K1028">
        <v>1.108428</v>
      </c>
      <c r="L1028">
        <v>363.03489999999999</v>
      </c>
      <c r="M1028">
        <v>0.87274319999999905</v>
      </c>
      <c r="N1028">
        <v>-1.535167E-2</v>
      </c>
      <c r="O1028">
        <v>-0.48793819999999999</v>
      </c>
      <c r="P1028">
        <v>0.74897740000000002</v>
      </c>
      <c r="Q1028">
        <v>0.1903494</v>
      </c>
      <c r="R1028">
        <v>-0.63466540000000005</v>
      </c>
      <c r="S1028">
        <v>1.5744020000000001</v>
      </c>
      <c r="T1028">
        <v>-3.3247350000000002E-2</v>
      </c>
      <c r="U1028">
        <v>-2.8957820000000001</v>
      </c>
      <c r="V1028">
        <v>0.19459280000000001</v>
      </c>
      <c r="W1028">
        <v>0.1993162</v>
      </c>
      <c r="X1028">
        <v>0.9604201</v>
      </c>
      <c r="Y1028">
        <v>0.53364590000000001</v>
      </c>
      <c r="Z1028">
        <v>-8.9901040000000005E-3</v>
      </c>
      <c r="AA1028">
        <v>0.84566030000000003</v>
      </c>
      <c r="AB1028">
        <v>34</v>
      </c>
      <c r="AC1028">
        <v>33.976900000000001</v>
      </c>
      <c r="AD1028">
        <v>-0.72146129999999997</v>
      </c>
      <c r="AE1028">
        <v>-62.724600000000002</v>
      </c>
      <c r="AF1028">
        <v>38.164433934836303</v>
      </c>
      <c r="AG1028">
        <v>-0.72146129999999997</v>
      </c>
      <c r="AH1028">
        <v>60.259773548249399</v>
      </c>
      <c r="AI1028">
        <v>90.579505243513907</v>
      </c>
      <c r="AJ1028">
        <v>57.652617109200001</v>
      </c>
      <c r="AK1028">
        <v>71.332214546165503</v>
      </c>
      <c r="AL1028">
        <v>78.503025303545201</v>
      </c>
      <c r="AM1028">
        <v>78.546230196842501</v>
      </c>
      <c r="AN1028">
        <v>1.00000003693914</v>
      </c>
    </row>
    <row r="1029" spans="1:40" x14ac:dyDescent="0.25">
      <c r="A1029" t="str">
        <f>"20190303170958300"</f>
        <v>20190303170958300</v>
      </c>
      <c r="B1029" t="str">
        <f>"1551604198291393"</f>
        <v>1551604198291393</v>
      </c>
      <c r="C1029" t="s">
        <v>40</v>
      </c>
      <c r="D1029">
        <v>4.635872</v>
      </c>
      <c r="E1029">
        <v>0.64422290000000004</v>
      </c>
      <c r="F1029" t="s">
        <v>48</v>
      </c>
      <c r="G1029">
        <v>-168.35050000000001</v>
      </c>
      <c r="H1029">
        <v>0.40453430000000001</v>
      </c>
      <c r="I1029">
        <v>300.01560000000001</v>
      </c>
      <c r="J1029">
        <v>-201.72200000000001</v>
      </c>
      <c r="K1029">
        <v>1.1084020000000001</v>
      </c>
      <c r="L1029">
        <v>362.91230000000002</v>
      </c>
      <c r="M1029">
        <v>0.86819629999999903</v>
      </c>
      <c r="N1029">
        <v>-1.536096E-2</v>
      </c>
      <c r="O1029">
        <v>-0.49598320000000001</v>
      </c>
      <c r="P1029">
        <v>0.74296169999999995</v>
      </c>
      <c r="Q1029">
        <v>0.19024360000000001</v>
      </c>
      <c r="R1029">
        <v>-0.64172859999999998</v>
      </c>
      <c r="S1029">
        <v>1.549423</v>
      </c>
      <c r="T1029">
        <v>-3.2478930000000003E-2</v>
      </c>
      <c r="U1029">
        <v>-2.9081419999999998</v>
      </c>
      <c r="V1029">
        <v>0.19480629999999999</v>
      </c>
      <c r="W1029">
        <v>0.19920080000000001</v>
      </c>
      <c r="X1029">
        <v>0.9604007</v>
      </c>
      <c r="Y1029">
        <v>0.53297879999999997</v>
      </c>
      <c r="Z1029">
        <v>-9.0530039999999999E-3</v>
      </c>
      <c r="AA1029">
        <v>0.8460801</v>
      </c>
      <c r="AB1029">
        <v>34</v>
      </c>
      <c r="AC1029">
        <v>33.371499999999997</v>
      </c>
      <c r="AD1029">
        <v>-0.70386769999999999</v>
      </c>
      <c r="AE1029">
        <v>-62.896700000000003</v>
      </c>
      <c r="AF1029">
        <v>38.055748307395099</v>
      </c>
      <c r="AG1029">
        <v>-0.70386769999999999</v>
      </c>
      <c r="AH1029">
        <v>60.169935928618798</v>
      </c>
      <c r="AI1029">
        <v>90.566438663181003</v>
      </c>
      <c r="AJ1029">
        <v>57.687827773226601</v>
      </c>
      <c r="AK1029">
        <v>71.198009794017395</v>
      </c>
      <c r="AL1029">
        <v>78.509771862845298</v>
      </c>
      <c r="AM1029">
        <v>78.533770727536094</v>
      </c>
      <c r="AN1029">
        <v>0.99999997890040904</v>
      </c>
    </row>
    <row r="1030" spans="1:40" x14ac:dyDescent="0.25">
      <c r="A1030" t="str">
        <f>"20190303170958315"</f>
        <v>20190303170958315</v>
      </c>
      <c r="B1030" t="str">
        <f>"1551604198301660"</f>
        <v>1551604198301660</v>
      </c>
      <c r="C1030" t="s">
        <v>40</v>
      </c>
      <c r="D1030">
        <v>4.6048090000000004</v>
      </c>
      <c r="E1030">
        <v>0.64351440000000004</v>
      </c>
      <c r="F1030" t="s">
        <v>41</v>
      </c>
      <c r="G1030">
        <v>-166.7653</v>
      </c>
      <c r="H1030">
        <v>-0.05</v>
      </c>
      <c r="I1030">
        <v>300.48430000000002</v>
      </c>
      <c r="J1030">
        <v>-201.5204</v>
      </c>
      <c r="K1030">
        <v>1.1083829999999999</v>
      </c>
      <c r="L1030">
        <v>362.78890000000001</v>
      </c>
      <c r="M1030">
        <v>0.86360179999999998</v>
      </c>
      <c r="N1030">
        <v>-1.5369870000000001E-2</v>
      </c>
      <c r="O1030">
        <v>-0.50394019999999995</v>
      </c>
      <c r="P1030">
        <v>0.73680100000000004</v>
      </c>
      <c r="Q1030">
        <v>0.18998190000000001</v>
      </c>
      <c r="R1030">
        <v>-0.64886919999999904</v>
      </c>
      <c r="S1030">
        <v>1.5934600000000001</v>
      </c>
      <c r="T1030">
        <v>-5.280435E-2</v>
      </c>
      <c r="U1030">
        <v>-2.8457029999999999</v>
      </c>
      <c r="V1030">
        <v>0.1952207</v>
      </c>
      <c r="W1030">
        <v>0.19892409999999999</v>
      </c>
      <c r="X1030">
        <v>0.9603739</v>
      </c>
      <c r="Y1030">
        <v>0.50721709999999998</v>
      </c>
      <c r="Z1030">
        <v>-7.0141580000000004E-3</v>
      </c>
      <c r="AA1030">
        <v>0.86178980000000005</v>
      </c>
      <c r="AB1030">
        <v>34</v>
      </c>
      <c r="AC1030">
        <v>34.755099999999999</v>
      </c>
      <c r="AD1030">
        <v>-1.1583829999999999</v>
      </c>
      <c r="AE1030">
        <v>-62.304599999999901</v>
      </c>
      <c r="AF1030">
        <v>36.2865931334699</v>
      </c>
      <c r="AG1030">
        <v>-1.1583829999999999</v>
      </c>
      <c r="AH1030">
        <v>61.403425592519</v>
      </c>
      <c r="AI1030">
        <v>90.930468328986194</v>
      </c>
      <c r="AJ1030">
        <v>59.418870722851203</v>
      </c>
      <c r="AK1030">
        <v>71.333297743092601</v>
      </c>
      <c r="AL1030">
        <v>78.525949306607998</v>
      </c>
      <c r="AM1030">
        <v>78.5097152247846</v>
      </c>
      <c r="AN1030">
        <v>0.99999997353525405</v>
      </c>
    </row>
    <row r="1031" spans="1:40" x14ac:dyDescent="0.25">
      <c r="A1031" t="str">
        <f>"20190303170958329"</f>
        <v>20190303170958329</v>
      </c>
      <c r="B1031" t="str">
        <f>"1551604198321180"</f>
        <v>1551604198321180</v>
      </c>
      <c r="C1031" t="s">
        <v>40</v>
      </c>
      <c r="D1031">
        <v>4.632555</v>
      </c>
      <c r="E1031">
        <v>0.64268110000000001</v>
      </c>
      <c r="F1031" t="s">
        <v>41</v>
      </c>
      <c r="G1031">
        <v>-167.3152</v>
      </c>
      <c r="H1031">
        <v>-0.05</v>
      </c>
      <c r="I1031">
        <v>300.51839999999999</v>
      </c>
      <c r="J1031">
        <v>-201.32689999999999</v>
      </c>
      <c r="K1031">
        <v>1.1083620000000001</v>
      </c>
      <c r="L1031">
        <v>362.66730000000001</v>
      </c>
      <c r="M1031">
        <v>0.85907630000000001</v>
      </c>
      <c r="N1031">
        <v>-1.537824E-2</v>
      </c>
      <c r="O1031">
        <v>-0.51161659999999998</v>
      </c>
      <c r="P1031">
        <v>0.73057550000000004</v>
      </c>
      <c r="Q1031">
        <v>0.18935640000000001</v>
      </c>
      <c r="R1031">
        <v>-0.65605150000000001</v>
      </c>
      <c r="S1031">
        <v>1.5693509999999999</v>
      </c>
      <c r="T1031">
        <v>-5.3147079999999999E-2</v>
      </c>
      <c r="U1031">
        <v>-2.856995</v>
      </c>
      <c r="V1031">
        <v>0.19597410000000001</v>
      </c>
      <c r="W1031">
        <v>0.19827410000000001</v>
      </c>
      <c r="X1031">
        <v>0.96035490000000001</v>
      </c>
      <c r="Y1031">
        <v>0.50655559999999999</v>
      </c>
      <c r="Z1031">
        <v>-6.9322910000000001E-3</v>
      </c>
      <c r="AA1031">
        <v>0.86217940000000004</v>
      </c>
      <c r="AB1031">
        <v>34</v>
      </c>
      <c r="AC1031">
        <v>34.011699999999898</v>
      </c>
      <c r="AD1031">
        <v>-1.1583619999999999</v>
      </c>
      <c r="AE1031">
        <v>-62.148899999999998</v>
      </c>
      <c r="AF1031">
        <v>35.984331183333197</v>
      </c>
      <c r="AG1031">
        <v>-1.1583619999999999</v>
      </c>
      <c r="AH1031">
        <v>61.005957807981801</v>
      </c>
      <c r="AI1031">
        <v>90.936965339545196</v>
      </c>
      <c r="AJ1031">
        <v>59.465793752914699</v>
      </c>
      <c r="AK1031">
        <v>70.837425004753797</v>
      </c>
      <c r="AL1031">
        <v>78.563948787685106</v>
      </c>
      <c r="AM1031">
        <v>78.466335617686596</v>
      </c>
      <c r="AN1031">
        <v>1.00000000027781</v>
      </c>
    </row>
    <row r="1032" spans="1:40" x14ac:dyDescent="0.25">
      <c r="A1032" t="str">
        <f>"20190303170958341"</f>
        <v>20190303170958341</v>
      </c>
      <c r="B1032" t="str">
        <f>"1551604198331916"</f>
        <v>1551604198331916</v>
      </c>
      <c r="C1032" t="s">
        <v>40</v>
      </c>
      <c r="D1032">
        <v>4.604266</v>
      </c>
      <c r="E1032">
        <v>0.6421521</v>
      </c>
      <c r="F1032" t="s">
        <v>41</v>
      </c>
      <c r="G1032">
        <v>-167.52529999999999</v>
      </c>
      <c r="H1032">
        <v>-0.05</v>
      </c>
      <c r="I1032">
        <v>299.96629999999999</v>
      </c>
      <c r="J1032">
        <v>-201.1858</v>
      </c>
      <c r="K1032">
        <v>1.1083480000000001</v>
      </c>
      <c r="L1032">
        <v>362.57749999999999</v>
      </c>
      <c r="M1032">
        <v>0.85571569999999997</v>
      </c>
      <c r="N1032">
        <v>-1.538406E-2</v>
      </c>
      <c r="O1032">
        <v>-0.51721779999999995</v>
      </c>
      <c r="P1032">
        <v>0.72593790000000002</v>
      </c>
      <c r="Q1032">
        <v>0.1891854</v>
      </c>
      <c r="R1032">
        <v>-0.66122879999999995</v>
      </c>
      <c r="S1032">
        <v>1.545563</v>
      </c>
      <c r="T1032">
        <v>-5.2965520000000002E-2</v>
      </c>
      <c r="U1032">
        <v>-2.8669739999999999</v>
      </c>
      <c r="V1032">
        <v>0.1965076</v>
      </c>
      <c r="W1032">
        <v>0.19808480000000001</v>
      </c>
      <c r="X1032">
        <v>0.9602849</v>
      </c>
      <c r="Y1032">
        <v>0.50771390000000005</v>
      </c>
      <c r="Z1032">
        <v>-6.9342029999999999E-3</v>
      </c>
      <c r="AA1032">
        <v>0.86149789999999904</v>
      </c>
      <c r="AB1032">
        <v>34</v>
      </c>
      <c r="AC1032">
        <v>33.660499999999999</v>
      </c>
      <c r="AD1032">
        <v>-1.1583479999999999</v>
      </c>
      <c r="AE1032">
        <v>-62.611199999999997</v>
      </c>
      <c r="AF1032">
        <v>36.162250495464697</v>
      </c>
      <c r="AG1032">
        <v>-1.1583479999999999</v>
      </c>
      <c r="AH1032">
        <v>61.178434052158501</v>
      </c>
      <c r="AI1032">
        <v>90.933803825960695</v>
      </c>
      <c r="AJ1032">
        <v>59.412889801470101</v>
      </c>
      <c r="AK1032">
        <v>71.076373880918695</v>
      </c>
      <c r="AL1032">
        <v>78.575013854953994</v>
      </c>
      <c r="AM1032">
        <v>78.434961962270805</v>
      </c>
      <c r="AN1032">
        <v>0.99999995700840405</v>
      </c>
    </row>
    <row r="1033" spans="1:40" x14ac:dyDescent="0.25">
      <c r="A1033" t="str">
        <f>"20190303170958351"</f>
        <v>20190303170958351</v>
      </c>
      <c r="B1033" t="str">
        <f>"1551604198341676"</f>
        <v>1551604198341676</v>
      </c>
      <c r="C1033" t="s">
        <v>40</v>
      </c>
      <c r="D1033">
        <v>4.4724690000000002</v>
      </c>
      <c r="E1033">
        <v>0.64193679999999997</v>
      </c>
      <c r="F1033" t="s">
        <v>41</v>
      </c>
      <c r="G1033">
        <v>-168.13740000000001</v>
      </c>
      <c r="H1033">
        <v>-0.05</v>
      </c>
      <c r="I1033">
        <v>300.41849999999999</v>
      </c>
      <c r="J1033">
        <v>-201.0437</v>
      </c>
      <c r="K1033">
        <v>1.108333</v>
      </c>
      <c r="L1033">
        <v>362.48570000000001</v>
      </c>
      <c r="M1033">
        <v>0.85227160000000002</v>
      </c>
      <c r="N1033">
        <v>-1.5389679999999999E-2</v>
      </c>
      <c r="O1033">
        <v>-0.52287320000000004</v>
      </c>
      <c r="P1033">
        <v>0.72144109999999995</v>
      </c>
      <c r="Q1033">
        <v>0.189469</v>
      </c>
      <c r="R1033">
        <v>-0.66605130000000001</v>
      </c>
      <c r="S1033">
        <v>1.5282750000000001</v>
      </c>
      <c r="T1033">
        <v>-5.3566099999999901E-2</v>
      </c>
      <c r="U1033">
        <v>-2.8744510000000001</v>
      </c>
      <c r="V1033">
        <v>0.196602</v>
      </c>
      <c r="W1033">
        <v>0.19836329999999999</v>
      </c>
      <c r="X1033">
        <v>0.96020810000000001</v>
      </c>
      <c r="Y1033">
        <v>0.50697309999999995</v>
      </c>
      <c r="Z1033">
        <v>-6.8353800000000003E-3</v>
      </c>
      <c r="AA1033">
        <v>0.8619348</v>
      </c>
      <c r="AB1033">
        <v>34</v>
      </c>
      <c r="AC1033">
        <v>32.906299999999902</v>
      </c>
      <c r="AD1033">
        <v>-1.1583330000000001</v>
      </c>
      <c r="AE1033">
        <v>-62.0672</v>
      </c>
      <c r="AF1033">
        <v>35.686812788576901</v>
      </c>
      <c r="AG1033">
        <v>-1.1583330000000001</v>
      </c>
      <c r="AH1033">
        <v>60.489097462203702</v>
      </c>
      <c r="AI1033">
        <v>90.944896068484795</v>
      </c>
      <c r="AJ1033">
        <v>59.460628071473401</v>
      </c>
      <c r="AK1033">
        <v>70.241164954304494</v>
      </c>
      <c r="AL1033">
        <v>78.558734086309101</v>
      </c>
      <c r="AM1033">
        <v>78.4286555563056</v>
      </c>
      <c r="AN1033">
        <v>0.99999997024824905</v>
      </c>
    </row>
    <row r="1034" spans="1:40" x14ac:dyDescent="0.25">
      <c r="A1034" t="str">
        <f>"20190303170958364"</f>
        <v>20190303170958364</v>
      </c>
      <c r="B1034" t="str">
        <f>"1551604198351436"</f>
        <v>1551604198351436</v>
      </c>
      <c r="C1034" t="s">
        <v>40</v>
      </c>
      <c r="D1034">
        <v>4.4716500000000003</v>
      </c>
      <c r="E1034">
        <v>0.64173649999999904</v>
      </c>
      <c r="F1034" t="s">
        <v>48</v>
      </c>
      <c r="G1034">
        <v>-168.35050000000001</v>
      </c>
      <c r="H1034">
        <v>7.2486880000000004E-2</v>
      </c>
      <c r="I1034">
        <v>300.04719999999998</v>
      </c>
      <c r="J1034">
        <v>-200.8877</v>
      </c>
      <c r="K1034">
        <v>1.1083179999999999</v>
      </c>
      <c r="L1034">
        <v>362.38310000000001</v>
      </c>
      <c r="M1034">
        <v>0.84842090000000003</v>
      </c>
      <c r="N1034">
        <v>-1.539601E-2</v>
      </c>
      <c r="O1034">
        <v>-0.52909849999999903</v>
      </c>
      <c r="P1034">
        <v>0.71623630000000005</v>
      </c>
      <c r="Q1034">
        <v>0.1895984</v>
      </c>
      <c r="R1034">
        <v>-0.67160850000000005</v>
      </c>
      <c r="S1034">
        <v>1.5094449999999999</v>
      </c>
      <c r="T1034">
        <v>-4.78214E-2</v>
      </c>
      <c r="U1034">
        <v>-2.8827820000000002</v>
      </c>
      <c r="V1034">
        <v>0.19702649999999999</v>
      </c>
      <c r="W1034">
        <v>0.19847690000000001</v>
      </c>
      <c r="X1034">
        <v>0.96009770000000005</v>
      </c>
      <c r="Y1034">
        <v>0.50611809999999902</v>
      </c>
      <c r="Z1034">
        <v>-7.3105979999999997E-3</v>
      </c>
      <c r="AA1034">
        <v>0.86243329999999996</v>
      </c>
      <c r="AB1034">
        <v>34</v>
      </c>
      <c r="AC1034">
        <v>32.537199999999899</v>
      </c>
      <c r="AD1034">
        <v>-1.0358311200000001</v>
      </c>
      <c r="AE1034">
        <v>-62.335900000000002</v>
      </c>
      <c r="AF1034">
        <v>35.6681800961466</v>
      </c>
      <c r="AG1034">
        <v>-1.0358311200000001</v>
      </c>
      <c r="AH1034">
        <v>60.581098928205201</v>
      </c>
      <c r="AI1034">
        <v>90.844143169043406</v>
      </c>
      <c r="AJ1034">
        <v>59.511807506620301</v>
      </c>
      <c r="AK1034">
        <v>70.309043264926402</v>
      </c>
      <c r="AL1034">
        <v>78.552094258995595</v>
      </c>
      <c r="AM1034">
        <v>78.403049601536495</v>
      </c>
      <c r="AN1034">
        <v>1.0000000575405701</v>
      </c>
    </row>
    <row r="1035" spans="1:40" x14ac:dyDescent="0.25">
      <c r="A1035" t="str">
        <f>"20190303170958374"</f>
        <v>20190303170958374</v>
      </c>
      <c r="B1035" t="str">
        <f>"1551604198361196"</f>
        <v>1551604198361196</v>
      </c>
      <c r="C1035" t="s">
        <v>40</v>
      </c>
      <c r="D1035">
        <v>4.4613050000000003</v>
      </c>
      <c r="E1035">
        <v>0.64134979999999997</v>
      </c>
      <c r="F1035" t="s">
        <v>48</v>
      </c>
      <c r="G1035">
        <v>-168.35050000000001</v>
      </c>
      <c r="H1035">
        <v>0.1543455</v>
      </c>
      <c r="I1035">
        <v>299.08920000000001</v>
      </c>
      <c r="J1035">
        <v>-200.7448</v>
      </c>
      <c r="K1035">
        <v>1.1083050000000001</v>
      </c>
      <c r="L1035">
        <v>362.28820000000002</v>
      </c>
      <c r="M1035">
        <v>0.84483549999999996</v>
      </c>
      <c r="N1035">
        <v>-1.540182E-2</v>
      </c>
      <c r="O1035">
        <v>-0.53480459999999996</v>
      </c>
      <c r="P1035">
        <v>0.71163549999999998</v>
      </c>
      <c r="Q1035">
        <v>0.1900259</v>
      </c>
      <c r="R1035">
        <v>-0.67636180000000001</v>
      </c>
      <c r="S1035">
        <v>1.487244</v>
      </c>
      <c r="T1035">
        <v>-4.3601510000000003E-2</v>
      </c>
      <c r="U1035">
        <v>-2.893097</v>
      </c>
      <c r="V1035">
        <v>0.19702800000000001</v>
      </c>
      <c r="W1035">
        <v>0.19890169999999999</v>
      </c>
      <c r="X1035">
        <v>0.96000940000000001</v>
      </c>
      <c r="Y1035">
        <v>0.50679920000000001</v>
      </c>
      <c r="Z1035">
        <v>-7.6944459999999998E-3</v>
      </c>
      <c r="AA1035">
        <v>0.86202979999999996</v>
      </c>
      <c r="AB1035">
        <v>34</v>
      </c>
      <c r="AC1035">
        <v>32.394299999999902</v>
      </c>
      <c r="AD1035">
        <v>-0.95395949999999896</v>
      </c>
      <c r="AE1035">
        <v>-63.198999999999998</v>
      </c>
      <c r="AF1035">
        <v>36.065905613290099</v>
      </c>
      <c r="AG1035">
        <v>-0.95395949999999896</v>
      </c>
      <c r="AH1035">
        <v>61.163184521618703</v>
      </c>
      <c r="AI1035">
        <v>90.769730332075994</v>
      </c>
      <c r="AJ1035">
        <v>59.4735542014988</v>
      </c>
      <c r="AK1035">
        <v>71.011229585608305</v>
      </c>
      <c r="AL1035">
        <v>78.527259018175897</v>
      </c>
      <c r="AM1035">
        <v>78.401925927555297</v>
      </c>
      <c r="AN1035">
        <v>0.99999998356762398</v>
      </c>
    </row>
    <row r="1036" spans="1:40" x14ac:dyDescent="0.25">
      <c r="A1036" t="str">
        <f>"20190303170958387"</f>
        <v>20190303170958387</v>
      </c>
      <c r="B1036" t="str">
        <f>"1551604198381692"</f>
        <v>1551604198381692</v>
      </c>
      <c r="C1036" t="s">
        <v>40</v>
      </c>
      <c r="D1036">
        <v>4.4902709999999999</v>
      </c>
      <c r="E1036">
        <v>0.64045969999999997</v>
      </c>
      <c r="F1036" t="s">
        <v>48</v>
      </c>
      <c r="G1036">
        <v>-168.35050000000001</v>
      </c>
      <c r="H1036">
        <v>0.2310276</v>
      </c>
      <c r="I1036">
        <v>298.33859999999999</v>
      </c>
      <c r="J1036">
        <v>-200.5771</v>
      </c>
      <c r="K1036">
        <v>1.1082909999999999</v>
      </c>
      <c r="L1036">
        <v>362.17419999999998</v>
      </c>
      <c r="M1036">
        <v>0.84053389999999994</v>
      </c>
      <c r="N1036">
        <v>-1.540909E-2</v>
      </c>
      <c r="O1036">
        <v>-0.54153980000000002</v>
      </c>
      <c r="P1036">
        <v>0.7061518</v>
      </c>
      <c r="Q1036">
        <v>0.19013769999999999</v>
      </c>
      <c r="R1036">
        <v>-0.68205389999999999</v>
      </c>
      <c r="S1036">
        <v>1.469376</v>
      </c>
      <c r="T1036">
        <v>-3.9788959999999998E-2</v>
      </c>
      <c r="U1036">
        <v>-2.9006959999999999</v>
      </c>
      <c r="V1036">
        <v>0.19709199999999999</v>
      </c>
      <c r="W1036">
        <v>0.1990101</v>
      </c>
      <c r="X1036">
        <v>0.95997379999999999</v>
      </c>
      <c r="Y1036">
        <v>0.50505230000000001</v>
      </c>
      <c r="Z1036">
        <v>-8.0194419999999999E-3</v>
      </c>
      <c r="AA1036">
        <v>0.86305149999999997</v>
      </c>
      <c r="AB1036">
        <v>34</v>
      </c>
      <c r="AC1036">
        <v>32.226599999999898</v>
      </c>
      <c r="AD1036">
        <v>-0.87726339999999903</v>
      </c>
      <c r="AE1036">
        <v>-63.835599999999999</v>
      </c>
      <c r="AF1036">
        <v>36.2028490776948</v>
      </c>
      <c r="AG1036">
        <v>-0.87726339999999903</v>
      </c>
      <c r="AH1036">
        <v>61.655108943492998</v>
      </c>
      <c r="AI1036">
        <v>90.702967879991405</v>
      </c>
      <c r="AJ1036">
        <v>59.579256544243101</v>
      </c>
      <c r="AK1036">
        <v>71.503624602178903</v>
      </c>
      <c r="AL1036">
        <v>78.520921492297504</v>
      </c>
      <c r="AM1036">
        <v>78.397842104577904</v>
      </c>
      <c r="AN1036">
        <v>0.99999998652622402</v>
      </c>
    </row>
    <row r="1037" spans="1:40" x14ac:dyDescent="0.25">
      <c r="A1037" t="str">
        <f>"20190303170958399"</f>
        <v>20190303170958399</v>
      </c>
      <c r="B1037" t="str">
        <f>"1551604198391452"</f>
        <v>1551604198391452</v>
      </c>
      <c r="C1037" t="s">
        <v>40</v>
      </c>
      <c r="D1037">
        <v>4.4685879999999996</v>
      </c>
      <c r="E1037">
        <v>0.64012809999999998</v>
      </c>
      <c r="F1037" t="s">
        <v>48</v>
      </c>
      <c r="G1037">
        <v>-168.35050000000001</v>
      </c>
      <c r="H1037">
        <v>0.2625999</v>
      </c>
      <c r="I1037">
        <v>297.58800000000002</v>
      </c>
      <c r="J1037">
        <v>-200.42439999999999</v>
      </c>
      <c r="K1037">
        <v>1.108277</v>
      </c>
      <c r="L1037">
        <v>362.06920000000002</v>
      </c>
      <c r="M1037">
        <v>0.83654899999999999</v>
      </c>
      <c r="N1037">
        <v>-1.5415720000000001E-2</v>
      </c>
      <c r="O1037">
        <v>-0.54767540000000003</v>
      </c>
      <c r="P1037">
        <v>0.70110680000000003</v>
      </c>
      <c r="Q1037">
        <v>0.19026170000000001</v>
      </c>
      <c r="R1037">
        <v>-0.6872047</v>
      </c>
      <c r="S1037">
        <v>1.450623</v>
      </c>
      <c r="T1037">
        <v>-3.8063760000000002E-2</v>
      </c>
      <c r="U1037">
        <v>-2.9072269999999998</v>
      </c>
      <c r="V1037">
        <v>0.19712569999999999</v>
      </c>
      <c r="W1037">
        <v>0.19913069999999999</v>
      </c>
      <c r="X1037">
        <v>0.95994190000000001</v>
      </c>
      <c r="Y1037">
        <v>0.50396920000000001</v>
      </c>
      <c r="Z1037">
        <v>-8.1661449999999997E-3</v>
      </c>
      <c r="AA1037">
        <v>0.86368299999999998</v>
      </c>
      <c r="AB1037">
        <v>34</v>
      </c>
      <c r="AC1037">
        <v>32.073899999999902</v>
      </c>
      <c r="AD1037">
        <v>-0.84567709999999896</v>
      </c>
      <c r="AE1037">
        <v>-64.481200000000001</v>
      </c>
      <c r="AF1037">
        <v>36.374900707525299</v>
      </c>
      <c r="AG1037">
        <v>-0.84567709999999896</v>
      </c>
      <c r="AH1037">
        <v>62.144965761037703</v>
      </c>
      <c r="AI1037">
        <v>90.672864173974801</v>
      </c>
      <c r="AJ1037">
        <v>59.658564133037402</v>
      </c>
      <c r="AK1037">
        <v>72.012813725616596</v>
      </c>
      <c r="AL1037">
        <v>78.513870820561706</v>
      </c>
      <c r="AM1037">
        <v>78.3955369386032</v>
      </c>
      <c r="AN1037">
        <v>1.00000001432929</v>
      </c>
    </row>
    <row r="1038" spans="1:40" x14ac:dyDescent="0.25">
      <c r="A1038" t="str">
        <f>"20190303170958411"</f>
        <v>20190303170958411</v>
      </c>
      <c r="B1038" t="str">
        <f>"1551604198401576"</f>
        <v>1551604198401576</v>
      </c>
      <c r="C1038" t="s">
        <v>40</v>
      </c>
      <c r="D1038">
        <v>4.5034269999999896</v>
      </c>
      <c r="E1038">
        <v>0.63980319999999902</v>
      </c>
      <c r="F1038" t="s">
        <v>41</v>
      </c>
      <c r="G1038">
        <v>-154.09809999999999</v>
      </c>
      <c r="H1038">
        <v>-0.05</v>
      </c>
      <c r="I1038">
        <v>267.56259999999997</v>
      </c>
      <c r="J1038">
        <v>-200.27670000000001</v>
      </c>
      <c r="K1038">
        <v>1.1082559999999999</v>
      </c>
      <c r="L1038">
        <v>361.9658</v>
      </c>
      <c r="M1038">
        <v>0.83261469999999904</v>
      </c>
      <c r="N1038">
        <v>-1.542236E-2</v>
      </c>
      <c r="O1038">
        <v>-0.55363779999999996</v>
      </c>
      <c r="P1038">
        <v>0.69602039999999998</v>
      </c>
      <c r="Q1038">
        <v>0.1904883</v>
      </c>
      <c r="R1038">
        <v>-0.69229289999999999</v>
      </c>
      <c r="S1038">
        <v>1.429764</v>
      </c>
      <c r="T1038">
        <v>-3.5747769999999998E-2</v>
      </c>
      <c r="U1038">
        <v>-2.9167480000000001</v>
      </c>
      <c r="V1038">
        <v>0.1973106</v>
      </c>
      <c r="W1038">
        <v>0.19934789999999999</v>
      </c>
      <c r="X1038">
        <v>0.95985880000000001</v>
      </c>
      <c r="Y1038">
        <v>0.50389740000000005</v>
      </c>
      <c r="Z1038">
        <v>-8.3968700000000007E-3</v>
      </c>
      <c r="AA1038">
        <v>0.86372269999999896</v>
      </c>
      <c r="AB1038">
        <v>34</v>
      </c>
      <c r="AC1038">
        <v>46.178600000000003</v>
      </c>
      <c r="AD1038">
        <v>-1.158256</v>
      </c>
      <c r="AE1038">
        <v>-94.403199999999998</v>
      </c>
      <c r="AF1038">
        <v>53.035142341824901</v>
      </c>
      <c r="AG1038">
        <v>-1.158256</v>
      </c>
      <c r="AH1038">
        <v>90.713936745427404</v>
      </c>
      <c r="AI1038">
        <v>90.631525299686899</v>
      </c>
      <c r="AJ1038">
        <v>59.687666775889703</v>
      </c>
      <c r="AK1038">
        <v>105.086089469694</v>
      </c>
      <c r="AL1038">
        <v>78.501171250125097</v>
      </c>
      <c r="AM1038">
        <v>78.383969571697804</v>
      </c>
      <c r="AN1038">
        <v>0.99999998702210402</v>
      </c>
    </row>
    <row r="1039" spans="1:40" x14ac:dyDescent="0.25">
      <c r="A1039" t="str">
        <f>"20190303170958423"</f>
        <v>20190303170958423</v>
      </c>
      <c r="B1039" t="str">
        <f>"1551604198411337"</f>
        <v>1551604198411337</v>
      </c>
      <c r="C1039" t="s">
        <v>40</v>
      </c>
      <c r="D1039">
        <v>4.5001730000000002</v>
      </c>
      <c r="E1039">
        <v>0.63980319999999902</v>
      </c>
      <c r="F1039" t="s">
        <v>48</v>
      </c>
      <c r="G1039">
        <v>-157.25</v>
      </c>
      <c r="H1039">
        <v>9.3719479999999994E-2</v>
      </c>
      <c r="I1039">
        <v>272.66680000000002</v>
      </c>
      <c r="J1039">
        <v>-200.1405</v>
      </c>
      <c r="K1039">
        <v>1.108236</v>
      </c>
      <c r="L1039">
        <v>361.86900000000003</v>
      </c>
      <c r="M1039">
        <v>0.82892149999999998</v>
      </c>
      <c r="N1039">
        <v>-1.5428860000000001E-2</v>
      </c>
      <c r="O1039">
        <v>-0.55915209999999904</v>
      </c>
      <c r="P1039">
        <v>0.69126449999999995</v>
      </c>
      <c r="Q1039">
        <v>0.1907219</v>
      </c>
      <c r="R1039">
        <v>-0.6969784</v>
      </c>
      <c r="S1039">
        <v>1.409546</v>
      </c>
      <c r="T1039">
        <v>-3.3233400000000003E-2</v>
      </c>
      <c r="U1039">
        <v>-2.9254150000000001</v>
      </c>
      <c r="V1039">
        <v>0.19747480000000001</v>
      </c>
      <c r="W1039">
        <v>0.19957369999999999</v>
      </c>
      <c r="X1039">
        <v>0.95977809999999997</v>
      </c>
      <c r="Y1039">
        <v>0.50401390000000001</v>
      </c>
      <c r="Z1039">
        <v>-8.6596859999999998E-3</v>
      </c>
      <c r="AA1039">
        <v>0.86365210000000003</v>
      </c>
      <c r="AB1039">
        <v>34</v>
      </c>
      <c r="AC1039">
        <v>42.890500000000003</v>
      </c>
      <c r="AD1039">
        <v>-1.0145165199999999</v>
      </c>
      <c r="AE1039">
        <v>-89.202200000000005</v>
      </c>
      <c r="AF1039">
        <v>49.960007548240199</v>
      </c>
      <c r="AG1039">
        <v>-1.0145165199999999</v>
      </c>
      <c r="AH1039">
        <v>85.431650795743494</v>
      </c>
      <c r="AI1039">
        <v>90.587318758553096</v>
      </c>
      <c r="AJ1039">
        <v>59.681114872222402</v>
      </c>
      <c r="AK1039">
        <v>98.972716218538906</v>
      </c>
      <c r="AL1039">
        <v>78.487968481362898</v>
      </c>
      <c r="AM1039">
        <v>78.373614979094</v>
      </c>
      <c r="AN1039">
        <v>0.99999997980316901</v>
      </c>
    </row>
    <row r="1040" spans="1:40" x14ac:dyDescent="0.25">
      <c r="A1040" t="str">
        <f>"20190303170958433"</f>
        <v>20190303170958433</v>
      </c>
      <c r="B1040" t="str">
        <f>"1551604198421097"</f>
        <v>1551604198421097</v>
      </c>
      <c r="C1040" t="s">
        <v>40</v>
      </c>
      <c r="D1040">
        <v>4.511158</v>
      </c>
      <c r="E1040">
        <v>0.63366449999999996</v>
      </c>
      <c r="F1040" t="s">
        <v>48</v>
      </c>
      <c r="G1040">
        <v>-157.25</v>
      </c>
      <c r="H1040">
        <v>0.1214066</v>
      </c>
      <c r="I1040">
        <v>271.26350000000002</v>
      </c>
      <c r="J1040">
        <v>-199.98840000000001</v>
      </c>
      <c r="K1040">
        <v>1.108214</v>
      </c>
      <c r="L1040">
        <v>361.75959999999998</v>
      </c>
      <c r="M1040">
        <v>0.82472619999999897</v>
      </c>
      <c r="N1040">
        <v>-1.543638E-2</v>
      </c>
      <c r="O1040">
        <v>-0.56532159999999998</v>
      </c>
      <c r="P1040">
        <v>0.68596599999999996</v>
      </c>
      <c r="Q1040">
        <v>0.19045519999999999</v>
      </c>
      <c r="R1040">
        <v>-0.70226619999999995</v>
      </c>
      <c r="S1040">
        <v>1.3893740000000001</v>
      </c>
      <c r="T1040">
        <v>-3.1964299999999897E-2</v>
      </c>
      <c r="U1040">
        <v>-2.935028</v>
      </c>
      <c r="V1040">
        <v>0.1976446</v>
      </c>
      <c r="W1040">
        <v>0.1992989</v>
      </c>
      <c r="X1040">
        <v>0.95980019999999999</v>
      </c>
      <c r="Y1040">
        <v>0.50351570000000001</v>
      </c>
      <c r="Z1040">
        <v>-8.7958299999999993E-3</v>
      </c>
      <c r="AA1040">
        <v>0.86394139999999997</v>
      </c>
      <c r="AB1040">
        <v>34</v>
      </c>
      <c r="AC1040">
        <v>42.738399999999999</v>
      </c>
      <c r="AD1040">
        <v>-0.9868074</v>
      </c>
      <c r="AE1040">
        <v>-90.496099999999899</v>
      </c>
      <c r="AF1040">
        <v>50.4746688012291</v>
      </c>
      <c r="AG1040">
        <v>-0.9868074</v>
      </c>
      <c r="AH1040">
        <v>86.408769609755097</v>
      </c>
      <c r="AI1040">
        <v>90.564980585639503</v>
      </c>
      <c r="AJ1040">
        <v>59.709164700492799</v>
      </c>
      <c r="AK1040">
        <v>100.075678588307</v>
      </c>
      <c r="AL1040">
        <v>78.504035587949602</v>
      </c>
      <c r="AM1040">
        <v>78.364151091678593</v>
      </c>
      <c r="AN1040">
        <v>0.99999993168520196</v>
      </c>
    </row>
    <row r="1041" spans="1:40" x14ac:dyDescent="0.25">
      <c r="A1041" t="str">
        <f>"20190303170958452"</f>
        <v>20190303170958452</v>
      </c>
      <c r="B1041" t="str">
        <f>"1551604198441592"</f>
        <v>1551604198441592</v>
      </c>
      <c r="C1041" t="s">
        <v>40</v>
      </c>
      <c r="D1041">
        <v>4.5259489999999998</v>
      </c>
      <c r="E1041">
        <v>0.63245450000000003</v>
      </c>
      <c r="F1041" t="s">
        <v>48</v>
      </c>
      <c r="G1041">
        <v>-157.25</v>
      </c>
      <c r="H1041">
        <v>0.19186880000000001</v>
      </c>
      <c r="I1041">
        <v>273.03039999999999</v>
      </c>
      <c r="J1041">
        <v>-199.7739</v>
      </c>
      <c r="K1041">
        <v>1.1081840000000001</v>
      </c>
      <c r="L1041">
        <v>361.60169999999999</v>
      </c>
      <c r="M1041">
        <v>0.81865500000000002</v>
      </c>
      <c r="N1041">
        <v>-1.5447829999999999E-2</v>
      </c>
      <c r="O1041">
        <v>-0.57407799999999998</v>
      </c>
      <c r="P1041">
        <v>0.67841839999999998</v>
      </c>
      <c r="Q1041">
        <v>0.19071659999999999</v>
      </c>
      <c r="R1041">
        <v>-0.70948990000000001</v>
      </c>
      <c r="S1041">
        <v>1.4019779999999999</v>
      </c>
      <c r="T1041">
        <v>-3.0056949999999999E-2</v>
      </c>
      <c r="U1041">
        <v>-2.9106450000000001</v>
      </c>
      <c r="V1041">
        <v>0.19764519999999999</v>
      </c>
      <c r="W1041">
        <v>0.19955590000000001</v>
      </c>
      <c r="X1041">
        <v>0.95974669999999895</v>
      </c>
      <c r="Y1041">
        <v>0.48840489999999998</v>
      </c>
      <c r="Z1041">
        <v>-8.8141939999999992E-3</v>
      </c>
      <c r="AA1041">
        <v>0.87257269999999898</v>
      </c>
      <c r="AB1041">
        <v>34</v>
      </c>
      <c r="AC1041">
        <v>42.523899999999998</v>
      </c>
      <c r="AD1041">
        <v>-0.9163152</v>
      </c>
      <c r="AE1041">
        <v>-88.571299999999994</v>
      </c>
      <c r="AF1041">
        <v>48.098853696839697</v>
      </c>
      <c r="AG1041">
        <v>-0.9163152</v>
      </c>
      <c r="AH1041">
        <v>85.662001377084195</v>
      </c>
      <c r="AI1041">
        <v>90.534389618538498</v>
      </c>
      <c r="AJ1041">
        <v>60.6859725546108</v>
      </c>
      <c r="AK1041">
        <v>98.246210310745894</v>
      </c>
      <c r="AL1041">
        <v>78.489008995676699</v>
      </c>
      <c r="AM1041">
        <v>78.363485791468705</v>
      </c>
      <c r="AN1041">
        <v>0.99999995523436802</v>
      </c>
    </row>
    <row r="1042" spans="1:40" x14ac:dyDescent="0.25">
      <c r="A1042" t="str">
        <f>"20190303170958463"</f>
        <v>20190303170958463</v>
      </c>
      <c r="B1042" t="str">
        <f>"1551604198451352"</f>
        <v>1551604198451352</v>
      </c>
      <c r="C1042" t="s">
        <v>40</v>
      </c>
      <c r="D1042">
        <v>4.4972760000000003</v>
      </c>
      <c r="E1042">
        <v>0.63233450000000002</v>
      </c>
      <c r="F1042" t="s">
        <v>41</v>
      </c>
      <c r="G1042">
        <v>-153.98259999999999</v>
      </c>
      <c r="H1042">
        <v>-0.05</v>
      </c>
      <c r="I1042">
        <v>264.6284</v>
      </c>
      <c r="J1042">
        <v>-199.63210000000001</v>
      </c>
      <c r="K1042">
        <v>1.108161</v>
      </c>
      <c r="L1042">
        <v>361.49540000000002</v>
      </c>
      <c r="M1042">
        <v>0.81454439999999995</v>
      </c>
      <c r="N1042">
        <v>-1.5455719999999999E-2</v>
      </c>
      <c r="O1042">
        <v>-0.5798953</v>
      </c>
      <c r="P1042">
        <v>0.67329419999999995</v>
      </c>
      <c r="Q1042">
        <v>0.19104270000000001</v>
      </c>
      <c r="R1042">
        <v>-0.71426730000000005</v>
      </c>
      <c r="S1042">
        <v>1.378601</v>
      </c>
      <c r="T1042">
        <v>-3.486848E-2</v>
      </c>
      <c r="U1042">
        <v>-2.919495</v>
      </c>
      <c r="V1042">
        <v>0.19766710000000001</v>
      </c>
      <c r="W1042">
        <v>0.1998769</v>
      </c>
      <c r="X1042">
        <v>0.95967539999999996</v>
      </c>
      <c r="Y1042">
        <v>0.48890620000000001</v>
      </c>
      <c r="Z1042">
        <v>-8.2864819999999995E-3</v>
      </c>
      <c r="AA1042">
        <v>0.87229699999999999</v>
      </c>
      <c r="AB1042">
        <v>34</v>
      </c>
      <c r="AC1042">
        <v>45.649500000000003</v>
      </c>
      <c r="AD1042">
        <v>-1.158161</v>
      </c>
      <c r="AE1042">
        <v>-96.867000000000004</v>
      </c>
      <c r="AF1042">
        <v>52.430671879687601</v>
      </c>
      <c r="AG1042">
        <v>-1.158161</v>
      </c>
      <c r="AH1042">
        <v>93.356494055404198</v>
      </c>
      <c r="AI1042">
        <v>90.619724650390594</v>
      </c>
      <c r="AJ1042">
        <v>60.680656714890901</v>
      </c>
      <c r="AK1042">
        <v>107.078250233061</v>
      </c>
      <c r="AL1042">
        <v>78.470239022038598</v>
      </c>
      <c r="AM1042">
        <v>78.361390531725803</v>
      </c>
      <c r="AN1042">
        <v>0.999999965470589</v>
      </c>
    </row>
    <row r="1043" spans="1:40" x14ac:dyDescent="0.25">
      <c r="A1043" t="str">
        <f>"20190303170958478"</f>
        <v>20190303170958478</v>
      </c>
      <c r="B1043" t="str">
        <f>"1551604198471849"</f>
        <v>1551604198471849</v>
      </c>
      <c r="C1043" t="s">
        <v>40</v>
      </c>
      <c r="D1043">
        <v>4.4604939999999997</v>
      </c>
      <c r="E1043">
        <v>0.63218830000000004</v>
      </c>
      <c r="F1043" t="s">
        <v>48</v>
      </c>
      <c r="G1043">
        <v>-157.25</v>
      </c>
      <c r="H1043">
        <v>6.2432290000000001E-2</v>
      </c>
      <c r="I1043">
        <v>270.15219999999999</v>
      </c>
      <c r="J1043">
        <v>-199.4418</v>
      </c>
      <c r="K1043">
        <v>1.108128</v>
      </c>
      <c r="L1043">
        <v>361.35059999999999</v>
      </c>
      <c r="M1043">
        <v>0.80891689999999905</v>
      </c>
      <c r="N1043">
        <v>-1.54666E-2</v>
      </c>
      <c r="O1043">
        <v>-0.58771969999999996</v>
      </c>
      <c r="P1043">
        <v>0.66647990000000001</v>
      </c>
      <c r="Q1043">
        <v>0.19171189999999999</v>
      </c>
      <c r="R1043">
        <v>-0.72045230000000005</v>
      </c>
      <c r="S1043">
        <v>1.3587039999999999</v>
      </c>
      <c r="T1043">
        <v>-3.3521889999999999E-2</v>
      </c>
      <c r="U1043">
        <v>-2.9283139999999999</v>
      </c>
      <c r="V1043">
        <v>0.19742480000000001</v>
      </c>
      <c r="W1043">
        <v>0.20054730000000001</v>
      </c>
      <c r="X1043">
        <v>0.95958540000000003</v>
      </c>
      <c r="Y1043">
        <v>0.4863789</v>
      </c>
      <c r="Z1043">
        <v>-8.4171699999999999E-3</v>
      </c>
      <c r="AA1043">
        <v>0.87370740000000002</v>
      </c>
      <c r="AB1043">
        <v>34</v>
      </c>
      <c r="AC1043">
        <v>42.191800000000001</v>
      </c>
      <c r="AD1043">
        <v>-1.0456957099999999</v>
      </c>
      <c r="AE1043">
        <v>-91.198400000000007</v>
      </c>
      <c r="AF1043">
        <v>48.975524840171303</v>
      </c>
      <c r="AG1043">
        <v>-1.0456957099999999</v>
      </c>
      <c r="AH1043">
        <v>87.729741322970995</v>
      </c>
      <c r="AI1043">
        <v>90.596288949276499</v>
      </c>
      <c r="AJ1043">
        <v>60.827363458942401</v>
      </c>
      <c r="AK1043">
        <v>100.479863781175</v>
      </c>
      <c r="AL1043">
        <v>78.431034014837095</v>
      </c>
      <c r="AM1043">
        <v>78.374207976378599</v>
      </c>
      <c r="AN1043">
        <v>0.99999995554274401</v>
      </c>
    </row>
    <row r="1044" spans="1:40" x14ac:dyDescent="0.25">
      <c r="A1044" t="str">
        <f>"20190303170958492"</f>
        <v>20190303170958492</v>
      </c>
      <c r="B1044" t="str">
        <f>"1551604198481608"</f>
        <v>1551604198481608</v>
      </c>
      <c r="C1044" t="s">
        <v>40</v>
      </c>
      <c r="D1044">
        <v>4.5068020000000004</v>
      </c>
      <c r="E1044">
        <v>0.6322219</v>
      </c>
      <c r="F1044" t="s">
        <v>48</v>
      </c>
      <c r="G1044">
        <v>-157.8382</v>
      </c>
      <c r="H1044">
        <v>8.8621140000000001E-2</v>
      </c>
      <c r="I1044">
        <v>269.49</v>
      </c>
      <c r="J1044">
        <v>-199.27680000000001</v>
      </c>
      <c r="K1044">
        <v>1.108101</v>
      </c>
      <c r="L1044">
        <v>361.22219999999999</v>
      </c>
      <c r="M1044">
        <v>0.8039058</v>
      </c>
      <c r="N1044">
        <v>-1.5477029999999999E-2</v>
      </c>
      <c r="O1044">
        <v>-0.5945551</v>
      </c>
      <c r="P1044">
        <v>0.66081400000000001</v>
      </c>
      <c r="Q1044">
        <v>0.1920839</v>
      </c>
      <c r="R1044">
        <v>-0.72555419999999904</v>
      </c>
      <c r="S1044">
        <v>1.3318179999999999</v>
      </c>
      <c r="T1044">
        <v>-3.263402E-2</v>
      </c>
      <c r="U1044">
        <v>-2.9406430000000001</v>
      </c>
      <c r="V1044">
        <v>0.1967565</v>
      </c>
      <c r="W1044">
        <v>0.20093730000000001</v>
      </c>
      <c r="X1044">
        <v>0.95964110000000002</v>
      </c>
      <c r="Y1044">
        <v>0.48698000000000002</v>
      </c>
      <c r="Z1044">
        <v>-8.5403590000000008E-3</v>
      </c>
      <c r="AA1044">
        <v>0.87337140000000002</v>
      </c>
      <c r="AB1044">
        <v>34</v>
      </c>
      <c r="AC1044">
        <v>41.438600000000001</v>
      </c>
      <c r="AD1044">
        <v>-1.0194798599999999</v>
      </c>
      <c r="AE1044">
        <v>-91.732199999999906</v>
      </c>
      <c r="AF1044">
        <v>49.1073656301811</v>
      </c>
      <c r="AG1044">
        <v>-1.0194798599999999</v>
      </c>
      <c r="AH1044">
        <v>87.854097053565695</v>
      </c>
      <c r="AI1044">
        <v>90.580342494144205</v>
      </c>
      <c r="AJ1044">
        <v>60.7963374270443</v>
      </c>
      <c r="AK1044">
        <v>100.652446902291</v>
      </c>
      <c r="AL1044">
        <v>78.408224633212598</v>
      </c>
      <c r="AM1044">
        <v>78.413150592182603</v>
      </c>
      <c r="AN1044">
        <v>0.99999997981637401</v>
      </c>
    </row>
    <row r="1045" spans="1:40" x14ac:dyDescent="0.25">
      <c r="A1045" t="str">
        <f>"20190303170958509"</f>
        <v>20190303170958509</v>
      </c>
      <c r="B1045" t="str">
        <f>"1551604198501634"</f>
        <v>1551604198501634</v>
      </c>
      <c r="C1045" t="s">
        <v>40</v>
      </c>
      <c r="D1045">
        <v>4.5170399999999997</v>
      </c>
      <c r="E1045">
        <v>0.63146720000000001</v>
      </c>
      <c r="F1045" t="s">
        <v>41</v>
      </c>
      <c r="G1045">
        <v>-156.02099999999999</v>
      </c>
      <c r="H1045">
        <v>-0.05</v>
      </c>
      <c r="I1045">
        <v>263.6936</v>
      </c>
      <c r="J1045">
        <v>-199.06559999999999</v>
      </c>
      <c r="K1045">
        <v>1.1080669999999999</v>
      </c>
      <c r="L1045">
        <v>361.05459999999999</v>
      </c>
      <c r="M1045">
        <v>0.79732569999999903</v>
      </c>
      <c r="N1045">
        <v>-1.5490779999999999E-2</v>
      </c>
      <c r="O1045">
        <v>-0.60335039999999995</v>
      </c>
      <c r="P1045">
        <v>0.65303279999999997</v>
      </c>
      <c r="Q1045">
        <v>0.1928628</v>
      </c>
      <c r="R1045">
        <v>-0.73236069999999998</v>
      </c>
      <c r="S1045">
        <v>1.3091740000000001</v>
      </c>
      <c r="T1045">
        <v>-3.5050869999999998E-2</v>
      </c>
      <c r="U1045">
        <v>-2.9517820000000001</v>
      </c>
      <c r="V1045">
        <v>0.19633690000000001</v>
      </c>
      <c r="W1045">
        <v>0.2017225</v>
      </c>
      <c r="X1045">
        <v>0.95956229999999998</v>
      </c>
      <c r="Y1045">
        <v>0.4841993</v>
      </c>
      <c r="Z1045">
        <v>-8.2239849999999996E-3</v>
      </c>
      <c r="AA1045">
        <v>0.87491909999999895</v>
      </c>
      <c r="AB1045">
        <v>34</v>
      </c>
      <c r="AC1045">
        <v>43.044599999999903</v>
      </c>
      <c r="AD1045">
        <v>-1.158067</v>
      </c>
      <c r="AE1045">
        <v>-97.361000000000004</v>
      </c>
      <c r="AF1045">
        <v>51.657537889068998</v>
      </c>
      <c r="AG1045">
        <v>-1.158067</v>
      </c>
      <c r="AH1045">
        <v>93.063520925910595</v>
      </c>
      <c r="AI1045">
        <v>90.6233575990844</v>
      </c>
      <c r="AJ1045">
        <v>60.9662970932946</v>
      </c>
      <c r="AK1045">
        <v>106.44557889863</v>
      </c>
      <c r="AL1045">
        <v>78.362295477128995</v>
      </c>
      <c r="AM1045">
        <v>78.436270421458005</v>
      </c>
      <c r="AN1045">
        <v>0.99999997644457395</v>
      </c>
    </row>
    <row r="1046" spans="1:40" x14ac:dyDescent="0.25">
      <c r="A1046" t="str">
        <f>"20190303170958523"</f>
        <v>20190303170958523</v>
      </c>
      <c r="B1046" t="str">
        <f>"1551604198511395"</f>
        <v>1551604198511395</v>
      </c>
      <c r="C1046" t="s">
        <v>40</v>
      </c>
      <c r="D1046">
        <v>4.4996299999999998</v>
      </c>
      <c r="E1046">
        <v>0.63121359999999904</v>
      </c>
      <c r="F1046" t="s">
        <v>41</v>
      </c>
      <c r="G1046">
        <v>-154.3623</v>
      </c>
      <c r="H1046">
        <v>-0.05</v>
      </c>
      <c r="I1046">
        <v>257.82330000000002</v>
      </c>
      <c r="J1046">
        <v>-198.9092</v>
      </c>
      <c r="K1046">
        <v>1.1080369999999999</v>
      </c>
      <c r="L1046">
        <v>360.928</v>
      </c>
      <c r="M1046">
        <v>0.79233069999999906</v>
      </c>
      <c r="N1046">
        <v>-1.550113E-2</v>
      </c>
      <c r="O1046">
        <v>-0.60989519999999997</v>
      </c>
      <c r="P1046">
        <v>0.64707510000000001</v>
      </c>
      <c r="Q1046">
        <v>0.19345770000000001</v>
      </c>
      <c r="R1046">
        <v>-0.73747459999999998</v>
      </c>
      <c r="S1046">
        <v>1.2824709999999999</v>
      </c>
      <c r="T1046">
        <v>-3.322315E-2</v>
      </c>
      <c r="U1046">
        <v>-2.9615480000000001</v>
      </c>
      <c r="V1046">
        <v>0.19612450000000001</v>
      </c>
      <c r="W1046">
        <v>0.2023189</v>
      </c>
      <c r="X1046">
        <v>0.95948020000000001</v>
      </c>
      <c r="Y1046">
        <v>0.48468990000000001</v>
      </c>
      <c r="Z1046">
        <v>-8.4619769999999903E-3</v>
      </c>
      <c r="AA1046">
        <v>0.87464509999999995</v>
      </c>
      <c r="AB1046">
        <v>34</v>
      </c>
      <c r="AC1046">
        <v>44.546900000000001</v>
      </c>
      <c r="AD1046">
        <v>-1.158037</v>
      </c>
      <c r="AE1046">
        <v>-103.10469999999999</v>
      </c>
      <c r="AF1046">
        <v>54.524823855282399</v>
      </c>
      <c r="AG1046">
        <v>-1.158037</v>
      </c>
      <c r="AH1046">
        <v>98.180279962361197</v>
      </c>
      <c r="AI1046">
        <v>90.590788618755894</v>
      </c>
      <c r="AJ1046">
        <v>60.954215641832398</v>
      </c>
      <c r="AK1046">
        <v>112.31057314265</v>
      </c>
      <c r="AL1046">
        <v>78.327405216063696</v>
      </c>
      <c r="AM1046">
        <v>78.447481937729194</v>
      </c>
      <c r="AN1046">
        <v>1.00000000549475</v>
      </c>
    </row>
    <row r="1047" spans="1:40" x14ac:dyDescent="0.25">
      <c r="A1047" t="str">
        <f>"20190303170958537"</f>
        <v>20190303170958537</v>
      </c>
      <c r="B1047" t="str">
        <f>"1551604198521155"</f>
        <v>1551604198521155</v>
      </c>
      <c r="C1047" t="s">
        <v>40</v>
      </c>
      <c r="D1047">
        <v>4.5128949999999897</v>
      </c>
      <c r="E1047">
        <v>0.63083650000000002</v>
      </c>
      <c r="F1047" t="s">
        <v>41</v>
      </c>
      <c r="G1047">
        <v>-153.1575</v>
      </c>
      <c r="H1047">
        <v>-0.05</v>
      </c>
      <c r="I1047">
        <v>253.10489999999999</v>
      </c>
      <c r="J1047">
        <v>-198.73929999999999</v>
      </c>
      <c r="K1047">
        <v>1.1080019999999999</v>
      </c>
      <c r="L1047">
        <v>360.78859999999997</v>
      </c>
      <c r="M1047">
        <v>0.78678979999999998</v>
      </c>
      <c r="N1047">
        <v>-1.5512349999999999E-2</v>
      </c>
      <c r="O1047">
        <v>-0.61702630000000003</v>
      </c>
      <c r="P1047">
        <v>0.64014259999999901</v>
      </c>
      <c r="Q1047">
        <v>0.19418299999999999</v>
      </c>
      <c r="R1047">
        <v>-0.74331069999999999</v>
      </c>
      <c r="S1047">
        <v>1.260391</v>
      </c>
      <c r="T1047">
        <v>-3.1902189999999997E-2</v>
      </c>
      <c r="U1047">
        <v>-2.970367</v>
      </c>
      <c r="V1047">
        <v>0.19633390000000001</v>
      </c>
      <c r="W1047">
        <v>0.20302909999999999</v>
      </c>
      <c r="X1047">
        <v>0.95928729999999995</v>
      </c>
      <c r="Y1047">
        <v>0.48323490000000002</v>
      </c>
      <c r="Z1047">
        <v>-8.6221660000000006E-3</v>
      </c>
      <c r="AA1047">
        <v>0.87544829999999996</v>
      </c>
      <c r="AB1047">
        <v>34</v>
      </c>
      <c r="AC1047">
        <v>45.581799999999902</v>
      </c>
      <c r="AD1047">
        <v>-1.158002</v>
      </c>
      <c r="AE1047">
        <v>-107.6837</v>
      </c>
      <c r="AF1047">
        <v>56.600519733961598</v>
      </c>
      <c r="AG1047">
        <v>-1.158002</v>
      </c>
      <c r="AH1047">
        <v>102.30923399180099</v>
      </c>
      <c r="AI1047">
        <v>90.567441122968006</v>
      </c>
      <c r="AJ1047">
        <v>61.047322966349199</v>
      </c>
      <c r="AK1047">
        <v>116.92792293877299</v>
      </c>
      <c r="AL1047">
        <v>78.285850931304907</v>
      </c>
      <c r="AM1047">
        <v>78.4332167391577</v>
      </c>
      <c r="AN1047">
        <v>0.99999996983865402</v>
      </c>
    </row>
    <row r="1048" spans="1:40" x14ac:dyDescent="0.25">
      <c r="A1048" t="str">
        <f>"20190303170958553"</f>
        <v>20190303170958553</v>
      </c>
      <c r="B1048" t="str">
        <f>"1551604198541651"</f>
        <v>1551604198541651</v>
      </c>
      <c r="C1048" t="s">
        <v>40</v>
      </c>
      <c r="D1048">
        <v>4.5674460000000003</v>
      </c>
      <c r="E1048">
        <v>0.63081219999999905</v>
      </c>
      <c r="F1048" t="s">
        <v>41</v>
      </c>
      <c r="G1048">
        <v>-152.6078</v>
      </c>
      <c r="H1048">
        <v>-0.05</v>
      </c>
      <c r="I1048">
        <v>249.53630000000001</v>
      </c>
      <c r="J1048">
        <v>-198.54509999999999</v>
      </c>
      <c r="K1048">
        <v>1.10796299999999</v>
      </c>
      <c r="L1048">
        <v>360.62509999999997</v>
      </c>
      <c r="M1048">
        <v>0.78026830000000003</v>
      </c>
      <c r="N1048">
        <v>-1.552603E-2</v>
      </c>
      <c r="O1048">
        <v>-0.62525220000000004</v>
      </c>
      <c r="P1048">
        <v>0.63181350000000003</v>
      </c>
      <c r="Q1048">
        <v>0.1958184</v>
      </c>
      <c r="R1048">
        <v>-0.74997789999999998</v>
      </c>
      <c r="S1048">
        <v>1.235657</v>
      </c>
      <c r="T1048">
        <v>-3.1017659999999999E-2</v>
      </c>
      <c r="U1048">
        <v>-2.9799500000000001</v>
      </c>
      <c r="V1048">
        <v>0.1967035</v>
      </c>
      <c r="W1048">
        <v>0.20464099999999999</v>
      </c>
      <c r="X1048">
        <v>0.95886899999999997</v>
      </c>
      <c r="Y1048">
        <v>0.48123949999999999</v>
      </c>
      <c r="Z1048">
        <v>-8.728609E-3</v>
      </c>
      <c r="AA1048">
        <v>0.87654569999999998</v>
      </c>
      <c r="AB1048">
        <v>34</v>
      </c>
      <c r="AC1048">
        <v>45.937299999999901</v>
      </c>
      <c r="AD1048">
        <v>-1.1579630000000001</v>
      </c>
      <c r="AE1048">
        <v>-111.088799999999</v>
      </c>
      <c r="AF1048">
        <v>57.958280360002902</v>
      </c>
      <c r="AG1048">
        <v>-1.1579630000000001</v>
      </c>
      <c r="AH1048">
        <v>105.304859199513</v>
      </c>
      <c r="AI1048">
        <v>90.551945086628606</v>
      </c>
      <c r="AJ1048">
        <v>61.172245890713199</v>
      </c>
      <c r="AK1048">
        <v>120.20655768978401</v>
      </c>
      <c r="AL1048">
        <v>78.191515447584806</v>
      </c>
      <c r="AM1048">
        <v>78.407112243088093</v>
      </c>
      <c r="AN1048">
        <v>0.99999998247712396</v>
      </c>
    </row>
    <row r="1049" spans="1:40" x14ac:dyDescent="0.25">
      <c r="A1049" t="str">
        <f>"20190303170958567"</f>
        <v>20190303170958567</v>
      </c>
      <c r="B1049" t="str">
        <f>"1551604198551410"</f>
        <v>1551604198551410</v>
      </c>
      <c r="C1049" t="s">
        <v>40</v>
      </c>
      <c r="D1049">
        <v>4.7625099999999998</v>
      </c>
      <c r="E1049">
        <v>0.63081219999999905</v>
      </c>
      <c r="F1049" t="s">
        <v>49</v>
      </c>
      <c r="G1049">
        <v>-156.05860000000001</v>
      </c>
      <c r="H1049">
        <v>0.1115685</v>
      </c>
      <c r="I1049">
        <v>254.97470000000001</v>
      </c>
      <c r="J1049">
        <v>-198.39840000000001</v>
      </c>
      <c r="K1049">
        <v>1.107936</v>
      </c>
      <c r="L1049">
        <v>360.49900000000002</v>
      </c>
      <c r="M1049">
        <v>0.77521410000000002</v>
      </c>
      <c r="N1049">
        <v>-1.553683E-2</v>
      </c>
      <c r="O1049">
        <v>-0.63150759999999995</v>
      </c>
      <c r="P1049">
        <v>0.62564430000000004</v>
      </c>
      <c r="Q1049">
        <v>0.19610050000000001</v>
      </c>
      <c r="R1049">
        <v>-0.75505880000000003</v>
      </c>
      <c r="S1049">
        <v>1.2037659999999999</v>
      </c>
      <c r="T1049">
        <v>-2.822912E-2</v>
      </c>
      <c r="U1049">
        <v>-2.9933779999999999</v>
      </c>
      <c r="V1049">
        <v>0.19682069999999999</v>
      </c>
      <c r="W1049">
        <v>0.2049136</v>
      </c>
      <c r="X1049">
        <v>0.95878669999999999</v>
      </c>
      <c r="Y1049">
        <v>0.48359419999999997</v>
      </c>
      <c r="Z1049">
        <v>-9.1434110000000006E-3</v>
      </c>
      <c r="AA1049">
        <v>0.87524460000000004</v>
      </c>
      <c r="AB1049">
        <v>34</v>
      </c>
      <c r="AC1049">
        <v>42.339799999999997</v>
      </c>
      <c r="AD1049">
        <v>-0.99636749999999996</v>
      </c>
      <c r="AE1049">
        <v>-105.5243</v>
      </c>
      <c r="AF1049">
        <v>55.068434595959097</v>
      </c>
      <c r="AG1049">
        <v>-0.99636749999999996</v>
      </c>
      <c r="AH1049">
        <v>99.466169112756205</v>
      </c>
      <c r="AI1049">
        <v>90.502109143729598</v>
      </c>
      <c r="AJ1049">
        <v>61.029338880229297</v>
      </c>
      <c r="AK1049">
        <v>113.697159309333</v>
      </c>
      <c r="AL1049">
        <v>78.175558122311799</v>
      </c>
      <c r="AM1049">
        <v>78.399423408740205</v>
      </c>
      <c r="AN1049">
        <v>0.99999995375516804</v>
      </c>
    </row>
    <row r="1050" spans="1:40" x14ac:dyDescent="0.25">
      <c r="A1050" t="str">
        <f>"20190303170958580"</f>
        <v>20190303170958580</v>
      </c>
      <c r="B1050" t="str">
        <f>"1551604198571907"</f>
        <v>1551604198571907</v>
      </c>
      <c r="C1050" t="s">
        <v>40</v>
      </c>
      <c r="D1050">
        <v>4.8101859999999999</v>
      </c>
      <c r="E1050">
        <v>0.65570340000000005</v>
      </c>
      <c r="F1050" t="s">
        <v>49</v>
      </c>
      <c r="G1050">
        <v>-156.9819</v>
      </c>
      <c r="H1050">
        <v>0.1548061</v>
      </c>
      <c r="I1050">
        <v>254.97470000000001</v>
      </c>
      <c r="J1050">
        <v>-198.22829999999999</v>
      </c>
      <c r="K1050">
        <v>1.1079000000000001</v>
      </c>
      <c r="L1050">
        <v>360.35079999999999</v>
      </c>
      <c r="M1050">
        <v>0.76923809999999904</v>
      </c>
      <c r="N1050">
        <v>-1.554933E-2</v>
      </c>
      <c r="O1050">
        <v>-0.63877299999999904</v>
      </c>
      <c r="P1050">
        <v>0.61859229999999998</v>
      </c>
      <c r="Q1050">
        <v>0.1964263</v>
      </c>
      <c r="R1050">
        <v>-0.76076299999999997</v>
      </c>
      <c r="S1050">
        <v>1.1788019999999999</v>
      </c>
      <c r="T1050">
        <v>-2.7126549999999999E-2</v>
      </c>
      <c r="U1050">
        <v>-3.0034480000000001</v>
      </c>
      <c r="V1050">
        <v>0.19668530000000001</v>
      </c>
      <c r="W1050">
        <v>0.205237</v>
      </c>
      <c r="X1050">
        <v>0.95874539999999997</v>
      </c>
      <c r="Y1050">
        <v>0.48266369999999997</v>
      </c>
      <c r="Z1050">
        <v>-9.3059809999999996E-3</v>
      </c>
      <c r="AA1050">
        <v>0.87575630000000004</v>
      </c>
      <c r="AB1050">
        <v>34</v>
      </c>
      <c r="AC1050">
        <v>41.246400000000001</v>
      </c>
      <c r="AD1050">
        <v>-0.95309390000000005</v>
      </c>
      <c r="AE1050">
        <v>-105.376099999999</v>
      </c>
      <c r="AF1050">
        <v>54.714958822320099</v>
      </c>
      <c r="AG1050">
        <v>-0.95309390000000005</v>
      </c>
      <c r="AH1050">
        <v>99.044659939729399</v>
      </c>
      <c r="AI1050">
        <v>90.482594633714896</v>
      </c>
      <c r="AJ1050">
        <v>61.082547767334198</v>
      </c>
      <c r="AK1050">
        <v>113.15688122905701</v>
      </c>
      <c r="AL1050">
        <v>78.156627301638693</v>
      </c>
      <c r="AM1050">
        <v>78.406701894225804</v>
      </c>
      <c r="AN1050">
        <v>1.00000003771312</v>
      </c>
    </row>
    <row r="1051" spans="1:40" x14ac:dyDescent="0.25">
      <c r="A1051" t="str">
        <f>"20190303170958599"</f>
        <v>20190303170958599</v>
      </c>
      <c r="B1051" t="str">
        <f>"1551604198591427"</f>
        <v>1551604198591427</v>
      </c>
      <c r="C1051" t="s">
        <v>40</v>
      </c>
      <c r="D1051">
        <v>4.7616379999999996</v>
      </c>
      <c r="E1051">
        <v>0.66299799999999998</v>
      </c>
      <c r="F1051" t="s">
        <v>49</v>
      </c>
      <c r="G1051">
        <v>-157.25</v>
      </c>
      <c r="H1051">
        <v>1.1074299999999999</v>
      </c>
      <c r="I1051">
        <v>230.8124</v>
      </c>
      <c r="J1051">
        <v>-198.01089999999999</v>
      </c>
      <c r="K1051">
        <v>1.10785</v>
      </c>
      <c r="L1051">
        <v>360.15710000000001</v>
      </c>
      <c r="M1051">
        <v>0.76137080000000001</v>
      </c>
      <c r="N1051">
        <v>-1.5565499999999999E-2</v>
      </c>
      <c r="O1051">
        <v>-0.64812990000000004</v>
      </c>
      <c r="P1051">
        <v>0.60951719999999998</v>
      </c>
      <c r="Q1051">
        <v>0.19692319999999999</v>
      </c>
      <c r="R1051">
        <v>-0.76792590000000005</v>
      </c>
      <c r="S1051">
        <v>0.99223329999999998</v>
      </c>
      <c r="T1051" s="1">
        <v>-1.001358E-5</v>
      </c>
      <c r="U1051">
        <v>-3.1365970000000001</v>
      </c>
      <c r="V1051">
        <v>0.19628950000000001</v>
      </c>
      <c r="W1051">
        <v>0.20573859999999999</v>
      </c>
      <c r="X1051">
        <v>0.95871899999999999</v>
      </c>
      <c r="Y1051">
        <v>0.53047060000000001</v>
      </c>
      <c r="Z1051">
        <v>-1.34915E-2</v>
      </c>
      <c r="AA1051">
        <v>0.84759589999999996</v>
      </c>
      <c r="AB1051">
        <v>34</v>
      </c>
      <c r="AC1051">
        <v>40.7608999999999</v>
      </c>
      <c r="AD1051">
        <v>-4.2000000000008599E-4</v>
      </c>
      <c r="AE1051">
        <v>-129.34469999999999</v>
      </c>
      <c r="AF1051">
        <v>72.069645588118405</v>
      </c>
      <c r="AG1051">
        <v>-4.2000000000008599E-4</v>
      </c>
      <c r="AH1051">
        <v>114.880235773392</v>
      </c>
      <c r="AI1051">
        <v>90.000177444817098</v>
      </c>
      <c r="AJ1051">
        <v>57.898063933714099</v>
      </c>
      <c r="AK1051">
        <v>135.61527342715999</v>
      </c>
      <c r="AL1051">
        <v>78.127260963119596</v>
      </c>
      <c r="AM1051">
        <v>78.429091922484503</v>
      </c>
      <c r="AN1051">
        <v>1.0000000301506</v>
      </c>
    </row>
    <row r="1052" spans="1:40" x14ac:dyDescent="0.25">
      <c r="A1052" t="str">
        <f>"20190303170958621"</f>
        <v>20190303170958621</v>
      </c>
      <c r="B1052" t="str">
        <f>"1551604198611453"</f>
        <v>1551604198611453</v>
      </c>
      <c r="C1052" t="s">
        <v>40</v>
      </c>
      <c r="D1052">
        <v>4.7959589999999999</v>
      </c>
      <c r="E1052">
        <v>0.66478570000000003</v>
      </c>
      <c r="F1052" t="s">
        <v>49</v>
      </c>
      <c r="G1052">
        <v>-167.33629999999999</v>
      </c>
      <c r="H1052">
        <v>1.8261579999999999</v>
      </c>
      <c r="I1052">
        <v>252.31030000000001</v>
      </c>
      <c r="J1052">
        <v>-197.76480000000001</v>
      </c>
      <c r="K1052">
        <v>1.1077809999999999</v>
      </c>
      <c r="L1052">
        <v>359.93150000000003</v>
      </c>
      <c r="M1052">
        <v>0.75214369999999997</v>
      </c>
      <c r="N1052">
        <v>-1.558465E-2</v>
      </c>
      <c r="O1052">
        <v>-0.65881480000000003</v>
      </c>
      <c r="P1052">
        <v>0.59878409999999904</v>
      </c>
      <c r="Q1052">
        <v>0.19725809999999999</v>
      </c>
      <c r="R1052">
        <v>-0.77623889999999995</v>
      </c>
      <c r="S1052">
        <v>0.90524289999999996</v>
      </c>
      <c r="T1052">
        <v>2.1199699999999998E-2</v>
      </c>
      <c r="U1052">
        <v>-3.1826780000000001</v>
      </c>
      <c r="V1052">
        <v>0.19605600000000001</v>
      </c>
      <c r="W1052">
        <v>0.2060719</v>
      </c>
      <c r="X1052">
        <v>0.95869519999999997</v>
      </c>
      <c r="Y1052">
        <v>0.54329649999999996</v>
      </c>
      <c r="Z1052">
        <v>-1.6528399999999999E-2</v>
      </c>
      <c r="AA1052">
        <v>0.83937819999999996</v>
      </c>
      <c r="AB1052">
        <v>34</v>
      </c>
      <c r="AC1052">
        <v>30.4285</v>
      </c>
      <c r="AD1052">
        <v>0.71837700000000004</v>
      </c>
      <c r="AE1052">
        <v>-107.6212</v>
      </c>
      <c r="AF1052">
        <v>60.904746666957401</v>
      </c>
      <c r="AG1052">
        <v>0.71837700000000004</v>
      </c>
      <c r="AH1052">
        <v>93.796567463674506</v>
      </c>
      <c r="AI1052">
        <v>89.631964844869202</v>
      </c>
      <c r="AJ1052">
        <v>57.003203811404603</v>
      </c>
      <c r="AK1052">
        <v>111.83783036185901</v>
      </c>
      <c r="AL1052">
        <v>78.107746170979496</v>
      </c>
      <c r="AM1052">
        <v>78.442206558878993</v>
      </c>
      <c r="AN1052">
        <v>1.0000000348043201</v>
      </c>
    </row>
    <row r="1053" spans="1:40" x14ac:dyDescent="0.25">
      <c r="A1053" t="str">
        <f>"20190303170958633"</f>
        <v>20190303170958633</v>
      </c>
      <c r="B1053" t="str">
        <f>"1551604198621214"</f>
        <v>1551604198621214</v>
      </c>
      <c r="C1053" t="s">
        <v>40</v>
      </c>
      <c r="D1053">
        <v>4.7966300000000004</v>
      </c>
      <c r="E1053">
        <v>0.6651475</v>
      </c>
      <c r="F1053" t="s">
        <v>50</v>
      </c>
      <c r="G1053">
        <v>-157.86060000000001</v>
      </c>
      <c r="H1053">
        <v>2.402447</v>
      </c>
      <c r="I1053">
        <v>209.3409</v>
      </c>
      <c r="J1053">
        <v>-197.6242</v>
      </c>
      <c r="K1053">
        <v>1.107748</v>
      </c>
      <c r="L1053">
        <v>359.79989999999998</v>
      </c>
      <c r="M1053">
        <v>0.74672539999999998</v>
      </c>
      <c r="N1053">
        <v>-1.559585E-2</v>
      </c>
      <c r="O1053">
        <v>-0.66494989999999998</v>
      </c>
      <c r="P1053">
        <v>0.59259669999999998</v>
      </c>
      <c r="Q1053">
        <v>0.19733129999999999</v>
      </c>
      <c r="R1053">
        <v>-0.7809545</v>
      </c>
      <c r="S1053">
        <v>0.84875489999999998</v>
      </c>
      <c r="T1053">
        <v>2.753794E-2</v>
      </c>
      <c r="U1053">
        <v>-3.203033</v>
      </c>
      <c r="V1053">
        <v>0.1958318</v>
      </c>
      <c r="W1053">
        <v>0.2061479</v>
      </c>
      <c r="X1053">
        <v>0.95872460000000004</v>
      </c>
      <c r="Y1053">
        <v>0.55158569999999996</v>
      </c>
      <c r="Z1053">
        <v>-1.7533650000000001E-2</v>
      </c>
      <c r="AA1053">
        <v>0.83393390000000001</v>
      </c>
      <c r="AB1053">
        <v>34</v>
      </c>
      <c r="AC1053">
        <v>39.763599999999997</v>
      </c>
      <c r="AD1053">
        <v>1.294699</v>
      </c>
      <c r="AE1053">
        <v>-150.45899999999901</v>
      </c>
      <c r="AF1053">
        <v>85.915240549380798</v>
      </c>
      <c r="AG1053">
        <v>1.294699</v>
      </c>
      <c r="AH1053">
        <v>129.74696090589799</v>
      </c>
      <c r="AI1053">
        <v>89.523313460241098</v>
      </c>
      <c r="AJ1053">
        <v>56.488455516610699</v>
      </c>
      <c r="AK1053">
        <v>155.619338992541</v>
      </c>
      <c r="AL1053">
        <v>78.103295176654399</v>
      </c>
      <c r="AM1053">
        <v>78.455412963947296</v>
      </c>
      <c r="AN1053">
        <v>0.99999995460540403</v>
      </c>
    </row>
    <row r="1054" spans="1:40" x14ac:dyDescent="0.25">
      <c r="A1054" t="str">
        <f>"20190303170958646"</f>
        <v>20190303170958646</v>
      </c>
      <c r="B1054" t="str">
        <f>"1551604198631950"</f>
        <v>1551604198631950</v>
      </c>
      <c r="C1054" t="s">
        <v>40</v>
      </c>
      <c r="D1054">
        <v>4.7894329999999998</v>
      </c>
      <c r="E1054">
        <v>0.66511119999999901</v>
      </c>
      <c r="F1054" t="s">
        <v>50</v>
      </c>
      <c r="G1054">
        <v>-159.11689999999999</v>
      </c>
      <c r="H1054">
        <v>2.3563499999999999</v>
      </c>
      <c r="I1054">
        <v>209.34129999999999</v>
      </c>
      <c r="J1054">
        <v>-197.48509999999999</v>
      </c>
      <c r="K1054">
        <v>1.107718</v>
      </c>
      <c r="L1054">
        <v>359.66699999999997</v>
      </c>
      <c r="M1054">
        <v>0.74123229999999996</v>
      </c>
      <c r="N1054">
        <v>-1.5607090000000001E-2</v>
      </c>
      <c r="O1054">
        <v>-0.67106730000000003</v>
      </c>
      <c r="P1054">
        <v>0.58646880000000001</v>
      </c>
      <c r="Q1054">
        <v>0.1976021</v>
      </c>
      <c r="R1054">
        <v>-0.78549880000000005</v>
      </c>
      <c r="S1054">
        <v>0.82183839999999997</v>
      </c>
      <c r="T1054">
        <v>2.664888E-2</v>
      </c>
      <c r="U1054">
        <v>-3.2111510000000001</v>
      </c>
      <c r="V1054">
        <v>0.19542380000000001</v>
      </c>
      <c r="W1054">
        <v>0.20642740000000001</v>
      </c>
      <c r="X1054">
        <v>0.95874769999999998</v>
      </c>
      <c r="Y1054">
        <v>0.55179429999999996</v>
      </c>
      <c r="Z1054">
        <v>-1.7557329999999999E-2</v>
      </c>
      <c r="AA1054">
        <v>0.83379539999999996</v>
      </c>
      <c r="AB1054">
        <v>34</v>
      </c>
      <c r="AC1054">
        <v>38.368200000000002</v>
      </c>
      <c r="AD1054">
        <v>1.248632</v>
      </c>
      <c r="AE1054">
        <v>-150.32569999999899</v>
      </c>
      <c r="AF1054">
        <v>85.6834971226166</v>
      </c>
      <c r="AG1054">
        <v>1.248632</v>
      </c>
      <c r="AH1054">
        <v>129.325772032332</v>
      </c>
      <c r="AI1054">
        <v>89.5388540617936</v>
      </c>
      <c r="AJ1054">
        <v>56.473933984504001</v>
      </c>
      <c r="AK1054">
        <v>155.13985971629401</v>
      </c>
      <c r="AL1054">
        <v>78.086928847293606</v>
      </c>
      <c r="AM1054">
        <v>78.479091587824797</v>
      </c>
      <c r="AN1054">
        <v>0.99999994266624304</v>
      </c>
    </row>
    <row r="1055" spans="1:40" x14ac:dyDescent="0.25">
      <c r="A1055" t="str">
        <f>"20190303170958665"</f>
        <v>20190303170958665</v>
      </c>
      <c r="B1055" t="str">
        <f>"1551604198651469"</f>
        <v>1551604198651469</v>
      </c>
      <c r="C1055" t="s">
        <v>40</v>
      </c>
      <c r="D1055">
        <v>4.7913940000000004</v>
      </c>
      <c r="E1055">
        <v>0.66495869999999901</v>
      </c>
      <c r="F1055" t="s">
        <v>50</v>
      </c>
      <c r="G1055">
        <v>-160.22819999999999</v>
      </c>
      <c r="H1055">
        <v>2.3893589999999998</v>
      </c>
      <c r="I1055">
        <v>209.3417</v>
      </c>
      <c r="J1055">
        <v>-197.2851</v>
      </c>
      <c r="K1055">
        <v>1.107667</v>
      </c>
      <c r="L1055">
        <v>359.47250000000003</v>
      </c>
      <c r="M1055">
        <v>0.7331396</v>
      </c>
      <c r="N1055">
        <v>-1.562324E-2</v>
      </c>
      <c r="O1055">
        <v>-0.67989869999999997</v>
      </c>
      <c r="P1055">
        <v>0.57768330000000001</v>
      </c>
      <c r="Q1055">
        <v>0.19777790000000001</v>
      </c>
      <c r="R1055">
        <v>-0.79193819999999904</v>
      </c>
      <c r="S1055">
        <v>0.79731750000000001</v>
      </c>
      <c r="T1055">
        <v>2.742851E-2</v>
      </c>
      <c r="U1055">
        <v>-3.217041</v>
      </c>
      <c r="V1055">
        <v>0.19461410000000001</v>
      </c>
      <c r="W1055">
        <v>0.2066238</v>
      </c>
      <c r="X1055">
        <v>0.95887009999999995</v>
      </c>
      <c r="Y1055">
        <v>0.5481433</v>
      </c>
      <c r="Z1055">
        <v>-1.785778E-2</v>
      </c>
      <c r="AA1055">
        <v>0.83619370000000004</v>
      </c>
      <c r="AB1055">
        <v>34</v>
      </c>
      <c r="AC1055">
        <v>37.056899999999999</v>
      </c>
      <c r="AD1055">
        <v>1.2816920000000001</v>
      </c>
      <c r="AE1055">
        <v>-150.13079999999999</v>
      </c>
      <c r="AF1055">
        <v>84.876425559239493</v>
      </c>
      <c r="AG1055">
        <v>1.2816920000000001</v>
      </c>
      <c r="AH1055">
        <v>129.248513338826</v>
      </c>
      <c r="AI1055">
        <v>89.525087100194398</v>
      </c>
      <c r="AJ1055">
        <v>56.707426349208802</v>
      </c>
      <c r="AK1055">
        <v>154.631266406224</v>
      </c>
      <c r="AL1055">
        <v>78.075428168463603</v>
      </c>
      <c r="AM1055">
        <v>78.526983428300596</v>
      </c>
      <c r="AN1055">
        <v>0.99999995565962896</v>
      </c>
    </row>
    <row r="1056" spans="1:40" x14ac:dyDescent="0.25">
      <c r="A1056" t="str">
        <f>"20190303170958680"</f>
        <v>20190303170958680</v>
      </c>
      <c r="B1056" t="str">
        <f>"1551604198671967"</f>
        <v>1551604198671967</v>
      </c>
      <c r="C1056" t="s">
        <v>40</v>
      </c>
      <c r="D1056">
        <v>4.8179600000000002</v>
      </c>
      <c r="E1056">
        <v>0.66466269999999905</v>
      </c>
      <c r="F1056" t="s">
        <v>50</v>
      </c>
      <c r="G1056">
        <v>-161.81450000000001</v>
      </c>
      <c r="H1056">
        <v>2.4329320000000001</v>
      </c>
      <c r="I1056">
        <v>209.34219999999999</v>
      </c>
      <c r="J1056">
        <v>-197.11089999999999</v>
      </c>
      <c r="K1056">
        <v>1.10762</v>
      </c>
      <c r="L1056">
        <v>359.29939999999999</v>
      </c>
      <c r="M1056">
        <v>0.72588520000000001</v>
      </c>
      <c r="N1056">
        <v>-1.5637769999999999E-2</v>
      </c>
      <c r="O1056">
        <v>-0.68763799999999997</v>
      </c>
      <c r="P1056">
        <v>0.56976319999999903</v>
      </c>
      <c r="Q1056">
        <v>0.19771630000000001</v>
      </c>
      <c r="R1056">
        <v>-0.79767049999999995</v>
      </c>
      <c r="S1056">
        <v>0.76200869999999998</v>
      </c>
      <c r="T1056">
        <v>2.8471110000000001E-2</v>
      </c>
      <c r="U1056">
        <v>-3.2252200000000002</v>
      </c>
      <c r="V1056">
        <v>0.19402810000000001</v>
      </c>
      <c r="W1056">
        <v>0.20657529999999999</v>
      </c>
      <c r="X1056">
        <v>0.9589993</v>
      </c>
      <c r="Y1056">
        <v>0.54841669999999998</v>
      </c>
      <c r="Z1056">
        <v>-1.8189429999999999E-2</v>
      </c>
      <c r="AA1056">
        <v>0.83600739999999996</v>
      </c>
      <c r="AB1056">
        <v>34</v>
      </c>
      <c r="AC1056">
        <v>35.296399999999899</v>
      </c>
      <c r="AD1056">
        <v>1.325312</v>
      </c>
      <c r="AE1056">
        <v>-149.9572</v>
      </c>
      <c r="AF1056">
        <v>84.584654725760302</v>
      </c>
      <c r="AG1056">
        <v>1.325312</v>
      </c>
      <c r="AH1056">
        <v>128.743626466981</v>
      </c>
      <c r="AI1056">
        <v>89.507069274468193</v>
      </c>
      <c r="AJ1056">
        <v>56.695057420496497</v>
      </c>
      <c r="AK1056">
        <v>154.04947784021499</v>
      </c>
      <c r="AL1056">
        <v>78.078268313462502</v>
      </c>
      <c r="AM1056">
        <v>78.562118131304402</v>
      </c>
      <c r="AN1056">
        <v>0.99999995778009398</v>
      </c>
    </row>
    <row r="1057" spans="1:40" x14ac:dyDescent="0.25">
      <c r="A1057" t="str">
        <f>"20190303170958700"</f>
        <v>20190303170958700</v>
      </c>
      <c r="B1057" t="str">
        <f>"1551604198691486"</f>
        <v>1551604198691486</v>
      </c>
      <c r="C1057" t="s">
        <v>40</v>
      </c>
      <c r="D1057">
        <v>4.7911029999999997</v>
      </c>
      <c r="E1057">
        <v>0.66393800000000003</v>
      </c>
      <c r="F1057" t="s">
        <v>49</v>
      </c>
      <c r="G1057">
        <v>-166.62719999999999</v>
      </c>
      <c r="H1057">
        <v>2.2511739999999998</v>
      </c>
      <c r="I1057">
        <v>224.61510000000001</v>
      </c>
      <c r="J1057">
        <v>-196.9051</v>
      </c>
      <c r="K1057">
        <v>1.107559</v>
      </c>
      <c r="L1057">
        <v>359.08960000000002</v>
      </c>
      <c r="M1057">
        <v>0.7170358</v>
      </c>
      <c r="N1057">
        <v>-1.5656420000000001E-2</v>
      </c>
      <c r="O1057">
        <v>-0.69686079999999995</v>
      </c>
      <c r="P1057">
        <v>0.56012609999999996</v>
      </c>
      <c r="Q1057">
        <v>0.19779669999999999</v>
      </c>
      <c r="R1057">
        <v>-0.80444749999999998</v>
      </c>
      <c r="S1057">
        <v>0.73144529999999996</v>
      </c>
      <c r="T1057">
        <v>2.7440429999999998E-2</v>
      </c>
      <c r="U1057">
        <v>-3.2316889999999998</v>
      </c>
      <c r="V1057">
        <v>0.19332250000000001</v>
      </c>
      <c r="W1057">
        <v>0.20667140000000001</v>
      </c>
      <c r="X1057">
        <v>0.95912109999999995</v>
      </c>
      <c r="Y1057">
        <v>0.54560220000000004</v>
      </c>
      <c r="Z1057">
        <v>-1.825222E-2</v>
      </c>
      <c r="AA1057">
        <v>0.83784550000000002</v>
      </c>
      <c r="AB1057">
        <v>34</v>
      </c>
      <c r="AC1057">
        <v>30.277899999999999</v>
      </c>
      <c r="AD1057">
        <v>1.143615</v>
      </c>
      <c r="AE1057">
        <v>-134.47450000000001</v>
      </c>
      <c r="AF1057">
        <v>75.327581010110507</v>
      </c>
      <c r="AG1057">
        <v>1.143615</v>
      </c>
      <c r="AH1057">
        <v>115.42652414994799</v>
      </c>
      <c r="AI1057">
        <v>89.524616640821606</v>
      </c>
      <c r="AJ1057">
        <v>56.871452898184003</v>
      </c>
      <c r="AK1057">
        <v>137.83626080767499</v>
      </c>
      <c r="AL1057">
        <v>78.072640903360096</v>
      </c>
      <c r="AM1057">
        <v>78.604031952799204</v>
      </c>
      <c r="AN1057">
        <v>0.99999997052470901</v>
      </c>
    </row>
    <row r="1058" spans="1:40" x14ac:dyDescent="0.25">
      <c r="A1058" t="str">
        <f>"20190303170958714"</f>
        <v>20190303170958714</v>
      </c>
      <c r="B1058" t="str">
        <f>"1551604198701246"</f>
        <v>1551604198701246</v>
      </c>
      <c r="C1058" t="s">
        <v>40</v>
      </c>
      <c r="D1058">
        <v>4.8031940000000004</v>
      </c>
      <c r="E1058">
        <v>0.6634388</v>
      </c>
      <c r="F1058" t="s">
        <v>49</v>
      </c>
      <c r="G1058">
        <v>-167.9522</v>
      </c>
      <c r="H1058">
        <v>2.198588</v>
      </c>
      <c r="I1058">
        <v>224.61510000000001</v>
      </c>
      <c r="J1058">
        <v>-196.74250000000001</v>
      </c>
      <c r="K1058">
        <v>1.107515</v>
      </c>
      <c r="L1058">
        <v>358.92020000000002</v>
      </c>
      <c r="M1058">
        <v>0.7098392</v>
      </c>
      <c r="N1058">
        <v>-1.567176E-2</v>
      </c>
      <c r="O1058">
        <v>-0.70418959999999997</v>
      </c>
      <c r="P1058">
        <v>0.552006</v>
      </c>
      <c r="Q1058">
        <v>0.19764899999999999</v>
      </c>
      <c r="R1058">
        <v>-0.81007680000000004</v>
      </c>
      <c r="S1058">
        <v>0.697052</v>
      </c>
      <c r="T1058">
        <v>2.6268240000000002E-2</v>
      </c>
      <c r="U1058">
        <v>-3.2375180000000001</v>
      </c>
      <c r="V1058">
        <v>0.1931621</v>
      </c>
      <c r="W1058">
        <v>0.20652309999999999</v>
      </c>
      <c r="X1058">
        <v>0.95918539999999997</v>
      </c>
      <c r="Y1058">
        <v>0.54580299999999904</v>
      </c>
      <c r="Z1058">
        <v>-1.8254200000000002E-2</v>
      </c>
      <c r="AA1058">
        <v>0.83771469999999904</v>
      </c>
      <c r="AB1058">
        <v>34</v>
      </c>
      <c r="AC1058">
        <v>28.790299999999998</v>
      </c>
      <c r="AD1058">
        <v>1.091073</v>
      </c>
      <c r="AE1058">
        <v>-134.30510000000001</v>
      </c>
      <c r="AF1058">
        <v>75.065667061404696</v>
      </c>
      <c r="AG1058">
        <v>1.091073</v>
      </c>
      <c r="AH1058">
        <v>115.019590650746</v>
      </c>
      <c r="AI1058">
        <v>89.544858683746</v>
      </c>
      <c r="AJ1058">
        <v>56.870177193896303</v>
      </c>
      <c r="AK1058">
        <v>137.351924067813</v>
      </c>
      <c r="AL1058">
        <v>78.081325695685095</v>
      </c>
      <c r="AM1058">
        <v>78.613983487766504</v>
      </c>
      <c r="AN1058">
        <v>1.00000000964159</v>
      </c>
    </row>
    <row r="1059" spans="1:40" x14ac:dyDescent="0.25">
      <c r="A1059" t="str">
        <f>"20190303170958732"</f>
        <v>20190303170958732</v>
      </c>
      <c r="B1059" t="str">
        <f>"1551604198721742"</f>
        <v>1551604198721742</v>
      </c>
      <c r="C1059" t="s">
        <v>40</v>
      </c>
      <c r="D1059">
        <v>4.8151080000000004</v>
      </c>
      <c r="E1059">
        <v>0.66254290000000005</v>
      </c>
      <c r="F1059" t="s">
        <v>50</v>
      </c>
      <c r="G1059">
        <v>-165.9178</v>
      </c>
      <c r="H1059">
        <v>2.2223679999999999</v>
      </c>
      <c r="I1059">
        <v>209.34360000000001</v>
      </c>
      <c r="J1059">
        <v>-196.56460000000001</v>
      </c>
      <c r="K1059">
        <v>1.1074569999999999</v>
      </c>
      <c r="L1059">
        <v>358.73009999999999</v>
      </c>
      <c r="M1059">
        <v>0.7017177</v>
      </c>
      <c r="N1059">
        <v>-1.5689129999999999E-2</v>
      </c>
      <c r="O1059">
        <v>-0.71228239999999998</v>
      </c>
      <c r="P1059">
        <v>0.54292580000000001</v>
      </c>
      <c r="Q1059">
        <v>0.19783249999999999</v>
      </c>
      <c r="R1059">
        <v>-0.81614580000000003</v>
      </c>
      <c r="S1059">
        <v>0.66813659999999997</v>
      </c>
      <c r="T1059">
        <v>2.4165510000000001E-2</v>
      </c>
      <c r="U1059">
        <v>-3.2421259999999998</v>
      </c>
      <c r="V1059">
        <v>0.19287599999999999</v>
      </c>
      <c r="W1059">
        <v>0.2067087</v>
      </c>
      <c r="X1059">
        <v>0.95920300000000003</v>
      </c>
      <c r="Y1059">
        <v>0.54358790000000001</v>
      </c>
      <c r="Z1059">
        <v>-1.8115889999999999E-2</v>
      </c>
      <c r="AA1059">
        <v>0.83915669999999898</v>
      </c>
      <c r="AB1059">
        <v>34</v>
      </c>
      <c r="AC1059">
        <v>30.646799999999999</v>
      </c>
      <c r="AD1059">
        <v>1.114911</v>
      </c>
      <c r="AE1059">
        <v>-149.38649999999899</v>
      </c>
      <c r="AF1059">
        <v>83.003751122761102</v>
      </c>
      <c r="AG1059">
        <v>1.114911</v>
      </c>
      <c r="AH1059">
        <v>127.919678620111</v>
      </c>
      <c r="AI1059">
        <v>89.581095549908099</v>
      </c>
      <c r="AJ1059">
        <v>57.0215098300854</v>
      </c>
      <c r="AK1059">
        <v>152.49363890097101</v>
      </c>
      <c r="AL1059">
        <v>78.070457161973707</v>
      </c>
      <c r="AM1059">
        <v>78.630611397539795</v>
      </c>
      <c r="AN1059">
        <v>1.00000001662034</v>
      </c>
    </row>
    <row r="1060" spans="1:40" x14ac:dyDescent="0.25">
      <c r="A1060" t="str">
        <f>"20190303170958745"</f>
        <v>20190303170958745</v>
      </c>
      <c r="B1060" t="str">
        <f>"1551604198731502"</f>
        <v>1551604198731502</v>
      </c>
      <c r="C1060" t="s">
        <v>40</v>
      </c>
      <c r="D1060">
        <v>4.8453819999999999</v>
      </c>
      <c r="E1060">
        <v>0.66205000000000003</v>
      </c>
      <c r="F1060" t="s">
        <v>50</v>
      </c>
      <c r="G1060">
        <v>-167.15819999999999</v>
      </c>
      <c r="H1060">
        <v>2.076025</v>
      </c>
      <c r="I1060">
        <v>209.3441</v>
      </c>
      <c r="J1060">
        <v>-196.43819999999999</v>
      </c>
      <c r="K1060">
        <v>1.1074189999999999</v>
      </c>
      <c r="L1060">
        <v>358.5924</v>
      </c>
      <c r="M1060">
        <v>0.69579599999999997</v>
      </c>
      <c r="N1060">
        <v>-1.5701670000000001E-2</v>
      </c>
      <c r="O1060">
        <v>-0.71806789999999998</v>
      </c>
      <c r="P1060">
        <v>0.53628180000000003</v>
      </c>
      <c r="Q1060">
        <v>0.1978366</v>
      </c>
      <c r="R1060">
        <v>-0.82052579999999997</v>
      </c>
      <c r="S1060">
        <v>0.63891600000000004</v>
      </c>
      <c r="T1060">
        <v>2.104485E-2</v>
      </c>
      <c r="U1060">
        <v>-3.2457280000000002</v>
      </c>
      <c r="V1060">
        <v>0.192741</v>
      </c>
      <c r="W1060">
        <v>0.20671149999999999</v>
      </c>
      <c r="X1060">
        <v>0.95922949999999996</v>
      </c>
      <c r="Y1060">
        <v>0.5440758</v>
      </c>
      <c r="Z1060">
        <v>-1.7767140000000001E-2</v>
      </c>
      <c r="AA1060">
        <v>0.83884789999999998</v>
      </c>
      <c r="AB1060">
        <v>34</v>
      </c>
      <c r="AC1060">
        <v>29.28</v>
      </c>
      <c r="AD1060">
        <v>0.96860599999999997</v>
      </c>
      <c r="AE1060">
        <v>-149.2483</v>
      </c>
      <c r="AF1060">
        <v>82.828188902869897</v>
      </c>
      <c r="AG1060">
        <v>0.96860599999999997</v>
      </c>
      <c r="AH1060">
        <v>127.553864288548</v>
      </c>
      <c r="AI1060">
        <v>89.635102043031694</v>
      </c>
      <c r="AJ1060">
        <v>57.001977579640197</v>
      </c>
      <c r="AK1060">
        <v>152.09022114999399</v>
      </c>
      <c r="AL1060">
        <v>78.070292815601903</v>
      </c>
      <c r="AM1060">
        <v>78.638667862022103</v>
      </c>
      <c r="AN1060">
        <v>0.99999998549174896</v>
      </c>
    </row>
    <row r="1061" spans="1:40" x14ac:dyDescent="0.25">
      <c r="A1061" t="str">
        <f>"20190303170958757"</f>
        <v>20190303170958757</v>
      </c>
      <c r="B1061" t="str">
        <f>"1551604198741262"</f>
        <v>1551604198741262</v>
      </c>
      <c r="C1061" t="s">
        <v>40</v>
      </c>
      <c r="D1061">
        <v>4.7918629999999904</v>
      </c>
      <c r="E1061">
        <v>0.66152999999999995</v>
      </c>
      <c r="F1061" t="s">
        <v>50</v>
      </c>
      <c r="G1061">
        <v>-168.3074</v>
      </c>
      <c r="H1061">
        <v>2.0311360000000001</v>
      </c>
      <c r="I1061">
        <v>210.23609999999999</v>
      </c>
      <c r="J1061">
        <v>-196.3109</v>
      </c>
      <c r="K1061">
        <v>1.1073770000000001</v>
      </c>
      <c r="L1061">
        <v>358.452</v>
      </c>
      <c r="M1061">
        <v>0.68972489999999997</v>
      </c>
      <c r="N1061">
        <v>-1.571413E-2</v>
      </c>
      <c r="O1061">
        <v>-0.72390120000000002</v>
      </c>
      <c r="P1061">
        <v>0.52937819999999902</v>
      </c>
      <c r="Q1061">
        <v>0.19779330000000001</v>
      </c>
      <c r="R1061">
        <v>-0.8250073</v>
      </c>
      <c r="S1061">
        <v>0.61601260000000002</v>
      </c>
      <c r="T1061">
        <v>2.0228389999999999E-2</v>
      </c>
      <c r="U1061">
        <v>-3.2487180000000002</v>
      </c>
      <c r="V1061">
        <v>0.19273940000000001</v>
      </c>
      <c r="W1061">
        <v>0.2066616</v>
      </c>
      <c r="X1061">
        <v>0.9592406</v>
      </c>
      <c r="Y1061">
        <v>0.54285620000000001</v>
      </c>
      <c r="Z1061">
        <v>-1.7758489999999998E-2</v>
      </c>
      <c r="AA1061">
        <v>0.83963790000000005</v>
      </c>
      <c r="AB1061">
        <v>33</v>
      </c>
      <c r="AC1061">
        <v>28.003499999999999</v>
      </c>
      <c r="AD1061">
        <v>0.923759</v>
      </c>
      <c r="AE1061">
        <v>-148.2159</v>
      </c>
      <c r="AF1061">
        <v>81.963463181479597</v>
      </c>
      <c r="AG1061">
        <v>0.923759</v>
      </c>
      <c r="AH1061">
        <v>126.619244836584</v>
      </c>
      <c r="AI1061">
        <v>89.649101944503002</v>
      </c>
      <c r="AJ1061">
        <v>57.084116691405796</v>
      </c>
      <c r="AK1061">
        <v>150.835326732098</v>
      </c>
      <c r="AL1061">
        <v>78.073215280753203</v>
      </c>
      <c r="AM1061">
        <v>78.638887772148195</v>
      </c>
      <c r="AN1061">
        <v>1.0000000109576399</v>
      </c>
    </row>
    <row r="1062" spans="1:40" x14ac:dyDescent="0.25">
      <c r="A1062" t="str">
        <f>"20190303170958778"</f>
        <v>20190303170958778</v>
      </c>
      <c r="B1062" t="str">
        <f>"1551604198761758"</f>
        <v>1551604198761758</v>
      </c>
      <c r="C1062" t="s">
        <v>40</v>
      </c>
      <c r="D1062">
        <v>4.8147289999999998</v>
      </c>
      <c r="E1062">
        <v>0.66045069999999995</v>
      </c>
      <c r="F1062" t="s">
        <v>50</v>
      </c>
      <c r="G1062">
        <v>-169.3108</v>
      </c>
      <c r="H1062">
        <v>1.9645539999999999</v>
      </c>
      <c r="I1062">
        <v>210.23650000000001</v>
      </c>
      <c r="J1062">
        <v>-196.10220000000001</v>
      </c>
      <c r="K1062">
        <v>1.10731</v>
      </c>
      <c r="L1062">
        <v>358.21559999999999</v>
      </c>
      <c r="M1062">
        <v>0.67943719999999996</v>
      </c>
      <c r="N1062">
        <v>-1.5736590000000002E-2</v>
      </c>
      <c r="O1062">
        <v>-0.73356499999999902</v>
      </c>
      <c r="P1062">
        <v>0.51806099999999999</v>
      </c>
      <c r="Q1062">
        <v>0.1981646</v>
      </c>
      <c r="R1062">
        <v>-0.83207240000000005</v>
      </c>
      <c r="S1062">
        <v>0.59236149999999999</v>
      </c>
      <c r="T1062">
        <v>1.880658E-2</v>
      </c>
      <c r="U1062">
        <v>-3.2517399999999999</v>
      </c>
      <c r="V1062">
        <v>0.19228719999999999</v>
      </c>
      <c r="W1062">
        <v>0.2070381</v>
      </c>
      <c r="X1062">
        <v>0.95925020000000005</v>
      </c>
      <c r="Y1062">
        <v>0.53703109999999998</v>
      </c>
      <c r="Z1062">
        <v>-1.7707770000000001E-2</v>
      </c>
      <c r="AA1062">
        <v>0.84337659999999903</v>
      </c>
      <c r="AB1062">
        <v>33</v>
      </c>
      <c r="AC1062">
        <v>26.791399999999999</v>
      </c>
      <c r="AD1062">
        <v>0.85724400000000001</v>
      </c>
      <c r="AE1062">
        <v>-147.97909999999999</v>
      </c>
      <c r="AF1062">
        <v>80.896654558147105</v>
      </c>
      <c r="AG1062">
        <v>0.85724400000000001</v>
      </c>
      <c r="AH1062">
        <v>126.76693089742101</v>
      </c>
      <c r="AI1062">
        <v>89.6733877250673</v>
      </c>
      <c r="AJ1062">
        <v>57.455908313815797</v>
      </c>
      <c r="AK1062">
        <v>150.38237381796799</v>
      </c>
      <c r="AL1062">
        <v>78.051166968357506</v>
      </c>
      <c r="AM1062">
        <v>78.664962554979397</v>
      </c>
      <c r="AN1062">
        <v>1.0000000441677399</v>
      </c>
    </row>
    <row r="1063" spans="1:40" x14ac:dyDescent="0.25">
      <c r="A1063" t="str">
        <f>"20190303170958790"</f>
        <v>20190303170958790</v>
      </c>
      <c r="B1063" t="str">
        <f>"1551604198781278"</f>
        <v>1551604198781278</v>
      </c>
      <c r="C1063" t="s">
        <v>40</v>
      </c>
      <c r="D1063">
        <v>4.8375640000000004</v>
      </c>
      <c r="E1063">
        <v>0.64673769999999997</v>
      </c>
      <c r="F1063" t="s">
        <v>50</v>
      </c>
      <c r="G1063">
        <v>-168.41470000000001</v>
      </c>
      <c r="H1063">
        <v>2.0211399999999999</v>
      </c>
      <c r="I1063">
        <v>195.83459999999999</v>
      </c>
      <c r="J1063">
        <v>-195.97630000000001</v>
      </c>
      <c r="K1063">
        <v>1.1072679999999999</v>
      </c>
      <c r="L1063">
        <v>358.06900000000002</v>
      </c>
      <c r="M1063">
        <v>0.67302200000000001</v>
      </c>
      <c r="N1063">
        <v>-1.5751069999999999E-2</v>
      </c>
      <c r="O1063">
        <v>-0.73945499999999997</v>
      </c>
      <c r="P1063">
        <v>0.51095279999999998</v>
      </c>
      <c r="Q1063">
        <v>0.1982323</v>
      </c>
      <c r="R1063">
        <v>-0.83643979999999996</v>
      </c>
      <c r="S1063">
        <v>0.55509949999999997</v>
      </c>
      <c r="T1063">
        <v>1.8321750000000001E-2</v>
      </c>
      <c r="U1063">
        <v>-3.2555239999999999</v>
      </c>
      <c r="V1063">
        <v>0.1921185</v>
      </c>
      <c r="W1063">
        <v>0.20710619999999999</v>
      </c>
      <c r="X1063">
        <v>0.95926929999999999</v>
      </c>
      <c r="Y1063">
        <v>0.53921569999999996</v>
      </c>
      <c r="Z1063">
        <v>-1.7761229999999999E-2</v>
      </c>
      <c r="AA1063">
        <v>0.84198039999999996</v>
      </c>
      <c r="AB1063">
        <v>33</v>
      </c>
      <c r="AC1063">
        <v>27.561599999999999</v>
      </c>
      <c r="AD1063">
        <v>0.91387199999999902</v>
      </c>
      <c r="AE1063">
        <v>-162.23439999999999</v>
      </c>
      <c r="AF1063">
        <v>88.815018627029303</v>
      </c>
      <c r="AG1063">
        <v>0.91387199999999902</v>
      </c>
      <c r="AH1063">
        <v>138.52748664941501</v>
      </c>
      <c r="AI1063">
        <v>89.681803447035307</v>
      </c>
      <c r="AJ1063">
        <v>57.334588365734199</v>
      </c>
      <c r="AK1063">
        <v>164.55639535781</v>
      </c>
      <c r="AL1063">
        <v>78.047178668643497</v>
      </c>
      <c r="AM1063">
        <v>78.674869709883296</v>
      </c>
      <c r="AN1063">
        <v>1.0000000430215801</v>
      </c>
    </row>
    <row r="1064" spans="1:40" x14ac:dyDescent="0.25">
      <c r="A1064" t="str">
        <f>"20190303170958804"</f>
        <v>20190303170958804</v>
      </c>
      <c r="B1064" t="str">
        <f>"1551604198792014"</f>
        <v>1551604198792014</v>
      </c>
      <c r="C1064" t="s">
        <v>40</v>
      </c>
      <c r="D1064">
        <v>4.8187490000000004</v>
      </c>
      <c r="E1064">
        <v>0.64620659999999996</v>
      </c>
      <c r="F1064" t="s">
        <v>50</v>
      </c>
      <c r="G1064">
        <v>-166.9693</v>
      </c>
      <c r="H1064">
        <v>0.49877359999999998</v>
      </c>
      <c r="I1064">
        <v>209.34460000000001</v>
      </c>
      <c r="J1064">
        <v>-195.84270000000001</v>
      </c>
      <c r="K1064">
        <v>1.1072219999999999</v>
      </c>
      <c r="L1064">
        <v>357.911</v>
      </c>
      <c r="M1064">
        <v>0.66606849999999995</v>
      </c>
      <c r="N1064">
        <v>-1.5766490000000001E-2</v>
      </c>
      <c r="O1064">
        <v>-0.74572430000000001</v>
      </c>
      <c r="P1064">
        <v>0.50317330000000005</v>
      </c>
      <c r="Q1064">
        <v>0.19867770000000001</v>
      </c>
      <c r="R1064">
        <v>-0.8410377</v>
      </c>
      <c r="S1064">
        <v>0.62559509999999996</v>
      </c>
      <c r="T1064">
        <v>-1.3122679999999999E-2</v>
      </c>
      <c r="U1064">
        <v>-3.2075499999999999</v>
      </c>
      <c r="V1064">
        <v>0.19200130000000001</v>
      </c>
      <c r="W1064">
        <v>0.20754839999999999</v>
      </c>
      <c r="X1064">
        <v>0.95919719999999997</v>
      </c>
      <c r="Y1064">
        <v>0.51099349999999999</v>
      </c>
      <c r="Z1064">
        <v>-1.238591E-2</v>
      </c>
      <c r="AA1064">
        <v>0.85949540000000002</v>
      </c>
      <c r="AB1064">
        <v>33</v>
      </c>
      <c r="AC1064">
        <v>28.8734</v>
      </c>
      <c r="AD1064">
        <v>-0.608448399999999</v>
      </c>
      <c r="AE1064">
        <v>-148.56639999999999</v>
      </c>
      <c r="AF1064">
        <v>77.4321548859361</v>
      </c>
      <c r="AG1064">
        <v>-0.608448399999999</v>
      </c>
      <c r="AH1064">
        <v>130.03526223790001</v>
      </c>
      <c r="AI1064">
        <v>90.230345519868806</v>
      </c>
      <c r="AJ1064">
        <v>59.227451800578599</v>
      </c>
      <c r="AK1064">
        <v>151.34489831181801</v>
      </c>
      <c r="AL1064">
        <v>78.021279855819699</v>
      </c>
      <c r="AM1064">
        <v>78.680771296626304</v>
      </c>
      <c r="AN1064">
        <v>1.00000005301604</v>
      </c>
    </row>
    <row r="1065" spans="1:40" x14ac:dyDescent="0.25">
      <c r="A1065" t="str">
        <f>"20190303170958823"</f>
        <v>20190303170958823</v>
      </c>
      <c r="B1065" t="str">
        <f>"1551604198811534"</f>
        <v>1551604198811534</v>
      </c>
      <c r="C1065" t="s">
        <v>40</v>
      </c>
      <c r="D1065">
        <v>4.7963199999999997</v>
      </c>
      <c r="E1065">
        <v>0.64453039999999995</v>
      </c>
      <c r="F1065" t="s">
        <v>50</v>
      </c>
      <c r="G1065">
        <v>-168.26140000000001</v>
      </c>
      <c r="H1065">
        <v>0.50716589999999995</v>
      </c>
      <c r="I1065">
        <v>210.23660000000001</v>
      </c>
      <c r="J1065">
        <v>-195.6549</v>
      </c>
      <c r="K1065">
        <v>1.1071549999999999</v>
      </c>
      <c r="L1065">
        <v>357.68400000000003</v>
      </c>
      <c r="M1065">
        <v>0.65600740000000002</v>
      </c>
      <c r="N1065">
        <v>-1.5788139999999999E-2</v>
      </c>
      <c r="O1065">
        <v>-0.75458930000000002</v>
      </c>
      <c r="P1065">
        <v>0.49178430000000001</v>
      </c>
      <c r="Q1065">
        <v>0.19935659999999999</v>
      </c>
      <c r="R1065">
        <v>-0.84758820000000001</v>
      </c>
      <c r="S1065">
        <v>0.59977720000000001</v>
      </c>
      <c r="T1065">
        <v>-1.3047929999999999E-2</v>
      </c>
      <c r="U1065">
        <v>-3.2113040000000002</v>
      </c>
      <c r="V1065">
        <v>0.1920258</v>
      </c>
      <c r="W1065">
        <v>0.20821729999999999</v>
      </c>
      <c r="X1065">
        <v>0.95904730000000005</v>
      </c>
      <c r="Y1065">
        <v>0.50631479999999995</v>
      </c>
      <c r="Z1065">
        <v>-1.243008E-2</v>
      </c>
      <c r="AA1065">
        <v>0.86225909999999995</v>
      </c>
      <c r="AB1065">
        <v>33</v>
      </c>
      <c r="AC1065">
        <v>27.3934999999999</v>
      </c>
      <c r="AD1065">
        <v>-0.59998909999999905</v>
      </c>
      <c r="AE1065">
        <v>-147.44739999999999</v>
      </c>
      <c r="AF1065">
        <v>76.064007402290798</v>
      </c>
      <c r="AG1065">
        <v>-0.59998909999999905</v>
      </c>
      <c r="AH1065">
        <v>129.24661090473199</v>
      </c>
      <c r="AI1065">
        <v>90.229226538556105</v>
      </c>
      <c r="AJ1065">
        <v>59.522406076105199</v>
      </c>
      <c r="AK1065">
        <v>149.96926231523199</v>
      </c>
      <c r="AL1065">
        <v>77.982098563098404</v>
      </c>
      <c r="AM1065">
        <v>78.677640498885694</v>
      </c>
      <c r="AN1065">
        <v>1.0000000377611</v>
      </c>
    </row>
    <row r="1066" spans="1:40" x14ac:dyDescent="0.25">
      <c r="A1066" t="str">
        <f>"20190303170958836"</f>
        <v>20190303170958836</v>
      </c>
      <c r="B1066" t="str">
        <f>"1551604198821294"</f>
        <v>1551604198821294</v>
      </c>
      <c r="C1066" t="s">
        <v>40</v>
      </c>
      <c r="D1066">
        <v>4.8112940000000002</v>
      </c>
      <c r="E1066">
        <v>0.64379339999999996</v>
      </c>
      <c r="F1066" t="s">
        <v>50</v>
      </c>
      <c r="G1066">
        <v>-169.39230000000001</v>
      </c>
      <c r="H1066">
        <v>0.4004955</v>
      </c>
      <c r="I1066">
        <v>209.5223</v>
      </c>
      <c r="J1066">
        <v>-195.5309</v>
      </c>
      <c r="K1066">
        <v>1.10711</v>
      </c>
      <c r="L1066">
        <v>357.53120000000001</v>
      </c>
      <c r="M1066">
        <v>0.64918889999999996</v>
      </c>
      <c r="N1066">
        <v>-1.580196E-2</v>
      </c>
      <c r="O1066">
        <v>-0.76046340000000001</v>
      </c>
      <c r="P1066">
        <v>0.48384890000000003</v>
      </c>
      <c r="Q1066">
        <v>0.1996937</v>
      </c>
      <c r="R1066">
        <v>-0.85206380000000004</v>
      </c>
      <c r="S1066">
        <v>0.56945800000000002</v>
      </c>
      <c r="T1066">
        <v>-1.532185E-2</v>
      </c>
      <c r="U1066">
        <v>-3.2126160000000001</v>
      </c>
      <c r="V1066">
        <v>0.19233120000000001</v>
      </c>
      <c r="W1066">
        <v>0.20853579999999999</v>
      </c>
      <c r="X1066">
        <v>0.95891680000000001</v>
      </c>
      <c r="Y1066">
        <v>0.50648839999999995</v>
      </c>
      <c r="Z1066">
        <v>-1.2067130000000001E-2</v>
      </c>
      <c r="AA1066">
        <v>0.86216229999999905</v>
      </c>
      <c r="AB1066">
        <v>33</v>
      </c>
      <c r="AC1066">
        <v>26.1386</v>
      </c>
      <c r="AD1066">
        <v>-0.70661450000000003</v>
      </c>
      <c r="AE1066">
        <v>-148.00890000000001</v>
      </c>
      <c r="AF1066">
        <v>76.216098670982902</v>
      </c>
      <c r="AG1066">
        <v>-0.70661450000000003</v>
      </c>
      <c r="AH1066">
        <v>129.537518185077</v>
      </c>
      <c r="AI1066">
        <v>90.269373456178499</v>
      </c>
      <c r="AJ1066">
        <v>59.5286855759528</v>
      </c>
      <c r="AK1066">
        <v>150.297576887406</v>
      </c>
      <c r="AL1066">
        <v>77.963439210020795</v>
      </c>
      <c r="AM1066">
        <v>78.658596250218196</v>
      </c>
      <c r="AN1066">
        <v>0.99999994984865803</v>
      </c>
    </row>
    <row r="1067" spans="1:40" x14ac:dyDescent="0.25">
      <c r="A1067" t="str">
        <f>"20190303170958855"</f>
        <v>20190303170958855</v>
      </c>
      <c r="B1067" t="str">
        <f>"1551604198841790"</f>
        <v>1551604198841790</v>
      </c>
      <c r="C1067" t="s">
        <v>40</v>
      </c>
      <c r="D1067">
        <v>4.5839829999999999</v>
      </c>
      <c r="E1067">
        <v>0.64289469999999904</v>
      </c>
      <c r="F1067" t="s">
        <v>50</v>
      </c>
      <c r="G1067">
        <v>-168.4136</v>
      </c>
      <c r="H1067">
        <v>0.37877080000000002</v>
      </c>
      <c r="I1067">
        <v>197.49340000000001</v>
      </c>
      <c r="J1067">
        <v>-195.35599999999999</v>
      </c>
      <c r="K1067">
        <v>1.1070519999999999</v>
      </c>
      <c r="L1067">
        <v>357.30950000000001</v>
      </c>
      <c r="M1067">
        <v>0.63924340000000002</v>
      </c>
      <c r="N1067">
        <v>-1.5822760000000002E-2</v>
      </c>
      <c r="O1067">
        <v>-0.76884169999999996</v>
      </c>
      <c r="P1067">
        <v>0.47270020000000001</v>
      </c>
      <c r="Q1067">
        <v>0.20001630000000001</v>
      </c>
      <c r="R1067">
        <v>-0.85822399999999999</v>
      </c>
      <c r="S1067">
        <v>0.54475399999999996</v>
      </c>
      <c r="T1067">
        <v>-1.4630789999999999E-2</v>
      </c>
      <c r="U1067">
        <v>-3.214966</v>
      </c>
      <c r="V1067">
        <v>0.192355</v>
      </c>
      <c r="W1067">
        <v>0.2088496</v>
      </c>
      <c r="X1067">
        <v>0.95884380000000002</v>
      </c>
      <c r="Y1067">
        <v>0.50180899999999995</v>
      </c>
      <c r="Z1067">
        <v>-1.2211069999999999E-2</v>
      </c>
      <c r="AA1067">
        <v>0.864892199999999</v>
      </c>
      <c r="AB1067">
        <v>33</v>
      </c>
      <c r="AC1067">
        <v>26.9423999999999</v>
      </c>
      <c r="AD1067">
        <v>-0.72828119999999996</v>
      </c>
      <c r="AE1067">
        <v>-159.81610000000001</v>
      </c>
      <c r="AF1067">
        <v>81.455497391324897</v>
      </c>
      <c r="AG1067">
        <v>-0.72828119999999996</v>
      </c>
      <c r="AH1067">
        <v>140.11074165394299</v>
      </c>
      <c r="AI1067">
        <v>90.257467069380297</v>
      </c>
      <c r="AJ1067">
        <v>59.827774652737503</v>
      </c>
      <c r="AK1067">
        <v>162.06957880982</v>
      </c>
      <c r="AL1067">
        <v>77.945055819426202</v>
      </c>
      <c r="AM1067">
        <v>78.656388015846105</v>
      </c>
      <c r="AN1067">
        <v>1.00000001712179</v>
      </c>
    </row>
    <row r="1068" spans="1:40" x14ac:dyDescent="0.25">
      <c r="A1068" t="str">
        <f>"20190303170958868"</f>
        <v>20190303170958868</v>
      </c>
      <c r="B1068" t="str">
        <f>"1551604198861310"</f>
        <v>1551604198861310</v>
      </c>
      <c r="C1068" t="s">
        <v>40</v>
      </c>
      <c r="D1068">
        <v>4.6219239999999999</v>
      </c>
      <c r="E1068">
        <v>0.64174030000000004</v>
      </c>
      <c r="F1068" t="s">
        <v>50</v>
      </c>
      <c r="G1068">
        <v>-168.41739999999999</v>
      </c>
      <c r="H1068">
        <v>0.97524330000000004</v>
      </c>
      <c r="I1068">
        <v>186.61709999999999</v>
      </c>
      <c r="J1068">
        <v>-195.2432</v>
      </c>
      <c r="K1068">
        <v>1.1070150000000001</v>
      </c>
      <c r="L1068">
        <v>357.1628</v>
      </c>
      <c r="M1068">
        <v>0.63262609999999997</v>
      </c>
      <c r="N1068">
        <v>-1.583679E-2</v>
      </c>
      <c r="O1068">
        <v>-0.77429559999999997</v>
      </c>
      <c r="P1068">
        <v>0.4655782</v>
      </c>
      <c r="Q1068">
        <v>0.19993810000000001</v>
      </c>
      <c r="R1068">
        <v>-0.86212679999999997</v>
      </c>
      <c r="S1068">
        <v>0.50764469999999995</v>
      </c>
      <c r="T1068">
        <v>-2.4832489999999999E-3</v>
      </c>
      <c r="U1068">
        <v>-3.2166139999999999</v>
      </c>
      <c r="V1068">
        <v>0.1920992</v>
      </c>
      <c r="W1068">
        <v>0.20877689999999999</v>
      </c>
      <c r="X1068">
        <v>0.95891090000000001</v>
      </c>
      <c r="Y1068">
        <v>0.5042027</v>
      </c>
      <c r="Z1068">
        <v>-1.451527E-2</v>
      </c>
      <c r="AA1068">
        <v>0.86346329999999905</v>
      </c>
      <c r="AB1068">
        <v>33</v>
      </c>
      <c r="AC1068">
        <v>26.825800000000001</v>
      </c>
      <c r="AD1068">
        <v>-0.13177169999999899</v>
      </c>
      <c r="AE1068">
        <v>-170.54570000000001</v>
      </c>
      <c r="AF1068">
        <v>87.131427101914397</v>
      </c>
      <c r="AG1068">
        <v>-0.13177169999999899</v>
      </c>
      <c r="AH1068">
        <v>149.04207130130101</v>
      </c>
      <c r="AI1068">
        <v>90.043731768490701</v>
      </c>
      <c r="AJ1068">
        <v>59.689033380065801</v>
      </c>
      <c r="AK1068">
        <v>172.64252654076699</v>
      </c>
      <c r="AL1068">
        <v>77.949314972788301</v>
      </c>
      <c r="AM1068">
        <v>78.671855004615495</v>
      </c>
      <c r="AN1068">
        <v>1.0000000053765199</v>
      </c>
    </row>
    <row r="1069" spans="1:40" x14ac:dyDescent="0.25">
      <c r="A1069" t="str">
        <f>"20190303170958880"</f>
        <v>20190303170958880</v>
      </c>
      <c r="B1069" t="str">
        <f>"1551604198871070"</f>
        <v>1551604198871070</v>
      </c>
      <c r="C1069" t="s">
        <v>40</v>
      </c>
      <c r="D1069">
        <v>4.6362009999999998</v>
      </c>
      <c r="E1069">
        <v>0.64116280000000003</v>
      </c>
      <c r="F1069" t="s">
        <v>50</v>
      </c>
      <c r="G1069">
        <v>-169.32060000000001</v>
      </c>
      <c r="H1069">
        <v>1.235133</v>
      </c>
      <c r="I1069">
        <v>186.40479999999999</v>
      </c>
      <c r="J1069">
        <v>-195.12209999999999</v>
      </c>
      <c r="K1069">
        <v>1.106975</v>
      </c>
      <c r="L1069">
        <v>357.00310000000002</v>
      </c>
      <c r="M1069">
        <v>0.6253879</v>
      </c>
      <c r="N1069">
        <v>-1.5851609999999999E-2</v>
      </c>
      <c r="O1069">
        <v>-0.78015319999999899</v>
      </c>
      <c r="P1069">
        <v>0.457681</v>
      </c>
      <c r="Q1069">
        <v>0.20008629999999999</v>
      </c>
      <c r="R1069">
        <v>-0.86631039999999904</v>
      </c>
      <c r="S1069">
        <v>0.48815920000000002</v>
      </c>
      <c r="T1069">
        <v>2.4132730000000001E-3</v>
      </c>
      <c r="U1069">
        <v>-3.2156069999999999</v>
      </c>
      <c r="V1069">
        <v>0.191936</v>
      </c>
      <c r="W1069">
        <v>0.2089261</v>
      </c>
      <c r="X1069">
        <v>0.95891110000000002</v>
      </c>
      <c r="Y1069">
        <v>0.5012354</v>
      </c>
      <c r="Z1069">
        <v>-1.548688E-2</v>
      </c>
      <c r="AA1069">
        <v>0.86517239999999995</v>
      </c>
      <c r="AB1069">
        <v>33</v>
      </c>
      <c r="AC1069">
        <v>25.801499999999901</v>
      </c>
      <c r="AD1069">
        <v>0.12815799999999999</v>
      </c>
      <c r="AE1069">
        <v>-170.59829999999999</v>
      </c>
      <c r="AF1069">
        <v>86.571805704496697</v>
      </c>
      <c r="AG1069">
        <v>0.12815799999999999</v>
      </c>
      <c r="AH1069">
        <v>149.24740189793599</v>
      </c>
      <c r="AI1069">
        <v>89.957441847891104</v>
      </c>
      <c r="AJ1069">
        <v>59.883879004946102</v>
      </c>
      <c r="AK1069">
        <v>172.53834629059699</v>
      </c>
      <c r="AL1069">
        <v>77.940573859350806</v>
      </c>
      <c r="AM1069">
        <v>78.681232712059298</v>
      </c>
      <c r="AN1069">
        <v>1.00000002053021</v>
      </c>
    </row>
    <row r="1070" spans="1:40" x14ac:dyDescent="0.25">
      <c r="A1070" t="str">
        <f>"20190303170958904"</f>
        <v>20190303170958904</v>
      </c>
      <c r="B1070" t="str">
        <f>"1551604198891566"</f>
        <v>1551604198891566</v>
      </c>
      <c r="C1070" t="s">
        <v>40</v>
      </c>
      <c r="D1070">
        <v>4.5994599999999997</v>
      </c>
      <c r="E1070">
        <v>0.64116609999999996</v>
      </c>
      <c r="F1070" t="s">
        <v>50</v>
      </c>
      <c r="G1070">
        <v>-168.91970000000001</v>
      </c>
      <c r="H1070">
        <v>1.3451660000000001</v>
      </c>
      <c r="I1070">
        <v>174.71270000000001</v>
      </c>
      <c r="J1070">
        <v>-194.9145</v>
      </c>
      <c r="K1070">
        <v>1.106903</v>
      </c>
      <c r="L1070">
        <v>356.72129999999999</v>
      </c>
      <c r="M1070">
        <v>0.61252850000000003</v>
      </c>
      <c r="N1070">
        <v>-1.5877510000000001E-2</v>
      </c>
      <c r="O1070">
        <v>-0.79028920000000002</v>
      </c>
      <c r="P1070">
        <v>0.4435076</v>
      </c>
      <c r="Q1070">
        <v>0.2004185</v>
      </c>
      <c r="R1070">
        <v>-0.8735754</v>
      </c>
      <c r="S1070">
        <v>0.46250920000000001</v>
      </c>
      <c r="T1070">
        <v>4.2049879999999998E-3</v>
      </c>
      <c r="U1070">
        <v>-3.2176819999999999</v>
      </c>
      <c r="V1070">
        <v>0.1918562</v>
      </c>
      <c r="W1070">
        <v>0.20925340000000001</v>
      </c>
      <c r="X1070">
        <v>0.95885569999999998</v>
      </c>
      <c r="Y1070">
        <v>0.49388359999999898</v>
      </c>
      <c r="Z1070">
        <v>-1.5932140000000001E-2</v>
      </c>
      <c r="AA1070">
        <v>0.86938210000000005</v>
      </c>
      <c r="AB1070">
        <v>33</v>
      </c>
      <c r="AC1070">
        <v>25.994800000000001</v>
      </c>
      <c r="AD1070">
        <v>0.238263</v>
      </c>
      <c r="AE1070">
        <v>-182.0086</v>
      </c>
      <c r="AF1070">
        <v>90.953344841725297</v>
      </c>
      <c r="AG1070">
        <v>0.238263</v>
      </c>
      <c r="AH1070">
        <v>159.78183759386999</v>
      </c>
      <c r="AI1070">
        <v>89.925748881458603</v>
      </c>
      <c r="AJ1070">
        <v>60.349972228113003</v>
      </c>
      <c r="AK1070">
        <v>183.85538700845501</v>
      </c>
      <c r="AL1070">
        <v>77.921397071540596</v>
      </c>
      <c r="AM1070">
        <v>78.6851803946779</v>
      </c>
      <c r="AN1070">
        <v>1.00000002015624</v>
      </c>
    </row>
    <row r="1071" spans="1:40" x14ac:dyDescent="0.25">
      <c r="A1071" t="str">
        <f>"20190303170958922"</f>
        <v>20190303170958922</v>
      </c>
      <c r="B1071" t="str">
        <f>"1551604198911086"</f>
        <v>1551604198911086</v>
      </c>
      <c r="C1071" t="s">
        <v>40</v>
      </c>
      <c r="D1071">
        <v>4.5820949999999998</v>
      </c>
      <c r="E1071">
        <v>0.63357989999999997</v>
      </c>
      <c r="F1071" t="s">
        <v>51</v>
      </c>
      <c r="G1071">
        <v>-163.6557</v>
      </c>
      <c r="H1071">
        <v>1.522904</v>
      </c>
      <c r="I1071">
        <v>110.96259999999999</v>
      </c>
      <c r="J1071">
        <v>-194.74799999999999</v>
      </c>
      <c r="K1071">
        <v>1.106849</v>
      </c>
      <c r="L1071">
        <v>356.48820000000001</v>
      </c>
      <c r="M1071">
        <v>0.60181490000000004</v>
      </c>
      <c r="N1071">
        <v>-1.5898289999999999E-2</v>
      </c>
      <c r="O1071">
        <v>-0.79847729999999995</v>
      </c>
      <c r="P1071">
        <v>0.43148009999999898</v>
      </c>
      <c r="Q1071">
        <v>0.20101340000000001</v>
      </c>
      <c r="R1071">
        <v>-0.8794421</v>
      </c>
      <c r="S1071">
        <v>0.41015629999999997</v>
      </c>
      <c r="T1071">
        <v>5.4585930000000003E-3</v>
      </c>
      <c r="U1071">
        <v>-3.2246700000000001</v>
      </c>
      <c r="V1071">
        <v>0.19204889999999999</v>
      </c>
      <c r="W1071">
        <v>0.20983489999999999</v>
      </c>
      <c r="X1071">
        <v>0.95869000000000004</v>
      </c>
      <c r="Y1071">
        <v>0.49628280000000002</v>
      </c>
      <c r="Z1071">
        <v>-1.6310649999999999E-2</v>
      </c>
      <c r="AA1071">
        <v>0.86800769999999905</v>
      </c>
      <c r="AB1071">
        <v>33</v>
      </c>
      <c r="AC1071">
        <v>31.092299999999899</v>
      </c>
      <c r="AD1071">
        <v>0.41605500000000001</v>
      </c>
      <c r="AE1071">
        <v>-245.5256</v>
      </c>
      <c r="AF1071">
        <v>122.949664735781</v>
      </c>
      <c r="AG1071">
        <v>0.41605500000000001</v>
      </c>
      <c r="AH1071">
        <v>214.78497413448201</v>
      </c>
      <c r="AI1071">
        <v>89.903678610217099</v>
      </c>
      <c r="AJ1071">
        <v>60.211822779452497</v>
      </c>
      <c r="AK1071">
        <v>247.48611733661801</v>
      </c>
      <c r="AL1071">
        <v>77.887322743629795</v>
      </c>
      <c r="AM1071">
        <v>78.672202456073407</v>
      </c>
      <c r="AN1071">
        <v>0.99999999067460998</v>
      </c>
    </row>
    <row r="1072" spans="1:40" x14ac:dyDescent="0.25">
      <c r="A1072" t="str">
        <f>"20190303170958937"</f>
        <v>20190303170958937</v>
      </c>
      <c r="B1072" t="str">
        <f>"1551604198921823"</f>
        <v>1551604198921823</v>
      </c>
      <c r="C1072" t="s">
        <v>40</v>
      </c>
      <c r="D1072">
        <v>4.5648419999999996</v>
      </c>
      <c r="E1072">
        <v>0.63280360000000002</v>
      </c>
      <c r="F1072" t="s">
        <v>51</v>
      </c>
      <c r="G1072">
        <v>-162.52809999999999</v>
      </c>
      <c r="H1072">
        <v>1.0127619999999999</v>
      </c>
      <c r="I1072">
        <v>112.0917</v>
      </c>
      <c r="J1072">
        <v>-194.6259</v>
      </c>
      <c r="K1072">
        <v>1.106811</v>
      </c>
      <c r="L1072">
        <v>356.31349999999998</v>
      </c>
      <c r="M1072">
        <v>0.59374179999999999</v>
      </c>
      <c r="N1072">
        <v>-1.5913150000000001E-2</v>
      </c>
      <c r="O1072">
        <v>-0.80449859999999995</v>
      </c>
      <c r="P1072">
        <v>0.42267680000000002</v>
      </c>
      <c r="Q1072">
        <v>0.20102980000000001</v>
      </c>
      <c r="R1072">
        <v>-0.88370349999999998</v>
      </c>
      <c r="S1072">
        <v>0.42243960000000003</v>
      </c>
      <c r="T1072">
        <v>-1.2334589999999999E-3</v>
      </c>
      <c r="U1072">
        <v>-3.2043149999999998</v>
      </c>
      <c r="V1072">
        <v>0.1919844</v>
      </c>
      <c r="W1072">
        <v>0.20985029999999999</v>
      </c>
      <c r="X1072">
        <v>0.95869959999999999</v>
      </c>
      <c r="Y1072">
        <v>0.48351260000000001</v>
      </c>
      <c r="Z1072">
        <v>-1.499176E-2</v>
      </c>
      <c r="AA1072">
        <v>0.87520900000000001</v>
      </c>
      <c r="AB1072">
        <v>33</v>
      </c>
      <c r="AC1072">
        <v>32.097799999999999</v>
      </c>
      <c r="AD1072">
        <v>-9.4048999999999799E-2</v>
      </c>
      <c r="AE1072">
        <v>-244.2218</v>
      </c>
      <c r="AF1072">
        <v>119.19709875934799</v>
      </c>
      <c r="AG1072">
        <v>-9.4048999999999799E-2</v>
      </c>
      <c r="AH1072">
        <v>215.56110576124101</v>
      </c>
      <c r="AI1072">
        <v>90.021876283960594</v>
      </c>
      <c r="AJ1072">
        <v>61.059073868886401</v>
      </c>
      <c r="AK1072">
        <v>246.322040253951</v>
      </c>
      <c r="AL1072">
        <v>77.886420910303897</v>
      </c>
      <c r="AM1072">
        <v>78.676019064095001</v>
      </c>
      <c r="AN1072">
        <v>1.0000000406467999</v>
      </c>
    </row>
    <row r="1073" spans="1:40" x14ac:dyDescent="0.25">
      <c r="A1073" t="str">
        <f>"20190303170958955"</f>
        <v>20190303170958955</v>
      </c>
      <c r="B1073" t="str">
        <f>"1551604198941342"</f>
        <v>1551604198941342</v>
      </c>
      <c r="C1073" t="s">
        <v>40</v>
      </c>
      <c r="D1073">
        <v>4.5906560000000001</v>
      </c>
      <c r="E1073">
        <v>0.63204559999999999</v>
      </c>
      <c r="F1073" t="s">
        <v>51</v>
      </c>
      <c r="G1073">
        <v>-164.25389999999999</v>
      </c>
      <c r="H1073">
        <v>1.2681910000000001</v>
      </c>
      <c r="I1073">
        <v>110.3631</v>
      </c>
      <c r="J1073">
        <v>-194.46100000000001</v>
      </c>
      <c r="K1073">
        <v>1.106762</v>
      </c>
      <c r="L1073">
        <v>356.07049999999998</v>
      </c>
      <c r="M1073">
        <v>0.58245539999999996</v>
      </c>
      <c r="N1073">
        <v>-1.5932789999999999E-2</v>
      </c>
      <c r="O1073">
        <v>-0.81270679999999995</v>
      </c>
      <c r="P1073">
        <v>0.41070069999999997</v>
      </c>
      <c r="Q1073">
        <v>0.20126140000000001</v>
      </c>
      <c r="R1073">
        <v>-0.88927990000000001</v>
      </c>
      <c r="S1073">
        <v>0.39578249999999998</v>
      </c>
      <c r="T1073">
        <v>2.1030900000000002E-3</v>
      </c>
      <c r="U1073">
        <v>-3.2050169999999998</v>
      </c>
      <c r="V1073">
        <v>0.1915569</v>
      </c>
      <c r="W1073">
        <v>0.21009359999999999</v>
      </c>
      <c r="X1073">
        <v>0.95873180000000002</v>
      </c>
      <c r="Y1073">
        <v>0.4784813</v>
      </c>
      <c r="Z1073">
        <v>-1.5747799999999999E-2</v>
      </c>
      <c r="AA1073">
        <v>0.87795650000000003</v>
      </c>
      <c r="AB1073">
        <v>33</v>
      </c>
      <c r="AC1073">
        <v>30.207100000000001</v>
      </c>
      <c r="AD1073">
        <v>0.16142899999999999</v>
      </c>
      <c r="AE1073">
        <v>-245.70740000000001</v>
      </c>
      <c r="AF1073">
        <v>118.57905875454399</v>
      </c>
      <c r="AG1073">
        <v>0.16142899999999999</v>
      </c>
      <c r="AH1073">
        <v>217.30980192215301</v>
      </c>
      <c r="AI1073">
        <v>89.962638126067205</v>
      </c>
      <c r="AJ1073">
        <v>61.3801045546344</v>
      </c>
      <c r="AK1073">
        <v>247.55720398704</v>
      </c>
      <c r="AL1073">
        <v>77.8721626925701</v>
      </c>
      <c r="AM1073">
        <v>78.700954976467003</v>
      </c>
      <c r="AN1073">
        <v>1.0000000155149</v>
      </c>
    </row>
    <row r="1074" spans="1:40" x14ac:dyDescent="0.25">
      <c r="A1074" t="str">
        <f>"20190303170958981"</f>
        <v>20190303170958981</v>
      </c>
      <c r="B1074" t="str">
        <f>"1551604198971598"</f>
        <v>1551604198971598</v>
      </c>
      <c r="C1074" t="s">
        <v>40</v>
      </c>
      <c r="D1074">
        <v>4.618055</v>
      </c>
      <c r="E1074">
        <v>0.62970209999999904</v>
      </c>
      <c r="F1074" t="s">
        <v>51</v>
      </c>
      <c r="G1074">
        <v>-166.78120000000001</v>
      </c>
      <c r="H1074">
        <v>1.412337</v>
      </c>
      <c r="I1074">
        <v>107.83159999999999</v>
      </c>
      <c r="J1074">
        <v>-194.25630000000001</v>
      </c>
      <c r="K1074">
        <v>1.106703</v>
      </c>
      <c r="L1074">
        <v>355.75720000000001</v>
      </c>
      <c r="M1074">
        <v>0.56781630000000005</v>
      </c>
      <c r="N1074">
        <v>-1.5956359999999999E-2</v>
      </c>
      <c r="O1074">
        <v>-0.82300059999999997</v>
      </c>
      <c r="P1074">
        <v>0.39488010000000001</v>
      </c>
      <c r="Q1074">
        <v>0.20144219999999999</v>
      </c>
      <c r="R1074">
        <v>-0.89637630000000001</v>
      </c>
      <c r="S1074">
        <v>0.35765079999999999</v>
      </c>
      <c r="T1074">
        <v>3.94845E-3</v>
      </c>
      <c r="U1074">
        <v>-3.2074889999999998</v>
      </c>
      <c r="V1074">
        <v>0.19139809999999999</v>
      </c>
      <c r="W1074">
        <v>0.2102764</v>
      </c>
      <c r="X1074">
        <v>0.9587234</v>
      </c>
      <c r="Y1074">
        <v>0.47313739999999999</v>
      </c>
      <c r="Z1074">
        <v>-1.62454E-2</v>
      </c>
      <c r="AA1074">
        <v>0.88083889999999998</v>
      </c>
      <c r="AB1074">
        <v>33</v>
      </c>
      <c r="AC1074">
        <v>27.475100000000001</v>
      </c>
      <c r="AD1074">
        <v>0.30563400000000002</v>
      </c>
      <c r="AE1074">
        <v>-247.9256</v>
      </c>
      <c r="AF1074">
        <v>118.179044491319</v>
      </c>
      <c r="AG1074">
        <v>0.30563400000000002</v>
      </c>
      <c r="AH1074">
        <v>219.67137017514401</v>
      </c>
      <c r="AI1074">
        <v>89.929797463483993</v>
      </c>
      <c r="AJ1074">
        <v>61.720588503439203</v>
      </c>
      <c r="AK1074">
        <v>249.44316154917601</v>
      </c>
      <c r="AL1074">
        <v>77.861449243978399</v>
      </c>
      <c r="AM1074">
        <v>78.709984788079694</v>
      </c>
      <c r="AN1074">
        <v>0.99999997739406399</v>
      </c>
    </row>
    <row r="1075" spans="1:40" x14ac:dyDescent="0.25">
      <c r="A1075" t="str">
        <f>"20190303170958994"</f>
        <v>20190303170958994</v>
      </c>
      <c r="B1075" t="str">
        <f>"1551604198981358"</f>
        <v>1551604198981358</v>
      </c>
      <c r="C1075" t="s">
        <v>40</v>
      </c>
      <c r="D1075">
        <v>4.5847910000000001</v>
      </c>
      <c r="E1075">
        <v>0.62876290000000001</v>
      </c>
      <c r="F1075" t="s">
        <v>51</v>
      </c>
      <c r="G1075">
        <v>-169.52770000000001</v>
      </c>
      <c r="H1075">
        <v>1.23325</v>
      </c>
      <c r="I1075">
        <v>106.30159999999999</v>
      </c>
      <c r="J1075">
        <v>-194.1482</v>
      </c>
      <c r="K1075">
        <v>1.106673</v>
      </c>
      <c r="L1075">
        <v>355.5874</v>
      </c>
      <c r="M1075">
        <v>0.55983839999999996</v>
      </c>
      <c r="N1075">
        <v>-1.596848E-2</v>
      </c>
      <c r="O1075">
        <v>-0.82844789999999902</v>
      </c>
      <c r="P1075">
        <v>0.38612400000000002</v>
      </c>
      <c r="Q1075">
        <v>0.20144000000000001</v>
      </c>
      <c r="R1075">
        <v>-0.90018339999999997</v>
      </c>
      <c r="S1075">
        <v>0.31785580000000002</v>
      </c>
      <c r="T1075">
        <v>1.6267300000000001E-3</v>
      </c>
      <c r="U1075">
        <v>-3.2064509999999999</v>
      </c>
      <c r="V1075">
        <v>0.19149679999999999</v>
      </c>
      <c r="W1075">
        <v>0.2102685</v>
      </c>
      <c r="X1075">
        <v>0.95870549999999999</v>
      </c>
      <c r="Y1075">
        <v>0.4754004</v>
      </c>
      <c r="Z1075">
        <v>-1.5838959999999999E-2</v>
      </c>
      <c r="AA1075">
        <v>0.87962700000000005</v>
      </c>
      <c r="AB1075">
        <v>33</v>
      </c>
      <c r="AC1075">
        <v>24.6205</v>
      </c>
      <c r="AD1075">
        <v>0.126576999999999</v>
      </c>
      <c r="AE1075">
        <v>-249.28579999999999</v>
      </c>
      <c r="AF1075">
        <v>119.178130202502</v>
      </c>
      <c r="AG1075">
        <v>0.126576999999999</v>
      </c>
      <c r="AH1075">
        <v>220.331841411684</v>
      </c>
      <c r="AI1075">
        <v>89.971048431586496</v>
      </c>
      <c r="AJ1075">
        <v>61.5909162590183</v>
      </c>
      <c r="AK1075">
        <v>250.49862889877301</v>
      </c>
      <c r="AL1075">
        <v>77.861913140224402</v>
      </c>
      <c r="AM1075">
        <v>78.704106934629095</v>
      </c>
      <c r="AN1075">
        <v>1.00000005111636</v>
      </c>
    </row>
    <row r="1076" spans="1:40" x14ac:dyDescent="0.25">
      <c r="A1076" t="str">
        <f>"20190303170959012"</f>
        <v>20190303170959012</v>
      </c>
      <c r="B1076" t="str">
        <f>"1551604199001854"</f>
        <v>1551604199001854</v>
      </c>
      <c r="C1076" t="s">
        <v>40</v>
      </c>
      <c r="D1076">
        <v>4.5717639999999999</v>
      </c>
      <c r="E1076">
        <v>0.6177802</v>
      </c>
      <c r="F1076" t="s">
        <v>51</v>
      </c>
      <c r="G1076">
        <v>-168.8586</v>
      </c>
      <c r="H1076">
        <v>1.0965750000000001</v>
      </c>
      <c r="I1076">
        <v>79.637990000000002</v>
      </c>
      <c r="J1076">
        <v>-194.00479999999999</v>
      </c>
      <c r="K1076">
        <v>1.106633</v>
      </c>
      <c r="L1076">
        <v>355.35570000000001</v>
      </c>
      <c r="M1076">
        <v>0.54890719999999904</v>
      </c>
      <c r="N1076">
        <v>-1.598455E-2</v>
      </c>
      <c r="O1076">
        <v>-0.83573069999999905</v>
      </c>
      <c r="P1076">
        <v>0.37378070000000002</v>
      </c>
      <c r="Q1076">
        <v>0.2017534</v>
      </c>
      <c r="R1076">
        <v>-0.90530869999999997</v>
      </c>
      <c r="S1076">
        <v>0.29386899999999999</v>
      </c>
      <c r="T1076">
        <v>-1.173019E-4</v>
      </c>
      <c r="U1076">
        <v>-3.2065730000000001</v>
      </c>
      <c r="V1076">
        <v>0.1920037</v>
      </c>
      <c r="W1076">
        <v>0.21056069999999999</v>
      </c>
      <c r="X1076">
        <v>0.9585399</v>
      </c>
      <c r="Y1076">
        <v>0.47035700000000003</v>
      </c>
      <c r="Z1076">
        <v>-1.5527869999999999E-2</v>
      </c>
      <c r="AA1076">
        <v>0.8823396</v>
      </c>
      <c r="AB1076">
        <v>33</v>
      </c>
      <c r="AC1076">
        <v>25.1462</v>
      </c>
      <c r="AD1076">
        <v>-1.00579999999999E-2</v>
      </c>
      <c r="AE1076">
        <v>-275.71771000000001</v>
      </c>
      <c r="AF1076">
        <v>130.344610084783</v>
      </c>
      <c r="AG1076">
        <v>-1.00579999999999E-2</v>
      </c>
      <c r="AH1076">
        <v>244.25983992789901</v>
      </c>
      <c r="AI1076">
        <v>90.002081473354593</v>
      </c>
      <c r="AJ1076">
        <v>61.9142388495383</v>
      </c>
      <c r="AK1076">
        <v>276.86203582456102</v>
      </c>
      <c r="AL1076">
        <v>77.8447870974192</v>
      </c>
      <c r="AM1076">
        <v>78.673072023197705</v>
      </c>
      <c r="AN1076">
        <v>0.99999998454509498</v>
      </c>
    </row>
    <row r="1077" spans="1:40" x14ac:dyDescent="0.25">
      <c r="A1077" t="str">
        <f>"20190303170959026"</f>
        <v>20190303170959026</v>
      </c>
      <c r="B1077" t="str">
        <f>"1551604199021374"</f>
        <v>1551604199021374</v>
      </c>
      <c r="C1077" t="s">
        <v>40</v>
      </c>
      <c r="D1077">
        <v>4.5887690000000001</v>
      </c>
      <c r="E1077">
        <v>0.61682609999999904</v>
      </c>
      <c r="F1077" t="s">
        <v>41</v>
      </c>
      <c r="G1077">
        <v>-171.6962</v>
      </c>
      <c r="H1077">
        <v>-0.05</v>
      </c>
      <c r="I1077">
        <v>142.9513</v>
      </c>
      <c r="J1077">
        <v>-193.9014</v>
      </c>
      <c r="K1077">
        <v>1.106608</v>
      </c>
      <c r="L1077">
        <v>355.18380000000002</v>
      </c>
      <c r="M1077">
        <v>0.54076919999999995</v>
      </c>
      <c r="N1077">
        <v>-1.5995840000000001E-2</v>
      </c>
      <c r="O1077">
        <v>-0.84101909999999902</v>
      </c>
      <c r="P1077">
        <v>0.36490030000000001</v>
      </c>
      <c r="Q1077">
        <v>0.2015729</v>
      </c>
      <c r="R1077">
        <v>-0.90896460000000001</v>
      </c>
      <c r="S1077">
        <v>0.33396910000000002</v>
      </c>
      <c r="T1077">
        <v>-1.7315270000000001E-2</v>
      </c>
      <c r="U1077">
        <v>-3.1797789999999999</v>
      </c>
      <c r="V1077">
        <v>0.19211249999999999</v>
      </c>
      <c r="W1077">
        <v>0.21037610000000001</v>
      </c>
      <c r="X1077">
        <v>0.95855860000000004</v>
      </c>
      <c r="Y1077">
        <v>0.44994849999999997</v>
      </c>
      <c r="Z1077">
        <v>-1.165247E-2</v>
      </c>
      <c r="AA1077">
        <v>0.89297850000000001</v>
      </c>
      <c r="AB1077">
        <v>33</v>
      </c>
      <c r="AC1077">
        <v>22.205199999999898</v>
      </c>
      <c r="AD1077">
        <v>-1.1566080000000001</v>
      </c>
      <c r="AE1077">
        <v>-212.23249999999999</v>
      </c>
      <c r="AF1077">
        <v>96.103259146396894</v>
      </c>
      <c r="AG1077">
        <v>-1.1566080000000001</v>
      </c>
      <c r="AH1077">
        <v>190.51822269403601</v>
      </c>
      <c r="AI1077">
        <v>90.310556981891494</v>
      </c>
      <c r="AJ1077">
        <v>63.232216147846202</v>
      </c>
      <c r="AK1077">
        <v>213.38783315625</v>
      </c>
      <c r="AL1077">
        <v>77.855605849618499</v>
      </c>
      <c r="AM1077">
        <v>78.667034991785997</v>
      </c>
      <c r="AN1077">
        <v>0.99999995287070798</v>
      </c>
    </row>
    <row r="1078" spans="1:40" x14ac:dyDescent="0.25">
      <c r="A1078" t="str">
        <f>"20190303170959046"</f>
        <v>20190303170959046</v>
      </c>
      <c r="B1078" t="str">
        <f>"1551604199041871"</f>
        <v>1551604199041871</v>
      </c>
      <c r="C1078" t="s">
        <v>40</v>
      </c>
      <c r="D1078">
        <v>4.574319</v>
      </c>
      <c r="E1078">
        <v>0.61598129999999995</v>
      </c>
      <c r="F1078" t="s">
        <v>42</v>
      </c>
      <c r="G1078">
        <v>-177.33709999999999</v>
      </c>
      <c r="H1078">
        <v>7.9985650000000005E-2</v>
      </c>
      <c r="I1078">
        <v>185.21559999999999</v>
      </c>
      <c r="J1078">
        <v>-193.74719999999999</v>
      </c>
      <c r="K1078">
        <v>1.1065719999999999</v>
      </c>
      <c r="L1078">
        <v>354.92090000000002</v>
      </c>
      <c r="M1078">
        <v>0.52826450000000003</v>
      </c>
      <c r="N1078">
        <v>-1.601209E-2</v>
      </c>
      <c r="O1078">
        <v>-0.84892889999999999</v>
      </c>
      <c r="P1078">
        <v>0.3515933</v>
      </c>
      <c r="Q1078">
        <v>0.2016849</v>
      </c>
      <c r="R1078">
        <v>-0.91416949999999997</v>
      </c>
      <c r="S1078">
        <v>0.3099365</v>
      </c>
      <c r="T1078">
        <v>-1.9209270000000001E-2</v>
      </c>
      <c r="U1078">
        <v>-3.1802980000000001</v>
      </c>
      <c r="V1078">
        <v>0.19192970000000001</v>
      </c>
      <c r="W1078">
        <v>0.2104936</v>
      </c>
      <c r="X1078">
        <v>0.95856949999999996</v>
      </c>
      <c r="Y1078">
        <v>0.44341390000000003</v>
      </c>
      <c r="Z1078">
        <v>-1.1212389999999999E-2</v>
      </c>
      <c r="AA1078">
        <v>0.89624689999999996</v>
      </c>
      <c r="AB1078">
        <v>33</v>
      </c>
      <c r="AC1078">
        <v>16.4101</v>
      </c>
      <c r="AD1078">
        <v>-1.0265863500000001</v>
      </c>
      <c r="AE1078">
        <v>-169.70529999999999</v>
      </c>
      <c r="AF1078">
        <v>75.725238660411406</v>
      </c>
      <c r="AG1078">
        <v>-1.0265863500000001</v>
      </c>
      <c r="AH1078">
        <v>152.75064914910399</v>
      </c>
      <c r="AI1078">
        <v>90.344994539796005</v>
      </c>
      <c r="AJ1078">
        <v>63.630355129555099</v>
      </c>
      <c r="AK1078">
        <v>170.49377251144099</v>
      </c>
      <c r="AL1078">
        <v>77.848720293259703</v>
      </c>
      <c r="AM1078">
        <v>78.677665337747698</v>
      </c>
      <c r="AN1078">
        <v>1.0000000258566399</v>
      </c>
    </row>
    <row r="1079" spans="1:40" x14ac:dyDescent="0.25">
      <c r="A1079" t="str">
        <f>"20190303170959060"</f>
        <v>20190303170959060</v>
      </c>
      <c r="B1079" t="str">
        <f>"1551604199051630"</f>
        <v>1551604199051630</v>
      </c>
      <c r="C1079" t="s">
        <v>40</v>
      </c>
      <c r="D1079">
        <v>4.6003730000000003</v>
      </c>
      <c r="E1079">
        <v>0.60949679999999995</v>
      </c>
      <c r="F1079" t="s">
        <v>42</v>
      </c>
      <c r="G1079">
        <v>-179.9554</v>
      </c>
      <c r="H1079">
        <v>5.2399750000000002E-2</v>
      </c>
      <c r="I1079">
        <v>192.29949999999999</v>
      </c>
      <c r="J1079">
        <v>-193.64429999999999</v>
      </c>
      <c r="K1079">
        <v>1.1065469999999999</v>
      </c>
      <c r="L1079">
        <v>354.74090000000001</v>
      </c>
      <c r="M1079">
        <v>0.51966639999999997</v>
      </c>
      <c r="N1079">
        <v>-1.6022620000000001E-2</v>
      </c>
      <c r="O1079">
        <v>-0.85421930000000001</v>
      </c>
      <c r="P1079">
        <v>0.34242899999999998</v>
      </c>
      <c r="Q1079">
        <v>0.20152349999999999</v>
      </c>
      <c r="R1079">
        <v>-0.91767710000000002</v>
      </c>
      <c r="S1079">
        <v>0.26989750000000001</v>
      </c>
      <c r="T1079">
        <v>-2.062953E-2</v>
      </c>
      <c r="U1079">
        <v>-3.182404</v>
      </c>
      <c r="V1079">
        <v>0.1918676</v>
      </c>
      <c r="W1079">
        <v>0.2103342</v>
      </c>
      <c r="X1079">
        <v>0.95861689999999999</v>
      </c>
      <c r="Y1079">
        <v>0.44560050000000001</v>
      </c>
      <c r="Z1079">
        <v>-1.09184E-2</v>
      </c>
      <c r="AA1079">
        <v>0.89516530000000005</v>
      </c>
      <c r="AB1079">
        <v>33</v>
      </c>
      <c r="AC1079">
        <v>13.688899999999901</v>
      </c>
      <c r="AD1079">
        <v>-1.05414725</v>
      </c>
      <c r="AE1079">
        <v>-162.44139999999999</v>
      </c>
      <c r="AF1079">
        <v>72.728292028910005</v>
      </c>
      <c r="AG1079">
        <v>-1.05414725</v>
      </c>
      <c r="AH1079">
        <v>145.88683162735899</v>
      </c>
      <c r="AI1079">
        <v>90.370512356387295</v>
      </c>
      <c r="AJ1079">
        <v>63.502579073114902</v>
      </c>
      <c r="AK1079">
        <v>163.01375196631801</v>
      </c>
      <c r="AL1079">
        <v>77.858062146244606</v>
      </c>
      <c r="AM1079">
        <v>78.681779384892394</v>
      </c>
      <c r="AN1079">
        <v>1.0000000062925001</v>
      </c>
    </row>
    <row r="1080" spans="1:40" x14ac:dyDescent="0.25">
      <c r="A1080" t="str">
        <f>"20190303170959081"</f>
        <v>20190303170959081</v>
      </c>
      <c r="B1080" t="str">
        <f>"1551604199071150"</f>
        <v>1551604199071150</v>
      </c>
      <c r="C1080" t="s">
        <v>40</v>
      </c>
      <c r="D1080">
        <v>4.616206</v>
      </c>
      <c r="E1080">
        <v>0.60864169999999995</v>
      </c>
      <c r="F1080" t="s">
        <v>42</v>
      </c>
      <c r="G1080">
        <v>-185.018</v>
      </c>
      <c r="H1080" s="1">
        <v>-1.414001E-6</v>
      </c>
      <c r="I1080">
        <v>259.90789999999998</v>
      </c>
      <c r="J1080">
        <v>-193.4896</v>
      </c>
      <c r="K1080">
        <v>1.106511</v>
      </c>
      <c r="L1080">
        <v>354.46089999999998</v>
      </c>
      <c r="M1080">
        <v>0.50624480000000005</v>
      </c>
      <c r="N1080">
        <v>-1.603833E-2</v>
      </c>
      <c r="O1080">
        <v>-0.86224069999999997</v>
      </c>
      <c r="P1080">
        <v>0.32842179999999999</v>
      </c>
      <c r="Q1080">
        <v>0.2016589</v>
      </c>
      <c r="R1080">
        <v>-0.92275269999999998</v>
      </c>
      <c r="S1080">
        <v>0.28831479999999998</v>
      </c>
      <c r="T1080">
        <v>-3.6983969999999998E-2</v>
      </c>
      <c r="U1080">
        <v>-3.1695859999999998</v>
      </c>
      <c r="V1080">
        <v>0.1914739</v>
      </c>
      <c r="W1080">
        <v>0.2104847</v>
      </c>
      <c r="X1080">
        <v>0.95866260000000003</v>
      </c>
      <c r="Y1080">
        <v>0.42601129999999998</v>
      </c>
      <c r="Z1080">
        <v>-6.9431719999999897E-3</v>
      </c>
      <c r="AA1080">
        <v>0.90469120000000003</v>
      </c>
      <c r="AB1080">
        <v>33</v>
      </c>
      <c r="AC1080">
        <v>8.4715999999999898</v>
      </c>
      <c r="AD1080">
        <v>-1.1065124140009901</v>
      </c>
      <c r="AE1080">
        <v>-94.552999999999997</v>
      </c>
      <c r="AF1080">
        <v>40.562112397687997</v>
      </c>
      <c r="AG1080">
        <v>-1.1065124140009901</v>
      </c>
      <c r="AH1080">
        <v>85.815526642260593</v>
      </c>
      <c r="AI1080">
        <v>90.667892778104104</v>
      </c>
      <c r="AJ1080">
        <v>64.701474131638406</v>
      </c>
      <c r="AK1080">
        <v>94.925307188196896</v>
      </c>
      <c r="AL1080">
        <v>77.849241864067295</v>
      </c>
      <c r="AM1080">
        <v>78.7049305827789</v>
      </c>
      <c r="AN1080">
        <v>1.00000002197702</v>
      </c>
    </row>
    <row r="1081" spans="1:40" x14ac:dyDescent="0.25">
      <c r="A1081" t="str">
        <f>"20190303170959109"</f>
        <v>20190303170959109</v>
      </c>
      <c r="B1081" t="str">
        <f>"1551604199101406"</f>
        <v>1551604199101406</v>
      </c>
      <c r="C1081" t="s">
        <v>40</v>
      </c>
      <c r="D1081">
        <v>4.5986890000000002</v>
      </c>
      <c r="E1081">
        <v>0.60116959999999997</v>
      </c>
      <c r="F1081" t="s">
        <v>42</v>
      </c>
      <c r="G1081">
        <v>-186.7851</v>
      </c>
      <c r="H1081" s="1">
        <v>-4.3962130000000001E-6</v>
      </c>
      <c r="I1081">
        <v>268.55110000000002</v>
      </c>
      <c r="J1081">
        <v>-193.2989</v>
      </c>
      <c r="K1081">
        <v>1.106476</v>
      </c>
      <c r="L1081">
        <v>354.10050000000001</v>
      </c>
      <c r="M1081">
        <v>0.48889009999999999</v>
      </c>
      <c r="N1081">
        <v>-1.6056250000000001E-2</v>
      </c>
      <c r="O1081">
        <v>-0.87219760000000002</v>
      </c>
      <c r="P1081">
        <v>0.30987429999999999</v>
      </c>
      <c r="Q1081">
        <v>0.2017804</v>
      </c>
      <c r="R1081">
        <v>-0.92911920000000003</v>
      </c>
      <c r="S1081">
        <v>0.24754329999999999</v>
      </c>
      <c r="T1081">
        <v>-4.085445E-2</v>
      </c>
      <c r="U1081">
        <v>-3.1719360000000001</v>
      </c>
      <c r="V1081">
        <v>0.1915019</v>
      </c>
      <c r="W1081">
        <v>0.2106064</v>
      </c>
      <c r="X1081">
        <v>0.95863030000000005</v>
      </c>
      <c r="Y1081">
        <v>0.41949940000000002</v>
      </c>
      <c r="Z1081">
        <v>-5.9130529999999997E-3</v>
      </c>
      <c r="AA1081">
        <v>0.9077364</v>
      </c>
      <c r="AB1081">
        <v>33</v>
      </c>
      <c r="AC1081">
        <v>6.5137999999999998</v>
      </c>
      <c r="AD1081">
        <v>-1.1064803962129901</v>
      </c>
      <c r="AE1081">
        <v>-85.549399999999906</v>
      </c>
      <c r="AF1081">
        <v>36.141582973151003</v>
      </c>
      <c r="AG1081">
        <v>-1.1064803962129901</v>
      </c>
      <c r="AH1081">
        <v>77.797605515845106</v>
      </c>
      <c r="AI1081">
        <v>90.738996312568602</v>
      </c>
      <c r="AJ1081">
        <v>65.082348025724897</v>
      </c>
      <c r="AK1081">
        <v>85.7898930100244</v>
      </c>
      <c r="AL1081">
        <v>77.842109336137597</v>
      </c>
      <c r="AM1081">
        <v>78.702950489637004</v>
      </c>
      <c r="AN1081">
        <v>1.00000004275132</v>
      </c>
    </row>
    <row r="1082" spans="1:40" x14ac:dyDescent="0.25">
      <c r="A1082" t="str">
        <f>"20190303170959127"</f>
        <v>20190303170959127</v>
      </c>
      <c r="B1082" t="str">
        <f>"1551604199121902"</f>
        <v>1551604199121902</v>
      </c>
      <c r="C1082" t="s">
        <v>40</v>
      </c>
      <c r="D1082">
        <v>4.6383739999999998</v>
      </c>
      <c r="E1082">
        <v>0.60009069999999998</v>
      </c>
      <c r="F1082" t="s">
        <v>42</v>
      </c>
      <c r="G1082">
        <v>-189.2501</v>
      </c>
      <c r="H1082" s="1">
        <v>-1.0324109999999999E-6</v>
      </c>
      <c r="I1082">
        <v>301.72930000000002</v>
      </c>
      <c r="J1082">
        <v>-193.17619999999999</v>
      </c>
      <c r="K1082">
        <v>1.1064560000000001</v>
      </c>
      <c r="L1082">
        <v>353.85899999999998</v>
      </c>
      <c r="M1082">
        <v>0.47721619999999998</v>
      </c>
      <c r="N1082">
        <v>-1.6066790000000001E-2</v>
      </c>
      <c r="O1082">
        <v>-0.87863919999999995</v>
      </c>
      <c r="P1082">
        <v>0.29708849999999998</v>
      </c>
      <c r="Q1082">
        <v>0.2013279</v>
      </c>
      <c r="R1082">
        <v>-0.93338410000000005</v>
      </c>
      <c r="S1082">
        <v>0.24444579999999999</v>
      </c>
      <c r="T1082">
        <v>-6.6803219999999996E-2</v>
      </c>
      <c r="U1082">
        <v>-3.161896</v>
      </c>
      <c r="V1082">
        <v>0.19192210000000001</v>
      </c>
      <c r="W1082">
        <v>0.21014160000000001</v>
      </c>
      <c r="X1082">
        <v>0.95864819999999995</v>
      </c>
      <c r="Y1082">
        <v>0.40799200000000002</v>
      </c>
      <c r="Z1082">
        <v>6.0937290000000004E-4</v>
      </c>
      <c r="AA1082">
        <v>0.9129853</v>
      </c>
      <c r="AB1082">
        <v>33</v>
      </c>
      <c r="AC1082">
        <v>3.9260999999999902</v>
      </c>
      <c r="AD1082">
        <v>-1.1064570324109999</v>
      </c>
      <c r="AE1082">
        <v>-52.1297</v>
      </c>
      <c r="AF1082">
        <v>21.420679431336399</v>
      </c>
      <c r="AG1082">
        <v>-1.1064570324109999</v>
      </c>
      <c r="AH1082">
        <v>47.661593825019899</v>
      </c>
      <c r="AI1082">
        <v>91.213035037209906</v>
      </c>
      <c r="AJ1082">
        <v>65.799290054031204</v>
      </c>
      <c r="AK1082">
        <v>52.265641490426802</v>
      </c>
      <c r="AL1082">
        <v>77.869349235518698</v>
      </c>
      <c r="AM1082">
        <v>78.679007561273494</v>
      </c>
      <c r="AN1082">
        <v>0.99999997794110396</v>
      </c>
    </row>
    <row r="1083" spans="1:40" x14ac:dyDescent="0.25">
      <c r="A1083" t="str">
        <f>"20190303170959150"</f>
        <v>20190303170959150</v>
      </c>
      <c r="B1083" t="str">
        <f>"1551604199141423"</f>
        <v>1551604199141423</v>
      </c>
      <c r="C1083" t="s">
        <v>40</v>
      </c>
      <c r="D1083">
        <v>4.6401770000000004</v>
      </c>
      <c r="E1083">
        <v>0.59135009999999999</v>
      </c>
      <c r="F1083" t="s">
        <v>42</v>
      </c>
      <c r="G1083">
        <v>-189.79060000000001</v>
      </c>
      <c r="H1083" s="1">
        <v>-1.3105640000000001E-6</v>
      </c>
      <c r="I1083">
        <v>302.60109999999997</v>
      </c>
      <c r="J1083">
        <v>-193.02950000000001</v>
      </c>
      <c r="K1083">
        <v>1.1064430000000001</v>
      </c>
      <c r="L1083">
        <v>353.55930000000001</v>
      </c>
      <c r="M1083">
        <v>0.4626844</v>
      </c>
      <c r="N1083">
        <v>-1.6077890000000001E-2</v>
      </c>
      <c r="O1083">
        <v>-0.88637749999999904</v>
      </c>
      <c r="P1083">
        <v>0.28108349999999999</v>
      </c>
      <c r="Q1083">
        <v>0.2011618</v>
      </c>
      <c r="R1083">
        <v>-0.93836390000000003</v>
      </c>
      <c r="S1083">
        <v>0.2088776</v>
      </c>
      <c r="T1083">
        <v>-6.8262929999999999E-2</v>
      </c>
      <c r="U1083">
        <v>-3.1623540000000001</v>
      </c>
      <c r="V1083">
        <v>0.19255230000000001</v>
      </c>
      <c r="W1083">
        <v>0.20995520000000001</v>
      </c>
      <c r="X1083">
        <v>0.95856269999999999</v>
      </c>
      <c r="Y1083">
        <v>0.40317989999999998</v>
      </c>
      <c r="Z1083">
        <v>1.1736979999999999E-3</v>
      </c>
      <c r="AA1083">
        <v>0.91512000000000004</v>
      </c>
      <c r="AB1083">
        <v>33</v>
      </c>
      <c r="AC1083">
        <v>3.2389000000000001</v>
      </c>
      <c r="AD1083">
        <v>-1.1064443105640001</v>
      </c>
      <c r="AE1083">
        <v>-50.958199999999998</v>
      </c>
      <c r="AF1083">
        <v>20.699629077037098</v>
      </c>
      <c r="AG1083">
        <v>-1.1064443105640001</v>
      </c>
      <c r="AH1083">
        <v>46.650908478915099</v>
      </c>
      <c r="AI1083">
        <v>91.241933909512198</v>
      </c>
      <c r="AJ1083">
        <v>66.072501528559997</v>
      </c>
      <c r="AK1083">
        <v>51.049056062256597</v>
      </c>
      <c r="AL1083">
        <v>77.880273283950601</v>
      </c>
      <c r="AM1083">
        <v>78.641811596166804</v>
      </c>
      <c r="AN1083">
        <v>1.00000001203681</v>
      </c>
    </row>
    <row r="1084" spans="1:40" x14ac:dyDescent="0.25">
      <c r="A1084" t="str">
        <f>"20190303170959172"</f>
        <v>20190303170959172</v>
      </c>
      <c r="B1084" t="str">
        <f>"1551604199161919"</f>
        <v>1551604199161919</v>
      </c>
      <c r="C1084" t="s">
        <v>40</v>
      </c>
      <c r="D1084">
        <v>4.6106259999999999</v>
      </c>
      <c r="E1084">
        <v>0.58932600000000002</v>
      </c>
      <c r="F1084" t="s">
        <v>42</v>
      </c>
      <c r="G1084">
        <v>-190.38749999999999</v>
      </c>
      <c r="H1084" s="1">
        <v>-3.3166979999999999E-6</v>
      </c>
      <c r="I1084">
        <v>316.38990000000001</v>
      </c>
      <c r="J1084">
        <v>-192.88200000000001</v>
      </c>
      <c r="K1084">
        <v>1.106433</v>
      </c>
      <c r="L1084">
        <v>353.245</v>
      </c>
      <c r="M1084">
        <v>0.44739790000000002</v>
      </c>
      <c r="N1084">
        <v>-1.6087290000000001E-2</v>
      </c>
      <c r="O1084">
        <v>-0.8941905</v>
      </c>
      <c r="P1084">
        <v>0.26400289999999998</v>
      </c>
      <c r="Q1084">
        <v>0.20170779999999999</v>
      </c>
      <c r="R1084">
        <v>-0.94319500000000001</v>
      </c>
      <c r="S1084">
        <v>0.22390750000000001</v>
      </c>
      <c r="T1084">
        <v>-9.3770740000000005E-2</v>
      </c>
      <c r="U1084">
        <v>-3.1500849999999998</v>
      </c>
      <c r="V1084">
        <v>0.19347110000000001</v>
      </c>
      <c r="W1084">
        <v>0.2104684</v>
      </c>
      <c r="X1084">
        <v>0.95826509999999998</v>
      </c>
      <c r="Y1084">
        <v>0.38277050000000001</v>
      </c>
      <c r="Z1084">
        <v>8.0847369999999998E-3</v>
      </c>
      <c r="AA1084">
        <v>0.92380810000000002</v>
      </c>
      <c r="AB1084">
        <v>33</v>
      </c>
      <c r="AC1084">
        <v>2.4945000000000102</v>
      </c>
      <c r="AD1084">
        <v>-1.106436316698</v>
      </c>
      <c r="AE1084">
        <v>-36.855099999999901</v>
      </c>
      <c r="AF1084">
        <v>14.247396891439699</v>
      </c>
      <c r="AG1084">
        <v>-1.106436316698</v>
      </c>
      <c r="AH1084">
        <v>34.045374082672303</v>
      </c>
      <c r="AI1084">
        <v>91.717190010367702</v>
      </c>
      <c r="AJ1084">
        <v>67.291537919317804</v>
      </c>
      <c r="AK1084">
        <v>36.922892843522099</v>
      </c>
      <c r="AL1084">
        <v>77.850197011925502</v>
      </c>
      <c r="AM1084">
        <v>78.585581622439506</v>
      </c>
      <c r="AN1084">
        <v>1.0000000079058899</v>
      </c>
    </row>
    <row r="1085" spans="1:40" x14ac:dyDescent="0.25">
      <c r="A1085" t="str">
        <f>"20190303170959193"</f>
        <v>20190303170959193</v>
      </c>
      <c r="B1085" t="str">
        <f>"1551604199181438"</f>
        <v>1551604199181438</v>
      </c>
      <c r="C1085" t="s">
        <v>40</v>
      </c>
      <c r="D1085">
        <v>4.64011</v>
      </c>
      <c r="E1085">
        <v>0.58703660000000002</v>
      </c>
      <c r="F1085" t="s">
        <v>42</v>
      </c>
      <c r="G1085">
        <v>-190.76519999999999</v>
      </c>
      <c r="H1085" s="1">
        <v>-3.6410419999999998E-6</v>
      </c>
      <c r="I1085">
        <v>316.86349999999999</v>
      </c>
      <c r="J1085">
        <v>-192.7603</v>
      </c>
      <c r="K1085">
        <v>1.1064309999999999</v>
      </c>
      <c r="L1085">
        <v>352.97390000000001</v>
      </c>
      <c r="M1085">
        <v>0.43417749999999999</v>
      </c>
      <c r="N1085">
        <v>-1.6093820000000002E-2</v>
      </c>
      <c r="O1085">
        <v>-0.90068349999999897</v>
      </c>
      <c r="P1085">
        <v>0.24987309999999999</v>
      </c>
      <c r="Q1085">
        <v>0.20253940000000001</v>
      </c>
      <c r="R1085">
        <v>-0.9468588</v>
      </c>
      <c r="S1085">
        <v>0.1832733</v>
      </c>
      <c r="T1085">
        <v>-9.5793009999999998E-2</v>
      </c>
      <c r="U1085">
        <v>-3.1498409999999999</v>
      </c>
      <c r="V1085">
        <v>0.19363630000000001</v>
      </c>
      <c r="W1085">
        <v>0.21129580000000001</v>
      </c>
      <c r="X1085">
        <v>0.9580497</v>
      </c>
      <c r="Y1085">
        <v>0.3810229</v>
      </c>
      <c r="Z1085">
        <v>8.8502649999999995E-3</v>
      </c>
      <c r="AA1085">
        <v>0.92452319999999999</v>
      </c>
      <c r="AB1085">
        <v>33</v>
      </c>
      <c r="AC1085">
        <v>1.9951000000000001</v>
      </c>
      <c r="AD1085">
        <v>-1.1064346410419901</v>
      </c>
      <c r="AE1085">
        <v>-36.110399999999998</v>
      </c>
      <c r="AF1085">
        <v>13.870186326147</v>
      </c>
      <c r="AG1085">
        <v>-1.1064346410419901</v>
      </c>
      <c r="AH1085">
        <v>33.363368855384799</v>
      </c>
      <c r="AI1085">
        <v>91.753980879544002</v>
      </c>
      <c r="AJ1085">
        <v>67.425830079912203</v>
      </c>
      <c r="AK1085">
        <v>36.148591227285699</v>
      </c>
      <c r="AL1085">
        <v>77.801700744116999</v>
      </c>
      <c r="AM1085">
        <v>78.573590399707498</v>
      </c>
      <c r="AN1085">
        <v>1.0000000797227</v>
      </c>
    </row>
    <row r="1086" spans="1:40" x14ac:dyDescent="0.25">
      <c r="A1086" t="str">
        <f>"20190303170959215"</f>
        <v>20190303170959215</v>
      </c>
      <c r="B1086" t="str">
        <f>"1551604199201935"</f>
        <v>1551604199201935</v>
      </c>
      <c r="C1086" t="s">
        <v>40</v>
      </c>
      <c r="D1086">
        <v>4.644495</v>
      </c>
      <c r="E1086">
        <v>0.58608079999999996</v>
      </c>
      <c r="F1086" t="s">
        <v>42</v>
      </c>
      <c r="G1086">
        <v>-190.98660000000001</v>
      </c>
      <c r="H1086" s="1">
        <v>-3.6465339999999998E-6</v>
      </c>
      <c r="I1086">
        <v>316.75049999999999</v>
      </c>
      <c r="J1086">
        <v>-192.63050000000001</v>
      </c>
      <c r="K1086">
        <v>1.1064369999999999</v>
      </c>
      <c r="L1086">
        <v>352.67290000000003</v>
      </c>
      <c r="M1086">
        <v>0.41946299999999997</v>
      </c>
      <c r="N1086">
        <v>-1.6099889999999999E-2</v>
      </c>
      <c r="O1086">
        <v>-0.90762980000000004</v>
      </c>
      <c r="P1086">
        <v>0.23515249999999999</v>
      </c>
      <c r="Q1086">
        <v>0.20358619999999999</v>
      </c>
      <c r="R1086">
        <v>-0.95039810000000002</v>
      </c>
      <c r="S1086">
        <v>0.1541595</v>
      </c>
      <c r="T1086">
        <v>-9.6164230000000003E-2</v>
      </c>
      <c r="U1086">
        <v>-3.1483150000000002</v>
      </c>
      <c r="V1086">
        <v>0.19285099999999999</v>
      </c>
      <c r="W1086">
        <v>0.21237549999999999</v>
      </c>
      <c r="X1086">
        <v>0.95796930000000002</v>
      </c>
      <c r="Y1086">
        <v>0.37446950000000001</v>
      </c>
      <c r="Z1086">
        <v>9.2719220000000001E-3</v>
      </c>
      <c r="AA1086">
        <v>0.92719289999999999</v>
      </c>
      <c r="AB1086">
        <v>33</v>
      </c>
      <c r="AC1086">
        <v>1.6438999999999999</v>
      </c>
      <c r="AD1086">
        <v>-1.106440646534</v>
      </c>
      <c r="AE1086">
        <v>-35.922400000000003</v>
      </c>
      <c r="AF1086">
        <v>13.564980958261399</v>
      </c>
      <c r="AG1086">
        <v>-1.106440646534</v>
      </c>
      <c r="AH1086">
        <v>33.266613463022601</v>
      </c>
      <c r="AI1086">
        <v>91.764025408751493</v>
      </c>
      <c r="AJ1086">
        <v>67.816054424924104</v>
      </c>
      <c r="AK1086">
        <v>35.9430172717936</v>
      </c>
      <c r="AL1086">
        <v>77.738401207757903</v>
      </c>
      <c r="AM1086">
        <v>78.617788626800802</v>
      </c>
      <c r="AN1086">
        <v>1.00000002047186</v>
      </c>
    </row>
    <row r="1087" spans="1:40" x14ac:dyDescent="0.25">
      <c r="A1087" t="str">
        <f>"20190303170959239"</f>
        <v>20190303170959239</v>
      </c>
      <c r="B1087" t="str">
        <f>"1551604199231214"</f>
        <v>1551604199231214</v>
      </c>
      <c r="C1087" t="s">
        <v>40</v>
      </c>
      <c r="D1087">
        <v>4.6272539999999998</v>
      </c>
      <c r="E1087">
        <v>0.57448299999999997</v>
      </c>
      <c r="F1087" t="s">
        <v>42</v>
      </c>
      <c r="G1087">
        <v>-191.29750000000001</v>
      </c>
      <c r="H1087" s="1">
        <v>-3.1328939999999999E-6</v>
      </c>
      <c r="I1087">
        <v>315.4889</v>
      </c>
      <c r="J1087">
        <v>-192.49930000000001</v>
      </c>
      <c r="K1087">
        <v>1.1064430000000001</v>
      </c>
      <c r="L1087">
        <v>352.35309999999998</v>
      </c>
      <c r="M1087">
        <v>0.4038004</v>
      </c>
      <c r="N1087">
        <v>-1.610456E-2</v>
      </c>
      <c r="O1087">
        <v>-0.91470549999999995</v>
      </c>
      <c r="P1087">
        <v>0.21958829999999999</v>
      </c>
      <c r="Q1087">
        <v>0.2046752</v>
      </c>
      <c r="R1087">
        <v>-0.95388170000000005</v>
      </c>
      <c r="S1087">
        <v>0.1128845</v>
      </c>
      <c r="T1087">
        <v>-9.369421E-2</v>
      </c>
      <c r="U1087">
        <v>-3.1487729999999998</v>
      </c>
      <c r="V1087">
        <v>0.19198180000000001</v>
      </c>
      <c r="W1087">
        <v>0.21350069999999999</v>
      </c>
      <c r="X1087">
        <v>0.95789380000000002</v>
      </c>
      <c r="Y1087">
        <v>0.37067159999999999</v>
      </c>
      <c r="Z1087">
        <v>8.9056499999999993E-3</v>
      </c>
      <c r="AA1087">
        <v>0.92872129999999997</v>
      </c>
      <c r="AB1087">
        <v>33</v>
      </c>
      <c r="AC1087">
        <v>1.20179999999999</v>
      </c>
      <c r="AD1087">
        <v>-1.1064461328940001</v>
      </c>
      <c r="AE1087">
        <v>-36.864199999999897</v>
      </c>
      <c r="AF1087">
        <v>13.7758751431211</v>
      </c>
      <c r="AG1087">
        <v>-1.1064461328940001</v>
      </c>
      <c r="AH1087">
        <v>34.178848486594902</v>
      </c>
      <c r="AI1087">
        <v>91.719798700244993</v>
      </c>
      <c r="AJ1087">
        <v>68.047970584571601</v>
      </c>
      <c r="AK1087">
        <v>36.8672299321968</v>
      </c>
      <c r="AL1087">
        <v>77.672419054339898</v>
      </c>
      <c r="AM1087">
        <v>78.666889047819097</v>
      </c>
      <c r="AN1087">
        <v>1.00000004625508</v>
      </c>
    </row>
    <row r="1088" spans="1:40" x14ac:dyDescent="0.25">
      <c r="A1088" t="str">
        <f>"20190303170959261"</f>
        <v>20190303170959261</v>
      </c>
      <c r="B1088" t="str">
        <f>"1551604199251711"</f>
        <v>1551604199251711</v>
      </c>
      <c r="C1088" t="s">
        <v>40</v>
      </c>
      <c r="D1088">
        <v>4.6358050000000004</v>
      </c>
      <c r="E1088">
        <v>0.57254869999999902</v>
      </c>
      <c r="F1088" t="s">
        <v>42</v>
      </c>
      <c r="G1088">
        <v>-190.9992</v>
      </c>
      <c r="H1088" s="1">
        <v>-1.305905E-6</v>
      </c>
      <c r="I1088">
        <v>322.01350000000002</v>
      </c>
      <c r="J1088">
        <v>-192.37790000000001</v>
      </c>
      <c r="K1088">
        <v>1.106447</v>
      </c>
      <c r="L1088">
        <v>352.0419</v>
      </c>
      <c r="M1088">
        <v>0.38853389999999999</v>
      </c>
      <c r="N1088">
        <v>-1.6108009999999999E-2</v>
      </c>
      <c r="O1088">
        <v>-0.92129369999999999</v>
      </c>
      <c r="P1088">
        <v>0.20452129999999999</v>
      </c>
      <c r="Q1088">
        <v>0.2046057</v>
      </c>
      <c r="R1088">
        <v>-0.95723959999999997</v>
      </c>
      <c r="S1088">
        <v>0.15495300000000001</v>
      </c>
      <c r="T1088">
        <v>-0.1142907</v>
      </c>
      <c r="U1088">
        <v>-3.1339419999999998</v>
      </c>
      <c r="V1088">
        <v>0.19115309999999999</v>
      </c>
      <c r="W1088">
        <v>0.21346989999999999</v>
      </c>
      <c r="X1088">
        <v>0.95806630000000004</v>
      </c>
      <c r="Y1088">
        <v>0.3424565</v>
      </c>
      <c r="Z1088">
        <v>1.510125E-2</v>
      </c>
      <c r="AA1088">
        <v>0.93941229999999998</v>
      </c>
      <c r="AB1088">
        <v>32</v>
      </c>
      <c r="AC1088">
        <v>1.3787</v>
      </c>
      <c r="AD1088">
        <v>-1.1064483059050001</v>
      </c>
      <c r="AE1088">
        <v>-30.028399999999898</v>
      </c>
      <c r="AF1088">
        <v>10.3841433926848</v>
      </c>
      <c r="AG1088">
        <v>-1.1064483059050001</v>
      </c>
      <c r="AH1088">
        <v>28.166144525201599</v>
      </c>
      <c r="AI1088">
        <v>92.110842095992496</v>
      </c>
      <c r="AJ1088">
        <v>69.762348228574595</v>
      </c>
      <c r="AK1088">
        <v>30.0397463249613</v>
      </c>
      <c r="AL1088">
        <v>77.674224459271201</v>
      </c>
      <c r="AM1088">
        <v>78.716530745424393</v>
      </c>
      <c r="AN1088">
        <v>0.99999997052065404</v>
      </c>
    </row>
    <row r="1089" spans="1:40" x14ac:dyDescent="0.25">
      <c r="A1089" t="str">
        <f>"20190303170959283"</f>
        <v>20190303170959283</v>
      </c>
      <c r="B1089" t="str">
        <f>"1551604199271230"</f>
        <v>1551604199271230</v>
      </c>
      <c r="C1089" t="s">
        <v>40</v>
      </c>
      <c r="D1089">
        <v>4.6400110000000003</v>
      </c>
      <c r="E1089">
        <v>0.56500729999999999</v>
      </c>
      <c r="F1089" t="s">
        <v>42</v>
      </c>
      <c r="G1089">
        <v>-191.24459999999999</v>
      </c>
      <c r="H1089" s="1">
        <v>-1.7490809999999901E-6</v>
      </c>
      <c r="I1089">
        <v>322.89429999999999</v>
      </c>
      <c r="J1089">
        <v>-192.26060000000001</v>
      </c>
      <c r="K1089">
        <v>1.1064590000000001</v>
      </c>
      <c r="L1089">
        <v>351.72590000000002</v>
      </c>
      <c r="M1089">
        <v>0.37300339999999998</v>
      </c>
      <c r="N1089">
        <v>-1.61103999999999E-2</v>
      </c>
      <c r="O1089">
        <v>-0.92769020000000002</v>
      </c>
      <c r="P1089">
        <v>0.18963920000000001</v>
      </c>
      <c r="Q1089">
        <v>0.20437240000000001</v>
      </c>
      <c r="R1089">
        <v>-0.96034870000000006</v>
      </c>
      <c r="S1089">
        <v>0.1218262</v>
      </c>
      <c r="T1089">
        <v>-0.1189431</v>
      </c>
      <c r="U1089">
        <v>-3.133362</v>
      </c>
      <c r="V1089">
        <v>0.1899314</v>
      </c>
      <c r="W1089">
        <v>0.21329100000000001</v>
      </c>
      <c r="X1089">
        <v>0.95834909999999995</v>
      </c>
      <c r="Y1089">
        <v>0.33657090000000001</v>
      </c>
      <c r="Z1089">
        <v>1.673504E-2</v>
      </c>
      <c r="AA1089">
        <v>0.94150940000000005</v>
      </c>
      <c r="AB1089">
        <v>32</v>
      </c>
      <c r="AC1089">
        <v>1.01600000000001</v>
      </c>
      <c r="AD1089">
        <v>-1.1064607490809999</v>
      </c>
      <c r="AE1089">
        <v>-28.831600000000002</v>
      </c>
      <c r="AF1089">
        <v>9.7986110130736197</v>
      </c>
      <c r="AG1089">
        <v>-1.1064607490809999</v>
      </c>
      <c r="AH1089">
        <v>27.089435539451401</v>
      </c>
      <c r="AI1089">
        <v>92.199608235061305</v>
      </c>
      <c r="AJ1089">
        <v>70.114265285233103</v>
      </c>
      <c r="AK1089">
        <v>28.828363654929799</v>
      </c>
      <c r="AL1089">
        <v>77.684716584508493</v>
      </c>
      <c r="AM1089">
        <v>78.790037907382697</v>
      </c>
      <c r="AN1089">
        <v>0.99999999242888404</v>
      </c>
    </row>
    <row r="1090" spans="1:40" x14ac:dyDescent="0.25">
      <c r="A1090" t="str">
        <f>"20190303170959305"</f>
        <v>20190303170959305</v>
      </c>
      <c r="B1090" t="str">
        <f>"1551604199291726"</f>
        <v>1551604199291726</v>
      </c>
      <c r="C1090" t="s">
        <v>40</v>
      </c>
      <c r="D1090">
        <v>4.6695200000000003</v>
      </c>
      <c r="E1090">
        <v>0.56409039999999999</v>
      </c>
      <c r="F1090" t="s">
        <v>42</v>
      </c>
      <c r="G1090">
        <v>-191.1756</v>
      </c>
      <c r="H1090" s="1">
        <v>-3.261981E-6</v>
      </c>
      <c r="I1090">
        <v>326.46370000000002</v>
      </c>
      <c r="J1090">
        <v>-192.154</v>
      </c>
      <c r="K1090">
        <v>1.1064700000000001</v>
      </c>
      <c r="L1090">
        <v>351.42360000000002</v>
      </c>
      <c r="M1090">
        <v>0.35812090000000002</v>
      </c>
      <c r="N1090">
        <v>-1.6111790000000001E-2</v>
      </c>
      <c r="O1090">
        <v>-0.93353640000000004</v>
      </c>
      <c r="P1090">
        <v>0.17483509999999999</v>
      </c>
      <c r="Q1090">
        <v>0.20450779999999999</v>
      </c>
      <c r="R1090">
        <v>-0.96312469999999994</v>
      </c>
      <c r="S1090">
        <v>0.13427729999999999</v>
      </c>
      <c r="T1090">
        <v>-0.1369377</v>
      </c>
      <c r="U1090">
        <v>-3.1264949999999998</v>
      </c>
      <c r="V1090">
        <v>0.18934380000000001</v>
      </c>
      <c r="W1090">
        <v>0.21345500000000001</v>
      </c>
      <c r="X1090">
        <v>0.95842890000000003</v>
      </c>
      <c r="Y1090">
        <v>0.31762049999999997</v>
      </c>
      <c r="Z1090">
        <v>2.229097E-2</v>
      </c>
      <c r="AA1090">
        <v>0.94795580000000002</v>
      </c>
      <c r="AB1090">
        <v>32</v>
      </c>
      <c r="AC1090">
        <v>0.97840000000002203</v>
      </c>
      <c r="AD1090">
        <v>-1.106473261981</v>
      </c>
      <c r="AE1090">
        <v>-24.959900000000001</v>
      </c>
      <c r="AF1090">
        <v>8.0106122416318701</v>
      </c>
      <c r="AG1090">
        <v>-1.106473261981</v>
      </c>
      <c r="AH1090">
        <v>23.608104281188499</v>
      </c>
      <c r="AI1090">
        <v>92.541286927310693</v>
      </c>
      <c r="AJ1090">
        <v>71.257093164206793</v>
      </c>
      <c r="AK1090">
        <v>24.9546945346308</v>
      </c>
      <c r="AL1090">
        <v>77.675099102043106</v>
      </c>
      <c r="AM1090">
        <v>78.824751494371299</v>
      </c>
      <c r="AN1090">
        <v>1.00000003398932</v>
      </c>
    </row>
    <row r="1091" spans="1:40" x14ac:dyDescent="0.25">
      <c r="A1091" t="str">
        <f>"20190303170959328"</f>
        <v>20190303170959328</v>
      </c>
      <c r="B1091" t="str">
        <f>"1551604199321983"</f>
        <v>1551604199321983</v>
      </c>
      <c r="C1091" t="s">
        <v>40</v>
      </c>
      <c r="D1091">
        <v>4.6467479999999997</v>
      </c>
      <c r="E1091">
        <v>0.57184950000000001</v>
      </c>
      <c r="F1091" t="s">
        <v>42</v>
      </c>
      <c r="G1091">
        <v>-191.39590000000001</v>
      </c>
      <c r="H1091" s="1">
        <v>-3.0741739999999999E-6</v>
      </c>
      <c r="I1091">
        <v>325.88929999999999</v>
      </c>
      <c r="J1091">
        <v>-192.04509999999999</v>
      </c>
      <c r="K1091">
        <v>1.106487</v>
      </c>
      <c r="L1091">
        <v>351.09800000000001</v>
      </c>
      <c r="M1091">
        <v>0.3420608</v>
      </c>
      <c r="N1091">
        <v>-1.611251E-2</v>
      </c>
      <c r="O1091">
        <v>-0.93953969999999998</v>
      </c>
      <c r="P1091">
        <v>0.15848689999999999</v>
      </c>
      <c r="Q1091">
        <v>0.20446449999999999</v>
      </c>
      <c r="R1091">
        <v>-0.96595900000000001</v>
      </c>
      <c r="S1091">
        <v>9.2834470000000002E-2</v>
      </c>
      <c r="T1091">
        <v>-0.13549040000000001</v>
      </c>
      <c r="U1091">
        <v>-3.1267399999999999</v>
      </c>
      <c r="V1091">
        <v>0.18914619999999999</v>
      </c>
      <c r="W1091">
        <v>0.21342659999999999</v>
      </c>
      <c r="X1091">
        <v>0.95847420000000005</v>
      </c>
      <c r="Y1091">
        <v>0.31391340000000001</v>
      </c>
      <c r="Z1091">
        <v>2.2260820000000001E-2</v>
      </c>
      <c r="AA1091">
        <v>0.9491906</v>
      </c>
      <c r="AB1091">
        <v>32</v>
      </c>
      <c r="AC1091">
        <v>0.64919999999997902</v>
      </c>
      <c r="AD1091">
        <v>-1.106490074174</v>
      </c>
      <c r="AE1091">
        <v>-25.2087</v>
      </c>
      <c r="AF1091">
        <v>7.9985990656430204</v>
      </c>
      <c r="AG1091">
        <v>-1.106490074174</v>
      </c>
      <c r="AH1091">
        <v>23.863797734578998</v>
      </c>
      <c r="AI1091">
        <v>92.517280050688996</v>
      </c>
      <c r="AJ1091">
        <v>71.470026602495807</v>
      </c>
      <c r="AK1091">
        <v>25.192910701505902</v>
      </c>
      <c r="AL1091">
        <v>77.676764199694802</v>
      </c>
      <c r="AM1091">
        <v>78.836635319597306</v>
      </c>
      <c r="AN1091">
        <v>0.99999999531382</v>
      </c>
    </row>
    <row r="1092" spans="1:40" x14ac:dyDescent="0.25">
      <c r="A1092" t="str">
        <f>"20190303170959353"</f>
        <v>20190303170959353</v>
      </c>
      <c r="B1092" t="str">
        <f>"1551604199341503"</f>
        <v>1551604199341503</v>
      </c>
      <c r="C1092" t="s">
        <v>40</v>
      </c>
      <c r="D1092">
        <v>4.6279560000000002</v>
      </c>
      <c r="E1092">
        <v>0.57084499999999905</v>
      </c>
      <c r="F1092" t="s">
        <v>42</v>
      </c>
      <c r="G1092">
        <v>-192.44470000000001</v>
      </c>
      <c r="H1092" s="1">
        <v>-2.730502E-6</v>
      </c>
      <c r="I1092">
        <v>304.43770000000001</v>
      </c>
      <c r="J1092">
        <v>-191.94</v>
      </c>
      <c r="K1092">
        <v>1.1065039999999999</v>
      </c>
      <c r="L1092">
        <v>350.7647</v>
      </c>
      <c r="M1092">
        <v>0.3255982</v>
      </c>
      <c r="N1092">
        <v>-1.6112350000000001E-2</v>
      </c>
      <c r="O1092">
        <v>-0.94537099999999996</v>
      </c>
      <c r="P1092">
        <v>0.14187239999999901</v>
      </c>
      <c r="Q1092">
        <v>0.20475099999999999</v>
      </c>
      <c r="R1092">
        <v>-0.96847799999999995</v>
      </c>
      <c r="S1092">
        <v>-2.676392E-2</v>
      </c>
      <c r="T1092">
        <v>-7.4125049999999998E-2</v>
      </c>
      <c r="U1092">
        <v>-3.1258240000000002</v>
      </c>
      <c r="V1092">
        <v>0.18884799999999999</v>
      </c>
      <c r="W1092">
        <v>0.21373130000000001</v>
      </c>
      <c r="X1092">
        <v>0.95846509999999996</v>
      </c>
      <c r="Y1092">
        <v>0.33361210000000002</v>
      </c>
      <c r="Z1092">
        <v>4.9548429999999996E-3</v>
      </c>
      <c r="AA1092">
        <v>0.94269740000000002</v>
      </c>
      <c r="AB1092">
        <v>32</v>
      </c>
      <c r="AC1092">
        <v>-0.50470000000001303</v>
      </c>
      <c r="AD1092">
        <v>-1.106506730502</v>
      </c>
      <c r="AE1092">
        <v>-46.326999999999998</v>
      </c>
      <c r="AF1092">
        <v>15.554263552695399</v>
      </c>
      <c r="AG1092">
        <v>-1.106506730502</v>
      </c>
      <c r="AH1092">
        <v>43.612657746388301</v>
      </c>
      <c r="AI1092">
        <v>91.3689316063587</v>
      </c>
      <c r="AJ1092">
        <v>70.371446483310606</v>
      </c>
      <c r="AK1092">
        <v>46.316556300257901</v>
      </c>
      <c r="AL1092">
        <v>77.658893787264205</v>
      </c>
      <c r="AM1092">
        <v>78.853690812239094</v>
      </c>
      <c r="AN1092">
        <v>0.99999999181084998</v>
      </c>
    </row>
    <row r="1093" spans="1:40" x14ac:dyDescent="0.25">
      <c r="A1093" t="str">
        <f>"20190303170959374"</f>
        <v>20190303170959374</v>
      </c>
      <c r="B1093" t="str">
        <f>"1551604199361999"</f>
        <v>1551604199361999</v>
      </c>
      <c r="C1093" t="s">
        <v>40</v>
      </c>
      <c r="D1093">
        <v>4.636774</v>
      </c>
      <c r="E1093">
        <v>0.56933129999999998</v>
      </c>
      <c r="F1093" t="s">
        <v>52</v>
      </c>
      <c r="G1093">
        <v>-193.18610000000001</v>
      </c>
      <c r="H1093" s="1">
        <v>3.9817119999999998E-7</v>
      </c>
      <c r="I1093">
        <v>297.68</v>
      </c>
      <c r="J1093">
        <v>-191.85130000000001</v>
      </c>
      <c r="K1093">
        <v>1.106527</v>
      </c>
      <c r="L1093">
        <v>350.46620000000001</v>
      </c>
      <c r="M1093">
        <v>0.31083159999999999</v>
      </c>
      <c r="N1093">
        <v>-1.6111629999999998E-2</v>
      </c>
      <c r="O1093">
        <v>-0.95032850000000002</v>
      </c>
      <c r="P1093">
        <v>0.127969</v>
      </c>
      <c r="Q1093">
        <v>0.204512</v>
      </c>
      <c r="R1093">
        <v>-0.97046339999999998</v>
      </c>
      <c r="S1093">
        <v>-7.3287959999999999E-2</v>
      </c>
      <c r="T1093">
        <v>-6.5078739999999996E-2</v>
      </c>
      <c r="U1093">
        <v>-3.1221619999999999</v>
      </c>
      <c r="V1093">
        <v>0.1876565</v>
      </c>
      <c r="W1093">
        <v>0.2135454</v>
      </c>
      <c r="X1093">
        <v>0.9587405</v>
      </c>
      <c r="Y1093">
        <v>0.33298810000000001</v>
      </c>
      <c r="Z1093">
        <v>2.5207099999999998E-3</v>
      </c>
      <c r="AA1093">
        <v>0.94292770000000004</v>
      </c>
      <c r="AB1093">
        <v>32</v>
      </c>
      <c r="AC1093">
        <v>-1.3348</v>
      </c>
      <c r="AD1093">
        <v>-1.1065266018288</v>
      </c>
      <c r="AE1093">
        <v>-52.786200000000001</v>
      </c>
      <c r="AF1093">
        <v>17.670651110729199</v>
      </c>
      <c r="AG1093">
        <v>-1.1065266018288</v>
      </c>
      <c r="AH1093">
        <v>49.733947165662499</v>
      </c>
      <c r="AI1093">
        <v>91.201025825796293</v>
      </c>
      <c r="AJ1093">
        <v>70.439690350940197</v>
      </c>
      <c r="AK1093">
        <v>52.791493751120399</v>
      </c>
      <c r="AL1093">
        <v>77.6697965580653</v>
      </c>
      <c r="AM1093">
        <v>78.925374892342305</v>
      </c>
      <c r="AN1093">
        <v>0.99999997309682898</v>
      </c>
    </row>
    <row r="1094" spans="1:40" x14ac:dyDescent="0.25">
      <c r="A1094" t="str">
        <f>"20190303170959395"</f>
        <v>20190303170959395</v>
      </c>
      <c r="B1094" t="str">
        <f>"1551604199381519"</f>
        <v>1551604199381519</v>
      </c>
      <c r="C1094" t="s">
        <v>40</v>
      </c>
      <c r="D1094">
        <v>4.6236759999999997</v>
      </c>
      <c r="E1094">
        <v>0.56851660000000004</v>
      </c>
      <c r="F1094" t="s">
        <v>52</v>
      </c>
      <c r="G1094">
        <v>-193.75530000000001</v>
      </c>
      <c r="H1094" s="1">
        <v>1.232826E-6</v>
      </c>
      <c r="I1094">
        <v>295.17599999999999</v>
      </c>
      <c r="J1094">
        <v>-191.767</v>
      </c>
      <c r="K1094">
        <v>1.1065449999999999</v>
      </c>
      <c r="L1094">
        <v>350.1651</v>
      </c>
      <c r="M1094">
        <v>0.29592370000000001</v>
      </c>
      <c r="N1094">
        <v>-1.611048E-2</v>
      </c>
      <c r="O1094">
        <v>-0.95507600000000004</v>
      </c>
      <c r="P1094">
        <v>0.11341370000000001</v>
      </c>
      <c r="Q1094">
        <v>0.20485049999999999</v>
      </c>
      <c r="R1094">
        <v>-0.97220079999999998</v>
      </c>
      <c r="S1094">
        <v>-0.1073914</v>
      </c>
      <c r="T1094">
        <v>-6.2413219999999998E-2</v>
      </c>
      <c r="U1094">
        <v>-3.1186219999999998</v>
      </c>
      <c r="V1094">
        <v>0.18699869999999999</v>
      </c>
      <c r="W1094">
        <v>0.2139153</v>
      </c>
      <c r="X1094">
        <v>0.95878660000000004</v>
      </c>
      <c r="Y1094">
        <v>0.32856170000000001</v>
      </c>
      <c r="Z1094">
        <v>1.9075839999999999E-3</v>
      </c>
      <c r="AA1094">
        <v>0.9444806</v>
      </c>
      <c r="AB1094">
        <v>32</v>
      </c>
      <c r="AC1094">
        <v>-1.9883</v>
      </c>
      <c r="AD1094">
        <v>-1.1065437671739999</v>
      </c>
      <c r="AE1094">
        <v>-54.989100000000001</v>
      </c>
      <c r="AF1094">
        <v>18.166562548830399</v>
      </c>
      <c r="AG1094">
        <v>-1.1065437671739999</v>
      </c>
      <c r="AH1094">
        <v>51.916115680484701</v>
      </c>
      <c r="AI1094">
        <v>91.152518531979695</v>
      </c>
      <c r="AJ1094">
        <v>70.713963237149798</v>
      </c>
      <c r="AK1094">
        <v>55.013920977319103</v>
      </c>
      <c r="AL1094">
        <v>77.648101958557803</v>
      </c>
      <c r="AM1094">
        <v>78.963758057162906</v>
      </c>
      <c r="AN1094">
        <v>1.00000000685767</v>
      </c>
    </row>
    <row r="1095" spans="1:40" x14ac:dyDescent="0.25">
      <c r="A1095" t="str">
        <f>"20190303170959417"</f>
        <v>20190303170959417</v>
      </c>
      <c r="B1095" t="str">
        <f>"1551604199411775"</f>
        <v>1551604199411775</v>
      </c>
      <c r="C1095" t="s">
        <v>40</v>
      </c>
      <c r="D1095">
        <v>4.6197150000000002</v>
      </c>
      <c r="E1095">
        <v>0.55611290000000002</v>
      </c>
      <c r="F1095" t="s">
        <v>52</v>
      </c>
      <c r="G1095">
        <v>-194.50810000000001</v>
      </c>
      <c r="H1095" s="1">
        <v>1.7530730000000001E-6</v>
      </c>
      <c r="I1095">
        <v>292.40660000000003</v>
      </c>
      <c r="J1095">
        <v>-191.68680000000001</v>
      </c>
      <c r="K1095">
        <v>1.106573</v>
      </c>
      <c r="L1095">
        <v>349.85989999999998</v>
      </c>
      <c r="M1095">
        <v>0.28078829999999999</v>
      </c>
      <c r="N1095">
        <v>-1.6108870000000001E-2</v>
      </c>
      <c r="O1095">
        <v>-0.9596346</v>
      </c>
      <c r="P1095">
        <v>9.9403870000000005E-2</v>
      </c>
      <c r="Q1095">
        <v>0.20517569999999999</v>
      </c>
      <c r="R1095">
        <v>-0.97366439999999999</v>
      </c>
      <c r="S1095">
        <v>-0.14785770000000001</v>
      </c>
      <c r="T1095">
        <v>-5.9688449999999997E-2</v>
      </c>
      <c r="U1095">
        <v>-3.11557</v>
      </c>
      <c r="V1095">
        <v>0.18562319999999999</v>
      </c>
      <c r="W1095">
        <v>0.21429999999999999</v>
      </c>
      <c r="X1095">
        <v>0.95896789999999998</v>
      </c>
      <c r="Y1095">
        <v>0.3259109</v>
      </c>
      <c r="Z1095">
        <v>1.2450250000000001E-3</v>
      </c>
      <c r="AA1095">
        <v>0.94539960000000001</v>
      </c>
      <c r="AB1095">
        <v>32</v>
      </c>
      <c r="AC1095">
        <v>-2.8212999999999999</v>
      </c>
      <c r="AD1095">
        <v>-1.1065712469269999</v>
      </c>
      <c r="AE1095">
        <v>-57.453299999999899</v>
      </c>
      <c r="AF1095">
        <v>18.835104889776801</v>
      </c>
      <c r="AG1095">
        <v>-1.1065712469269999</v>
      </c>
      <c r="AH1095">
        <v>54.328929653548997</v>
      </c>
      <c r="AI1095">
        <v>91.102481022498495</v>
      </c>
      <c r="AJ1095">
        <v>70.879260712580603</v>
      </c>
      <c r="AK1095">
        <v>57.511896799129303</v>
      </c>
      <c r="AL1095">
        <v>77.625536249868404</v>
      </c>
      <c r="AM1095">
        <v>79.044986567960805</v>
      </c>
      <c r="AN1095">
        <v>0.999999947804323</v>
      </c>
    </row>
    <row r="1096" spans="1:40" x14ac:dyDescent="0.25">
      <c r="A1096" t="str">
        <f>"20190303170959443"</f>
        <v>20190303170959443</v>
      </c>
      <c r="B1096" t="str">
        <f>"1551604199431295"</f>
        <v>1551604199431295</v>
      </c>
      <c r="C1096" t="s">
        <v>40</v>
      </c>
      <c r="D1096">
        <v>4.6501839999999897</v>
      </c>
      <c r="E1096">
        <v>0.5542184</v>
      </c>
      <c r="F1096" t="s">
        <v>52</v>
      </c>
      <c r="G1096">
        <v>-193.23609999999999</v>
      </c>
      <c r="H1096" s="1">
        <v>4.7853219999999997E-7</v>
      </c>
      <c r="I1096">
        <v>297.44009999999997</v>
      </c>
      <c r="J1096">
        <v>-191.5959</v>
      </c>
      <c r="K1096">
        <v>1.106603</v>
      </c>
      <c r="L1096">
        <v>349.48500000000001</v>
      </c>
      <c r="M1096">
        <v>0.26217980000000002</v>
      </c>
      <c r="N1096">
        <v>-1.6106229999999999E-2</v>
      </c>
      <c r="O1096">
        <v>-0.96488479999999999</v>
      </c>
      <c r="P1096">
        <v>8.20298E-2</v>
      </c>
      <c r="Q1096">
        <v>0.204818</v>
      </c>
      <c r="R1096">
        <v>-0.97535689999999997</v>
      </c>
      <c r="S1096">
        <v>-9.1751100000000002E-2</v>
      </c>
      <c r="T1096">
        <v>-6.5530779999999997E-2</v>
      </c>
      <c r="U1096">
        <v>-3.104279</v>
      </c>
      <c r="V1096">
        <v>0.1841641</v>
      </c>
      <c r="W1096">
        <v>0.2140079</v>
      </c>
      <c r="X1096">
        <v>0.95931440000000001</v>
      </c>
      <c r="Y1096">
        <v>0.29051979999999999</v>
      </c>
      <c r="Z1096">
        <v>3.3677849999999999E-3</v>
      </c>
      <c r="AA1096">
        <v>0.95686300000000002</v>
      </c>
      <c r="AB1096">
        <v>32</v>
      </c>
      <c r="AC1096">
        <v>-1.6401999999999901</v>
      </c>
      <c r="AD1096">
        <v>-1.1066025214677999</v>
      </c>
      <c r="AE1096">
        <v>-52.044899999999998</v>
      </c>
      <c r="AF1096">
        <v>15.222823178247101</v>
      </c>
      <c r="AG1096">
        <v>-1.1066025214677999</v>
      </c>
      <c r="AH1096">
        <v>49.771277323979803</v>
      </c>
      <c r="AI1096">
        <v>91.218011024552695</v>
      </c>
      <c r="AJ1096">
        <v>72.993455486455503</v>
      </c>
      <c r="AK1096">
        <v>52.058995006792003</v>
      </c>
      <c r="AL1096">
        <v>77.642669970849695</v>
      </c>
      <c r="AM1096">
        <v>79.132872374821503</v>
      </c>
      <c r="AN1096">
        <v>0.99999995751928905</v>
      </c>
    </row>
    <row r="1097" spans="1:40" x14ac:dyDescent="0.25">
      <c r="A1097" t="str">
        <f>"20190303170959463"</f>
        <v>20190303170959463</v>
      </c>
      <c r="B1097" t="str">
        <f>"1551604199451791"</f>
        <v>1551604199451791</v>
      </c>
      <c r="C1097" t="s">
        <v>40</v>
      </c>
      <c r="D1097">
        <v>4.6186160000000003</v>
      </c>
      <c r="E1097">
        <v>0.55337289999999995</v>
      </c>
      <c r="F1097" t="s">
        <v>52</v>
      </c>
      <c r="G1097">
        <v>-193.84309999999999</v>
      </c>
      <c r="H1097" s="1">
        <v>7.0251640000000004E-7</v>
      </c>
      <c r="I1097">
        <v>296.6542</v>
      </c>
      <c r="J1097">
        <v>-191.5309</v>
      </c>
      <c r="K1097">
        <v>1.106625</v>
      </c>
      <c r="L1097">
        <v>349.1968</v>
      </c>
      <c r="M1097">
        <v>0.24785309999999999</v>
      </c>
      <c r="N1097">
        <v>-1.6103940000000001E-2</v>
      </c>
      <c r="O1097">
        <v>-0.96866379999999996</v>
      </c>
      <c r="P1097">
        <v>7.1394559999999996E-2</v>
      </c>
      <c r="Q1097">
        <v>0.20339940000000001</v>
      </c>
      <c r="R1097">
        <v>-0.97648939999999995</v>
      </c>
      <c r="S1097">
        <v>-0.13188169999999999</v>
      </c>
      <c r="T1097">
        <v>-6.4943429999999996E-2</v>
      </c>
      <c r="U1097">
        <v>-3.1004939999999999</v>
      </c>
      <c r="V1097">
        <v>0.18040419999999999</v>
      </c>
      <c r="W1097">
        <v>0.21274319999999999</v>
      </c>
      <c r="X1097">
        <v>0.96030970000000004</v>
      </c>
      <c r="Y1097">
        <v>0.2887441</v>
      </c>
      <c r="Z1097">
        <v>3.3152709999999998E-3</v>
      </c>
      <c r="AA1097">
        <v>0.95740060000000005</v>
      </c>
      <c r="AB1097">
        <v>32</v>
      </c>
      <c r="AC1097">
        <v>-2.31219999999999</v>
      </c>
      <c r="AD1097">
        <v>-1.1066242974836</v>
      </c>
      <c r="AE1097">
        <v>-52.542599999999901</v>
      </c>
      <c r="AF1097">
        <v>15.257814720419001</v>
      </c>
      <c r="AG1097">
        <v>-1.1066242974836</v>
      </c>
      <c r="AH1097">
        <v>50.307281425690498</v>
      </c>
      <c r="AI1097">
        <v>91.205922120373899</v>
      </c>
      <c r="AJ1097">
        <v>73.127849641967103</v>
      </c>
      <c r="AK1097">
        <v>52.581822827114401</v>
      </c>
      <c r="AL1097">
        <v>77.716841002737397</v>
      </c>
      <c r="AM1097">
        <v>79.360395874587795</v>
      </c>
      <c r="AN1097">
        <v>1.0000000322189799</v>
      </c>
    </row>
    <row r="1098" spans="1:40" x14ac:dyDescent="0.25">
      <c r="A1098" t="str">
        <f>"20190303170959484"</f>
        <v>20190303170959484</v>
      </c>
      <c r="B1098" t="str">
        <f>"1551604199471310"</f>
        <v>1551604199471310</v>
      </c>
      <c r="C1098" t="s">
        <v>40</v>
      </c>
      <c r="D1098">
        <v>4.6210550000000001</v>
      </c>
      <c r="E1098">
        <v>0.54435089999999997</v>
      </c>
      <c r="F1098" t="s">
        <v>52</v>
      </c>
      <c r="G1098">
        <v>-194.15190000000001</v>
      </c>
      <c r="H1098" s="1">
        <v>1.4264129999999999E-7</v>
      </c>
      <c r="I1098">
        <v>298.8064</v>
      </c>
      <c r="J1098">
        <v>-191.46680000000001</v>
      </c>
      <c r="K1098">
        <v>1.1066549999999999</v>
      </c>
      <c r="L1098">
        <v>348.89089999999999</v>
      </c>
      <c r="M1098">
        <v>0.23262720000000001</v>
      </c>
      <c r="N1098">
        <v>-1.6101029999999999E-2</v>
      </c>
      <c r="O1098">
        <v>-0.97243270000000004</v>
      </c>
      <c r="P1098">
        <v>5.9691510000000003E-2</v>
      </c>
      <c r="Q1098">
        <v>0.20379620000000001</v>
      </c>
      <c r="R1098">
        <v>-0.9771919</v>
      </c>
      <c r="S1098">
        <v>-0.16114809999999999</v>
      </c>
      <c r="T1098">
        <v>-6.8039059999999998E-2</v>
      </c>
      <c r="U1098">
        <v>-3.0981749999999999</v>
      </c>
      <c r="V1098">
        <v>0.17681369999999999</v>
      </c>
      <c r="W1098">
        <v>0.21328179999999999</v>
      </c>
      <c r="X1098">
        <v>0.96085790000000004</v>
      </c>
      <c r="Y1098">
        <v>0.28277279999999999</v>
      </c>
      <c r="Z1098">
        <v>4.3893949999999999E-3</v>
      </c>
      <c r="AA1098">
        <v>0.95917680000000005</v>
      </c>
      <c r="AB1098">
        <v>32</v>
      </c>
      <c r="AC1098">
        <v>-2.6850999999999998</v>
      </c>
      <c r="AD1098">
        <v>-1.1066548573586901</v>
      </c>
      <c r="AE1098">
        <v>-50.084499999999899</v>
      </c>
      <c r="AF1098">
        <v>14.257004340480901</v>
      </c>
      <c r="AG1098">
        <v>-1.1066548573586901</v>
      </c>
      <c r="AH1098">
        <v>48.062013555444302</v>
      </c>
      <c r="AI1098">
        <v>91.264588137462297</v>
      </c>
      <c r="AJ1098">
        <v>73.477658888699196</v>
      </c>
      <c r="AK1098">
        <v>50.144232018663097</v>
      </c>
      <c r="AL1098">
        <v>77.685256932660906</v>
      </c>
      <c r="AM1098">
        <v>79.573277502403101</v>
      </c>
      <c r="AN1098">
        <v>1.00000005735566</v>
      </c>
    </row>
    <row r="1099" spans="1:40" x14ac:dyDescent="0.25">
      <c r="A1099" t="str">
        <f>"20190303170959508"</f>
        <v>20190303170959508</v>
      </c>
      <c r="B1099" t="str">
        <f>"1551604199501566"</f>
        <v>1551604199501566</v>
      </c>
      <c r="C1099" t="s">
        <v>40</v>
      </c>
      <c r="D1099">
        <v>4.6196039999999998</v>
      </c>
      <c r="E1099">
        <v>0.53779790000000005</v>
      </c>
      <c r="F1099" t="s">
        <v>52</v>
      </c>
      <c r="G1099">
        <v>-193.6397</v>
      </c>
      <c r="H1099" s="1">
        <v>6.7870539999999996E-7</v>
      </c>
      <c r="I1099">
        <v>296.77260000000001</v>
      </c>
      <c r="J1099">
        <v>-191.4032</v>
      </c>
      <c r="K1099">
        <v>1.1066910000000001</v>
      </c>
      <c r="L1099">
        <v>348.55970000000002</v>
      </c>
      <c r="M1099">
        <v>0.2161286</v>
      </c>
      <c r="N1099">
        <v>-1.609739E-2</v>
      </c>
      <c r="O1099">
        <v>-0.97623230000000005</v>
      </c>
      <c r="P1099">
        <v>4.6065639999999998E-2</v>
      </c>
      <c r="Q1099">
        <v>0.2056684</v>
      </c>
      <c r="R1099">
        <v>-0.97753699999999999</v>
      </c>
      <c r="S1099">
        <v>-0.12889100000000001</v>
      </c>
      <c r="T1099">
        <v>-6.5645099999999998E-2</v>
      </c>
      <c r="U1099">
        <v>-3.091583</v>
      </c>
      <c r="V1099">
        <v>0.17389209999999999</v>
      </c>
      <c r="W1099">
        <v>0.21526629999999999</v>
      </c>
      <c r="X1099">
        <v>0.96094849999999998</v>
      </c>
      <c r="Y1099">
        <v>0.25656030000000002</v>
      </c>
      <c r="Z1099">
        <v>3.9408660000000003E-3</v>
      </c>
      <c r="AA1099">
        <v>0.96652020000000005</v>
      </c>
      <c r="AB1099">
        <v>32</v>
      </c>
      <c r="AC1099">
        <v>-2.2364999999999999</v>
      </c>
      <c r="AD1099">
        <v>-1.1066903212946</v>
      </c>
      <c r="AE1099">
        <v>-51.787100000000002</v>
      </c>
      <c r="AF1099">
        <v>13.371653829472701</v>
      </c>
      <c r="AG1099">
        <v>-1.1066903212946</v>
      </c>
      <c r="AH1099">
        <v>50.056534832254997</v>
      </c>
      <c r="AI1099">
        <v>91.223642121607</v>
      </c>
      <c r="AJ1099">
        <v>75.043745883181003</v>
      </c>
      <c r="AK1099">
        <v>51.823571557885302</v>
      </c>
      <c r="AL1099">
        <v>77.568849387351904</v>
      </c>
      <c r="AM1099">
        <v>79.742823309006098</v>
      </c>
      <c r="AN1099">
        <v>1.00000003100517</v>
      </c>
    </row>
    <row r="1100" spans="1:40" x14ac:dyDescent="0.25">
      <c r="A1100" t="str">
        <f>"20190303170959531"</f>
        <v>20190303170959531</v>
      </c>
      <c r="B1100" t="str">
        <f>"1551604199521087"</f>
        <v>1551604199521087</v>
      </c>
      <c r="C1100" t="s">
        <v>40</v>
      </c>
      <c r="D1100">
        <v>4.5648580000000001</v>
      </c>
      <c r="E1100">
        <v>0.53642990000000002</v>
      </c>
      <c r="F1100" t="s">
        <v>52</v>
      </c>
      <c r="G1100">
        <v>-194.06639999999999</v>
      </c>
      <c r="H1100" s="1">
        <v>3.6142320000000001E-6</v>
      </c>
      <c r="I1100">
        <v>280.3732</v>
      </c>
      <c r="J1100">
        <v>-191.34350000000001</v>
      </c>
      <c r="K1100">
        <v>1.1067370000000001</v>
      </c>
      <c r="L1100">
        <v>348.21809999999999</v>
      </c>
      <c r="M1100">
        <v>0.19909950000000001</v>
      </c>
      <c r="N1100">
        <v>-1.6092479999999999E-2</v>
      </c>
      <c r="O1100">
        <v>-0.97984729999999998</v>
      </c>
      <c r="P1100">
        <v>3.0864559999999999E-2</v>
      </c>
      <c r="Q1100">
        <v>0.20663609999999999</v>
      </c>
      <c r="R1100">
        <v>-0.97793110000000005</v>
      </c>
      <c r="S1100">
        <v>-0.1204987</v>
      </c>
      <c r="T1100">
        <v>-5.0072310000000002E-2</v>
      </c>
      <c r="U1100">
        <v>-3.0851139999999999</v>
      </c>
      <c r="V1100">
        <v>0.17206749999999901</v>
      </c>
      <c r="W1100">
        <v>0.2163098</v>
      </c>
      <c r="X1100">
        <v>0.96104259999999997</v>
      </c>
      <c r="Y1100">
        <v>0.23715800000000001</v>
      </c>
      <c r="Z1100">
        <v>-6.5302009999999996E-4</v>
      </c>
      <c r="AA1100">
        <v>0.97147090000000003</v>
      </c>
      <c r="AB1100">
        <v>32</v>
      </c>
      <c r="AC1100">
        <v>-2.7228999999999801</v>
      </c>
      <c r="AD1100">
        <v>-1.106733385768</v>
      </c>
      <c r="AE1100">
        <v>-67.844899999999996</v>
      </c>
      <c r="AF1100">
        <v>16.1737073304907</v>
      </c>
      <c r="AG1100">
        <v>-1.106733385768</v>
      </c>
      <c r="AH1100">
        <v>65.926527968148093</v>
      </c>
      <c r="AI1100">
        <v>90.934062286467807</v>
      </c>
      <c r="AJ1100">
        <v>76.215902895027895</v>
      </c>
      <c r="AK1100">
        <v>67.890505650897595</v>
      </c>
      <c r="AL1100">
        <v>77.507618474849295</v>
      </c>
      <c r="AM1100">
        <v>79.849172390987405</v>
      </c>
      <c r="AN1100">
        <v>1.0000000165735199</v>
      </c>
    </row>
    <row r="1101" spans="1:40" x14ac:dyDescent="0.25">
      <c r="A1101" t="str">
        <f>"20190303170959553"</f>
        <v>20190303170959553</v>
      </c>
      <c r="B1101" t="str">
        <f>"1551604199541582"</f>
        <v>1551604199541582</v>
      </c>
      <c r="C1101" t="s">
        <v>40</v>
      </c>
      <c r="D1101">
        <v>4.5265430000000002</v>
      </c>
      <c r="E1101">
        <v>0.53574109999999997</v>
      </c>
      <c r="F1101" t="s">
        <v>52</v>
      </c>
      <c r="G1101">
        <v>-194.58279999999999</v>
      </c>
      <c r="H1101" s="1">
        <v>3.1532639999999998E-6</v>
      </c>
      <c r="I1101">
        <v>284.59840000000003</v>
      </c>
      <c r="J1101">
        <v>-191.29419999999999</v>
      </c>
      <c r="K1101">
        <v>1.1067880000000001</v>
      </c>
      <c r="L1101">
        <v>347.90570000000002</v>
      </c>
      <c r="M1101">
        <v>0.18354400000000001</v>
      </c>
      <c r="N1101">
        <v>-1.60852999999999E-2</v>
      </c>
      <c r="O1101">
        <v>-0.98287999999999998</v>
      </c>
      <c r="P1101">
        <v>1.8326930000000002E-2</v>
      </c>
      <c r="Q1101">
        <v>0.20599190000000001</v>
      </c>
      <c r="R1101">
        <v>-0.97838210000000003</v>
      </c>
      <c r="S1101">
        <v>-0.15702820000000001</v>
      </c>
      <c r="T1101">
        <v>-5.3649780000000001E-2</v>
      </c>
      <c r="U1101">
        <v>-3.084015</v>
      </c>
      <c r="V1101">
        <v>0.16912279999999999</v>
      </c>
      <c r="W1101">
        <v>0.2157879</v>
      </c>
      <c r="X1101">
        <v>0.96168240000000005</v>
      </c>
      <c r="Y1101">
        <v>0.23325370000000001</v>
      </c>
      <c r="Z1101">
        <v>5.3774390000000001E-4</v>
      </c>
      <c r="AA1101">
        <v>0.97241569999999999</v>
      </c>
      <c r="AB1101">
        <v>32</v>
      </c>
      <c r="AC1101">
        <v>-3.2886000000000002</v>
      </c>
      <c r="AD1101">
        <v>-1.106784846736</v>
      </c>
      <c r="AE1101">
        <v>-63.307299999999998</v>
      </c>
      <c r="AF1101">
        <v>14.849367834539001</v>
      </c>
      <c r="AG1101">
        <v>-1.106784846736</v>
      </c>
      <c r="AH1101">
        <v>61.609062421992697</v>
      </c>
      <c r="AI1101">
        <v>91.0005414553994</v>
      </c>
      <c r="AJ1101">
        <v>76.448711694677201</v>
      </c>
      <c r="AK1101">
        <v>63.383004585609598</v>
      </c>
      <c r="AL1101">
        <v>77.538244098513601</v>
      </c>
      <c r="AM1101">
        <v>80.025874257762197</v>
      </c>
      <c r="AN1101">
        <v>0.99999998886800401</v>
      </c>
    </row>
    <row r="1102" spans="1:40" x14ac:dyDescent="0.25">
      <c r="A1102" t="str">
        <f>"20190303170959577"</f>
        <v>20190303170959577</v>
      </c>
      <c r="B1102" t="str">
        <f>"1551604199571838"</f>
        <v>1551604199571838</v>
      </c>
      <c r="C1102" t="s">
        <v>40</v>
      </c>
      <c r="D1102">
        <v>4.5624140000000004</v>
      </c>
      <c r="E1102">
        <v>0.52691149999999998</v>
      </c>
      <c r="F1102" t="s">
        <v>52</v>
      </c>
      <c r="G1102">
        <v>-195.1985</v>
      </c>
      <c r="H1102" s="1">
        <v>2.9876520000000002E-6</v>
      </c>
      <c r="I1102">
        <v>285.24340000000001</v>
      </c>
      <c r="J1102">
        <v>-191.24619999999999</v>
      </c>
      <c r="K1102">
        <v>1.1068559999999901</v>
      </c>
      <c r="L1102">
        <v>347.56509999999997</v>
      </c>
      <c r="M1102">
        <v>0.16663749999999999</v>
      </c>
      <c r="N1102">
        <v>-1.6072429999999999E-2</v>
      </c>
      <c r="O1102">
        <v>-0.98588730000000002</v>
      </c>
      <c r="P1102">
        <v>4.3090089999999999E-3</v>
      </c>
      <c r="Q1102">
        <v>0.20476900000000001</v>
      </c>
      <c r="R1102">
        <v>-0.97880100000000003</v>
      </c>
      <c r="S1102">
        <v>-0.19198609999999999</v>
      </c>
      <c r="T1102">
        <v>-5.4424640000000003E-2</v>
      </c>
      <c r="U1102">
        <v>-3.0813290000000002</v>
      </c>
      <c r="V1102">
        <v>0.16633809999999999</v>
      </c>
      <c r="W1102">
        <v>0.2146875</v>
      </c>
      <c r="X1102">
        <v>0.96241410000000005</v>
      </c>
      <c r="Y1102">
        <v>0.2275903</v>
      </c>
      <c r="Z1102">
        <v>8.8431580000000005E-4</v>
      </c>
      <c r="AA1102">
        <v>0.97375659999999997</v>
      </c>
      <c r="AB1102">
        <v>32</v>
      </c>
      <c r="AC1102">
        <v>-3.9523000000000001</v>
      </c>
      <c r="AD1102">
        <v>-1.1068530123479901</v>
      </c>
      <c r="AE1102">
        <v>-62.3216999999999</v>
      </c>
      <c r="AF1102">
        <v>14.2790126319103</v>
      </c>
      <c r="AG1102">
        <v>-1.1068530123479901</v>
      </c>
      <c r="AH1102">
        <v>60.772326526522001</v>
      </c>
      <c r="AI1102">
        <v>91.015763576824696</v>
      </c>
      <c r="AJ1102">
        <v>76.777668256145901</v>
      </c>
      <c r="AK1102">
        <v>62.437096319250898</v>
      </c>
      <c r="AL1102">
        <v>77.602805643522402</v>
      </c>
      <c r="AM1102">
        <v>80.194200768990896</v>
      </c>
      <c r="AN1102">
        <v>0.99999999302333498</v>
      </c>
    </row>
    <row r="1103" spans="1:40" x14ac:dyDescent="0.25">
      <c r="A1103" t="str">
        <f>"20190303170959599"</f>
        <v>20190303170959599</v>
      </c>
      <c r="B1103" t="str">
        <f>"1551604199591359"</f>
        <v>1551604199591359</v>
      </c>
      <c r="C1103" t="s">
        <v>40</v>
      </c>
      <c r="D1103">
        <v>4.7282029999999997</v>
      </c>
      <c r="E1103">
        <v>0.51873769999999997</v>
      </c>
      <c r="F1103" t="s">
        <v>52</v>
      </c>
      <c r="G1103">
        <v>-194.27099999999999</v>
      </c>
      <c r="H1103" s="1">
        <v>2.015171E-6</v>
      </c>
      <c r="I1103">
        <v>291.75130000000001</v>
      </c>
      <c r="J1103">
        <v>-191.20920000000001</v>
      </c>
      <c r="K1103">
        <v>1.106948</v>
      </c>
      <c r="L1103">
        <v>347.26549999999997</v>
      </c>
      <c r="M1103">
        <v>0.151863</v>
      </c>
      <c r="N1103">
        <v>-1.6053580000000001E-2</v>
      </c>
      <c r="O1103">
        <v>-0.98827140000000002</v>
      </c>
      <c r="P1103">
        <v>-8.6294389999999992E-3</v>
      </c>
      <c r="Q1103">
        <v>0.20387440000000001</v>
      </c>
      <c r="R1103">
        <v>-0.97895940000000004</v>
      </c>
      <c r="S1103">
        <v>-0.1668396</v>
      </c>
      <c r="T1103">
        <v>-6.1051370000000001E-2</v>
      </c>
      <c r="U1103">
        <v>-3.0785520000000002</v>
      </c>
      <c r="V1103">
        <v>0.1645992</v>
      </c>
      <c r="W1103">
        <v>0.21387610000000001</v>
      </c>
      <c r="X1103">
        <v>0.96289360000000002</v>
      </c>
      <c r="Y1103">
        <v>0.2050872</v>
      </c>
      <c r="Z1103">
        <v>3.137501E-3</v>
      </c>
      <c r="AA1103">
        <v>0.97873869999999996</v>
      </c>
      <c r="AB1103">
        <v>32</v>
      </c>
      <c r="AC1103">
        <v>-3.0617999999999701</v>
      </c>
      <c r="AD1103">
        <v>-1.106945984829</v>
      </c>
      <c r="AE1103">
        <v>-55.514199999999903</v>
      </c>
      <c r="AF1103">
        <v>11.453376271901501</v>
      </c>
      <c r="AG1103">
        <v>-1.106945984829</v>
      </c>
      <c r="AH1103">
        <v>54.383563605124401</v>
      </c>
      <c r="AI1103">
        <v>91.141038071877205</v>
      </c>
      <c r="AJ1103">
        <v>78.107099882183306</v>
      </c>
      <c r="AK1103">
        <v>55.587562888039002</v>
      </c>
      <c r="AL1103">
        <v>77.650400876229796</v>
      </c>
      <c r="AM1103">
        <v>80.299492229674399</v>
      </c>
      <c r="AN1103">
        <v>0.99999998385640398</v>
      </c>
    </row>
    <row r="1104" spans="1:40" x14ac:dyDescent="0.25">
      <c r="A1104" t="str">
        <f>"20190303170959620"</f>
        <v>20190303170959620</v>
      </c>
      <c r="B1104" t="str">
        <f>"1551604199611855"</f>
        <v>1551604199611855</v>
      </c>
      <c r="C1104" t="s">
        <v>40</v>
      </c>
      <c r="D1104">
        <v>4.7243170000000001</v>
      </c>
      <c r="E1104">
        <v>0.51728209999999997</v>
      </c>
      <c r="F1104" t="s">
        <v>42</v>
      </c>
      <c r="G1104">
        <v>-195.4736</v>
      </c>
      <c r="H1104" s="1">
        <v>-3.6104979999999999E-6</v>
      </c>
      <c r="I1104">
        <v>254.7433</v>
      </c>
      <c r="J1104">
        <v>-191.17410000000001</v>
      </c>
      <c r="K1104">
        <v>1.107073</v>
      </c>
      <c r="L1104">
        <v>346.94060000000002</v>
      </c>
      <c r="M1104">
        <v>0.1359465</v>
      </c>
      <c r="N1104">
        <v>-1.6025310000000001E-2</v>
      </c>
      <c r="O1104">
        <v>-0.99058679999999999</v>
      </c>
      <c r="P1104">
        <v>-2.373482E-2</v>
      </c>
      <c r="Q1104">
        <v>0.20410059999999999</v>
      </c>
      <c r="R1104">
        <v>-0.97866240000000004</v>
      </c>
      <c r="S1104">
        <v>-0.14154050000000001</v>
      </c>
      <c r="T1104">
        <v>-3.6740299999999997E-2</v>
      </c>
      <c r="U1104">
        <v>-3.070862</v>
      </c>
      <c r="V1104">
        <v>0.16390569999999999</v>
      </c>
      <c r="W1104">
        <v>0.21414540000000001</v>
      </c>
      <c r="X1104">
        <v>0.96295209999999998</v>
      </c>
      <c r="Y1104">
        <v>0.18139359999999999</v>
      </c>
      <c r="Z1104">
        <v>-4.3851089999999999E-3</v>
      </c>
      <c r="AA1104">
        <v>0.98340079999999996</v>
      </c>
      <c r="AB1104">
        <v>32</v>
      </c>
      <c r="AC1104">
        <v>-4.2994999999999903</v>
      </c>
      <c r="AD1104">
        <v>-1.1070766104980001</v>
      </c>
      <c r="AE1104">
        <v>-92.197299999999998</v>
      </c>
      <c r="AF1104">
        <v>16.792664971287898</v>
      </c>
      <c r="AG1104">
        <v>-1.1070766104980001</v>
      </c>
      <c r="AH1104">
        <v>90.743504022895493</v>
      </c>
      <c r="AI1104">
        <v>90.687309003935695</v>
      </c>
      <c r="AJ1104">
        <v>79.515658079572901</v>
      </c>
      <c r="AK1104">
        <v>92.290859448878706</v>
      </c>
      <c r="AL1104">
        <v>77.634605847227604</v>
      </c>
      <c r="AM1104">
        <v>80.340167083978997</v>
      </c>
      <c r="AN1104">
        <v>1.00000003886402</v>
      </c>
    </row>
    <row r="1105" spans="1:40" x14ac:dyDescent="0.25">
      <c r="A1105" t="str">
        <f>"20190303170959642"</f>
        <v>20190303170959642</v>
      </c>
      <c r="B1105" t="str">
        <f>"1551604199631375"</f>
        <v>1551604199631375</v>
      </c>
      <c r="C1105" t="s">
        <v>40</v>
      </c>
      <c r="D1105">
        <v>4.7831849999999996</v>
      </c>
      <c r="E1105">
        <v>0.51594519999999999</v>
      </c>
      <c r="F1105" t="s">
        <v>42</v>
      </c>
      <c r="G1105">
        <v>-196.77279999999999</v>
      </c>
      <c r="H1105" s="1">
        <v>-5.7187799999999996E-6</v>
      </c>
      <c r="I1105">
        <v>249.0497</v>
      </c>
      <c r="J1105">
        <v>-191.14510000000001</v>
      </c>
      <c r="K1105">
        <v>1.107219</v>
      </c>
      <c r="L1105">
        <v>346.62670000000003</v>
      </c>
      <c r="M1105">
        <v>0.1207206</v>
      </c>
      <c r="N1105">
        <v>-1.5993540000000001E-2</v>
      </c>
      <c r="O1105">
        <v>-0.99255780000000005</v>
      </c>
      <c r="P1105">
        <v>-3.738151E-2</v>
      </c>
      <c r="Q1105">
        <v>0.20371890000000001</v>
      </c>
      <c r="R1105">
        <v>-0.97831559999999995</v>
      </c>
      <c r="S1105">
        <v>-0.17549129999999999</v>
      </c>
      <c r="T1105">
        <v>-3.4701349999999999E-2</v>
      </c>
      <c r="U1105">
        <v>-3.06839</v>
      </c>
      <c r="V1105">
        <v>0.16246749999999999</v>
      </c>
      <c r="W1105">
        <v>0.2138398</v>
      </c>
      <c r="X1105">
        <v>0.9632636</v>
      </c>
      <c r="Y1105">
        <v>0.17718200000000001</v>
      </c>
      <c r="Z1105">
        <v>-4.9635840000000001E-3</v>
      </c>
      <c r="AA1105">
        <v>0.98416559999999997</v>
      </c>
      <c r="AB1105">
        <v>32</v>
      </c>
      <c r="AC1105">
        <v>-5.6276999999999697</v>
      </c>
      <c r="AD1105">
        <v>-1.10722471878</v>
      </c>
      <c r="AE1105">
        <v>-97.576999999999998</v>
      </c>
      <c r="AF1105">
        <v>17.365362277573801</v>
      </c>
      <c r="AG1105">
        <v>-1.10722471878</v>
      </c>
      <c r="AH1105">
        <v>96.171381959531203</v>
      </c>
      <c r="AI1105">
        <v>90.6491229809685</v>
      </c>
      <c r="AJ1105">
        <v>79.764571249840998</v>
      </c>
      <c r="AK1105">
        <v>97.732883215503804</v>
      </c>
      <c r="AL1105">
        <v>77.652529618910506</v>
      </c>
      <c r="AM1105">
        <v>80.426390815551798</v>
      </c>
      <c r="AN1105">
        <v>0.99999995585262402</v>
      </c>
    </row>
    <row r="1106" spans="1:40" x14ac:dyDescent="0.25">
      <c r="A1106" t="str">
        <f>"20190303170959665"</f>
        <v>20190303170959665</v>
      </c>
      <c r="B1106" t="str">
        <f>"1551604199661631"</f>
        <v>1551604199661631</v>
      </c>
      <c r="C1106" t="s">
        <v>40</v>
      </c>
      <c r="D1106">
        <v>4.7724849999999996</v>
      </c>
      <c r="E1106">
        <v>0.51456170000000001</v>
      </c>
      <c r="F1106" t="s">
        <v>42</v>
      </c>
      <c r="G1106">
        <v>-197.40870000000001</v>
      </c>
      <c r="H1106" s="1">
        <v>-3.7469099999999999E-6</v>
      </c>
      <c r="I1106">
        <v>254.13550000000001</v>
      </c>
      <c r="J1106">
        <v>-191.11940000000001</v>
      </c>
      <c r="K1106">
        <v>1.107413</v>
      </c>
      <c r="L1106">
        <v>346.29230000000001</v>
      </c>
      <c r="M1106">
        <v>0.10474319999999999</v>
      </c>
      <c r="N1106">
        <v>-1.5950209999999999E-2</v>
      </c>
      <c r="O1106">
        <v>-0.99437140000000002</v>
      </c>
      <c r="P1106">
        <v>-5.1626329999999998E-2</v>
      </c>
      <c r="Q1106">
        <v>0.2030315</v>
      </c>
      <c r="R1106">
        <v>-0.97781050000000003</v>
      </c>
      <c r="S1106">
        <v>-0.20764160000000001</v>
      </c>
      <c r="T1106">
        <v>-3.6705370000000001E-2</v>
      </c>
      <c r="U1106">
        <v>-3.0661619999999998</v>
      </c>
      <c r="V1106">
        <v>0.16089110000000001</v>
      </c>
      <c r="W1106">
        <v>0.21324209999999999</v>
      </c>
      <c r="X1106">
        <v>0.96366070000000004</v>
      </c>
      <c r="Y1106">
        <v>0.1716722</v>
      </c>
      <c r="Z1106">
        <v>-4.238314E-3</v>
      </c>
      <c r="AA1106">
        <v>0.98514500000000005</v>
      </c>
      <c r="AB1106">
        <v>32</v>
      </c>
      <c r="AC1106">
        <v>-6.2892999999999901</v>
      </c>
      <c r="AD1106">
        <v>-1.10741674691</v>
      </c>
      <c r="AE1106">
        <v>-92.156800000000004</v>
      </c>
      <c r="AF1106">
        <v>15.9064355037927</v>
      </c>
      <c r="AG1106">
        <v>-1.10741674691</v>
      </c>
      <c r="AH1106">
        <v>90.977822436522104</v>
      </c>
      <c r="AI1106">
        <v>90.686971831788995</v>
      </c>
      <c r="AJ1106">
        <v>80.082727244398399</v>
      </c>
      <c r="AK1106">
        <v>92.364523695946104</v>
      </c>
      <c r="AL1106">
        <v>77.687584943082399</v>
      </c>
      <c r="AM1106">
        <v>80.521423828649702</v>
      </c>
      <c r="AN1106">
        <v>1.0000000419980499</v>
      </c>
    </row>
    <row r="1107" spans="1:40" x14ac:dyDescent="0.25">
      <c r="A1107" t="str">
        <f>"20190303170959686"</f>
        <v>20190303170959686</v>
      </c>
      <c r="B1107" t="str">
        <f>"1551604199671391"</f>
        <v>1551604199671391</v>
      </c>
      <c r="C1107" t="s">
        <v>40</v>
      </c>
      <c r="D1107">
        <v>4.7257600000000002</v>
      </c>
      <c r="E1107">
        <v>0.51456170000000001</v>
      </c>
      <c r="F1107" t="s">
        <v>42</v>
      </c>
      <c r="G1107">
        <v>-198.15469999999999</v>
      </c>
      <c r="H1107" s="1">
        <v>-5.0899850000000002E-6</v>
      </c>
      <c r="I1107">
        <v>257.69330000000002</v>
      </c>
      <c r="J1107">
        <v>-191.10059999999999</v>
      </c>
      <c r="K1107">
        <v>1.10762</v>
      </c>
      <c r="L1107">
        <v>345.99239999999998</v>
      </c>
      <c r="M1107">
        <v>9.0683929999999996E-2</v>
      </c>
      <c r="N1107">
        <v>-1.5900040000000001E-2</v>
      </c>
      <c r="O1107">
        <v>-0.99575279999999999</v>
      </c>
      <c r="P1107">
        <v>-6.5949079999999993E-2</v>
      </c>
      <c r="Q1107">
        <v>0.20244390000000001</v>
      </c>
      <c r="R1107">
        <v>-0.97707089999999996</v>
      </c>
      <c r="S1107">
        <v>-0.2432404</v>
      </c>
      <c r="T1107">
        <v>-3.8288000000000003E-2</v>
      </c>
      <c r="U1107">
        <v>-3.0632320000000002</v>
      </c>
      <c r="V1107">
        <v>0.161274</v>
      </c>
      <c r="W1107">
        <v>0.21267739999999999</v>
      </c>
      <c r="X1107">
        <v>0.96372150000000001</v>
      </c>
      <c r="Y1107">
        <v>0.1692032</v>
      </c>
      <c r="Z1107">
        <v>-3.6463350000000001E-3</v>
      </c>
      <c r="AA1107">
        <v>0.98557439999999996</v>
      </c>
      <c r="AB1107">
        <v>32</v>
      </c>
      <c r="AC1107">
        <v>-7.0541</v>
      </c>
      <c r="AD1107">
        <v>-1.107625089985</v>
      </c>
      <c r="AE1107">
        <v>-88.299099999999896</v>
      </c>
      <c r="AF1107">
        <v>15.0309992985084</v>
      </c>
      <c r="AG1107">
        <v>-1.107625089985</v>
      </c>
      <c r="AH1107">
        <v>87.281769897102095</v>
      </c>
      <c r="AI1107">
        <v>90.716511102765907</v>
      </c>
      <c r="AJ1107">
        <v>80.228801614114403</v>
      </c>
      <c r="AK1107">
        <v>88.573501283523797</v>
      </c>
      <c r="AL1107">
        <v>77.720699640808306</v>
      </c>
      <c r="AM1107">
        <v>80.499865262686598</v>
      </c>
      <c r="AN1107">
        <v>1.0000000545545</v>
      </c>
    </row>
    <row r="1108" spans="1:40" x14ac:dyDescent="0.25">
      <c r="A1108" t="str">
        <f>"20190303170959711"</f>
        <v>20190303170959711</v>
      </c>
      <c r="B1108" t="str">
        <f>"1551604199701647"</f>
        <v>1551604199701647</v>
      </c>
      <c r="C1108" t="s">
        <v>40</v>
      </c>
      <c r="D1108">
        <v>4.7269079999999999</v>
      </c>
      <c r="E1108">
        <v>0.50765400000000005</v>
      </c>
      <c r="F1108" t="s">
        <v>42</v>
      </c>
      <c r="G1108">
        <v>-199.0111</v>
      </c>
      <c r="H1108" s="1">
        <v>-3.2342470000000001E-6</v>
      </c>
      <c r="I1108">
        <v>261.79379999999998</v>
      </c>
      <c r="J1108">
        <v>-191.08359999999999</v>
      </c>
      <c r="K1108">
        <v>1.1079349999999999</v>
      </c>
      <c r="L1108">
        <v>345.63850000000002</v>
      </c>
      <c r="M1108">
        <v>7.4516150000000003E-2</v>
      </c>
      <c r="N1108">
        <v>-1.582712E-2</v>
      </c>
      <c r="O1108">
        <v>-0.99709440000000005</v>
      </c>
      <c r="P1108">
        <v>-8.3449739999999994E-2</v>
      </c>
      <c r="Q1108">
        <v>0.20158229999999999</v>
      </c>
      <c r="R1108">
        <v>-0.97591059999999996</v>
      </c>
      <c r="S1108">
        <v>-0.28742980000000001</v>
      </c>
      <c r="T1108">
        <v>-4.0245889999999999E-2</v>
      </c>
      <c r="U1108">
        <v>-3.0593870000000001</v>
      </c>
      <c r="V1108">
        <v>0.16272990000000001</v>
      </c>
      <c r="W1108">
        <v>0.2118196</v>
      </c>
      <c r="X1108">
        <v>0.96366560000000001</v>
      </c>
      <c r="Y1108">
        <v>0.16743820000000001</v>
      </c>
      <c r="Z1108">
        <v>-2.9054340000000001E-3</v>
      </c>
      <c r="AA1108">
        <v>0.98587829999999999</v>
      </c>
      <c r="AB1108">
        <v>32</v>
      </c>
      <c r="AC1108">
        <v>-7.9275000000000002</v>
      </c>
      <c r="AD1108">
        <v>-1.1079382342470001</v>
      </c>
      <c r="AE1108">
        <v>-83.844700000000003</v>
      </c>
      <c r="AF1108">
        <v>14.151571002783999</v>
      </c>
      <c r="AG1108">
        <v>-1.1079382342470001</v>
      </c>
      <c r="AH1108">
        <v>83.006370812234707</v>
      </c>
      <c r="AI1108">
        <v>90.753841537318294</v>
      </c>
      <c r="AJ1108">
        <v>80.324794734714601</v>
      </c>
      <c r="AK1108">
        <v>84.2113536549316</v>
      </c>
      <c r="AL1108">
        <v>77.770992901163694</v>
      </c>
      <c r="AM1108">
        <v>80.415141231449695</v>
      </c>
      <c r="AN1108">
        <v>0.99999997596076395</v>
      </c>
    </row>
    <row r="1109" spans="1:40" x14ac:dyDescent="0.25">
      <c r="A1109" t="str">
        <f>"20190303170959733"</f>
        <v>20190303170959733</v>
      </c>
      <c r="B1109" t="str">
        <f>"1551604199722143"</f>
        <v>1551604199722143</v>
      </c>
      <c r="C1109" t="s">
        <v>40</v>
      </c>
      <c r="D1109">
        <v>4.724469</v>
      </c>
      <c r="E1109">
        <v>0.50626839999999995</v>
      </c>
      <c r="F1109" t="s">
        <v>52</v>
      </c>
      <c r="G1109">
        <v>-198.03380000000001</v>
      </c>
      <c r="H1109" s="1">
        <v>5.5661860000000002E-6</v>
      </c>
      <c r="I1109">
        <v>270.26459999999997</v>
      </c>
      <c r="J1109">
        <v>-191.07249999999999</v>
      </c>
      <c r="K1109">
        <v>1.1082959999999999</v>
      </c>
      <c r="L1109">
        <v>345.31380000000001</v>
      </c>
      <c r="M1109">
        <v>6.0172200000000002E-2</v>
      </c>
      <c r="N1109">
        <v>-1.5748089999999999E-2</v>
      </c>
      <c r="O1109">
        <v>-0.99806379999999995</v>
      </c>
      <c r="P1109">
        <v>-9.8077189999999995E-2</v>
      </c>
      <c r="Q1109">
        <v>0.20046249999999999</v>
      </c>
      <c r="R1109">
        <v>-0.97477990000000003</v>
      </c>
      <c r="S1109">
        <v>-0.28208919999999998</v>
      </c>
      <c r="T1109">
        <v>-4.4967649999999998E-2</v>
      </c>
      <c r="U1109">
        <v>-3.0592039999999998</v>
      </c>
      <c r="V1109">
        <v>0.16311889999999901</v>
      </c>
      <c r="W1109">
        <v>0.21075179999999999</v>
      </c>
      <c r="X1109">
        <v>0.96383399999999997</v>
      </c>
      <c r="Y1109">
        <v>0.15154319999999999</v>
      </c>
      <c r="Z1109">
        <v>-1.2500580000000001E-3</v>
      </c>
      <c r="AA1109">
        <v>0.98844989999999999</v>
      </c>
      <c r="AB1109">
        <v>32</v>
      </c>
      <c r="AC1109">
        <v>-6.96130000000002</v>
      </c>
      <c r="AD1109">
        <v>-1.1082904338140001</v>
      </c>
      <c r="AE1109">
        <v>-75.049199999999999</v>
      </c>
      <c r="AF1109">
        <v>11.4626400782616</v>
      </c>
      <c r="AG1109">
        <v>-1.1082904338140001</v>
      </c>
      <c r="AH1109">
        <v>74.4781456664752</v>
      </c>
      <c r="AI1109">
        <v>90.842621310256007</v>
      </c>
      <c r="AJ1109">
        <v>81.250483163858704</v>
      </c>
      <c r="AK1109">
        <v>75.363217866318294</v>
      </c>
      <c r="AL1109">
        <v>77.833587197523499</v>
      </c>
      <c r="AM1109">
        <v>80.394302847230605</v>
      </c>
      <c r="AN1109">
        <v>1.0000000381482199</v>
      </c>
    </row>
    <row r="1110" spans="1:40" x14ac:dyDescent="0.25">
      <c r="A1110" t="str">
        <f>"20190303170959754"</f>
        <v>20190303170959754</v>
      </c>
      <c r="B1110" t="str">
        <f>"1551604199741663"</f>
        <v>1551604199741663</v>
      </c>
      <c r="C1110" t="s">
        <v>40</v>
      </c>
      <c r="D1110">
        <v>4.7850330000000003</v>
      </c>
      <c r="E1110">
        <v>0.49916569999999999</v>
      </c>
      <c r="F1110" t="s">
        <v>52</v>
      </c>
      <c r="G1110">
        <v>-198.53229999999999</v>
      </c>
      <c r="H1110" s="1">
        <v>4.7563240000000003E-6</v>
      </c>
      <c r="I1110">
        <v>272.80040000000002</v>
      </c>
      <c r="J1110">
        <v>-191.06610000000001</v>
      </c>
      <c r="K1110">
        <v>1.1086849999999999</v>
      </c>
      <c r="L1110">
        <v>345.01440000000002</v>
      </c>
      <c r="M1110">
        <v>4.7451859999999998E-2</v>
      </c>
      <c r="N1110">
        <v>-1.566505E-2</v>
      </c>
      <c r="O1110">
        <v>-0.99875069999999999</v>
      </c>
      <c r="P1110">
        <v>-0.10963059999999999</v>
      </c>
      <c r="Q1110">
        <v>0.197764</v>
      </c>
      <c r="R1110">
        <v>-0.97409999999999997</v>
      </c>
      <c r="S1110">
        <v>-0.31434630000000002</v>
      </c>
      <c r="T1110">
        <v>-4.6701670000000001E-2</v>
      </c>
      <c r="U1110">
        <v>-3.0556030000000001</v>
      </c>
      <c r="V1110">
        <v>0.16200819999999999</v>
      </c>
      <c r="W1110">
        <v>0.20816689999999999</v>
      </c>
      <c r="X1110">
        <v>0.96458270000000002</v>
      </c>
      <c r="Y1110">
        <v>0.14939240000000001</v>
      </c>
      <c r="Z1110">
        <v>-5.7263949999999996E-4</v>
      </c>
      <c r="AA1110">
        <v>0.98877780000000004</v>
      </c>
      <c r="AB1110">
        <v>32</v>
      </c>
      <c r="AC1110">
        <v>-7.4661999999999802</v>
      </c>
      <c r="AD1110">
        <v>-1.1086802436759999</v>
      </c>
      <c r="AE1110">
        <v>-72.213999999999999</v>
      </c>
      <c r="AF1110">
        <v>10.8823586331728</v>
      </c>
      <c r="AG1110">
        <v>-1.1086802436759999</v>
      </c>
      <c r="AH1110">
        <v>71.761568579299194</v>
      </c>
      <c r="AI1110">
        <v>90.875117090325404</v>
      </c>
      <c r="AJ1110">
        <v>81.377020169295506</v>
      </c>
      <c r="AK1110">
        <v>72.590478895411394</v>
      </c>
      <c r="AL1110">
        <v>77.985049894817806</v>
      </c>
      <c r="AM1110">
        <v>80.465772859330798</v>
      </c>
      <c r="AN1110">
        <v>0.99999995013106802</v>
      </c>
    </row>
    <row r="1111" spans="1:40" x14ac:dyDescent="0.25">
      <c r="A1111" t="str">
        <f>"20190303170959775"</f>
        <v>20190303170959775</v>
      </c>
      <c r="B1111" t="str">
        <f>"1551604199761183"</f>
        <v>1551604199761183</v>
      </c>
      <c r="C1111" t="s">
        <v>40</v>
      </c>
      <c r="D1111">
        <v>4.7894550000000002</v>
      </c>
      <c r="E1111">
        <v>0.49799080000000001</v>
      </c>
      <c r="F1111" t="s">
        <v>52</v>
      </c>
      <c r="G1111">
        <v>-196.72479999999999</v>
      </c>
      <c r="H1111" s="1">
        <v>2.6330750000000002E-6</v>
      </c>
      <c r="I1111">
        <v>286.20240000000001</v>
      </c>
      <c r="J1111">
        <v>-191.06319999999999</v>
      </c>
      <c r="K1111">
        <v>1.1091340000000001</v>
      </c>
      <c r="L1111">
        <v>344.71620000000001</v>
      </c>
      <c r="M1111">
        <v>3.5313440000000001E-2</v>
      </c>
      <c r="N1111">
        <v>-1.5573750000000001E-2</v>
      </c>
      <c r="O1111">
        <v>-0.99925509999999995</v>
      </c>
      <c r="P1111">
        <v>-0.1195201</v>
      </c>
      <c r="Q1111">
        <v>0.19529569999999999</v>
      </c>
      <c r="R1111">
        <v>-0.97343460000000004</v>
      </c>
      <c r="S1111">
        <v>-0.29426570000000002</v>
      </c>
      <c r="T1111">
        <v>-5.7654379999999998E-2</v>
      </c>
      <c r="U1111">
        <v>-3.0583800000000001</v>
      </c>
      <c r="V1111">
        <v>0.1598</v>
      </c>
      <c r="W1111">
        <v>0.20585439999999999</v>
      </c>
      <c r="X1111">
        <v>0.96544700000000006</v>
      </c>
      <c r="Y1111">
        <v>0.13083410000000001</v>
      </c>
      <c r="Z1111">
        <v>3.1064109999999999E-3</v>
      </c>
      <c r="AA1111">
        <v>0.99139940000000004</v>
      </c>
      <c r="AB1111">
        <v>32</v>
      </c>
      <c r="AC1111">
        <v>-5.6615999999999902</v>
      </c>
      <c r="AD1111">
        <v>-1.109131366925</v>
      </c>
      <c r="AE1111">
        <v>-58.513800000000003</v>
      </c>
      <c r="AF1111">
        <v>7.7218930806928103</v>
      </c>
      <c r="AG1111">
        <v>-1.109131366925</v>
      </c>
      <c r="AH1111">
        <v>58.256603407075701</v>
      </c>
      <c r="AI1111">
        <v>91.081251887686193</v>
      </c>
      <c r="AJ1111">
        <v>82.449477924149406</v>
      </c>
      <c r="AK1111">
        <v>58.776607980284602</v>
      </c>
      <c r="AL1111">
        <v>78.120480524364794</v>
      </c>
      <c r="AM1111">
        <v>80.601658647039997</v>
      </c>
      <c r="AN1111">
        <v>0.99999999190417999</v>
      </c>
    </row>
    <row r="1112" spans="1:40" x14ac:dyDescent="0.25">
      <c r="A1112" t="str">
        <f>"20190303170959798"</f>
        <v>20190303170959798</v>
      </c>
      <c r="B1112" t="str">
        <f>"1551604199791439"</f>
        <v>1551604199791439</v>
      </c>
      <c r="C1112" t="s">
        <v>40</v>
      </c>
      <c r="D1112">
        <v>4.794041</v>
      </c>
      <c r="E1112">
        <v>0.49124790000000002</v>
      </c>
      <c r="F1112" t="s">
        <v>52</v>
      </c>
      <c r="G1112">
        <v>-196.36189999999999</v>
      </c>
      <c r="H1112" s="1">
        <v>1.377447E-6</v>
      </c>
      <c r="I1112">
        <v>293.60590000000002</v>
      </c>
      <c r="J1112">
        <v>-191.06360000000001</v>
      </c>
      <c r="K1112">
        <v>1.1096600000000001</v>
      </c>
      <c r="L1112">
        <v>344.39460000000003</v>
      </c>
      <c r="M1112">
        <v>2.2892490000000001E-2</v>
      </c>
      <c r="N1112">
        <v>-1.546867E-2</v>
      </c>
      <c r="O1112">
        <v>-0.99961840000000002</v>
      </c>
      <c r="P1112">
        <v>-0.12961420000000001</v>
      </c>
      <c r="Q1112">
        <v>0.1941184</v>
      </c>
      <c r="R1112">
        <v>-0.97237799999999996</v>
      </c>
      <c r="S1112">
        <v>-0.31684879999999999</v>
      </c>
      <c r="T1112">
        <v>-6.6322919999999994E-2</v>
      </c>
      <c r="U1112">
        <v>-3.056244</v>
      </c>
      <c r="V1112">
        <v>0.15752049999999901</v>
      </c>
      <c r="W1112">
        <v>0.20484359999999999</v>
      </c>
      <c r="X1112">
        <v>0.96603640000000002</v>
      </c>
      <c r="Y1112">
        <v>0.1258282</v>
      </c>
      <c r="Z1112">
        <v>6.0572919999999997E-3</v>
      </c>
      <c r="AA1112">
        <v>0.99203350000000001</v>
      </c>
      <c r="AB1112">
        <v>31</v>
      </c>
      <c r="AC1112">
        <v>-5.2982999999999798</v>
      </c>
      <c r="AD1112">
        <v>-1.1096586225530001</v>
      </c>
      <c r="AE1112">
        <v>-50.788699999999999</v>
      </c>
      <c r="AF1112">
        <v>6.4566809517405801</v>
      </c>
      <c r="AG1112">
        <v>-1.1096586225530001</v>
      </c>
      <c r="AH1112">
        <v>50.6301724315014</v>
      </c>
      <c r="AI1112">
        <v>91.245463935417007</v>
      </c>
      <c r="AJ1112">
        <v>82.732506118331102</v>
      </c>
      <c r="AK1112">
        <v>51.0522715617507</v>
      </c>
      <c r="AL1112">
        <v>78.179655910259996</v>
      </c>
      <c r="AM1112">
        <v>80.738936975009906</v>
      </c>
      <c r="AN1112">
        <v>0.99999996725308404</v>
      </c>
    </row>
    <row r="1113" spans="1:40" x14ac:dyDescent="0.25">
      <c r="A1113" t="str">
        <f>"20190303170959822"</f>
        <v>20190303170959822</v>
      </c>
      <c r="B1113" t="str">
        <f>"1551604199811935"</f>
        <v>1551604199811935</v>
      </c>
      <c r="C1113" t="s">
        <v>40</v>
      </c>
      <c r="D1113">
        <v>4.7967719999999998</v>
      </c>
      <c r="E1113">
        <v>0.49046299999999998</v>
      </c>
      <c r="F1113" t="s">
        <v>52</v>
      </c>
      <c r="G1113">
        <v>-195.9933</v>
      </c>
      <c r="H1113" s="1">
        <v>1.4402209999999999E-6</v>
      </c>
      <c r="I1113">
        <v>293.43509999999998</v>
      </c>
      <c r="J1113">
        <v>-191.06809999999999</v>
      </c>
      <c r="K1113">
        <v>1.1102669999999999</v>
      </c>
      <c r="L1113">
        <v>344.04570000000001</v>
      </c>
      <c r="M1113">
        <v>1.0231789999999999E-2</v>
      </c>
      <c r="N1113">
        <v>-1.535068E-2</v>
      </c>
      <c r="O1113">
        <v>-0.99982990000000005</v>
      </c>
      <c r="P1113">
        <v>-0.14142779999999999</v>
      </c>
      <c r="Q1113">
        <v>0.1960827</v>
      </c>
      <c r="R1113">
        <v>-0.97033510000000001</v>
      </c>
      <c r="S1113">
        <v>-0.295929</v>
      </c>
      <c r="T1113">
        <v>-6.6612480000000002E-2</v>
      </c>
      <c r="U1113">
        <v>-3.0590820000000001</v>
      </c>
      <c r="V1113">
        <v>0.15677920000000001</v>
      </c>
      <c r="W1113">
        <v>0.20692849999999999</v>
      </c>
      <c r="X1113">
        <v>0.96571260000000003</v>
      </c>
      <c r="Y1113">
        <v>0.1064367</v>
      </c>
      <c r="Z1113">
        <v>6.2988990000000002E-3</v>
      </c>
      <c r="AA1113">
        <v>0.9942995</v>
      </c>
      <c r="AB1113">
        <v>31</v>
      </c>
      <c r="AC1113">
        <v>-4.92520000000001</v>
      </c>
      <c r="AD1113">
        <v>-1.1102655597789901</v>
      </c>
      <c r="AE1113">
        <v>-50.610599999999998</v>
      </c>
      <c r="AF1113">
        <v>5.4402465793938202</v>
      </c>
      <c r="AG1113">
        <v>-1.1102655597789901</v>
      </c>
      <c r="AH1113">
        <v>50.533459481896699</v>
      </c>
      <c r="AI1113">
        <v>91.251408685754896</v>
      </c>
      <c r="AJ1113">
        <v>83.855412321238006</v>
      </c>
      <c r="AK1113">
        <v>50.837579600786803</v>
      </c>
      <c r="AL1113">
        <v>78.057584730419606</v>
      </c>
      <c r="AM1113">
        <v>80.778732350229006</v>
      </c>
      <c r="AN1113">
        <v>0.99999997373182403</v>
      </c>
    </row>
    <row r="1114" spans="1:40" x14ac:dyDescent="0.25">
      <c r="A1114" t="str">
        <f>"20190303170959844"</f>
        <v>20190303170959844</v>
      </c>
      <c r="B1114" t="str">
        <f>"1551604199831455"</f>
        <v>1551604199831455</v>
      </c>
      <c r="C1114" t="s">
        <v>40</v>
      </c>
      <c r="D1114">
        <v>4.8481129999999997</v>
      </c>
      <c r="E1114">
        <v>0.48534040000000001</v>
      </c>
      <c r="F1114" t="s">
        <v>52</v>
      </c>
      <c r="G1114">
        <v>-197.05160000000001</v>
      </c>
      <c r="H1114" s="1">
        <v>2.4456529999999999E-6</v>
      </c>
      <c r="I1114">
        <v>287.68310000000002</v>
      </c>
      <c r="J1114">
        <v>-191.07509999999999</v>
      </c>
      <c r="K1114">
        <v>1.110781</v>
      </c>
      <c r="L1114">
        <v>343.73480000000001</v>
      </c>
      <c r="M1114">
        <v>-4.6017550000000001E-4</v>
      </c>
      <c r="N1114">
        <v>-1.524943E-2</v>
      </c>
      <c r="O1114">
        <v>-0.99988379999999999</v>
      </c>
      <c r="P1114">
        <v>-0.1511545</v>
      </c>
      <c r="Q1114">
        <v>0.19728229999999999</v>
      </c>
      <c r="R1114">
        <v>-0.96862409999999999</v>
      </c>
      <c r="S1114">
        <v>-0.32449339999999999</v>
      </c>
      <c r="T1114">
        <v>-6.0210350000000003E-2</v>
      </c>
      <c r="U1114">
        <v>-3.0565799999999999</v>
      </c>
      <c r="V1114">
        <v>0.15591450000000001</v>
      </c>
      <c r="W1114">
        <v>0.2082331</v>
      </c>
      <c r="X1114">
        <v>0.96557219999999999</v>
      </c>
      <c r="Y1114">
        <v>0.1050825</v>
      </c>
      <c r="Z1114">
        <v>4.3368599999999997E-3</v>
      </c>
      <c r="AA1114">
        <v>0.99445399999999995</v>
      </c>
      <c r="AB1114">
        <v>31</v>
      </c>
      <c r="AC1114">
        <v>-5.9765000000000104</v>
      </c>
      <c r="AD1114">
        <v>-1.1107785543469999</v>
      </c>
      <c r="AE1114">
        <v>-56.051699999999897</v>
      </c>
      <c r="AF1114">
        <v>5.9483929898428398</v>
      </c>
      <c r="AG1114">
        <v>-1.1107785543469999</v>
      </c>
      <c r="AH1114">
        <v>56.032687107882403</v>
      </c>
      <c r="AI1114">
        <v>91.129324895773394</v>
      </c>
      <c r="AJ1114">
        <v>83.940214146114698</v>
      </c>
      <c r="AK1114">
        <v>56.358488559295601</v>
      </c>
      <c r="AL1114">
        <v>77.981172716541707</v>
      </c>
      <c r="AM1114">
        <v>80.8274138066745</v>
      </c>
      <c r="AN1114">
        <v>1.0000000143293499</v>
      </c>
    </row>
    <row r="1115" spans="1:40" x14ac:dyDescent="0.25">
      <c r="A1115" t="str">
        <f>"20190303170959867"</f>
        <v>20190303170959867</v>
      </c>
      <c r="B1115" t="str">
        <f>"1551604199861711"</f>
        <v>1551604199861711</v>
      </c>
      <c r="C1115" t="s">
        <v>40</v>
      </c>
      <c r="D1115">
        <v>4.7954169999999996</v>
      </c>
      <c r="E1115">
        <v>0.48412519999999998</v>
      </c>
      <c r="F1115" t="s">
        <v>52</v>
      </c>
      <c r="G1115">
        <v>-198.3604</v>
      </c>
      <c r="H1115" s="1">
        <v>4.9287050000000003E-6</v>
      </c>
      <c r="I1115">
        <v>272.29349999999999</v>
      </c>
      <c r="J1115">
        <v>-191.0857</v>
      </c>
      <c r="K1115">
        <v>1.1113189999999999</v>
      </c>
      <c r="L1115">
        <v>343.4076</v>
      </c>
      <c r="M1115">
        <v>-1.103671E-2</v>
      </c>
      <c r="N1115">
        <v>-1.514691E-2</v>
      </c>
      <c r="O1115">
        <v>-0.99982439999999995</v>
      </c>
      <c r="P1115">
        <v>-0.15896099999999999</v>
      </c>
      <c r="Q1115">
        <v>0.19589490000000001</v>
      </c>
      <c r="R1115">
        <v>-0.96765559999999995</v>
      </c>
      <c r="S1115">
        <v>-0.3118591</v>
      </c>
      <c r="T1115">
        <v>-4.7549130000000002E-2</v>
      </c>
      <c r="U1115">
        <v>-3.0581969999999998</v>
      </c>
      <c r="V1115">
        <v>0.1531786</v>
      </c>
      <c r="W1115">
        <v>0.207012</v>
      </c>
      <c r="X1115">
        <v>0.96627240000000003</v>
      </c>
      <c r="Y1115">
        <v>9.0440580000000007E-2</v>
      </c>
      <c r="Z1115">
        <v>3.3446479999999998E-4</v>
      </c>
      <c r="AA1115">
        <v>0.99590179999999995</v>
      </c>
      <c r="AB1115">
        <v>31</v>
      </c>
      <c r="AC1115">
        <v>-7.2746999999999904</v>
      </c>
      <c r="AD1115">
        <v>-1.111314071295</v>
      </c>
      <c r="AE1115">
        <v>-71.114099999999993</v>
      </c>
      <c r="AF1115">
        <v>6.4877331435901198</v>
      </c>
      <c r="AG1115">
        <v>-1.111314071295</v>
      </c>
      <c r="AH1115">
        <v>71.172864595841503</v>
      </c>
      <c r="AI1115">
        <v>90.890867557907598</v>
      </c>
      <c r="AJ1115">
        <v>84.791620753118906</v>
      </c>
      <c r="AK1115">
        <v>71.476586062048895</v>
      </c>
      <c r="AL1115">
        <v>78.052694983408898</v>
      </c>
      <c r="AM1115">
        <v>80.992128287549306</v>
      </c>
      <c r="AN1115">
        <v>1.00000000132186</v>
      </c>
    </row>
    <row r="1116" spans="1:40" x14ac:dyDescent="0.25">
      <c r="A1116" t="str">
        <f>"20190303170959888"</f>
        <v>20190303170959888</v>
      </c>
      <c r="B1116" t="str">
        <f>"1551604199881231"</f>
        <v>1551604199881231</v>
      </c>
      <c r="C1116" t="s">
        <v>40</v>
      </c>
      <c r="D1116">
        <v>4.7582449999999996</v>
      </c>
      <c r="E1116">
        <v>0.47780250000000002</v>
      </c>
      <c r="F1116" t="s">
        <v>52</v>
      </c>
      <c r="G1116">
        <v>-198.45570000000001</v>
      </c>
      <c r="H1116" s="1">
        <v>4.3626719999999998E-6</v>
      </c>
      <c r="I1116">
        <v>274.35120000000001</v>
      </c>
      <c r="J1116">
        <v>-191.09780000000001</v>
      </c>
      <c r="K1116">
        <v>1.111836</v>
      </c>
      <c r="L1116">
        <v>343.10969999999998</v>
      </c>
      <c r="M1116">
        <v>-2.0011060000000001E-2</v>
      </c>
      <c r="N1116">
        <v>-1.5050060000000001E-2</v>
      </c>
      <c r="O1116">
        <v>-0.99968650000000003</v>
      </c>
      <c r="P1116">
        <v>-0.16456409999999999</v>
      </c>
      <c r="Q1116">
        <v>0.1930441</v>
      </c>
      <c r="R1116">
        <v>-0.96729140000000002</v>
      </c>
      <c r="S1116">
        <v>-0.3262177</v>
      </c>
      <c r="T1116">
        <v>-4.9190039999999997E-2</v>
      </c>
      <c r="U1116">
        <v>-3.0566409999999999</v>
      </c>
      <c r="V1116">
        <v>0.14976210000000001</v>
      </c>
      <c r="W1116">
        <v>0.20434089999999999</v>
      </c>
      <c r="X1116">
        <v>0.96737589999999996</v>
      </c>
      <c r="Y1116">
        <v>8.617988E-2</v>
      </c>
      <c r="Z1116">
        <v>9.7663429999999998E-4</v>
      </c>
      <c r="AA1116">
        <v>0.99627909999999997</v>
      </c>
      <c r="AB1116">
        <v>31</v>
      </c>
      <c r="AC1116">
        <v>-7.3578999999999999</v>
      </c>
      <c r="AD1116">
        <v>-1.1118316373279999</v>
      </c>
      <c r="AE1116">
        <v>-68.758499999999898</v>
      </c>
      <c r="AF1116">
        <v>5.9787944305595602</v>
      </c>
      <c r="AG1116">
        <v>-1.1118316373279999</v>
      </c>
      <c r="AH1116">
        <v>68.874179857188295</v>
      </c>
      <c r="AI1116">
        <v>90.921377481950302</v>
      </c>
      <c r="AJ1116">
        <v>85.038734394078304</v>
      </c>
      <c r="AK1116">
        <v>69.142134790827697</v>
      </c>
      <c r="AL1116">
        <v>78.2090814414085</v>
      </c>
      <c r="AM1116">
        <v>81.199745588746495</v>
      </c>
      <c r="AN1116">
        <v>1.00000001095501</v>
      </c>
    </row>
    <row r="1117" spans="1:40" x14ac:dyDescent="0.25">
      <c r="A1117" t="str">
        <f>"20190303170959911"</f>
        <v>20190303170959911</v>
      </c>
      <c r="B1117" t="str">
        <f>"1551604199901727"</f>
        <v>1551604199901727</v>
      </c>
      <c r="C1117" t="s">
        <v>40</v>
      </c>
      <c r="D1117">
        <v>4.7681779999999998</v>
      </c>
      <c r="E1117">
        <v>0.47527970000000003</v>
      </c>
      <c r="F1117" t="s">
        <v>52</v>
      </c>
      <c r="G1117">
        <v>-195.86580000000001</v>
      </c>
      <c r="H1117" s="1">
        <v>1.4669859999999999E-6</v>
      </c>
      <c r="I1117">
        <v>293.34730000000002</v>
      </c>
      <c r="J1117">
        <v>-191.1139</v>
      </c>
      <c r="K1117">
        <v>1.1124590000000001</v>
      </c>
      <c r="L1117">
        <v>342.77879999999999</v>
      </c>
      <c r="M1117">
        <v>-2.922454E-2</v>
      </c>
      <c r="N1117">
        <v>-1.4938399999999999E-2</v>
      </c>
      <c r="O1117">
        <v>-0.9994613</v>
      </c>
      <c r="P1117">
        <v>-0.1709463</v>
      </c>
      <c r="Q1117">
        <v>0.19219</v>
      </c>
      <c r="R1117">
        <v>-0.9663543</v>
      </c>
      <c r="S1117">
        <v>-0.2936859</v>
      </c>
      <c r="T1117">
        <v>-6.8484310000000007E-2</v>
      </c>
      <c r="U1117">
        <v>-3.0651549999999999</v>
      </c>
      <c r="V1117">
        <v>0.14689140000000001</v>
      </c>
      <c r="W1117">
        <v>0.2036654</v>
      </c>
      <c r="X1117">
        <v>0.96795830000000005</v>
      </c>
      <c r="Y1117">
        <v>6.6221379999999996E-2</v>
      </c>
      <c r="Z1117">
        <v>7.3312179999999996E-3</v>
      </c>
      <c r="AA1117">
        <v>0.99777800000000005</v>
      </c>
      <c r="AB1117">
        <v>31</v>
      </c>
      <c r="AC1117">
        <v>-4.7519</v>
      </c>
      <c r="AD1117">
        <v>-1.1124575330140001</v>
      </c>
      <c r="AE1117">
        <v>-49.4314999999999</v>
      </c>
      <c r="AF1117">
        <v>3.30343810697341</v>
      </c>
      <c r="AG1117">
        <v>-1.1124575330140001</v>
      </c>
      <c r="AH1117">
        <v>49.524416007985103</v>
      </c>
      <c r="AI1117">
        <v>91.283955554233799</v>
      </c>
      <c r="AJ1117">
        <v>86.183839981707905</v>
      </c>
      <c r="AK1117">
        <v>49.646933903528499</v>
      </c>
      <c r="AL1117">
        <v>78.248615712609507</v>
      </c>
      <c r="AM1117">
        <v>81.370982717064095</v>
      </c>
      <c r="AN1117">
        <v>0.999999974545004</v>
      </c>
    </row>
    <row r="1118" spans="1:40" x14ac:dyDescent="0.25">
      <c r="A1118" t="str">
        <f>"20190303170959934"</f>
        <v>20190303170959934</v>
      </c>
      <c r="B1118" t="str">
        <f>"1551604199922223"</f>
        <v>1551604199922223</v>
      </c>
      <c r="C1118" t="s">
        <v>40</v>
      </c>
      <c r="D1118">
        <v>4.7923749999999998</v>
      </c>
      <c r="E1118">
        <v>0.47416330000000001</v>
      </c>
      <c r="F1118" t="s">
        <v>52</v>
      </c>
      <c r="G1118">
        <v>-195.90260000000001</v>
      </c>
      <c r="H1118" s="1">
        <v>1.5506100000000001E-6</v>
      </c>
      <c r="I1118">
        <v>292.85399999999998</v>
      </c>
      <c r="J1118">
        <v>-191.13210000000001</v>
      </c>
      <c r="K1118">
        <v>1.113156</v>
      </c>
      <c r="L1118">
        <v>342.44929999999999</v>
      </c>
      <c r="M1118">
        <v>-3.7580280000000001E-2</v>
      </c>
      <c r="N1118">
        <v>-1.4827389999999999E-2</v>
      </c>
      <c r="O1118">
        <v>-0.99918379999999996</v>
      </c>
      <c r="P1118">
        <v>-0.1786702</v>
      </c>
      <c r="Q1118">
        <v>0.19343170000000001</v>
      </c>
      <c r="R1118">
        <v>-0.96470800000000001</v>
      </c>
      <c r="S1118">
        <v>-0.29408260000000003</v>
      </c>
      <c r="T1118">
        <v>-6.8318130000000005E-2</v>
      </c>
      <c r="U1118">
        <v>-3.065979</v>
      </c>
      <c r="V1118">
        <v>0.1462302</v>
      </c>
      <c r="W1118">
        <v>0.20504749999999999</v>
      </c>
      <c r="X1118">
        <v>0.96776660000000003</v>
      </c>
      <c r="Y1118">
        <v>5.7981169999999999E-2</v>
      </c>
      <c r="Z1118">
        <v>7.3843880000000004E-3</v>
      </c>
      <c r="AA1118">
        <v>0.99829040000000002</v>
      </c>
      <c r="AB1118">
        <v>31</v>
      </c>
      <c r="AC1118">
        <v>-4.7704999999999904</v>
      </c>
      <c r="AD1118">
        <v>-1.1131544493899901</v>
      </c>
      <c r="AE1118">
        <v>-49.595299999999902</v>
      </c>
      <c r="AF1118">
        <v>2.90167126282534</v>
      </c>
      <c r="AG1118">
        <v>-1.1131544493899901</v>
      </c>
      <c r="AH1118">
        <v>49.714740116360403</v>
      </c>
      <c r="AI1118">
        <v>91.280507376972807</v>
      </c>
      <c r="AJ1118">
        <v>86.659640322020607</v>
      </c>
      <c r="AK1118">
        <v>49.811787699127599</v>
      </c>
      <c r="AL1118">
        <v>78.167719977358601</v>
      </c>
      <c r="AM1118">
        <v>81.407567274719298</v>
      </c>
      <c r="AN1118">
        <v>0.99999997036192401</v>
      </c>
    </row>
    <row r="1119" spans="1:40" x14ac:dyDescent="0.25">
      <c r="A1119" t="str">
        <f>"20190303170959957"</f>
        <v>20190303170959957</v>
      </c>
      <c r="B1119" t="str">
        <f>"1551604199951503"</f>
        <v>1551604199951503</v>
      </c>
      <c r="C1119" t="s">
        <v>40</v>
      </c>
      <c r="D1119">
        <v>4.7676360000000004</v>
      </c>
      <c r="E1119">
        <v>0.4728156</v>
      </c>
      <c r="F1119" t="s">
        <v>52</v>
      </c>
      <c r="G1119">
        <v>-196.5736</v>
      </c>
      <c r="H1119" s="1">
        <v>2.4966680000000001E-6</v>
      </c>
      <c r="I1119">
        <v>288.06959999999998</v>
      </c>
      <c r="J1119">
        <v>-191.15119999999999</v>
      </c>
      <c r="K1119">
        <v>1.113883</v>
      </c>
      <c r="L1119">
        <v>342.13839999999999</v>
      </c>
      <c r="M1119">
        <v>-4.4638600000000001E-2</v>
      </c>
      <c r="N1119">
        <v>-1.4724889999999999E-2</v>
      </c>
      <c r="O1119">
        <v>-0.99889479999999997</v>
      </c>
      <c r="P1119">
        <v>-0.18620819999999999</v>
      </c>
      <c r="Q1119">
        <v>0.1942469</v>
      </c>
      <c r="R1119">
        <v>-0.96311740000000001</v>
      </c>
      <c r="S1119">
        <v>-0.3067474</v>
      </c>
      <c r="T1119">
        <v>-6.2751290000000001E-2</v>
      </c>
      <c r="U1119">
        <v>-3.0655209999999999</v>
      </c>
      <c r="V1119">
        <v>0.1466307</v>
      </c>
      <c r="W1119">
        <v>0.2059967</v>
      </c>
      <c r="X1119">
        <v>0.96750440000000004</v>
      </c>
      <c r="Y1119">
        <v>5.5029830000000002E-2</v>
      </c>
      <c r="Z1119">
        <v>5.6775649999999999E-3</v>
      </c>
      <c r="AA1119">
        <v>0.99846860000000004</v>
      </c>
      <c r="AB1119">
        <v>31</v>
      </c>
      <c r="AC1119">
        <v>-5.4223999999999997</v>
      </c>
      <c r="AD1119">
        <v>-1.1138805033319901</v>
      </c>
      <c r="AE1119">
        <v>-54.068800000000003</v>
      </c>
      <c r="AF1119">
        <v>3.0019154988916301</v>
      </c>
      <c r="AG1119">
        <v>-1.1138805033319901</v>
      </c>
      <c r="AH1119">
        <v>54.234178910609899</v>
      </c>
      <c r="AI1119">
        <v>91.174797554423193</v>
      </c>
      <c r="AJ1119">
        <v>86.831854686918803</v>
      </c>
      <c r="AK1119">
        <v>54.328614822634897</v>
      </c>
      <c r="AL1119">
        <v>78.112148662089993</v>
      </c>
      <c r="AM1119">
        <v>81.382086880995502</v>
      </c>
      <c r="AN1119">
        <v>0.99999998330636897</v>
      </c>
    </row>
    <row r="1120" spans="1:40" x14ac:dyDescent="0.25">
      <c r="A1120" t="str">
        <f>"20190303170959976"</f>
        <v>20190303170959976</v>
      </c>
      <c r="B1120" t="str">
        <f>"1551604199972000"</f>
        <v>1551604199972000</v>
      </c>
      <c r="C1120" t="s">
        <v>40</v>
      </c>
      <c r="D1120">
        <v>4.7735399999999997</v>
      </c>
      <c r="E1120">
        <v>0.47206619999999999</v>
      </c>
      <c r="F1120" t="s">
        <v>52</v>
      </c>
      <c r="G1120">
        <v>-197.14279999999999</v>
      </c>
      <c r="H1120" s="1">
        <v>2.7419739999999999E-6</v>
      </c>
      <c r="I1120">
        <v>284.1087</v>
      </c>
      <c r="J1120">
        <v>-191.17009999999999</v>
      </c>
      <c r="K1120">
        <v>1.114573</v>
      </c>
      <c r="L1120">
        <v>341.85329999999999</v>
      </c>
      <c r="M1120">
        <v>-5.0363669999999999E-2</v>
      </c>
      <c r="N1120">
        <v>-1.4634100000000001E-2</v>
      </c>
      <c r="O1120">
        <v>-0.99862379999999995</v>
      </c>
      <c r="P1120">
        <v>-0.18986520000000001</v>
      </c>
      <c r="Q1120">
        <v>0.1914737</v>
      </c>
      <c r="R1120">
        <v>-0.9629586</v>
      </c>
      <c r="S1120">
        <v>-0.31651309999999999</v>
      </c>
      <c r="T1120">
        <v>-5.8842659999999998E-2</v>
      </c>
      <c r="U1120">
        <v>-3.0655209999999999</v>
      </c>
      <c r="V1120">
        <v>0.1443401</v>
      </c>
      <c r="W1120">
        <v>0.20342080000000001</v>
      </c>
      <c r="X1120">
        <v>0.96839339999999996</v>
      </c>
      <c r="Y1120">
        <v>5.2456339999999997E-2</v>
      </c>
      <c r="Z1120">
        <v>4.4954690000000002E-3</v>
      </c>
      <c r="AA1120">
        <v>0.99861310000000003</v>
      </c>
      <c r="AB1120">
        <v>31</v>
      </c>
      <c r="AC1120">
        <v>-5.9726999999999997</v>
      </c>
      <c r="AD1120">
        <v>-1.114570258026</v>
      </c>
      <c r="AE1120">
        <v>-57.744599999999899</v>
      </c>
      <c r="AF1120">
        <v>3.0554511944603999</v>
      </c>
      <c r="AG1120">
        <v>-1.114570258026</v>
      </c>
      <c r="AH1120">
        <v>57.950781114667798</v>
      </c>
      <c r="AI1120">
        <v>91.100308786176399</v>
      </c>
      <c r="AJ1120">
        <v>86.981878363538002</v>
      </c>
      <c r="AK1120">
        <v>58.041976884509602</v>
      </c>
      <c r="AL1120">
        <v>78.262929404972098</v>
      </c>
      <c r="AM1120">
        <v>81.522413468521506</v>
      </c>
      <c r="AN1120">
        <v>0.999999931752102</v>
      </c>
    </row>
    <row r="1121" spans="1:40" x14ac:dyDescent="0.25">
      <c r="A1121" t="str">
        <f>"20190303171000001"</f>
        <v>20190303171000001</v>
      </c>
      <c r="B1121" t="str">
        <f>"1551604199991519"</f>
        <v>1551604199991519</v>
      </c>
      <c r="C1121" t="s">
        <v>40</v>
      </c>
      <c r="D1121">
        <v>4.7995070000000002</v>
      </c>
      <c r="E1121">
        <v>0.46313650000000001</v>
      </c>
      <c r="F1121" t="s">
        <v>52</v>
      </c>
      <c r="G1121">
        <v>-196.38669999999999</v>
      </c>
      <c r="H1121" s="1">
        <v>1.648401E-6</v>
      </c>
      <c r="I1121">
        <v>292.05489999999998</v>
      </c>
      <c r="J1121">
        <v>-191.19319999999999</v>
      </c>
      <c r="K1121">
        <v>1.1152949999999999</v>
      </c>
      <c r="L1121">
        <v>341.52330000000001</v>
      </c>
      <c r="M1121">
        <v>-5.6233619999999998E-2</v>
      </c>
      <c r="N1121">
        <v>-1.4536240000000001E-2</v>
      </c>
      <c r="O1121">
        <v>-0.99831199999999998</v>
      </c>
      <c r="P1121">
        <v>-0.19089809999999999</v>
      </c>
      <c r="Q1121">
        <v>0.18759890000000001</v>
      </c>
      <c r="R1121">
        <v>-0.96351719999999996</v>
      </c>
      <c r="S1121">
        <v>-0.32115169999999998</v>
      </c>
      <c r="T1121">
        <v>-6.8616269999999993E-2</v>
      </c>
      <c r="U1121">
        <v>-3.0657350000000001</v>
      </c>
      <c r="V1121">
        <v>0.1392137</v>
      </c>
      <c r="W1121">
        <v>0.19979279999999999</v>
      </c>
      <c r="X1121">
        <v>0.96989820000000004</v>
      </c>
      <c r="Y1121">
        <v>4.807078E-2</v>
      </c>
      <c r="Z1121">
        <v>7.7569229999999998E-3</v>
      </c>
      <c r="AA1121">
        <v>0.99881379999999997</v>
      </c>
      <c r="AB1121">
        <v>31</v>
      </c>
      <c r="AC1121">
        <v>-5.1935000000000002</v>
      </c>
      <c r="AD1121">
        <v>-1.115293351599</v>
      </c>
      <c r="AE1121">
        <v>-49.468400000000003</v>
      </c>
      <c r="AF1121">
        <v>2.4019920033315101</v>
      </c>
      <c r="AG1121">
        <v>-1.115293351599</v>
      </c>
      <c r="AH1121">
        <v>49.657220940885502</v>
      </c>
      <c r="AI1121">
        <v>91.285135760297905</v>
      </c>
      <c r="AJ1121">
        <v>87.230678346309602</v>
      </c>
      <c r="AK1121">
        <v>49.727789377933398</v>
      </c>
      <c r="AL1121">
        <v>78.475157985941394</v>
      </c>
      <c r="AM1121">
        <v>81.831876613156297</v>
      </c>
      <c r="AN1121">
        <v>1.0000000677813801</v>
      </c>
    </row>
    <row r="1122" spans="1:40" x14ac:dyDescent="0.25">
      <c r="A1122" t="str">
        <f>"20190303171000022"</f>
        <v>20190303171000022</v>
      </c>
      <c r="B1122" t="str">
        <f>"1551604200012016"</f>
        <v>1551604200012016</v>
      </c>
      <c r="C1122" t="s">
        <v>40</v>
      </c>
      <c r="D1122">
        <v>4.8077120000000004</v>
      </c>
      <c r="E1122">
        <v>0.46236729999999998</v>
      </c>
      <c r="F1122" t="s">
        <v>52</v>
      </c>
      <c r="G1122">
        <v>-194.6994</v>
      </c>
      <c r="H1122" s="1">
        <v>8.0438889999999995E-8</v>
      </c>
      <c r="I1122">
        <v>299.15960000000001</v>
      </c>
      <c r="J1122">
        <v>-191.2159</v>
      </c>
      <c r="K1122">
        <v>1.115923</v>
      </c>
      <c r="L1122">
        <v>341.21499999999997</v>
      </c>
      <c r="M1122">
        <v>-6.1017729999999999E-2</v>
      </c>
      <c r="N1122">
        <v>-1.445106E-2</v>
      </c>
      <c r="O1122">
        <v>-0.99803209999999998</v>
      </c>
      <c r="P1122">
        <v>-0.19216949999999999</v>
      </c>
      <c r="Q1122">
        <v>0.18599570000000001</v>
      </c>
      <c r="R1122">
        <v>-0.96357510000000002</v>
      </c>
      <c r="S1122">
        <v>-0.25482179999999999</v>
      </c>
      <c r="T1122">
        <v>-8.1056119999999995E-2</v>
      </c>
      <c r="U1122">
        <v>-3.0788570000000002</v>
      </c>
      <c r="V1122">
        <v>0.1354901</v>
      </c>
      <c r="W1122">
        <v>0.1983732</v>
      </c>
      <c r="X1122">
        <v>0.97071649999999998</v>
      </c>
      <c r="Y1122">
        <v>2.1501079999999999E-2</v>
      </c>
      <c r="Z1122">
        <v>1.178387E-2</v>
      </c>
      <c r="AA1122">
        <v>0.99969940000000002</v>
      </c>
      <c r="AB1122">
        <v>31</v>
      </c>
      <c r="AC1122">
        <v>-3.48349999999999</v>
      </c>
      <c r="AD1122">
        <v>-1.11592291956111</v>
      </c>
      <c r="AE1122">
        <v>-42.055399999999899</v>
      </c>
      <c r="AF1122">
        <v>0.90997849890522697</v>
      </c>
      <c r="AG1122">
        <v>-1.11592291956111</v>
      </c>
      <c r="AH1122">
        <v>42.1601164919525</v>
      </c>
      <c r="AI1122">
        <v>91.515837152701707</v>
      </c>
      <c r="AJ1122">
        <v>88.763527294286803</v>
      </c>
      <c r="AK1122">
        <v>42.184698261880101</v>
      </c>
      <c r="AL1122">
        <v>78.558155801182295</v>
      </c>
      <c r="AM1122">
        <v>82.054137866651303</v>
      </c>
      <c r="AN1122">
        <v>1.00000000852425</v>
      </c>
    </row>
    <row r="1123" spans="1:40" x14ac:dyDescent="0.25">
      <c r="A1123" t="str">
        <f>"20190303171000048"</f>
        <v>20190303171000048</v>
      </c>
      <c r="B1123" t="str">
        <f>"1551604200041296"</f>
        <v>1551604200041296</v>
      </c>
      <c r="C1123" t="s">
        <v>40</v>
      </c>
      <c r="D1123">
        <v>4.829053</v>
      </c>
      <c r="E1123">
        <v>0.46146680000000001</v>
      </c>
      <c r="F1123" t="s">
        <v>52</v>
      </c>
      <c r="G1123">
        <v>-194.95590000000001</v>
      </c>
      <c r="H1123" s="1">
        <v>8.7169869999999905E-7</v>
      </c>
      <c r="I1123">
        <v>295.89640000000003</v>
      </c>
      <c r="J1123">
        <v>-191.24260000000001</v>
      </c>
      <c r="K1123">
        <v>1.116619</v>
      </c>
      <c r="L1123">
        <v>340.86540000000002</v>
      </c>
      <c r="M1123">
        <v>-6.557346E-2</v>
      </c>
      <c r="N1123">
        <v>-1.4358269999999999E-2</v>
      </c>
      <c r="O1123">
        <v>-0.99774459999999998</v>
      </c>
      <c r="P1123">
        <v>-0.19579340000000001</v>
      </c>
      <c r="Q1123">
        <v>0.1863667</v>
      </c>
      <c r="R1123">
        <v>-0.9627734</v>
      </c>
      <c r="S1123">
        <v>-0.25396729999999901</v>
      </c>
      <c r="T1123">
        <v>-7.5776699999999905E-2</v>
      </c>
      <c r="U1123">
        <v>-3.0773619999999999</v>
      </c>
      <c r="V1123">
        <v>0.13438159999999999</v>
      </c>
      <c r="W1123">
        <v>0.19889100000000001</v>
      </c>
      <c r="X1123">
        <v>0.97076459999999998</v>
      </c>
      <c r="Y1123">
        <v>1.6703969999999999E-2</v>
      </c>
      <c r="Z1123">
        <v>1.0176019999999999E-2</v>
      </c>
      <c r="AA1123">
        <v>0.99980869999999999</v>
      </c>
      <c r="AB1123">
        <v>31</v>
      </c>
      <c r="AC1123">
        <v>-3.7132999999999998</v>
      </c>
      <c r="AD1123">
        <v>-1.1166181283012999</v>
      </c>
      <c r="AE1123">
        <v>-44.969000000000001</v>
      </c>
      <c r="AF1123">
        <v>0.755767105524071</v>
      </c>
      <c r="AG1123">
        <v>-1.1166181283012999</v>
      </c>
      <c r="AH1123">
        <v>45.088102540282101</v>
      </c>
      <c r="AI1123">
        <v>91.418455145836305</v>
      </c>
      <c r="AJ1123">
        <v>89.039697653851903</v>
      </c>
      <c r="AK1123">
        <v>45.108258785340396</v>
      </c>
      <c r="AL1123">
        <v>78.527884498759704</v>
      </c>
      <c r="AM1123">
        <v>82.118711528492796</v>
      </c>
      <c r="AN1123">
        <v>0.99999997645635896</v>
      </c>
    </row>
    <row r="1124" spans="1:40" x14ac:dyDescent="0.25">
      <c r="A1124" t="str">
        <f>"20190303171000068"</f>
        <v>20190303171000068</v>
      </c>
      <c r="B1124" t="str">
        <f>"1551604200061791"</f>
        <v>1551604200061791</v>
      </c>
      <c r="C1124" t="s">
        <v>40</v>
      </c>
      <c r="D1124">
        <v>4.8496629999999996</v>
      </c>
      <c r="E1124">
        <v>0.46068619999999999</v>
      </c>
      <c r="F1124" t="s">
        <v>52</v>
      </c>
      <c r="G1124">
        <v>-195.3622</v>
      </c>
      <c r="H1124" s="1">
        <v>1.9784629999999998E-6</v>
      </c>
      <c r="I1124">
        <v>291.30759999999998</v>
      </c>
      <c r="J1124">
        <v>-191.26509999999999</v>
      </c>
      <c r="K1124">
        <v>1.1172249999999999</v>
      </c>
      <c r="L1124">
        <v>340.57900000000001</v>
      </c>
      <c r="M1124">
        <v>-6.8617010000000006E-2</v>
      </c>
      <c r="N1124">
        <v>-1.4285910000000001E-2</v>
      </c>
      <c r="O1124">
        <v>-0.99754080000000001</v>
      </c>
      <c r="P1124">
        <v>-0.19870299999999999</v>
      </c>
      <c r="Q1124">
        <v>0.18655649999999999</v>
      </c>
      <c r="R1124">
        <v>-0.96214010000000005</v>
      </c>
      <c r="S1124">
        <v>-0.25581359999999997</v>
      </c>
      <c r="T1124">
        <v>-6.9337839999999998E-2</v>
      </c>
      <c r="U1124">
        <v>-3.0773619999999999</v>
      </c>
      <c r="V1124">
        <v>0.1340739</v>
      </c>
      <c r="W1124">
        <v>0.1992022</v>
      </c>
      <c r="X1124">
        <v>0.97074340000000003</v>
      </c>
      <c r="Y1124">
        <v>1.42519E-2</v>
      </c>
      <c r="Z1124">
        <v>8.1625969999999902E-3</v>
      </c>
      <c r="AA1124">
        <v>0.99986509999999995</v>
      </c>
      <c r="AB1124">
        <v>31</v>
      </c>
      <c r="AC1124">
        <v>-4.09710000000001</v>
      </c>
      <c r="AD1124">
        <v>-1.11722302153699</v>
      </c>
      <c r="AE1124">
        <v>-49.2714</v>
      </c>
      <c r="AF1124">
        <v>0.70587988994749395</v>
      </c>
      <c r="AG1124">
        <v>-1.11722302153699</v>
      </c>
      <c r="AH1124">
        <v>49.411176429390402</v>
      </c>
      <c r="AI1124">
        <v>91.295146879941996</v>
      </c>
      <c r="AJ1124">
        <v>89.181537650755004</v>
      </c>
      <c r="AK1124">
        <v>49.428845928619801</v>
      </c>
      <c r="AL1124">
        <v>78.509690695367794</v>
      </c>
      <c r="AM1124">
        <v>82.136362101175905</v>
      </c>
      <c r="AN1124">
        <v>1.0000000378948</v>
      </c>
    </row>
    <row r="1125" spans="1:40" x14ac:dyDescent="0.25">
      <c r="A1125" t="str">
        <f>"20190303171000090"</f>
        <v>20190303171000090</v>
      </c>
      <c r="B1125" t="str">
        <f>"1551604200081312"</f>
        <v>1551604200081312</v>
      </c>
      <c r="C1125" t="s">
        <v>40</v>
      </c>
      <c r="D1125">
        <v>4.8292339999999996</v>
      </c>
      <c r="E1125">
        <v>0.45993089999999998</v>
      </c>
      <c r="F1125" t="s">
        <v>52</v>
      </c>
      <c r="G1125">
        <v>-195.5522</v>
      </c>
      <c r="H1125" s="1">
        <v>2.5671040000000001E-6</v>
      </c>
      <c r="I1125">
        <v>289.33629999999999</v>
      </c>
      <c r="J1125">
        <v>-191.28829999999999</v>
      </c>
      <c r="K1125">
        <v>1.117872</v>
      </c>
      <c r="L1125">
        <v>340.28680000000003</v>
      </c>
      <c r="M1125">
        <v>-7.1079900000000001E-2</v>
      </c>
      <c r="N1125">
        <v>-1.4217520000000001E-2</v>
      </c>
      <c r="O1125">
        <v>-0.99736930000000001</v>
      </c>
      <c r="P1125">
        <v>-0.19927259999999999</v>
      </c>
      <c r="Q1125">
        <v>0.18411849999999999</v>
      </c>
      <c r="R1125">
        <v>-0.96249200000000001</v>
      </c>
      <c r="S1125">
        <v>-0.25750729999999999</v>
      </c>
      <c r="T1125">
        <v>-6.7106369999999999E-2</v>
      </c>
      <c r="U1125">
        <v>-3.0779109999999998</v>
      </c>
      <c r="V1125">
        <v>0.13188839999999999</v>
      </c>
      <c r="W1125">
        <v>0.19692789999999999</v>
      </c>
      <c r="X1125">
        <v>0.97150650000000005</v>
      </c>
      <c r="Y1125">
        <v>1.231572E-2</v>
      </c>
      <c r="Z1125">
        <v>7.5019269999999898E-3</v>
      </c>
      <c r="AA1125">
        <v>0.99989600000000001</v>
      </c>
      <c r="AB1125">
        <v>31</v>
      </c>
      <c r="AC1125">
        <v>-4.2638999999999996</v>
      </c>
      <c r="AD1125">
        <v>-1.1178694328959999</v>
      </c>
      <c r="AE1125">
        <v>-50.950499999999998</v>
      </c>
      <c r="AF1125">
        <v>0.63088872379716898</v>
      </c>
      <c r="AG1125">
        <v>-1.1178694328959999</v>
      </c>
      <c r="AH1125">
        <v>51.100281796481703</v>
      </c>
      <c r="AI1125">
        <v>91.253106746891106</v>
      </c>
      <c r="AJ1125">
        <v>89.292657035939399</v>
      </c>
      <c r="AK1125">
        <v>51.116401011130002</v>
      </c>
      <c r="AL1125">
        <v>78.642631957022502</v>
      </c>
      <c r="AM1125">
        <v>82.268983552630104</v>
      </c>
      <c r="AN1125">
        <v>1.0000000136976099</v>
      </c>
    </row>
    <row r="1126" spans="1:40" x14ac:dyDescent="0.25">
      <c r="A1126" t="str">
        <f>"20190303171000113"</f>
        <v>20190303171000113</v>
      </c>
      <c r="B1126" t="str">
        <f>"1551604200101809"</f>
        <v>1551604200101809</v>
      </c>
      <c r="C1126" t="s">
        <v>40</v>
      </c>
      <c r="D1126">
        <v>4.8503920000000003</v>
      </c>
      <c r="E1126">
        <v>0.45933829999999998</v>
      </c>
      <c r="F1126" t="s">
        <v>52</v>
      </c>
      <c r="G1126">
        <v>-195.2585</v>
      </c>
      <c r="H1126" s="1">
        <v>1.7453649999999999E-6</v>
      </c>
      <c r="I1126">
        <v>292.07249999999999</v>
      </c>
      <c r="J1126">
        <v>-191.31450000000001</v>
      </c>
      <c r="K1126">
        <v>1.1186020000000001</v>
      </c>
      <c r="L1126">
        <v>339.95729999999998</v>
      </c>
      <c r="M1126">
        <v>-7.3105470000000006E-2</v>
      </c>
      <c r="N1126">
        <v>-1.414843E-2</v>
      </c>
      <c r="O1126">
        <v>-0.997224</v>
      </c>
      <c r="P1126">
        <v>-0.19830790000000001</v>
      </c>
      <c r="Q1126">
        <v>0.18117559999999999</v>
      </c>
      <c r="R1126">
        <v>-0.96324949999999998</v>
      </c>
      <c r="S1126">
        <v>-0.25346370000000001</v>
      </c>
      <c r="T1126">
        <v>-7.1365590000000007E-2</v>
      </c>
      <c r="U1126">
        <v>-3.078033</v>
      </c>
      <c r="V1126">
        <v>0.12852379999999999</v>
      </c>
      <c r="W1126">
        <v>0.19418379999999999</v>
      </c>
      <c r="X1126">
        <v>0.97250930000000002</v>
      </c>
      <c r="Y1126">
        <v>8.9767739999999999E-3</v>
      </c>
      <c r="Z1126">
        <v>8.9423750000000007E-3</v>
      </c>
      <c r="AA1126">
        <v>0.99991969999999997</v>
      </c>
      <c r="AB1126">
        <v>31</v>
      </c>
      <c r="AC1126">
        <v>-3.94399999999998</v>
      </c>
      <c r="AD1126">
        <v>-1.118600254635</v>
      </c>
      <c r="AE1126">
        <v>-47.884799999999899</v>
      </c>
      <c r="AF1126">
        <v>0.43221959539375798</v>
      </c>
      <c r="AG1126">
        <v>-1.118600254635</v>
      </c>
      <c r="AH1126">
        <v>48.018974305795403</v>
      </c>
      <c r="AI1126">
        <v>91.334407709083294</v>
      </c>
      <c r="AJ1126">
        <v>89.484293651818803</v>
      </c>
      <c r="AK1126">
        <v>48.033946055773399</v>
      </c>
      <c r="AL1126">
        <v>78.802952894227005</v>
      </c>
      <c r="AM1126">
        <v>82.471594929663596</v>
      </c>
      <c r="AN1126">
        <v>1.0000000269676801</v>
      </c>
    </row>
    <row r="1127" spans="1:40" x14ac:dyDescent="0.25">
      <c r="A1127" t="str">
        <f>"20190303171000136"</f>
        <v>20190303171000136</v>
      </c>
      <c r="B1127" t="str">
        <f>"1551604200121833"</f>
        <v>1551604200121833</v>
      </c>
      <c r="C1127" t="s">
        <v>40</v>
      </c>
      <c r="D1127">
        <v>4.8528330000000004</v>
      </c>
      <c r="E1127">
        <v>0.45866249999999997</v>
      </c>
      <c r="F1127" t="s">
        <v>52</v>
      </c>
      <c r="G1127">
        <v>-194.77170000000001</v>
      </c>
      <c r="H1127" s="1">
        <v>5.6026339999999996E-7</v>
      </c>
      <c r="I1127">
        <v>296.8236</v>
      </c>
      <c r="J1127">
        <v>-191.33949999999999</v>
      </c>
      <c r="K1127">
        <v>1.1192820000000001</v>
      </c>
      <c r="L1127">
        <v>339.64069999999998</v>
      </c>
      <c r="M1127">
        <v>-7.4322109999999997E-2</v>
      </c>
      <c r="N1127">
        <v>-1.408998E-2</v>
      </c>
      <c r="O1127">
        <v>-0.99713479999999999</v>
      </c>
      <c r="P1127">
        <v>-0.19904459999999999</v>
      </c>
      <c r="Q1127">
        <v>0.1801159</v>
      </c>
      <c r="R1127">
        <v>-0.96329609999999999</v>
      </c>
      <c r="S1127">
        <v>-0.24676509999999999</v>
      </c>
      <c r="T1127">
        <v>-7.9841140000000005E-2</v>
      </c>
      <c r="U1127">
        <v>-3.0787049999999998</v>
      </c>
      <c r="V1127">
        <v>0.12773869999999901</v>
      </c>
      <c r="W1127">
        <v>0.19328509999999999</v>
      </c>
      <c r="X1127">
        <v>0.97279170000000004</v>
      </c>
      <c r="Y1127">
        <v>5.5760599999999999E-3</v>
      </c>
      <c r="Z1127">
        <v>1.1729750000000001E-2</v>
      </c>
      <c r="AA1127">
        <v>0.99991569999999996</v>
      </c>
      <c r="AB1127">
        <v>31</v>
      </c>
      <c r="AC1127">
        <v>-3.4322000000000199</v>
      </c>
      <c r="AD1127">
        <v>-1.1192814397366</v>
      </c>
      <c r="AE1127">
        <v>-42.817099999999897</v>
      </c>
      <c r="AF1127">
        <v>0.23996973187378601</v>
      </c>
      <c r="AG1127">
        <v>-1.1192814397366</v>
      </c>
      <c r="AH1127">
        <v>42.924625001028197</v>
      </c>
      <c r="AI1127">
        <v>91.493654804424295</v>
      </c>
      <c r="AJ1127">
        <v>89.679691794354099</v>
      </c>
      <c r="AK1127">
        <v>42.939885979034102</v>
      </c>
      <c r="AL1127">
        <v>78.855438691927503</v>
      </c>
      <c r="AM1127">
        <v>82.519207864012301</v>
      </c>
      <c r="AN1127">
        <v>0.99999999847429499</v>
      </c>
    </row>
    <row r="1128" spans="1:40" x14ac:dyDescent="0.25">
      <c r="A1128" t="str">
        <f>"20190303171000160"</f>
        <v>20190303171000160</v>
      </c>
      <c r="B1128" t="str">
        <f>"1551604200152089"</f>
        <v>1551604200152089</v>
      </c>
      <c r="C1128" t="s">
        <v>40</v>
      </c>
      <c r="D1128">
        <v>4.8995949999999997</v>
      </c>
      <c r="E1128">
        <v>0.4531154</v>
      </c>
      <c r="F1128" t="s">
        <v>52</v>
      </c>
      <c r="G1128">
        <v>-194.76050000000001</v>
      </c>
      <c r="H1128" s="1">
        <v>8.0895640000000003E-7</v>
      </c>
      <c r="I1128">
        <v>296.12290000000002</v>
      </c>
      <c r="J1128">
        <v>-191.36580000000001</v>
      </c>
      <c r="K1128">
        <v>1.1199619999999999</v>
      </c>
      <c r="L1128">
        <v>339.30200000000002</v>
      </c>
      <c r="M1128">
        <v>-7.4774229999999997E-2</v>
      </c>
      <c r="N1128">
        <v>-1.403479E-2</v>
      </c>
      <c r="O1128">
        <v>-0.99710200000000004</v>
      </c>
      <c r="P1128">
        <v>-0.2004679</v>
      </c>
      <c r="Q1128">
        <v>0.17990510000000001</v>
      </c>
      <c r="R1128">
        <v>-0.96304080000000003</v>
      </c>
      <c r="S1128">
        <v>-0.24205019999999999</v>
      </c>
      <c r="T1128">
        <v>-7.9193830000000007E-2</v>
      </c>
      <c r="U1128">
        <v>-3.0790709999999999</v>
      </c>
      <c r="V1128">
        <v>0.12841810000000001</v>
      </c>
      <c r="W1128">
        <v>0.19322520000000001</v>
      </c>
      <c r="X1128">
        <v>0.97271410000000003</v>
      </c>
      <c r="Y1128">
        <v>3.5923610000000001E-3</v>
      </c>
      <c r="Z1128">
        <v>1.157267E-2</v>
      </c>
      <c r="AA1128">
        <v>0.9999266</v>
      </c>
      <c r="AB1128">
        <v>31</v>
      </c>
      <c r="AC1128">
        <v>-3.3946999999999998</v>
      </c>
      <c r="AD1128">
        <v>-1.1199611910436</v>
      </c>
      <c r="AE1128">
        <v>-43.179099999999899</v>
      </c>
      <c r="AF1128">
        <v>0.15608917988052201</v>
      </c>
      <c r="AG1128">
        <v>-1.1199611910436</v>
      </c>
      <c r="AH1128">
        <v>43.283116670169797</v>
      </c>
      <c r="AI1128">
        <v>91.4822018879387</v>
      </c>
      <c r="AJ1128">
        <v>89.793378731609494</v>
      </c>
      <c r="AK1128">
        <v>43.297885232249598</v>
      </c>
      <c r="AL1128">
        <v>78.858936141392903</v>
      </c>
      <c r="AM1128">
        <v>82.479281125373802</v>
      </c>
      <c r="AN1128">
        <v>0.999999953330728</v>
      </c>
    </row>
    <row r="1129" spans="1:40" x14ac:dyDescent="0.25">
      <c r="A1129" t="str">
        <f>"20190303171000178"</f>
        <v>20190303171000178</v>
      </c>
      <c r="B1129" t="str">
        <f>"1551604200171608"</f>
        <v>1551604200171608</v>
      </c>
      <c r="C1129" t="s">
        <v>40</v>
      </c>
      <c r="D1129">
        <v>4.901878</v>
      </c>
      <c r="E1129">
        <v>0.45316509999999999</v>
      </c>
      <c r="F1129" t="s">
        <v>52</v>
      </c>
      <c r="G1129">
        <v>-195.6953</v>
      </c>
      <c r="H1129" s="1">
        <v>5.296935E-6</v>
      </c>
      <c r="I1129">
        <v>273.13440000000003</v>
      </c>
      <c r="J1129">
        <v>-191.38499999999999</v>
      </c>
      <c r="K1129">
        <v>1.1204350000000001</v>
      </c>
      <c r="L1129">
        <v>339.0498</v>
      </c>
      <c r="M1129">
        <v>-7.465716E-2</v>
      </c>
      <c r="N1129">
        <v>-1.399804E-2</v>
      </c>
      <c r="O1129">
        <v>-0.99711130000000003</v>
      </c>
      <c r="P1129">
        <v>-0.20016300000000001</v>
      </c>
      <c r="Q1129">
        <v>0.17884559999999999</v>
      </c>
      <c r="R1129">
        <v>-0.96330150000000003</v>
      </c>
      <c r="S1129">
        <v>-0.20172119999999999</v>
      </c>
      <c r="T1129">
        <v>-5.2181119999999998E-2</v>
      </c>
      <c r="U1129">
        <v>-3.0828859999999998</v>
      </c>
      <c r="V1129">
        <v>0.12798979999999999</v>
      </c>
      <c r="W1129">
        <v>0.19227820000000001</v>
      </c>
      <c r="X1129">
        <v>0.9729582</v>
      </c>
      <c r="Y1129">
        <v>-9.3926630000000007E-3</v>
      </c>
      <c r="Z1129">
        <v>2.8709429999999999E-3</v>
      </c>
      <c r="AA1129">
        <v>0.99995179999999995</v>
      </c>
      <c r="AB1129">
        <v>31</v>
      </c>
      <c r="AC1129">
        <v>-4.3103000000000096</v>
      </c>
      <c r="AD1129">
        <v>-1.1204297030649999</v>
      </c>
      <c r="AE1129">
        <v>-65.915399999999906</v>
      </c>
      <c r="AF1129">
        <v>-0.62308934910246305</v>
      </c>
      <c r="AG1129">
        <v>-1.1204297030649999</v>
      </c>
      <c r="AH1129">
        <v>66.034239304835495</v>
      </c>
      <c r="AI1129">
        <v>90.972024174369196</v>
      </c>
      <c r="AJ1129">
        <v>90.540618486162998</v>
      </c>
      <c r="AK1129">
        <v>66.046683214410905</v>
      </c>
      <c r="AL1129">
        <v>78.914232451060599</v>
      </c>
      <c r="AM1129">
        <v>82.505937748930506</v>
      </c>
      <c r="AN1129">
        <v>0.99999997702325905</v>
      </c>
    </row>
    <row r="1130" spans="1:40" x14ac:dyDescent="0.25">
      <c r="A1130" t="str">
        <f>"20190303171000200"</f>
        <v>20190303171000200</v>
      </c>
      <c r="B1130" t="str">
        <f>"1551604200192106"</f>
        <v>1551604200192106</v>
      </c>
      <c r="C1130" t="s">
        <v>40</v>
      </c>
      <c r="D1130">
        <v>4.9222809999999999</v>
      </c>
      <c r="E1130">
        <v>0.45266119999999999</v>
      </c>
      <c r="F1130" t="s">
        <v>52</v>
      </c>
      <c r="G1130">
        <v>-195.30760000000001</v>
      </c>
      <c r="H1130" s="1">
        <v>3.6293160000000002E-6</v>
      </c>
      <c r="I1130">
        <v>278.9778</v>
      </c>
      <c r="J1130">
        <v>-191.40819999999999</v>
      </c>
      <c r="K1130">
        <v>1.120932</v>
      </c>
      <c r="L1130">
        <v>338.7371</v>
      </c>
      <c r="M1130">
        <v>-7.4028419999999998E-2</v>
      </c>
      <c r="N1130">
        <v>-1.395735E-2</v>
      </c>
      <c r="O1130">
        <v>-0.99715849999999995</v>
      </c>
      <c r="P1130">
        <v>-0.19814129999999999</v>
      </c>
      <c r="Q1130">
        <v>0.17777299999999999</v>
      </c>
      <c r="R1130">
        <v>-0.96391769999999999</v>
      </c>
      <c r="S1130">
        <v>-0.20132449999999999</v>
      </c>
      <c r="T1130">
        <v>-5.7505489999999999E-2</v>
      </c>
      <c r="U1130">
        <v>-3.0831599999999999</v>
      </c>
      <c r="V1130">
        <v>0.12631310000000001</v>
      </c>
      <c r="W1130">
        <v>0.19132450000000001</v>
      </c>
      <c r="X1130">
        <v>0.97336520000000004</v>
      </c>
      <c r="Y1130">
        <v>-8.8964819999999903E-3</v>
      </c>
      <c r="Z1130">
        <v>4.6283749999999997E-3</v>
      </c>
      <c r="AA1130">
        <v>0.99994970000000005</v>
      </c>
      <c r="AB1130">
        <v>31</v>
      </c>
      <c r="AC1130">
        <v>-3.8994000000000102</v>
      </c>
      <c r="AD1130">
        <v>-1.1209283706839901</v>
      </c>
      <c r="AE1130">
        <v>-59.759300000000003</v>
      </c>
      <c r="AF1130">
        <v>-0.53543126728878498</v>
      </c>
      <c r="AG1130">
        <v>-1.1209283706839901</v>
      </c>
      <c r="AH1130">
        <v>59.863018044388298</v>
      </c>
      <c r="AI1130">
        <v>91.072688854801399</v>
      </c>
      <c r="AJ1130">
        <v>90.512455515896505</v>
      </c>
      <c r="AK1130">
        <v>59.875905808905699</v>
      </c>
      <c r="AL1130">
        <v>78.969908710832797</v>
      </c>
      <c r="AM1130">
        <v>82.606076334529803</v>
      </c>
      <c r="AN1130">
        <v>0.99999993805144805</v>
      </c>
    </row>
    <row r="1131" spans="1:40" x14ac:dyDescent="0.25">
      <c r="A1131" t="str">
        <f>"20190303171000227"</f>
        <v>20190303171000227</v>
      </c>
      <c r="B1131" t="str">
        <f>"1551604200221891"</f>
        <v>1551604200221891</v>
      </c>
      <c r="C1131" t="s">
        <v>40</v>
      </c>
      <c r="D1131">
        <v>4.9420500000000001</v>
      </c>
      <c r="E1131">
        <v>0.4523373</v>
      </c>
      <c r="F1131" t="s">
        <v>52</v>
      </c>
      <c r="G1131">
        <v>-195.05</v>
      </c>
      <c r="H1131" s="1">
        <v>3.433683E-6</v>
      </c>
      <c r="I1131">
        <v>280.4427</v>
      </c>
      <c r="J1131">
        <v>-191.43360000000001</v>
      </c>
      <c r="K1131">
        <v>1.121397</v>
      </c>
      <c r="L1131">
        <v>338.38510000000002</v>
      </c>
      <c r="M1131">
        <v>-7.2827760000000005E-2</v>
      </c>
      <c r="N1131">
        <v>-1.391501E-2</v>
      </c>
      <c r="O1131">
        <v>-0.99724749999999995</v>
      </c>
      <c r="P1131">
        <v>-0.19640940000000001</v>
      </c>
      <c r="Q1131">
        <v>0.17913999999999999</v>
      </c>
      <c r="R1131">
        <v>-0.96401859999999995</v>
      </c>
      <c r="S1131">
        <v>-0.19264220000000001</v>
      </c>
      <c r="T1131">
        <v>-5.9294699999999999E-2</v>
      </c>
      <c r="U1131">
        <v>-3.0836489999999999</v>
      </c>
      <c r="V1131">
        <v>0.1255385</v>
      </c>
      <c r="W1131">
        <v>0.19278870000000001</v>
      </c>
      <c r="X1131">
        <v>0.9731765</v>
      </c>
      <c r="Y1131">
        <v>-1.050652E-2</v>
      </c>
      <c r="Z1131">
        <v>5.2468230000000003E-3</v>
      </c>
      <c r="AA1131">
        <v>0.99993100000000001</v>
      </c>
      <c r="AB1131">
        <v>31</v>
      </c>
      <c r="AC1131">
        <v>-3.6163999999999898</v>
      </c>
      <c r="AD1131">
        <v>-1.121393566317</v>
      </c>
      <c r="AE1131">
        <v>-57.942399999999999</v>
      </c>
      <c r="AF1131">
        <v>-0.61319991688548803</v>
      </c>
      <c r="AG1131">
        <v>-1.121393566317</v>
      </c>
      <c r="AH1131">
        <v>58.030254285135399</v>
      </c>
      <c r="AI1131">
        <v>91.107000786009394</v>
      </c>
      <c r="AJ1131">
        <v>90.605416262329001</v>
      </c>
      <c r="AK1131">
        <v>58.044327458125601</v>
      </c>
      <c r="AL1131">
        <v>78.884424958967301</v>
      </c>
      <c r="AM1131">
        <v>82.649512090829305</v>
      </c>
      <c r="AN1131">
        <v>0.99999994899109301</v>
      </c>
    </row>
    <row r="1132" spans="1:40" x14ac:dyDescent="0.25">
      <c r="A1132" t="str">
        <f>"20190303171000246"</f>
        <v>20190303171000246</v>
      </c>
      <c r="B1132" t="str">
        <f>"1551604200241411"</f>
        <v>1551604200241411</v>
      </c>
      <c r="C1132" t="s">
        <v>40</v>
      </c>
      <c r="D1132">
        <v>4.9238460000000002</v>
      </c>
      <c r="E1132">
        <v>0.4521908</v>
      </c>
      <c r="F1132" t="s">
        <v>52</v>
      </c>
      <c r="G1132">
        <v>-195.245</v>
      </c>
      <c r="H1132" s="1">
        <v>4.8662850000000001E-6</v>
      </c>
      <c r="I1132">
        <v>275.00689999999997</v>
      </c>
      <c r="J1132">
        <v>-191.45230000000001</v>
      </c>
      <c r="K1132">
        <v>1.1216999999999999</v>
      </c>
      <c r="L1132">
        <v>338.11610000000002</v>
      </c>
      <c r="M1132">
        <v>-7.1639309999999998E-2</v>
      </c>
      <c r="N1132">
        <v>-1.388578E-2</v>
      </c>
      <c r="O1132">
        <v>-0.9973341</v>
      </c>
      <c r="P1132">
        <v>-0.19581970000000001</v>
      </c>
      <c r="Q1132">
        <v>0.18099970000000001</v>
      </c>
      <c r="R1132">
        <v>-0.96379159999999997</v>
      </c>
      <c r="S1132">
        <v>-0.18548580000000001</v>
      </c>
      <c r="T1132">
        <v>-5.457294E-2</v>
      </c>
      <c r="U1132">
        <v>-3.08432</v>
      </c>
      <c r="V1132">
        <v>0.12598879999999901</v>
      </c>
      <c r="W1132">
        <v>0.1947044</v>
      </c>
      <c r="X1132">
        <v>0.97273690000000002</v>
      </c>
      <c r="Y1132">
        <v>-1.163927E-2</v>
      </c>
      <c r="Z1132">
        <v>3.7508379999999998E-3</v>
      </c>
      <c r="AA1132">
        <v>0.99992530000000002</v>
      </c>
      <c r="AB1132">
        <v>31</v>
      </c>
      <c r="AC1132">
        <v>-3.7926999999999902</v>
      </c>
      <c r="AD1132">
        <v>-1.1216951337149901</v>
      </c>
      <c r="AE1132">
        <v>-63.109200000000001</v>
      </c>
      <c r="AF1132">
        <v>-0.73834918131599303</v>
      </c>
      <c r="AG1132">
        <v>-1.1216951337149901</v>
      </c>
      <c r="AH1132">
        <v>63.198855417778098</v>
      </c>
      <c r="AI1132">
        <v>91.016747300229994</v>
      </c>
      <c r="AJ1132">
        <v>90.669353377538698</v>
      </c>
      <c r="AK1132">
        <v>63.213121150626399</v>
      </c>
      <c r="AL1132">
        <v>78.772544343257195</v>
      </c>
      <c r="AM1132">
        <v>82.620139269114006</v>
      </c>
      <c r="AN1132">
        <v>1.0000000288632001</v>
      </c>
    </row>
    <row r="1133" spans="1:40" x14ac:dyDescent="0.25">
      <c r="A1133" t="str">
        <f>"20190303171000268"</f>
        <v>20190303171000268</v>
      </c>
      <c r="B1133" t="str">
        <f>"1551604200261907"</f>
        <v>1551604200261907</v>
      </c>
      <c r="C1133" t="s">
        <v>40</v>
      </c>
      <c r="D1133">
        <v>4.9825589999999904</v>
      </c>
      <c r="E1133">
        <v>0.45211760000000001</v>
      </c>
      <c r="F1133" t="s">
        <v>42</v>
      </c>
      <c r="G1133">
        <v>-195.81630000000001</v>
      </c>
      <c r="H1133" s="1">
        <v>-3.3817639999999998E-6</v>
      </c>
      <c r="I1133">
        <v>263.89249999999998</v>
      </c>
      <c r="J1133">
        <v>-191.47239999999999</v>
      </c>
      <c r="K1133">
        <v>1.1219840000000001</v>
      </c>
      <c r="L1133">
        <v>337.8186</v>
      </c>
      <c r="M1133">
        <v>-7.0121329999999996E-2</v>
      </c>
      <c r="N1133">
        <v>-1.385662E-2</v>
      </c>
      <c r="O1133">
        <v>-0.9974423</v>
      </c>
      <c r="P1133">
        <v>-0.19350110000000001</v>
      </c>
      <c r="Q1133">
        <v>0.18056459999999999</v>
      </c>
      <c r="R1133">
        <v>-0.96434140000000002</v>
      </c>
      <c r="S1133">
        <v>-0.181366</v>
      </c>
      <c r="T1133">
        <v>-4.6617270000000002E-2</v>
      </c>
      <c r="U1133">
        <v>-3.084686</v>
      </c>
      <c r="V1133">
        <v>0.1249937</v>
      </c>
      <c r="W1133">
        <v>0.1943251</v>
      </c>
      <c r="X1133">
        <v>0.9729411</v>
      </c>
      <c r="Y1133">
        <v>-1.1455180000000001E-2</v>
      </c>
      <c r="Z1133">
        <v>1.2135780000000001E-3</v>
      </c>
      <c r="AA1133">
        <v>0.99993370000000004</v>
      </c>
      <c r="AB1133">
        <v>31</v>
      </c>
      <c r="AC1133">
        <v>-4.3439000000000103</v>
      </c>
      <c r="AD1133">
        <v>-1.121987381764</v>
      </c>
      <c r="AE1133">
        <v>-73.926100000000005</v>
      </c>
      <c r="AF1133">
        <v>-0.85089316912263402</v>
      </c>
      <c r="AG1133">
        <v>-1.121987381764</v>
      </c>
      <c r="AH1133">
        <v>74.031728768974503</v>
      </c>
      <c r="AI1133">
        <v>90.868222001239801</v>
      </c>
      <c r="AJ1133">
        <v>90.658507393956199</v>
      </c>
      <c r="AK1133">
        <v>74.045119619007295</v>
      </c>
      <c r="AL1133">
        <v>78.794699786935098</v>
      </c>
      <c r="AM1133">
        <v>82.679312835852699</v>
      </c>
      <c r="AN1133">
        <v>1.00000002679945</v>
      </c>
    </row>
    <row r="1134" spans="1:40" x14ac:dyDescent="0.25">
      <c r="A1134" t="str">
        <f>"20190303171000291"</f>
        <v>20190303171000291</v>
      </c>
      <c r="B1134" t="str">
        <f>"1551604200281428"</f>
        <v>1551604200281428</v>
      </c>
      <c r="C1134" t="s">
        <v>40</v>
      </c>
      <c r="D1134">
        <v>4.9535589999999896</v>
      </c>
      <c r="E1134">
        <v>0.45199349999999999</v>
      </c>
      <c r="F1134" t="s">
        <v>42</v>
      </c>
      <c r="G1134">
        <v>-195.50790000000001</v>
      </c>
      <c r="H1134" s="1">
        <v>-4.072208E-6</v>
      </c>
      <c r="I1134">
        <v>266.0822</v>
      </c>
      <c r="J1134">
        <v>-191.49299999999999</v>
      </c>
      <c r="K1134">
        <v>1.1222209999999999</v>
      </c>
      <c r="L1134">
        <v>337.50389999999999</v>
      </c>
      <c r="M1134">
        <v>-6.8364620000000001E-2</v>
      </c>
      <c r="N1134">
        <v>-1.382913E-2</v>
      </c>
      <c r="O1134">
        <v>-0.99756460000000002</v>
      </c>
      <c r="P1134">
        <v>-0.18925030000000001</v>
      </c>
      <c r="Q1134">
        <v>0.17918149999999999</v>
      </c>
      <c r="R1134">
        <v>-0.96544220000000003</v>
      </c>
      <c r="S1134">
        <v>-0.1735535</v>
      </c>
      <c r="T1134">
        <v>-4.8252940000000001E-2</v>
      </c>
      <c r="U1134">
        <v>-3.0851440000000001</v>
      </c>
      <c r="V1134">
        <v>0.1222916</v>
      </c>
      <c r="W1134">
        <v>0.19298570000000001</v>
      </c>
      <c r="X1134">
        <v>0.9735509</v>
      </c>
      <c r="Y1134">
        <v>-1.222648E-2</v>
      </c>
      <c r="Z1134">
        <v>1.7683989999999999E-3</v>
      </c>
      <c r="AA1134">
        <v>0.99992369999999997</v>
      </c>
      <c r="AB1134">
        <v>31</v>
      </c>
      <c r="AC1134">
        <v>-4.0149000000000097</v>
      </c>
      <c r="AD1134">
        <v>-1.1222250722079901</v>
      </c>
      <c r="AE1134">
        <v>-71.421699999999902</v>
      </c>
      <c r="AF1134">
        <v>-0.87746320232116004</v>
      </c>
      <c r="AG1134">
        <v>-1.1222250722079901</v>
      </c>
      <c r="AH1134">
        <v>71.5114736426478</v>
      </c>
      <c r="AI1134">
        <v>90.898997614247605</v>
      </c>
      <c r="AJ1134">
        <v>90.702997892861106</v>
      </c>
      <c r="AK1134">
        <v>71.525661082769702</v>
      </c>
      <c r="AL1134">
        <v>78.872922642111504</v>
      </c>
      <c r="AM1134">
        <v>82.840349207086405</v>
      </c>
      <c r="AN1134">
        <v>1.0000000353629199</v>
      </c>
    </row>
    <row r="1135" spans="1:40" x14ac:dyDescent="0.25">
      <c r="A1135" t="str">
        <f>"20190303171000313"</f>
        <v>20190303171000313</v>
      </c>
      <c r="B1135" t="str">
        <f>"1551604200301923"</f>
        <v>1551604200301923</v>
      </c>
      <c r="C1135" t="s">
        <v>40</v>
      </c>
      <c r="D1135">
        <v>4.9855210000000003</v>
      </c>
      <c r="E1135">
        <v>0.45197579999999998</v>
      </c>
      <c r="F1135" t="s">
        <v>52</v>
      </c>
      <c r="G1135">
        <v>-194.92490000000001</v>
      </c>
      <c r="H1135" s="1">
        <v>6.0209630000000001E-6</v>
      </c>
      <c r="I1135">
        <v>271.31810000000002</v>
      </c>
      <c r="J1135">
        <v>-191.5119</v>
      </c>
      <c r="K1135">
        <v>1.1223860000000001</v>
      </c>
      <c r="L1135">
        <v>337.20249999999999</v>
      </c>
      <c r="M1135">
        <v>-6.6593929999999996E-2</v>
      </c>
      <c r="N1135">
        <v>-1.380547E-2</v>
      </c>
      <c r="O1135">
        <v>-0.99768480000000004</v>
      </c>
      <c r="P1135">
        <v>-0.18538569999999999</v>
      </c>
      <c r="Q1135">
        <v>0.18060899999999999</v>
      </c>
      <c r="R1135">
        <v>-0.9659259</v>
      </c>
      <c r="S1135">
        <v>-0.1600037</v>
      </c>
      <c r="T1135">
        <v>-5.2319049999999999E-2</v>
      </c>
      <c r="U1135">
        <v>-3.0856629999999998</v>
      </c>
      <c r="V1135">
        <v>0.1200577</v>
      </c>
      <c r="W1135">
        <v>0.19443079999999999</v>
      </c>
      <c r="X1135">
        <v>0.9735414</v>
      </c>
      <c r="Y1135">
        <v>-1.483865E-2</v>
      </c>
      <c r="Z1135">
        <v>3.1031190000000001E-3</v>
      </c>
      <c r="AA1135">
        <v>0.99988509999999997</v>
      </c>
      <c r="AB1135">
        <v>31</v>
      </c>
      <c r="AC1135">
        <v>-3.41300000000001</v>
      </c>
      <c r="AD1135">
        <v>-1.1223799790369999</v>
      </c>
      <c r="AE1135">
        <v>-65.8843999999999</v>
      </c>
      <c r="AF1135">
        <v>-0.98221209617803895</v>
      </c>
      <c r="AG1135">
        <v>-1.1223799790369999</v>
      </c>
      <c r="AH1135">
        <v>65.946338878943706</v>
      </c>
      <c r="AI1135">
        <v>90.974948710516401</v>
      </c>
      <c r="AJ1135">
        <v>90.853306610236103</v>
      </c>
      <c r="AK1135">
        <v>65.963202537139594</v>
      </c>
      <c r="AL1135">
        <v>78.788525816450203</v>
      </c>
      <c r="AM1135">
        <v>82.969745891932007</v>
      </c>
      <c r="AN1135">
        <v>1.00000002241594</v>
      </c>
    </row>
    <row r="1136" spans="1:40" x14ac:dyDescent="0.25">
      <c r="A1136" t="str">
        <f>"20190303171000338"</f>
        <v>20190303171000338</v>
      </c>
      <c r="B1136" t="str">
        <f>"1551604200331709"</f>
        <v>1551604200331709</v>
      </c>
      <c r="C1136" t="s">
        <v>40</v>
      </c>
      <c r="D1136">
        <v>5.0095660000000004</v>
      </c>
      <c r="E1136">
        <v>0.45203969999999999</v>
      </c>
      <c r="F1136" t="s">
        <v>42</v>
      </c>
      <c r="G1136">
        <v>-194.91579999999999</v>
      </c>
      <c r="H1136" s="1">
        <v>-4.3109319999999997E-6</v>
      </c>
      <c r="I1136">
        <v>267.09230000000002</v>
      </c>
      <c r="J1136">
        <v>-191.53270000000001</v>
      </c>
      <c r="K1136">
        <v>1.122519</v>
      </c>
      <c r="L1136">
        <v>336.86079999999998</v>
      </c>
      <c r="M1136">
        <v>-6.4533820000000006E-2</v>
      </c>
      <c r="N1136">
        <v>-1.3781659999999999E-2</v>
      </c>
      <c r="O1136">
        <v>-0.99782029999999999</v>
      </c>
      <c r="P1136">
        <v>-0.1820196</v>
      </c>
      <c r="Q1136">
        <v>0.18380769999999999</v>
      </c>
      <c r="R1136">
        <v>-0.9659624</v>
      </c>
      <c r="S1136">
        <v>-0.14984129999999901</v>
      </c>
      <c r="T1136">
        <v>-4.9407960000000001E-2</v>
      </c>
      <c r="U1136">
        <v>-3.0862729999999998</v>
      </c>
      <c r="V1136">
        <v>0.11864760000000001</v>
      </c>
      <c r="W1136">
        <v>0.19762859999999999</v>
      </c>
      <c r="X1136">
        <v>0.97307030000000005</v>
      </c>
      <c r="Y1136">
        <v>-1.6068180000000001E-2</v>
      </c>
      <c r="Z1136">
        <v>2.186608E-3</v>
      </c>
      <c r="AA1136">
        <v>0.99986850000000005</v>
      </c>
      <c r="AB1136">
        <v>31</v>
      </c>
      <c r="AC1136">
        <v>-3.3830999999999798</v>
      </c>
      <c r="AD1136">
        <v>-1.1225233109320001</v>
      </c>
      <c r="AE1136">
        <v>-69.768499999999904</v>
      </c>
      <c r="AF1136">
        <v>-1.12651810427735</v>
      </c>
      <c r="AG1136">
        <v>-1.1225233109320001</v>
      </c>
      <c r="AH1136">
        <v>69.823354069925102</v>
      </c>
      <c r="AI1136">
        <v>90.920923120024895</v>
      </c>
      <c r="AJ1136">
        <v>90.924320154955495</v>
      </c>
      <c r="AK1136">
        <v>69.841462435984099</v>
      </c>
      <c r="AL1136">
        <v>78.601680562284102</v>
      </c>
      <c r="AM1136">
        <v>83.048174462914901</v>
      </c>
      <c r="AN1136">
        <v>1.0000000626329</v>
      </c>
    </row>
    <row r="1137" spans="1:40" x14ac:dyDescent="0.25">
      <c r="A1137" t="str">
        <f>"20190303171000359"</f>
        <v>20190303171000359</v>
      </c>
      <c r="B1137" t="str">
        <f>"1551604200351228"</f>
        <v>1551604200351228</v>
      </c>
      <c r="C1137" t="s">
        <v>40</v>
      </c>
      <c r="D1137">
        <v>5.0100759999999998</v>
      </c>
      <c r="E1137">
        <v>0.45224930000000002</v>
      </c>
      <c r="F1137" t="s">
        <v>42</v>
      </c>
      <c r="G1137">
        <v>-195.45320000000001</v>
      </c>
      <c r="H1137" s="1">
        <v>-1.88978E-6</v>
      </c>
      <c r="I1137">
        <v>250.61199999999999</v>
      </c>
      <c r="J1137">
        <v>-191.54929999999999</v>
      </c>
      <c r="K1137">
        <v>1.1225940000000001</v>
      </c>
      <c r="L1137">
        <v>336.57619999999997</v>
      </c>
      <c r="M1137">
        <v>-6.2807189999999999E-2</v>
      </c>
      <c r="N1137">
        <v>-1.3764419999999999E-2</v>
      </c>
      <c r="O1137">
        <v>-0.99793089999999995</v>
      </c>
      <c r="P1137">
        <v>-0.17947939999999901</v>
      </c>
      <c r="Q1137">
        <v>0.1868187</v>
      </c>
      <c r="R1137">
        <v>-0.9658601</v>
      </c>
      <c r="S1137">
        <v>-0.14031979999999999</v>
      </c>
      <c r="T1137">
        <v>-4.0175910000000002E-2</v>
      </c>
      <c r="U1137">
        <v>-3.0869140000000002</v>
      </c>
      <c r="V1137">
        <v>0.1177728</v>
      </c>
      <c r="W1137">
        <v>0.20062720000000001</v>
      </c>
      <c r="X1137">
        <v>0.9725627</v>
      </c>
      <c r="Y1137">
        <v>-1.7425360000000001E-2</v>
      </c>
      <c r="Z1137">
        <v>-7.7723989999999997E-4</v>
      </c>
      <c r="AA1137">
        <v>0.99984790000000001</v>
      </c>
      <c r="AB1137">
        <v>31</v>
      </c>
      <c r="AC1137">
        <v>-3.9039000000000201</v>
      </c>
      <c r="AD1137">
        <v>-1.1225958897799999</v>
      </c>
      <c r="AE1137">
        <v>-85.964199999999906</v>
      </c>
      <c r="AF1137">
        <v>-1.5032337954086099</v>
      </c>
      <c r="AG1137">
        <v>-1.1225958897799999</v>
      </c>
      <c r="AH1137">
        <v>86.025023133985698</v>
      </c>
      <c r="AI1137">
        <v>90.747532953370296</v>
      </c>
      <c r="AJ1137">
        <v>91.001106235871703</v>
      </c>
      <c r="AK1137">
        <v>86.045479477879496</v>
      </c>
      <c r="AL1137">
        <v>78.426361109816099</v>
      </c>
      <c r="AM1137">
        <v>83.095367787911002</v>
      </c>
      <c r="AN1137">
        <v>0.99999995561548405</v>
      </c>
    </row>
    <row r="1138" spans="1:40" x14ac:dyDescent="0.25">
      <c r="A1138" t="str">
        <f>"20190303171000379"</f>
        <v>20190303171000379</v>
      </c>
      <c r="B1138" t="str">
        <f>"1551604200371725"</f>
        <v>1551604200371725</v>
      </c>
      <c r="C1138" t="s">
        <v>40</v>
      </c>
      <c r="D1138">
        <v>5.0210249999999998</v>
      </c>
      <c r="E1138">
        <v>0.45234069999999998</v>
      </c>
      <c r="F1138" t="s">
        <v>52</v>
      </c>
      <c r="G1138">
        <v>-196.37880000000001</v>
      </c>
      <c r="H1138" s="1">
        <v>8.7801909999999898E-7</v>
      </c>
      <c r="I1138">
        <v>225.5215</v>
      </c>
      <c r="J1138">
        <v>-191.5658</v>
      </c>
      <c r="K1138">
        <v>1.1226309999999999</v>
      </c>
      <c r="L1138">
        <v>336.28660000000002</v>
      </c>
      <c r="M1138">
        <v>-6.1064019999999997E-2</v>
      </c>
      <c r="N1138">
        <v>-1.374908E-2</v>
      </c>
      <c r="O1138">
        <v>-0.99803920000000002</v>
      </c>
      <c r="P1138">
        <v>-0.176676799999999</v>
      </c>
      <c r="Q1138">
        <v>0.1878263</v>
      </c>
      <c r="R1138">
        <v>-0.96618159999999997</v>
      </c>
      <c r="S1138">
        <v>-0.134246799999999</v>
      </c>
      <c r="T1138">
        <v>-3.1205529999999999E-2</v>
      </c>
      <c r="U1138">
        <v>-3.0870669999999998</v>
      </c>
      <c r="V1138">
        <v>0.1166437</v>
      </c>
      <c r="W1138">
        <v>0.2016221</v>
      </c>
      <c r="X1138">
        <v>0.9724931</v>
      </c>
      <c r="Y1138">
        <v>-1.7644819999999999E-2</v>
      </c>
      <c r="Z1138">
        <v>-3.65695E-3</v>
      </c>
      <c r="AA1138">
        <v>0.99983759999999999</v>
      </c>
      <c r="AB1138">
        <v>31</v>
      </c>
      <c r="AC1138">
        <v>-4.8130000000000104</v>
      </c>
      <c r="AD1138">
        <v>-1.1226301219808901</v>
      </c>
      <c r="AE1138">
        <v>-110.7651</v>
      </c>
      <c r="AF1138">
        <v>-1.9601838427073599</v>
      </c>
      <c r="AG1138">
        <v>-1.1226301219808901</v>
      </c>
      <c r="AH1138">
        <v>110.84092122105</v>
      </c>
      <c r="AI1138">
        <v>90.580198297427501</v>
      </c>
      <c r="AJ1138">
        <v>91.013150684587998</v>
      </c>
      <c r="AK1138">
        <v>110.86393658994299</v>
      </c>
      <c r="AL1138">
        <v>78.368169242643702</v>
      </c>
      <c r="AM1138">
        <v>83.160448424761697</v>
      </c>
      <c r="AN1138">
        <v>1.0000000267528499</v>
      </c>
    </row>
    <row r="1139" spans="1:40" x14ac:dyDescent="0.25">
      <c r="A1139" t="str">
        <f>"20190303171000401"</f>
        <v>20190303171000401</v>
      </c>
      <c r="B1139" t="str">
        <f>"1551604200391245"</f>
        <v>1551604200391245</v>
      </c>
      <c r="C1139" t="s">
        <v>40</v>
      </c>
      <c r="D1139">
        <v>5.0433690000000002</v>
      </c>
      <c r="E1139">
        <v>0.45246930000000002</v>
      </c>
      <c r="F1139" t="s">
        <v>52</v>
      </c>
      <c r="G1139">
        <v>-196.4648</v>
      </c>
      <c r="H1139" s="1">
        <v>2.6032069999999999E-6</v>
      </c>
      <c r="I1139">
        <v>217.07149999999999</v>
      </c>
      <c r="J1139">
        <v>-191.58199999999999</v>
      </c>
      <c r="K1139">
        <v>1.1226370000000001</v>
      </c>
      <c r="L1139">
        <v>335.99110000000002</v>
      </c>
      <c r="M1139">
        <v>-5.9325360000000001E-2</v>
      </c>
      <c r="N1139">
        <v>-1.373519E-2</v>
      </c>
      <c r="O1139">
        <v>-0.99814449999999999</v>
      </c>
      <c r="P1139">
        <v>-0.17385980000000001</v>
      </c>
      <c r="Q1139">
        <v>0.18777830000000001</v>
      </c>
      <c r="R1139">
        <v>-0.96670219999999996</v>
      </c>
      <c r="S1139">
        <v>-0.12687680000000001</v>
      </c>
      <c r="T1139">
        <v>-2.9073829999999998E-2</v>
      </c>
      <c r="U1139">
        <v>-3.0874329999999999</v>
      </c>
      <c r="V1139">
        <v>0.11549860000000001</v>
      </c>
      <c r="W1139">
        <v>0.20155899999999999</v>
      </c>
      <c r="X1139">
        <v>0.97264280000000003</v>
      </c>
      <c r="Y1139">
        <v>-1.829076E-2</v>
      </c>
      <c r="Z1139">
        <v>-4.3319259999999998E-3</v>
      </c>
      <c r="AA1139">
        <v>0.99982329999999997</v>
      </c>
      <c r="AB1139">
        <v>31</v>
      </c>
      <c r="AC1139">
        <v>-4.8827999999999996</v>
      </c>
      <c r="AD1139">
        <v>-1.1226343967929999</v>
      </c>
      <c r="AE1139">
        <v>-118.9196</v>
      </c>
      <c r="AF1139">
        <v>-2.1812191823731899</v>
      </c>
      <c r="AG1139">
        <v>-1.1226343967929999</v>
      </c>
      <c r="AH1139">
        <v>118.989222214642</v>
      </c>
      <c r="AI1139">
        <v>90.540464923574902</v>
      </c>
      <c r="AJ1139">
        <v>91.050184674348699</v>
      </c>
      <c r="AK1139">
        <v>119.01450763816899</v>
      </c>
      <c r="AL1139">
        <v>78.371859914034701</v>
      </c>
      <c r="AM1139">
        <v>83.227998759903201</v>
      </c>
      <c r="AN1139">
        <v>0.99999998673739898</v>
      </c>
    </row>
    <row r="1140" spans="1:40" x14ac:dyDescent="0.25">
      <c r="A1140" t="str">
        <f>"20190303171000436"</f>
        <v>20190303171000436</v>
      </c>
      <c r="B1140" t="str">
        <f>"1551604200431768"</f>
        <v>1551604200431768</v>
      </c>
      <c r="C1140" t="s">
        <v>40</v>
      </c>
      <c r="D1140">
        <v>5.0306540000000002</v>
      </c>
      <c r="E1140">
        <v>0.45285799999999998</v>
      </c>
      <c r="F1140" t="s">
        <v>52</v>
      </c>
      <c r="G1140">
        <v>-195.89019999999999</v>
      </c>
      <c r="H1140" s="1">
        <v>9.8090900000000004E-7</v>
      </c>
      <c r="I1140">
        <v>225.35300000000001</v>
      </c>
      <c r="J1140">
        <v>-191.60720000000001</v>
      </c>
      <c r="K1140">
        <v>1.1225940000000001</v>
      </c>
      <c r="L1140">
        <v>335.51530000000002</v>
      </c>
      <c r="M1140">
        <v>-5.6644380000000001E-2</v>
      </c>
      <c r="N1140">
        <v>-1.3715740000000001E-2</v>
      </c>
      <c r="O1140">
        <v>-0.99830039999999998</v>
      </c>
      <c r="P1140">
        <v>-0.17180210000000001</v>
      </c>
      <c r="Q1140">
        <v>0.18681929999999999</v>
      </c>
      <c r="R1140">
        <v>-0.96725550000000005</v>
      </c>
      <c r="S1140">
        <v>-0.12023929999999999</v>
      </c>
      <c r="T1140">
        <v>-3.1331659999999997E-2</v>
      </c>
      <c r="U1140">
        <v>-3.087799</v>
      </c>
      <c r="V1140">
        <v>0.1160524</v>
      </c>
      <c r="W1140">
        <v>0.2005748</v>
      </c>
      <c r="X1140">
        <v>0.97278030000000004</v>
      </c>
      <c r="Y1140">
        <v>-1.7756000000000001E-2</v>
      </c>
      <c r="Z1140">
        <v>-3.5835289999999998E-3</v>
      </c>
      <c r="AA1140">
        <v>0.9998359</v>
      </c>
      <c r="AB1140">
        <v>31</v>
      </c>
      <c r="AC1140">
        <v>-4.2829999999999799</v>
      </c>
      <c r="AD1140">
        <v>-1.1225930190910001</v>
      </c>
      <c r="AE1140">
        <v>-110.1623</v>
      </c>
      <c r="AF1140">
        <v>-1.9643353001475401</v>
      </c>
      <c r="AG1140">
        <v>-1.1225930190910001</v>
      </c>
      <c r="AH1140">
        <v>110.216594843488</v>
      </c>
      <c r="AI1140">
        <v>90.583463917548798</v>
      </c>
      <c r="AJ1140">
        <v>91.0210459507053</v>
      </c>
      <c r="AK1140">
        <v>110.23981407436899</v>
      </c>
      <c r="AL1140">
        <v>78.429425765915298</v>
      </c>
      <c r="AM1140">
        <v>83.196784386947201</v>
      </c>
      <c r="AN1140">
        <v>0.99999996100444399</v>
      </c>
    </row>
    <row r="1141" spans="1:40" x14ac:dyDescent="0.25">
      <c r="A1141" t="str">
        <f>"20190303171000456"</f>
        <v>20190303171000456</v>
      </c>
      <c r="B1141" t="str">
        <f>"1551604200441528"</f>
        <v>1551604200441528</v>
      </c>
      <c r="C1141" t="s">
        <v>40</v>
      </c>
      <c r="D1141">
        <v>5.0424319999999998</v>
      </c>
      <c r="E1141">
        <v>0.45294830000000003</v>
      </c>
      <c r="F1141" t="s">
        <v>42</v>
      </c>
      <c r="G1141">
        <v>-195.22790000000001</v>
      </c>
      <c r="H1141" s="1">
        <v>-5.553513E-6</v>
      </c>
      <c r="I1141">
        <v>239.3329</v>
      </c>
      <c r="J1141">
        <v>-191.62100000000001</v>
      </c>
      <c r="K1141">
        <v>1.1225620000000001</v>
      </c>
      <c r="L1141">
        <v>335.245</v>
      </c>
      <c r="M1141">
        <v>-5.5201399999999998E-2</v>
      </c>
      <c r="N1141">
        <v>-1.370617E-2</v>
      </c>
      <c r="O1141">
        <v>-0.99838110000000002</v>
      </c>
      <c r="P1141">
        <v>-0.16976529999999901</v>
      </c>
      <c r="Q1141">
        <v>0.1875491</v>
      </c>
      <c r="R1141">
        <v>-0.96747329999999998</v>
      </c>
      <c r="S1141">
        <v>-0.1162415</v>
      </c>
      <c r="T1141">
        <v>-3.6040540000000003E-2</v>
      </c>
      <c r="U1141">
        <v>-3.0878909999999999</v>
      </c>
      <c r="V1141">
        <v>0.11543200000000001</v>
      </c>
      <c r="W1141">
        <v>0.20128209999999999</v>
      </c>
      <c r="X1141">
        <v>0.97270800000000002</v>
      </c>
      <c r="Y1141">
        <v>-1.760426E-2</v>
      </c>
      <c r="Z1141">
        <v>-2.0530240000000001E-3</v>
      </c>
      <c r="AA1141">
        <v>0.99984289999999998</v>
      </c>
      <c r="AB1141">
        <v>31</v>
      </c>
      <c r="AC1141">
        <v>-3.60690000000002</v>
      </c>
      <c r="AD1141">
        <v>-1.122567553513</v>
      </c>
      <c r="AE1141">
        <v>-95.912099999999995</v>
      </c>
      <c r="AF1141">
        <v>-1.6933489597978399</v>
      </c>
      <c r="AG1141">
        <v>-1.122567553513</v>
      </c>
      <c r="AH1141">
        <v>95.951828667017196</v>
      </c>
      <c r="AI1141">
        <v>90.670184585892898</v>
      </c>
      <c r="AJ1141">
        <v>91.011045640700203</v>
      </c>
      <c r="AK1141">
        <v>95.973334906923299</v>
      </c>
      <c r="AL1141">
        <v>78.3880565502228</v>
      </c>
      <c r="AM1141">
        <v>83.232316922148101</v>
      </c>
      <c r="AN1141">
        <v>0.99999994183420304</v>
      </c>
    </row>
    <row r="1142" spans="1:40" x14ac:dyDescent="0.25">
      <c r="A1142" t="str">
        <f>"20190303171000480"</f>
        <v>20190303171000480</v>
      </c>
      <c r="B1142" t="str">
        <f>"1551604200471784"</f>
        <v>1551604200471784</v>
      </c>
      <c r="C1142" t="s">
        <v>40</v>
      </c>
      <c r="D1142">
        <v>5.0459399999999999</v>
      </c>
      <c r="E1142">
        <v>0.45328069999999998</v>
      </c>
      <c r="F1142" t="s">
        <v>42</v>
      </c>
      <c r="G1142">
        <v>-195.2621</v>
      </c>
      <c r="H1142" s="1">
        <v>-3.1699560000000002E-6</v>
      </c>
      <c r="I1142">
        <v>233.3357</v>
      </c>
      <c r="J1142">
        <v>-191.63679999999999</v>
      </c>
      <c r="K1142">
        <v>1.122512</v>
      </c>
      <c r="L1142">
        <v>334.92529999999999</v>
      </c>
      <c r="M1142">
        <v>-5.3573799999999998E-2</v>
      </c>
      <c r="N1142">
        <v>-1.369627E-2</v>
      </c>
      <c r="O1142">
        <v>-0.99847010000000003</v>
      </c>
      <c r="P1142">
        <v>-0.167495</v>
      </c>
      <c r="Q1142">
        <v>0.18779760000000001</v>
      </c>
      <c r="R1142">
        <v>-0.96782140000000005</v>
      </c>
      <c r="S1142">
        <v>-0.1103363</v>
      </c>
      <c r="T1142">
        <v>-3.4016850000000001E-2</v>
      </c>
      <c r="U1142">
        <v>-3.0881349999999999</v>
      </c>
      <c r="V1142">
        <v>0.1147611</v>
      </c>
      <c r="W1142">
        <v>0.2015044</v>
      </c>
      <c r="X1142">
        <v>0.97274139999999998</v>
      </c>
      <c r="Y1142">
        <v>-1.7886719999999998E-2</v>
      </c>
      <c r="Z1142">
        <v>-2.6968000000000001E-3</v>
      </c>
      <c r="AA1142">
        <v>0.99983639999999996</v>
      </c>
      <c r="AB1142">
        <v>31</v>
      </c>
      <c r="AC1142">
        <v>-3.6253000000000002</v>
      </c>
      <c r="AD1142">
        <v>-1.1225151699560001</v>
      </c>
      <c r="AE1142">
        <v>-101.5896</v>
      </c>
      <c r="AF1142">
        <v>-1.8227357359083201</v>
      </c>
      <c r="AG1142">
        <v>-1.1225151699560001</v>
      </c>
      <c r="AH1142">
        <v>101.62552653213</v>
      </c>
      <c r="AI1142">
        <v>90.632738912212702</v>
      </c>
      <c r="AJ1142">
        <v>91.027535815835904</v>
      </c>
      <c r="AK1142">
        <v>101.648069577353</v>
      </c>
      <c r="AL1142">
        <v>78.375053743226403</v>
      </c>
      <c r="AM1142">
        <v>83.271518453893094</v>
      </c>
      <c r="AN1142">
        <v>0.99999998228326403</v>
      </c>
    </row>
    <row r="1143" spans="1:40" x14ac:dyDescent="0.25">
      <c r="A1143" t="str">
        <f>"20190303171000502"</f>
        <v>20190303171000502</v>
      </c>
      <c r="B1143" t="str">
        <f>"1551604200491304"</f>
        <v>1551604200491304</v>
      </c>
      <c r="C1143" t="s">
        <v>40</v>
      </c>
      <c r="D1143">
        <v>5.0581769999999997</v>
      </c>
      <c r="E1143">
        <v>0.45342320000000003</v>
      </c>
      <c r="F1143" t="s">
        <v>42</v>
      </c>
      <c r="G1143">
        <v>-195.01150000000001</v>
      </c>
      <c r="H1143" s="1">
        <v>-4.7235249999999998E-6</v>
      </c>
      <c r="I1143">
        <v>237.2715</v>
      </c>
      <c r="J1143">
        <v>-191.6515</v>
      </c>
      <c r="K1143">
        <v>1.1224689999999999</v>
      </c>
      <c r="L1143">
        <v>334.62119999999999</v>
      </c>
      <c r="M1143">
        <v>-5.208848E-2</v>
      </c>
      <c r="N1143">
        <v>-1.368775E-2</v>
      </c>
      <c r="O1143">
        <v>-0.99854880000000001</v>
      </c>
      <c r="P1143">
        <v>-0.16531189999999901</v>
      </c>
      <c r="Q1143">
        <v>0.1878708</v>
      </c>
      <c r="R1143">
        <v>-0.9681826</v>
      </c>
      <c r="S1143">
        <v>-0.10672</v>
      </c>
      <c r="T1143">
        <v>-3.5497670000000002E-2</v>
      </c>
      <c r="U1143">
        <v>-3.0881349999999999</v>
      </c>
      <c r="V1143">
        <v>0.11403679999999999</v>
      </c>
      <c r="W1143">
        <v>0.20155439999999999</v>
      </c>
      <c r="X1143">
        <v>0.97281620000000002</v>
      </c>
      <c r="Y1143">
        <v>-1.7568770000000001E-2</v>
      </c>
      <c r="Z1143">
        <v>-2.20922E-3</v>
      </c>
      <c r="AA1143">
        <v>0.99984320000000004</v>
      </c>
      <c r="AB1143">
        <v>31</v>
      </c>
      <c r="AC1143">
        <v>-3.3600000000000101</v>
      </c>
      <c r="AD1143">
        <v>-1.122473723525</v>
      </c>
      <c r="AE1143">
        <v>-97.349699999999899</v>
      </c>
      <c r="AF1143">
        <v>-1.7156066280053699</v>
      </c>
      <c r="AG1143">
        <v>-1.122473723525</v>
      </c>
      <c r="AH1143">
        <v>97.379623080524794</v>
      </c>
      <c r="AI1143">
        <v>90.660304277203494</v>
      </c>
      <c r="AJ1143">
        <v>91.009316404548898</v>
      </c>
      <c r="AK1143">
        <v>97.401202480601498</v>
      </c>
      <c r="AL1143">
        <v>78.372128722469597</v>
      </c>
      <c r="AM1143">
        <v>83.314108156200604</v>
      </c>
      <c r="AN1143">
        <v>0.999999963448019</v>
      </c>
    </row>
    <row r="1144" spans="1:40" x14ac:dyDescent="0.25">
      <c r="A1144" t="str">
        <f>"20190303171000526"</f>
        <v>20190303171000526</v>
      </c>
      <c r="B1144" t="str">
        <f>"1551604200522066"</f>
        <v>1551604200522066</v>
      </c>
      <c r="C1144" t="s">
        <v>40</v>
      </c>
      <c r="D1144">
        <v>5.0827</v>
      </c>
      <c r="E1144">
        <v>0.45963349999999997</v>
      </c>
      <c r="F1144" t="s">
        <v>42</v>
      </c>
      <c r="G1144">
        <v>-194.79730000000001</v>
      </c>
      <c r="H1144" s="1">
        <v>-5.4842330000000002E-6</v>
      </c>
      <c r="I1144">
        <v>239.35140000000001</v>
      </c>
      <c r="J1144">
        <v>-191.66739999999999</v>
      </c>
      <c r="K1144">
        <v>1.122433</v>
      </c>
      <c r="L1144">
        <v>334.28160000000003</v>
      </c>
      <c r="M1144">
        <v>-5.0483760000000003E-2</v>
      </c>
      <c r="N1144">
        <v>-1.3679419999999999E-2</v>
      </c>
      <c r="O1144">
        <v>-0.99863139999999995</v>
      </c>
      <c r="P1144">
        <v>-0.16399159999999999</v>
      </c>
      <c r="Q1144">
        <v>0.18901380000000001</v>
      </c>
      <c r="R1144">
        <v>-0.9681845</v>
      </c>
      <c r="S1144">
        <v>-0.1019745</v>
      </c>
      <c r="T1144">
        <v>-3.638566E-2</v>
      </c>
      <c r="U1144">
        <v>-3.0882260000000001</v>
      </c>
      <c r="V1144">
        <v>0.1143039</v>
      </c>
      <c r="W1144">
        <v>0.2026742</v>
      </c>
      <c r="X1144">
        <v>0.97255219999999998</v>
      </c>
      <c r="Y1144">
        <v>-1.7497660000000002E-2</v>
      </c>
      <c r="Z1144">
        <v>-1.9135669999999999E-3</v>
      </c>
      <c r="AA1144">
        <v>0.99984510000000004</v>
      </c>
      <c r="AB1144">
        <v>31</v>
      </c>
      <c r="AC1144">
        <v>-3.1299000000000201</v>
      </c>
      <c r="AD1144">
        <v>-1.122438484233</v>
      </c>
      <c r="AE1144">
        <v>-94.930199999999999</v>
      </c>
      <c r="AF1144">
        <v>-1.6667398858371401</v>
      </c>
      <c r="AG1144">
        <v>-1.122438484233</v>
      </c>
      <c r="AH1144">
        <v>94.953893630692903</v>
      </c>
      <c r="AI1144">
        <v>90.677150629507295</v>
      </c>
      <c r="AJ1144">
        <v>91.005618107823096</v>
      </c>
      <c r="AK1144">
        <v>94.975153622549499</v>
      </c>
      <c r="AL1144">
        <v>78.306617266122302</v>
      </c>
      <c r="AM1144">
        <v>83.296787997253105</v>
      </c>
      <c r="AN1144">
        <v>0.99999999731284495</v>
      </c>
    </row>
    <row r="1145" spans="1:40" x14ac:dyDescent="0.25">
      <c r="A1145" t="str">
        <f>"20190303171000549"</f>
        <v>20190303171000549</v>
      </c>
      <c r="B1145" t="str">
        <f>"1551604200541587"</f>
        <v>1551604200541587</v>
      </c>
      <c r="C1145" t="s">
        <v>40</v>
      </c>
      <c r="D1145">
        <v>5.0597510000000003</v>
      </c>
      <c r="E1145">
        <v>0.45960669999999998</v>
      </c>
      <c r="F1145" t="s">
        <v>52</v>
      </c>
      <c r="G1145">
        <v>-194.1003</v>
      </c>
      <c r="H1145" s="1">
        <v>3.434175E-6</v>
      </c>
      <c r="I1145">
        <v>282.36399999999998</v>
      </c>
      <c r="J1145">
        <v>-191.68119999999999</v>
      </c>
      <c r="K1145">
        <v>1.1224149999999999</v>
      </c>
      <c r="L1145">
        <v>333.97669999999999</v>
      </c>
      <c r="M1145">
        <v>-4.9080430000000001E-2</v>
      </c>
      <c r="N1145">
        <v>-1.3672760000000001E-2</v>
      </c>
      <c r="O1145">
        <v>-0.99870119999999896</v>
      </c>
      <c r="P1145">
        <v>-0.1623473</v>
      </c>
      <c r="Q1145">
        <v>0.1900606</v>
      </c>
      <c r="R1145">
        <v>-0.96825649999999996</v>
      </c>
      <c r="S1145">
        <v>-0.14466860000000001</v>
      </c>
      <c r="T1145">
        <v>-6.6741350000000005E-2</v>
      </c>
      <c r="U1145">
        <v>-3.087097</v>
      </c>
      <c r="V1145">
        <v>0.1140399</v>
      </c>
      <c r="W1145">
        <v>0.2037033</v>
      </c>
      <c r="X1145">
        <v>0.97236820000000002</v>
      </c>
      <c r="Y1145">
        <v>-2.2775930000000001E-3</v>
      </c>
      <c r="Z1145">
        <v>7.9076089999999995E-3</v>
      </c>
      <c r="AA1145">
        <v>0.99996609999999997</v>
      </c>
      <c r="AB1145">
        <v>31</v>
      </c>
      <c r="AC1145">
        <v>-2.41910000000001</v>
      </c>
      <c r="AD1145">
        <v>-1.122411565825</v>
      </c>
      <c r="AE1145">
        <v>-51.612699999999897</v>
      </c>
      <c r="AF1145">
        <v>-0.117171107626433</v>
      </c>
      <c r="AG1145">
        <v>-1.122411565825</v>
      </c>
      <c r="AH1145">
        <v>51.644857284388401</v>
      </c>
      <c r="AI1145">
        <v>91.245025375493896</v>
      </c>
      <c r="AJ1145">
        <v>90.129991615468896</v>
      </c>
      <c r="AK1145">
        <v>51.657185567125097</v>
      </c>
      <c r="AL1145">
        <v>78.246398304633303</v>
      </c>
      <c r="AM1145">
        <v>83.310875480173607</v>
      </c>
      <c r="AN1145">
        <v>1.00000002479706</v>
      </c>
    </row>
    <row r="1146" spans="1:40" x14ac:dyDescent="0.25">
      <c r="A1146" t="str">
        <f>"20190303171000573"</f>
        <v>20190303171000573</v>
      </c>
      <c r="B1146" t="str">
        <f>"1551604200562083"</f>
        <v>1551604200562083</v>
      </c>
      <c r="C1146" t="s">
        <v>40</v>
      </c>
      <c r="D1146">
        <v>5.0700190000000003</v>
      </c>
      <c r="E1146">
        <v>0.459789</v>
      </c>
      <c r="F1146" t="s">
        <v>52</v>
      </c>
      <c r="G1146">
        <v>-194.2166</v>
      </c>
      <c r="H1146" s="1">
        <v>4.1916300000000002E-6</v>
      </c>
      <c r="I1146">
        <v>277.58519999999999</v>
      </c>
      <c r="J1146">
        <v>-191.69540000000001</v>
      </c>
      <c r="K1146">
        <v>1.122398</v>
      </c>
      <c r="L1146">
        <v>333.65440000000001</v>
      </c>
      <c r="M1146">
        <v>-4.7620259999999998E-2</v>
      </c>
      <c r="N1146">
        <v>-1.3666650000000001E-2</v>
      </c>
      <c r="O1146">
        <v>-0.99877229999999995</v>
      </c>
      <c r="P1146">
        <v>-0.15947439999999999</v>
      </c>
      <c r="Q1146">
        <v>0.18991520000000001</v>
      </c>
      <c r="R1146">
        <v>-0.96876260000000003</v>
      </c>
      <c r="S1146">
        <v>-0.1387939</v>
      </c>
      <c r="T1146">
        <v>-6.1445239999999998E-2</v>
      </c>
      <c r="U1146">
        <v>-3.087097</v>
      </c>
      <c r="V1146">
        <v>0.1125828</v>
      </c>
      <c r="W1146">
        <v>0.20354449999999999</v>
      </c>
      <c r="X1146">
        <v>0.97257119999999997</v>
      </c>
      <c r="Y1146">
        <v>-2.713834E-3</v>
      </c>
      <c r="Z1146">
        <v>6.2048579999999997E-3</v>
      </c>
      <c r="AA1146">
        <v>0.99997709999999995</v>
      </c>
      <c r="AB1146">
        <v>31</v>
      </c>
      <c r="AC1146">
        <v>-2.5211999999999901</v>
      </c>
      <c r="AD1146">
        <v>-1.12239380837</v>
      </c>
      <c r="AE1146">
        <v>-56.069200000000002</v>
      </c>
      <c r="AF1146">
        <v>-0.15187856763090199</v>
      </c>
      <c r="AG1146">
        <v>-1.12239380837</v>
      </c>
      <c r="AH1146">
        <v>56.103213329027902</v>
      </c>
      <c r="AI1146">
        <v>91.146095051839197</v>
      </c>
      <c r="AJ1146">
        <v>90.155106617782195</v>
      </c>
      <c r="AK1146">
        <v>56.1146449761806</v>
      </c>
      <c r="AL1146">
        <v>78.255691217326103</v>
      </c>
      <c r="AM1146">
        <v>83.396949598548403</v>
      </c>
      <c r="AN1146">
        <v>0.99999999470276402</v>
      </c>
    </row>
    <row r="1147" spans="1:40" x14ac:dyDescent="0.25">
      <c r="A1147" t="str">
        <f>"20190303171000593"</f>
        <v>20190303171000593</v>
      </c>
      <c r="B1147" t="str">
        <f>"1551604200581603"</f>
        <v>1551604200581603</v>
      </c>
      <c r="C1147" t="s">
        <v>40</v>
      </c>
      <c r="D1147">
        <v>5.0637610000000004</v>
      </c>
      <c r="E1147">
        <v>0.45982650000000003</v>
      </c>
      <c r="F1147" t="s">
        <v>52</v>
      </c>
      <c r="G1147">
        <v>-194.01920000000001</v>
      </c>
      <c r="H1147" s="1">
        <v>3.9324739999999997E-6</v>
      </c>
      <c r="I1147">
        <v>278.69600000000003</v>
      </c>
      <c r="J1147">
        <v>-191.7072</v>
      </c>
      <c r="K1147">
        <v>1.122382</v>
      </c>
      <c r="L1147">
        <v>333.37939999999998</v>
      </c>
      <c r="M1147">
        <v>-4.6382809999999997E-2</v>
      </c>
      <c r="N1147">
        <v>-1.366207E-2</v>
      </c>
      <c r="O1147">
        <v>-0.99883049999999995</v>
      </c>
      <c r="P1147">
        <v>-0.1570076</v>
      </c>
      <c r="Q1147">
        <v>0.18970329999999999</v>
      </c>
      <c r="R1147">
        <v>-0.96920689999999998</v>
      </c>
      <c r="S1147">
        <v>-0.13055419999999901</v>
      </c>
      <c r="T1147">
        <v>-6.3056589999999996E-2</v>
      </c>
      <c r="U1147">
        <v>-3.0875849999999998</v>
      </c>
      <c r="V1147">
        <v>0.11131340000000001</v>
      </c>
      <c r="W1147">
        <v>0.20332320000000001</v>
      </c>
      <c r="X1147">
        <v>0.97276359999999995</v>
      </c>
      <c r="Y1147">
        <v>-4.1453410000000003E-3</v>
      </c>
      <c r="Z1147">
        <v>6.7284880000000004E-3</v>
      </c>
      <c r="AA1147">
        <v>0.99996879999999999</v>
      </c>
      <c r="AB1147">
        <v>31</v>
      </c>
      <c r="AC1147">
        <v>-2.31200000000001</v>
      </c>
      <c r="AD1147">
        <v>-1.122378067526</v>
      </c>
      <c r="AE1147">
        <v>-54.683399999999999</v>
      </c>
      <c r="AF1147">
        <v>-0.226999328632213</v>
      </c>
      <c r="AG1147">
        <v>-1.122378067526</v>
      </c>
      <c r="AH1147">
        <v>54.708776025129701</v>
      </c>
      <c r="AI1147">
        <v>91.175276763083204</v>
      </c>
      <c r="AJ1147">
        <v>90.237732038449096</v>
      </c>
      <c r="AK1147">
        <v>54.720758724541398</v>
      </c>
      <c r="AL1147">
        <v>78.268641753573306</v>
      </c>
      <c r="AM1147">
        <v>83.472034442166702</v>
      </c>
      <c r="AN1147">
        <v>1.0000000090813701</v>
      </c>
    </row>
    <row r="1148" spans="1:40" x14ac:dyDescent="0.25">
      <c r="A1148" t="str">
        <f>"20190303171000616"</f>
        <v>20190303171000616</v>
      </c>
      <c r="B1148" t="str">
        <f>"1551604200611391"</f>
        <v>1551604200611391</v>
      </c>
      <c r="C1148" t="s">
        <v>40</v>
      </c>
      <c r="D1148">
        <v>5.0776409999999998</v>
      </c>
      <c r="E1148">
        <v>0.46206330000000001</v>
      </c>
      <c r="F1148" t="s">
        <v>52</v>
      </c>
      <c r="G1148">
        <v>-193.85040000000001</v>
      </c>
      <c r="H1148" s="1">
        <v>3.7125550000000001E-6</v>
      </c>
      <c r="I1148">
        <v>279.68689999999998</v>
      </c>
      <c r="J1148">
        <v>-191.7201</v>
      </c>
      <c r="K1148">
        <v>1.1223719999999999</v>
      </c>
      <c r="L1148">
        <v>333.0686</v>
      </c>
      <c r="M1148">
        <v>-4.4984820000000002E-2</v>
      </c>
      <c r="N1148">
        <v>-1.3657259999999999E-2</v>
      </c>
      <c r="O1148">
        <v>-0.99889430000000001</v>
      </c>
      <c r="P1148">
        <v>-0.15509770000000001</v>
      </c>
      <c r="Q1148">
        <v>0.1901658</v>
      </c>
      <c r="R1148">
        <v>-0.96942329999999999</v>
      </c>
      <c r="S1148">
        <v>-0.1232605</v>
      </c>
      <c r="T1148">
        <v>-6.4550640000000006E-2</v>
      </c>
      <c r="U1148">
        <v>-3.0879819999999998</v>
      </c>
      <c r="V1148">
        <v>0.110765</v>
      </c>
      <c r="W1148">
        <v>0.2037765</v>
      </c>
      <c r="X1148">
        <v>0.97273140000000002</v>
      </c>
      <c r="Y1148">
        <v>-5.1090060000000001E-3</v>
      </c>
      <c r="Z1148">
        <v>7.2151219999999896E-3</v>
      </c>
      <c r="AA1148">
        <v>0.99996090000000004</v>
      </c>
      <c r="AB1148">
        <v>30</v>
      </c>
      <c r="AC1148">
        <v>-2.1303000000000001</v>
      </c>
      <c r="AD1148">
        <v>-1.1223682874449901</v>
      </c>
      <c r="AE1148">
        <v>-53.381700000000002</v>
      </c>
      <c r="AF1148">
        <v>-0.27332650865434399</v>
      </c>
      <c r="AG1148">
        <v>-1.1223682874449901</v>
      </c>
      <c r="AH1148">
        <v>53.399921455356399</v>
      </c>
      <c r="AI1148">
        <v>91.204059017451002</v>
      </c>
      <c r="AJ1148">
        <v>90.293264824896696</v>
      </c>
      <c r="AK1148">
        <v>53.4124145624519</v>
      </c>
      <c r="AL1148">
        <v>78.242114841006597</v>
      </c>
      <c r="AM1148">
        <v>83.503706544565304</v>
      </c>
      <c r="AN1148">
        <v>1.0000000618616001</v>
      </c>
    </row>
    <row r="1149" spans="1:40" x14ac:dyDescent="0.25">
      <c r="A1149" t="str">
        <f>"20190303171000644"</f>
        <v>20190303171000644</v>
      </c>
      <c r="B1149" t="str">
        <f>"1551604200631886"</f>
        <v>1551604200631886</v>
      </c>
      <c r="C1149" t="s">
        <v>40</v>
      </c>
      <c r="D1149">
        <v>5.08847</v>
      </c>
      <c r="E1149">
        <v>0.46264119999999997</v>
      </c>
      <c r="F1149" t="s">
        <v>52</v>
      </c>
      <c r="G1149">
        <v>-193.64169999999999</v>
      </c>
      <c r="H1149" s="1">
        <v>2.9556749999999999E-6</v>
      </c>
      <c r="I1149">
        <v>288.7679</v>
      </c>
      <c r="J1149">
        <v>-191.7336</v>
      </c>
      <c r="K1149">
        <v>1.122369</v>
      </c>
      <c r="L1149">
        <v>332.7287</v>
      </c>
      <c r="M1149">
        <v>-4.3452440000000002E-2</v>
      </c>
      <c r="N1149">
        <v>-1.365252E-2</v>
      </c>
      <c r="O1149">
        <v>-0.99896229999999997</v>
      </c>
      <c r="P1149">
        <v>-0.1540502</v>
      </c>
      <c r="Q1149">
        <v>0.19091620000000001</v>
      </c>
      <c r="R1149">
        <v>-0.96944319999999895</v>
      </c>
      <c r="S1149">
        <v>-0.13397220000000001</v>
      </c>
      <c r="T1149">
        <v>-7.8248860000000003E-2</v>
      </c>
      <c r="U1149">
        <v>-3.0885310000000001</v>
      </c>
      <c r="V1149">
        <v>0.1112157</v>
      </c>
      <c r="W1149">
        <v>0.20451829999999999</v>
      </c>
      <c r="X1149">
        <v>0.97252419999999995</v>
      </c>
      <c r="Y1149">
        <v>-1.2295639999999999E-4</v>
      </c>
      <c r="Z1149">
        <v>1.1641779999999999E-2</v>
      </c>
      <c r="AA1149">
        <v>0.99993220000000005</v>
      </c>
      <c r="AB1149">
        <v>30</v>
      </c>
      <c r="AC1149">
        <v>-1.9080999999999899</v>
      </c>
      <c r="AD1149">
        <v>-1.1223660443250001</v>
      </c>
      <c r="AE1149">
        <v>-43.960799999999999</v>
      </c>
      <c r="AF1149">
        <v>-4.0817843707778804E-3</v>
      </c>
      <c r="AG1149">
        <v>-1.1223660443250001</v>
      </c>
      <c r="AH1149">
        <v>43.973580831135003</v>
      </c>
      <c r="AI1149">
        <v>91.462079662488193</v>
      </c>
      <c r="AJ1149">
        <v>90.005318398279897</v>
      </c>
      <c r="AK1149">
        <v>43.987902124456703</v>
      </c>
      <c r="AL1149">
        <v>78.198697670971498</v>
      </c>
      <c r="AM1149">
        <v>83.476122950277897</v>
      </c>
      <c r="AN1149">
        <v>0.99999999327350997</v>
      </c>
    </row>
    <row r="1150" spans="1:40" x14ac:dyDescent="0.25">
      <c r="A1150" t="str">
        <f>"20190303171000664"</f>
        <v>20190303171000664</v>
      </c>
      <c r="B1150" t="str">
        <f>"1551604200652382"</f>
        <v>1551604200652382</v>
      </c>
      <c r="C1150" t="s">
        <v>40</v>
      </c>
      <c r="D1150">
        <v>5.0812339999999896</v>
      </c>
      <c r="E1150">
        <v>0.46346209999999999</v>
      </c>
      <c r="F1150" t="s">
        <v>52</v>
      </c>
      <c r="G1150">
        <v>-193.64840000000001</v>
      </c>
      <c r="H1150" s="1">
        <v>2.953416E-6</v>
      </c>
      <c r="I1150">
        <v>288.78030000000001</v>
      </c>
      <c r="J1150">
        <v>-191.74539999999999</v>
      </c>
      <c r="K1150">
        <v>1.122357</v>
      </c>
      <c r="L1150">
        <v>332.42290000000003</v>
      </c>
      <c r="M1150">
        <v>-4.2068960000000002E-2</v>
      </c>
      <c r="N1150">
        <v>-1.36486E-2</v>
      </c>
      <c r="O1150">
        <v>-0.99902139999999995</v>
      </c>
      <c r="P1150">
        <v>-0.15288309999999999</v>
      </c>
      <c r="Q1150">
        <v>0.1912391</v>
      </c>
      <c r="R1150">
        <v>-0.96956399999999998</v>
      </c>
      <c r="S1150">
        <v>-0.134567299999999</v>
      </c>
      <c r="T1150">
        <v>-7.8879589999999999E-2</v>
      </c>
      <c r="U1150">
        <v>-3.0886840000000002</v>
      </c>
      <c r="V1150">
        <v>0.1113968</v>
      </c>
      <c r="W1150">
        <v>0.2048352</v>
      </c>
      <c r="X1150">
        <v>0.97243679999999999</v>
      </c>
      <c r="Y1150">
        <v>1.4515439999999999E-3</v>
      </c>
      <c r="Z1150">
        <v>1.184991E-2</v>
      </c>
      <c r="AA1150">
        <v>0.9999287</v>
      </c>
      <c r="AB1150">
        <v>30</v>
      </c>
      <c r="AC1150">
        <v>-1.90300000000002</v>
      </c>
      <c r="AD1150">
        <v>-1.1223540465840001</v>
      </c>
      <c r="AE1150">
        <v>-43.642600000000002</v>
      </c>
      <c r="AF1150">
        <v>6.5102029535978698E-2</v>
      </c>
      <c r="AG1150">
        <v>-1.1223540465840001</v>
      </c>
      <c r="AH1150">
        <v>43.655204049961903</v>
      </c>
      <c r="AI1150">
        <v>91.472720542859506</v>
      </c>
      <c r="AJ1150">
        <v>89.914556148660495</v>
      </c>
      <c r="AK1150">
        <v>43.669677781315798</v>
      </c>
      <c r="AL1150">
        <v>78.180148230960398</v>
      </c>
      <c r="AM1150">
        <v>83.4650092705091</v>
      </c>
      <c r="AN1150">
        <v>1.0000000181017501</v>
      </c>
    </row>
    <row r="1151" spans="1:40" x14ac:dyDescent="0.25">
      <c r="A1151" t="str">
        <f>"20190303171000682"</f>
        <v>20190303171000682</v>
      </c>
      <c r="B1151" t="str">
        <f>"1551604200671903"</f>
        <v>1551604200671903</v>
      </c>
      <c r="C1151" t="s">
        <v>40</v>
      </c>
      <c r="D1151">
        <v>5.1049889999999998</v>
      </c>
      <c r="E1151">
        <v>0.46379280000000001</v>
      </c>
      <c r="F1151" t="s">
        <v>52</v>
      </c>
      <c r="G1151">
        <v>-193.7182</v>
      </c>
      <c r="H1151" s="1">
        <v>2.9989409999999999E-6</v>
      </c>
      <c r="I1151">
        <v>288.11779999999999</v>
      </c>
      <c r="J1151">
        <v>-191.7551</v>
      </c>
      <c r="K1151">
        <v>1.122347</v>
      </c>
      <c r="L1151">
        <v>332.16199999999998</v>
      </c>
      <c r="M1151">
        <v>-4.0886159999999998E-2</v>
      </c>
      <c r="N1151">
        <v>-1.364552E-2</v>
      </c>
      <c r="O1151">
        <v>-0.99907089999999998</v>
      </c>
      <c r="P1151">
        <v>-0.15126529999999999</v>
      </c>
      <c r="Q1151">
        <v>0.19094149999999999</v>
      </c>
      <c r="R1151">
        <v>-0.96987650000000003</v>
      </c>
      <c r="S1151">
        <v>-0.13749690000000001</v>
      </c>
      <c r="T1151">
        <v>-7.8223589999999996E-2</v>
      </c>
      <c r="U1151">
        <v>-3.0878909999999999</v>
      </c>
      <c r="V1151">
        <v>0.1109243</v>
      </c>
      <c r="W1151">
        <v>0.2045342</v>
      </c>
      <c r="X1151">
        <v>0.97255409999999998</v>
      </c>
      <c r="Y1151">
        <v>3.593059E-3</v>
      </c>
      <c r="Z1151">
        <v>1.1648810000000001E-2</v>
      </c>
      <c r="AA1151">
        <v>0.99992570000000003</v>
      </c>
      <c r="AB1151">
        <v>30</v>
      </c>
      <c r="AC1151">
        <v>-1.9630999999999901</v>
      </c>
      <c r="AD1151">
        <v>-1.122344001059</v>
      </c>
      <c r="AE1151">
        <v>-44.044199999999897</v>
      </c>
      <c r="AF1151">
        <v>0.16038883368297999</v>
      </c>
      <c r="AG1151">
        <v>-1.122344001059</v>
      </c>
      <c r="AH1151">
        <v>44.059082212725201</v>
      </c>
      <c r="AI1151">
        <v>91.459205262584902</v>
      </c>
      <c r="AJ1151">
        <v>89.791426371210903</v>
      </c>
      <c r="AK1151">
        <v>44.073666809812401</v>
      </c>
      <c r="AL1151">
        <v>78.197766576632006</v>
      </c>
      <c r="AM1151">
        <v>83.493267925541502</v>
      </c>
      <c r="AN1151">
        <v>0.999999958363469</v>
      </c>
    </row>
    <row r="1152" spans="1:40" x14ac:dyDescent="0.25">
      <c r="A1152" t="str">
        <f>"20190303171000703"</f>
        <v>20190303171000703</v>
      </c>
      <c r="B1152" t="str">
        <f>"1551604200691422"</f>
        <v>1551604200691422</v>
      </c>
      <c r="C1152" t="s">
        <v>40</v>
      </c>
      <c r="D1152">
        <v>5.0212279999999998</v>
      </c>
      <c r="E1152">
        <v>0.46645439999999999</v>
      </c>
      <c r="F1152" t="s">
        <v>52</v>
      </c>
      <c r="G1152">
        <v>-193.6189</v>
      </c>
      <c r="H1152" s="1">
        <v>2.8615189999999999E-6</v>
      </c>
      <c r="I1152">
        <v>289.68430000000001</v>
      </c>
      <c r="J1152">
        <v>-191.76490000000001</v>
      </c>
      <c r="K1152">
        <v>1.122342</v>
      </c>
      <c r="L1152">
        <v>331.88830000000002</v>
      </c>
      <c r="M1152">
        <v>-3.9643690000000002E-2</v>
      </c>
      <c r="N1152">
        <v>-1.364249E-2</v>
      </c>
      <c r="O1152">
        <v>-0.99912080000000003</v>
      </c>
      <c r="P1152">
        <v>-0.1500784</v>
      </c>
      <c r="Q1152">
        <v>0.19124150000000001</v>
      </c>
      <c r="R1152">
        <v>-0.97000180000000003</v>
      </c>
      <c r="S1152">
        <v>-0.13549800000000001</v>
      </c>
      <c r="T1152">
        <v>-8.1592919999999999E-2</v>
      </c>
      <c r="U1152">
        <v>-3.0880740000000002</v>
      </c>
      <c r="V1152">
        <v>0.110946699999999</v>
      </c>
      <c r="W1152">
        <v>0.2048296</v>
      </c>
      <c r="X1152">
        <v>0.97248939999999995</v>
      </c>
      <c r="Y1152">
        <v>4.1872439999999997E-3</v>
      </c>
      <c r="Z1152">
        <v>1.274047E-2</v>
      </c>
      <c r="AA1152">
        <v>0.99991010000000002</v>
      </c>
      <c r="AB1152">
        <v>30</v>
      </c>
      <c r="AC1152">
        <v>-1.8539999999999801</v>
      </c>
      <c r="AD1152">
        <v>-1.122339138481</v>
      </c>
      <c r="AE1152">
        <v>-42.204000000000001</v>
      </c>
      <c r="AF1152">
        <v>0.17913790128677901</v>
      </c>
      <c r="AG1152">
        <v>-1.122339138481</v>
      </c>
      <c r="AH1152">
        <v>42.214526127018601</v>
      </c>
      <c r="AI1152">
        <v>91.522925359355497</v>
      </c>
      <c r="AJ1152">
        <v>89.7568660594237</v>
      </c>
      <c r="AK1152">
        <v>42.229823012394696</v>
      </c>
      <c r="AL1152">
        <v>78.180475631238906</v>
      </c>
      <c r="AM1152">
        <v>83.491535964265594</v>
      </c>
      <c r="AN1152">
        <v>0.99999998419470404</v>
      </c>
    </row>
    <row r="1153" spans="1:40" x14ac:dyDescent="0.25">
      <c r="A1153" t="str">
        <f>"20190303171000728"</f>
        <v>20190303171000728</v>
      </c>
      <c r="B1153" t="str">
        <f>"1551604200721208"</f>
        <v>1551604200721208</v>
      </c>
      <c r="C1153" t="s">
        <v>40</v>
      </c>
      <c r="D1153">
        <v>5.2079599999999999</v>
      </c>
      <c r="E1153">
        <v>0.49488739999999998</v>
      </c>
      <c r="F1153" t="s">
        <v>52</v>
      </c>
      <c r="G1153">
        <v>-193.8065</v>
      </c>
      <c r="H1153" s="1">
        <v>2.4774159999999998E-6</v>
      </c>
      <c r="I1153">
        <v>290.67680000000001</v>
      </c>
      <c r="J1153">
        <v>-191.7764</v>
      </c>
      <c r="K1153">
        <v>1.1223449999999999</v>
      </c>
      <c r="L1153">
        <v>331.55889999999999</v>
      </c>
      <c r="M1153">
        <v>-3.8146369999999999E-2</v>
      </c>
      <c r="N1153">
        <v>-1.363907E-2</v>
      </c>
      <c r="O1153">
        <v>-0.99917909999999999</v>
      </c>
      <c r="P1153">
        <v>-0.149597799999999</v>
      </c>
      <c r="Q1153">
        <v>0.19149330000000001</v>
      </c>
      <c r="R1153">
        <v>-0.97002639999999996</v>
      </c>
      <c r="S1153">
        <v>-0.15286250000000001</v>
      </c>
      <c r="T1153">
        <v>-8.4035399999999996E-2</v>
      </c>
      <c r="U1153">
        <v>-3.0857239999999999</v>
      </c>
      <c r="V1153">
        <v>0.1119271</v>
      </c>
      <c r="W1153">
        <v>0.20507829999999999</v>
      </c>
      <c r="X1153">
        <v>0.97232470000000004</v>
      </c>
      <c r="Y1153">
        <v>1.133105E-2</v>
      </c>
      <c r="Z1153">
        <v>1.355261E-2</v>
      </c>
      <c r="AA1153">
        <v>0.99984399999999996</v>
      </c>
      <c r="AB1153">
        <v>30</v>
      </c>
      <c r="AC1153">
        <v>-2.0301</v>
      </c>
      <c r="AD1153">
        <v>-1.122342522584</v>
      </c>
      <c r="AE1153">
        <v>-40.882099999999902</v>
      </c>
      <c r="AF1153">
        <v>0.46862107044672302</v>
      </c>
      <c r="AG1153">
        <v>-1.122342522584</v>
      </c>
      <c r="AH1153">
        <v>40.899038295463001</v>
      </c>
      <c r="AI1153">
        <v>91.571800714540004</v>
      </c>
      <c r="AJ1153">
        <v>89.343533840120202</v>
      </c>
      <c r="AK1153">
        <v>40.917118568386698</v>
      </c>
      <c r="AL1153">
        <v>78.165917949360207</v>
      </c>
      <c r="AM1153">
        <v>83.433420347704995</v>
      </c>
      <c r="AN1153">
        <v>1.0000000535376901</v>
      </c>
    </row>
    <row r="1154" spans="1:40" x14ac:dyDescent="0.25">
      <c r="A1154" t="str">
        <f>"20190303171000750"</f>
        <v>20190303171000750</v>
      </c>
      <c r="B1154" t="str">
        <f>"1551604200741704"</f>
        <v>1551604200741704</v>
      </c>
      <c r="C1154" t="s">
        <v>40</v>
      </c>
      <c r="D1154">
        <v>5.0927360000000004</v>
      </c>
      <c r="E1154">
        <v>0.49456309999999898</v>
      </c>
      <c r="F1154" t="s">
        <v>42</v>
      </c>
      <c r="G1154">
        <v>-195.60040000000001</v>
      </c>
      <c r="H1154" s="1">
        <v>-1.826877E-6</v>
      </c>
      <c r="I1154">
        <v>300.3741</v>
      </c>
      <c r="J1154">
        <v>-191.78649999999999</v>
      </c>
      <c r="K1154">
        <v>1.122358</v>
      </c>
      <c r="L1154">
        <v>331.25420000000003</v>
      </c>
      <c r="M1154">
        <v>-3.6760679999999997E-2</v>
      </c>
      <c r="N1154">
        <v>-1.3636199999999999E-2</v>
      </c>
      <c r="O1154">
        <v>-0.99923130000000004</v>
      </c>
      <c r="P1154">
        <v>-0.14925279999999999</v>
      </c>
      <c r="Q1154">
        <v>0.19175719999999999</v>
      </c>
      <c r="R1154">
        <v>-0.97002739999999998</v>
      </c>
      <c r="S1154">
        <v>-0.37481690000000001</v>
      </c>
      <c r="T1154">
        <v>-0.11000799999999999</v>
      </c>
      <c r="U1154">
        <v>-3.05661</v>
      </c>
      <c r="V1154">
        <v>0.11293449999999999</v>
      </c>
      <c r="W1154">
        <v>0.2053392</v>
      </c>
      <c r="X1154">
        <v>0.97215309999999999</v>
      </c>
      <c r="Y1154">
        <v>8.5081959999999998E-2</v>
      </c>
      <c r="Z1154">
        <v>2.213145E-2</v>
      </c>
      <c r="AA1154">
        <v>0.99612809999999896</v>
      </c>
      <c r="AB1154">
        <v>30</v>
      </c>
      <c r="AC1154">
        <v>-3.8139000000000101</v>
      </c>
      <c r="AD1154">
        <v>-1.1223598268770001</v>
      </c>
      <c r="AE1154">
        <v>-30.880099999999999</v>
      </c>
      <c r="AF1154">
        <v>2.6725654966086299</v>
      </c>
      <c r="AG1154">
        <v>-1.1223598268770001</v>
      </c>
      <c r="AH1154">
        <v>30.959155808981802</v>
      </c>
      <c r="AI1154">
        <v>92.068543635602097</v>
      </c>
      <c r="AJ1154">
        <v>85.066143134468902</v>
      </c>
      <c r="AK1154">
        <v>31.094559432792501</v>
      </c>
      <c r="AL1154">
        <v>78.150644019722904</v>
      </c>
      <c r="AM1154">
        <v>83.373681898082594</v>
      </c>
      <c r="AN1154">
        <v>1.0000000190932401</v>
      </c>
    </row>
    <row r="1155" spans="1:40" x14ac:dyDescent="0.25">
      <c r="A1155" t="str">
        <f>"20190303171000770"</f>
        <v>20190303171000770</v>
      </c>
      <c r="B1155" t="str">
        <f>"1551604200761224"</f>
        <v>1551604200761224</v>
      </c>
      <c r="C1155" t="s">
        <v>40</v>
      </c>
      <c r="D1155">
        <v>5.0120230000000001</v>
      </c>
      <c r="E1155">
        <v>0.49471559999999998</v>
      </c>
      <c r="F1155" t="s">
        <v>42</v>
      </c>
      <c r="G1155">
        <v>-195.5932</v>
      </c>
      <c r="H1155" s="1">
        <v>-1.603507E-6</v>
      </c>
      <c r="I1155">
        <v>299.85789999999997</v>
      </c>
      <c r="J1155">
        <v>-191.79560000000001</v>
      </c>
      <c r="K1155">
        <v>1.122358</v>
      </c>
      <c r="L1155">
        <v>330.96859999999998</v>
      </c>
      <c r="M1155">
        <v>-3.5461340000000001E-2</v>
      </c>
      <c r="N1155">
        <v>-1.3633620000000001E-2</v>
      </c>
      <c r="O1155">
        <v>-0.99927820000000001</v>
      </c>
      <c r="P1155">
        <v>-0.148507</v>
      </c>
      <c r="Q1155">
        <v>0.19199959999999999</v>
      </c>
      <c r="R1155">
        <v>-0.97009400000000001</v>
      </c>
      <c r="S1155">
        <v>-0.37068180000000001</v>
      </c>
      <c r="T1155">
        <v>-0.109291</v>
      </c>
      <c r="U1155">
        <v>-3.0572509999999999</v>
      </c>
      <c r="V1155">
        <v>0.113454399999999</v>
      </c>
      <c r="W1155">
        <v>0.2055786</v>
      </c>
      <c r="X1155">
        <v>0.97204199999999996</v>
      </c>
      <c r="Y1155">
        <v>8.5025509999999999E-2</v>
      </c>
      <c r="Z1155">
        <v>2.1898020000000001E-2</v>
      </c>
      <c r="AA1155">
        <v>0.99613810000000003</v>
      </c>
      <c r="AB1155">
        <v>30</v>
      </c>
      <c r="AC1155">
        <v>-3.7975999999999801</v>
      </c>
      <c r="AD1155">
        <v>-1.122359603507</v>
      </c>
      <c r="AE1155">
        <v>-31.110700000000001</v>
      </c>
      <c r="AF1155">
        <v>2.6884339348333799</v>
      </c>
      <c r="AG1155">
        <v>-1.122359603507</v>
      </c>
      <c r="AH1155">
        <v>31.185817274072001</v>
      </c>
      <c r="AI1155">
        <v>92.053542610235695</v>
      </c>
      <c r="AJ1155">
        <v>85.072887478754296</v>
      </c>
      <c r="AK1155">
        <v>31.321599051666499</v>
      </c>
      <c r="AL1155">
        <v>78.136628838205397</v>
      </c>
      <c r="AM1155">
        <v>83.342696436371298</v>
      </c>
      <c r="AN1155">
        <v>1.0000000557106501</v>
      </c>
    </row>
    <row r="1156" spans="1:40" x14ac:dyDescent="0.25">
      <c r="A1156" t="str">
        <f>"20190303171000793"</f>
        <v>20190303171000793</v>
      </c>
      <c r="B1156" t="str">
        <f>"1551604200781721"</f>
        <v>1551604200781721</v>
      </c>
      <c r="C1156" t="s">
        <v>40</v>
      </c>
      <c r="D1156">
        <v>5.1997839999999904</v>
      </c>
      <c r="E1156">
        <v>0.49480859999999899</v>
      </c>
      <c r="F1156" t="s">
        <v>42</v>
      </c>
      <c r="G1156">
        <v>-195.4787</v>
      </c>
      <c r="H1156" s="1">
        <v>-1.840998E-6</v>
      </c>
      <c r="I1156">
        <v>300.48250000000002</v>
      </c>
      <c r="J1156">
        <v>-191.80459999999999</v>
      </c>
      <c r="K1156">
        <v>1.12236</v>
      </c>
      <c r="L1156">
        <v>330.67579999999998</v>
      </c>
      <c r="M1156">
        <v>-3.4128489999999997E-2</v>
      </c>
      <c r="N1156">
        <v>-1.3630750000000001E-2</v>
      </c>
      <c r="O1156">
        <v>-0.99932480000000001</v>
      </c>
      <c r="P1156">
        <v>-0.147622</v>
      </c>
      <c r="Q1156">
        <v>0.1920502</v>
      </c>
      <c r="R1156">
        <v>-0.97021930000000001</v>
      </c>
      <c r="S1156">
        <v>-0.36946109999999999</v>
      </c>
      <c r="T1156">
        <v>-0.11258890000000001</v>
      </c>
      <c r="U1156">
        <v>-3.0581969999999998</v>
      </c>
      <c r="V1156">
        <v>0.11386640000000001</v>
      </c>
      <c r="W1156">
        <v>0.20562620000000001</v>
      </c>
      <c r="X1156">
        <v>0.97198370000000001</v>
      </c>
      <c r="Y1156">
        <v>8.592197E-2</v>
      </c>
      <c r="Z1156">
        <v>2.2960640000000001E-2</v>
      </c>
      <c r="AA1156">
        <v>0.99603719999999996</v>
      </c>
      <c r="AB1156">
        <v>30</v>
      </c>
      <c r="AC1156">
        <v>-3.6741000000000001</v>
      </c>
      <c r="AD1156">
        <v>-1.1223618409980001</v>
      </c>
      <c r="AE1156">
        <v>-30.193299999999901</v>
      </c>
      <c r="AF1156">
        <v>2.6378203531314699</v>
      </c>
      <c r="AG1156">
        <v>-1.1223618409980001</v>
      </c>
      <c r="AH1156">
        <v>30.259907860005899</v>
      </c>
      <c r="AI1156">
        <v>92.116150382665793</v>
      </c>
      <c r="AJ1156">
        <v>85.017999270411707</v>
      </c>
      <c r="AK1156">
        <v>30.395391361414799</v>
      </c>
      <c r="AL1156">
        <v>78.133841375435594</v>
      </c>
      <c r="AM1156">
        <v>83.318342054993295</v>
      </c>
      <c r="AN1156">
        <v>1.00000000212054</v>
      </c>
    </row>
    <row r="1157" spans="1:40" x14ac:dyDescent="0.25">
      <c r="A1157" t="str">
        <f>"20190303171000816"</f>
        <v>20190303171000816</v>
      </c>
      <c r="B1157" t="str">
        <f>"1551604200801240"</f>
        <v>1551604200801240</v>
      </c>
      <c r="C1157" t="s">
        <v>40</v>
      </c>
      <c r="D1157">
        <v>5.2558629999999997</v>
      </c>
      <c r="E1157">
        <v>0.49479020000000001</v>
      </c>
      <c r="F1157" t="s">
        <v>42</v>
      </c>
      <c r="G1157">
        <v>-195.46379999999999</v>
      </c>
      <c r="H1157" s="1">
        <v>-1.7297149999999999E-6</v>
      </c>
      <c r="I1157">
        <v>300.23230000000001</v>
      </c>
      <c r="J1157">
        <v>-191.81379999999999</v>
      </c>
      <c r="K1157">
        <v>1.122355</v>
      </c>
      <c r="L1157">
        <v>330.36200000000002</v>
      </c>
      <c r="M1157">
        <v>-3.2699880000000001E-2</v>
      </c>
      <c r="N1157">
        <v>-1.362581E-2</v>
      </c>
      <c r="O1157">
        <v>-0.99937240000000005</v>
      </c>
      <c r="P1157">
        <v>-0.14672859999999999</v>
      </c>
      <c r="Q1157">
        <v>0.19271070000000001</v>
      </c>
      <c r="R1157">
        <v>-0.97022359999999996</v>
      </c>
      <c r="S1157">
        <v>-0.36761470000000002</v>
      </c>
      <c r="T1157">
        <v>-0.11275590000000001</v>
      </c>
      <c r="U1157">
        <v>-3.0584410000000002</v>
      </c>
      <c r="V1157">
        <v>0.1143657</v>
      </c>
      <c r="W1157">
        <v>0.2062804</v>
      </c>
      <c r="X1157">
        <v>0.97178640000000005</v>
      </c>
      <c r="Y1157">
        <v>8.6743559999999997E-2</v>
      </c>
      <c r="Z1157">
        <v>2.3018179999999999E-2</v>
      </c>
      <c r="AA1157">
        <v>0.99596470000000004</v>
      </c>
      <c r="AB1157">
        <v>30</v>
      </c>
      <c r="AC1157">
        <v>-3.65</v>
      </c>
      <c r="AD1157">
        <v>-1.1223567297149999</v>
      </c>
      <c r="AE1157">
        <v>-30.1296999999999</v>
      </c>
      <c r="AF1157">
        <v>2.6590822532429899</v>
      </c>
      <c r="AG1157">
        <v>-1.1223567297149999</v>
      </c>
      <c r="AH1157">
        <v>30.1916609854763</v>
      </c>
      <c r="AI1157">
        <v>92.120753770548504</v>
      </c>
      <c r="AJ1157">
        <v>84.966753216925397</v>
      </c>
      <c r="AK1157">
        <v>30.329305895786401</v>
      </c>
      <c r="AL1157">
        <v>78.095536821599296</v>
      </c>
      <c r="AM1157">
        <v>83.287959837368703</v>
      </c>
      <c r="AN1157">
        <v>0.99999996199280405</v>
      </c>
    </row>
    <row r="1158" spans="1:40" x14ac:dyDescent="0.25">
      <c r="A1158" t="str">
        <f>"20190303171000837"</f>
        <v>20190303171000837</v>
      </c>
      <c r="B1158" t="str">
        <f>"1551604200832004"</f>
        <v>1551604200832004</v>
      </c>
      <c r="C1158" t="s">
        <v>40</v>
      </c>
      <c r="D1158">
        <v>4.9845800000000002</v>
      </c>
      <c r="E1158">
        <v>0.49479889999999999</v>
      </c>
      <c r="F1158" t="s">
        <v>52</v>
      </c>
      <c r="G1158">
        <v>-195.52379999999999</v>
      </c>
      <c r="H1158" s="1">
        <v>7.4226630000000001E-8</v>
      </c>
      <c r="I1158">
        <v>299.19490000000002</v>
      </c>
      <c r="J1158">
        <v>-191.82149999999999</v>
      </c>
      <c r="K1158">
        <v>1.1223559999999999</v>
      </c>
      <c r="L1158">
        <v>330.08170000000001</v>
      </c>
      <c r="M1158">
        <v>-3.1422699999999998E-2</v>
      </c>
      <c r="N1158">
        <v>-1.361469E-2</v>
      </c>
      <c r="O1158">
        <v>-0.99941369999999896</v>
      </c>
      <c r="P1158">
        <v>-0.14605570000000001</v>
      </c>
      <c r="Q1158">
        <v>0.19308819999999999</v>
      </c>
      <c r="R1158">
        <v>-0.97025019999999995</v>
      </c>
      <c r="S1158">
        <v>-0.36412050000000001</v>
      </c>
      <c r="T1158">
        <v>-0.1101525</v>
      </c>
      <c r="U1158">
        <v>-3.0588679999999999</v>
      </c>
      <c r="V1158">
        <v>0.1149372</v>
      </c>
      <c r="W1158">
        <v>0.2066462</v>
      </c>
      <c r="X1158">
        <v>0.97164130000000004</v>
      </c>
      <c r="Y1158">
        <v>8.6881260000000002E-2</v>
      </c>
      <c r="Z1158">
        <v>2.218287E-2</v>
      </c>
      <c r="AA1158">
        <v>0.99597170000000002</v>
      </c>
      <c r="AB1158">
        <v>30</v>
      </c>
      <c r="AC1158">
        <v>-3.7023000000000001</v>
      </c>
      <c r="AD1158">
        <v>-1.12235592577337</v>
      </c>
      <c r="AE1158">
        <v>-30.886799999999901</v>
      </c>
      <c r="AF1158">
        <v>2.7262861558117</v>
      </c>
      <c r="AG1158">
        <v>-1.12235592577337</v>
      </c>
      <c r="AH1158">
        <v>30.947606505876202</v>
      </c>
      <c r="AI1158">
        <v>92.068991371222197</v>
      </c>
      <c r="AJ1158">
        <v>84.965604627378696</v>
      </c>
      <c r="AK1158">
        <v>31.087725350530899</v>
      </c>
      <c r="AL1158">
        <v>78.074117137881203</v>
      </c>
      <c r="AM1158">
        <v>83.253729190964506</v>
      </c>
      <c r="AN1158">
        <v>1.00000001389198</v>
      </c>
    </row>
    <row r="1159" spans="1:40" x14ac:dyDescent="0.25">
      <c r="A1159" t="str">
        <f>"20190303171000861"</f>
        <v>20190303171000861</v>
      </c>
      <c r="B1159" t="str">
        <f>"1551604200851523"</f>
        <v>1551604200851523</v>
      </c>
      <c r="C1159" t="s">
        <v>40</v>
      </c>
      <c r="D1159">
        <v>5.1373689999999996</v>
      </c>
      <c r="E1159">
        <v>0.49483519999999998</v>
      </c>
      <c r="F1159" t="s">
        <v>52</v>
      </c>
      <c r="G1159">
        <v>-195.5016</v>
      </c>
      <c r="H1159" s="1">
        <v>1.191521E-7</v>
      </c>
      <c r="I1159">
        <v>298.93979999999999</v>
      </c>
      <c r="J1159">
        <v>-191.82990000000001</v>
      </c>
      <c r="K1159">
        <v>1.1223479999999999</v>
      </c>
      <c r="L1159">
        <v>329.76580000000001</v>
      </c>
      <c r="M1159">
        <v>-2.9983449999999998E-2</v>
      </c>
      <c r="N1159">
        <v>-1.3593859999999999E-2</v>
      </c>
      <c r="O1159">
        <v>-0.99945799999999996</v>
      </c>
      <c r="P1159">
        <v>-0.1449927</v>
      </c>
      <c r="Q1159">
        <v>0.19300500000000001</v>
      </c>
      <c r="R1159">
        <v>-0.97042600000000001</v>
      </c>
      <c r="S1159">
        <v>-0.36154170000000002</v>
      </c>
      <c r="T1159">
        <v>-0.1102648</v>
      </c>
      <c r="U1159">
        <v>-3.0595089999999998</v>
      </c>
      <c r="V1159">
        <v>0.1152731</v>
      </c>
      <c r="W1159">
        <v>0.20654310000000001</v>
      </c>
      <c r="X1159">
        <v>0.97162340000000003</v>
      </c>
      <c r="Y1159">
        <v>8.7463260000000001E-2</v>
      </c>
      <c r="Z1159">
        <v>2.2234549999999999E-2</v>
      </c>
      <c r="AA1159">
        <v>0.99591960000000002</v>
      </c>
      <c r="AB1159">
        <v>30</v>
      </c>
      <c r="AC1159">
        <v>-3.67169999999998</v>
      </c>
      <c r="AD1159">
        <v>-1.1223478808478999</v>
      </c>
      <c r="AE1159">
        <v>-30.826000000000001</v>
      </c>
      <c r="AF1159">
        <v>2.7421095250647101</v>
      </c>
      <c r="AG1159">
        <v>-1.1223478808478999</v>
      </c>
      <c r="AH1159">
        <v>30.8818732198704</v>
      </c>
      <c r="AI1159">
        <v>92.073249379306702</v>
      </c>
      <c r="AJ1159">
        <v>84.925814877490296</v>
      </c>
      <c r="AK1159">
        <v>31.0236832594268</v>
      </c>
      <c r="AL1159">
        <v>78.080154238339304</v>
      </c>
      <c r="AM1159">
        <v>83.234072465341399</v>
      </c>
      <c r="AN1159">
        <v>0.99999998558438996</v>
      </c>
    </row>
    <row r="1160" spans="1:40" x14ac:dyDescent="0.25">
      <c r="A1160" t="str">
        <f>"20190303171000883"</f>
        <v>20190303171000883</v>
      </c>
      <c r="B1160" t="str">
        <f>"1551604200872020"</f>
        <v>1551604200872020</v>
      </c>
      <c r="C1160" t="s">
        <v>40</v>
      </c>
      <c r="D1160">
        <v>5.1352949999999904</v>
      </c>
      <c r="E1160">
        <v>0.49497940000000001</v>
      </c>
      <c r="F1160" t="s">
        <v>52</v>
      </c>
      <c r="G1160">
        <v>-195.39930000000001</v>
      </c>
      <c r="H1160" s="1">
        <v>5.2963589999999999E-8</v>
      </c>
      <c r="I1160">
        <v>299.31560000000002</v>
      </c>
      <c r="J1160">
        <v>-191.8374</v>
      </c>
      <c r="K1160">
        <v>1.1223430000000001</v>
      </c>
      <c r="L1160">
        <v>329.4622</v>
      </c>
      <c r="M1160">
        <v>-2.8599969999999999E-2</v>
      </c>
      <c r="N1160">
        <v>-1.356985E-2</v>
      </c>
      <c r="O1160">
        <v>-0.99949900000000003</v>
      </c>
      <c r="P1160">
        <v>-0.14351120000000001</v>
      </c>
      <c r="Q1160">
        <v>0.19208810000000001</v>
      </c>
      <c r="R1160">
        <v>-0.97082809999999997</v>
      </c>
      <c r="S1160">
        <v>-0.3587341</v>
      </c>
      <c r="T1160">
        <v>-0.1127968</v>
      </c>
      <c r="U1160">
        <v>-3.0602719999999999</v>
      </c>
      <c r="V1160">
        <v>0.115132</v>
      </c>
      <c r="W1160">
        <v>0.20560529999999999</v>
      </c>
      <c r="X1160">
        <v>0.97183900000000001</v>
      </c>
      <c r="Y1160">
        <v>8.7909219999999996E-2</v>
      </c>
      <c r="Z1160">
        <v>2.307292E-2</v>
      </c>
      <c r="AA1160">
        <v>0.9958612</v>
      </c>
      <c r="AB1160">
        <v>30</v>
      </c>
      <c r="AC1160">
        <v>-3.5619000000000001</v>
      </c>
      <c r="AD1160">
        <v>-1.1223429470364099</v>
      </c>
      <c r="AE1160">
        <v>-30.1465999999999</v>
      </c>
      <c r="AF1160">
        <v>2.6944883538651201</v>
      </c>
      <c r="AG1160">
        <v>-1.1223429470364099</v>
      </c>
      <c r="AH1160">
        <v>30.194870500854599</v>
      </c>
      <c r="AI1160">
        <v>92.1202857738364</v>
      </c>
      <c r="AJ1160">
        <v>84.900625090057801</v>
      </c>
      <c r="AK1160">
        <v>30.3356246967695</v>
      </c>
      <c r="AL1160">
        <v>78.135064728808402</v>
      </c>
      <c r="AM1160">
        <v>83.243762981984403</v>
      </c>
      <c r="AN1160">
        <v>0.99999997936654395</v>
      </c>
    </row>
    <row r="1161" spans="1:40" x14ac:dyDescent="0.25">
      <c r="A1161" t="str">
        <f>"20190303171000931"</f>
        <v>20190303171000931</v>
      </c>
      <c r="B1161" t="str">
        <f>"1551604200921796"</f>
        <v>1551604200921796</v>
      </c>
      <c r="C1161" t="s">
        <v>40</v>
      </c>
      <c r="D1161">
        <v>4.961659</v>
      </c>
      <c r="E1161">
        <v>0.49545620000000001</v>
      </c>
      <c r="F1161" t="s">
        <v>42</v>
      </c>
      <c r="G1161">
        <v>-195.2637</v>
      </c>
      <c r="H1161" s="1">
        <v>-1.5564799999999999E-6</v>
      </c>
      <c r="I1161">
        <v>299.95260000000002</v>
      </c>
      <c r="J1161">
        <v>-191.85210000000001</v>
      </c>
      <c r="K1161">
        <v>1.12232</v>
      </c>
      <c r="L1161">
        <v>328.82319999999999</v>
      </c>
      <c r="M1161">
        <v>-2.568165E-2</v>
      </c>
      <c r="N1161">
        <v>-1.347873E-2</v>
      </c>
      <c r="O1161">
        <v>-0.99957949999999995</v>
      </c>
      <c r="P1161">
        <v>-0.1402911</v>
      </c>
      <c r="Q1161">
        <v>0.19288520000000001</v>
      </c>
      <c r="R1161">
        <v>-0.97114080000000003</v>
      </c>
      <c r="S1161">
        <v>-0.35536190000000001</v>
      </c>
      <c r="T1161">
        <v>-0.1164058</v>
      </c>
      <c r="U1161">
        <v>-3.060638</v>
      </c>
      <c r="V1161">
        <v>0.1147483</v>
      </c>
      <c r="W1161">
        <v>0.2063103</v>
      </c>
      <c r="X1161">
        <v>0.97173500000000002</v>
      </c>
      <c r="Y1161">
        <v>8.9716669999999998E-2</v>
      </c>
      <c r="Z1161">
        <v>2.433109E-2</v>
      </c>
      <c r="AA1161">
        <v>0.9956701</v>
      </c>
      <c r="AB1161">
        <v>30</v>
      </c>
      <c r="AC1161">
        <v>-3.4115999999999902</v>
      </c>
      <c r="AD1161">
        <v>-1.12232155647999</v>
      </c>
      <c r="AE1161">
        <v>-28.8705999999999</v>
      </c>
      <c r="AF1161">
        <v>2.66499081702564</v>
      </c>
      <c r="AG1161">
        <v>-1.12232155647999</v>
      </c>
      <c r="AH1161">
        <v>28.9056186970782</v>
      </c>
      <c r="AI1161">
        <v>92.214131561679807</v>
      </c>
      <c r="AJ1161">
        <v>84.732433036473296</v>
      </c>
      <c r="AK1161">
        <v>29.049898003122902</v>
      </c>
      <c r="AL1161">
        <v>78.093786612363303</v>
      </c>
      <c r="AM1161">
        <v>83.265358271995098</v>
      </c>
      <c r="AN1161">
        <v>1.00000001123199</v>
      </c>
    </row>
    <row r="1162" spans="1:40" x14ac:dyDescent="0.25">
      <c r="A1162" t="str">
        <f>"20190303171000951"</f>
        <v>20190303171000951</v>
      </c>
      <c r="B1162" t="str">
        <f>"1551604200941316"</f>
        <v>1551604200941316</v>
      </c>
      <c r="C1162" t="s">
        <v>40</v>
      </c>
      <c r="D1162">
        <v>5.1311999999999998</v>
      </c>
      <c r="E1162">
        <v>0.4956546</v>
      </c>
      <c r="F1162" t="s">
        <v>52</v>
      </c>
      <c r="G1162">
        <v>-195.19820000000001</v>
      </c>
      <c r="H1162" s="1">
        <v>4.921564E-8</v>
      </c>
      <c r="I1162">
        <v>299.33690000000001</v>
      </c>
      <c r="J1162">
        <v>-191.85749999999999</v>
      </c>
      <c r="K1162">
        <v>1.122312</v>
      </c>
      <c r="L1162">
        <v>328.56020000000001</v>
      </c>
      <c r="M1162">
        <v>-2.4479029999999999E-2</v>
      </c>
      <c r="N1162">
        <v>-1.343079E-2</v>
      </c>
      <c r="O1162">
        <v>-0.9996102</v>
      </c>
      <c r="P1162">
        <v>-0.13888039999999999</v>
      </c>
      <c r="Q1162">
        <v>0.19312779999999999</v>
      </c>
      <c r="R1162">
        <v>-0.97129509999999997</v>
      </c>
      <c r="S1162">
        <v>-0.34748839999999998</v>
      </c>
      <c r="T1162">
        <v>-0.1165508</v>
      </c>
      <c r="U1162">
        <v>-3.062103</v>
      </c>
      <c r="V1162">
        <v>0.1145062</v>
      </c>
      <c r="W1162">
        <v>0.20650579999999999</v>
      </c>
      <c r="X1162">
        <v>0.97172199999999997</v>
      </c>
      <c r="Y1162">
        <v>8.8333780000000001E-2</v>
      </c>
      <c r="Z1162">
        <v>2.4416210000000001E-2</v>
      </c>
      <c r="AA1162">
        <v>0.9957916</v>
      </c>
      <c r="AB1162">
        <v>30</v>
      </c>
      <c r="AC1162">
        <v>-3.34070000000002</v>
      </c>
      <c r="AD1162">
        <v>-1.12231195078436</v>
      </c>
      <c r="AE1162">
        <v>-29.223299999999899</v>
      </c>
      <c r="AF1162">
        <v>2.6204611331613301</v>
      </c>
      <c r="AG1162">
        <v>-1.12231195078436</v>
      </c>
      <c r="AH1162">
        <v>29.253735580356398</v>
      </c>
      <c r="AI1162">
        <v>92.188306759594596</v>
      </c>
      <c r="AJ1162">
        <v>84.881279163914002</v>
      </c>
      <c r="AK1162">
        <v>29.392302496924199</v>
      </c>
      <c r="AL1162">
        <v>78.082338395445504</v>
      </c>
      <c r="AM1162">
        <v>83.2793480634068</v>
      </c>
      <c r="AN1162">
        <v>0.99999998027803905</v>
      </c>
    </row>
    <row r="1163" spans="1:40" x14ac:dyDescent="0.25">
      <c r="A1163" t="str">
        <f>"20190303171000979"</f>
        <v>20190303171000979</v>
      </c>
      <c r="B1163" t="str">
        <f>"1551604200971572"</f>
        <v>1551604200971572</v>
      </c>
      <c r="C1163" t="s">
        <v>40</v>
      </c>
      <c r="D1163">
        <v>5.0740030000000003</v>
      </c>
      <c r="E1163">
        <v>0.49606299999999998</v>
      </c>
      <c r="F1163" t="s">
        <v>52</v>
      </c>
      <c r="G1163">
        <v>-195.20419999999999</v>
      </c>
      <c r="H1163" s="1">
        <v>1.57306799999999E-7</v>
      </c>
      <c r="I1163">
        <v>298.72309999999999</v>
      </c>
      <c r="J1163">
        <v>-191.8638</v>
      </c>
      <c r="K1163">
        <v>1.122301</v>
      </c>
      <c r="L1163">
        <v>328.24009999999998</v>
      </c>
      <c r="M1163">
        <v>-2.3013240000000001E-2</v>
      </c>
      <c r="N1163">
        <v>-1.3364600000000001E-2</v>
      </c>
      <c r="O1163">
        <v>-0.99964589999999998</v>
      </c>
      <c r="P1163">
        <v>-0.137074</v>
      </c>
      <c r="Q1163">
        <v>0.19255259999999999</v>
      </c>
      <c r="R1163">
        <v>-0.97166600000000003</v>
      </c>
      <c r="S1163">
        <v>-0.34349059999999998</v>
      </c>
      <c r="T1163">
        <v>-0.1151913</v>
      </c>
      <c r="U1163">
        <v>-3.062408</v>
      </c>
      <c r="V1163">
        <v>0.1141226</v>
      </c>
      <c r="W1163">
        <v>0.20586699999999999</v>
      </c>
      <c r="X1163">
        <v>0.97190270000000001</v>
      </c>
      <c r="Y1163">
        <v>8.8501079999999996E-2</v>
      </c>
      <c r="Z1163">
        <v>2.4040969999999998E-2</v>
      </c>
      <c r="AA1163">
        <v>0.9957859</v>
      </c>
      <c r="AB1163">
        <v>30</v>
      </c>
      <c r="AC1163">
        <v>-3.3403999999999798</v>
      </c>
      <c r="AD1163">
        <v>-1.1223008426932</v>
      </c>
      <c r="AE1163">
        <v>-29.516999999999999</v>
      </c>
      <c r="AF1163">
        <v>2.6563810112016402</v>
      </c>
      <c r="AG1163">
        <v>-1.1223008426932</v>
      </c>
      <c r="AH1163">
        <v>29.543890505122</v>
      </c>
      <c r="AI1163">
        <v>92.166749469981298</v>
      </c>
      <c r="AJ1163">
        <v>84.862177883229506</v>
      </c>
      <c r="AK1163">
        <v>29.684295265962199</v>
      </c>
      <c r="AL1163">
        <v>78.11974318195</v>
      </c>
      <c r="AM1163">
        <v>83.302891641641807</v>
      </c>
      <c r="AN1163">
        <v>1.0000000238935201</v>
      </c>
    </row>
    <row r="1164" spans="1:40" x14ac:dyDescent="0.25">
      <c r="A1164" t="str">
        <f>"20190303171001000"</f>
        <v>20190303171001000</v>
      </c>
      <c r="B1164" t="str">
        <f>"1551604200992068"</f>
        <v>1551604200992068</v>
      </c>
      <c r="C1164" t="s">
        <v>40</v>
      </c>
      <c r="D1164">
        <v>5.1257809999999999</v>
      </c>
      <c r="E1164">
        <v>0.49623600000000001</v>
      </c>
      <c r="F1164" t="s">
        <v>52</v>
      </c>
      <c r="G1164">
        <v>-195.12729999999999</v>
      </c>
      <c r="H1164" s="1">
        <v>1.144851E-7</v>
      </c>
      <c r="I1164">
        <v>298.96629999999999</v>
      </c>
      <c r="J1164">
        <v>-191.8699</v>
      </c>
      <c r="K1164">
        <v>1.1222909999999999</v>
      </c>
      <c r="L1164">
        <v>327.899</v>
      </c>
      <c r="M1164">
        <v>-2.144861E-2</v>
      </c>
      <c r="N1164">
        <v>-1.3281640000000001E-2</v>
      </c>
      <c r="O1164">
        <v>-0.99968170000000001</v>
      </c>
      <c r="P1164">
        <v>-0.13572319999999999</v>
      </c>
      <c r="Q1164">
        <v>0.19205140000000001</v>
      </c>
      <c r="R1164">
        <v>-0.9719546</v>
      </c>
      <c r="S1164">
        <v>-0.34143069999999998</v>
      </c>
      <c r="T1164">
        <v>-0.1174135</v>
      </c>
      <c r="U1164">
        <v>-3.062592</v>
      </c>
      <c r="V1164">
        <v>0.1142934</v>
      </c>
      <c r="W1164">
        <v>0.205286</v>
      </c>
      <c r="X1164">
        <v>0.97200549999999997</v>
      </c>
      <c r="Y1164">
        <v>8.9389289999999996E-2</v>
      </c>
      <c r="Z1164">
        <v>2.4842590000000001E-2</v>
      </c>
      <c r="AA1164">
        <v>0.99568690000000004</v>
      </c>
      <c r="AB1164">
        <v>30</v>
      </c>
      <c r="AC1164">
        <v>-3.2573999999999899</v>
      </c>
      <c r="AD1164">
        <v>-1.1222908855149001</v>
      </c>
      <c r="AE1164">
        <v>-28.932700000000001</v>
      </c>
      <c r="AF1164">
        <v>2.6321187299667002</v>
      </c>
      <c r="AG1164">
        <v>-1.1222908855149001</v>
      </c>
      <c r="AH1164">
        <v>28.952897343191601</v>
      </c>
      <c r="AI1164">
        <v>92.210717067705303</v>
      </c>
      <c r="AJ1164">
        <v>84.805498171093703</v>
      </c>
      <c r="AK1164">
        <v>29.093948690505101</v>
      </c>
      <c r="AL1164">
        <v>78.153758366060003</v>
      </c>
      <c r="AM1164">
        <v>83.2936626347486</v>
      </c>
      <c r="AN1164">
        <v>1.0000000075549</v>
      </c>
    </row>
    <row r="1165" spans="1:40" x14ac:dyDescent="0.25">
      <c r="A1165" t="str">
        <f>"20190303171001020"</f>
        <v>20190303171001020</v>
      </c>
      <c r="B1165" t="str">
        <f>"1551604201011588"</f>
        <v>1551604201011588</v>
      </c>
      <c r="C1165" t="s">
        <v>40</v>
      </c>
      <c r="D1165">
        <v>4.9250990000000003</v>
      </c>
      <c r="E1165">
        <v>0.51678179999999996</v>
      </c>
      <c r="F1165" t="s">
        <v>52</v>
      </c>
      <c r="G1165">
        <v>-195.05699999999999</v>
      </c>
      <c r="H1165" s="1">
        <v>9.0432640000000004E-8</v>
      </c>
      <c r="I1165">
        <v>299.1028</v>
      </c>
      <c r="J1165">
        <v>-191.8742</v>
      </c>
      <c r="K1165">
        <v>1.1222749999999999</v>
      </c>
      <c r="L1165">
        <v>327.63529999999997</v>
      </c>
      <c r="M1165">
        <v>-2.0239099999999999E-2</v>
      </c>
      <c r="N1165">
        <v>-1.3209540000000001E-2</v>
      </c>
      <c r="O1165">
        <v>-0.99970809999999999</v>
      </c>
      <c r="P1165">
        <v>-0.13570589999999999</v>
      </c>
      <c r="Q1165">
        <v>0.19274569999999999</v>
      </c>
      <c r="R1165">
        <v>-0.97181969999999995</v>
      </c>
      <c r="S1165">
        <v>-0.33898929999999999</v>
      </c>
      <c r="T1165">
        <v>-0.1193697</v>
      </c>
      <c r="U1165">
        <v>-3.0628359999999999</v>
      </c>
      <c r="V1165">
        <v>0.115457199999999</v>
      </c>
      <c r="W1165">
        <v>0.2059095</v>
      </c>
      <c r="X1165">
        <v>0.97173600000000004</v>
      </c>
      <c r="Y1165">
        <v>8.979935E-2</v>
      </c>
      <c r="Z1165">
        <v>2.554712E-2</v>
      </c>
      <c r="AA1165">
        <v>0.99563219999999997</v>
      </c>
      <c r="AB1165">
        <v>30</v>
      </c>
      <c r="AC1165">
        <v>-3.1828000000000101</v>
      </c>
      <c r="AD1165">
        <v>-1.1222749095673601</v>
      </c>
      <c r="AE1165">
        <v>-28.532499999999899</v>
      </c>
      <c r="AF1165">
        <v>2.6006515321628001</v>
      </c>
      <c r="AG1165">
        <v>-1.1222749095673601</v>
      </c>
      <c r="AH1165">
        <v>28.5474542453941</v>
      </c>
      <c r="AI1165">
        <v>92.242012729234006</v>
      </c>
      <c r="AJ1165">
        <v>84.794765546852005</v>
      </c>
      <c r="AK1165">
        <v>28.6876285750017</v>
      </c>
      <c r="AL1165">
        <v>78.117254154834995</v>
      </c>
      <c r="AM1165">
        <v>83.224145113232694</v>
      </c>
      <c r="AN1165">
        <v>0.99999997045904399</v>
      </c>
    </row>
    <row r="1166" spans="1:40" x14ac:dyDescent="0.25">
      <c r="A1166" t="str">
        <f>"20190303171001038"</f>
        <v>20190303171001038</v>
      </c>
      <c r="B1166" t="str">
        <f>"1551604201032084"</f>
        <v>1551604201032084</v>
      </c>
      <c r="C1166" t="s">
        <v>40</v>
      </c>
      <c r="D1166">
        <v>4.914288</v>
      </c>
      <c r="E1166">
        <v>0.52058249999999995</v>
      </c>
      <c r="F1166" t="s">
        <v>52</v>
      </c>
      <c r="G1166">
        <v>-196.5789</v>
      </c>
      <c r="H1166" s="1">
        <v>9.7073450000000003E-8</v>
      </c>
      <c r="I1166">
        <v>299.06509999999997</v>
      </c>
      <c r="J1166">
        <v>-191.87819999999999</v>
      </c>
      <c r="K1166">
        <v>1.1222639999999999</v>
      </c>
      <c r="L1166">
        <v>327.38069999999999</v>
      </c>
      <c r="M1166">
        <v>-1.9074689999999998E-2</v>
      </c>
      <c r="N1166">
        <v>-1.3140249999999999E-2</v>
      </c>
      <c r="O1166">
        <v>-0.99973179999999995</v>
      </c>
      <c r="P1166">
        <v>-0.13546329999999901</v>
      </c>
      <c r="Q1166">
        <v>0.19339229999999999</v>
      </c>
      <c r="R1166">
        <v>-0.9717249</v>
      </c>
      <c r="S1166">
        <v>-0.50073239999999997</v>
      </c>
      <c r="T1166">
        <v>-0.1194471</v>
      </c>
      <c r="U1166">
        <v>-3.0408019999999998</v>
      </c>
      <c r="V1166">
        <v>0.116351</v>
      </c>
      <c r="W1166">
        <v>0.20648710000000001</v>
      </c>
      <c r="X1166">
        <v>0.9715068</v>
      </c>
      <c r="Y1166">
        <v>0.1435284</v>
      </c>
      <c r="Z1166">
        <v>2.5663470000000001E-2</v>
      </c>
      <c r="AA1166">
        <v>0.98931340000000001</v>
      </c>
      <c r="AB1166">
        <v>30</v>
      </c>
      <c r="AC1166">
        <v>-4.7007000000000101</v>
      </c>
      <c r="AD1166">
        <v>-1.12226390292655</v>
      </c>
      <c r="AE1166">
        <v>-28.3156</v>
      </c>
      <c r="AF1166">
        <v>4.1533373952152504</v>
      </c>
      <c r="AG1166">
        <v>-1.12226390292655</v>
      </c>
      <c r="AH1166">
        <v>28.356769637079999</v>
      </c>
      <c r="AI1166">
        <v>92.242486905339703</v>
      </c>
      <c r="AJ1166">
        <v>81.667295194996001</v>
      </c>
      <c r="AK1166">
        <v>28.681284351240802</v>
      </c>
      <c r="AL1166">
        <v>78.0834333037959</v>
      </c>
      <c r="AM1166">
        <v>83.170588233138503</v>
      </c>
      <c r="AN1166">
        <v>0.99999997005682395</v>
      </c>
    </row>
    <row r="1167" spans="1:40" x14ac:dyDescent="0.25">
      <c r="A1167" t="str">
        <f>"20190303171001061"</f>
        <v>20190303171001061</v>
      </c>
      <c r="B1167" t="str">
        <f>"1551604201051604"</f>
        <v>1551604201051604</v>
      </c>
      <c r="C1167" t="s">
        <v>40</v>
      </c>
      <c r="D1167">
        <v>4.912058</v>
      </c>
      <c r="E1167">
        <v>0.52254650000000002</v>
      </c>
      <c r="F1167" t="s">
        <v>42</v>
      </c>
      <c r="G1167">
        <v>-196.57249999999999</v>
      </c>
      <c r="H1167" s="1">
        <v>-2.1068089999999999E-6</v>
      </c>
      <c r="I1167">
        <v>300.4237</v>
      </c>
      <c r="J1167">
        <v>-191.88249999999999</v>
      </c>
      <c r="K1167">
        <v>1.1222510000000001</v>
      </c>
      <c r="L1167">
        <v>327.0736</v>
      </c>
      <c r="M1167">
        <v>-1.7676250000000001E-2</v>
      </c>
      <c r="N1167">
        <v>-1.3049E-2</v>
      </c>
      <c r="O1167">
        <v>-0.99975849999999999</v>
      </c>
      <c r="P1167">
        <v>-0.1341387</v>
      </c>
      <c r="Q1167">
        <v>0.19361210000000001</v>
      </c>
      <c r="R1167">
        <v>-0.97186490000000003</v>
      </c>
      <c r="S1167">
        <v>-0.5291595</v>
      </c>
      <c r="T1167">
        <v>-0.12650610000000001</v>
      </c>
      <c r="U1167">
        <v>-3.0386959999999998</v>
      </c>
      <c r="V1167">
        <v>0.1163894</v>
      </c>
      <c r="W1167">
        <v>0.20661640000000001</v>
      </c>
      <c r="X1167">
        <v>0.97147479999999997</v>
      </c>
      <c r="Y1167">
        <v>0.15399489999999999</v>
      </c>
      <c r="Z1167">
        <v>2.800822E-2</v>
      </c>
      <c r="AA1167">
        <v>0.98767459999999996</v>
      </c>
      <c r="AB1167">
        <v>30</v>
      </c>
      <c r="AC1167">
        <v>-4.6899999999999897</v>
      </c>
      <c r="AD1167">
        <v>-1.122253106809</v>
      </c>
      <c r="AE1167">
        <v>-26.649899999999999</v>
      </c>
      <c r="AF1167">
        <v>4.21091363468914</v>
      </c>
      <c r="AG1167">
        <v>-1.122253106809</v>
      </c>
      <c r="AH1167">
        <v>26.6827482923436</v>
      </c>
      <c r="AI1167">
        <v>92.378983049052707</v>
      </c>
      <c r="AJ1167">
        <v>81.031881780889194</v>
      </c>
      <c r="AK1167">
        <v>27.036277519420398</v>
      </c>
      <c r="AL1167">
        <v>78.075862747741397</v>
      </c>
      <c r="AM1167">
        <v>83.168132676368501</v>
      </c>
      <c r="AN1167">
        <v>1.0000000581081701</v>
      </c>
    </row>
    <row r="1168" spans="1:40" x14ac:dyDescent="0.25">
      <c r="A1168" t="str">
        <f>"20190303171001082"</f>
        <v>20190303171001082</v>
      </c>
      <c r="B1168" t="str">
        <f>"1551604201072100"</f>
        <v>1551604201072100</v>
      </c>
      <c r="C1168" t="s">
        <v>40</v>
      </c>
      <c r="D1168">
        <v>4.8849689999999999</v>
      </c>
      <c r="E1168">
        <v>0.52394129999999906</v>
      </c>
      <c r="F1168" t="s">
        <v>42</v>
      </c>
      <c r="G1168">
        <v>-196.57339999999999</v>
      </c>
      <c r="H1168" s="1">
        <v>-2.23412E-6</v>
      </c>
      <c r="I1168">
        <v>300.7199</v>
      </c>
      <c r="J1168">
        <v>-191.8861</v>
      </c>
      <c r="K1168">
        <v>1.1222259999999999</v>
      </c>
      <c r="L1168">
        <v>326.78710000000001</v>
      </c>
      <c r="M1168">
        <v>-1.6382480000000001E-2</v>
      </c>
      <c r="N1168">
        <v>-1.295758E-2</v>
      </c>
      <c r="O1168">
        <v>-0.99978199999999995</v>
      </c>
      <c r="P1168">
        <v>-0.13257550000000001</v>
      </c>
      <c r="Q1168">
        <v>0.19345390000000001</v>
      </c>
      <c r="R1168">
        <v>-0.97211099999999995</v>
      </c>
      <c r="S1168">
        <v>-0.54075620000000002</v>
      </c>
      <c r="T1168">
        <v>-0.12937069999999901</v>
      </c>
      <c r="U1168">
        <v>-3.0379939999999999</v>
      </c>
      <c r="V1168">
        <v>0.1160877</v>
      </c>
      <c r="W1168">
        <v>0.20636669999999999</v>
      </c>
      <c r="X1168">
        <v>0.97156390000000004</v>
      </c>
      <c r="Y1168">
        <v>0.15895970000000001</v>
      </c>
      <c r="Z1168">
        <v>2.9006870000000001E-2</v>
      </c>
      <c r="AA1168">
        <v>0.98685880000000004</v>
      </c>
      <c r="AB1168">
        <v>30</v>
      </c>
      <c r="AC1168">
        <v>-4.6872999999999898</v>
      </c>
      <c r="AD1168">
        <v>-1.1222282341200001</v>
      </c>
      <c r="AE1168">
        <v>-26.0672</v>
      </c>
      <c r="AF1168">
        <v>4.25195585859817</v>
      </c>
      <c r="AG1168">
        <v>-1.1222282341200001</v>
      </c>
      <c r="AH1168">
        <v>26.093649478845599</v>
      </c>
      <c r="AI1168">
        <v>92.430623813580198</v>
      </c>
      <c r="AJ1168">
        <v>80.745005014734105</v>
      </c>
      <c r="AK1168">
        <v>26.461614991488801</v>
      </c>
      <c r="AL1168">
        <v>78.090483809686205</v>
      </c>
      <c r="AM1168">
        <v>83.186294284898594</v>
      </c>
      <c r="AN1168">
        <v>0.99999999037169496</v>
      </c>
    </row>
    <row r="1169" spans="1:40" x14ac:dyDescent="0.25">
      <c r="A1169" t="str">
        <f>"20190303171001108"</f>
        <v>20190303171001108</v>
      </c>
      <c r="B1169" t="str">
        <f>"1551604201101380"</f>
        <v>1551604201101380</v>
      </c>
      <c r="C1169" t="s">
        <v>40</v>
      </c>
      <c r="D1169">
        <v>4.8992449999999996</v>
      </c>
      <c r="E1169">
        <v>0.52559889999999998</v>
      </c>
      <c r="F1169" t="s">
        <v>42</v>
      </c>
      <c r="G1169">
        <v>-196.54929999999999</v>
      </c>
      <c r="H1169" s="1">
        <v>-2.3104949999999998E-6</v>
      </c>
      <c r="I1169">
        <v>300.91289999999998</v>
      </c>
      <c r="J1169">
        <v>-191.89</v>
      </c>
      <c r="K1169">
        <v>1.1221939999999999</v>
      </c>
      <c r="L1169">
        <v>326.44990000000001</v>
      </c>
      <c r="M1169">
        <v>-1.4880030000000001E-2</v>
      </c>
      <c r="N1169">
        <v>-1.284221E-2</v>
      </c>
      <c r="O1169">
        <v>-0.99980690000000005</v>
      </c>
      <c r="P1169">
        <v>-0.1300829</v>
      </c>
      <c r="Q1169">
        <v>0.19241539999999999</v>
      </c>
      <c r="R1169">
        <v>-0.97265369999999995</v>
      </c>
      <c r="S1169">
        <v>-0.54745480000000002</v>
      </c>
      <c r="T1169">
        <v>-0.13174949999999999</v>
      </c>
      <c r="U1169">
        <v>-3.0376280000000002</v>
      </c>
      <c r="V1169">
        <v>0.1150616</v>
      </c>
      <c r="W1169">
        <v>0.2052137</v>
      </c>
      <c r="X1169">
        <v>0.97193010000000002</v>
      </c>
      <c r="Y1169">
        <v>0.1625654</v>
      </c>
      <c r="Z1169">
        <v>2.9876349999999999E-2</v>
      </c>
      <c r="AA1169">
        <v>0.98624529999999999</v>
      </c>
      <c r="AB1169">
        <v>30</v>
      </c>
      <c r="AC1169">
        <v>-4.6593</v>
      </c>
      <c r="AD1169">
        <v>-1.1221963104949999</v>
      </c>
      <c r="AE1169">
        <v>-25.536999999999999</v>
      </c>
      <c r="AF1169">
        <v>4.2707799577331302</v>
      </c>
      <c r="AG1169">
        <v>-1.1221963104949999</v>
      </c>
      <c r="AH1169">
        <v>25.5557484309196</v>
      </c>
      <c r="AI1169">
        <v>92.479991636139502</v>
      </c>
      <c r="AJ1169">
        <v>80.5126185208739</v>
      </c>
      <c r="AK1169">
        <v>25.9344397254137</v>
      </c>
      <c r="AL1169">
        <v>78.157990595978205</v>
      </c>
      <c r="AM1169">
        <v>83.248483119711096</v>
      </c>
      <c r="AN1169">
        <v>0.999999976874129</v>
      </c>
    </row>
    <row r="1170" spans="1:40" x14ac:dyDescent="0.25">
      <c r="A1170" t="str">
        <f>"20190303171001129"</f>
        <v>20190303171001129</v>
      </c>
      <c r="B1170" t="str">
        <f>"1551604201121876"</f>
        <v>1551604201121876</v>
      </c>
      <c r="C1170" t="s">
        <v>40</v>
      </c>
      <c r="D1170">
        <v>4.9226970000000003</v>
      </c>
      <c r="E1170">
        <v>0.52638549999999995</v>
      </c>
      <c r="F1170" t="s">
        <v>42</v>
      </c>
      <c r="G1170">
        <v>-196.49719999999999</v>
      </c>
      <c r="H1170" s="1">
        <v>-2.4007219999999999E-6</v>
      </c>
      <c r="I1170">
        <v>301.15550000000002</v>
      </c>
      <c r="J1170">
        <v>-191.8929</v>
      </c>
      <c r="K1170">
        <v>1.122161</v>
      </c>
      <c r="L1170">
        <v>326.16649999999998</v>
      </c>
      <c r="M1170">
        <v>-1.36385E-2</v>
      </c>
      <c r="N1170">
        <v>-1.2739729999999999E-2</v>
      </c>
      <c r="O1170">
        <v>-0.99982590000000005</v>
      </c>
      <c r="P1170">
        <v>-0.1286388</v>
      </c>
      <c r="Q1170">
        <v>0.19193569999999999</v>
      </c>
      <c r="R1170">
        <v>-0.97294029999999998</v>
      </c>
      <c r="S1170">
        <v>-0.55317689999999997</v>
      </c>
      <c r="T1170">
        <v>-0.1347401</v>
      </c>
      <c r="U1170">
        <v>-3.037048</v>
      </c>
      <c r="V1170">
        <v>0.11483309999999999</v>
      </c>
      <c r="W1170">
        <v>0.2046307</v>
      </c>
      <c r="X1170">
        <v>0.9720801</v>
      </c>
      <c r="Y1170">
        <v>0.1656145</v>
      </c>
      <c r="Z1170">
        <v>3.0936060000000001E-2</v>
      </c>
      <c r="AA1170">
        <v>0.98570530000000001</v>
      </c>
      <c r="AB1170">
        <v>30</v>
      </c>
      <c r="AC1170">
        <v>-4.6042999999999896</v>
      </c>
      <c r="AD1170">
        <v>-1.122163400722</v>
      </c>
      <c r="AE1170">
        <v>-25.0109999999999</v>
      </c>
      <c r="AF1170">
        <v>4.2544479052430804</v>
      </c>
      <c r="AG1170">
        <v>-1.122163400722</v>
      </c>
      <c r="AH1170">
        <v>25.022753795691798</v>
      </c>
      <c r="AI1170">
        <v>92.5314692744968</v>
      </c>
      <c r="AJ1170">
        <v>80.350664472339005</v>
      </c>
      <c r="AK1170">
        <v>25.4066484447705</v>
      </c>
      <c r="AL1170">
        <v>78.192119071972598</v>
      </c>
      <c r="AM1170">
        <v>83.262797708674498</v>
      </c>
      <c r="AN1170">
        <v>1.0000000425270501</v>
      </c>
    </row>
    <row r="1171" spans="1:40" x14ac:dyDescent="0.25">
      <c r="A1171" t="str">
        <f>"20190303171001150"</f>
        <v>20190303171001150</v>
      </c>
      <c r="B1171" t="str">
        <f>"1551604201141396"</f>
        <v>1551604201141396</v>
      </c>
      <c r="C1171" t="s">
        <v>40</v>
      </c>
      <c r="D1171">
        <v>4.9380350000000002</v>
      </c>
      <c r="E1171">
        <v>0.52699890000000005</v>
      </c>
      <c r="F1171" t="s">
        <v>42</v>
      </c>
      <c r="G1171">
        <v>-196.44579999999999</v>
      </c>
      <c r="H1171" s="1">
        <v>-2.4210499999999999E-6</v>
      </c>
      <c r="I1171">
        <v>301.23480000000001</v>
      </c>
      <c r="J1171">
        <v>-191.8954</v>
      </c>
      <c r="K1171">
        <v>1.122126</v>
      </c>
      <c r="L1171">
        <v>325.88249999999999</v>
      </c>
      <c r="M1171">
        <v>-1.2417569999999999E-2</v>
      </c>
      <c r="N1171">
        <v>-1.26368E-2</v>
      </c>
      <c r="O1171">
        <v>-0.99984340000000005</v>
      </c>
      <c r="P1171">
        <v>-0.12678319999999901</v>
      </c>
      <c r="Q1171">
        <v>0.1925471</v>
      </c>
      <c r="R1171">
        <v>-0.97306340000000002</v>
      </c>
      <c r="S1171">
        <v>-0.55462650000000002</v>
      </c>
      <c r="T1171">
        <v>-0.13669879999999901</v>
      </c>
      <c r="U1171">
        <v>-3.0371090000000001</v>
      </c>
      <c r="V1171">
        <v>0.114174</v>
      </c>
      <c r="W1171">
        <v>0.20513439999999999</v>
      </c>
      <c r="X1171">
        <v>0.97205160000000002</v>
      </c>
      <c r="Y1171">
        <v>0.16726559999999999</v>
      </c>
      <c r="Z1171">
        <v>3.1663190000000001E-2</v>
      </c>
      <c r="AA1171">
        <v>0.98540329999999998</v>
      </c>
      <c r="AB1171">
        <v>30</v>
      </c>
      <c r="AC1171">
        <v>-4.55039999999999</v>
      </c>
      <c r="AD1171">
        <v>-1.12212842105</v>
      </c>
      <c r="AE1171">
        <v>-24.647699999999901</v>
      </c>
      <c r="AF1171">
        <v>4.2354708056487098</v>
      </c>
      <c r="AG1171">
        <v>-1.12212842105</v>
      </c>
      <c r="AH1171">
        <v>24.6528953563834</v>
      </c>
      <c r="AI1171">
        <v>92.568558707203593</v>
      </c>
      <c r="AJ1171">
        <v>80.251515608553902</v>
      </c>
      <c r="AK1171">
        <v>25.039241893308599</v>
      </c>
      <c r="AL1171">
        <v>78.162634017118506</v>
      </c>
      <c r="AM1171">
        <v>83.300919729056403</v>
      </c>
      <c r="AN1171">
        <v>1.00000006870095</v>
      </c>
    </row>
    <row r="1172" spans="1:40" x14ac:dyDescent="0.25">
      <c r="A1172" t="str">
        <f>"20190303171001175"</f>
        <v>20190303171001175</v>
      </c>
      <c r="B1172" t="str">
        <f>"1551604201161893"</f>
        <v>1551604201161893</v>
      </c>
      <c r="C1172" t="s">
        <v>40</v>
      </c>
      <c r="D1172">
        <v>4.9239620000000004</v>
      </c>
      <c r="E1172">
        <v>0.52733759999999996</v>
      </c>
      <c r="F1172" t="s">
        <v>42</v>
      </c>
      <c r="G1172">
        <v>-196.45660000000001</v>
      </c>
      <c r="H1172" s="1">
        <v>-2.2552940000000001E-6</v>
      </c>
      <c r="I1172">
        <v>300.8417</v>
      </c>
      <c r="J1172">
        <v>-191.898</v>
      </c>
      <c r="K1172">
        <v>1.1220950000000001</v>
      </c>
      <c r="L1172">
        <v>325.5505</v>
      </c>
      <c r="M1172">
        <v>-1.1020449999999999E-2</v>
      </c>
      <c r="N1172">
        <v>-1.251992E-2</v>
      </c>
      <c r="O1172">
        <v>-0.99986109999999995</v>
      </c>
      <c r="P1172">
        <v>-0.1249951</v>
      </c>
      <c r="Q1172">
        <v>0.19390089999999999</v>
      </c>
      <c r="R1172">
        <v>-0.9730259</v>
      </c>
      <c r="S1172">
        <v>-0.55335999999999996</v>
      </c>
      <c r="T1172">
        <v>-0.13613720000000001</v>
      </c>
      <c r="U1172">
        <v>-3.0379640000000001</v>
      </c>
      <c r="V1172">
        <v>0.1137567</v>
      </c>
      <c r="W1172">
        <v>0.20636489999999999</v>
      </c>
      <c r="X1172">
        <v>0.97184000000000004</v>
      </c>
      <c r="Y1172">
        <v>0.1681976</v>
      </c>
      <c r="Z1172">
        <v>3.158366E-2</v>
      </c>
      <c r="AA1172">
        <v>0.98524719999999999</v>
      </c>
      <c r="AB1172">
        <v>30</v>
      </c>
      <c r="AC1172">
        <v>-4.55860000000001</v>
      </c>
      <c r="AD1172">
        <v>-1.1220972552940001</v>
      </c>
      <c r="AE1172">
        <v>-24.7088</v>
      </c>
      <c r="AF1172">
        <v>4.2774685830632801</v>
      </c>
      <c r="AG1172">
        <v>-1.1220972552940001</v>
      </c>
      <c r="AH1172">
        <v>24.70826183798</v>
      </c>
      <c r="AI1172">
        <v>92.562176163648203</v>
      </c>
      <c r="AJ1172">
        <v>80.178360912248905</v>
      </c>
      <c r="AK1172">
        <v>25.100877330954201</v>
      </c>
      <c r="AL1172">
        <v>78.090589595150306</v>
      </c>
      <c r="AM1172">
        <v>83.323742986527407</v>
      </c>
      <c r="AN1172">
        <v>1.00000002217344</v>
      </c>
    </row>
    <row r="1173" spans="1:40" x14ac:dyDescent="0.25">
      <c r="A1173" t="str">
        <f>"20190303171001198"</f>
        <v>20190303171001198</v>
      </c>
      <c r="B1173" t="str">
        <f>"1551604201192148"</f>
        <v>1551604201192148</v>
      </c>
      <c r="C1173" t="s">
        <v>40</v>
      </c>
      <c r="D1173">
        <v>5.1318190000000001</v>
      </c>
      <c r="E1173">
        <v>0.52816149999999995</v>
      </c>
      <c r="F1173" t="s">
        <v>42</v>
      </c>
      <c r="G1173">
        <v>-196.476</v>
      </c>
      <c r="H1173" s="1">
        <v>-2.0200320000000002E-6</v>
      </c>
      <c r="I1173">
        <v>300.28129999999999</v>
      </c>
      <c r="J1173">
        <v>-191.90010000000001</v>
      </c>
      <c r="K1173">
        <v>1.1220699999999999</v>
      </c>
      <c r="L1173">
        <v>325.2432</v>
      </c>
      <c r="M1173">
        <v>-9.762171E-3</v>
      </c>
      <c r="N1173">
        <v>-1.2417620000000001E-2</v>
      </c>
      <c r="O1173">
        <v>-0.99987519999999996</v>
      </c>
      <c r="P1173">
        <v>-0.12279039999999999</v>
      </c>
      <c r="Q1173">
        <v>0.1948985</v>
      </c>
      <c r="R1173">
        <v>-0.97310719999999995</v>
      </c>
      <c r="S1173">
        <v>-0.55064389999999996</v>
      </c>
      <c r="T1173">
        <v>-0.13496659999999999</v>
      </c>
      <c r="U1173">
        <v>-3.0393979999999998</v>
      </c>
      <c r="V1173">
        <v>0.1127862</v>
      </c>
      <c r="W1173">
        <v>0.2072532</v>
      </c>
      <c r="X1173">
        <v>0.97176410000000002</v>
      </c>
      <c r="Y1173">
        <v>0.1685063</v>
      </c>
      <c r="Z1173">
        <v>3.1288730000000001E-2</v>
      </c>
      <c r="AA1173">
        <v>0.98520390000000002</v>
      </c>
      <c r="AB1173">
        <v>30</v>
      </c>
      <c r="AC1173">
        <v>-4.5758999999999901</v>
      </c>
      <c r="AD1173">
        <v>-1.122072020032</v>
      </c>
      <c r="AE1173">
        <v>-24.9619</v>
      </c>
      <c r="AF1173">
        <v>4.3235285760099398</v>
      </c>
      <c r="AG1173">
        <v>-1.122072020032</v>
      </c>
      <c r="AH1173">
        <v>24.9565960556302</v>
      </c>
      <c r="AI1173">
        <v>92.536604981859895</v>
      </c>
      <c r="AJ1173">
        <v>80.1715210335027</v>
      </c>
      <c r="AK1173">
        <v>25.353177939848301</v>
      </c>
      <c r="AL1173">
        <v>78.038569367816805</v>
      </c>
      <c r="AM1173">
        <v>83.379680450104601</v>
      </c>
      <c r="AN1173">
        <v>1.00000004093474</v>
      </c>
    </row>
    <row r="1174" spans="1:40" x14ac:dyDescent="0.25">
      <c r="A1174" t="str">
        <f>"20190303171001218"</f>
        <v>20190303171001218</v>
      </c>
      <c r="B1174" t="str">
        <f>"1551604201211668"</f>
        <v>1551604201211668</v>
      </c>
      <c r="C1174" t="s">
        <v>40</v>
      </c>
      <c r="D1174">
        <v>4.9424049999999999</v>
      </c>
      <c r="E1174">
        <v>0.52877399999999997</v>
      </c>
      <c r="F1174" t="s">
        <v>42</v>
      </c>
      <c r="G1174">
        <v>-196.4605</v>
      </c>
      <c r="H1174" s="1">
        <v>-1.9148560000000001E-6</v>
      </c>
      <c r="I1174">
        <v>300.04570000000001</v>
      </c>
      <c r="J1174">
        <v>-191.9016</v>
      </c>
      <c r="K1174">
        <v>1.122045</v>
      </c>
      <c r="L1174">
        <v>324.96600000000001</v>
      </c>
      <c r="M1174">
        <v>-8.6560500000000002E-3</v>
      </c>
      <c r="N1174">
        <v>-1.232773E-2</v>
      </c>
      <c r="O1174">
        <v>-0.99988659999999996</v>
      </c>
      <c r="P1174">
        <v>-0.1218455</v>
      </c>
      <c r="Q1174">
        <v>0.19539999999999999</v>
      </c>
      <c r="R1174">
        <v>-0.97312520000000002</v>
      </c>
      <c r="S1174">
        <v>-0.55030819999999903</v>
      </c>
      <c r="T1174">
        <v>-0.13540089999999999</v>
      </c>
      <c r="U1174">
        <v>-3.0405880000000001</v>
      </c>
      <c r="V1174">
        <v>0.112928</v>
      </c>
      <c r="W1174">
        <v>0.20766080000000001</v>
      </c>
      <c r="X1174">
        <v>0.97166059999999999</v>
      </c>
      <c r="Y1174">
        <v>0.16942260000000001</v>
      </c>
      <c r="Z1174">
        <v>3.1498419999999999E-2</v>
      </c>
      <c r="AA1174">
        <v>0.98504000000000003</v>
      </c>
      <c r="AB1174">
        <v>30</v>
      </c>
      <c r="AC1174">
        <v>-4.5588999999999897</v>
      </c>
      <c r="AD1174">
        <v>-1.1220469148559999</v>
      </c>
      <c r="AE1174">
        <v>-24.920300000000001</v>
      </c>
      <c r="AF1174">
        <v>4.3344987146114304</v>
      </c>
      <c r="AG1174">
        <v>-1.1220469148559999</v>
      </c>
      <c r="AH1174">
        <v>24.909966947978901</v>
      </c>
      <c r="AI1174">
        <v>92.540963184773801</v>
      </c>
      <c r="AJ1174">
        <v>80.128989980933099</v>
      </c>
      <c r="AK1174">
        <v>25.3091548996703</v>
      </c>
      <c r="AL1174">
        <v>78.014696111169002</v>
      </c>
      <c r="AM1174">
        <v>83.370731321342902</v>
      </c>
      <c r="AN1174">
        <v>1.0000000313164901</v>
      </c>
    </row>
    <row r="1175" spans="1:40" x14ac:dyDescent="0.25">
      <c r="A1175" t="str">
        <f>"20190303171001238"</f>
        <v>20190303171001238</v>
      </c>
      <c r="B1175" t="str">
        <f>"1551604201231188"</f>
        <v>1551604201231188</v>
      </c>
      <c r="C1175" t="s">
        <v>40</v>
      </c>
      <c r="D1175">
        <v>4.9592239999999999</v>
      </c>
      <c r="E1175">
        <v>0.52939669999999905</v>
      </c>
      <c r="F1175" t="s">
        <v>52</v>
      </c>
      <c r="G1175">
        <v>-196.50970000000001</v>
      </c>
      <c r="H1175" s="1">
        <v>5.9262880000000004E-9</v>
      </c>
      <c r="I1175">
        <v>299.58269999999999</v>
      </c>
      <c r="J1175">
        <v>-191.90280000000001</v>
      </c>
      <c r="K1175">
        <v>1.1220239999999999</v>
      </c>
      <c r="L1175">
        <v>324.69929999999999</v>
      </c>
      <c r="M1175">
        <v>-7.6118660000000001E-3</v>
      </c>
      <c r="N1175">
        <v>-1.224692E-2</v>
      </c>
      <c r="O1175">
        <v>-0.99989620000000001</v>
      </c>
      <c r="P1175">
        <v>-0.1208968</v>
      </c>
      <c r="Q1175">
        <v>0.19547100000000001</v>
      </c>
      <c r="R1175">
        <v>-0.97322949999999997</v>
      </c>
      <c r="S1175">
        <v>-0.55201719999999999</v>
      </c>
      <c r="T1175">
        <v>-0.1344129</v>
      </c>
      <c r="U1175">
        <v>-3.0407410000000001</v>
      </c>
      <c r="V1175">
        <v>0.1130047</v>
      </c>
      <c r="W1175">
        <v>0.2076482</v>
      </c>
      <c r="X1175">
        <v>0.97165440000000003</v>
      </c>
      <c r="Y1175">
        <v>0.17098060000000001</v>
      </c>
      <c r="Z1175">
        <v>3.1249180000000001E-2</v>
      </c>
      <c r="AA1175">
        <v>0.98477870000000001</v>
      </c>
      <c r="AB1175">
        <v>30</v>
      </c>
      <c r="AC1175">
        <v>-4.6068999999999898</v>
      </c>
      <c r="AD1175">
        <v>-1.12202399407371</v>
      </c>
      <c r="AE1175">
        <v>-25.116599999999998</v>
      </c>
      <c r="AF1175">
        <v>4.4070593602056398</v>
      </c>
      <c r="AG1175">
        <v>-1.12202399407371</v>
      </c>
      <c r="AH1175">
        <v>25.1024769375434</v>
      </c>
      <c r="AI1175">
        <v>92.520785910129405</v>
      </c>
      <c r="AJ1175">
        <v>80.042473549206605</v>
      </c>
      <c r="AK1175">
        <v>25.511085011178</v>
      </c>
      <c r="AL1175">
        <v>78.015434414437294</v>
      </c>
      <c r="AM1175">
        <v>83.366226928342201</v>
      </c>
      <c r="AN1175">
        <v>1.00000005511234</v>
      </c>
    </row>
    <row r="1176" spans="1:40" x14ac:dyDescent="0.25">
      <c r="A1176" t="str">
        <f>"20190303171001262"</f>
        <v>20190303171001262</v>
      </c>
      <c r="B1176" t="str">
        <f>"1551604201251684"</f>
        <v>1551604201251684</v>
      </c>
      <c r="C1176" t="s">
        <v>40</v>
      </c>
      <c r="D1176">
        <v>4.9841480000000002</v>
      </c>
      <c r="E1176">
        <v>0.52980950000000004</v>
      </c>
      <c r="F1176" t="s">
        <v>52</v>
      </c>
      <c r="G1176">
        <v>-196.49109999999999</v>
      </c>
      <c r="H1176" s="1">
        <v>2.3364339999999999E-8</v>
      </c>
      <c r="I1176">
        <v>299.4837</v>
      </c>
      <c r="J1176">
        <v>-191.90379999999999</v>
      </c>
      <c r="K1176">
        <v>1.1220000000000001</v>
      </c>
      <c r="L1176">
        <v>324.37889999999999</v>
      </c>
      <c r="M1176">
        <v>-6.382581E-3</v>
      </c>
      <c r="N1176">
        <v>-1.2158459999999999E-2</v>
      </c>
      <c r="O1176">
        <v>-0.99990590000000001</v>
      </c>
      <c r="P1176">
        <v>-0.1204548</v>
      </c>
      <c r="Q1176">
        <v>0.1957081</v>
      </c>
      <c r="R1176">
        <v>-0.97323669999999995</v>
      </c>
      <c r="S1176">
        <v>-0.55334469999999902</v>
      </c>
      <c r="T1176">
        <v>-0.13531399999999999</v>
      </c>
      <c r="U1176">
        <v>-3.0409549999999999</v>
      </c>
      <c r="V1176">
        <v>0.113769</v>
      </c>
      <c r="W1176">
        <v>0.2077947</v>
      </c>
      <c r="X1176">
        <v>0.9715338</v>
      </c>
      <c r="Y1176">
        <v>0.1725932</v>
      </c>
      <c r="Z1176">
        <v>3.161692E-2</v>
      </c>
      <c r="AA1176">
        <v>0.98448559999999996</v>
      </c>
      <c r="AB1176">
        <v>30</v>
      </c>
      <c r="AC1176">
        <v>-4.5872999999999902</v>
      </c>
      <c r="AD1176">
        <v>-1.1219999766356501</v>
      </c>
      <c r="AE1176">
        <v>-24.8951999999999</v>
      </c>
      <c r="AF1176">
        <v>4.4196168348173703</v>
      </c>
      <c r="AG1176">
        <v>-1.1219999766356501</v>
      </c>
      <c r="AH1176">
        <v>24.875106499065801</v>
      </c>
      <c r="AI1176">
        <v>92.542824883775907</v>
      </c>
      <c r="AJ1176">
        <v>79.925261627031702</v>
      </c>
      <c r="AK1176">
        <v>25.2895792818709</v>
      </c>
      <c r="AL1176">
        <v>78.006852422793798</v>
      </c>
      <c r="AM1176">
        <v>83.320942246987499</v>
      </c>
      <c r="AN1176">
        <v>0.99999997362576398</v>
      </c>
    </row>
    <row r="1177" spans="1:40" x14ac:dyDescent="0.25">
      <c r="A1177" t="str">
        <f>"20190303171001285"</f>
        <v>20190303171001285</v>
      </c>
      <c r="B1177" t="str">
        <f>"1551604201271204"</f>
        <v>1551604201271204</v>
      </c>
      <c r="C1177" t="s">
        <v>40</v>
      </c>
      <c r="D1177">
        <v>4.9668559999999999</v>
      </c>
      <c r="E1177">
        <v>0.5302713</v>
      </c>
      <c r="F1177" t="s">
        <v>52</v>
      </c>
      <c r="G1177">
        <v>-196.50200000000001</v>
      </c>
      <c r="H1177" s="1">
        <v>7.6693789999999898E-8</v>
      </c>
      <c r="I1177">
        <v>299.18079999999998</v>
      </c>
      <c r="J1177">
        <v>-191.90459999999999</v>
      </c>
      <c r="K1177">
        <v>1.1219709999999901</v>
      </c>
      <c r="L1177">
        <v>324.06760000000003</v>
      </c>
      <c r="M1177">
        <v>-5.2104509999999996E-3</v>
      </c>
      <c r="N1177">
        <v>-1.207305E-2</v>
      </c>
      <c r="O1177">
        <v>-0.99991359999999996</v>
      </c>
      <c r="P1177">
        <v>-0.12040820000000001</v>
      </c>
      <c r="Q1177">
        <v>0.19555059999999999</v>
      </c>
      <c r="R1177">
        <v>-0.97327379999999997</v>
      </c>
      <c r="S1177">
        <v>-0.55493159999999997</v>
      </c>
      <c r="T1177">
        <v>-0.13540920000000001</v>
      </c>
      <c r="U1177">
        <v>-3.0410460000000001</v>
      </c>
      <c r="V1177">
        <v>0.1148724</v>
      </c>
      <c r="W1177">
        <v>0.2075507</v>
      </c>
      <c r="X1177">
        <v>0.97145610000000004</v>
      </c>
      <c r="Y1177">
        <v>0.1742389</v>
      </c>
      <c r="Z1177">
        <v>3.1722479999999997E-2</v>
      </c>
      <c r="AA1177">
        <v>0.98419230000000002</v>
      </c>
      <c r="AB1177">
        <v>30</v>
      </c>
      <c r="AC1177">
        <v>-4.5974000000000199</v>
      </c>
      <c r="AD1177">
        <v>-1.1219709233062001</v>
      </c>
      <c r="AE1177">
        <v>-24.886800000000001</v>
      </c>
      <c r="AF1177">
        <v>4.4588931660203599</v>
      </c>
      <c r="AG1177">
        <v>-1.1219709233062001</v>
      </c>
      <c r="AH1177">
        <v>24.861555423666299</v>
      </c>
      <c r="AI1177">
        <v>92.5434063980654</v>
      </c>
      <c r="AJ1177">
        <v>79.832163674741906</v>
      </c>
      <c r="AK1177">
        <v>25.2831462658974</v>
      </c>
      <c r="AL1177">
        <v>78.021143984457495</v>
      </c>
      <c r="AM1177">
        <v>83.256224053832199</v>
      </c>
      <c r="AN1177">
        <v>0.99999995778972905</v>
      </c>
    </row>
    <row r="1178" spans="1:40" x14ac:dyDescent="0.25">
      <c r="A1178" t="str">
        <f>"20190303171001307"</f>
        <v>20190303171001307</v>
      </c>
      <c r="B1178" t="str">
        <f>"1551604201301461"</f>
        <v>1551604201301461</v>
      </c>
      <c r="C1178" t="s">
        <v>40</v>
      </c>
      <c r="D1178">
        <v>4.9716269999999998</v>
      </c>
      <c r="E1178">
        <v>0.53109090000000003</v>
      </c>
      <c r="F1178" t="s">
        <v>52</v>
      </c>
      <c r="G1178">
        <v>-196.4727</v>
      </c>
      <c r="H1178" s="1">
        <v>7.7222369999999994E-8</v>
      </c>
      <c r="I1178">
        <v>299.17790000000002</v>
      </c>
      <c r="J1178">
        <v>-191.9049</v>
      </c>
      <c r="K1178">
        <v>1.121945</v>
      </c>
      <c r="L1178">
        <v>323.76990000000001</v>
      </c>
      <c r="M1178">
        <v>-4.1079530000000001E-3</v>
      </c>
      <c r="N1178">
        <v>-1.1993790000000001E-2</v>
      </c>
      <c r="O1178">
        <v>-0.99991969999999997</v>
      </c>
      <c r="P1178">
        <v>-0.11941649999999999</v>
      </c>
      <c r="Q1178">
        <v>0.19502829999999999</v>
      </c>
      <c r="R1178">
        <v>-0.97350119999999896</v>
      </c>
      <c r="S1178">
        <v>-0.55810550000000003</v>
      </c>
      <c r="T1178">
        <v>-0.13707510000000001</v>
      </c>
      <c r="U1178">
        <v>-3.0408629999999999</v>
      </c>
      <c r="V1178">
        <v>0.1149621</v>
      </c>
      <c r="W1178">
        <v>0.20694899999999999</v>
      </c>
      <c r="X1178">
        <v>0.97157389999999999</v>
      </c>
      <c r="Y1178">
        <v>0.17632429999999999</v>
      </c>
      <c r="Z1178">
        <v>3.2328839999999998E-2</v>
      </c>
      <c r="AA1178">
        <v>0.98380109999999998</v>
      </c>
      <c r="AB1178">
        <v>30</v>
      </c>
      <c r="AC1178">
        <v>-4.5678000000000001</v>
      </c>
      <c r="AD1178">
        <v>-1.1219449227776299</v>
      </c>
      <c r="AE1178">
        <v>-24.591999999999899</v>
      </c>
      <c r="AF1178">
        <v>4.4577624634280602</v>
      </c>
      <c r="AG1178">
        <v>-1.1219449227776299</v>
      </c>
      <c r="AH1178">
        <v>24.561141490745001</v>
      </c>
      <c r="AI1178">
        <v>92.573449695446101</v>
      </c>
      <c r="AJ1178">
        <v>79.712992943125698</v>
      </c>
      <c r="AK1178">
        <v>24.987598482416999</v>
      </c>
      <c r="AL1178">
        <v>78.056384596188494</v>
      </c>
      <c r="AM1178">
        <v>83.251817367748004</v>
      </c>
      <c r="AN1178">
        <v>1.0000000080993099</v>
      </c>
    </row>
    <row r="1179" spans="1:40" x14ac:dyDescent="0.25">
      <c r="A1179" t="str">
        <f>"20190303171001327"</f>
        <v>20190303171001327</v>
      </c>
      <c r="B1179" t="str">
        <f>"1551604201321955"</f>
        <v>1551604201321955</v>
      </c>
      <c r="C1179" t="s">
        <v>40</v>
      </c>
      <c r="D1179">
        <v>4.9930620000000001</v>
      </c>
      <c r="E1179">
        <v>0.53134569999999903</v>
      </c>
      <c r="F1179" t="s">
        <v>52</v>
      </c>
      <c r="G1179">
        <v>-196.44450000000001</v>
      </c>
      <c r="H1179" s="1">
        <v>7.2920979999999896E-8</v>
      </c>
      <c r="I1179">
        <v>299.20229999999998</v>
      </c>
      <c r="J1179">
        <v>-191.905</v>
      </c>
      <c r="K1179">
        <v>1.1219269999999999</v>
      </c>
      <c r="L1179">
        <v>323.4957</v>
      </c>
      <c r="M1179">
        <v>-3.1045880000000001E-3</v>
      </c>
      <c r="N1179">
        <v>-1.192437E-2</v>
      </c>
      <c r="O1179">
        <v>-0.99992420000000004</v>
      </c>
      <c r="P1179">
        <v>-0.11900769999999999</v>
      </c>
      <c r="Q1179">
        <v>0.19458900000000001</v>
      </c>
      <c r="R1179">
        <v>-0.97363880000000003</v>
      </c>
      <c r="S1179">
        <v>-0.56182860000000001</v>
      </c>
      <c r="T1179">
        <v>-0.13885510000000001</v>
      </c>
      <c r="U1179">
        <v>-3.0405579999999999</v>
      </c>
      <c r="V1179">
        <v>0.1155374</v>
      </c>
      <c r="W1179">
        <v>0.2064404</v>
      </c>
      <c r="X1179">
        <v>0.97161379999999997</v>
      </c>
      <c r="Y1179">
        <v>0.1784895</v>
      </c>
      <c r="Z1179">
        <v>3.2962539999999999E-2</v>
      </c>
      <c r="AA1179">
        <v>0.98338959999999997</v>
      </c>
      <c r="AB1179">
        <v>30</v>
      </c>
      <c r="AC1179">
        <v>-4.5395000000000003</v>
      </c>
      <c r="AD1179">
        <v>-1.12192692707902</v>
      </c>
      <c r="AE1179">
        <v>-24.293399999999998</v>
      </c>
      <c r="AF1179">
        <v>4.45487093556976</v>
      </c>
      <c r="AG1179">
        <v>-1.12192692707902</v>
      </c>
      <c r="AH1179">
        <v>24.2573862870398</v>
      </c>
      <c r="AI1179">
        <v>92.604599148955799</v>
      </c>
      <c r="AJ1179">
        <v>79.593585063857901</v>
      </c>
      <c r="AK1179">
        <v>24.6885678920621</v>
      </c>
      <c r="AL1179">
        <v>78.086167729706105</v>
      </c>
      <c r="AM1179">
        <v>83.218637364701806</v>
      </c>
      <c r="AN1179">
        <v>0.99999995295067801</v>
      </c>
    </row>
    <row r="1180" spans="1:40" x14ac:dyDescent="0.25">
      <c r="A1180" t="str">
        <f>"20190303171001353"</f>
        <v>20190303171001353</v>
      </c>
      <c r="B1180" t="str">
        <f>"1551604201341476"</f>
        <v>1551604201341476</v>
      </c>
      <c r="C1180" t="s">
        <v>40</v>
      </c>
      <c r="D1180">
        <v>5.0047969999999999</v>
      </c>
      <c r="E1180">
        <v>0.5395394</v>
      </c>
      <c r="F1180" t="s">
        <v>52</v>
      </c>
      <c r="G1180">
        <v>-196.39240000000001</v>
      </c>
      <c r="H1180" s="1">
        <v>7.152608E-8</v>
      </c>
      <c r="I1180">
        <v>299.21019999999999</v>
      </c>
      <c r="J1180">
        <v>-191.90469999999999</v>
      </c>
      <c r="K1180">
        <v>1.1218999999999999</v>
      </c>
      <c r="L1180">
        <v>323.15359999999998</v>
      </c>
      <c r="M1180">
        <v>-1.8656149999999999E-3</v>
      </c>
      <c r="N1180">
        <v>-1.1836889999999999E-2</v>
      </c>
      <c r="O1180">
        <v>-0.99992820000000004</v>
      </c>
      <c r="P1180">
        <v>-0.11861819999999999</v>
      </c>
      <c r="Q1180">
        <v>0.19429969999999999</v>
      </c>
      <c r="R1180">
        <v>-0.97374380000000005</v>
      </c>
      <c r="S1180">
        <v>-0.56184389999999995</v>
      </c>
      <c r="T1180">
        <v>-0.14046879999999901</v>
      </c>
      <c r="U1180">
        <v>-3.040619</v>
      </c>
      <c r="V1180">
        <v>0.1163618</v>
      </c>
      <c r="W1180">
        <v>0.20606340000000001</v>
      </c>
      <c r="X1180">
        <v>0.97159549999999995</v>
      </c>
      <c r="Y1180">
        <v>0.1797057</v>
      </c>
      <c r="Z1180">
        <v>3.3563519999999999E-2</v>
      </c>
      <c r="AA1180">
        <v>0.98314769999999896</v>
      </c>
      <c r="AB1180">
        <v>30</v>
      </c>
      <c r="AC1180">
        <v>-4.48770000000001</v>
      </c>
      <c r="AD1180">
        <v>-1.1218999284739199</v>
      </c>
      <c r="AE1180">
        <v>-23.9434</v>
      </c>
      <c r="AF1180">
        <v>4.4336161693325398</v>
      </c>
      <c r="AG1180">
        <v>-1.1218999284739199</v>
      </c>
      <c r="AH1180">
        <v>23.901037004600301</v>
      </c>
      <c r="AI1180">
        <v>92.642442948873395</v>
      </c>
      <c r="AJ1180">
        <v>79.491145179311701</v>
      </c>
      <c r="AK1180">
        <v>24.334649816295901</v>
      </c>
      <c r="AL1180">
        <v>78.108243500755407</v>
      </c>
      <c r="AM1180">
        <v>83.170577943915205</v>
      </c>
      <c r="AN1180">
        <v>1.0000000044695201</v>
      </c>
    </row>
    <row r="1181" spans="1:40" x14ac:dyDescent="0.25">
      <c r="A1181" t="str">
        <f>"20190303171001374"</f>
        <v>20190303171001374</v>
      </c>
      <c r="B1181" t="str">
        <f>"1551604201361973"</f>
        <v>1551604201361973</v>
      </c>
      <c r="C1181" t="s">
        <v>40</v>
      </c>
      <c r="D1181">
        <v>5.1275719999999998</v>
      </c>
      <c r="E1181">
        <v>0.53039499999999995</v>
      </c>
      <c r="F1181" t="s">
        <v>42</v>
      </c>
      <c r="G1181">
        <v>-196.44380000000001</v>
      </c>
      <c r="H1181" s="1">
        <v>-2.3596420000000001E-6</v>
      </c>
      <c r="I1181">
        <v>301.09289999999999</v>
      </c>
      <c r="J1181">
        <v>-191.9041</v>
      </c>
      <c r="K1181">
        <v>1.1218840000000001</v>
      </c>
      <c r="L1181">
        <v>322.86849999999998</v>
      </c>
      <c r="M1181">
        <v>-8.426595E-4</v>
      </c>
      <c r="N1181">
        <v>-1.176746E-2</v>
      </c>
      <c r="O1181">
        <v>-0.99993050000000006</v>
      </c>
      <c r="P1181">
        <v>-0.1176942</v>
      </c>
      <c r="Q1181">
        <v>0.19360189999999999</v>
      </c>
      <c r="R1181">
        <v>-0.9739951</v>
      </c>
      <c r="S1181">
        <v>-0.62460329999999997</v>
      </c>
      <c r="T1181">
        <v>-0.15437790000000001</v>
      </c>
      <c r="U1181">
        <v>-3.0356450000000001</v>
      </c>
      <c r="V1181">
        <v>0.11643969999999999</v>
      </c>
      <c r="W1181">
        <v>0.2052977</v>
      </c>
      <c r="X1181">
        <v>0.97174819999999995</v>
      </c>
      <c r="Y1181">
        <v>0.20049159999999999</v>
      </c>
      <c r="Z1181">
        <v>3.7999060000000001E-2</v>
      </c>
      <c r="AA1181">
        <v>0.9789582</v>
      </c>
      <c r="AB1181">
        <v>30</v>
      </c>
      <c r="AC1181">
        <v>-4.5397000000000096</v>
      </c>
      <c r="AD1181">
        <v>-1.1218863596419999</v>
      </c>
      <c r="AE1181">
        <v>-21.775600000000001</v>
      </c>
      <c r="AF1181">
        <v>4.5098755424783699</v>
      </c>
      <c r="AG1181">
        <v>-1.1218863596419999</v>
      </c>
      <c r="AH1181">
        <v>21.724156338267601</v>
      </c>
      <c r="AI1181">
        <v>92.894653555301403</v>
      </c>
      <c r="AJ1181">
        <v>78.272136043131894</v>
      </c>
      <c r="AK1181">
        <v>22.215683087001501</v>
      </c>
      <c r="AL1181">
        <v>78.153072806348604</v>
      </c>
      <c r="AM1181">
        <v>83.167112848919601</v>
      </c>
      <c r="AN1181">
        <v>0.99999995678230902</v>
      </c>
    </row>
    <row r="1182" spans="1:40" x14ac:dyDescent="0.25">
      <c r="A1182" t="str">
        <f>"20190303171001399"</f>
        <v>20190303171001399</v>
      </c>
      <c r="B1182" t="str">
        <f>"1551604201391252"</f>
        <v>1551604201391252</v>
      </c>
      <c r="C1182" t="s">
        <v>40</v>
      </c>
      <c r="D1182">
        <v>5.1467320000000001</v>
      </c>
      <c r="E1182">
        <v>0.51278329999999905</v>
      </c>
      <c r="F1182" t="s">
        <v>42</v>
      </c>
      <c r="G1182">
        <v>-195.15780000000001</v>
      </c>
      <c r="H1182" s="1">
        <v>-3.5464949999999999E-6</v>
      </c>
      <c r="I1182">
        <v>304.71980000000002</v>
      </c>
      <c r="J1182">
        <v>-191.9032</v>
      </c>
      <c r="K1182">
        <v>1.1218619999999999</v>
      </c>
      <c r="L1182">
        <v>322.54599999999999</v>
      </c>
      <c r="M1182">
        <v>3.0447820000000002E-4</v>
      </c>
      <c r="N1182">
        <v>-1.1690839999999999E-2</v>
      </c>
      <c r="O1182">
        <v>-0.99993160000000003</v>
      </c>
      <c r="P1182">
        <v>-0.1162406</v>
      </c>
      <c r="Q1182">
        <v>0.19347059999999999</v>
      </c>
      <c r="R1182">
        <v>-0.97419599999999995</v>
      </c>
      <c r="S1182">
        <v>-0.54707340000000004</v>
      </c>
      <c r="T1182">
        <v>-0.18863389999999999</v>
      </c>
      <c r="U1182">
        <v>-3.0515140000000001</v>
      </c>
      <c r="V1182">
        <v>0.11610810000000001</v>
      </c>
      <c r="W1182">
        <v>0.20508960000000001</v>
      </c>
      <c r="X1182">
        <v>0.97183189999999997</v>
      </c>
      <c r="Y1182">
        <v>0.17647879999999999</v>
      </c>
      <c r="Z1182">
        <v>4.9058959999999999E-2</v>
      </c>
      <c r="AA1182">
        <v>0.98308110000000004</v>
      </c>
      <c r="AB1182">
        <v>30</v>
      </c>
      <c r="AC1182">
        <v>-3.2546000000000102</v>
      </c>
      <c r="AD1182">
        <v>-1.121865546495</v>
      </c>
      <c r="AE1182">
        <v>-17.826199999999901</v>
      </c>
      <c r="AF1182">
        <v>3.2475803681856399</v>
      </c>
      <c r="AG1182">
        <v>-1.121865546495</v>
      </c>
      <c r="AH1182">
        <v>17.757147379869501</v>
      </c>
      <c r="AI1182">
        <v>93.556212336873998</v>
      </c>
      <c r="AJ1182">
        <v>79.635795166842499</v>
      </c>
      <c r="AK1182">
        <v>18.086504461134599</v>
      </c>
      <c r="AL1182">
        <v>78.165256264522597</v>
      </c>
      <c r="AM1182">
        <v>83.186969838379198</v>
      </c>
      <c r="AN1182">
        <v>1.00000003838568</v>
      </c>
    </row>
    <row r="1183" spans="1:40" x14ac:dyDescent="0.25">
      <c r="A1183" t="str">
        <f>"20190303171001418"</f>
        <v>20190303171001418</v>
      </c>
      <c r="B1183" t="str">
        <f>"1551604201411749"</f>
        <v>1551604201411749</v>
      </c>
      <c r="C1183" t="s">
        <v>40</v>
      </c>
      <c r="D1183">
        <v>5.131405</v>
      </c>
      <c r="E1183">
        <v>0.50607879999999905</v>
      </c>
      <c r="F1183" t="s">
        <v>42</v>
      </c>
      <c r="G1183">
        <v>-194.5635</v>
      </c>
      <c r="H1183" s="1">
        <v>-2.4015709999999998E-6</v>
      </c>
      <c r="I1183">
        <v>302.35680000000002</v>
      </c>
      <c r="J1183">
        <v>-191.90209999999999</v>
      </c>
      <c r="K1183">
        <v>1.121845</v>
      </c>
      <c r="L1183">
        <v>322.27769999999998</v>
      </c>
      <c r="M1183">
        <v>1.2484690000000001E-3</v>
      </c>
      <c r="N1183">
        <v>-1.16311E-2</v>
      </c>
      <c r="O1183">
        <v>-0.99993160000000003</v>
      </c>
      <c r="P1183">
        <v>-0.11517810000000001</v>
      </c>
      <c r="Q1183">
        <v>0.19352839999999999</v>
      </c>
      <c r="R1183">
        <v>-0.97431040000000002</v>
      </c>
      <c r="S1183">
        <v>-0.40390009999999998</v>
      </c>
      <c r="T1183">
        <v>-0.17032369999999999</v>
      </c>
      <c r="U1183">
        <v>-3.0651549999999999</v>
      </c>
      <c r="V1183">
        <v>0.1159689</v>
      </c>
      <c r="W1183">
        <v>0.2050872</v>
      </c>
      <c r="X1183">
        <v>0.97184899999999996</v>
      </c>
      <c r="Y1183">
        <v>0.13170599999999999</v>
      </c>
      <c r="Z1183">
        <v>4.3385449999999999E-2</v>
      </c>
      <c r="AA1183">
        <v>0.99033890000000002</v>
      </c>
      <c r="AB1183">
        <v>30</v>
      </c>
      <c r="AC1183">
        <v>-2.6614000000000102</v>
      </c>
      <c r="AD1183">
        <v>-1.121847401571</v>
      </c>
      <c r="AE1183">
        <v>-19.9208999999999</v>
      </c>
      <c r="AF1183">
        <v>2.6779264093283701</v>
      </c>
      <c r="AG1183">
        <v>-1.121847401571</v>
      </c>
      <c r="AH1183">
        <v>19.855695632681002</v>
      </c>
      <c r="AI1183">
        <v>93.204820380240804</v>
      </c>
      <c r="AJ1183">
        <v>82.318899402520699</v>
      </c>
      <c r="AK1183">
        <v>20.066850288569398</v>
      </c>
      <c r="AL1183">
        <v>78.165396445105401</v>
      </c>
      <c r="AM1183">
        <v>83.195179834301996</v>
      </c>
      <c r="AN1183">
        <v>1.00000001208602</v>
      </c>
    </row>
    <row r="1184" spans="1:40" x14ac:dyDescent="0.25">
      <c r="A1184" t="str">
        <f>"20190303171001440"</f>
        <v>20190303171001440</v>
      </c>
      <c r="B1184" t="str">
        <f>"1551604201431268"</f>
        <v>1551604201431268</v>
      </c>
      <c r="C1184" t="s">
        <v>40</v>
      </c>
      <c r="D1184">
        <v>5.1333799999999998</v>
      </c>
      <c r="E1184">
        <v>0.50143499999999996</v>
      </c>
      <c r="F1184" t="s">
        <v>42</v>
      </c>
      <c r="G1184">
        <v>-194.37780000000001</v>
      </c>
      <c r="H1184" s="1">
        <v>-1.5337339999999999E-6</v>
      </c>
      <c r="I1184">
        <v>300.44909999999999</v>
      </c>
      <c r="J1184">
        <v>-191.9006</v>
      </c>
      <c r="K1184">
        <v>1.1218330000000001</v>
      </c>
      <c r="L1184">
        <v>321.9803</v>
      </c>
      <c r="M1184">
        <v>2.285245E-3</v>
      </c>
      <c r="N1184">
        <v>-1.1571329999999999E-2</v>
      </c>
      <c r="O1184">
        <v>-0.9999306</v>
      </c>
      <c r="P1184">
        <v>-0.1144956</v>
      </c>
      <c r="Q1184">
        <v>0.19335069999999999</v>
      </c>
      <c r="R1184">
        <v>-0.97442620000000002</v>
      </c>
      <c r="S1184">
        <v>-0.34809879999999999</v>
      </c>
      <c r="T1184">
        <v>-0.15773999999999999</v>
      </c>
      <c r="U1184">
        <v>-3.0692750000000002</v>
      </c>
      <c r="V1184">
        <v>0.116301</v>
      </c>
      <c r="W1184">
        <v>0.20485010000000001</v>
      </c>
      <c r="X1184">
        <v>0.97185929999999998</v>
      </c>
      <c r="Y1184">
        <v>0.114833</v>
      </c>
      <c r="Z1184">
        <v>3.9431460000000002E-2</v>
      </c>
      <c r="AA1184">
        <v>0.99260190000000004</v>
      </c>
      <c r="AB1184">
        <v>30</v>
      </c>
      <c r="AC1184">
        <v>-2.4772000000000101</v>
      </c>
      <c r="AD1184">
        <v>-1.1218345337340001</v>
      </c>
      <c r="AE1184">
        <v>-21.531199999999998</v>
      </c>
      <c r="AF1184">
        <v>2.5196501596970902</v>
      </c>
      <c r="AG1184">
        <v>-1.1218345337340001</v>
      </c>
      <c r="AH1184">
        <v>21.4679647482956</v>
      </c>
      <c r="AI1184">
        <v>92.970983512047795</v>
      </c>
      <c r="AJ1184">
        <v>83.305939389740402</v>
      </c>
      <c r="AK1184">
        <v>21.644414061886799</v>
      </c>
      <c r="AL1184">
        <v>78.179275722146201</v>
      </c>
      <c r="AM1184">
        <v>83.175948029824099</v>
      </c>
      <c r="AN1184">
        <v>0.99999999253375005</v>
      </c>
    </row>
    <row r="1185" spans="1:40" x14ac:dyDescent="0.25">
      <c r="A1185" t="str">
        <f>"20190303171001463"</f>
        <v>20190303171001463</v>
      </c>
      <c r="B1185" t="str">
        <f>"1551604201451764"</f>
        <v>1551604201451764</v>
      </c>
      <c r="C1185" t="s">
        <v>40</v>
      </c>
      <c r="D1185">
        <v>5.1269349999999996</v>
      </c>
      <c r="E1185">
        <v>0.498253</v>
      </c>
      <c r="F1185" t="s">
        <v>52</v>
      </c>
      <c r="G1185">
        <v>-194.21250000000001</v>
      </c>
      <c r="H1185" s="1">
        <v>1.027249E-7</v>
      </c>
      <c r="I1185">
        <v>299.03309999999999</v>
      </c>
      <c r="J1185">
        <v>-191.89879999999999</v>
      </c>
      <c r="K1185">
        <v>1.1218189999999999</v>
      </c>
      <c r="L1185">
        <v>321.67230000000001</v>
      </c>
      <c r="M1185">
        <v>3.3438040000000001E-3</v>
      </c>
      <c r="N1185">
        <v>-1.151568E-2</v>
      </c>
      <c r="O1185">
        <v>-0.99992809999999999</v>
      </c>
      <c r="P1185">
        <v>-0.1128793</v>
      </c>
      <c r="Q1185">
        <v>0.19302659999999999</v>
      </c>
      <c r="R1185">
        <v>-0.97467890000000001</v>
      </c>
      <c r="S1185">
        <v>-0.30952449999999998</v>
      </c>
      <c r="T1185">
        <v>-0.1501921</v>
      </c>
      <c r="U1185">
        <v>-3.0722049999999999</v>
      </c>
      <c r="V1185">
        <v>0.1157228</v>
      </c>
      <c r="W1185">
        <v>0.20446919999999999</v>
      </c>
      <c r="X1185">
        <v>0.97200850000000005</v>
      </c>
      <c r="Y1185">
        <v>0.1034645</v>
      </c>
      <c r="Z1185">
        <v>3.7067849999999999E-2</v>
      </c>
      <c r="AA1185">
        <v>0.9939422</v>
      </c>
      <c r="AB1185">
        <v>30</v>
      </c>
      <c r="AC1185">
        <v>-2.3137000000000101</v>
      </c>
      <c r="AD1185">
        <v>-1.1218188972751</v>
      </c>
      <c r="AE1185">
        <v>-22.639199999999999</v>
      </c>
      <c r="AF1185">
        <v>2.3836009198319101</v>
      </c>
      <c r="AG1185">
        <v>-1.1218188972751</v>
      </c>
      <c r="AH1185">
        <v>22.576474934576598</v>
      </c>
      <c r="AI1185">
        <v>92.828974282886307</v>
      </c>
      <c r="AJ1185">
        <v>83.973098354297207</v>
      </c>
      <c r="AK1185">
        <v>22.729655770707801</v>
      </c>
      <c r="AL1185">
        <v>78.201571373527301</v>
      </c>
      <c r="AM1185">
        <v>83.210589372309698</v>
      </c>
      <c r="AN1185">
        <v>0.99999997213036396</v>
      </c>
    </row>
    <row r="1186" spans="1:40" x14ac:dyDescent="0.25">
      <c r="A1186" t="str">
        <f>"20190303171001485"</f>
        <v>20190303171001485</v>
      </c>
      <c r="B1186" t="str">
        <f>"1551604201471284"</f>
        <v>1551604201471284</v>
      </c>
      <c r="C1186" t="s">
        <v>40</v>
      </c>
      <c r="D1186">
        <v>4.9759120000000001</v>
      </c>
      <c r="E1186">
        <v>0.49690909999999999</v>
      </c>
      <c r="F1186" t="s">
        <v>52</v>
      </c>
      <c r="G1186">
        <v>-194.041</v>
      </c>
      <c r="H1186" s="1">
        <v>2.653342E-7</v>
      </c>
      <c r="I1186">
        <v>298.10969999999998</v>
      </c>
      <c r="J1186">
        <v>-191.89670000000001</v>
      </c>
      <c r="K1186">
        <v>1.1217950000000001</v>
      </c>
      <c r="L1186">
        <v>321.3741</v>
      </c>
      <c r="M1186">
        <v>4.3444360000000001E-3</v>
      </c>
      <c r="N1186">
        <v>-1.146754E-2</v>
      </c>
      <c r="O1186">
        <v>-0.9999247</v>
      </c>
      <c r="P1186">
        <v>-0.1111943</v>
      </c>
      <c r="Q1186">
        <v>0.1932372</v>
      </c>
      <c r="R1186">
        <v>-0.97483070000000005</v>
      </c>
      <c r="S1186">
        <v>-0.27952579999999999</v>
      </c>
      <c r="T1186">
        <v>-0.14638019999999999</v>
      </c>
      <c r="U1186">
        <v>-3.074554</v>
      </c>
      <c r="V1186">
        <v>0.11502039999999999</v>
      </c>
      <c r="W1186">
        <v>0.204628</v>
      </c>
      <c r="X1186">
        <v>0.97205850000000005</v>
      </c>
      <c r="Y1186">
        <v>9.4778169999999995E-2</v>
      </c>
      <c r="Z1186">
        <v>3.5891220000000001E-2</v>
      </c>
      <c r="AA1186">
        <v>0.99485120000000005</v>
      </c>
      <c r="AB1186">
        <v>30</v>
      </c>
      <c r="AC1186">
        <v>-2.1442999999999799</v>
      </c>
      <c r="AD1186">
        <v>-1.1217947346657999</v>
      </c>
      <c r="AE1186">
        <v>-23.264399999999998</v>
      </c>
      <c r="AF1186">
        <v>2.2401923044373402</v>
      </c>
      <c r="AG1186">
        <v>-1.1217947346657999</v>
      </c>
      <c r="AH1186">
        <v>23.201372776674699</v>
      </c>
      <c r="AI1186">
        <v>92.755321982877703</v>
      </c>
      <c r="AJ1186">
        <v>84.484942193361107</v>
      </c>
      <c r="AK1186">
        <v>23.3362504209611</v>
      </c>
      <c r="AL1186">
        <v>78.192276834361607</v>
      </c>
      <c r="AM1186">
        <v>83.251761599115298</v>
      </c>
      <c r="AN1186">
        <v>1.0000000191112</v>
      </c>
    </row>
    <row r="1187" spans="1:40" x14ac:dyDescent="0.25">
      <c r="A1187" t="str">
        <f>"20190303171001506"</f>
        <v>20190303171001506</v>
      </c>
      <c r="B1187" t="str">
        <f>"1551604201491781"</f>
        <v>1551604201491781</v>
      </c>
      <c r="C1187" t="s">
        <v>40</v>
      </c>
      <c r="D1187">
        <v>5.1380499999999998</v>
      </c>
      <c r="E1187">
        <v>0.49478129999999998</v>
      </c>
      <c r="F1187" t="s">
        <v>52</v>
      </c>
      <c r="G1187">
        <v>-193.9452</v>
      </c>
      <c r="H1187" s="1">
        <v>3.783588E-7</v>
      </c>
      <c r="I1187">
        <v>297.54559999999998</v>
      </c>
      <c r="J1187">
        <v>-191.89449999999999</v>
      </c>
      <c r="K1187">
        <v>1.121772</v>
      </c>
      <c r="L1187">
        <v>321.0908</v>
      </c>
      <c r="M1187">
        <v>5.2622669999999898E-3</v>
      </c>
      <c r="N1187">
        <v>-1.142958E-2</v>
      </c>
      <c r="O1187">
        <v>-0.99992099999999995</v>
      </c>
      <c r="P1187">
        <v>-0.1101302</v>
      </c>
      <c r="Q1187">
        <v>0.19370000000000001</v>
      </c>
      <c r="R1187">
        <v>-0.97485999999999995</v>
      </c>
      <c r="S1187">
        <v>-0.26443480000000003</v>
      </c>
      <c r="T1187">
        <v>-0.14480960000000001</v>
      </c>
      <c r="U1187">
        <v>-3.075958</v>
      </c>
      <c r="V1187">
        <v>0.1148607</v>
      </c>
      <c r="W1187">
        <v>0.2050466</v>
      </c>
      <c r="X1187">
        <v>0.9719892</v>
      </c>
      <c r="Y1187">
        <v>9.0810450000000001E-2</v>
      </c>
      <c r="Z1187">
        <v>3.541888E-2</v>
      </c>
      <c r="AA1187">
        <v>0.99523810000000001</v>
      </c>
      <c r="AB1187">
        <v>30</v>
      </c>
      <c r="AC1187">
        <v>-2.0507</v>
      </c>
      <c r="AD1187">
        <v>-1.1217716216411999</v>
      </c>
      <c r="AE1187">
        <v>-23.545200000000001</v>
      </c>
      <c r="AF1187">
        <v>2.1696929264803702</v>
      </c>
      <c r="AG1187">
        <v>-1.1217716216411999</v>
      </c>
      <c r="AH1187">
        <v>23.481183575086</v>
      </c>
      <c r="AI1187">
        <v>92.723539552276193</v>
      </c>
      <c r="AJ1187">
        <v>84.720783562955702</v>
      </c>
      <c r="AK1187">
        <v>23.607878368316499</v>
      </c>
      <c r="AL1187">
        <v>78.167773579889399</v>
      </c>
      <c r="AM1187">
        <v>83.260568906555804</v>
      </c>
      <c r="AN1187">
        <v>1.0000000467463399</v>
      </c>
    </row>
    <row r="1188" spans="1:40" x14ac:dyDescent="0.25">
      <c r="A1188" t="str">
        <f>"20190303171001528"</f>
        <v>20190303171001528</v>
      </c>
      <c r="B1188" t="str">
        <f>"1551604201522036"</f>
        <v>1551604201522036</v>
      </c>
      <c r="C1188" t="s">
        <v>40</v>
      </c>
      <c r="D1188">
        <v>4.9862089999999997</v>
      </c>
      <c r="E1188">
        <v>0.49278149999999998</v>
      </c>
      <c r="F1188" t="s">
        <v>52</v>
      </c>
      <c r="G1188">
        <v>-193.82759999999999</v>
      </c>
      <c r="H1188" s="1">
        <v>6.6760480000000002E-7</v>
      </c>
      <c r="I1188">
        <v>296.7568</v>
      </c>
      <c r="J1188">
        <v>-191.89179999999999</v>
      </c>
      <c r="K1188">
        <v>1.1217429999999999</v>
      </c>
      <c r="L1188">
        <v>320.78019999999998</v>
      </c>
      <c r="M1188">
        <v>6.2193780000000002E-3</v>
      </c>
      <c r="N1188">
        <v>-1.1401049999999999E-2</v>
      </c>
      <c r="O1188">
        <v>-0.99991580000000002</v>
      </c>
      <c r="P1188">
        <v>-0.10890900000000001</v>
      </c>
      <c r="Q1188">
        <v>0.19428519999999999</v>
      </c>
      <c r="R1188">
        <v>-0.97488090000000005</v>
      </c>
      <c r="S1188">
        <v>-0.24452209999999999</v>
      </c>
      <c r="T1188">
        <v>-0.1418912</v>
      </c>
      <c r="U1188">
        <v>-3.0779719999999999</v>
      </c>
      <c r="V1188">
        <v>0.1145881</v>
      </c>
      <c r="W1188">
        <v>0.20559259999999999</v>
      </c>
      <c r="X1188">
        <v>0.97190600000000005</v>
      </c>
      <c r="Y1188">
        <v>8.5316790000000003E-2</v>
      </c>
      <c r="Z1188">
        <v>3.4497819999999998E-2</v>
      </c>
      <c r="AA1188">
        <v>0.99575639999999999</v>
      </c>
      <c r="AB1188">
        <v>30</v>
      </c>
      <c r="AC1188">
        <v>-1.9358</v>
      </c>
      <c r="AD1188">
        <v>-1.1217423323951901</v>
      </c>
      <c r="AE1188">
        <v>-24.023399999999899</v>
      </c>
      <c r="AF1188">
        <v>2.0806756106330799</v>
      </c>
      <c r="AG1188">
        <v>-1.1217423323951901</v>
      </c>
      <c r="AH1188">
        <v>23.958994142143499</v>
      </c>
      <c r="AI1188">
        <v>92.670551627405601</v>
      </c>
      <c r="AJ1188">
        <v>85.0367037251672</v>
      </c>
      <c r="AK1188">
        <v>24.075317592095001</v>
      </c>
      <c r="AL1188">
        <v>78.135808654799902</v>
      </c>
      <c r="AM1188">
        <v>83.2758467537288</v>
      </c>
      <c r="AN1188">
        <v>1.00000001133618</v>
      </c>
    </row>
    <row r="1189" spans="1:40" x14ac:dyDescent="0.25">
      <c r="A1189" t="str">
        <f>"20190303171001555"</f>
        <v>20190303171001555</v>
      </c>
      <c r="B1189" t="str">
        <f>"1551604201541557"</f>
        <v>1551604201541557</v>
      </c>
      <c r="C1189" t="s">
        <v>40</v>
      </c>
      <c r="D1189">
        <v>5.0649870000000004</v>
      </c>
      <c r="E1189">
        <v>0.4915812</v>
      </c>
      <c r="F1189" t="s">
        <v>52</v>
      </c>
      <c r="G1189">
        <v>-193.6893</v>
      </c>
      <c r="H1189" s="1">
        <v>8.8126999999999995E-7</v>
      </c>
      <c r="I1189">
        <v>296.18709999999999</v>
      </c>
      <c r="J1189">
        <v>-191.88849999999999</v>
      </c>
      <c r="K1189">
        <v>1.121688</v>
      </c>
      <c r="L1189">
        <v>320.42959999999999</v>
      </c>
      <c r="M1189">
        <v>7.2242699999999997E-3</v>
      </c>
      <c r="N1189">
        <v>-1.138485E-2</v>
      </c>
      <c r="O1189">
        <v>-0.99990919999999905</v>
      </c>
      <c r="P1189">
        <v>-0.106973</v>
      </c>
      <c r="Q1189">
        <v>0.1934516</v>
      </c>
      <c r="R1189">
        <v>-0.97526069999999998</v>
      </c>
      <c r="S1189">
        <v>-0.2251282</v>
      </c>
      <c r="T1189">
        <v>-0.14049159999999999</v>
      </c>
      <c r="U1189">
        <v>-3.080139</v>
      </c>
      <c r="V1189">
        <v>0.11366080000000001</v>
      </c>
      <c r="W1189">
        <v>0.2047311</v>
      </c>
      <c r="X1189">
        <v>0.97219670000000002</v>
      </c>
      <c r="Y1189">
        <v>8.0031249999999998E-2</v>
      </c>
      <c r="Z1189">
        <v>3.4050410000000003E-2</v>
      </c>
      <c r="AA1189">
        <v>0.99621059999999995</v>
      </c>
      <c r="AB1189">
        <v>30</v>
      </c>
      <c r="AC1189">
        <v>-1.8008</v>
      </c>
      <c r="AD1189">
        <v>-1.1216871187299999</v>
      </c>
      <c r="AE1189">
        <v>-24.2425</v>
      </c>
      <c r="AF1189">
        <v>1.9717007244142599</v>
      </c>
      <c r="AG1189">
        <v>-1.1216871187299999</v>
      </c>
      <c r="AH1189">
        <v>24.1773806034175</v>
      </c>
      <c r="AI1189">
        <v>92.647503130386099</v>
      </c>
      <c r="AJ1189">
        <v>85.337762795735699</v>
      </c>
      <c r="AK1189">
        <v>24.283564783233299</v>
      </c>
      <c r="AL1189">
        <v>78.186241789978595</v>
      </c>
      <c r="AM1189">
        <v>83.331745944068203</v>
      </c>
      <c r="AN1189">
        <v>1.00000001212737</v>
      </c>
    </row>
    <row r="1190" spans="1:40" x14ac:dyDescent="0.25">
      <c r="A1190" t="str">
        <f>"20190303171001579"</f>
        <v>20190303171001579</v>
      </c>
      <c r="B1190" t="str">
        <f>"1551604201571812"</f>
        <v>1551604201571812</v>
      </c>
      <c r="C1190" t="s">
        <v>40</v>
      </c>
      <c r="D1190">
        <v>5.0397970000000001</v>
      </c>
      <c r="E1190">
        <v>0.4902031</v>
      </c>
      <c r="F1190" t="s">
        <v>52</v>
      </c>
      <c r="G1190">
        <v>-193.5488</v>
      </c>
      <c r="H1190" s="1">
        <v>9.4426880000000001E-7</v>
      </c>
      <c r="I1190">
        <v>296.04410000000001</v>
      </c>
      <c r="J1190">
        <v>-191.88509999999999</v>
      </c>
      <c r="K1190">
        <v>1.121634</v>
      </c>
      <c r="L1190">
        <v>320.1026</v>
      </c>
      <c r="M1190">
        <v>8.0637569999999995E-3</v>
      </c>
      <c r="N1190">
        <v>-1.139243E-2</v>
      </c>
      <c r="O1190">
        <v>-0.99990270000000003</v>
      </c>
      <c r="P1190">
        <v>-0.10516979999999999</v>
      </c>
      <c r="Q1190">
        <v>0.1925502</v>
      </c>
      <c r="R1190">
        <v>-0.97563529999999998</v>
      </c>
      <c r="S1190">
        <v>-0.20979310000000001</v>
      </c>
      <c r="T1190">
        <v>-0.14172999999999999</v>
      </c>
      <c r="U1190">
        <v>-3.081207</v>
      </c>
      <c r="V1190">
        <v>0.1127094</v>
      </c>
      <c r="W1190">
        <v>0.2038227</v>
      </c>
      <c r="X1190">
        <v>0.97249819999999998</v>
      </c>
      <c r="Y1190">
        <v>7.590906E-2</v>
      </c>
      <c r="Z1190">
        <v>3.4441619999999999E-2</v>
      </c>
      <c r="AA1190">
        <v>0.99651970000000001</v>
      </c>
      <c r="AB1190">
        <v>30</v>
      </c>
      <c r="AC1190">
        <v>-1.6637</v>
      </c>
      <c r="AD1190">
        <v>-1.1216330557312</v>
      </c>
      <c r="AE1190">
        <v>-24.058499999999899</v>
      </c>
      <c r="AF1190">
        <v>1.8536505890663599</v>
      </c>
      <c r="AG1190">
        <v>-1.1216330557312</v>
      </c>
      <c r="AH1190">
        <v>23.992401271260199</v>
      </c>
      <c r="AI1190">
        <v>92.668659619581902</v>
      </c>
      <c r="AJ1190">
        <v>85.582109963046804</v>
      </c>
      <c r="AK1190">
        <v>24.0900269817039</v>
      </c>
      <c r="AL1190">
        <v>78.239409403002298</v>
      </c>
      <c r="AM1190">
        <v>83.389098295871307</v>
      </c>
      <c r="AN1190">
        <v>0.99999992544344196</v>
      </c>
    </row>
    <row r="1191" spans="1:40" x14ac:dyDescent="0.25">
      <c r="A1191" t="str">
        <f>"20190303171001600"</f>
        <v>20190303171001600</v>
      </c>
      <c r="B1191" t="str">
        <f>"1551604201591332"</f>
        <v>1551604201591332</v>
      </c>
      <c r="C1191" t="s">
        <v>40</v>
      </c>
      <c r="D1191">
        <v>5.1193799999999996</v>
      </c>
      <c r="E1191">
        <v>0.48970619999999998</v>
      </c>
      <c r="F1191" t="s">
        <v>52</v>
      </c>
      <c r="G1191">
        <v>-193.40469999999999</v>
      </c>
      <c r="H1191" s="1">
        <v>9.8977329999999995E-7</v>
      </c>
      <c r="I1191">
        <v>295.95159999999998</v>
      </c>
      <c r="J1191">
        <v>-191.88220000000001</v>
      </c>
      <c r="K1191">
        <v>1.1215809999999999</v>
      </c>
      <c r="L1191">
        <v>319.8322</v>
      </c>
      <c r="M1191">
        <v>8.6824290000000002E-3</v>
      </c>
      <c r="N1191">
        <v>-1.140971E-2</v>
      </c>
      <c r="O1191">
        <v>-0.99989749999999999</v>
      </c>
      <c r="P1191">
        <v>-0.1044843</v>
      </c>
      <c r="Q1191">
        <v>0.19279489999999999</v>
      </c>
      <c r="R1191">
        <v>-0.97566070000000005</v>
      </c>
      <c r="S1191">
        <v>-0.19393920000000001</v>
      </c>
      <c r="T1191">
        <v>-0.14314959999999999</v>
      </c>
      <c r="U1191">
        <v>-3.082306</v>
      </c>
      <c r="V1191">
        <v>0.112654</v>
      </c>
      <c r="W1191">
        <v>0.20406830000000001</v>
      </c>
      <c r="X1191">
        <v>0.97245320000000002</v>
      </c>
      <c r="Y1191">
        <v>7.1397749999999996E-2</v>
      </c>
      <c r="Z1191">
        <v>3.4881330000000002E-2</v>
      </c>
      <c r="AA1191">
        <v>0.99683790000000005</v>
      </c>
      <c r="AB1191">
        <v>30</v>
      </c>
      <c r="AC1191">
        <v>-1.52249999999997</v>
      </c>
      <c r="AD1191">
        <v>-1.1215800102267</v>
      </c>
      <c r="AE1191">
        <v>-23.880600000000001</v>
      </c>
      <c r="AF1191">
        <v>1.7260058110819601</v>
      </c>
      <c r="AG1191">
        <v>-1.1215800102267</v>
      </c>
      <c r="AH1191">
        <v>23.814162793868402</v>
      </c>
      <c r="AI1191">
        <v>92.689433080235304</v>
      </c>
      <c r="AJ1191">
        <v>85.854558103343294</v>
      </c>
      <c r="AK1191">
        <v>23.9029577113816</v>
      </c>
      <c r="AL1191">
        <v>78.2250364658845</v>
      </c>
      <c r="AM1191">
        <v>83.392015942594696</v>
      </c>
      <c r="AN1191">
        <v>1.00000001048556</v>
      </c>
    </row>
    <row r="1192" spans="1:40" x14ac:dyDescent="0.25">
      <c r="A1192" t="str">
        <f>"20190303171001620"</f>
        <v>20190303171001620</v>
      </c>
      <c r="B1192" t="str">
        <f>"1551604201611829"</f>
        <v>1551604201611829</v>
      </c>
      <c r="C1192" t="s">
        <v>40</v>
      </c>
      <c r="D1192">
        <v>5.0934809999999997</v>
      </c>
      <c r="E1192">
        <v>0.48914380000000002</v>
      </c>
      <c r="F1192" t="s">
        <v>52</v>
      </c>
      <c r="G1192">
        <v>-193.36080000000001</v>
      </c>
      <c r="H1192" s="1">
        <v>1.1148309999999999E-6</v>
      </c>
      <c r="I1192">
        <v>295.60879999999997</v>
      </c>
      <c r="J1192">
        <v>-191.87909999999999</v>
      </c>
      <c r="K1192">
        <v>1.1215379999999999</v>
      </c>
      <c r="L1192">
        <v>319.54739999999998</v>
      </c>
      <c r="M1192">
        <v>9.266949E-3</v>
      </c>
      <c r="N1192">
        <v>-1.143192E-2</v>
      </c>
      <c r="O1192">
        <v>-0.99989189999999994</v>
      </c>
      <c r="P1192">
        <v>-0.1051733</v>
      </c>
      <c r="Q1192">
        <v>0.19315850000000001</v>
      </c>
      <c r="R1192">
        <v>-0.97551449999999995</v>
      </c>
      <c r="S1192">
        <v>-0.18817139999999999</v>
      </c>
      <c r="T1192">
        <v>-0.1427437</v>
      </c>
      <c r="U1192">
        <v>-3.082916</v>
      </c>
      <c r="V1192">
        <v>0.1139387</v>
      </c>
      <c r="W1192">
        <v>0.20443749999999999</v>
      </c>
      <c r="X1192">
        <v>0.97222600000000003</v>
      </c>
      <c r="Y1192">
        <v>7.0111320000000005E-2</v>
      </c>
      <c r="Z1192">
        <v>3.4723289999999997E-2</v>
      </c>
      <c r="AA1192">
        <v>0.99693469999999995</v>
      </c>
      <c r="AB1192">
        <v>30</v>
      </c>
      <c r="AC1192">
        <v>-1.48170000000001</v>
      </c>
      <c r="AD1192">
        <v>-1.121536885169</v>
      </c>
      <c r="AE1192">
        <v>-23.938600000000001</v>
      </c>
      <c r="AF1192">
        <v>1.699771891538</v>
      </c>
      <c r="AG1192">
        <v>-1.121536885169</v>
      </c>
      <c r="AH1192">
        <v>23.871642541125699</v>
      </c>
      <c r="AI1192">
        <v>92.683107590198205</v>
      </c>
      <c r="AJ1192">
        <v>85.927148194638093</v>
      </c>
      <c r="AK1192">
        <v>23.958346918753399</v>
      </c>
      <c r="AL1192">
        <v>78.203427858783996</v>
      </c>
      <c r="AM1192">
        <v>83.315789085251097</v>
      </c>
      <c r="AN1192">
        <v>1.0000000569199601</v>
      </c>
    </row>
    <row r="1193" spans="1:40" x14ac:dyDescent="0.25">
      <c r="A1193" t="str">
        <f>"20190303171001642"</f>
        <v>20190303171001642</v>
      </c>
      <c r="B1193" t="str">
        <f>"1551604201631348"</f>
        <v>1551604201631348</v>
      </c>
      <c r="C1193" t="s">
        <v>40</v>
      </c>
      <c r="D1193">
        <v>5.0722300000000002</v>
      </c>
      <c r="E1193">
        <v>0.48863659999999998</v>
      </c>
      <c r="F1193" t="s">
        <v>52</v>
      </c>
      <c r="G1193">
        <v>-193.36109999999999</v>
      </c>
      <c r="H1193" s="1">
        <v>1.370883E-6</v>
      </c>
      <c r="I1193">
        <v>294.88440000000003</v>
      </c>
      <c r="J1193">
        <v>-191.8758</v>
      </c>
      <c r="K1193">
        <v>1.1214850000000001</v>
      </c>
      <c r="L1193">
        <v>319.25380000000001</v>
      </c>
      <c r="M1193">
        <v>9.7918199999999997E-3</v>
      </c>
      <c r="N1193">
        <v>-1.1467969999999999E-2</v>
      </c>
      <c r="O1193">
        <v>-0.99988650000000001</v>
      </c>
      <c r="P1193">
        <v>-0.1063794</v>
      </c>
      <c r="Q1193">
        <v>0.19316530000000001</v>
      </c>
      <c r="R1193">
        <v>-0.97538259999999999</v>
      </c>
      <c r="S1193">
        <v>-0.18525700000000001</v>
      </c>
      <c r="T1193">
        <v>-0.14020250000000001</v>
      </c>
      <c r="U1193">
        <v>-3.0830989999999998</v>
      </c>
      <c r="V1193">
        <v>0.1156842</v>
      </c>
      <c r="W1193">
        <v>0.2044627</v>
      </c>
      <c r="X1193">
        <v>0.9720145</v>
      </c>
      <c r="Y1193">
        <v>6.9694549999999994E-2</v>
      </c>
      <c r="Z1193">
        <v>3.3865810000000003E-2</v>
      </c>
      <c r="AA1193">
        <v>0.99699340000000003</v>
      </c>
      <c r="AB1193">
        <v>30</v>
      </c>
      <c r="AC1193">
        <v>-1.4852999999999901</v>
      </c>
      <c r="AD1193">
        <v>-1.1214836291170001</v>
      </c>
      <c r="AE1193">
        <v>-24.369399999999899</v>
      </c>
      <c r="AF1193">
        <v>1.7202354808362299</v>
      </c>
      <c r="AG1193">
        <v>-1.1214836291170001</v>
      </c>
      <c r="AH1193">
        <v>24.302408325211299</v>
      </c>
      <c r="AI1193">
        <v>92.635569676018207</v>
      </c>
      <c r="AJ1193">
        <v>85.951096256260897</v>
      </c>
      <c r="AK1193">
        <v>24.3890136341182</v>
      </c>
      <c r="AL1193">
        <v>78.201952275262698</v>
      </c>
      <c r="AM1193">
        <v>83.212874393885002</v>
      </c>
      <c r="AN1193">
        <v>1.0000000090155801</v>
      </c>
    </row>
    <row r="1194" spans="1:40" x14ac:dyDescent="0.25">
      <c r="A1194" t="str">
        <f>"20190303171001664"</f>
        <v>20190303171001664</v>
      </c>
      <c r="B1194" t="str">
        <f>"1551604201651844"</f>
        <v>1551604201651844</v>
      </c>
      <c r="C1194" t="s">
        <v>40</v>
      </c>
      <c r="D1194">
        <v>5.1149779999999998</v>
      </c>
      <c r="E1194">
        <v>0.4882978</v>
      </c>
      <c r="F1194" t="s">
        <v>52</v>
      </c>
      <c r="G1194">
        <v>-193.35599999999999</v>
      </c>
      <c r="H1194" s="1">
        <v>1.447978E-6</v>
      </c>
      <c r="I1194">
        <v>294.66759999999999</v>
      </c>
      <c r="J1194">
        <v>-191.8724</v>
      </c>
      <c r="K1194">
        <v>1.1214309999999901</v>
      </c>
      <c r="L1194">
        <v>318.96300000000002</v>
      </c>
      <c r="M1194">
        <v>1.022909E-2</v>
      </c>
      <c r="N1194">
        <v>-1.151523E-2</v>
      </c>
      <c r="O1194">
        <v>-0.99988149999999998</v>
      </c>
      <c r="P1194">
        <v>-0.1066497</v>
      </c>
      <c r="Q1194">
        <v>0.19236590000000001</v>
      </c>
      <c r="R1194">
        <v>-0.97551100000000002</v>
      </c>
      <c r="S1194">
        <v>-0.18563840000000001</v>
      </c>
      <c r="T1194">
        <v>-0.1406434</v>
      </c>
      <c r="U1194">
        <v>-3.083313</v>
      </c>
      <c r="V1194">
        <v>0.11641319999999999</v>
      </c>
      <c r="W1194">
        <v>0.2036934</v>
      </c>
      <c r="X1194">
        <v>0.97208899999999998</v>
      </c>
      <c r="Y1194">
        <v>7.0249019999999995E-2</v>
      </c>
      <c r="Z1194">
        <v>3.3956199999999999E-2</v>
      </c>
      <c r="AA1194">
        <v>0.99695140000000004</v>
      </c>
      <c r="AB1194">
        <v>30</v>
      </c>
      <c r="AC1194">
        <v>-1.48359999999999</v>
      </c>
      <c r="AD1194">
        <v>-1.1214295520219999</v>
      </c>
      <c r="AE1194">
        <v>-24.295399999999901</v>
      </c>
      <c r="AF1194">
        <v>1.7283898751817599</v>
      </c>
      <c r="AG1194">
        <v>-1.1214295520219999</v>
      </c>
      <c r="AH1194">
        <v>24.2275251698135</v>
      </c>
      <c r="AI1194">
        <v>92.643473281747902</v>
      </c>
      <c r="AJ1194">
        <v>85.919436426289593</v>
      </c>
      <c r="AK1194">
        <v>24.314972993090599</v>
      </c>
      <c r="AL1194">
        <v>78.246977731843103</v>
      </c>
      <c r="AM1194">
        <v>83.171025566127994</v>
      </c>
      <c r="AN1194">
        <v>1.00000002912939</v>
      </c>
    </row>
    <row r="1195" spans="1:40" x14ac:dyDescent="0.25">
      <c r="A1195" t="str">
        <f>"20190303171001686"</f>
        <v>20190303171001686</v>
      </c>
      <c r="B1195" t="str">
        <f>"1551604201671364"</f>
        <v>1551604201671364</v>
      </c>
      <c r="C1195" t="s">
        <v>40</v>
      </c>
      <c r="D1195">
        <v>5.1977599999999997</v>
      </c>
      <c r="E1195">
        <v>0.48794409999999999</v>
      </c>
      <c r="F1195" t="s">
        <v>52</v>
      </c>
      <c r="G1195">
        <v>-193.31209999999999</v>
      </c>
      <c r="H1195" s="1">
        <v>1.363708E-6</v>
      </c>
      <c r="I1195">
        <v>294.91699999999997</v>
      </c>
      <c r="J1195">
        <v>-191.86879999999999</v>
      </c>
      <c r="K1195">
        <v>1.1213709999999999</v>
      </c>
      <c r="L1195">
        <v>318.66160000000002</v>
      </c>
      <c r="M1195">
        <v>1.059296E-2</v>
      </c>
      <c r="N1195">
        <v>-1.157595E-2</v>
      </c>
      <c r="O1195">
        <v>-0.99987700000000002</v>
      </c>
      <c r="P1195">
        <v>-0.1070904</v>
      </c>
      <c r="Q1195">
        <v>0.19181529999999999</v>
      </c>
      <c r="R1195">
        <v>-0.97557110000000002</v>
      </c>
      <c r="S1195">
        <v>-0.1846313</v>
      </c>
      <c r="T1195">
        <v>-0.14380589999999999</v>
      </c>
      <c r="U1195">
        <v>-3.0835270000000001</v>
      </c>
      <c r="V1195">
        <v>0.11724370000000001</v>
      </c>
      <c r="W1195">
        <v>0.20318359999999999</v>
      </c>
      <c r="X1195">
        <v>0.97209579999999995</v>
      </c>
      <c r="Y1195">
        <v>7.0280910000000002E-2</v>
      </c>
      <c r="Z1195">
        <v>3.4912949999999998E-2</v>
      </c>
      <c r="AA1195">
        <v>0.99691609999999997</v>
      </c>
      <c r="AB1195">
        <v>30</v>
      </c>
      <c r="AC1195">
        <v>-1.44329999999999</v>
      </c>
      <c r="AD1195">
        <v>-1.12136963629199</v>
      </c>
      <c r="AE1195">
        <v>-23.744599999999899</v>
      </c>
      <c r="AF1195">
        <v>1.69100383116773</v>
      </c>
      <c r="AG1195">
        <v>-1.12136963629199</v>
      </c>
      <c r="AH1195">
        <v>23.6753683883665</v>
      </c>
      <c r="AI1195">
        <v>92.704873265742805</v>
      </c>
      <c r="AJ1195">
        <v>85.914609336218206</v>
      </c>
      <c r="AK1195">
        <v>23.762155460797</v>
      </c>
      <c r="AL1195">
        <v>78.276810089377904</v>
      </c>
      <c r="AM1195">
        <v>83.122819785040605</v>
      </c>
      <c r="AN1195">
        <v>0.99999995243814299</v>
      </c>
    </row>
    <row r="1196" spans="1:40" x14ac:dyDescent="0.25">
      <c r="A1196" t="str">
        <f>"20190303171001707"</f>
        <v>20190303171001707</v>
      </c>
      <c r="B1196" t="str">
        <f>"1551604201701621"</f>
        <v>1551604201701621</v>
      </c>
      <c r="C1196" t="s">
        <v>40</v>
      </c>
      <c r="D1196">
        <v>5.1542570000000003</v>
      </c>
      <c r="E1196">
        <v>0.48750759999999999</v>
      </c>
      <c r="F1196" t="s">
        <v>52</v>
      </c>
      <c r="G1196">
        <v>-193.28749999999999</v>
      </c>
      <c r="H1196" s="1">
        <v>1.394219E-6</v>
      </c>
      <c r="I1196">
        <v>294.83690000000001</v>
      </c>
      <c r="J1196">
        <v>-191.86529999999999</v>
      </c>
      <c r="K1196">
        <v>1.1213169999999999</v>
      </c>
      <c r="L1196">
        <v>318.36579999999998</v>
      </c>
      <c r="M1196">
        <v>1.0866779999999999E-2</v>
      </c>
      <c r="N1196">
        <v>-1.16423E-2</v>
      </c>
      <c r="O1196">
        <v>-0.99987329999999996</v>
      </c>
      <c r="P1196">
        <v>-0.10727780000000001</v>
      </c>
      <c r="Q1196">
        <v>0.19246199999999999</v>
      </c>
      <c r="R1196">
        <v>-0.97542320000000005</v>
      </c>
      <c r="S1196">
        <v>-0.18360899999999999</v>
      </c>
      <c r="T1196">
        <v>-0.14513229999999999</v>
      </c>
      <c r="U1196">
        <v>-3.0834959999999998</v>
      </c>
      <c r="V1196">
        <v>0.1177309</v>
      </c>
      <c r="W1196">
        <v>0.2038722</v>
      </c>
      <c r="X1196">
        <v>0.9718928</v>
      </c>
      <c r="Y1196">
        <v>7.022428E-2</v>
      </c>
      <c r="Z1196">
        <v>3.527537E-2</v>
      </c>
      <c r="AA1196">
        <v>0.99690730000000005</v>
      </c>
      <c r="AB1196">
        <v>30</v>
      </c>
      <c r="AC1196">
        <v>-1.4221999999999999</v>
      </c>
      <c r="AD1196">
        <v>-1.1213156057810001</v>
      </c>
      <c r="AE1196">
        <v>-23.528899999999901</v>
      </c>
      <c r="AF1196">
        <v>1.6740285050870101</v>
      </c>
      <c r="AG1196">
        <v>-1.1213156057810001</v>
      </c>
      <c r="AH1196">
        <v>23.458969060562001</v>
      </c>
      <c r="AI1196">
        <v>92.729668245257898</v>
      </c>
      <c r="AJ1196">
        <v>85.918300719922797</v>
      </c>
      <c r="AK1196">
        <v>23.545338169328001</v>
      </c>
      <c r="AL1196">
        <v>78.236513641434698</v>
      </c>
      <c r="AM1196">
        <v>83.093088983891306</v>
      </c>
      <c r="AN1196">
        <v>1.00000002671974</v>
      </c>
    </row>
    <row r="1197" spans="1:40" x14ac:dyDescent="0.25">
      <c r="A1197" t="str">
        <f>"20190303171001729"</f>
        <v>20190303171001729</v>
      </c>
      <c r="B1197" t="str">
        <f>"1551604201722117"</f>
        <v>1551604201722117</v>
      </c>
      <c r="C1197" t="s">
        <v>40</v>
      </c>
      <c r="D1197">
        <v>5.1436840000000004</v>
      </c>
      <c r="E1197">
        <v>0.48725659999999998</v>
      </c>
      <c r="F1197" t="s">
        <v>52</v>
      </c>
      <c r="G1197">
        <v>-193.2944</v>
      </c>
      <c r="H1197" s="1">
        <v>1.5760180000000001E-6</v>
      </c>
      <c r="I1197">
        <v>294.02319999999997</v>
      </c>
      <c r="J1197">
        <v>-191.86160000000001</v>
      </c>
      <c r="K1197">
        <v>1.1212580000000001</v>
      </c>
      <c r="L1197">
        <v>318.05720000000002</v>
      </c>
      <c r="M1197">
        <v>1.10682E-2</v>
      </c>
      <c r="N1197">
        <v>-1.1720629999999999E-2</v>
      </c>
      <c r="O1197">
        <v>-0.99987040000000005</v>
      </c>
      <c r="P1197">
        <v>-0.10797039999999999</v>
      </c>
      <c r="Q1197">
        <v>0.19291340000000001</v>
      </c>
      <c r="R1197">
        <v>-0.97525770000000001</v>
      </c>
      <c r="S1197">
        <v>-0.1810455</v>
      </c>
      <c r="T1197">
        <v>-0.14204649999999999</v>
      </c>
      <c r="U1197">
        <v>-3.0836790000000001</v>
      </c>
      <c r="V1197">
        <v>0.1186546</v>
      </c>
      <c r="W1197">
        <v>0.20437640000000001</v>
      </c>
      <c r="X1197">
        <v>0.9716745</v>
      </c>
      <c r="Y1197">
        <v>6.9598469999999996E-2</v>
      </c>
      <c r="Z1197">
        <v>3.4200510000000003E-2</v>
      </c>
      <c r="AA1197">
        <v>0.99698869999999895</v>
      </c>
      <c r="AB1197">
        <v>30</v>
      </c>
      <c r="AC1197">
        <v>-1.4327999999999801</v>
      </c>
      <c r="AD1197">
        <v>-1.121256423982</v>
      </c>
      <c r="AE1197">
        <v>-24.033999999999999</v>
      </c>
      <c r="AF1197">
        <v>1.6950672815376699</v>
      </c>
      <c r="AG1197">
        <v>-1.121256423982</v>
      </c>
      <c r="AH1197">
        <v>23.964693678986301</v>
      </c>
      <c r="AI1197">
        <v>92.672126328460806</v>
      </c>
      <c r="AJ1197">
        <v>85.954101354464498</v>
      </c>
      <c r="AK1197">
        <v>24.050717498339001</v>
      </c>
      <c r="AL1197">
        <v>78.207003225722403</v>
      </c>
      <c r="AM1197">
        <v>83.037879470362995</v>
      </c>
      <c r="AN1197">
        <v>0.99999998046418404</v>
      </c>
    </row>
    <row r="1198" spans="1:40" x14ac:dyDescent="0.25">
      <c r="A1198" t="str">
        <f>"20190303171001754"</f>
        <v>20190303171001754</v>
      </c>
      <c r="B1198" t="str">
        <f>"1551604201742613"</f>
        <v>1551604201742613</v>
      </c>
      <c r="C1198" t="s">
        <v>40</v>
      </c>
      <c r="D1198">
        <v>5.095561</v>
      </c>
      <c r="E1198">
        <v>0.48704710000000001</v>
      </c>
      <c r="F1198" t="s">
        <v>52</v>
      </c>
      <c r="G1198">
        <v>-193.30250000000001</v>
      </c>
      <c r="H1198" s="1">
        <v>1.6883889999999999E-6</v>
      </c>
      <c r="I1198">
        <v>293.3811</v>
      </c>
      <c r="J1198">
        <v>-191.8579</v>
      </c>
      <c r="K1198">
        <v>1.1211979999999999</v>
      </c>
      <c r="L1198">
        <v>317.7346</v>
      </c>
      <c r="M1198">
        <v>1.119238E-2</v>
      </c>
      <c r="N1198">
        <v>-1.1817019999999999E-2</v>
      </c>
      <c r="O1198">
        <v>-0.99986750000000002</v>
      </c>
      <c r="P1198">
        <v>-0.1083345</v>
      </c>
      <c r="Q1198">
        <v>0.19187799999999999</v>
      </c>
      <c r="R1198">
        <v>-0.97542119999999999</v>
      </c>
      <c r="S1198">
        <v>-0.18006900000000001</v>
      </c>
      <c r="T1198">
        <v>-0.14012859999999999</v>
      </c>
      <c r="U1198">
        <v>-3.0838930000000002</v>
      </c>
      <c r="V1198">
        <v>0.1191789</v>
      </c>
      <c r="W1198">
        <v>0.2034157</v>
      </c>
      <c r="X1198">
        <v>0.97181200000000001</v>
      </c>
      <c r="Y1198">
        <v>6.9405240000000007E-2</v>
      </c>
      <c r="Z1198">
        <v>3.3482669999999999E-2</v>
      </c>
      <c r="AA1198">
        <v>0.99702650000000004</v>
      </c>
      <c r="AB1198">
        <v>30</v>
      </c>
      <c r="AC1198">
        <v>-1.4446000000000001</v>
      </c>
      <c r="AD1198">
        <v>-1.121196311611</v>
      </c>
      <c r="AE1198">
        <v>-24.3535</v>
      </c>
      <c r="AF1198">
        <v>1.71348311881774</v>
      </c>
      <c r="AG1198">
        <v>-1.121196311611</v>
      </c>
      <c r="AH1198">
        <v>24.284513327553402</v>
      </c>
      <c r="AI1198">
        <v>92.636876123918498</v>
      </c>
      <c r="AJ1198">
        <v>85.963974582237697</v>
      </c>
      <c r="AK1198">
        <v>24.3706933246423</v>
      </c>
      <c r="AL1198">
        <v>78.263229383385806</v>
      </c>
      <c r="AM1198">
        <v>83.008399376219202</v>
      </c>
      <c r="AN1198">
        <v>1.0000000602778401</v>
      </c>
    </row>
    <row r="1199" spans="1:40" x14ac:dyDescent="0.25">
      <c r="A1199" t="str">
        <f>"20190303171001779"</f>
        <v>20190303171001779</v>
      </c>
      <c r="B1199" t="str">
        <f>"1551604201771892"</f>
        <v>1551604201771892</v>
      </c>
      <c r="C1199" t="s">
        <v>40</v>
      </c>
      <c r="D1199">
        <v>5.0555909999999997</v>
      </c>
      <c r="E1199">
        <v>0.48676629999999899</v>
      </c>
      <c r="F1199" t="s">
        <v>52</v>
      </c>
      <c r="G1199">
        <v>-193.27</v>
      </c>
      <c r="H1199" s="1">
        <v>1.680957E-6</v>
      </c>
      <c r="I1199">
        <v>293.43959999999998</v>
      </c>
      <c r="J1199">
        <v>-191.85400000000001</v>
      </c>
      <c r="K1199">
        <v>1.121143</v>
      </c>
      <c r="L1199">
        <v>317.39870000000002</v>
      </c>
      <c r="M1199">
        <v>1.1243639999999999E-2</v>
      </c>
      <c r="N1199">
        <v>-1.193345E-2</v>
      </c>
      <c r="O1199">
        <v>-0.99986580000000003</v>
      </c>
      <c r="P1199">
        <v>-0.1085598</v>
      </c>
      <c r="Q1199">
        <v>0.1901909</v>
      </c>
      <c r="R1199">
        <v>-0.97572650000000005</v>
      </c>
      <c r="S1199">
        <v>-0.17924499999999999</v>
      </c>
      <c r="T1199">
        <v>-0.14231089999999999</v>
      </c>
      <c r="U1199">
        <v>-3.08371</v>
      </c>
      <c r="V1199">
        <v>0.119489899999999</v>
      </c>
      <c r="W1199">
        <v>0.20182620000000001</v>
      </c>
      <c r="X1199">
        <v>0.97210510000000006</v>
      </c>
      <c r="Y1199">
        <v>6.9192660000000003E-2</v>
      </c>
      <c r="Z1199">
        <v>3.4073880000000001E-2</v>
      </c>
      <c r="AA1199">
        <v>0.9970213</v>
      </c>
      <c r="AB1199">
        <v>30</v>
      </c>
      <c r="AC1199">
        <v>-1.4159999999999899</v>
      </c>
      <c r="AD1199">
        <v>-1.121141319043</v>
      </c>
      <c r="AE1199">
        <v>-23.959099999999999</v>
      </c>
      <c r="AF1199">
        <v>1.6816476528072</v>
      </c>
      <c r="AG1199">
        <v>-1.121141319043</v>
      </c>
      <c r="AH1199">
        <v>23.889534918900399</v>
      </c>
      <c r="AI1199">
        <v>92.680309820005107</v>
      </c>
      <c r="AJ1199">
        <v>85.973440225144799</v>
      </c>
      <c r="AK1199">
        <v>23.974878004419899</v>
      </c>
      <c r="AL1199">
        <v>78.356229272573103</v>
      </c>
      <c r="AM1199">
        <v>82.992428385114593</v>
      </c>
      <c r="AN1199">
        <v>0.99999998832722903</v>
      </c>
    </row>
    <row r="1200" spans="1:40" x14ac:dyDescent="0.25">
      <c r="A1200" t="str">
        <f>"20190303171001799"</f>
        <v>20190303171001799</v>
      </c>
      <c r="B1200" t="str">
        <f>"1551604201791413"</f>
        <v>1551604201791413</v>
      </c>
      <c r="C1200" t="s">
        <v>40</v>
      </c>
      <c r="D1200">
        <v>5.0845779999999996</v>
      </c>
      <c r="E1200">
        <v>0.4867186</v>
      </c>
      <c r="F1200" t="s">
        <v>52</v>
      </c>
      <c r="G1200">
        <v>-193.19329999999999</v>
      </c>
      <c r="H1200" s="1">
        <v>1.5531479999999901E-6</v>
      </c>
      <c r="I1200">
        <v>294.20400000000001</v>
      </c>
      <c r="J1200">
        <v>-191.8509</v>
      </c>
      <c r="K1200">
        <v>1.1211169999999999</v>
      </c>
      <c r="L1200">
        <v>317.13119999999998</v>
      </c>
      <c r="M1200">
        <v>1.1240490000000001E-2</v>
      </c>
      <c r="N1200">
        <v>-1.20401E-2</v>
      </c>
      <c r="O1200">
        <v>-0.99986430000000004</v>
      </c>
      <c r="P1200">
        <v>-0.1095777</v>
      </c>
      <c r="Q1200">
        <v>0.18906890000000001</v>
      </c>
      <c r="R1200">
        <v>-0.9758308</v>
      </c>
      <c r="S1200">
        <v>-0.17807010000000001</v>
      </c>
      <c r="T1200">
        <v>-0.14906059999999999</v>
      </c>
      <c r="U1200">
        <v>-3.0838320000000001</v>
      </c>
      <c r="V1200">
        <v>0.1205253</v>
      </c>
      <c r="W1200">
        <v>0.2007977</v>
      </c>
      <c r="X1200">
        <v>0.97219029999999995</v>
      </c>
      <c r="Y1200">
        <v>6.8803409999999995E-2</v>
      </c>
      <c r="Z1200">
        <v>3.6144519999999999E-2</v>
      </c>
      <c r="AA1200">
        <v>0.99697519999999995</v>
      </c>
      <c r="AB1200">
        <v>30</v>
      </c>
      <c r="AC1200">
        <v>-1.34239999999999</v>
      </c>
      <c r="AD1200">
        <v>-1.1211154468519999</v>
      </c>
      <c r="AE1200">
        <v>-22.9271999999999</v>
      </c>
      <c r="AF1200">
        <v>1.5962430877890701</v>
      </c>
      <c r="AG1200">
        <v>-1.1211154468519999</v>
      </c>
      <c r="AH1200">
        <v>22.856196157399101</v>
      </c>
      <c r="AI1200">
        <v>92.801342551890698</v>
      </c>
      <c r="AJ1200">
        <v>86.005033733538696</v>
      </c>
      <c r="AK1200">
        <v>22.939280603933302</v>
      </c>
      <c r="AL1200">
        <v>78.416390031396304</v>
      </c>
      <c r="AM1200">
        <v>82.932931237452195</v>
      </c>
      <c r="AN1200">
        <v>1.00000002183973</v>
      </c>
    </row>
    <row r="1201" spans="1:40" x14ac:dyDescent="0.25">
      <c r="A1201" t="str">
        <f>"20190303171001820"</f>
        <v>20190303171001820</v>
      </c>
      <c r="B1201" t="str">
        <f>"1551604201811908"</f>
        <v>1551604201811908</v>
      </c>
      <c r="C1201" t="s">
        <v>40</v>
      </c>
      <c r="D1201">
        <v>5.0055149999999999</v>
      </c>
      <c r="E1201">
        <v>0.48661969999999999</v>
      </c>
      <c r="F1201" t="s">
        <v>52</v>
      </c>
      <c r="G1201">
        <v>-193.1738</v>
      </c>
      <c r="H1201" s="1">
        <v>1.4993030000000001E-6</v>
      </c>
      <c r="I1201">
        <v>294.51960000000003</v>
      </c>
      <c r="J1201">
        <v>-191.8475</v>
      </c>
      <c r="K1201">
        <v>1.1210899999999999</v>
      </c>
      <c r="L1201">
        <v>316.8322</v>
      </c>
      <c r="M1201">
        <v>1.120634E-2</v>
      </c>
      <c r="N1201">
        <v>-1.21596E-2</v>
      </c>
      <c r="O1201">
        <v>-0.99986339999999996</v>
      </c>
      <c r="P1201">
        <v>-0.11162560000000001</v>
      </c>
      <c r="Q1201">
        <v>0.18870210000000001</v>
      </c>
      <c r="R1201">
        <v>-0.97566960000000003</v>
      </c>
      <c r="S1201">
        <v>-0.1804047</v>
      </c>
      <c r="T1201">
        <v>-0.15289459999999999</v>
      </c>
      <c r="U1201">
        <v>-3.08371</v>
      </c>
      <c r="V1201">
        <v>0.122555</v>
      </c>
      <c r="W1201">
        <v>0.20053470000000001</v>
      </c>
      <c r="X1201">
        <v>0.97199080000000004</v>
      </c>
      <c r="Y1201">
        <v>6.9520360000000003E-2</v>
      </c>
      <c r="Z1201">
        <v>3.7261509999999998E-2</v>
      </c>
      <c r="AA1201">
        <v>0.9968844</v>
      </c>
      <c r="AB1201">
        <v>30</v>
      </c>
      <c r="AC1201">
        <v>-1.3263</v>
      </c>
      <c r="AD1201">
        <v>-1.1210885006969999</v>
      </c>
      <c r="AE1201">
        <v>-22.3125999999999</v>
      </c>
      <c r="AF1201">
        <v>1.57232235309513</v>
      </c>
      <c r="AG1201">
        <v>-1.1210885006969999</v>
      </c>
      <c r="AH1201">
        <v>22.240385957704301</v>
      </c>
      <c r="AI1201">
        <v>92.878538195771398</v>
      </c>
      <c r="AJ1201">
        <v>85.956104491083394</v>
      </c>
      <c r="AK1201">
        <v>22.324063352268301</v>
      </c>
      <c r="AL1201">
        <v>78.431771486945195</v>
      </c>
      <c r="AM1201">
        <v>82.813692968612401</v>
      </c>
      <c r="AN1201">
        <v>1.00000000460686</v>
      </c>
    </row>
    <row r="1202" spans="1:40" x14ac:dyDescent="0.25">
      <c r="A1202" t="str">
        <f>"20190303171001864"</f>
        <v>20190303171001864</v>
      </c>
      <c r="B1202" t="str">
        <f>"1551604201851925"</f>
        <v>1551604201851925</v>
      </c>
      <c r="C1202" t="s">
        <v>40</v>
      </c>
      <c r="D1202">
        <v>4.9768509999999999</v>
      </c>
      <c r="E1202">
        <v>0.4865545</v>
      </c>
      <c r="F1202" t="s">
        <v>52</v>
      </c>
      <c r="G1202">
        <v>-193.1995</v>
      </c>
      <c r="H1202" s="1">
        <v>1.538663E-6</v>
      </c>
      <c r="I1202">
        <v>294.28309999999999</v>
      </c>
      <c r="J1202">
        <v>-191.84100000000001</v>
      </c>
      <c r="K1202">
        <v>1.1210629999999999</v>
      </c>
      <c r="L1202">
        <v>316.23579999999998</v>
      </c>
      <c r="M1202">
        <v>1.1047909999999999E-2</v>
      </c>
      <c r="N1202">
        <v>-1.2427819999999999E-2</v>
      </c>
      <c r="O1202">
        <v>-0.99986169999999996</v>
      </c>
      <c r="P1202">
        <v>-0.11528629999999999</v>
      </c>
      <c r="Q1202">
        <v>0.18817030000000001</v>
      </c>
      <c r="R1202">
        <v>-0.97534670000000001</v>
      </c>
      <c r="S1202">
        <v>-0.1848755</v>
      </c>
      <c r="T1202">
        <v>-0.1532983</v>
      </c>
      <c r="U1202">
        <v>-3.0833740000000001</v>
      </c>
      <c r="V1202">
        <v>0.1260888</v>
      </c>
      <c r="W1202">
        <v>0.20023940000000001</v>
      </c>
      <c r="X1202">
        <v>0.97159960000000001</v>
      </c>
      <c r="Y1202">
        <v>7.0808079999999995E-2</v>
      </c>
      <c r="Z1202">
        <v>3.712468E-2</v>
      </c>
      <c r="AA1202">
        <v>0.99679890000000004</v>
      </c>
      <c r="AB1202">
        <v>30</v>
      </c>
      <c r="AC1202">
        <v>-1.35850000000002</v>
      </c>
      <c r="AD1202">
        <v>-1.121061461337</v>
      </c>
      <c r="AE1202">
        <v>-21.9527</v>
      </c>
      <c r="AF1202">
        <v>1.5968188912051999</v>
      </c>
      <c r="AG1202">
        <v>-1.121061461337</v>
      </c>
      <c r="AH1202">
        <v>21.879509421366201</v>
      </c>
      <c r="AI1202">
        <v>92.925386890820405</v>
      </c>
      <c r="AJ1202">
        <v>85.825817734795194</v>
      </c>
      <c r="AK1202">
        <v>21.966327455700402</v>
      </c>
      <c r="AL1202">
        <v>78.449041077057501</v>
      </c>
      <c r="AM1202">
        <v>82.605796745829196</v>
      </c>
      <c r="AN1202">
        <v>0.99999999275897899</v>
      </c>
    </row>
    <row r="1203" spans="1:40" x14ac:dyDescent="0.25">
      <c r="A1203" t="str">
        <f>"20190303171001886"</f>
        <v>20190303171001886</v>
      </c>
      <c r="B1203" t="str">
        <f>"1551604201882180"</f>
        <v>1551604201882180</v>
      </c>
      <c r="C1203" t="s">
        <v>40</v>
      </c>
      <c r="D1203">
        <v>4.8690920000000002</v>
      </c>
      <c r="E1203">
        <v>0.53967419999999899</v>
      </c>
      <c r="F1203" t="s">
        <v>52</v>
      </c>
      <c r="G1203">
        <v>-193.26249999999999</v>
      </c>
      <c r="H1203" s="1">
        <v>1.60314E-6</v>
      </c>
      <c r="I1203">
        <v>293.88529999999997</v>
      </c>
      <c r="J1203">
        <v>-191.83799999999999</v>
      </c>
      <c r="K1203">
        <v>1.12104</v>
      </c>
      <c r="L1203">
        <v>315.95620000000002</v>
      </c>
      <c r="M1203">
        <v>1.0926719999999999E-2</v>
      </c>
      <c r="N1203">
        <v>-1.2550199999999999E-2</v>
      </c>
      <c r="O1203">
        <v>-0.99986149999999996</v>
      </c>
      <c r="P1203">
        <v>-0.1169844</v>
      </c>
      <c r="Q1203">
        <v>0.1876922</v>
      </c>
      <c r="R1203">
        <v>-0.97523669999999996</v>
      </c>
      <c r="S1203">
        <v>-0.19604489999999999</v>
      </c>
      <c r="T1203">
        <v>-0.1546119</v>
      </c>
      <c r="U1203">
        <v>-3.0824889999999998</v>
      </c>
      <c r="V1203">
        <v>0.1276832</v>
      </c>
      <c r="W1203">
        <v>0.19986889999999999</v>
      </c>
      <c r="X1203">
        <v>0.97146770000000005</v>
      </c>
      <c r="Y1203">
        <v>7.4299399999999904E-2</v>
      </c>
      <c r="Z1203">
        <v>3.7428330000000003E-2</v>
      </c>
      <c r="AA1203">
        <v>0.99653329999999996</v>
      </c>
      <c r="AB1203">
        <v>30</v>
      </c>
      <c r="AC1203">
        <v>-1.4244999999999901</v>
      </c>
      <c r="AD1203">
        <v>-1.12103839686</v>
      </c>
      <c r="AE1203">
        <v>-22.070900000000002</v>
      </c>
      <c r="AF1203">
        <v>1.66132823407385</v>
      </c>
      <c r="AG1203">
        <v>-1.12103839686</v>
      </c>
      <c r="AH1203">
        <v>21.9975001899207</v>
      </c>
      <c r="AI1203">
        <v>92.909117890893995</v>
      </c>
      <c r="AJ1203">
        <v>85.681021198443403</v>
      </c>
      <c r="AK1203">
        <v>22.088611391260599</v>
      </c>
      <c r="AL1203">
        <v>78.470707633905306</v>
      </c>
      <c r="AM1203">
        <v>82.512345804046802</v>
      </c>
      <c r="AN1203">
        <v>1.00000003444636</v>
      </c>
    </row>
    <row r="1204" spans="1:40" x14ac:dyDescent="0.25">
      <c r="A1204" t="str">
        <f>"20190303171001908"</f>
        <v>20190303171001908</v>
      </c>
      <c r="B1204" t="str">
        <f>"1551604201901700"</f>
        <v>1551604201901700</v>
      </c>
      <c r="C1204" t="s">
        <v>40</v>
      </c>
      <c r="D1204">
        <v>4.8427670000000003</v>
      </c>
      <c r="E1204">
        <v>0.54780819999999997</v>
      </c>
      <c r="F1204" t="s">
        <v>52</v>
      </c>
      <c r="G1204">
        <v>-195.42490000000001</v>
      </c>
      <c r="H1204" s="1">
        <v>2.147509E-7</v>
      </c>
      <c r="I1204">
        <v>298.39690000000002</v>
      </c>
      <c r="J1204">
        <v>-191.8348</v>
      </c>
      <c r="K1204">
        <v>1.1210150000000001</v>
      </c>
      <c r="L1204">
        <v>315.65120000000002</v>
      </c>
      <c r="M1204">
        <v>1.075309E-2</v>
      </c>
      <c r="N1204">
        <v>-1.2673149999999999E-2</v>
      </c>
      <c r="O1204">
        <v>-0.99986200000000003</v>
      </c>
      <c r="P1204">
        <v>-0.11829240000000001</v>
      </c>
      <c r="Q1204">
        <v>0.18670339999999999</v>
      </c>
      <c r="R1204">
        <v>-0.97526860000000004</v>
      </c>
      <c r="S1204">
        <v>-0.62080380000000002</v>
      </c>
      <c r="T1204">
        <v>-0.19402520000000001</v>
      </c>
      <c r="U1204">
        <v>-3.0390929999999998</v>
      </c>
      <c r="V1204">
        <v>0.12884019999999999</v>
      </c>
      <c r="W1204">
        <v>0.1989882</v>
      </c>
      <c r="X1204">
        <v>0.97149569999999996</v>
      </c>
      <c r="Y1204">
        <v>0.2103178</v>
      </c>
      <c r="Z1204">
        <v>4.9687549999999997E-2</v>
      </c>
      <c r="AA1204">
        <v>0.97636959999999995</v>
      </c>
      <c r="AB1204">
        <v>30</v>
      </c>
      <c r="AC1204">
        <v>-3.5901000000000001</v>
      </c>
      <c r="AD1204">
        <v>-1.1210147852490999</v>
      </c>
      <c r="AE1204">
        <v>-17.254300000000001</v>
      </c>
      <c r="AF1204">
        <v>3.7602305737562598</v>
      </c>
      <c r="AG1204">
        <v>-1.1210147852490999</v>
      </c>
      <c r="AH1204">
        <v>17.145325185769199</v>
      </c>
      <c r="AI1204">
        <v>93.654244810830505</v>
      </c>
      <c r="AJ1204">
        <v>77.630011152717003</v>
      </c>
      <c r="AK1204">
        <v>17.588581063926998</v>
      </c>
      <c r="AL1204">
        <v>78.522202011481298</v>
      </c>
      <c r="AM1204">
        <v>82.445491946773004</v>
      </c>
      <c r="AN1204">
        <v>0.99999999799688399</v>
      </c>
    </row>
    <row r="1205" spans="1:40" x14ac:dyDescent="0.25">
      <c r="A1205" t="str">
        <f>"20190303171001931"</f>
        <v>20190303171001931</v>
      </c>
      <c r="B1205" t="str">
        <f>"1551604201922197"</f>
        <v>1551604201922197</v>
      </c>
      <c r="C1205" t="s">
        <v>40</v>
      </c>
      <c r="D1205">
        <v>4.8454519999999999</v>
      </c>
      <c r="E1205">
        <v>0.55147919999999995</v>
      </c>
      <c r="F1205" t="s">
        <v>52</v>
      </c>
      <c r="G1205">
        <v>-195.8501</v>
      </c>
      <c r="H1205" s="1">
        <v>2.8291360000000002E-7</v>
      </c>
      <c r="I1205">
        <v>298.00990000000002</v>
      </c>
      <c r="J1205">
        <v>-191.83160000000001</v>
      </c>
      <c r="K1205">
        <v>1.1209800000000001</v>
      </c>
      <c r="L1205">
        <v>315.33269999999999</v>
      </c>
      <c r="M1205">
        <v>1.052174E-2</v>
      </c>
      <c r="N1205">
        <v>-1.2790599999999999E-2</v>
      </c>
      <c r="O1205">
        <v>-0.99986280000000005</v>
      </c>
      <c r="P1205">
        <v>-0.1190553</v>
      </c>
      <c r="Q1205">
        <v>0.18653600000000001</v>
      </c>
      <c r="R1205">
        <v>-0.97520770000000001</v>
      </c>
      <c r="S1205">
        <v>-0.68948359999999997</v>
      </c>
      <c r="T1205">
        <v>-0.19249479999999999</v>
      </c>
      <c r="U1205">
        <v>-3.0292659999999998</v>
      </c>
      <c r="V1205">
        <v>0.12939639999999999</v>
      </c>
      <c r="W1205">
        <v>0.19892180000000001</v>
      </c>
      <c r="X1205">
        <v>0.97143539999999995</v>
      </c>
      <c r="Y1205">
        <v>0.23180329999999999</v>
      </c>
      <c r="Z1205">
        <v>4.8976039999999998E-2</v>
      </c>
      <c r="AA1205">
        <v>0.97152899999999998</v>
      </c>
      <c r="AB1205">
        <v>30</v>
      </c>
      <c r="AC1205">
        <v>-4.01849999999998</v>
      </c>
      <c r="AD1205">
        <v>-1.12097971708639</v>
      </c>
      <c r="AE1205">
        <v>-17.322799999999901</v>
      </c>
      <c r="AF1205">
        <v>4.1839327236925099</v>
      </c>
      <c r="AG1205">
        <v>-1.12097971708639</v>
      </c>
      <c r="AH1205">
        <v>17.211163791054702</v>
      </c>
      <c r="AI1205">
        <v>93.621295057873596</v>
      </c>
      <c r="AJ1205">
        <v>76.336759959275</v>
      </c>
      <c r="AK1205">
        <v>17.747846280746799</v>
      </c>
      <c r="AL1205">
        <v>78.526084356588996</v>
      </c>
      <c r="AM1205">
        <v>82.412792943472596</v>
      </c>
      <c r="AN1205">
        <v>1.0000000236106701</v>
      </c>
    </row>
    <row r="1206" spans="1:40" x14ac:dyDescent="0.25">
      <c r="A1206" t="str">
        <f>"20190303171001954"</f>
        <v>20190303171001954</v>
      </c>
      <c r="B1206" t="str">
        <f>"1551604201941716"</f>
        <v>1551604201941716</v>
      </c>
      <c r="C1206" t="s">
        <v>40</v>
      </c>
      <c r="D1206">
        <v>4.8262879999999999</v>
      </c>
      <c r="E1206">
        <v>0.55366979999999999</v>
      </c>
      <c r="F1206" t="s">
        <v>52</v>
      </c>
      <c r="G1206">
        <v>-196.0386</v>
      </c>
      <c r="H1206" s="1">
        <v>3.4009719999999999E-7</v>
      </c>
      <c r="I1206">
        <v>297.68520000000001</v>
      </c>
      <c r="J1206">
        <v>-191.8287</v>
      </c>
      <c r="K1206">
        <v>1.1209499999999999</v>
      </c>
      <c r="L1206">
        <v>315.03149999999999</v>
      </c>
      <c r="M1206">
        <v>1.025014E-2</v>
      </c>
      <c r="N1206">
        <v>-1.289068E-2</v>
      </c>
      <c r="O1206">
        <v>-0.99986430000000004</v>
      </c>
      <c r="P1206">
        <v>-0.1190126</v>
      </c>
      <c r="Q1206">
        <v>0.18758069999999999</v>
      </c>
      <c r="R1206">
        <v>-0.9750124</v>
      </c>
      <c r="S1206">
        <v>-0.72113039999999995</v>
      </c>
      <c r="T1206">
        <v>-0.19215180000000001</v>
      </c>
      <c r="U1206">
        <v>-3.0250240000000002</v>
      </c>
      <c r="V1206">
        <v>0.12910669999999999</v>
      </c>
      <c r="W1206">
        <v>0.20004930000000001</v>
      </c>
      <c r="X1206">
        <v>0.97124239999999995</v>
      </c>
      <c r="Y1206">
        <v>0.24145949999999999</v>
      </c>
      <c r="Z1206">
        <v>4.870468E-2</v>
      </c>
      <c r="AA1206">
        <v>0.96918789999999999</v>
      </c>
      <c r="AB1206">
        <v>30</v>
      </c>
      <c r="AC1206">
        <v>-4.2099000000000002</v>
      </c>
      <c r="AD1206">
        <v>-1.1209496599027999</v>
      </c>
      <c r="AE1206">
        <v>-17.3462999999999</v>
      </c>
      <c r="AF1206">
        <v>4.3702606384535398</v>
      </c>
      <c r="AG1206">
        <v>-1.1209496599027999</v>
      </c>
      <c r="AH1206">
        <v>17.234266322003801</v>
      </c>
      <c r="AI1206">
        <v>93.607521544454102</v>
      </c>
      <c r="AJ1206">
        <v>75.770881086416793</v>
      </c>
      <c r="AK1206">
        <v>17.815039765484901</v>
      </c>
      <c r="AL1206">
        <v>78.460158385950507</v>
      </c>
      <c r="AM1206">
        <v>82.428095483648306</v>
      </c>
      <c r="AN1206">
        <v>1.00000003098656</v>
      </c>
    </row>
    <row r="1207" spans="1:40" x14ac:dyDescent="0.25">
      <c r="A1207" t="str">
        <f>"20190303171001979"</f>
        <v>20190303171001979</v>
      </c>
      <c r="B1207" t="str">
        <f>"1551604201971973"</f>
        <v>1551604201971973</v>
      </c>
      <c r="C1207" t="s">
        <v>40</v>
      </c>
      <c r="D1207">
        <v>4.7866749999999998</v>
      </c>
      <c r="E1207">
        <v>0.55596069999999997</v>
      </c>
      <c r="F1207" t="s">
        <v>52</v>
      </c>
      <c r="G1207">
        <v>-196.2295</v>
      </c>
      <c r="H1207" s="1">
        <v>4.5681449999999999E-7</v>
      </c>
      <c r="I1207">
        <v>297.02249999999998</v>
      </c>
      <c r="J1207">
        <v>-191.82570000000001</v>
      </c>
      <c r="K1207">
        <v>1.1209169999999999</v>
      </c>
      <c r="L1207">
        <v>314.70319999999998</v>
      </c>
      <c r="M1207">
        <v>9.8898570000000002E-3</v>
      </c>
      <c r="N1207">
        <v>-1.298736E-2</v>
      </c>
      <c r="O1207">
        <v>-0.9998667</v>
      </c>
      <c r="P1207">
        <v>-0.1194075</v>
      </c>
      <c r="Q1207">
        <v>0.18848500000000001</v>
      </c>
      <c r="R1207">
        <v>-0.97478989999999999</v>
      </c>
      <c r="S1207">
        <v>-0.73869319999999905</v>
      </c>
      <c r="T1207">
        <v>-0.1881583</v>
      </c>
      <c r="U1207">
        <v>-3.0229189999999999</v>
      </c>
      <c r="V1207">
        <v>0.12917089999999901</v>
      </c>
      <c r="W1207">
        <v>0.20103119999999999</v>
      </c>
      <c r="X1207">
        <v>0.97103110000000004</v>
      </c>
      <c r="Y1207">
        <v>0.24659410000000001</v>
      </c>
      <c r="Z1207">
        <v>4.7293149999999999E-2</v>
      </c>
      <c r="AA1207">
        <v>0.96796420000000005</v>
      </c>
      <c r="AB1207">
        <v>30</v>
      </c>
      <c r="AC1207">
        <v>-4.4037999999999897</v>
      </c>
      <c r="AD1207">
        <v>-1.1209165431854999</v>
      </c>
      <c r="AE1207">
        <v>-17.680700000000002</v>
      </c>
      <c r="AF1207">
        <v>4.5611971269039397</v>
      </c>
      <c r="AG1207">
        <v>-1.1209165431854999</v>
      </c>
      <c r="AH1207">
        <v>17.5697858093184</v>
      </c>
      <c r="AI1207">
        <v>93.533587487819801</v>
      </c>
      <c r="AJ1207">
        <v>75.447006381724904</v>
      </c>
      <c r="AK1207">
        <v>18.186762947610799</v>
      </c>
      <c r="AL1207">
        <v>78.4027330908322</v>
      </c>
      <c r="AM1207">
        <v>82.422744640627599</v>
      </c>
      <c r="AN1207">
        <v>1.00000003097372</v>
      </c>
    </row>
    <row r="1208" spans="1:40" x14ac:dyDescent="0.25">
      <c r="A1208" t="str">
        <f>"20190303171002000"</f>
        <v>20190303171002000</v>
      </c>
      <c r="B1208" t="str">
        <f>"1551604201991492"</f>
        <v>1551604201991492</v>
      </c>
      <c r="C1208" t="s">
        <v>40</v>
      </c>
      <c r="D1208">
        <v>4.8137889999999999</v>
      </c>
      <c r="E1208">
        <v>0.55694679999999996</v>
      </c>
      <c r="F1208" t="s">
        <v>52</v>
      </c>
      <c r="G1208">
        <v>-196.4494</v>
      </c>
      <c r="H1208" s="1">
        <v>6.0467990000000005E-7</v>
      </c>
      <c r="I1208">
        <v>296.27699999999999</v>
      </c>
      <c r="J1208">
        <v>-191.82329999999999</v>
      </c>
      <c r="K1208">
        <v>1.120892</v>
      </c>
      <c r="L1208">
        <v>314.42020000000002</v>
      </c>
      <c r="M1208">
        <v>9.5287480000000001E-3</v>
      </c>
      <c r="N1208">
        <v>-1.306089E-2</v>
      </c>
      <c r="O1208">
        <v>-0.99986940000000002</v>
      </c>
      <c r="P1208">
        <v>-0.1191031</v>
      </c>
      <c r="Q1208">
        <v>0.18871180000000001</v>
      </c>
      <c r="R1208">
        <v>-0.97478339999999997</v>
      </c>
      <c r="S1208">
        <v>-0.75788880000000003</v>
      </c>
      <c r="T1208">
        <v>-0.18373129999999999</v>
      </c>
      <c r="U1208">
        <v>-3.0202640000000001</v>
      </c>
      <c r="V1208">
        <v>0.1285338</v>
      </c>
      <c r="W1208">
        <v>0.201318</v>
      </c>
      <c r="X1208">
        <v>0.97105620000000004</v>
      </c>
      <c r="Y1208">
        <v>0.25224849999999999</v>
      </c>
      <c r="Z1208">
        <v>4.5768410000000002E-2</v>
      </c>
      <c r="AA1208">
        <v>0.96657950000000004</v>
      </c>
      <c r="AB1208">
        <v>30</v>
      </c>
      <c r="AC1208">
        <v>-4.6261000000000001</v>
      </c>
      <c r="AD1208">
        <v>-1.1208913953201001</v>
      </c>
      <c r="AE1208">
        <v>-18.1432</v>
      </c>
      <c r="AF1208">
        <v>4.7816501549069299</v>
      </c>
      <c r="AG1208">
        <v>-1.1208913953201001</v>
      </c>
      <c r="AH1208">
        <v>18.033662356675102</v>
      </c>
      <c r="AI1208">
        <v>93.438164787105904</v>
      </c>
      <c r="AJ1208">
        <v>75.149669842596794</v>
      </c>
      <c r="AK1208">
        <v>18.690466920828499</v>
      </c>
      <c r="AL1208">
        <v>78.385957439216597</v>
      </c>
      <c r="AM1208">
        <v>82.459878962832406</v>
      </c>
      <c r="AN1208">
        <v>1.0000000092124399</v>
      </c>
    </row>
    <row r="1209" spans="1:40" x14ac:dyDescent="0.25">
      <c r="A1209" t="str">
        <f>"20190303171002020"</f>
        <v>20190303171002020</v>
      </c>
      <c r="B1209" t="str">
        <f>"1551604202011989"</f>
        <v>1551604202011989</v>
      </c>
      <c r="C1209" t="s">
        <v>40</v>
      </c>
      <c r="D1209">
        <v>4.794772</v>
      </c>
      <c r="E1209">
        <v>0.55787909999999996</v>
      </c>
      <c r="F1209" t="s">
        <v>52</v>
      </c>
      <c r="G1209">
        <v>-196.48159999999999</v>
      </c>
      <c r="H1209" s="1">
        <v>6.9411059999999997E-7</v>
      </c>
      <c r="I1209">
        <v>296.01600000000002</v>
      </c>
      <c r="J1209">
        <v>-191.8211</v>
      </c>
      <c r="K1209">
        <v>1.1208640000000001</v>
      </c>
      <c r="L1209">
        <v>314.1472</v>
      </c>
      <c r="M1209">
        <v>9.1456479999999993E-3</v>
      </c>
      <c r="N1209">
        <v>-1.312403E-2</v>
      </c>
      <c r="O1209">
        <v>-0.99987230000000005</v>
      </c>
      <c r="P1209">
        <v>-0.1185886</v>
      </c>
      <c r="Q1209">
        <v>0.188168</v>
      </c>
      <c r="R1209">
        <v>-0.97495140000000002</v>
      </c>
      <c r="S1209">
        <v>-0.76434329999999995</v>
      </c>
      <c r="T1209">
        <v>-0.18391669999999999</v>
      </c>
      <c r="U1209">
        <v>-3.0197750000000001</v>
      </c>
      <c r="V1209">
        <v>0.127664</v>
      </c>
      <c r="W1209">
        <v>0.20082849999999999</v>
      </c>
      <c r="X1209">
        <v>0.97127229999999998</v>
      </c>
      <c r="Y1209">
        <v>0.25385560000000001</v>
      </c>
      <c r="Z1209">
        <v>4.5746809999999999E-2</v>
      </c>
      <c r="AA1209">
        <v>0.96615969999999995</v>
      </c>
      <c r="AB1209">
        <v>30</v>
      </c>
      <c r="AC1209">
        <v>-4.6604999999999803</v>
      </c>
      <c r="AD1209">
        <v>-1.12086330588939</v>
      </c>
      <c r="AE1209">
        <v>-18.1312</v>
      </c>
      <c r="AF1209">
        <v>4.8089018732971498</v>
      </c>
      <c r="AG1209">
        <v>-1.12086330588939</v>
      </c>
      <c r="AH1209">
        <v>18.023204882267599</v>
      </c>
      <c r="AI1209">
        <v>93.438649032764403</v>
      </c>
      <c r="AJ1209">
        <v>75.060528399555395</v>
      </c>
      <c r="AK1209">
        <v>18.6873696920055</v>
      </c>
      <c r="AL1209">
        <v>78.4145887456975</v>
      </c>
      <c r="AM1209">
        <v>82.511969917801395</v>
      </c>
      <c r="AN1209">
        <v>1.00000003202776</v>
      </c>
    </row>
    <row r="1210" spans="1:40" x14ac:dyDescent="0.25">
      <c r="A1210" t="str">
        <f>"20190303171002043"</f>
        <v>20190303171002043</v>
      </c>
      <c r="B1210" t="str">
        <f>"1551604202032016"</f>
        <v>1551604202032016</v>
      </c>
      <c r="C1210" t="s">
        <v>40</v>
      </c>
      <c r="D1210">
        <v>4.7918620000000001</v>
      </c>
      <c r="E1210">
        <v>0.55871470000000001</v>
      </c>
      <c r="F1210" t="s">
        <v>52</v>
      </c>
      <c r="G1210">
        <v>-196.50110000000001</v>
      </c>
      <c r="H1210" s="1">
        <v>7.6311459999999997E-7</v>
      </c>
      <c r="I1210">
        <v>295.8159</v>
      </c>
      <c r="J1210">
        <v>-191.81870000000001</v>
      </c>
      <c r="K1210">
        <v>1.1208320000000001</v>
      </c>
      <c r="L1210">
        <v>313.83319999999998</v>
      </c>
      <c r="M1210">
        <v>8.6569980000000008E-3</v>
      </c>
      <c r="N1210">
        <v>-1.318751E-2</v>
      </c>
      <c r="O1210">
        <v>-0.99987579999999998</v>
      </c>
      <c r="P1210">
        <v>-0.1181302</v>
      </c>
      <c r="Q1210">
        <v>0.1886274</v>
      </c>
      <c r="R1210">
        <v>-0.97491810000000001</v>
      </c>
      <c r="S1210">
        <v>-0.77075199999999999</v>
      </c>
      <c r="T1210">
        <v>-0.18459320000000001</v>
      </c>
      <c r="U1210">
        <v>-3.0189509999999999</v>
      </c>
      <c r="V1210">
        <v>0.12674739999999901</v>
      </c>
      <c r="W1210">
        <v>0.20133999999999999</v>
      </c>
      <c r="X1210">
        <v>0.97128639999999999</v>
      </c>
      <c r="Y1210">
        <v>0.2553684</v>
      </c>
      <c r="Z1210">
        <v>4.5888760000000001E-2</v>
      </c>
      <c r="AA1210">
        <v>0.96575420000000001</v>
      </c>
      <c r="AB1210">
        <v>30</v>
      </c>
      <c r="AC1210">
        <v>-4.6824000000000003</v>
      </c>
      <c r="AD1210">
        <v>-1.1208312368853901</v>
      </c>
      <c r="AE1210">
        <v>-18.017299999999899</v>
      </c>
      <c r="AF1210">
        <v>4.8207382248472204</v>
      </c>
      <c r="AG1210">
        <v>-1.1208312368853901</v>
      </c>
      <c r="AH1210">
        <v>17.9111563864363</v>
      </c>
      <c r="AI1210">
        <v>93.4579994709609</v>
      </c>
      <c r="AJ1210">
        <v>74.935974591405397</v>
      </c>
      <c r="AK1210">
        <v>18.5823922785378</v>
      </c>
      <c r="AL1210">
        <v>78.384670295831299</v>
      </c>
      <c r="AM1210">
        <v>82.565235459502006</v>
      </c>
      <c r="AN1210">
        <v>0.99999998491585895</v>
      </c>
    </row>
    <row r="1211" spans="1:40" x14ac:dyDescent="0.25">
      <c r="A1211" t="str">
        <f>"20190303171002066"</f>
        <v>20190303171002066</v>
      </c>
      <c r="B1211" t="str">
        <f>"1551604202051536"</f>
        <v>1551604202051536</v>
      </c>
      <c r="C1211" t="s">
        <v>40</v>
      </c>
      <c r="D1211">
        <v>4.7311930000000002</v>
      </c>
      <c r="E1211">
        <v>0.55945610000000001</v>
      </c>
      <c r="F1211" t="s">
        <v>52</v>
      </c>
      <c r="G1211">
        <v>-196.602</v>
      </c>
      <c r="H1211" s="1">
        <v>9.5314589999999999E-7</v>
      </c>
      <c r="I1211">
        <v>295.25299999999999</v>
      </c>
      <c r="J1211">
        <v>-191.81659999999999</v>
      </c>
      <c r="K1211">
        <v>1.120806</v>
      </c>
      <c r="L1211">
        <v>313.52890000000002</v>
      </c>
      <c r="M1211">
        <v>8.129374E-3</v>
      </c>
      <c r="N1211">
        <v>-1.324121E-2</v>
      </c>
      <c r="O1211">
        <v>-0.99987939999999997</v>
      </c>
      <c r="P1211">
        <v>-0.11835080000000001</v>
      </c>
      <c r="Q1211">
        <v>0.1893157</v>
      </c>
      <c r="R1211">
        <v>-0.97475809999999996</v>
      </c>
      <c r="S1211">
        <v>-0.77702329999999997</v>
      </c>
      <c r="T1211">
        <v>-0.18207280000000001</v>
      </c>
      <c r="U1211">
        <v>-3.0182500000000001</v>
      </c>
      <c r="V1211">
        <v>0.12647220000000001</v>
      </c>
      <c r="W1211">
        <v>0.20206760000000001</v>
      </c>
      <c r="X1211">
        <v>0.97117120000000001</v>
      </c>
      <c r="Y1211">
        <v>0.2568047</v>
      </c>
      <c r="Z1211">
        <v>4.5018990000000002E-2</v>
      </c>
      <c r="AA1211">
        <v>0.9654142</v>
      </c>
      <c r="AB1211">
        <v>30</v>
      </c>
      <c r="AC1211">
        <v>-4.7854000000000099</v>
      </c>
      <c r="AD1211">
        <v>-1.1208050468541</v>
      </c>
      <c r="AE1211">
        <v>-18.2759</v>
      </c>
      <c r="AF1211">
        <v>4.9165218957842596</v>
      </c>
      <c r="AG1211">
        <v>-1.1208050468541</v>
      </c>
      <c r="AH1211">
        <v>18.172429139890401</v>
      </c>
      <c r="AI1211">
        <v>93.4071227553451</v>
      </c>
      <c r="AJ1211">
        <v>74.861142082091405</v>
      </c>
      <c r="AK1211">
        <v>18.859097866788801</v>
      </c>
      <c r="AL1211">
        <v>78.342107432152105</v>
      </c>
      <c r="AM1211">
        <v>82.580327946307804</v>
      </c>
      <c r="AN1211">
        <v>1.0000000160260101</v>
      </c>
    </row>
    <row r="1212" spans="1:40" x14ac:dyDescent="0.25">
      <c r="A1212" t="str">
        <f>"20190303171002087"</f>
        <v>20190303171002087</v>
      </c>
      <c r="B1212" t="str">
        <f>"1551604202081792"</f>
        <v>1551604202081792</v>
      </c>
      <c r="C1212" t="s">
        <v>40</v>
      </c>
      <c r="D1212">
        <v>4.7389469999999996</v>
      </c>
      <c r="E1212">
        <v>0.56045749999999905</v>
      </c>
      <c r="F1212" t="s">
        <v>52</v>
      </c>
      <c r="G1212">
        <v>-196.72329999999999</v>
      </c>
      <c r="H1212" s="1">
        <v>1.159138E-6</v>
      </c>
      <c r="I1212">
        <v>294.63979999999998</v>
      </c>
      <c r="J1212">
        <v>-191.81479999999999</v>
      </c>
      <c r="K1212">
        <v>1.12077</v>
      </c>
      <c r="L1212">
        <v>313.24540000000002</v>
      </c>
      <c r="M1212">
        <v>7.5820779999999999E-3</v>
      </c>
      <c r="N1212">
        <v>-1.3285089999999999E-2</v>
      </c>
      <c r="O1212">
        <v>-0.99988290000000002</v>
      </c>
      <c r="P1212">
        <v>-0.1185045</v>
      </c>
      <c r="Q1212">
        <v>0.18981010000000001</v>
      </c>
      <c r="R1212">
        <v>-0.97464300000000004</v>
      </c>
      <c r="S1212">
        <v>-0.7837982</v>
      </c>
      <c r="T1212">
        <v>-0.1790349</v>
      </c>
      <c r="U1212">
        <v>-3.0173030000000001</v>
      </c>
      <c r="V1212">
        <v>0.12611339999999999</v>
      </c>
      <c r="W1212">
        <v>0.20259160000000001</v>
      </c>
      <c r="X1212">
        <v>0.97110870000000005</v>
      </c>
      <c r="Y1212">
        <v>0.25839220000000002</v>
      </c>
      <c r="Z1212">
        <v>4.3996180000000003E-2</v>
      </c>
      <c r="AA1212">
        <v>0.9650377</v>
      </c>
      <c r="AB1212">
        <v>30</v>
      </c>
      <c r="AC1212">
        <v>-4.9085000000000001</v>
      </c>
      <c r="AD1212">
        <v>-1.120768840862</v>
      </c>
      <c r="AE1212">
        <v>-18.605599999999999</v>
      </c>
      <c r="AF1212">
        <v>5.0323680157604898</v>
      </c>
      <c r="AG1212">
        <v>-1.120768840862</v>
      </c>
      <c r="AH1212">
        <v>18.5050662490384</v>
      </c>
      <c r="AI1212">
        <v>93.344732633403297</v>
      </c>
      <c r="AJ1212">
        <v>74.786585099524601</v>
      </c>
      <c r="AK1212">
        <v>19.209849752717901</v>
      </c>
      <c r="AL1212">
        <v>78.311450504492299</v>
      </c>
      <c r="AM1212">
        <v>82.600672993934893</v>
      </c>
      <c r="AN1212">
        <v>1.0000000266329001</v>
      </c>
    </row>
    <row r="1213" spans="1:40" x14ac:dyDescent="0.25">
      <c r="A1213" t="str">
        <f>"20190303171002109"</f>
        <v>20190303171002109</v>
      </c>
      <c r="B1213" t="str">
        <f>"1551604202102288"</f>
        <v>1551604202102288</v>
      </c>
      <c r="C1213" t="s">
        <v>40</v>
      </c>
      <c r="D1213">
        <v>4.7360550000000003</v>
      </c>
      <c r="E1213">
        <v>0.56110979999999999</v>
      </c>
      <c r="F1213" t="s">
        <v>52</v>
      </c>
      <c r="G1213">
        <v>-196.85579999999999</v>
      </c>
      <c r="H1213" s="1">
        <v>1.253987E-6</v>
      </c>
      <c r="I1213">
        <v>294.0582</v>
      </c>
      <c r="J1213">
        <v>-191.8133</v>
      </c>
      <c r="K1213">
        <v>1.1207210000000001</v>
      </c>
      <c r="L1213">
        <v>312.95370000000003</v>
      </c>
      <c r="M1213">
        <v>6.9525309999999996E-3</v>
      </c>
      <c r="N1213">
        <v>-1.332449E-2</v>
      </c>
      <c r="O1213">
        <v>-0.99988730000000003</v>
      </c>
      <c r="P1213">
        <v>-0.11913650000000001</v>
      </c>
      <c r="Q1213">
        <v>0.1895926</v>
      </c>
      <c r="R1213">
        <v>-0.97460869999999999</v>
      </c>
      <c r="S1213">
        <v>-0.79238889999999995</v>
      </c>
      <c r="T1213">
        <v>-0.17617269999999999</v>
      </c>
      <c r="U1213">
        <v>-3.016022</v>
      </c>
      <c r="V1213">
        <v>0.12615799999999999</v>
      </c>
      <c r="W1213">
        <v>0.2023964</v>
      </c>
      <c r="X1213">
        <v>0.9711436</v>
      </c>
      <c r="Y1213">
        <v>0.26046720000000001</v>
      </c>
      <c r="Z1213">
        <v>4.303208E-2</v>
      </c>
      <c r="AA1213">
        <v>0.96452329999999997</v>
      </c>
      <c r="AB1213">
        <v>30</v>
      </c>
      <c r="AC1213">
        <v>-5.0424999999999898</v>
      </c>
      <c r="AD1213">
        <v>-1.1207197460129901</v>
      </c>
      <c r="AE1213">
        <v>-18.895499999999998</v>
      </c>
      <c r="AF1213">
        <v>5.1568263760331199</v>
      </c>
      <c r="AG1213">
        <v>-1.1207197460129901</v>
      </c>
      <c r="AH1213">
        <v>18.7982489324881</v>
      </c>
      <c r="AI1213">
        <v>93.290552740640805</v>
      </c>
      <c r="AJ1213">
        <v>74.6597197154057</v>
      </c>
      <c r="AK1213">
        <v>19.524933647760299</v>
      </c>
      <c r="AL1213">
        <v>78.322871132868599</v>
      </c>
      <c r="AM1213">
        <v>82.598348288241397</v>
      </c>
      <c r="AN1213">
        <v>1.0000000177589501</v>
      </c>
    </row>
    <row r="1214" spans="1:40" x14ac:dyDescent="0.25">
      <c r="A1214" t="str">
        <f>"20190303171002132"</f>
        <v>20190303171002132</v>
      </c>
      <c r="B1214" t="str">
        <f>"1551604202121808"</f>
        <v>1551604202121808</v>
      </c>
      <c r="C1214" t="s">
        <v>40</v>
      </c>
      <c r="D1214">
        <v>4.7143769999999998</v>
      </c>
      <c r="E1214">
        <v>0.56167860000000003</v>
      </c>
      <c r="F1214" t="s">
        <v>52</v>
      </c>
      <c r="G1214">
        <v>-196.89320000000001</v>
      </c>
      <c r="H1214" s="1">
        <v>1.2941170000000001E-6</v>
      </c>
      <c r="I1214">
        <v>293.81150000000002</v>
      </c>
      <c r="J1214">
        <v>-191.81190000000001</v>
      </c>
      <c r="K1214">
        <v>1.1206590000000001</v>
      </c>
      <c r="L1214">
        <v>312.64249999999998</v>
      </c>
      <c r="M1214">
        <v>6.1960579999999999E-3</v>
      </c>
      <c r="N1214">
        <v>-1.336095E-2</v>
      </c>
      <c r="O1214">
        <v>-0.99989159999999999</v>
      </c>
      <c r="P1214">
        <v>-0.119747699999999</v>
      </c>
      <c r="Q1214">
        <v>0.18950819999999999</v>
      </c>
      <c r="R1214">
        <v>-0.97454980000000002</v>
      </c>
      <c r="S1214">
        <v>-0.8000488</v>
      </c>
      <c r="T1214">
        <v>-0.17650379999999999</v>
      </c>
      <c r="U1214">
        <v>-3.0147400000000002</v>
      </c>
      <c r="V1214">
        <v>0.12606500000000001</v>
      </c>
      <c r="W1214">
        <v>0.2023277</v>
      </c>
      <c r="X1214">
        <v>0.97116990000000003</v>
      </c>
      <c r="Y1214">
        <v>0.26212609999999997</v>
      </c>
      <c r="Z1214">
        <v>4.3095139999999997E-2</v>
      </c>
      <c r="AA1214">
        <v>0.96407089999999995</v>
      </c>
      <c r="AB1214">
        <v>30</v>
      </c>
      <c r="AC1214">
        <v>-5.0812999999999899</v>
      </c>
      <c r="AD1214">
        <v>-1.1206577058830001</v>
      </c>
      <c r="AE1214">
        <v>-18.8309999999999</v>
      </c>
      <c r="AF1214">
        <v>5.1807878561116398</v>
      </c>
      <c r="AG1214">
        <v>-1.1206577058830001</v>
      </c>
      <c r="AH1214">
        <v>18.737295529204399</v>
      </c>
      <c r="AI1214">
        <v>93.299220896454102</v>
      </c>
      <c r="AJ1214">
        <v>74.544089513947597</v>
      </c>
      <c r="AK1214">
        <v>19.472613595830701</v>
      </c>
      <c r="AL1214">
        <v>78.326889454520895</v>
      </c>
      <c r="AM1214">
        <v>82.603942212793598</v>
      </c>
      <c r="AN1214">
        <v>0.99999992853914699</v>
      </c>
    </row>
    <row r="1215" spans="1:40" x14ac:dyDescent="0.25">
      <c r="A1215" t="str">
        <f>"20190303171002155"</f>
        <v>20190303171002155</v>
      </c>
      <c r="B1215" t="str">
        <f>"1551604202141328"</f>
        <v>1551604202141328</v>
      </c>
      <c r="C1215" t="s">
        <v>40</v>
      </c>
      <c r="D1215">
        <v>4.6826509999999999</v>
      </c>
      <c r="E1215">
        <v>0.5705228</v>
      </c>
      <c r="F1215" t="s">
        <v>52</v>
      </c>
      <c r="G1215">
        <v>-196.9358</v>
      </c>
      <c r="H1215" s="1">
        <v>1.3441810000000001E-6</v>
      </c>
      <c r="I1215">
        <v>293.50580000000002</v>
      </c>
      <c r="J1215">
        <v>-191.8108</v>
      </c>
      <c r="K1215">
        <v>1.1205909999999999</v>
      </c>
      <c r="L1215">
        <v>312.33210000000003</v>
      </c>
      <c r="M1215">
        <v>5.3437129999999999E-3</v>
      </c>
      <c r="N1215">
        <v>-1.339246E-2</v>
      </c>
      <c r="O1215">
        <v>-0.99989620000000001</v>
      </c>
      <c r="P1215">
        <v>-0.1207826</v>
      </c>
      <c r="Q1215">
        <v>0.19036620000000001</v>
      </c>
      <c r="R1215">
        <v>-0.97425479999999998</v>
      </c>
      <c r="S1215">
        <v>-0.80686950000000002</v>
      </c>
      <c r="T1215">
        <v>-0.1764722</v>
      </c>
      <c r="U1215">
        <v>-3.0134889999999999</v>
      </c>
      <c r="V1215">
        <v>0.12630630000000001</v>
      </c>
      <c r="W1215">
        <v>0.20319019999999999</v>
      </c>
      <c r="X1215">
        <v>0.97095849999999995</v>
      </c>
      <c r="Y1215">
        <v>0.26343919999999998</v>
      </c>
      <c r="Z1215">
        <v>4.3051569999999997E-2</v>
      </c>
      <c r="AA1215">
        <v>0.96371479999999998</v>
      </c>
      <c r="AB1215">
        <v>30</v>
      </c>
      <c r="AC1215">
        <v>-5.125</v>
      </c>
      <c r="AD1215">
        <v>-1.1205896558189901</v>
      </c>
      <c r="AE1215">
        <v>-18.8263</v>
      </c>
      <c r="AF1215">
        <v>5.2083584205264399</v>
      </c>
      <c r="AG1215">
        <v>-1.1205896558189901</v>
      </c>
      <c r="AH1215">
        <v>18.736838806073699</v>
      </c>
      <c r="AI1215">
        <v>93.297848741677001</v>
      </c>
      <c r="AJ1215">
        <v>74.465439715587394</v>
      </c>
      <c r="AK1215">
        <v>19.479523789307201</v>
      </c>
      <c r="AL1215">
        <v>78.276424134398695</v>
      </c>
      <c r="AM1215">
        <v>82.588347258300502</v>
      </c>
      <c r="AN1215">
        <v>0.99999997375898897</v>
      </c>
    </row>
    <row r="1216" spans="1:40" x14ac:dyDescent="0.25">
      <c r="A1216" t="str">
        <f>"20190303171002178"</f>
        <v>20190303171002178</v>
      </c>
      <c r="B1216" t="str">
        <f>"1551604202171584"</f>
        <v>1551604202171584</v>
      </c>
      <c r="C1216" t="s">
        <v>40</v>
      </c>
      <c r="D1216">
        <v>4.660838</v>
      </c>
      <c r="E1216">
        <v>0.57109840000000001</v>
      </c>
      <c r="F1216" t="s">
        <v>52</v>
      </c>
      <c r="G1216">
        <v>-197.7868</v>
      </c>
      <c r="H1216" s="1">
        <v>1.5402399999999999E-6</v>
      </c>
      <c r="I1216">
        <v>291.964</v>
      </c>
      <c r="J1216">
        <v>-191.81020000000001</v>
      </c>
      <c r="K1216">
        <v>1.1205229999999999</v>
      </c>
      <c r="L1216">
        <v>312.04500000000002</v>
      </c>
      <c r="M1216">
        <v>4.4499470000000001E-3</v>
      </c>
      <c r="N1216">
        <v>-1.3417780000000001E-2</v>
      </c>
      <c r="O1216">
        <v>-0.99990029999999996</v>
      </c>
      <c r="P1216">
        <v>-0.12259970000000001</v>
      </c>
      <c r="Q1216">
        <v>0.1912633</v>
      </c>
      <c r="R1216">
        <v>-0.9738521</v>
      </c>
      <c r="S1216">
        <v>-0.88087459999999995</v>
      </c>
      <c r="T1216">
        <v>-0.16517770000000001</v>
      </c>
      <c r="U1216">
        <v>-3.002319</v>
      </c>
      <c r="V1216">
        <v>0.1272895</v>
      </c>
      <c r="W1216">
        <v>0.20408370000000001</v>
      </c>
      <c r="X1216">
        <v>0.97064269999999997</v>
      </c>
      <c r="Y1216">
        <v>0.28545680000000001</v>
      </c>
      <c r="Z1216">
        <v>3.9271449999999999E-2</v>
      </c>
      <c r="AA1216">
        <v>0.95758659999999995</v>
      </c>
      <c r="AB1216">
        <v>30</v>
      </c>
      <c r="AC1216">
        <v>-5.9765999999999897</v>
      </c>
      <c r="AD1216">
        <v>-1.1205214597599999</v>
      </c>
      <c r="AE1216">
        <v>-20.081</v>
      </c>
      <c r="AF1216">
        <v>6.0486074897247901</v>
      </c>
      <c r="AG1216">
        <v>-1.1205214597599999</v>
      </c>
      <c r="AH1216">
        <v>19.997006081314598</v>
      </c>
      <c r="AI1216">
        <v>93.070094378834995</v>
      </c>
      <c r="AJ1216">
        <v>73.170712012564493</v>
      </c>
      <c r="AK1216">
        <v>20.921794213754001</v>
      </c>
      <c r="AL1216">
        <v>78.224135163535493</v>
      </c>
      <c r="AM1216">
        <v>82.528899455856404</v>
      </c>
      <c r="AN1216">
        <v>1.00000001223961</v>
      </c>
    </row>
    <row r="1217" spans="1:40" x14ac:dyDescent="0.25">
      <c r="A1217" t="str">
        <f>"20190303171002202"</f>
        <v>20190303171002202</v>
      </c>
      <c r="B1217" t="str">
        <f>"1551604202192081"</f>
        <v>1551604202192081</v>
      </c>
      <c r="C1217" t="s">
        <v>40</v>
      </c>
      <c r="D1217">
        <v>4.6407439999999998</v>
      </c>
      <c r="E1217">
        <v>0.57149240000000001</v>
      </c>
      <c r="F1217" t="s">
        <v>52</v>
      </c>
      <c r="G1217">
        <v>-197.85249999999999</v>
      </c>
      <c r="H1217" s="1">
        <v>1.5847550000000001E-6</v>
      </c>
      <c r="I1217">
        <v>291.67809999999997</v>
      </c>
      <c r="J1217">
        <v>-191.81</v>
      </c>
      <c r="K1217">
        <v>1.120441</v>
      </c>
      <c r="L1217">
        <v>311.71809999999999</v>
      </c>
      <c r="M1217">
        <v>3.3023459999999998E-3</v>
      </c>
      <c r="N1217">
        <v>-1.344247E-2</v>
      </c>
      <c r="O1217">
        <v>-0.99990420000000002</v>
      </c>
      <c r="P1217">
        <v>-0.1241188</v>
      </c>
      <c r="Q1217">
        <v>0.19135350000000001</v>
      </c>
      <c r="R1217">
        <v>-0.97364189999999995</v>
      </c>
      <c r="S1217">
        <v>-0.89027400000000001</v>
      </c>
      <c r="T1217">
        <v>-0.1650991</v>
      </c>
      <c r="U1217">
        <v>-3.0008849999999998</v>
      </c>
      <c r="V1217">
        <v>0.1277345</v>
      </c>
      <c r="W1217">
        <v>0.20416870000000001</v>
      </c>
      <c r="X1217">
        <v>0.97056629999999999</v>
      </c>
      <c r="Y1217">
        <v>0.28723890000000002</v>
      </c>
      <c r="Z1217">
        <v>3.9211240000000001E-2</v>
      </c>
      <c r="AA1217">
        <v>0.95705600000000002</v>
      </c>
      <c r="AB1217">
        <v>30</v>
      </c>
      <c r="AC1217">
        <v>-6.0424999999999898</v>
      </c>
      <c r="AD1217">
        <v>-1.1204394152449999</v>
      </c>
      <c r="AE1217">
        <v>-20.04</v>
      </c>
      <c r="AF1217">
        <v>6.0911981208710797</v>
      </c>
      <c r="AG1217">
        <v>-1.1204394152449999</v>
      </c>
      <c r="AH1217">
        <v>19.962732611341199</v>
      </c>
      <c r="AI1217">
        <v>93.072866740713806</v>
      </c>
      <c r="AJ1217">
        <v>73.031559863772699</v>
      </c>
      <c r="AK1217">
        <v>20.901405989618102</v>
      </c>
      <c r="AL1217">
        <v>78.219159549603702</v>
      </c>
      <c r="AM1217">
        <v>82.502493893382393</v>
      </c>
      <c r="AN1217">
        <v>0.99999995162281297</v>
      </c>
    </row>
    <row r="1218" spans="1:40" x14ac:dyDescent="0.25">
      <c r="A1218" t="str">
        <f>"20190303171002221"</f>
        <v>20190303171002221</v>
      </c>
      <c r="B1218" t="str">
        <f>"1551604202211601"</f>
        <v>1551604202211601</v>
      </c>
      <c r="C1218" t="s">
        <v>40</v>
      </c>
      <c r="D1218">
        <v>4.6484579999999998</v>
      </c>
      <c r="E1218">
        <v>0.57182730000000004</v>
      </c>
      <c r="F1218" t="s">
        <v>52</v>
      </c>
      <c r="G1218">
        <v>-197.85990000000001</v>
      </c>
      <c r="H1218" s="1">
        <v>1.6130569999999999E-6</v>
      </c>
      <c r="I1218">
        <v>291.51369999999997</v>
      </c>
      <c r="J1218">
        <v>-191.81020000000001</v>
      </c>
      <c r="K1218">
        <v>1.120374</v>
      </c>
      <c r="L1218">
        <v>311.45010000000002</v>
      </c>
      <c r="M1218">
        <v>2.28342E-3</v>
      </c>
      <c r="N1218">
        <v>-1.3460069999999999E-2</v>
      </c>
      <c r="O1218">
        <v>-0.99990690000000004</v>
      </c>
      <c r="P1218">
        <v>-0.1258629</v>
      </c>
      <c r="Q1218">
        <v>0.19125539999999999</v>
      </c>
      <c r="R1218">
        <v>-0.9734372</v>
      </c>
      <c r="S1218">
        <v>-0.89813229999999999</v>
      </c>
      <c r="T1218">
        <v>-0.16633319999999999</v>
      </c>
      <c r="U1218">
        <v>-2.9994200000000002</v>
      </c>
      <c r="V1218">
        <v>0.1285193</v>
      </c>
      <c r="W1218">
        <v>0.2040641</v>
      </c>
      <c r="X1218">
        <v>0.97048469999999998</v>
      </c>
      <c r="Y1218">
        <v>0.28868700000000003</v>
      </c>
      <c r="Z1218">
        <v>3.9582029999999997E-2</v>
      </c>
      <c r="AA1218">
        <v>0.95660500000000004</v>
      </c>
      <c r="AB1218">
        <v>30</v>
      </c>
      <c r="AC1218">
        <v>-6.0496999999999996</v>
      </c>
      <c r="AD1218">
        <v>-1.120372386943</v>
      </c>
      <c r="AE1218">
        <v>-19.936399999999999</v>
      </c>
      <c r="AF1218">
        <v>6.0776358943840698</v>
      </c>
      <c r="AG1218">
        <v>-1.120372386943</v>
      </c>
      <c r="AH1218">
        <v>19.865085865234601</v>
      </c>
      <c r="AI1218">
        <v>93.087054225880905</v>
      </c>
      <c r="AJ1218">
        <v>72.988738621489503</v>
      </c>
      <c r="AK1218">
        <v>20.8041949804186</v>
      </c>
      <c r="AL1218">
        <v>78.225281679734806</v>
      </c>
      <c r="AM1218">
        <v>82.456331161511002</v>
      </c>
      <c r="AN1218">
        <v>0.99999996015769399</v>
      </c>
    </row>
    <row r="1219" spans="1:40" x14ac:dyDescent="0.25">
      <c r="A1219" t="str">
        <f>"20190303171002244"</f>
        <v>20190303171002244</v>
      </c>
      <c r="B1219" t="str">
        <f>"1551604202232096"</f>
        <v>1551604202232096</v>
      </c>
      <c r="C1219" t="s">
        <v>40</v>
      </c>
      <c r="D1219">
        <v>4.5879830000000004</v>
      </c>
      <c r="E1219">
        <v>0.57218649999999904</v>
      </c>
      <c r="F1219" t="s">
        <v>52</v>
      </c>
      <c r="G1219">
        <v>-197.91990000000001</v>
      </c>
      <c r="H1219" s="1">
        <v>1.6546110000000001E-6</v>
      </c>
      <c r="I1219">
        <v>291.24759999999998</v>
      </c>
      <c r="J1219">
        <v>-191.8108</v>
      </c>
      <c r="K1219">
        <v>1.1203129999999999</v>
      </c>
      <c r="L1219">
        <v>311.15440000000001</v>
      </c>
      <c r="M1219">
        <v>1.069586E-3</v>
      </c>
      <c r="N1219">
        <v>-1.3476780000000001E-2</v>
      </c>
      <c r="O1219">
        <v>-0.99990869999999998</v>
      </c>
      <c r="P1219">
        <v>-0.12844700000000001</v>
      </c>
      <c r="Q1219">
        <v>0.19157859999999999</v>
      </c>
      <c r="R1219">
        <v>-0.97303629999999997</v>
      </c>
      <c r="S1219">
        <v>-0.90644840000000004</v>
      </c>
      <c r="T1219">
        <v>-0.1662217</v>
      </c>
      <c r="U1219">
        <v>-2.9973139999999998</v>
      </c>
      <c r="V1219">
        <v>0.12995660000000001</v>
      </c>
      <c r="W1219">
        <v>0.20437540000000001</v>
      </c>
      <c r="X1219">
        <v>0.97022779999999997</v>
      </c>
      <c r="Y1219">
        <v>0.29014250000000003</v>
      </c>
      <c r="Z1219">
        <v>3.9535389999999997E-2</v>
      </c>
      <c r="AA1219">
        <v>0.95616639999999997</v>
      </c>
      <c r="AB1219">
        <v>30</v>
      </c>
      <c r="AC1219">
        <v>-6.1091000000000104</v>
      </c>
      <c r="AD1219">
        <v>-1.1203113453889999</v>
      </c>
      <c r="AE1219">
        <v>-19.9068</v>
      </c>
      <c r="AF1219">
        <v>6.1126967472529996</v>
      </c>
      <c r="AG1219">
        <v>-1.1203113453889999</v>
      </c>
      <c r="AH1219">
        <v>19.842817077075701</v>
      </c>
      <c r="AI1219">
        <v>93.088518361976796</v>
      </c>
      <c r="AJ1219">
        <v>72.878242716684596</v>
      </c>
      <c r="AK1219">
        <v>20.793209194079999</v>
      </c>
      <c r="AL1219">
        <v>78.207062025944396</v>
      </c>
      <c r="AM1219">
        <v>82.370958274157204</v>
      </c>
      <c r="AN1219">
        <v>1.0000000029507701</v>
      </c>
    </row>
    <row r="1220" spans="1:40" x14ac:dyDescent="0.25">
      <c r="A1220" t="str">
        <f>"20190303171002266"</f>
        <v>20190303171002266</v>
      </c>
      <c r="B1220" t="str">
        <f>"1551604202251616"</f>
        <v>1551604202251616</v>
      </c>
      <c r="C1220" t="s">
        <v>40</v>
      </c>
      <c r="D1220">
        <v>4.5775259999999998</v>
      </c>
      <c r="E1220">
        <v>0.57221330000000004</v>
      </c>
      <c r="F1220" t="s">
        <v>52</v>
      </c>
      <c r="G1220">
        <v>-198.08</v>
      </c>
      <c r="H1220" s="1">
        <v>1.738777E-6</v>
      </c>
      <c r="I1220">
        <v>290.68900000000002</v>
      </c>
      <c r="J1220">
        <v>-191.81180000000001</v>
      </c>
      <c r="K1220">
        <v>1.1202479999999999</v>
      </c>
      <c r="L1220">
        <v>310.86340000000001</v>
      </c>
      <c r="M1220">
        <v>-2.1941239999999999E-4</v>
      </c>
      <c r="N1220">
        <v>-1.349114E-2</v>
      </c>
      <c r="O1220">
        <v>-0.9999091</v>
      </c>
      <c r="P1220">
        <v>-0.13133880000000001</v>
      </c>
      <c r="Q1220">
        <v>0.19133610000000001</v>
      </c>
      <c r="R1220">
        <v>-0.97269760000000005</v>
      </c>
      <c r="S1220">
        <v>-0.91725159999999994</v>
      </c>
      <c r="T1220">
        <v>-0.16391430000000001</v>
      </c>
      <c r="U1220">
        <v>-2.9943240000000002</v>
      </c>
      <c r="V1220">
        <v>0.131628</v>
      </c>
      <c r="W1220">
        <v>0.20411869999999999</v>
      </c>
      <c r="X1220">
        <v>0.97005649999999999</v>
      </c>
      <c r="Y1220">
        <v>0.2923386</v>
      </c>
      <c r="Z1220">
        <v>3.8794759999999998E-2</v>
      </c>
      <c r="AA1220">
        <v>0.95552769999999998</v>
      </c>
      <c r="AB1220">
        <v>30</v>
      </c>
      <c r="AC1220">
        <v>-6.2682000000000002</v>
      </c>
      <c r="AD1220">
        <v>-1.120246261223</v>
      </c>
      <c r="AE1220">
        <v>-20.174399999999899</v>
      </c>
      <c r="AF1220">
        <v>6.24620907990366</v>
      </c>
      <c r="AG1220">
        <v>-1.120246261223</v>
      </c>
      <c r="AH1220">
        <v>20.119201333194301</v>
      </c>
      <c r="AI1220">
        <v>93.043931706589802</v>
      </c>
      <c r="AJ1220">
        <v>72.752516869583999</v>
      </c>
      <c r="AK1220">
        <v>21.096263693869101</v>
      </c>
      <c r="AL1220">
        <v>78.222086468212296</v>
      </c>
      <c r="AM1220">
        <v>82.272669372014803</v>
      </c>
      <c r="AN1220">
        <v>0.99999999363296999</v>
      </c>
    </row>
    <row r="1221" spans="1:40" x14ac:dyDescent="0.25">
      <c r="A1221" t="str">
        <f>"20190303171002289"</f>
        <v>20190303171002289</v>
      </c>
      <c r="B1221" t="str">
        <f>"1551604202281873"</f>
        <v>1551604202281873</v>
      </c>
      <c r="C1221" t="s">
        <v>40</v>
      </c>
      <c r="D1221">
        <v>4.5911900000000001</v>
      </c>
      <c r="E1221">
        <v>0.57451830000000004</v>
      </c>
      <c r="F1221" t="s">
        <v>52</v>
      </c>
      <c r="G1221">
        <v>-198.10900000000001</v>
      </c>
      <c r="H1221" s="1">
        <v>1.7691759999999999E-6</v>
      </c>
      <c r="I1221">
        <v>290.5213</v>
      </c>
      <c r="J1221">
        <v>-191.8134</v>
      </c>
      <c r="K1221">
        <v>1.1201749999999999</v>
      </c>
      <c r="L1221">
        <v>310.55489999999998</v>
      </c>
      <c r="M1221">
        <v>-1.6860229999999901E-3</v>
      </c>
      <c r="N1221">
        <v>-1.3504550000000001E-2</v>
      </c>
      <c r="O1221">
        <v>-0.99990760000000001</v>
      </c>
      <c r="P1221">
        <v>-0.13367029999999999</v>
      </c>
      <c r="Q1221">
        <v>0.1911458</v>
      </c>
      <c r="R1221">
        <v>-0.97241759999999999</v>
      </c>
      <c r="S1221">
        <v>-0.92608639999999998</v>
      </c>
      <c r="T1221">
        <v>-0.1647469</v>
      </c>
      <c r="U1221">
        <v>-2.9915769999999999</v>
      </c>
      <c r="V1221">
        <v>0.13257089999999999</v>
      </c>
      <c r="W1221">
        <v>0.20391280000000001</v>
      </c>
      <c r="X1221">
        <v>0.96997140000000004</v>
      </c>
      <c r="Y1221">
        <v>0.29375420000000002</v>
      </c>
      <c r="Z1221">
        <v>3.9061209999999999E-2</v>
      </c>
      <c r="AA1221">
        <v>0.95508249999999995</v>
      </c>
      <c r="AB1221">
        <v>30</v>
      </c>
      <c r="AC1221">
        <v>-6.2956000000000003</v>
      </c>
      <c r="AD1221">
        <v>-1.120173230824</v>
      </c>
      <c r="AE1221">
        <v>-20.0335999999999</v>
      </c>
      <c r="AF1221">
        <v>6.2440437189929003</v>
      </c>
      <c r="AG1221">
        <v>-1.120173230824</v>
      </c>
      <c r="AH1221">
        <v>19.9873140030701</v>
      </c>
      <c r="AI1221">
        <v>93.062095798450002</v>
      </c>
      <c r="AJ1221">
        <v>72.651177517852403</v>
      </c>
      <c r="AK1221">
        <v>20.969873416143301</v>
      </c>
      <c r="AL1221">
        <v>78.234137141839298</v>
      </c>
      <c r="AM1221">
        <v>82.217317150465803</v>
      </c>
      <c r="AN1221">
        <v>0.99999999517430405</v>
      </c>
    </row>
    <row r="1222" spans="1:40" x14ac:dyDescent="0.25">
      <c r="A1222" t="str">
        <f>"20190303171002311"</f>
        <v>20190303171002311</v>
      </c>
      <c r="B1222" t="str">
        <f>"1551604202301393"</f>
        <v>1551604202301393</v>
      </c>
      <c r="C1222" t="s">
        <v>40</v>
      </c>
      <c r="D1222">
        <v>4.6038870000000003</v>
      </c>
      <c r="E1222">
        <v>0.57453299999999996</v>
      </c>
      <c r="F1222" t="s">
        <v>52</v>
      </c>
      <c r="G1222">
        <v>-198.61670000000001</v>
      </c>
      <c r="H1222" s="1">
        <v>2.0322959999999999E-6</v>
      </c>
      <c r="I1222">
        <v>289.23590000000002</v>
      </c>
      <c r="J1222">
        <v>-191.81549999999999</v>
      </c>
      <c r="K1222">
        <v>1.1201019999999999</v>
      </c>
      <c r="L1222">
        <v>310.26260000000002</v>
      </c>
      <c r="M1222">
        <v>-3.1707089999999999E-3</v>
      </c>
      <c r="N1222">
        <v>-1.3515910000000001E-2</v>
      </c>
      <c r="O1222">
        <v>-0.99990380000000001</v>
      </c>
      <c r="P1222">
        <v>-0.1358306</v>
      </c>
      <c r="Q1222">
        <v>0.19204940000000001</v>
      </c>
      <c r="R1222">
        <v>-0.97193980000000002</v>
      </c>
      <c r="S1222">
        <v>-0.95256039999999997</v>
      </c>
      <c r="T1222">
        <v>-0.1568426</v>
      </c>
      <c r="U1222">
        <v>-2.9850159999999999</v>
      </c>
      <c r="V1222">
        <v>0.13332869999999999</v>
      </c>
      <c r="W1222">
        <v>0.20479739999999999</v>
      </c>
      <c r="X1222">
        <v>0.96968109999999996</v>
      </c>
      <c r="Y1222">
        <v>0.300658799999999</v>
      </c>
      <c r="Z1222">
        <v>3.6521669999999999E-2</v>
      </c>
      <c r="AA1222">
        <v>0.95303230000000005</v>
      </c>
      <c r="AB1222">
        <v>30</v>
      </c>
      <c r="AC1222">
        <v>-6.8012000000000201</v>
      </c>
      <c r="AD1222">
        <v>-1.120099967704</v>
      </c>
      <c r="AE1222">
        <v>-21.026700000000002</v>
      </c>
      <c r="AF1222">
        <v>6.7172338849771096</v>
      </c>
      <c r="AG1222">
        <v>-1.120099967704</v>
      </c>
      <c r="AH1222">
        <v>20.994227578217401</v>
      </c>
      <c r="AI1222">
        <v>92.908988748251005</v>
      </c>
      <c r="AJ1222">
        <v>72.257603347834007</v>
      </c>
      <c r="AK1222">
        <v>22.0710998051551</v>
      </c>
      <c r="AL1222">
        <v>78.182360420626594</v>
      </c>
      <c r="AM1222">
        <v>82.171065640060206</v>
      </c>
      <c r="AN1222">
        <v>0.99999997649382899</v>
      </c>
    </row>
    <row r="1223" spans="1:40" x14ac:dyDescent="0.25">
      <c r="A1223" t="str">
        <f>"20190303171002334"</f>
        <v>20190303171002334</v>
      </c>
      <c r="B1223" t="str">
        <f>"1551604202321888"</f>
        <v>1551604202321888</v>
      </c>
      <c r="C1223" t="s">
        <v>40</v>
      </c>
      <c r="D1223">
        <v>4.608161</v>
      </c>
      <c r="E1223">
        <v>0.57473739999999995</v>
      </c>
      <c r="F1223" t="s">
        <v>52</v>
      </c>
      <c r="G1223">
        <v>-198.80250000000001</v>
      </c>
      <c r="H1223" s="1">
        <v>2.0595759999999999E-6</v>
      </c>
      <c r="I1223">
        <v>288.54680000000002</v>
      </c>
      <c r="J1223">
        <v>-191.81829999999999</v>
      </c>
      <c r="K1223">
        <v>1.120018</v>
      </c>
      <c r="L1223">
        <v>309.94810000000001</v>
      </c>
      <c r="M1223">
        <v>-4.8741569999999996E-3</v>
      </c>
      <c r="N1223">
        <v>-1.3526679999999999E-2</v>
      </c>
      <c r="O1223">
        <v>-0.99989680000000003</v>
      </c>
      <c r="P1223">
        <v>-0.13819149999999999</v>
      </c>
      <c r="Q1223">
        <v>0.1928376</v>
      </c>
      <c r="R1223">
        <v>-0.97145130000000002</v>
      </c>
      <c r="S1223">
        <v>-0.95973209999999998</v>
      </c>
      <c r="T1223">
        <v>-0.15385660000000001</v>
      </c>
      <c r="U1223">
        <v>-2.9828800000000002</v>
      </c>
      <c r="V1223">
        <v>0.13408030000000001</v>
      </c>
      <c r="W1223">
        <v>0.2055623</v>
      </c>
      <c r="X1223">
        <v>0.96941560000000004</v>
      </c>
      <c r="Y1223">
        <v>0.30132150000000002</v>
      </c>
      <c r="Z1223">
        <v>3.557428E-2</v>
      </c>
      <c r="AA1223">
        <v>0.95285869999999995</v>
      </c>
      <c r="AB1223">
        <v>30</v>
      </c>
      <c r="AC1223">
        <v>-6.9842000000000102</v>
      </c>
      <c r="AD1223">
        <v>-1.120015940424</v>
      </c>
      <c r="AE1223">
        <v>-21.4012999999999</v>
      </c>
      <c r="AF1223">
        <v>6.8628071410993403</v>
      </c>
      <c r="AG1223">
        <v>-1.120015940424</v>
      </c>
      <c r="AH1223">
        <v>21.3821650559597</v>
      </c>
      <c r="AI1223">
        <v>92.855253974193801</v>
      </c>
      <c r="AJ1223">
        <v>72.2054780604863</v>
      </c>
      <c r="AK1223">
        <v>22.4844288351524</v>
      </c>
      <c r="AL1223">
        <v>78.137582419750899</v>
      </c>
      <c r="AM1223">
        <v>82.125355203891502</v>
      </c>
      <c r="AN1223">
        <v>0.99999999577637</v>
      </c>
    </row>
    <row r="1224" spans="1:40" x14ac:dyDescent="0.25">
      <c r="A1224" t="str">
        <f>"20190303171002356"</f>
        <v>20190303171002356</v>
      </c>
      <c r="B1224" t="str">
        <f>"1551604202341408"</f>
        <v>1551604202341408</v>
      </c>
      <c r="C1224" t="s">
        <v>40</v>
      </c>
      <c r="D1224">
        <v>4.5756399999999999</v>
      </c>
      <c r="E1224">
        <v>0.5751754</v>
      </c>
      <c r="F1224" t="s">
        <v>52</v>
      </c>
      <c r="G1224">
        <v>-198.92859999999999</v>
      </c>
      <c r="H1224" s="1">
        <v>2.0799199999999999E-6</v>
      </c>
      <c r="I1224">
        <v>288.05829999999997</v>
      </c>
      <c r="J1224">
        <v>-191.8212</v>
      </c>
      <c r="K1224">
        <v>1.119942</v>
      </c>
      <c r="L1224">
        <v>309.67630000000003</v>
      </c>
      <c r="M1224">
        <v>-6.4488490000000004E-3</v>
      </c>
      <c r="N1224">
        <v>-1.353495E-2</v>
      </c>
      <c r="O1224">
        <v>-0.99988779999999999</v>
      </c>
      <c r="P1224">
        <v>-0.1398741</v>
      </c>
      <c r="Q1224">
        <v>0.1926561</v>
      </c>
      <c r="R1224">
        <v>-0.9712461</v>
      </c>
      <c r="S1224">
        <v>-0.96820070000000003</v>
      </c>
      <c r="T1224">
        <v>-0.15251120000000001</v>
      </c>
      <c r="U1224">
        <v>-2.9807130000000002</v>
      </c>
      <c r="V1224">
        <v>0.1342711</v>
      </c>
      <c r="W1224">
        <v>0.20536399999999999</v>
      </c>
      <c r="X1224">
        <v>0.96943120000000005</v>
      </c>
      <c r="Y1224">
        <v>0.30247770000000002</v>
      </c>
      <c r="Z1224">
        <v>3.514424E-2</v>
      </c>
      <c r="AA1224">
        <v>0.95250829999999997</v>
      </c>
      <c r="AB1224">
        <v>30</v>
      </c>
      <c r="AC1224">
        <v>-7.1073999999999797</v>
      </c>
      <c r="AD1224">
        <v>-1.11993992007999</v>
      </c>
      <c r="AE1224">
        <v>-21.617999999999999</v>
      </c>
      <c r="AF1224">
        <v>6.9509925759682698</v>
      </c>
      <c r="AG1224">
        <v>-1.11993992007999</v>
      </c>
      <c r="AH1224">
        <v>21.611046121216301</v>
      </c>
      <c r="AI1224">
        <v>92.824312436933795</v>
      </c>
      <c r="AJ1224">
        <v>72.170094442783693</v>
      </c>
      <c r="AK1224">
        <v>22.729009605987901</v>
      </c>
      <c r="AL1224">
        <v>78.149191626247003</v>
      </c>
      <c r="AM1224">
        <v>82.114415542292406</v>
      </c>
      <c r="AN1224">
        <v>0.99999997616232394</v>
      </c>
    </row>
    <row r="1225" spans="1:40" x14ac:dyDescent="0.25">
      <c r="A1225" t="str">
        <f>"20190303171002380"</f>
        <v>20190303171002380</v>
      </c>
      <c r="B1225" t="str">
        <f>"1551604202371664"</f>
        <v>1551604202371664</v>
      </c>
      <c r="C1225" t="s">
        <v>40</v>
      </c>
      <c r="D1225">
        <v>4.6118169999999896</v>
      </c>
      <c r="E1225">
        <v>0.57580730000000002</v>
      </c>
      <c r="F1225" t="s">
        <v>52</v>
      </c>
      <c r="G1225">
        <v>-198.98990000000001</v>
      </c>
      <c r="H1225" s="1">
        <v>2.0901539999999999E-6</v>
      </c>
      <c r="I1225">
        <v>287.8168</v>
      </c>
      <c r="J1225">
        <v>-191.82550000000001</v>
      </c>
      <c r="K1225">
        <v>1.119839</v>
      </c>
      <c r="L1225">
        <v>309.35329999999999</v>
      </c>
      <c r="M1225">
        <v>-8.4620249999999998E-3</v>
      </c>
      <c r="N1225">
        <v>-1.3543950000000001E-2</v>
      </c>
      <c r="O1225">
        <v>-0.99987280000000001</v>
      </c>
      <c r="P1225">
        <v>-0.14198540000000001</v>
      </c>
      <c r="Q1225">
        <v>0.19174930000000001</v>
      </c>
      <c r="R1225">
        <v>-0.97111959999999997</v>
      </c>
      <c r="S1225">
        <v>-0.97674559999999999</v>
      </c>
      <c r="T1225">
        <v>-0.15259519999999999</v>
      </c>
      <c r="U1225">
        <v>-2.978424</v>
      </c>
      <c r="V1225">
        <v>0.1344726</v>
      </c>
      <c r="W1225">
        <v>0.20443420000000001</v>
      </c>
      <c r="X1225">
        <v>0.96959980000000001</v>
      </c>
      <c r="Y1225">
        <v>0.30324230000000002</v>
      </c>
      <c r="Z1225">
        <v>3.5173699999999898E-2</v>
      </c>
      <c r="AA1225">
        <v>0.95226409999999995</v>
      </c>
      <c r="AB1225">
        <v>30</v>
      </c>
      <c r="AC1225">
        <v>-7.1643999999999997</v>
      </c>
      <c r="AD1225">
        <v>-1.1198369098459999</v>
      </c>
      <c r="AE1225">
        <v>-21.536499999999901</v>
      </c>
      <c r="AF1225">
        <v>6.9649295690912796</v>
      </c>
      <c r="AG1225">
        <v>-1.1198369098459999</v>
      </c>
      <c r="AH1225">
        <v>21.5439150295404</v>
      </c>
      <c r="AI1225">
        <v>92.831476514739407</v>
      </c>
      <c r="AJ1225">
        <v>72.084505185191901</v>
      </c>
      <c r="AK1225">
        <v>22.669463015411601</v>
      </c>
      <c r="AL1225">
        <v>78.203620299933405</v>
      </c>
      <c r="AM1225">
        <v>82.104086789151694</v>
      </c>
      <c r="AN1225">
        <v>0.99999999722022004</v>
      </c>
    </row>
    <row r="1226" spans="1:40" x14ac:dyDescent="0.25">
      <c r="A1226" t="str">
        <f>"20190303171002401"</f>
        <v>20190303171002401</v>
      </c>
      <c r="B1226" t="str">
        <f>"1551604202392160"</f>
        <v>1551604202392160</v>
      </c>
      <c r="C1226" t="s">
        <v>40</v>
      </c>
      <c r="D1226">
        <v>4.6200089999999996</v>
      </c>
      <c r="E1226">
        <v>0.57611699999999999</v>
      </c>
      <c r="F1226" t="s">
        <v>52</v>
      </c>
      <c r="G1226">
        <v>-198.93350000000001</v>
      </c>
      <c r="H1226" s="1">
        <v>2.087067E-6</v>
      </c>
      <c r="I1226">
        <v>287.9665</v>
      </c>
      <c r="J1226">
        <v>-191.83</v>
      </c>
      <c r="K1226">
        <v>1.11974</v>
      </c>
      <c r="L1226">
        <v>309.0641</v>
      </c>
      <c r="M1226">
        <v>-1.039205E-2</v>
      </c>
      <c r="N1226">
        <v>-1.3551519999999999E-2</v>
      </c>
      <c r="O1226">
        <v>-0.99985449999999998</v>
      </c>
      <c r="P1226">
        <v>-0.1439435</v>
      </c>
      <c r="Q1226">
        <v>0.19144359999999999</v>
      </c>
      <c r="R1226">
        <v>-0.97089139999999996</v>
      </c>
      <c r="S1226">
        <v>-0.98887630000000004</v>
      </c>
      <c r="T1226">
        <v>-0.1557933</v>
      </c>
      <c r="U1226">
        <v>-2.9753720000000001</v>
      </c>
      <c r="V1226">
        <v>0.13460179999999999</v>
      </c>
      <c r="W1226">
        <v>0.20410610000000001</v>
      </c>
      <c r="X1226">
        <v>0.96965100000000004</v>
      </c>
      <c r="Y1226">
        <v>0.3051778</v>
      </c>
      <c r="Z1226">
        <v>3.6189319999999997E-2</v>
      </c>
      <c r="AA1226">
        <v>0.95160750000000005</v>
      </c>
      <c r="AB1226">
        <v>30</v>
      </c>
      <c r="AC1226">
        <v>-7.1034999999999897</v>
      </c>
      <c r="AD1226">
        <v>-1.1197379129330001</v>
      </c>
      <c r="AE1226">
        <v>-21.0976</v>
      </c>
      <c r="AF1226">
        <v>6.8664764433751904</v>
      </c>
      <c r="AG1226">
        <v>-1.1197379129330001</v>
      </c>
      <c r="AH1226">
        <v>21.116860512450199</v>
      </c>
      <c r="AI1226">
        <v>92.886801233801904</v>
      </c>
      <c r="AJ1226">
        <v>71.987257506664804</v>
      </c>
      <c r="AK1226">
        <v>22.233400766490099</v>
      </c>
      <c r="AL1226">
        <v>78.222824034693403</v>
      </c>
      <c r="AM1226">
        <v>82.097008338967299</v>
      </c>
      <c r="AN1226">
        <v>1.0000000032107199</v>
      </c>
    </row>
    <row r="1227" spans="1:40" x14ac:dyDescent="0.25">
      <c r="A1227" t="str">
        <f>"20190303171002423"</f>
        <v>20190303171002423</v>
      </c>
      <c r="B1227" t="str">
        <f>"1551604202411681"</f>
        <v>1551604202411681</v>
      </c>
      <c r="C1227" t="s">
        <v>40</v>
      </c>
      <c r="D1227">
        <v>4.6481300000000001</v>
      </c>
      <c r="E1227">
        <v>0.57641560000000003</v>
      </c>
      <c r="F1227" t="s">
        <v>52</v>
      </c>
      <c r="G1227">
        <v>-198.97030000000001</v>
      </c>
      <c r="H1227" s="1">
        <v>2.0960969999999998E-6</v>
      </c>
      <c r="I1227">
        <v>287.7885</v>
      </c>
      <c r="J1227">
        <v>-191.83500000000001</v>
      </c>
      <c r="K1227">
        <v>1.119653</v>
      </c>
      <c r="L1227">
        <v>308.78100000000001</v>
      </c>
      <c r="M1227">
        <v>-1.238362E-2</v>
      </c>
      <c r="N1227">
        <v>-1.355817E-2</v>
      </c>
      <c r="O1227">
        <v>-0.99983140000000004</v>
      </c>
      <c r="P1227">
        <v>-0.14663499999999999</v>
      </c>
      <c r="Q1227">
        <v>0.19149160000000001</v>
      </c>
      <c r="R1227">
        <v>-0.97047879999999997</v>
      </c>
      <c r="S1227">
        <v>-0.99772640000000001</v>
      </c>
      <c r="T1227">
        <v>-0.15646280000000001</v>
      </c>
      <c r="U1227">
        <v>-2.9728699999999999</v>
      </c>
      <c r="V1227">
        <v>0.1354051</v>
      </c>
      <c r="W1227">
        <v>0.20412669999999999</v>
      </c>
      <c r="X1227">
        <v>0.96953480000000003</v>
      </c>
      <c r="Y1227">
        <v>0.3060657</v>
      </c>
      <c r="Z1227">
        <v>3.6408330000000003E-2</v>
      </c>
      <c r="AA1227">
        <v>0.95131399999999999</v>
      </c>
      <c r="AB1227">
        <v>30</v>
      </c>
      <c r="AC1227">
        <v>-7.1353</v>
      </c>
      <c r="AD1227">
        <v>-1.119650903903</v>
      </c>
      <c r="AE1227">
        <v>-20.9925</v>
      </c>
      <c r="AF1227">
        <v>6.8572790454565702</v>
      </c>
      <c r="AG1227">
        <v>-1.119650903903</v>
      </c>
      <c r="AH1227">
        <v>21.025641682299199</v>
      </c>
      <c r="AI1227">
        <v>92.898250039219505</v>
      </c>
      <c r="AJ1227">
        <v>71.936839497346497</v>
      </c>
      <c r="AK1227">
        <v>22.1439269825003</v>
      </c>
      <c r="AL1227">
        <v>78.221618195288897</v>
      </c>
      <c r="AM1227">
        <v>82.049504127991696</v>
      </c>
      <c r="AN1227">
        <v>0.99999998958497005</v>
      </c>
    </row>
    <row r="1228" spans="1:40" x14ac:dyDescent="0.25">
      <c r="A1228" t="str">
        <f>"20190303171002446"</f>
        <v>20190303171002446</v>
      </c>
      <c r="B1228" t="str">
        <f>"1551604202432176"</f>
        <v>1551604202432176</v>
      </c>
      <c r="C1228" t="s">
        <v>40</v>
      </c>
      <c r="D1228">
        <v>4.6326599999999996</v>
      </c>
      <c r="E1228">
        <v>0.57659519999999997</v>
      </c>
      <c r="F1228" t="s">
        <v>52</v>
      </c>
      <c r="G1228">
        <v>-199.0652</v>
      </c>
      <c r="H1228" s="1">
        <v>2.1067609999999999E-6</v>
      </c>
      <c r="I1228">
        <v>287.47399999999999</v>
      </c>
      <c r="J1228">
        <v>-191.84119999999999</v>
      </c>
      <c r="K1228">
        <v>1.1195569999999999</v>
      </c>
      <c r="L1228">
        <v>308.48009999999999</v>
      </c>
      <c r="M1228">
        <v>-1.462693E-2</v>
      </c>
      <c r="N1228">
        <v>-1.356427E-2</v>
      </c>
      <c r="O1228">
        <v>-0.99980100000000005</v>
      </c>
      <c r="P1228">
        <v>-0.14948719999999999</v>
      </c>
      <c r="Q1228">
        <v>0.1907904</v>
      </c>
      <c r="R1228">
        <v>-0.97018170000000004</v>
      </c>
      <c r="S1228">
        <v>-1.0077670000000001</v>
      </c>
      <c r="T1228">
        <v>-0.1560607</v>
      </c>
      <c r="U1228">
        <v>-2.969849</v>
      </c>
      <c r="V1228">
        <v>0.1361232</v>
      </c>
      <c r="W1228">
        <v>0.20339840000000001</v>
      </c>
      <c r="X1228">
        <v>0.96958730000000004</v>
      </c>
      <c r="Y1228">
        <v>0.30710969999999999</v>
      </c>
      <c r="Z1228">
        <v>3.6290370000000002E-2</v>
      </c>
      <c r="AA1228">
        <v>0.95098190000000005</v>
      </c>
      <c r="AB1228">
        <v>30</v>
      </c>
      <c r="AC1228">
        <v>-7.22400000000001</v>
      </c>
      <c r="AD1228">
        <v>-1.11955489323899</v>
      </c>
      <c r="AE1228">
        <v>-21.0061</v>
      </c>
      <c r="AF1228">
        <v>6.8984211912431403</v>
      </c>
      <c r="AG1228">
        <v>-1.11955489323899</v>
      </c>
      <c r="AH1228">
        <v>21.056042151807901</v>
      </c>
      <c r="AI1228">
        <v>92.892559932707002</v>
      </c>
      <c r="AJ1228">
        <v>71.860069382985301</v>
      </c>
      <c r="AK1228">
        <v>22.185547755002101</v>
      </c>
      <c r="AL1228">
        <v>78.264240851161702</v>
      </c>
      <c r="AM1228">
        <v>82.008310456553701</v>
      </c>
      <c r="AN1228">
        <v>0.99999998351104402</v>
      </c>
    </row>
    <row r="1229" spans="1:40" x14ac:dyDescent="0.25">
      <c r="A1229" t="str">
        <f>"20190303171002467"</f>
        <v>20190303171002467</v>
      </c>
      <c r="B1229" t="str">
        <f>"1551604202461456"</f>
        <v>1551604202461456</v>
      </c>
      <c r="C1229" t="s">
        <v>40</v>
      </c>
      <c r="D1229">
        <v>4.6595750000000002</v>
      </c>
      <c r="E1229">
        <v>0.57706729999999995</v>
      </c>
      <c r="F1229" t="s">
        <v>52</v>
      </c>
      <c r="G1229">
        <v>-199.0213</v>
      </c>
      <c r="H1229" s="1">
        <v>2.1078599999999999E-6</v>
      </c>
      <c r="I1229">
        <v>287.55040000000002</v>
      </c>
      <c r="J1229">
        <v>-191.84739999999999</v>
      </c>
      <c r="K1229">
        <v>1.119469</v>
      </c>
      <c r="L1229">
        <v>308.20979999999997</v>
      </c>
      <c r="M1229">
        <v>-1.6760150000000001E-2</v>
      </c>
      <c r="N1229">
        <v>-1.3569670000000001E-2</v>
      </c>
      <c r="O1229">
        <v>-0.99976750000000003</v>
      </c>
      <c r="P1229">
        <v>-0.1517857</v>
      </c>
      <c r="Q1229">
        <v>0.1903455</v>
      </c>
      <c r="R1229">
        <v>-0.96991229999999995</v>
      </c>
      <c r="S1229">
        <v>-1.0177309999999999</v>
      </c>
      <c r="T1229">
        <v>-0.15868769999999999</v>
      </c>
      <c r="U1229">
        <v>-2.9666139999999999</v>
      </c>
      <c r="V1229">
        <v>0.13639299999999999</v>
      </c>
      <c r="W1229">
        <v>0.20292959999999999</v>
      </c>
      <c r="X1229">
        <v>0.96964760000000005</v>
      </c>
      <c r="Y1229">
        <v>0.30824289999999999</v>
      </c>
      <c r="Z1229">
        <v>3.714025E-2</v>
      </c>
      <c r="AA1229">
        <v>0.95058240000000005</v>
      </c>
      <c r="AB1229">
        <v>29</v>
      </c>
      <c r="AC1229">
        <v>-7.1738999999999997</v>
      </c>
      <c r="AD1229">
        <v>-1.1194668921399999</v>
      </c>
      <c r="AE1229">
        <v>-20.659399999999899</v>
      </c>
      <c r="AF1229">
        <v>6.8087649215774801</v>
      </c>
      <c r="AG1229">
        <v>-1.1194668921399999</v>
      </c>
      <c r="AH1229">
        <v>20.722446149942499</v>
      </c>
      <c r="AI1229">
        <v>92.937990247278506</v>
      </c>
      <c r="AJ1229">
        <v>71.811051159312996</v>
      </c>
      <c r="AK1229">
        <v>21.841068204581202</v>
      </c>
      <c r="AL1229">
        <v>78.291673069695804</v>
      </c>
      <c r="AM1229">
        <v>81.993167445019907</v>
      </c>
      <c r="AN1229">
        <v>0.99999997059545898</v>
      </c>
    </row>
    <row r="1230" spans="1:40" x14ac:dyDescent="0.25">
      <c r="A1230" t="str">
        <f>"20190303171002492"</f>
        <v>20190303171002492</v>
      </c>
      <c r="B1230" t="str">
        <f>"1551604202481953"</f>
        <v>1551604202481953</v>
      </c>
      <c r="C1230" t="s">
        <v>40</v>
      </c>
      <c r="D1230">
        <v>4.7068570000000003</v>
      </c>
      <c r="E1230">
        <v>0.57761719999999905</v>
      </c>
      <c r="F1230" t="s">
        <v>52</v>
      </c>
      <c r="G1230">
        <v>-199.06030000000001</v>
      </c>
      <c r="H1230" s="1">
        <v>2.1108600000000001E-6</v>
      </c>
      <c r="I1230">
        <v>287.43709999999999</v>
      </c>
      <c r="J1230">
        <v>-191.8562</v>
      </c>
      <c r="K1230">
        <v>1.1193390000000001</v>
      </c>
      <c r="L1230">
        <v>307.86619999999999</v>
      </c>
      <c r="M1230">
        <v>-1.964016E-2</v>
      </c>
      <c r="N1230">
        <v>-1.357654E-2</v>
      </c>
      <c r="O1230">
        <v>-0.99971509999999997</v>
      </c>
      <c r="P1230">
        <v>-0.156115899999999</v>
      </c>
      <c r="Q1230">
        <v>0.19019520000000001</v>
      </c>
      <c r="R1230">
        <v>-0.96925459999999997</v>
      </c>
      <c r="S1230">
        <v>-1.0289759999999999</v>
      </c>
      <c r="T1230">
        <v>-0.1597006</v>
      </c>
      <c r="U1230">
        <v>-2.9633790000000002</v>
      </c>
      <c r="V1230">
        <v>0.13799349999999999</v>
      </c>
      <c r="W1230">
        <v>0.20273540000000001</v>
      </c>
      <c r="X1230">
        <v>0.96946180000000004</v>
      </c>
      <c r="Y1230">
        <v>0.30903910000000001</v>
      </c>
      <c r="Z1230">
        <v>3.7474140000000003E-2</v>
      </c>
      <c r="AA1230">
        <v>0.95031080000000001</v>
      </c>
      <c r="AB1230">
        <v>29</v>
      </c>
      <c r="AC1230">
        <v>-7.2041000000000102</v>
      </c>
      <c r="AD1230">
        <v>-1.11933688914</v>
      </c>
      <c r="AE1230">
        <v>-20.429099999999998</v>
      </c>
      <c r="AF1230">
        <v>6.7833306073165396</v>
      </c>
      <c r="AG1230">
        <v>-1.11933688914</v>
      </c>
      <c r="AH1230">
        <v>20.511893617839799</v>
      </c>
      <c r="AI1230">
        <v>92.965872727502699</v>
      </c>
      <c r="AJ1230">
        <v>71.700829960126299</v>
      </c>
      <c r="AK1230">
        <v>21.633406319605001</v>
      </c>
      <c r="AL1230">
        <v>78.303036636258298</v>
      </c>
      <c r="AM1230">
        <v>81.898919440828394</v>
      </c>
      <c r="AN1230">
        <v>1.0000000150573201</v>
      </c>
    </row>
    <row r="1231" spans="1:40" x14ac:dyDescent="0.25">
      <c r="A1231" t="str">
        <f>"20190303171002512"</f>
        <v>20190303171002512</v>
      </c>
      <c r="B1231" t="str">
        <f>"1551604202501472"</f>
        <v>1551604202501472</v>
      </c>
      <c r="C1231" t="s">
        <v>40</v>
      </c>
      <c r="D1231">
        <v>4.6661519999999896</v>
      </c>
      <c r="E1231">
        <v>0.60559830000000003</v>
      </c>
      <c r="F1231" t="s">
        <v>52</v>
      </c>
      <c r="G1231">
        <v>-199.1456</v>
      </c>
      <c r="H1231" s="1">
        <v>2.1129539999999999E-6</v>
      </c>
      <c r="I1231">
        <v>287.23989999999998</v>
      </c>
      <c r="J1231">
        <v>-191.8638</v>
      </c>
      <c r="K1231">
        <v>1.11924</v>
      </c>
      <c r="L1231">
        <v>307.60449999999997</v>
      </c>
      <c r="M1231">
        <v>-2.1971170000000002E-2</v>
      </c>
      <c r="N1231">
        <v>-1.3581879999999999E-2</v>
      </c>
      <c r="O1231">
        <v>-0.99966630000000001</v>
      </c>
      <c r="P1231">
        <v>-0.16094129999999901</v>
      </c>
      <c r="Q1231">
        <v>0.18987039999999999</v>
      </c>
      <c r="R1231">
        <v>-0.96852850000000001</v>
      </c>
      <c r="S1231">
        <v>-1.0454859999999999</v>
      </c>
      <c r="T1231">
        <v>-0.160540299999999</v>
      </c>
      <c r="U1231">
        <v>-2.958313</v>
      </c>
      <c r="V1231">
        <v>0.14061460000000001</v>
      </c>
      <c r="W1231">
        <v>0.20236509999999999</v>
      </c>
      <c r="X1231">
        <v>0.96916250000000004</v>
      </c>
      <c r="Y1231">
        <v>0.31204189999999998</v>
      </c>
      <c r="Z1231">
        <v>3.7749739999999997E-2</v>
      </c>
      <c r="AA1231">
        <v>0.94931810000000005</v>
      </c>
      <c r="AB1231">
        <v>29</v>
      </c>
      <c r="AC1231">
        <v>-7.2817999999999996</v>
      </c>
      <c r="AD1231">
        <v>-1.119237887046</v>
      </c>
      <c r="AE1231">
        <v>-20.364599999999999</v>
      </c>
      <c r="AF1231">
        <v>6.8143165721050698</v>
      </c>
      <c r="AG1231">
        <v>-1.119237887046</v>
      </c>
      <c r="AH1231">
        <v>20.464879089156899</v>
      </c>
      <c r="AI1231">
        <v>92.970395603723901</v>
      </c>
      <c r="AJ1231">
        <v>71.583471932670506</v>
      </c>
      <c r="AK1231">
        <v>21.598585137144401</v>
      </c>
      <c r="AL1231">
        <v>78.324702475680297</v>
      </c>
      <c r="AM1231">
        <v>81.744631135439704</v>
      </c>
      <c r="AN1231">
        <v>1.0000000254187</v>
      </c>
    </row>
    <row r="1232" spans="1:40" x14ac:dyDescent="0.25">
      <c r="A1232" t="str">
        <f>"20190303171002534"</f>
        <v>20190303171002534</v>
      </c>
      <c r="B1232" t="str">
        <f>"1551604202521969"</f>
        <v>1551604202521969</v>
      </c>
      <c r="C1232" t="s">
        <v>40</v>
      </c>
      <c r="D1232">
        <v>4.6705209999999999</v>
      </c>
      <c r="E1232">
        <v>0.60808490000000004</v>
      </c>
      <c r="F1232" t="s">
        <v>52</v>
      </c>
      <c r="G1232">
        <v>-204.20599999999999</v>
      </c>
      <c r="H1232">
        <v>1.8779560000000001E-2</v>
      </c>
      <c r="I1232">
        <v>279.61590000000001</v>
      </c>
      <c r="J1232">
        <v>-191.8732</v>
      </c>
      <c r="K1232">
        <v>1.1191169999999999</v>
      </c>
      <c r="L1232">
        <v>307.31029999999998</v>
      </c>
      <c r="M1232">
        <v>-2.473011E-2</v>
      </c>
      <c r="N1232">
        <v>-1.3587749999999999E-2</v>
      </c>
      <c r="O1232">
        <v>-0.99960179999999998</v>
      </c>
      <c r="P1232">
        <v>-0.16737539999999901</v>
      </c>
      <c r="Q1232">
        <v>0.18894820000000001</v>
      </c>
      <c r="R1232">
        <v>-0.96761799999999998</v>
      </c>
      <c r="S1232">
        <v>-1.2818909999999999</v>
      </c>
      <c r="T1232">
        <v>-0.11429599999999999</v>
      </c>
      <c r="U1232">
        <v>-2.906952</v>
      </c>
      <c r="V1232">
        <v>0.14444000000000001</v>
      </c>
      <c r="W1232">
        <v>0.2013839</v>
      </c>
      <c r="X1232">
        <v>0.9688042</v>
      </c>
      <c r="Y1232">
        <v>0.38050689999999998</v>
      </c>
      <c r="Z1232">
        <v>2.2606060000000001E-2</v>
      </c>
      <c r="AA1232">
        <v>0.92450169999999998</v>
      </c>
      <c r="AB1232">
        <v>29</v>
      </c>
      <c r="AC1232">
        <v>-12.332799999999899</v>
      </c>
      <c r="AD1232">
        <v>-1.1003374400000001</v>
      </c>
      <c r="AE1232">
        <v>-27.694399999999899</v>
      </c>
      <c r="AF1232">
        <v>11.6287595977045</v>
      </c>
      <c r="AG1232">
        <v>-1.1003374400000001</v>
      </c>
      <c r="AH1232">
        <v>27.954122933139701</v>
      </c>
      <c r="AI1232">
        <v>92.081387959342706</v>
      </c>
      <c r="AJ1232">
        <v>67.412961242628398</v>
      </c>
      <c r="AK1232">
        <v>30.2963988160996</v>
      </c>
      <c r="AL1232">
        <v>78.382102394531401</v>
      </c>
      <c r="AM1232">
        <v>81.520176224563599</v>
      </c>
      <c r="AN1232">
        <v>0.99999998335842399</v>
      </c>
    </row>
    <row r="1233" spans="1:40" x14ac:dyDescent="0.25">
      <c r="A1233" t="str">
        <f>"20190303171002568"</f>
        <v>20190303171002568</v>
      </c>
      <c r="B1233" t="str">
        <f>"1551604202561985"</f>
        <v>1551604202561985</v>
      </c>
      <c r="C1233" t="s">
        <v>40</v>
      </c>
      <c r="D1233">
        <v>4.6881320000000004</v>
      </c>
      <c r="E1233">
        <v>0.60978540000000003</v>
      </c>
      <c r="F1233" t="s">
        <v>52</v>
      </c>
      <c r="G1233">
        <v>-204.5153</v>
      </c>
      <c r="H1233">
        <v>7.2274089999999999E-2</v>
      </c>
      <c r="I1233">
        <v>279.59379999999999</v>
      </c>
      <c r="J1233">
        <v>-191.88929999999999</v>
      </c>
      <c r="K1233">
        <v>1.1189290000000001</v>
      </c>
      <c r="L1233">
        <v>306.86619999999999</v>
      </c>
      <c r="M1233">
        <v>-2.9209240000000001E-2</v>
      </c>
      <c r="N1233">
        <v>-1.359727E-2</v>
      </c>
      <c r="O1233">
        <v>-0.99948090000000001</v>
      </c>
      <c r="P1233">
        <v>-0.17497099999999999</v>
      </c>
      <c r="Q1233">
        <v>0.18599540000000001</v>
      </c>
      <c r="R1233">
        <v>-0.96684610000000004</v>
      </c>
      <c r="S1233">
        <v>-1.3197479999999999</v>
      </c>
      <c r="T1233">
        <v>-0.10928259999999999</v>
      </c>
      <c r="U1233">
        <v>-2.893402</v>
      </c>
      <c r="V1233">
        <v>0.14777170000000001</v>
      </c>
      <c r="W1233">
        <v>0.19836000000000001</v>
      </c>
      <c r="X1233">
        <v>0.96892560000000005</v>
      </c>
      <c r="Y1233">
        <v>0.38802550000000002</v>
      </c>
      <c r="Z1233">
        <v>2.102561E-2</v>
      </c>
      <c r="AA1233">
        <v>0.92140880000000003</v>
      </c>
      <c r="AB1233">
        <v>29</v>
      </c>
      <c r="AC1233">
        <v>-12.625999999999999</v>
      </c>
      <c r="AD1233">
        <v>-1.04665491</v>
      </c>
      <c r="AE1233">
        <v>-27.272400000000001</v>
      </c>
      <c r="AF1233">
        <v>11.809608241075701</v>
      </c>
      <c r="AG1233">
        <v>-1.04665491</v>
      </c>
      <c r="AH1233">
        <v>27.596119974467999</v>
      </c>
      <c r="AI1233">
        <v>91.997030864093603</v>
      </c>
      <c r="AJ1233">
        <v>66.831762049050397</v>
      </c>
      <c r="AK1233">
        <v>30.035115630766999</v>
      </c>
      <c r="AL1233">
        <v>78.558927243622406</v>
      </c>
      <c r="AM1233">
        <v>81.328589100931893</v>
      </c>
      <c r="AN1233">
        <v>0.99999999162812503</v>
      </c>
    </row>
    <row r="1234" spans="1:40" x14ac:dyDescent="0.25">
      <c r="A1234" t="str">
        <f>"20190303171002593"</f>
        <v>20190303171002593</v>
      </c>
      <c r="B1234" t="str">
        <f>"1551604202582481"</f>
        <v>1551604202582481</v>
      </c>
      <c r="C1234" t="s">
        <v>40</v>
      </c>
      <c r="D1234">
        <v>4.6958010000000003</v>
      </c>
      <c r="E1234">
        <v>0.61008469999999904</v>
      </c>
      <c r="F1234" t="s">
        <v>52</v>
      </c>
      <c r="G1234">
        <v>-204.7441</v>
      </c>
      <c r="H1234">
        <v>7.9225569999999995E-2</v>
      </c>
      <c r="I1234">
        <v>279.58699999999999</v>
      </c>
      <c r="J1234">
        <v>-191.90209999999999</v>
      </c>
      <c r="K1234">
        <v>1.1188089999999999</v>
      </c>
      <c r="L1234">
        <v>306.55079999999998</v>
      </c>
      <c r="M1234">
        <v>-3.2576399999999998E-2</v>
      </c>
      <c r="N1234">
        <v>-1.3603759999999999E-2</v>
      </c>
      <c r="O1234">
        <v>-0.99937679999999995</v>
      </c>
      <c r="P1234">
        <v>-0.18103849999999999</v>
      </c>
      <c r="Q1234">
        <v>0.185588</v>
      </c>
      <c r="R1234">
        <v>-0.96580670000000002</v>
      </c>
      <c r="S1234">
        <v>-1.3564449999999999</v>
      </c>
      <c r="T1234">
        <v>-0.1097096</v>
      </c>
      <c r="U1234">
        <v>-2.8785099999999999</v>
      </c>
      <c r="V1234">
        <v>0.15065020000000001</v>
      </c>
      <c r="W1234">
        <v>0.19789499999999999</v>
      </c>
      <c r="X1234">
        <v>0.96857729999999997</v>
      </c>
      <c r="Y1234">
        <v>0.39635799999999999</v>
      </c>
      <c r="Z1234">
        <v>2.1170950000000001E-2</v>
      </c>
      <c r="AA1234">
        <v>0.91785190000000005</v>
      </c>
      <c r="AB1234">
        <v>29</v>
      </c>
      <c r="AC1234">
        <v>-12.842000000000001</v>
      </c>
      <c r="AD1234">
        <v>-1.03958343</v>
      </c>
      <c r="AE1234">
        <v>-26.9637999999999</v>
      </c>
      <c r="AF1234">
        <v>11.9422484818767</v>
      </c>
      <c r="AG1234">
        <v>-1.03958343</v>
      </c>
      <c r="AH1234">
        <v>27.334751329529698</v>
      </c>
      <c r="AI1234">
        <v>91.995991091072099</v>
      </c>
      <c r="AJ1234">
        <v>66.400018888830701</v>
      </c>
      <c r="AK1234">
        <v>29.847724582588299</v>
      </c>
      <c r="AL1234">
        <v>78.586108135873801</v>
      </c>
      <c r="AM1234">
        <v>81.159189259190697</v>
      </c>
      <c r="AN1234">
        <v>0.99999994993016295</v>
      </c>
    </row>
    <row r="1235" spans="1:40" x14ac:dyDescent="0.25">
      <c r="A1235" t="str">
        <f>"20190303171002613"</f>
        <v>20190303171002613</v>
      </c>
      <c r="B1235" t="str">
        <f>"1551604202602000"</f>
        <v>1551604202602000</v>
      </c>
      <c r="C1235" t="s">
        <v>40</v>
      </c>
      <c r="D1235">
        <v>4.7195589999999896</v>
      </c>
      <c r="E1235">
        <v>0.61031069999999998</v>
      </c>
      <c r="F1235" t="s">
        <v>52</v>
      </c>
      <c r="G1235">
        <v>-204.8279</v>
      </c>
      <c r="H1235">
        <v>7.9700510000000002E-2</v>
      </c>
      <c r="I1235">
        <v>279.5865</v>
      </c>
      <c r="J1235">
        <v>-191.9145</v>
      </c>
      <c r="K1235">
        <v>1.118714</v>
      </c>
      <c r="L1235">
        <v>306.2706</v>
      </c>
      <c r="M1235">
        <v>-3.5699920000000003E-2</v>
      </c>
      <c r="N1235">
        <v>-1.3609069999999999E-2</v>
      </c>
      <c r="O1235">
        <v>-0.99927010000000005</v>
      </c>
      <c r="P1235">
        <v>-0.1866544</v>
      </c>
      <c r="Q1235">
        <v>0.1863195</v>
      </c>
      <c r="R1235">
        <v>-0.96459629999999996</v>
      </c>
      <c r="S1235">
        <v>-1.37558</v>
      </c>
      <c r="T1235">
        <v>-0.1105831</v>
      </c>
      <c r="U1235">
        <v>-2.8695680000000001</v>
      </c>
      <c r="V1235">
        <v>0.1533204</v>
      </c>
      <c r="W1235">
        <v>0.19857269999999999</v>
      </c>
      <c r="X1235">
        <v>0.96801950000000003</v>
      </c>
      <c r="Y1235">
        <v>0.39957340000000002</v>
      </c>
      <c r="Z1235">
        <v>2.1472100000000001E-2</v>
      </c>
      <c r="AA1235">
        <v>0.91644970000000003</v>
      </c>
      <c r="AB1235">
        <v>29</v>
      </c>
      <c r="AC1235">
        <v>-12.9133999999999</v>
      </c>
      <c r="AD1235">
        <v>-1.0390134900000001</v>
      </c>
      <c r="AE1235">
        <v>-26.684100000000001</v>
      </c>
      <c r="AF1235">
        <v>11.9377937733883</v>
      </c>
      <c r="AG1235">
        <v>-1.0390134900000001</v>
      </c>
      <c r="AH1235">
        <v>27.094852760343901</v>
      </c>
      <c r="AI1235">
        <v>92.009807733924404</v>
      </c>
      <c r="AJ1235">
        <v>66.222061637213102</v>
      </c>
      <c r="AK1235">
        <v>29.626365205895102</v>
      </c>
      <c r="AL1235">
        <v>78.546493269299006</v>
      </c>
      <c r="AM1235">
        <v>80.999932255195702</v>
      </c>
      <c r="AN1235">
        <v>1.0000000073108499</v>
      </c>
    </row>
    <row r="1236" spans="1:40" x14ac:dyDescent="0.25">
      <c r="A1236" t="str">
        <f>"20190303171002635"</f>
        <v>20190303171002635</v>
      </c>
      <c r="B1236" t="str">
        <f>"1551604202622026"</f>
        <v>1551604202622026</v>
      </c>
      <c r="C1236" t="s">
        <v>40</v>
      </c>
      <c r="D1236">
        <v>4.7266250000000003</v>
      </c>
      <c r="E1236">
        <v>0.61045459999999996</v>
      </c>
      <c r="F1236" t="s">
        <v>52</v>
      </c>
      <c r="G1236">
        <v>-205.10810000000001</v>
      </c>
      <c r="H1236">
        <v>8.0001390000000006E-2</v>
      </c>
      <c r="I1236">
        <v>279.15609999999998</v>
      </c>
      <c r="J1236">
        <v>-191.92850000000001</v>
      </c>
      <c r="K1236">
        <v>1.118611</v>
      </c>
      <c r="L1236">
        <v>305.9785</v>
      </c>
      <c r="M1236">
        <v>-3.9093780000000002E-2</v>
      </c>
      <c r="N1236">
        <v>-1.3614599999999999E-2</v>
      </c>
      <c r="O1236">
        <v>-0.99914270000000005</v>
      </c>
      <c r="P1236">
        <v>-0.19202369999999999</v>
      </c>
      <c r="Q1236">
        <v>0.1858718</v>
      </c>
      <c r="R1236">
        <v>-0.96362789999999998</v>
      </c>
      <c r="S1236">
        <v>-1.3925019999999999</v>
      </c>
      <c r="T1236">
        <v>-0.1096293</v>
      </c>
      <c r="U1236">
        <v>-2.861755</v>
      </c>
      <c r="V1236">
        <v>0.15547169999999999</v>
      </c>
      <c r="W1236">
        <v>0.1980759</v>
      </c>
      <c r="X1236">
        <v>0.96777809999999997</v>
      </c>
      <c r="Y1236">
        <v>0.40182800000000002</v>
      </c>
      <c r="Z1236">
        <v>2.1195499999999999E-2</v>
      </c>
      <c r="AA1236">
        <v>0.9154698</v>
      </c>
      <c r="AB1236">
        <v>29</v>
      </c>
      <c r="AC1236">
        <v>-13.179599999999899</v>
      </c>
      <c r="AD1236">
        <v>-1.03860961</v>
      </c>
      <c r="AE1236">
        <v>-26.822399999999998</v>
      </c>
      <c r="AF1236">
        <v>12.1062151304052</v>
      </c>
      <c r="AG1236">
        <v>-1.03860961</v>
      </c>
      <c r="AH1236">
        <v>27.284226862844701</v>
      </c>
      <c r="AI1236">
        <v>91.992799051321995</v>
      </c>
      <c r="AJ1236">
        <v>66.072781406919205</v>
      </c>
      <c r="AK1236">
        <v>29.867510612851799</v>
      </c>
      <c r="AL1236">
        <v>78.575534376258005</v>
      </c>
      <c r="AM1236">
        <v>80.873520985793704</v>
      </c>
      <c r="AN1236">
        <v>0.99999998125065404</v>
      </c>
    </row>
    <row r="1237" spans="1:40" x14ac:dyDescent="0.25">
      <c r="A1237" t="str">
        <f>"20190303171002658"</f>
        <v>20190303171002658</v>
      </c>
      <c r="B1237" t="str">
        <f>"1551604202651306"</f>
        <v>1551604202651306</v>
      </c>
      <c r="C1237" t="s">
        <v>40</v>
      </c>
      <c r="D1237">
        <v>4.7648320000000002</v>
      </c>
      <c r="E1237">
        <v>0.61063009999999995</v>
      </c>
      <c r="F1237" t="s">
        <v>52</v>
      </c>
      <c r="G1237">
        <v>-205.12379999999999</v>
      </c>
      <c r="H1237">
        <v>8.0001450000000002E-2</v>
      </c>
      <c r="I1237">
        <v>279.25979999999998</v>
      </c>
      <c r="J1237">
        <v>-191.94290000000001</v>
      </c>
      <c r="K1237">
        <v>1.118503</v>
      </c>
      <c r="L1237">
        <v>305.69929999999999</v>
      </c>
      <c r="M1237">
        <v>-4.2480280000000002E-2</v>
      </c>
      <c r="N1237">
        <v>-1.362082E-2</v>
      </c>
      <c r="O1237">
        <v>-0.99900469999999997</v>
      </c>
      <c r="P1237">
        <v>-0.19632630000000001</v>
      </c>
      <c r="Q1237">
        <v>0.18485750000000001</v>
      </c>
      <c r="R1237">
        <v>-0.96295609999999998</v>
      </c>
      <c r="S1237">
        <v>-1.4093629999999999</v>
      </c>
      <c r="T1237">
        <v>-0.1109314</v>
      </c>
      <c r="U1237">
        <v>-2.8537599999999999</v>
      </c>
      <c r="V1237">
        <v>0.1565521</v>
      </c>
      <c r="W1237">
        <v>0.1970218</v>
      </c>
      <c r="X1237">
        <v>0.96781910000000004</v>
      </c>
      <c r="Y1237">
        <v>0.4040842</v>
      </c>
      <c r="Z1237">
        <v>2.1632430000000001E-2</v>
      </c>
      <c r="AA1237">
        <v>0.914466</v>
      </c>
      <c r="AB1237">
        <v>29</v>
      </c>
      <c r="AC1237">
        <v>-13.1808999999999</v>
      </c>
      <c r="AD1237">
        <v>-1.0385015500000001</v>
      </c>
      <c r="AE1237">
        <v>-26.439499999999999</v>
      </c>
      <c r="AF1237">
        <v>12.030871810090099</v>
      </c>
      <c r="AG1237">
        <v>-1.0385015500000001</v>
      </c>
      <c r="AH1237">
        <v>26.942316697706101</v>
      </c>
      <c r="AI1237">
        <v>92.015736042792099</v>
      </c>
      <c r="AJ1237">
        <v>65.937239193983203</v>
      </c>
      <c r="AK1237">
        <v>29.524714918516398</v>
      </c>
      <c r="AL1237">
        <v>78.637143985721096</v>
      </c>
      <c r="AM1237">
        <v>80.811560380843005</v>
      </c>
      <c r="AN1237">
        <v>0.99999998000722901</v>
      </c>
    </row>
    <row r="1238" spans="1:40" x14ac:dyDescent="0.25">
      <c r="A1238" t="str">
        <f>"20190303171002679"</f>
        <v>20190303171002679</v>
      </c>
      <c r="B1238" t="str">
        <f>"1551604202671803"</f>
        <v>1551604202671803</v>
      </c>
      <c r="C1238" t="s">
        <v>40</v>
      </c>
      <c r="D1238">
        <v>4.7825179999999996</v>
      </c>
      <c r="E1238">
        <v>0.61081649999999998</v>
      </c>
      <c r="F1238" t="s">
        <v>52</v>
      </c>
      <c r="G1238">
        <v>-205.1114</v>
      </c>
      <c r="H1238">
        <v>8.0001550000000005E-2</v>
      </c>
      <c r="I1238">
        <v>279.3723</v>
      </c>
      <c r="J1238">
        <v>-191.9598</v>
      </c>
      <c r="K1238">
        <v>1.1183689999999999</v>
      </c>
      <c r="L1238">
        <v>305.39909999999998</v>
      </c>
      <c r="M1238">
        <v>-4.628612E-2</v>
      </c>
      <c r="N1238">
        <v>-1.362816E-2</v>
      </c>
      <c r="O1238">
        <v>-0.99883549999999999</v>
      </c>
      <c r="P1238">
        <v>-0.20113780000000001</v>
      </c>
      <c r="Q1238">
        <v>0.18423990000000001</v>
      </c>
      <c r="R1238">
        <v>-0.96208090000000002</v>
      </c>
      <c r="S1238">
        <v>-1.423859</v>
      </c>
      <c r="T1238">
        <v>-0.11228970000000001</v>
      </c>
      <c r="U1238">
        <v>-2.8466490000000002</v>
      </c>
      <c r="V1238">
        <v>0.1577549</v>
      </c>
      <c r="W1238">
        <v>0.19635610000000001</v>
      </c>
      <c r="X1238">
        <v>0.96775909999999998</v>
      </c>
      <c r="Y1238">
        <v>0.40523199999999998</v>
      </c>
      <c r="Z1238">
        <v>2.209092E-2</v>
      </c>
      <c r="AA1238">
        <v>0.91394690000000001</v>
      </c>
      <c r="AB1238">
        <v>29</v>
      </c>
      <c r="AC1238">
        <v>-13.1516</v>
      </c>
      <c r="AD1238">
        <v>-1.03836745</v>
      </c>
      <c r="AE1238">
        <v>-26.026799999999898</v>
      </c>
      <c r="AF1238">
        <v>11.9175997848061</v>
      </c>
      <c r="AG1238">
        <v>-1.03836745</v>
      </c>
      <c r="AH1238">
        <v>26.573998506816601</v>
      </c>
      <c r="AI1238">
        <v>92.041921119811605</v>
      </c>
      <c r="AJ1238">
        <v>65.845270831089607</v>
      </c>
      <c r="AK1238">
        <v>29.142491112331498</v>
      </c>
      <c r="AL1238">
        <v>78.676045937673393</v>
      </c>
      <c r="AM1238">
        <v>80.741618763403096</v>
      </c>
      <c r="AN1238">
        <v>1.00000000105701</v>
      </c>
    </row>
    <row r="1239" spans="1:40" x14ac:dyDescent="0.25">
      <c r="A1239" t="str">
        <f>"20190303171002702"</f>
        <v>20190303171002702</v>
      </c>
      <c r="B1239" t="str">
        <f>"1551604202692299"</f>
        <v>1551604202692299</v>
      </c>
      <c r="C1239" t="s">
        <v>40</v>
      </c>
      <c r="D1239">
        <v>4.7915340000000004</v>
      </c>
      <c r="E1239">
        <v>0.61092950000000001</v>
      </c>
      <c r="F1239" t="s">
        <v>52</v>
      </c>
      <c r="G1239">
        <v>-205.05500000000001</v>
      </c>
      <c r="H1239">
        <v>8.0001710000000004E-2</v>
      </c>
      <c r="I1239">
        <v>279.5566</v>
      </c>
      <c r="J1239">
        <v>-191.97710000000001</v>
      </c>
      <c r="K1239">
        <v>1.1182529999999999</v>
      </c>
      <c r="L1239">
        <v>305.11290000000002</v>
      </c>
      <c r="M1239">
        <v>-5.0042690000000001E-2</v>
      </c>
      <c r="N1239">
        <v>-1.3635120000000001E-2</v>
      </c>
      <c r="O1239">
        <v>-0.99865420000000005</v>
      </c>
      <c r="P1239">
        <v>-0.20586889999999999</v>
      </c>
      <c r="Q1239">
        <v>0.1842346</v>
      </c>
      <c r="R1239">
        <v>-0.96108070000000001</v>
      </c>
      <c r="S1239">
        <v>-1.438782</v>
      </c>
      <c r="T1239">
        <v>-0.11408600000000001</v>
      </c>
      <c r="U1239">
        <v>-2.8393250000000001</v>
      </c>
      <c r="V1239">
        <v>0.15893260000000001</v>
      </c>
      <c r="W1239">
        <v>0.1963037</v>
      </c>
      <c r="X1239">
        <v>0.96757700000000002</v>
      </c>
      <c r="Y1239">
        <v>0.40655829999999998</v>
      </c>
      <c r="Z1239">
        <v>2.2687780000000001E-2</v>
      </c>
      <c r="AA1239">
        <v>0.91334309999999996</v>
      </c>
      <c r="AB1239">
        <v>29</v>
      </c>
      <c r="AC1239">
        <v>-13.0779</v>
      </c>
      <c r="AD1239">
        <v>-1.03825129</v>
      </c>
      <c r="AE1239">
        <v>-25.5563</v>
      </c>
      <c r="AF1239">
        <v>11.767095816344399</v>
      </c>
      <c r="AG1239">
        <v>-1.03825129</v>
      </c>
      <c r="AH1239">
        <v>26.144591890504</v>
      </c>
      <c r="AI1239">
        <v>92.073950329250707</v>
      </c>
      <c r="AJ1239">
        <v>65.7685561893759</v>
      </c>
      <c r="AK1239">
        <v>28.689409105334001</v>
      </c>
      <c r="AL1239">
        <v>78.679107613922696</v>
      </c>
      <c r="AM1239">
        <v>80.671987105510297</v>
      </c>
      <c r="AN1239">
        <v>0.99999998245272403</v>
      </c>
    </row>
    <row r="1240" spans="1:40" x14ac:dyDescent="0.25">
      <c r="A1240" t="str">
        <f>"20190303171002725"</f>
        <v>20190303171002725</v>
      </c>
      <c r="B1240" t="str">
        <f>"1551604202711819"</f>
        <v>1551604202711819</v>
      </c>
      <c r="C1240" t="s">
        <v>40</v>
      </c>
      <c r="D1240">
        <v>4.7971820000000003</v>
      </c>
      <c r="E1240">
        <v>0.61096209999999995</v>
      </c>
      <c r="F1240" t="s">
        <v>52</v>
      </c>
      <c r="G1240">
        <v>-205.0779</v>
      </c>
      <c r="H1240">
        <v>8.0001699999999995E-2</v>
      </c>
      <c r="I1240">
        <v>279.56380000000001</v>
      </c>
      <c r="J1240">
        <v>-191.99629999999999</v>
      </c>
      <c r="K1240">
        <v>1.118142</v>
      </c>
      <c r="L1240">
        <v>304.815</v>
      </c>
      <c r="M1240">
        <v>-5.410069E-2</v>
      </c>
      <c r="N1240">
        <v>-1.364192E-2</v>
      </c>
      <c r="O1240">
        <v>-0.99844239999999995</v>
      </c>
      <c r="P1240">
        <v>-0.21058379999999999</v>
      </c>
      <c r="Q1240">
        <v>0.18387970000000001</v>
      </c>
      <c r="R1240">
        <v>-0.96012640000000005</v>
      </c>
      <c r="S1240">
        <v>-1.452393</v>
      </c>
      <c r="T1240">
        <v>-0.1151031</v>
      </c>
      <c r="U1240">
        <v>-2.8324280000000002</v>
      </c>
      <c r="V1240">
        <v>0.15979969999999999</v>
      </c>
      <c r="W1240">
        <v>0.19590489999999999</v>
      </c>
      <c r="X1240">
        <v>0.96751509999999996</v>
      </c>
      <c r="Y1240">
        <v>0.4072191</v>
      </c>
      <c r="Z1240">
        <v>2.3041869999999999E-2</v>
      </c>
      <c r="AA1240">
        <v>0.91303979999999996</v>
      </c>
      <c r="AB1240">
        <v>29</v>
      </c>
      <c r="AC1240">
        <v>-13.0816</v>
      </c>
      <c r="AD1240">
        <v>-1.0381403</v>
      </c>
      <c r="AE1240">
        <v>-25.251199999999901</v>
      </c>
      <c r="AF1240">
        <v>11.6806383853769</v>
      </c>
      <c r="AG1240">
        <v>-1.0381403</v>
      </c>
      <c r="AH1240">
        <v>25.8875042683812</v>
      </c>
      <c r="AI1240">
        <v>92.093419222911294</v>
      </c>
      <c r="AJ1240">
        <v>65.714742436649701</v>
      </c>
      <c r="AK1240">
        <v>28.419674973825501</v>
      </c>
      <c r="AL1240">
        <v>78.702410643053398</v>
      </c>
      <c r="AM1240">
        <v>80.621407952930198</v>
      </c>
      <c r="AN1240">
        <v>1.00000007134605</v>
      </c>
    </row>
    <row r="1241" spans="1:40" x14ac:dyDescent="0.25">
      <c r="A1241" t="str">
        <f>"20190303171002745"</f>
        <v>20190303171002745</v>
      </c>
      <c r="B1241" t="str">
        <f>"1551604202731846"</f>
        <v>1551604202731846</v>
      </c>
      <c r="C1241" t="s">
        <v>40</v>
      </c>
      <c r="D1241">
        <v>4.8108069999999996</v>
      </c>
      <c r="E1241">
        <v>0.61102460000000003</v>
      </c>
      <c r="F1241" t="s">
        <v>52</v>
      </c>
      <c r="G1241">
        <v>-205.20660000000001</v>
      </c>
      <c r="H1241">
        <v>8.0001530000000001E-2</v>
      </c>
      <c r="I1241">
        <v>279.37619999999998</v>
      </c>
      <c r="J1241">
        <v>-192.0147</v>
      </c>
      <c r="K1241">
        <v>1.118039</v>
      </c>
      <c r="L1241">
        <v>304.5478</v>
      </c>
      <c r="M1241">
        <v>-5.7890230000000001E-2</v>
      </c>
      <c r="N1241">
        <v>-1.3648449999999999E-2</v>
      </c>
      <c r="O1241">
        <v>-0.9982297</v>
      </c>
      <c r="P1241">
        <v>-0.21488930000000001</v>
      </c>
      <c r="Q1241">
        <v>0.18417359999999999</v>
      </c>
      <c r="R1241">
        <v>-0.95911579999999996</v>
      </c>
      <c r="S1241">
        <v>-1.46698</v>
      </c>
      <c r="T1241">
        <v>-0.115283</v>
      </c>
      <c r="U1241">
        <v>-2.8249209999999998</v>
      </c>
      <c r="V1241">
        <v>0.16052649999999999</v>
      </c>
      <c r="W1241">
        <v>0.19615550000000001</v>
      </c>
      <c r="X1241">
        <v>0.96734390000000003</v>
      </c>
      <c r="Y1241">
        <v>0.4084564</v>
      </c>
      <c r="Z1241">
        <v>2.312968E-2</v>
      </c>
      <c r="AA1241">
        <v>0.91248470000000004</v>
      </c>
      <c r="AB1241">
        <v>29</v>
      </c>
      <c r="AC1241">
        <v>-13.1919</v>
      </c>
      <c r="AD1241">
        <v>-1.0380374699999999</v>
      </c>
      <c r="AE1241">
        <v>-25.171600000000002</v>
      </c>
      <c r="AF1241">
        <v>11.696841517829901</v>
      </c>
      <c r="AG1241">
        <v>-1.0380374699999999</v>
      </c>
      <c r="AH1241">
        <v>25.8586316773542</v>
      </c>
      <c r="AI1241">
        <v>92.094659366096195</v>
      </c>
      <c r="AJ1241">
        <v>65.660953408302603</v>
      </c>
      <c r="AK1241">
        <v>28.400043230731601</v>
      </c>
      <c r="AL1241">
        <v>78.687767170517603</v>
      </c>
      <c r="AM1241">
        <v>80.577877884916006</v>
      </c>
      <c r="AN1241">
        <v>0.99999997912485405</v>
      </c>
    </row>
    <row r="1242" spans="1:40" x14ac:dyDescent="0.25">
      <c r="A1242" t="str">
        <f>"20190303171002769"</f>
        <v>20190303171002769</v>
      </c>
      <c r="B1242" t="str">
        <f>"1551604202762102"</f>
        <v>1551604202762102</v>
      </c>
      <c r="C1242" t="s">
        <v>40</v>
      </c>
      <c r="D1242">
        <v>4.8304819999999999</v>
      </c>
      <c r="E1242">
        <v>0.61121579999999998</v>
      </c>
      <c r="F1242" t="s">
        <v>52</v>
      </c>
      <c r="G1242">
        <v>-205.53319999999999</v>
      </c>
      <c r="H1242">
        <v>8.0001279999999994E-2</v>
      </c>
      <c r="I1242">
        <v>278.81540000000001</v>
      </c>
      <c r="J1242">
        <v>-192.0378</v>
      </c>
      <c r="K1242">
        <v>1.1178950000000001</v>
      </c>
      <c r="L1242">
        <v>304.2353</v>
      </c>
      <c r="M1242">
        <v>-6.2529379999999996E-2</v>
      </c>
      <c r="N1242">
        <v>-1.3658139999999999E-2</v>
      </c>
      <c r="O1242">
        <v>-0.9979498</v>
      </c>
      <c r="P1242">
        <v>-0.21981239999999999</v>
      </c>
      <c r="Q1242">
        <v>0.1840687</v>
      </c>
      <c r="R1242">
        <v>-0.95801950000000002</v>
      </c>
      <c r="S1242">
        <v>-1.480453</v>
      </c>
      <c r="T1242">
        <v>-0.11367869999999999</v>
      </c>
      <c r="U1242">
        <v>-2.8180239999999999</v>
      </c>
      <c r="V1242">
        <v>0.16106679999999901</v>
      </c>
      <c r="W1242">
        <v>0.1959988</v>
      </c>
      <c r="X1242">
        <v>0.96728590000000003</v>
      </c>
      <c r="Y1242">
        <v>0.40855930000000001</v>
      </c>
      <c r="Z1242">
        <v>2.2653010000000001E-2</v>
      </c>
      <c r="AA1242">
        <v>0.9124506</v>
      </c>
      <c r="AB1242">
        <v>29</v>
      </c>
      <c r="AC1242">
        <v>-13.495399999999901</v>
      </c>
      <c r="AD1242">
        <v>-1.03789372</v>
      </c>
      <c r="AE1242">
        <v>-25.419899999999899</v>
      </c>
      <c r="AF1242">
        <v>11.8639182441709</v>
      </c>
      <c r="AG1242">
        <v>-1.03789372</v>
      </c>
      <c r="AH1242">
        <v>26.180036858606599</v>
      </c>
      <c r="AI1242">
        <v>92.068036632070999</v>
      </c>
      <c r="AJ1242">
        <v>65.621554016325106</v>
      </c>
      <c r="AK1242">
        <v>28.7615039487922</v>
      </c>
      <c r="AL1242">
        <v>78.696923710677794</v>
      </c>
      <c r="AM1242">
        <v>80.546179777859905</v>
      </c>
      <c r="AN1242">
        <v>1.00000002800124</v>
      </c>
    </row>
    <row r="1243" spans="1:40" x14ac:dyDescent="0.25">
      <c r="A1243" t="str">
        <f>"20190303171002792"</f>
        <v>20190303171002792</v>
      </c>
      <c r="B1243" t="str">
        <f>"1551604202781622"</f>
        <v>1551604202781622</v>
      </c>
      <c r="C1243" t="s">
        <v>40</v>
      </c>
      <c r="D1243">
        <v>4.8270900000000001</v>
      </c>
      <c r="E1243">
        <v>0.61136809999999997</v>
      </c>
      <c r="F1243" t="s">
        <v>52</v>
      </c>
      <c r="G1243">
        <v>-205.6645</v>
      </c>
      <c r="H1243">
        <v>8.0001240000000001E-2</v>
      </c>
      <c r="I1243">
        <v>278.63440000000003</v>
      </c>
      <c r="J1243">
        <v>-192.0609</v>
      </c>
      <c r="K1243">
        <v>1.1177299999999999</v>
      </c>
      <c r="L1243">
        <v>303.94310000000002</v>
      </c>
      <c r="M1243">
        <v>-6.7091189999999995E-2</v>
      </c>
      <c r="N1243">
        <v>-1.36691E-2</v>
      </c>
      <c r="O1243">
        <v>-0.99765329999999997</v>
      </c>
      <c r="P1243">
        <v>-0.22378670000000001</v>
      </c>
      <c r="Q1243">
        <v>0.18373429999999999</v>
      </c>
      <c r="R1243">
        <v>-0.9571634</v>
      </c>
      <c r="S1243">
        <v>-1.495773</v>
      </c>
      <c r="T1243">
        <v>-0.1139269</v>
      </c>
      <c r="U1243">
        <v>-2.8101500000000001</v>
      </c>
      <c r="V1243">
        <v>0.16072620000000001</v>
      </c>
      <c r="W1243">
        <v>0.19561870000000001</v>
      </c>
      <c r="X1243">
        <v>0.96741940000000004</v>
      </c>
      <c r="Y1243">
        <v>0.40932180000000001</v>
      </c>
      <c r="Z1243">
        <v>2.2761750000000001E-2</v>
      </c>
      <c r="AA1243">
        <v>0.91210610000000003</v>
      </c>
      <c r="AB1243">
        <v>29</v>
      </c>
      <c r="AC1243">
        <v>-13.6036</v>
      </c>
      <c r="AD1243">
        <v>-1.03772875999999</v>
      </c>
      <c r="AE1243">
        <v>-25.308699999999899</v>
      </c>
      <c r="AF1243">
        <v>11.859324919596601</v>
      </c>
      <c r="AG1243">
        <v>-1.03772875999999</v>
      </c>
      <c r="AH1243">
        <v>26.130347984913701</v>
      </c>
      <c r="AI1243">
        <v>92.071102731122295</v>
      </c>
      <c r="AJ1243">
        <v>65.588956545785805</v>
      </c>
      <c r="AK1243">
        <v>28.714378877847601</v>
      </c>
      <c r="AL1243">
        <v>78.719130746074896</v>
      </c>
      <c r="AM1243">
        <v>80.567090027549398</v>
      </c>
      <c r="AN1243">
        <v>0.99999994132624304</v>
      </c>
    </row>
    <row r="1244" spans="1:40" x14ac:dyDescent="0.25">
      <c r="A1244" t="str">
        <f>"20190303171002818"</f>
        <v>20190303171002818</v>
      </c>
      <c r="B1244" t="str">
        <f>"1551604202802119"</f>
        <v>1551604202802119</v>
      </c>
      <c r="C1244" t="s">
        <v>40</v>
      </c>
      <c r="D1244">
        <v>4.8167689999999999</v>
      </c>
      <c r="E1244">
        <v>0.61151309999999903</v>
      </c>
      <c r="F1244" t="s">
        <v>52</v>
      </c>
      <c r="G1244">
        <v>-205.7105</v>
      </c>
      <c r="H1244">
        <v>8.0001240000000001E-2</v>
      </c>
      <c r="I1244">
        <v>278.56939999999997</v>
      </c>
      <c r="J1244">
        <v>-192.08840000000001</v>
      </c>
      <c r="K1244">
        <v>1.1175379999999999</v>
      </c>
      <c r="L1244">
        <v>303.61709999999999</v>
      </c>
      <c r="M1244">
        <v>-7.2450169999999994E-2</v>
      </c>
      <c r="N1244">
        <v>-1.368338E-2</v>
      </c>
      <c r="O1244">
        <v>-0.99727840000000001</v>
      </c>
      <c r="P1244">
        <v>-0.227933</v>
      </c>
      <c r="Q1244">
        <v>0.18335029999999999</v>
      </c>
      <c r="R1244">
        <v>-0.95625819999999995</v>
      </c>
      <c r="S1244">
        <v>-1.5082089999999999</v>
      </c>
      <c r="T1244">
        <v>-0.1146634</v>
      </c>
      <c r="U1244">
        <v>-2.8036500000000002</v>
      </c>
      <c r="V1244">
        <v>0.15980529999999901</v>
      </c>
      <c r="W1244">
        <v>0.19518279999999999</v>
      </c>
      <c r="X1244">
        <v>0.96765999999999996</v>
      </c>
      <c r="Y1244">
        <v>0.4084371</v>
      </c>
      <c r="Z1244">
        <v>2.302676E-2</v>
      </c>
      <c r="AA1244">
        <v>0.91249599999999997</v>
      </c>
      <c r="AB1244">
        <v>29</v>
      </c>
      <c r="AC1244">
        <v>-13.6220999999999</v>
      </c>
      <c r="AD1244">
        <v>-1.0375367599999901</v>
      </c>
      <c r="AE1244">
        <v>-25.047699999999999</v>
      </c>
      <c r="AF1244">
        <v>11.755848527505901</v>
      </c>
      <c r="AG1244">
        <v>-1.0375367599999901</v>
      </c>
      <c r="AH1244">
        <v>25.934537066267598</v>
      </c>
      <c r="AI1244">
        <v>92.086782154801099</v>
      </c>
      <c r="AJ1244">
        <v>65.615721071059696</v>
      </c>
      <c r="AK1244">
        <v>28.493449597611399</v>
      </c>
      <c r="AL1244">
        <v>78.744597174466506</v>
      </c>
      <c r="AM1244">
        <v>80.622464605742806</v>
      </c>
      <c r="AN1244">
        <v>0.99999996746196396</v>
      </c>
    </row>
    <row r="1245" spans="1:40" x14ac:dyDescent="0.25">
      <c r="A1245" t="str">
        <f>"20190303171002837"</f>
        <v>20190303171002837</v>
      </c>
      <c r="B1245" t="str">
        <f>"1551604202831906"</f>
        <v>1551604202831906</v>
      </c>
      <c r="C1245" t="s">
        <v>40</v>
      </c>
      <c r="D1245">
        <v>4.8339359999999996</v>
      </c>
      <c r="E1245">
        <v>0.61184539999999998</v>
      </c>
      <c r="F1245" t="s">
        <v>52</v>
      </c>
      <c r="G1245">
        <v>-205.8734</v>
      </c>
      <c r="H1245">
        <v>8.0001180000000005E-2</v>
      </c>
      <c r="I1245">
        <v>278.29719999999998</v>
      </c>
      <c r="J1245">
        <v>-192.11320000000001</v>
      </c>
      <c r="K1245">
        <v>1.1173569999999999</v>
      </c>
      <c r="L1245">
        <v>303.34469999999999</v>
      </c>
      <c r="M1245">
        <v>-7.720581E-2</v>
      </c>
      <c r="N1245">
        <v>-1.369737E-2</v>
      </c>
      <c r="O1245">
        <v>-0.99692119999999995</v>
      </c>
      <c r="P1245">
        <v>-0.2311222</v>
      </c>
      <c r="Q1245">
        <v>0.1834653</v>
      </c>
      <c r="R1245">
        <v>-0.95547029999999999</v>
      </c>
      <c r="S1245">
        <v>-1.5224150000000001</v>
      </c>
      <c r="T1245">
        <v>-0.1145854</v>
      </c>
      <c r="U1245">
        <v>-2.7963260000000001</v>
      </c>
      <c r="V1245">
        <v>0.15850529999999999</v>
      </c>
      <c r="W1245">
        <v>0.19525529999999999</v>
      </c>
      <c r="X1245">
        <v>0.96785920000000003</v>
      </c>
      <c r="Y1245">
        <v>0.40866390000000002</v>
      </c>
      <c r="Z1245">
        <v>2.3027599999999999E-2</v>
      </c>
      <c r="AA1245">
        <v>0.91239440000000005</v>
      </c>
      <c r="AB1245">
        <v>29</v>
      </c>
      <c r="AC1245">
        <v>-13.7601999999999</v>
      </c>
      <c r="AD1245">
        <v>-1.0373558199999999</v>
      </c>
      <c r="AE1245">
        <v>-25.047499999999999</v>
      </c>
      <c r="AF1245">
        <v>11.7696191958026</v>
      </c>
      <c r="AG1245">
        <v>-1.0373558199999999</v>
      </c>
      <c r="AH1245">
        <v>26.0009318341185</v>
      </c>
      <c r="AI1245">
        <v>92.081586208524797</v>
      </c>
      <c r="AJ1245">
        <v>65.645570940442894</v>
      </c>
      <c r="AK1245">
        <v>28.559560559538902</v>
      </c>
      <c r="AL1245">
        <v>78.740362072239293</v>
      </c>
      <c r="AM1245">
        <v>80.699292158592002</v>
      </c>
      <c r="AN1245">
        <v>0.99999999666540995</v>
      </c>
    </row>
    <row r="1246" spans="1:40" x14ac:dyDescent="0.25">
      <c r="A1246" t="str">
        <f>"20190303171002857"</f>
        <v>20190303171002857</v>
      </c>
      <c r="B1246" t="str">
        <f>"1551604202851425"</f>
        <v>1551604202851425</v>
      </c>
      <c r="C1246" t="s">
        <v>40</v>
      </c>
      <c r="D1246">
        <v>4.8827179999999997</v>
      </c>
      <c r="E1246">
        <v>0.61751149999999999</v>
      </c>
      <c r="F1246" t="s">
        <v>52</v>
      </c>
      <c r="G1246">
        <v>-206.4975</v>
      </c>
      <c r="H1246">
        <v>8.0001000000000003E-2</v>
      </c>
      <c r="I1246">
        <v>277.23219999999998</v>
      </c>
      <c r="J1246">
        <v>-192.1378</v>
      </c>
      <c r="K1246">
        <v>1.117192</v>
      </c>
      <c r="L1246">
        <v>303.08870000000002</v>
      </c>
      <c r="M1246">
        <v>-8.1857750000000007E-2</v>
      </c>
      <c r="N1246">
        <v>-1.3711559999999999E-2</v>
      </c>
      <c r="O1246">
        <v>-0.99654989999999999</v>
      </c>
      <c r="P1246">
        <v>-0.23456440000000001</v>
      </c>
      <c r="Q1246">
        <v>0.18432589999999999</v>
      </c>
      <c r="R1246">
        <v>-0.95446540000000002</v>
      </c>
      <c r="S1246">
        <v>-1.5365599999999999</v>
      </c>
      <c r="T1246">
        <v>-0.1108117</v>
      </c>
      <c r="U1246">
        <v>-2.7893680000000001</v>
      </c>
      <c r="V1246">
        <v>0.15757399999999999</v>
      </c>
      <c r="W1246">
        <v>0.196076</v>
      </c>
      <c r="X1246">
        <v>0.96784539999999997</v>
      </c>
      <c r="Y1246">
        <v>0.40893259999999998</v>
      </c>
      <c r="Z1246">
        <v>2.1847519999999999E-2</v>
      </c>
      <c r="AA1246">
        <v>0.91230299999999998</v>
      </c>
      <c r="AB1246">
        <v>29</v>
      </c>
      <c r="AC1246">
        <v>-14.3597</v>
      </c>
      <c r="AD1246">
        <v>-1.037191</v>
      </c>
      <c r="AE1246">
        <v>-25.8565</v>
      </c>
      <c r="AF1246">
        <v>12.1797681592645</v>
      </c>
      <c r="AG1246">
        <v>-1.037191</v>
      </c>
      <c r="AH1246">
        <v>26.912176722880901</v>
      </c>
      <c r="AI1246">
        <v>92.010908950309101</v>
      </c>
      <c r="AJ1246">
        <v>65.649699458147893</v>
      </c>
      <c r="AK1246">
        <v>29.5582099178466</v>
      </c>
      <c r="AL1246">
        <v>78.692413098116106</v>
      </c>
      <c r="AM1246">
        <v>80.752862323367694</v>
      </c>
      <c r="AN1246">
        <v>1.0000000407765699</v>
      </c>
    </row>
    <row r="1247" spans="1:40" x14ac:dyDescent="0.25">
      <c r="A1247" t="str">
        <f>"20190303171002881"</f>
        <v>20190303171002881</v>
      </c>
      <c r="B1247" t="str">
        <f>"1551604202871921"</f>
        <v>1551604202871921</v>
      </c>
      <c r="C1247" t="s">
        <v>40</v>
      </c>
      <c r="D1247">
        <v>4.8605199999999904</v>
      </c>
      <c r="E1247">
        <v>0.61748249999999905</v>
      </c>
      <c r="F1247" t="s">
        <v>52</v>
      </c>
      <c r="G1247">
        <v>-207.9495</v>
      </c>
      <c r="H1247">
        <v>8.0000849999999998E-2</v>
      </c>
      <c r="I1247">
        <v>275.53800000000001</v>
      </c>
      <c r="J1247">
        <v>-192.1696</v>
      </c>
      <c r="K1247">
        <v>1.117</v>
      </c>
      <c r="L1247">
        <v>302.77910000000003</v>
      </c>
      <c r="M1247">
        <v>-8.7756829999999994E-2</v>
      </c>
      <c r="N1247">
        <v>-1.3727919999999999E-2</v>
      </c>
      <c r="O1247">
        <v>-0.99604729999999997</v>
      </c>
      <c r="P1247">
        <v>-0.23986360000000001</v>
      </c>
      <c r="Q1247">
        <v>0.18507319999999999</v>
      </c>
      <c r="R1247">
        <v>-0.95300209999999996</v>
      </c>
      <c r="S1247">
        <v>-1.5910489999999999</v>
      </c>
      <c r="T1247">
        <v>-0.1043673</v>
      </c>
      <c r="U1247">
        <v>-2.772278</v>
      </c>
      <c r="V1247">
        <v>0.15733150000000001</v>
      </c>
      <c r="W1247">
        <v>0.196768</v>
      </c>
      <c r="X1247">
        <v>0.96774439999999995</v>
      </c>
      <c r="Y1247">
        <v>0.41950229999999999</v>
      </c>
      <c r="Z1247">
        <v>1.973302E-2</v>
      </c>
      <c r="AA1247">
        <v>0.90753980000000001</v>
      </c>
      <c r="AB1247">
        <v>29</v>
      </c>
      <c r="AC1247">
        <v>-15.7798999999999</v>
      </c>
      <c r="AD1247">
        <v>-1.03699915</v>
      </c>
      <c r="AE1247">
        <v>-27.241099999999999</v>
      </c>
      <c r="AF1247">
        <v>13.3137445655502</v>
      </c>
      <c r="AG1247">
        <v>-1.03699915</v>
      </c>
      <c r="AH1247">
        <v>28.489993678311102</v>
      </c>
      <c r="AI1247">
        <v>91.888685729075902</v>
      </c>
      <c r="AJ1247">
        <v>64.952704177205703</v>
      </c>
      <c r="AK1247">
        <v>31.464438678991598</v>
      </c>
      <c r="AL1247">
        <v>78.651976632379402</v>
      </c>
      <c r="AM1247">
        <v>80.765900978780195</v>
      </c>
      <c r="AN1247">
        <v>1.0000000352238001</v>
      </c>
    </row>
    <row r="1248" spans="1:40" x14ac:dyDescent="0.25">
      <c r="A1248" t="str">
        <f>"20190303171002903"</f>
        <v>20190303171002903</v>
      </c>
      <c r="B1248" t="str">
        <f>"1551604202891440"</f>
        <v>1551604202891440</v>
      </c>
      <c r="C1248" t="s">
        <v>40</v>
      </c>
      <c r="D1248">
        <v>4.91439</v>
      </c>
      <c r="E1248">
        <v>0.61754980000000004</v>
      </c>
      <c r="F1248" t="s">
        <v>41</v>
      </c>
      <c r="G1248">
        <v>-210.6319</v>
      </c>
      <c r="H1248">
        <v>-0.05</v>
      </c>
      <c r="I1248">
        <v>270.99220000000003</v>
      </c>
      <c r="J1248">
        <v>-192.19980000000001</v>
      </c>
      <c r="K1248">
        <v>1.1168260000000001</v>
      </c>
      <c r="L1248">
        <v>302.50209999999998</v>
      </c>
      <c r="M1248">
        <v>-9.3283389999999994E-2</v>
      </c>
      <c r="N1248">
        <v>-1.3743500000000001E-2</v>
      </c>
      <c r="O1248">
        <v>-0.99554489999999995</v>
      </c>
      <c r="P1248">
        <v>-0.2447859</v>
      </c>
      <c r="Q1248">
        <v>0.18471850000000001</v>
      </c>
      <c r="R1248">
        <v>-0.95181919999999998</v>
      </c>
      <c r="S1248">
        <v>-1.605148</v>
      </c>
      <c r="T1248">
        <v>-0.1014612</v>
      </c>
      <c r="U1248">
        <v>-2.763611</v>
      </c>
      <c r="V1248">
        <v>0.15703420000000001</v>
      </c>
      <c r="W1248">
        <v>0.19636819999999999</v>
      </c>
      <c r="X1248">
        <v>0.96787389999999995</v>
      </c>
      <c r="Y1248">
        <v>0.41917320000000002</v>
      </c>
      <c r="Z1248">
        <v>1.88457E-2</v>
      </c>
      <c r="AA1248">
        <v>0.90771069999999998</v>
      </c>
      <c r="AB1248">
        <v>29</v>
      </c>
      <c r="AC1248">
        <v>-18.432099999999899</v>
      </c>
      <c r="AD1248">
        <v>-1.1668259999999999</v>
      </c>
      <c r="AE1248">
        <v>-31.509899999999899</v>
      </c>
      <c r="AF1248">
        <v>15.3963561219686</v>
      </c>
      <c r="AG1248">
        <v>-1.1668259999999999</v>
      </c>
      <c r="AH1248">
        <v>33.058274728195698</v>
      </c>
      <c r="AI1248">
        <v>91.832616274998401</v>
      </c>
      <c r="AJ1248">
        <v>65.027012775531901</v>
      </c>
      <c r="AK1248">
        <v>36.4864192920273</v>
      </c>
      <c r="AL1248">
        <v>78.675339433647693</v>
      </c>
      <c r="AM1248">
        <v>80.784262406924</v>
      </c>
      <c r="AN1248">
        <v>1.00000004812104</v>
      </c>
    </row>
    <row r="1249" spans="1:40" x14ac:dyDescent="0.25">
      <c r="A1249" t="str">
        <f>"20190303171002926"</f>
        <v>20190303171002926</v>
      </c>
      <c r="B1249" t="str">
        <f>"1551604202911936"</f>
        <v>1551604202911936</v>
      </c>
      <c r="C1249" t="s">
        <v>40</v>
      </c>
      <c r="D1249">
        <v>4.9273959999999999</v>
      </c>
      <c r="E1249">
        <v>0.61778159999999904</v>
      </c>
      <c r="F1249" t="s">
        <v>52</v>
      </c>
      <c r="G1249">
        <v>-207.9402</v>
      </c>
      <c r="H1249">
        <v>8.0000829999999995E-2</v>
      </c>
      <c r="I1249">
        <v>275.72039999999998</v>
      </c>
      <c r="J1249">
        <v>-192.23390000000001</v>
      </c>
      <c r="K1249">
        <v>1.116635</v>
      </c>
      <c r="L1249">
        <v>302.20819999999998</v>
      </c>
      <c r="M1249">
        <v>-9.9419080000000007E-2</v>
      </c>
      <c r="N1249">
        <v>-1.37626E-2</v>
      </c>
      <c r="O1249">
        <v>-0.99495060000000002</v>
      </c>
      <c r="P1249">
        <v>-0.24950310000000001</v>
      </c>
      <c r="Q1249">
        <v>0.1831441</v>
      </c>
      <c r="R1249">
        <v>-0.95089789999999996</v>
      </c>
      <c r="S1249">
        <v>-1.6197809999999999</v>
      </c>
      <c r="T1249">
        <v>-0.1066961</v>
      </c>
      <c r="U1249">
        <v>-2.7560120000000001</v>
      </c>
      <c r="V1249">
        <v>0.155909299999999</v>
      </c>
      <c r="W1249">
        <v>0.19475819999999999</v>
      </c>
      <c r="X1249">
        <v>0.96838089999999999</v>
      </c>
      <c r="Y1249">
        <v>0.41823189999999999</v>
      </c>
      <c r="Z1249">
        <v>2.053015E-2</v>
      </c>
      <c r="AA1249">
        <v>0.90810820000000003</v>
      </c>
      <c r="AB1249">
        <v>29</v>
      </c>
      <c r="AC1249">
        <v>-15.706300000000001</v>
      </c>
      <c r="AD1249">
        <v>-1.0366341699999999</v>
      </c>
      <c r="AE1249">
        <v>-26.4878</v>
      </c>
      <c r="AF1249">
        <v>12.9801197844375</v>
      </c>
      <c r="AG1249">
        <v>-1.0366341699999999</v>
      </c>
      <c r="AH1249">
        <v>27.886597602838599</v>
      </c>
      <c r="AI1249">
        <v>91.930210935833102</v>
      </c>
      <c r="AJ1249">
        <v>65.039865137605602</v>
      </c>
      <c r="AK1249">
        <v>30.776946662776702</v>
      </c>
      <c r="AL1249">
        <v>78.769401532799804</v>
      </c>
      <c r="AM1249">
        <v>80.853867627273502</v>
      </c>
      <c r="AN1249">
        <v>1.00000001688926</v>
      </c>
    </row>
    <row r="1250" spans="1:40" x14ac:dyDescent="0.25">
      <c r="A1250" t="str">
        <f>"20190303171002946"</f>
        <v>20190303171002946</v>
      </c>
      <c r="B1250" t="str">
        <f>"1551604202931963"</f>
        <v>1551604202931963</v>
      </c>
      <c r="C1250" t="s">
        <v>40</v>
      </c>
      <c r="D1250">
        <v>4.9298739999999999</v>
      </c>
      <c r="E1250">
        <v>0.61803209999999997</v>
      </c>
      <c r="F1250" t="s">
        <v>52</v>
      </c>
      <c r="G1250">
        <v>-207.5359</v>
      </c>
      <c r="H1250">
        <v>8.0000799999999997E-2</v>
      </c>
      <c r="I1250">
        <v>276.53980000000001</v>
      </c>
      <c r="J1250">
        <v>-192.267</v>
      </c>
      <c r="K1250">
        <v>1.116431</v>
      </c>
      <c r="L1250">
        <v>301.93759999999997</v>
      </c>
      <c r="M1250">
        <v>-0.10533389999999999</v>
      </c>
      <c r="N1250">
        <v>-1.3782610000000001E-2</v>
      </c>
      <c r="O1250">
        <v>-0.99434140000000004</v>
      </c>
      <c r="P1250">
        <v>-0.25406889999999999</v>
      </c>
      <c r="Q1250">
        <v>0.18226999999999999</v>
      </c>
      <c r="R1250">
        <v>-0.94985600000000003</v>
      </c>
      <c r="S1250">
        <v>-1.637405</v>
      </c>
      <c r="T1250">
        <v>-0.110926</v>
      </c>
      <c r="U1250">
        <v>-2.7466740000000001</v>
      </c>
      <c r="V1250">
        <v>0.1548659</v>
      </c>
      <c r="W1250">
        <v>0.1938465</v>
      </c>
      <c r="X1250">
        <v>0.96873120000000001</v>
      </c>
      <c r="Y1250">
        <v>0.41847099999999998</v>
      </c>
      <c r="Z1250">
        <v>2.1894799999999999E-2</v>
      </c>
      <c r="AA1250">
        <v>0.90796619999999995</v>
      </c>
      <c r="AB1250">
        <v>29</v>
      </c>
      <c r="AC1250">
        <v>-15.2689</v>
      </c>
      <c r="AD1250">
        <v>-1.0364302000000001</v>
      </c>
      <c r="AE1250">
        <v>-25.397799999999901</v>
      </c>
      <c r="AF1250">
        <v>12.493156654577801</v>
      </c>
      <c r="AG1250">
        <v>-1.0364302000000001</v>
      </c>
      <c r="AH1250">
        <v>26.8321476798437</v>
      </c>
      <c r="AI1250">
        <v>92.005499408450703</v>
      </c>
      <c r="AJ1250">
        <v>65.033122366734005</v>
      </c>
      <c r="AK1250">
        <v>29.616166191258401</v>
      </c>
      <c r="AL1250">
        <v>78.822653072877202</v>
      </c>
      <c r="AM1250">
        <v>80.917283164350096</v>
      </c>
      <c r="AN1250">
        <v>1.00000002519924</v>
      </c>
    </row>
    <row r="1251" spans="1:40" x14ac:dyDescent="0.25">
      <c r="A1251" t="str">
        <f>"20190303171002970"</f>
        <v>20190303171002970</v>
      </c>
      <c r="B1251" t="str">
        <f>"1551604202962219"</f>
        <v>1551604202962219</v>
      </c>
      <c r="C1251" t="s">
        <v>40</v>
      </c>
      <c r="D1251">
        <v>4.923146</v>
      </c>
      <c r="E1251">
        <v>0.61865389999999998</v>
      </c>
      <c r="F1251" t="s">
        <v>52</v>
      </c>
      <c r="G1251">
        <v>-207.43520000000001</v>
      </c>
      <c r="H1251">
        <v>8.0000769999999999E-2</v>
      </c>
      <c r="I1251">
        <v>276.8399</v>
      </c>
      <c r="J1251">
        <v>-192.30629999999999</v>
      </c>
      <c r="K1251">
        <v>1.1161829999999999</v>
      </c>
      <c r="L1251">
        <v>301.63600000000002</v>
      </c>
      <c r="M1251">
        <v>-0.1122484</v>
      </c>
      <c r="N1251">
        <v>-1.380814E-2</v>
      </c>
      <c r="O1251">
        <v>-0.99358429999999998</v>
      </c>
      <c r="P1251">
        <v>-0.26010179999999999</v>
      </c>
      <c r="Q1251">
        <v>0.18178420000000001</v>
      </c>
      <c r="R1251">
        <v>-0.94831520000000002</v>
      </c>
      <c r="S1251">
        <v>-1.65448</v>
      </c>
      <c r="T1251">
        <v>-0.11304930000000001</v>
      </c>
      <c r="U1251">
        <v>-2.737549</v>
      </c>
      <c r="V1251">
        <v>0.15438199999999999</v>
      </c>
      <c r="W1251">
        <v>0.1933039</v>
      </c>
      <c r="X1251">
        <v>0.96891680000000002</v>
      </c>
      <c r="Y1251">
        <v>0.41763309999999998</v>
      </c>
      <c r="Z1251">
        <v>2.2589419999999999E-2</v>
      </c>
      <c r="AA1251">
        <v>0.90833489999999995</v>
      </c>
      <c r="AB1251">
        <v>29</v>
      </c>
      <c r="AC1251">
        <v>-15.1289</v>
      </c>
      <c r="AD1251">
        <v>-1.0361822300000001</v>
      </c>
      <c r="AE1251">
        <v>-24.7960999999999</v>
      </c>
      <c r="AF1251">
        <v>12.2341137197799</v>
      </c>
      <c r="AG1251">
        <v>-1.0361822300000001</v>
      </c>
      <c r="AH1251">
        <v>26.3042467406373</v>
      </c>
      <c r="AI1251">
        <v>92.045618746913206</v>
      </c>
      <c r="AJ1251">
        <v>65.056846241762202</v>
      </c>
      <c r="AK1251">
        <v>29.028617065141201</v>
      </c>
      <c r="AL1251">
        <v>78.854340646070398</v>
      </c>
      <c r="AM1251">
        <v>80.946898230285399</v>
      </c>
      <c r="AN1251">
        <v>0.99999998250072497</v>
      </c>
    </row>
    <row r="1252" spans="1:40" x14ac:dyDescent="0.25">
      <c r="A1252" t="str">
        <f>"20190303171002995"</f>
        <v>20190303171002995</v>
      </c>
      <c r="B1252" t="str">
        <f>"1551604202981739"</f>
        <v>1551604202981739</v>
      </c>
      <c r="C1252" t="s">
        <v>40</v>
      </c>
      <c r="D1252">
        <v>4.9404969999999997</v>
      </c>
      <c r="E1252">
        <v>0.61882409999999999</v>
      </c>
      <c r="F1252" t="s">
        <v>52</v>
      </c>
      <c r="G1252">
        <v>-207.11799999999999</v>
      </c>
      <c r="H1252">
        <v>8.0000879999999996E-2</v>
      </c>
      <c r="I1252">
        <v>277.55270000000002</v>
      </c>
      <c r="J1252">
        <v>-192.35130000000001</v>
      </c>
      <c r="K1252">
        <v>1.1159030000000001</v>
      </c>
      <c r="L1252">
        <v>301.31110000000001</v>
      </c>
      <c r="M1252">
        <v>-0.1200987</v>
      </c>
      <c r="N1252">
        <v>-1.383961E-2</v>
      </c>
      <c r="O1252">
        <v>-0.99266549999999998</v>
      </c>
      <c r="P1252">
        <v>-0.2677678</v>
      </c>
      <c r="Q1252">
        <v>0.1815775</v>
      </c>
      <c r="R1252">
        <v>-0.94621880000000003</v>
      </c>
      <c r="S1252">
        <v>-1.676666</v>
      </c>
      <c r="T1252">
        <v>-0.11729439999999999</v>
      </c>
      <c r="U1252">
        <v>-2.7261959999999998</v>
      </c>
      <c r="V1252">
        <v>0.15469260000000001</v>
      </c>
      <c r="W1252">
        <v>0.19301750000000001</v>
      </c>
      <c r="X1252">
        <v>0.96892429999999996</v>
      </c>
      <c r="Y1252">
        <v>0.41748679999999999</v>
      </c>
      <c r="Z1252">
        <v>2.395193E-2</v>
      </c>
      <c r="AA1252">
        <v>0.90836729999999999</v>
      </c>
      <c r="AB1252">
        <v>29</v>
      </c>
      <c r="AC1252">
        <v>-14.766699999999901</v>
      </c>
      <c r="AD1252">
        <v>-1.03590212</v>
      </c>
      <c r="AE1252">
        <v>-23.758399999999899</v>
      </c>
      <c r="AF1252">
        <v>11.7900031754748</v>
      </c>
      <c r="AG1252">
        <v>-1.03590212</v>
      </c>
      <c r="AH1252">
        <v>25.325304436895401</v>
      </c>
      <c r="AI1252">
        <v>92.123687797863695</v>
      </c>
      <c r="AJ1252">
        <v>65.036025127944697</v>
      </c>
      <c r="AK1252">
        <v>27.954397022675401</v>
      </c>
      <c r="AL1252">
        <v>78.871064507312099</v>
      </c>
      <c r="AM1252">
        <v>80.929055943896699</v>
      </c>
      <c r="AN1252">
        <v>0.99999992746574695</v>
      </c>
    </row>
    <row r="1253" spans="1:40" x14ac:dyDescent="0.25">
      <c r="A1253" t="str">
        <f>"20190303171003019"</f>
        <v>20190303171003019</v>
      </c>
      <c r="B1253" t="str">
        <f>"1551604203011995"</f>
        <v>1551604203011995</v>
      </c>
      <c r="C1253" t="s">
        <v>40</v>
      </c>
      <c r="D1253">
        <v>4.981223</v>
      </c>
      <c r="E1253">
        <v>0.6221641</v>
      </c>
      <c r="F1253" t="s">
        <v>52</v>
      </c>
      <c r="G1253">
        <v>-207.15110000000001</v>
      </c>
      <c r="H1253">
        <v>8.0000870000000002E-2</v>
      </c>
      <c r="I1253">
        <v>277.68880000000001</v>
      </c>
      <c r="J1253">
        <v>-192.3938</v>
      </c>
      <c r="K1253">
        <v>1.1156299999999999</v>
      </c>
      <c r="L1253">
        <v>301.02390000000003</v>
      </c>
      <c r="M1253">
        <v>-0.1274537</v>
      </c>
      <c r="N1253">
        <v>-1.3871959999999999E-2</v>
      </c>
      <c r="O1253">
        <v>-0.99174739999999995</v>
      </c>
      <c r="P1253">
        <v>-0.27444390000000002</v>
      </c>
      <c r="Q1253">
        <v>0.1819038</v>
      </c>
      <c r="R1253">
        <v>-0.94424140000000001</v>
      </c>
      <c r="S1253">
        <v>-1.699371</v>
      </c>
      <c r="T1253">
        <v>-0.11894639999999999</v>
      </c>
      <c r="U1253">
        <v>-2.712402</v>
      </c>
      <c r="V1253">
        <v>0.1544942</v>
      </c>
      <c r="W1253">
        <v>0.19327620000000001</v>
      </c>
      <c r="X1253">
        <v>0.9689044</v>
      </c>
      <c r="Y1253">
        <v>0.41828179999999998</v>
      </c>
      <c r="Z1253">
        <v>2.450654E-2</v>
      </c>
      <c r="AA1253">
        <v>0.90798659999999998</v>
      </c>
      <c r="AB1253">
        <v>29</v>
      </c>
      <c r="AC1253">
        <v>-14.757300000000001</v>
      </c>
      <c r="AD1253">
        <v>-1.03562912999999</v>
      </c>
      <c r="AE1253">
        <v>-23.335100000000001</v>
      </c>
      <c r="AF1253">
        <v>11.646106973249699</v>
      </c>
      <c r="AG1253">
        <v>-1.03562912999999</v>
      </c>
      <c r="AH1253">
        <v>24.990647266355399</v>
      </c>
      <c r="AI1253">
        <v>92.151141807665795</v>
      </c>
      <c r="AJ1253">
        <v>65.013604294562398</v>
      </c>
      <c r="AK1253">
        <v>27.590519859521901</v>
      </c>
      <c r="AL1253">
        <v>78.855957785369</v>
      </c>
      <c r="AM1253">
        <v>80.940313778958</v>
      </c>
      <c r="AN1253">
        <v>0.99999994182971796</v>
      </c>
    </row>
    <row r="1254" spans="1:40" x14ac:dyDescent="0.25">
      <c r="A1254" t="str">
        <f>"20190303171003036"</f>
        <v>20190303171003036</v>
      </c>
      <c r="B1254" t="str">
        <f>"1551604203022261"</f>
        <v>1551604203022261</v>
      </c>
      <c r="C1254" t="s">
        <v>40</v>
      </c>
      <c r="D1254">
        <v>5.0005169999999897</v>
      </c>
      <c r="E1254">
        <v>0.62253709999999995</v>
      </c>
      <c r="F1254" t="s">
        <v>52</v>
      </c>
      <c r="G1254">
        <v>-206.8212</v>
      </c>
      <c r="H1254">
        <v>8.0001000000000003E-2</v>
      </c>
      <c r="I1254">
        <v>278.76179999999999</v>
      </c>
      <c r="J1254">
        <v>-192.4331</v>
      </c>
      <c r="K1254">
        <v>1.1153789999999999</v>
      </c>
      <c r="L1254">
        <v>300.77289999999999</v>
      </c>
      <c r="M1254">
        <v>-0.13421040000000001</v>
      </c>
      <c r="N1254">
        <v>-1.390366E-2</v>
      </c>
      <c r="O1254">
        <v>-0.99085529999999999</v>
      </c>
      <c r="P1254">
        <v>-0.2806382</v>
      </c>
      <c r="Q1254">
        <v>0.1815766</v>
      </c>
      <c r="R1254">
        <v>-0.94248189999999998</v>
      </c>
      <c r="S1254">
        <v>-1.74581899999999</v>
      </c>
      <c r="T1254">
        <v>-0.12531900000000001</v>
      </c>
      <c r="U1254">
        <v>-2.6938780000000002</v>
      </c>
      <c r="V1254">
        <v>0.15435860000000001</v>
      </c>
      <c r="W1254">
        <v>0.19288930000000001</v>
      </c>
      <c r="X1254">
        <v>0.96900310000000001</v>
      </c>
      <c r="Y1254">
        <v>0.42595670000000002</v>
      </c>
      <c r="Z1254">
        <v>2.647451E-2</v>
      </c>
      <c r="AA1254">
        <v>0.9043561</v>
      </c>
      <c r="AB1254">
        <v>29</v>
      </c>
      <c r="AC1254">
        <v>-14.3881</v>
      </c>
      <c r="AD1254">
        <v>-1.0353779999999999</v>
      </c>
      <c r="AE1254">
        <v>-22.011099999999999</v>
      </c>
      <c r="AF1254">
        <v>11.286003250623899</v>
      </c>
      <c r="AG1254">
        <v>-1.0353779999999999</v>
      </c>
      <c r="AH1254">
        <v>23.706392294009699</v>
      </c>
      <c r="AI1254">
        <v>92.258246696249699</v>
      </c>
      <c r="AJ1254">
        <v>64.542082905879198</v>
      </c>
      <c r="AK1254">
        <v>26.2762043030088</v>
      </c>
      <c r="AL1254">
        <v>78.878550573664796</v>
      </c>
      <c r="AM1254">
        <v>80.949040517055394</v>
      </c>
      <c r="AN1254">
        <v>0.99999993362902695</v>
      </c>
    </row>
    <row r="1255" spans="1:40" x14ac:dyDescent="0.25">
      <c r="A1255" t="str">
        <f>"20190303171003060"</f>
        <v>20190303171003060</v>
      </c>
      <c r="B1255" t="str">
        <f>"1551604203051542"</f>
        <v>1551604203051542</v>
      </c>
      <c r="C1255" t="s">
        <v>40</v>
      </c>
      <c r="D1255">
        <v>4.9936860000000003</v>
      </c>
      <c r="E1255">
        <v>0.62345890000000004</v>
      </c>
      <c r="F1255" t="s">
        <v>52</v>
      </c>
      <c r="G1255">
        <v>-207.191</v>
      </c>
      <c r="H1255">
        <v>8.0000899999999903E-2</v>
      </c>
      <c r="I1255">
        <v>278.40820000000002</v>
      </c>
      <c r="J1255">
        <v>-192.48150000000001</v>
      </c>
      <c r="K1255">
        <v>1.115097</v>
      </c>
      <c r="L1255">
        <v>300.48090000000002</v>
      </c>
      <c r="M1255">
        <v>-0.14242750000000001</v>
      </c>
      <c r="N1255">
        <v>-1.394372E-2</v>
      </c>
      <c r="O1255">
        <v>-0.98970720000000001</v>
      </c>
      <c r="P1255">
        <v>-0.28929959999999999</v>
      </c>
      <c r="Q1255">
        <v>0.18200050000000001</v>
      </c>
      <c r="R1255">
        <v>-0.93977770000000005</v>
      </c>
      <c r="S1255">
        <v>-1.768707</v>
      </c>
      <c r="T1255">
        <v>-0.12408760000000001</v>
      </c>
      <c r="U1255">
        <v>-2.6803590000000002</v>
      </c>
      <c r="V1255">
        <v>0.15538660000000001</v>
      </c>
      <c r="W1255">
        <v>0.19323129999999999</v>
      </c>
      <c r="X1255">
        <v>0.96877069999999998</v>
      </c>
      <c r="Y1255">
        <v>0.42593609999999998</v>
      </c>
      <c r="Z1255">
        <v>2.6098389999999999E-2</v>
      </c>
      <c r="AA1255">
        <v>0.90437670000000003</v>
      </c>
      <c r="AB1255">
        <v>29</v>
      </c>
      <c r="AC1255">
        <v>-14.709499999999901</v>
      </c>
      <c r="AD1255">
        <v>-1.0350960999999901</v>
      </c>
      <c r="AE1255">
        <v>-22.072700000000001</v>
      </c>
      <c r="AF1255">
        <v>11.3980889348621</v>
      </c>
      <c r="AG1255">
        <v>-1.0350960999999901</v>
      </c>
      <c r="AH1255">
        <v>23.9064652589114</v>
      </c>
      <c r="AI1255">
        <v>92.238146197844102</v>
      </c>
      <c r="AJ1255">
        <v>64.509196955542095</v>
      </c>
      <c r="AK1255">
        <v>26.504847414742802</v>
      </c>
      <c r="AL1255">
        <v>78.858580450049303</v>
      </c>
      <c r="AM1255">
        <v>80.887621565377401</v>
      </c>
      <c r="AN1255">
        <v>0.99999999996887001</v>
      </c>
    </row>
    <row r="1256" spans="1:40" x14ac:dyDescent="0.25">
      <c r="A1256" t="str">
        <f>"20190303171003081"</f>
        <v>20190303171003081</v>
      </c>
      <c r="B1256" t="str">
        <f>"1551604203072037"</f>
        <v>1551604203072037</v>
      </c>
      <c r="C1256" t="s">
        <v>40</v>
      </c>
      <c r="D1256">
        <v>5.0053729999999996</v>
      </c>
      <c r="E1256">
        <v>0.62397919999999996</v>
      </c>
      <c r="F1256" t="s">
        <v>52</v>
      </c>
      <c r="G1256">
        <v>-207.82560000000001</v>
      </c>
      <c r="H1256">
        <v>8.0000730000000006E-2</v>
      </c>
      <c r="I1256">
        <v>277.80270000000002</v>
      </c>
      <c r="J1256">
        <v>-192.5301</v>
      </c>
      <c r="K1256">
        <v>1.114835</v>
      </c>
      <c r="L1256">
        <v>300.20339999999999</v>
      </c>
      <c r="M1256">
        <v>-0.15056849999999999</v>
      </c>
      <c r="N1256">
        <v>-1.397985E-2</v>
      </c>
      <c r="O1256">
        <v>-0.98850070000000001</v>
      </c>
      <c r="P1256">
        <v>-0.29872029999999999</v>
      </c>
      <c r="Q1256">
        <v>0.18226829999999999</v>
      </c>
      <c r="R1256">
        <v>-0.93677319999999997</v>
      </c>
      <c r="S1256">
        <v>-1.8007200000000001</v>
      </c>
      <c r="T1256">
        <v>-0.12147429999999999</v>
      </c>
      <c r="U1256">
        <v>-2.6614070000000001</v>
      </c>
      <c r="V1256">
        <v>0.15727379999999999</v>
      </c>
      <c r="W1256">
        <v>0.1934072</v>
      </c>
      <c r="X1256">
        <v>0.96843100000000004</v>
      </c>
      <c r="Y1256">
        <v>0.42895840000000002</v>
      </c>
      <c r="Z1256">
        <v>2.5288700000000001E-2</v>
      </c>
      <c r="AA1256">
        <v>0.90297019999999995</v>
      </c>
      <c r="AB1256">
        <v>29</v>
      </c>
      <c r="AC1256">
        <v>-15.295500000000001</v>
      </c>
      <c r="AD1256">
        <v>-1.0348342699999999</v>
      </c>
      <c r="AE1256">
        <v>-22.400699999999901</v>
      </c>
      <c r="AF1256">
        <v>11.730846673081199</v>
      </c>
      <c r="AG1256">
        <v>-1.0348342699999999</v>
      </c>
      <c r="AH1256">
        <v>24.412984662235701</v>
      </c>
      <c r="AI1256">
        <v>92.188016727988298</v>
      </c>
      <c r="AJ1256">
        <v>64.334938258915997</v>
      </c>
      <c r="AK1256">
        <v>27.1049343432569</v>
      </c>
      <c r="AL1256">
        <v>78.848308320309101</v>
      </c>
      <c r="AM1256">
        <v>80.775661109565505</v>
      </c>
      <c r="AN1256">
        <v>0.99999999746963997</v>
      </c>
    </row>
    <row r="1257" spans="1:40" x14ac:dyDescent="0.25">
      <c r="A1257" t="str">
        <f>"20190303171003106"</f>
        <v>20190303171003106</v>
      </c>
      <c r="B1257" t="str">
        <f>"1551604203091558"</f>
        <v>1551604203091558</v>
      </c>
      <c r="C1257" t="s">
        <v>40</v>
      </c>
      <c r="D1257">
        <v>5.0080519999999904</v>
      </c>
      <c r="E1257">
        <v>0.62417809999999996</v>
      </c>
      <c r="F1257" t="s">
        <v>52</v>
      </c>
      <c r="G1257">
        <v>-208.3175</v>
      </c>
      <c r="H1257">
        <v>8.0000639999999998E-2</v>
      </c>
      <c r="I1257">
        <v>277.42270000000002</v>
      </c>
      <c r="J1257">
        <v>-192.5873</v>
      </c>
      <c r="K1257">
        <v>1.1145590000000001</v>
      </c>
      <c r="L1257">
        <v>299.89499999999998</v>
      </c>
      <c r="M1257">
        <v>-0.160017299999999</v>
      </c>
      <c r="N1257">
        <v>-1.4021199999999999E-2</v>
      </c>
      <c r="O1257">
        <v>-0.98701470000000002</v>
      </c>
      <c r="P1257">
        <v>-0.30957669999999998</v>
      </c>
      <c r="Q1257">
        <v>0.18233089999999999</v>
      </c>
      <c r="R1257">
        <v>-0.93322989999999995</v>
      </c>
      <c r="S1257">
        <v>-1.8309329999999999</v>
      </c>
      <c r="T1257">
        <v>-0.1200142</v>
      </c>
      <c r="U1257">
        <v>-2.6419679999999999</v>
      </c>
      <c r="V1257">
        <v>0.159390899999999</v>
      </c>
      <c r="W1257">
        <v>0.19336890000000001</v>
      </c>
      <c r="X1257">
        <v>0.96809239999999996</v>
      </c>
      <c r="Y1257">
        <v>0.43041410000000002</v>
      </c>
      <c r="Z1257">
        <v>2.4854870000000001E-2</v>
      </c>
      <c r="AA1257">
        <v>0.90228929999999996</v>
      </c>
      <c r="AB1257">
        <v>29</v>
      </c>
      <c r="AC1257">
        <v>-15.7301999999999</v>
      </c>
      <c r="AD1257">
        <v>-1.0345583599999999</v>
      </c>
      <c r="AE1257">
        <v>-22.472299999999901</v>
      </c>
      <c r="AF1257">
        <v>11.914206504319999</v>
      </c>
      <c r="AG1257">
        <v>-1.0345583599999999</v>
      </c>
      <c r="AH1257">
        <v>24.664936234198599</v>
      </c>
      <c r="AI1257">
        <v>92.162975668986206</v>
      </c>
      <c r="AJ1257">
        <v>64.217494185719801</v>
      </c>
      <c r="AK1257">
        <v>27.411269709098001</v>
      </c>
      <c r="AL1257">
        <v>78.850544353069495</v>
      </c>
      <c r="AM1257">
        <v>80.650455744667099</v>
      </c>
      <c r="AN1257">
        <v>0.99999994271388803</v>
      </c>
    </row>
    <row r="1258" spans="1:40" x14ac:dyDescent="0.25">
      <c r="A1258" t="str">
        <f>"20190303171003127"</f>
        <v>20190303171003127</v>
      </c>
      <c r="B1258" t="str">
        <f>"1551604203112054"</f>
        <v>1551604203112054</v>
      </c>
      <c r="C1258" t="s">
        <v>40</v>
      </c>
      <c r="D1258">
        <v>5.0367579999999998</v>
      </c>
      <c r="E1258">
        <v>0.6242856</v>
      </c>
      <c r="F1258" t="s">
        <v>52</v>
      </c>
      <c r="G1258">
        <v>-208.86109999999999</v>
      </c>
      <c r="H1258">
        <v>8.0000619999999995E-2</v>
      </c>
      <c r="I1258">
        <v>277.01580000000001</v>
      </c>
      <c r="J1258">
        <v>-192.64019999999999</v>
      </c>
      <c r="K1258">
        <v>1.114323</v>
      </c>
      <c r="L1258">
        <v>299.62509999999997</v>
      </c>
      <c r="M1258">
        <v>-0.1686367</v>
      </c>
      <c r="N1258">
        <v>-1.4061529999999999E-2</v>
      </c>
      <c r="O1258">
        <v>-0.98557819999999996</v>
      </c>
      <c r="P1258">
        <v>-0.31878279999999998</v>
      </c>
      <c r="Q1258">
        <v>0.18158260000000001</v>
      </c>
      <c r="R1258">
        <v>-0.93027179999999998</v>
      </c>
      <c r="S1258">
        <v>-1.8633580000000001</v>
      </c>
      <c r="T1258">
        <v>-0.1184578</v>
      </c>
      <c r="U1258">
        <v>-2.6196899999999999</v>
      </c>
      <c r="V1258">
        <v>0.16057750000000001</v>
      </c>
      <c r="W1258">
        <v>0.19254640000000001</v>
      </c>
      <c r="X1258">
        <v>0.96806029999999998</v>
      </c>
      <c r="Y1258">
        <v>0.43357230000000002</v>
      </c>
      <c r="Z1258">
        <v>2.4399540000000001E-2</v>
      </c>
      <c r="AA1258">
        <v>0.90078840000000004</v>
      </c>
      <c r="AB1258">
        <v>29</v>
      </c>
      <c r="AC1258">
        <v>-16.2209</v>
      </c>
      <c r="AD1258">
        <v>-1.0343223800000001</v>
      </c>
      <c r="AE1258">
        <v>-22.609299999999902</v>
      </c>
      <c r="AF1258">
        <v>12.158609533736101</v>
      </c>
      <c r="AG1258">
        <v>-1.0343223800000001</v>
      </c>
      <c r="AH1258">
        <v>24.9866171819844</v>
      </c>
      <c r="AI1258">
        <v>92.131688097116594</v>
      </c>
      <c r="AJ1258">
        <v>64.052220104422304</v>
      </c>
      <c r="AK1258">
        <v>27.807061095676101</v>
      </c>
      <c r="AL1258">
        <v>78.898573340058405</v>
      </c>
      <c r="AM1258">
        <v>80.581788014971394</v>
      </c>
      <c r="AN1258">
        <v>0.99999999704764997</v>
      </c>
    </row>
    <row r="1259" spans="1:40" x14ac:dyDescent="0.25">
      <c r="A1259" t="str">
        <f>"20190303171003149"</f>
        <v>20190303171003149</v>
      </c>
      <c r="B1259" t="str">
        <f>"1551604203141838"</f>
        <v>1551604203141838</v>
      </c>
      <c r="C1259" t="s">
        <v>40</v>
      </c>
      <c r="D1259">
        <v>5.0457210000000003</v>
      </c>
      <c r="E1259">
        <v>0.62423739999999905</v>
      </c>
      <c r="F1259" t="s">
        <v>52</v>
      </c>
      <c r="G1259">
        <v>-209.0772</v>
      </c>
      <c r="H1259">
        <v>8.0000600000000005E-2</v>
      </c>
      <c r="I1259">
        <v>277.0283</v>
      </c>
      <c r="J1259">
        <v>-192.6985</v>
      </c>
      <c r="K1259">
        <v>1.11405</v>
      </c>
      <c r="L1259">
        <v>299.34269999999998</v>
      </c>
      <c r="M1259">
        <v>-0.17800759999999999</v>
      </c>
      <c r="N1259">
        <v>-1.41076E-2</v>
      </c>
      <c r="O1259">
        <v>-0.98392789999999997</v>
      </c>
      <c r="P1259">
        <v>-0.32910640000000002</v>
      </c>
      <c r="Q1259">
        <v>0.18118020000000001</v>
      </c>
      <c r="R1259">
        <v>-0.92674880000000004</v>
      </c>
      <c r="S1259">
        <v>-1.891251</v>
      </c>
      <c r="T1259">
        <v>-0.11901009999999999</v>
      </c>
      <c r="U1259">
        <v>-2.600006</v>
      </c>
      <c r="V1259">
        <v>0.162237299999999</v>
      </c>
      <c r="W1259">
        <v>0.192055</v>
      </c>
      <c r="X1259">
        <v>0.96788110000000005</v>
      </c>
      <c r="Y1259">
        <v>0.43455850000000001</v>
      </c>
      <c r="Z1259">
        <v>2.4604689999999999E-2</v>
      </c>
      <c r="AA1259">
        <v>0.90030750000000004</v>
      </c>
      <c r="AB1259">
        <v>29</v>
      </c>
      <c r="AC1259">
        <v>-16.378699999999998</v>
      </c>
      <c r="AD1259">
        <v>-1.0340494</v>
      </c>
      <c r="AE1259">
        <v>-22.3143999999999</v>
      </c>
      <c r="AF1259">
        <v>12.127612030864301</v>
      </c>
      <c r="AG1259">
        <v>-1.0340494</v>
      </c>
      <c r="AH1259">
        <v>24.8391070578691</v>
      </c>
      <c r="AI1259">
        <v>92.142385693311894</v>
      </c>
      <c r="AJ1259">
        <v>63.976209062047303</v>
      </c>
      <c r="AK1259">
        <v>27.660973792783999</v>
      </c>
      <c r="AL1259">
        <v>78.927263373712094</v>
      </c>
      <c r="AM1259">
        <v>80.484478704213601</v>
      </c>
      <c r="AN1259">
        <v>0.99999994413674798</v>
      </c>
    </row>
    <row r="1260" spans="1:40" x14ac:dyDescent="0.25">
      <c r="A1260" t="str">
        <f>"20190303171003171"</f>
        <v>20190303171003171</v>
      </c>
      <c r="B1260" t="str">
        <f>"1551604203161359"</f>
        <v>1551604203161359</v>
      </c>
      <c r="C1260" t="s">
        <v>40</v>
      </c>
      <c r="D1260">
        <v>5.0839210000000001</v>
      </c>
      <c r="E1260">
        <v>0.62416110000000002</v>
      </c>
      <c r="F1260" t="s">
        <v>52</v>
      </c>
      <c r="G1260">
        <v>-209.483</v>
      </c>
      <c r="H1260">
        <v>8.0000569999999993E-2</v>
      </c>
      <c r="I1260">
        <v>276.8236</v>
      </c>
      <c r="J1260">
        <v>-192.75819999999999</v>
      </c>
      <c r="K1260">
        <v>1.113783</v>
      </c>
      <c r="L1260">
        <v>299.06869999999998</v>
      </c>
      <c r="M1260">
        <v>-0.18745229999999999</v>
      </c>
      <c r="N1260">
        <v>-1.415545E-2</v>
      </c>
      <c r="O1260">
        <v>-0.98217180000000004</v>
      </c>
      <c r="P1260">
        <v>-0.33964630000000001</v>
      </c>
      <c r="Q1260">
        <v>0.18095820000000001</v>
      </c>
      <c r="R1260">
        <v>-0.92298139999999995</v>
      </c>
      <c r="S1260">
        <v>-1.921432</v>
      </c>
      <c r="T1260">
        <v>-0.11837449999999999</v>
      </c>
      <c r="U1260">
        <v>-2.5779109999999998</v>
      </c>
      <c r="V1260">
        <v>0.1640865</v>
      </c>
      <c r="W1260">
        <v>0.1917391</v>
      </c>
      <c r="X1260">
        <v>0.96763200000000005</v>
      </c>
      <c r="Y1260">
        <v>0.43638189999999999</v>
      </c>
      <c r="Z1260">
        <v>2.4436579999999999E-2</v>
      </c>
      <c r="AA1260">
        <v>0.899429699999999</v>
      </c>
      <c r="AB1260">
        <v>29</v>
      </c>
      <c r="AC1260">
        <v>-16.724799999999998</v>
      </c>
      <c r="AD1260">
        <v>-1.03378243</v>
      </c>
      <c r="AE1260">
        <v>-22.245099999999901</v>
      </c>
      <c r="AF1260">
        <v>12.241069136147599</v>
      </c>
      <c r="AG1260">
        <v>-1.03378243</v>
      </c>
      <c r="AH1260">
        <v>24.951686090441601</v>
      </c>
      <c r="AI1260">
        <v>92.130207579058805</v>
      </c>
      <c r="AJ1260">
        <v>63.867853130152902</v>
      </c>
      <c r="AK1260">
        <v>27.8118521221521</v>
      </c>
      <c r="AL1260">
        <v>78.945706206125706</v>
      </c>
      <c r="AM1260">
        <v>80.375605607756995</v>
      </c>
      <c r="AN1260">
        <v>0.99999997468752899</v>
      </c>
    </row>
    <row r="1261" spans="1:40" x14ac:dyDescent="0.25">
      <c r="A1261" t="str">
        <f>"20190303171003195"</f>
        <v>20190303171003195</v>
      </c>
      <c r="B1261" t="str">
        <f>"1551604203181855"</f>
        <v>1551604203181855</v>
      </c>
      <c r="C1261" t="s">
        <v>40</v>
      </c>
      <c r="D1261">
        <v>5.0677719999999997</v>
      </c>
      <c r="E1261">
        <v>0.62404419999999905</v>
      </c>
      <c r="F1261" t="s">
        <v>52</v>
      </c>
      <c r="G1261">
        <v>-209.59889999999999</v>
      </c>
      <c r="H1261">
        <v>8.0000559999999998E-2</v>
      </c>
      <c r="I1261">
        <v>277.00150000000002</v>
      </c>
      <c r="J1261">
        <v>-192.8262</v>
      </c>
      <c r="K1261">
        <v>1.113491</v>
      </c>
      <c r="L1261">
        <v>298.77179999999998</v>
      </c>
      <c r="M1261">
        <v>-0.19806319999999999</v>
      </c>
      <c r="N1261">
        <v>-1.4209919999999999E-2</v>
      </c>
      <c r="O1261">
        <v>-0.98008649999999997</v>
      </c>
      <c r="P1261">
        <v>-0.35139100000000001</v>
      </c>
      <c r="Q1261">
        <v>0.18159400000000001</v>
      </c>
      <c r="R1261">
        <v>-0.91844890000000001</v>
      </c>
      <c r="S1261">
        <v>-1.950653</v>
      </c>
      <c r="T1261">
        <v>-0.1197426</v>
      </c>
      <c r="U1261">
        <v>-2.5560299999999998</v>
      </c>
      <c r="V1261">
        <v>0.16614189999999901</v>
      </c>
      <c r="W1261">
        <v>0.19226840000000001</v>
      </c>
      <c r="X1261">
        <v>0.96717620000000004</v>
      </c>
      <c r="Y1261">
        <v>0.43685499999999999</v>
      </c>
      <c r="Z1261">
        <v>2.489982E-2</v>
      </c>
      <c r="AA1261">
        <v>0.89918719999999996</v>
      </c>
      <c r="AB1261">
        <v>28</v>
      </c>
      <c r="AC1261">
        <v>-16.772699999999901</v>
      </c>
      <c r="AD1261">
        <v>-1.03349044</v>
      </c>
      <c r="AE1261">
        <v>-21.770299999999899</v>
      </c>
      <c r="AF1261">
        <v>12.1108958020216</v>
      </c>
      <c r="AG1261">
        <v>-1.03349044</v>
      </c>
      <c r="AH1261">
        <v>24.626488752508699</v>
      </c>
      <c r="AI1261">
        <v>92.156684957512695</v>
      </c>
      <c r="AJ1261">
        <v>63.812811255189402</v>
      </c>
      <c r="AK1261">
        <v>27.462808448781001</v>
      </c>
      <c r="AL1261">
        <v>78.9148052788656</v>
      </c>
      <c r="AM1261">
        <v>80.2528406336275</v>
      </c>
      <c r="AN1261">
        <v>1.0000000352103</v>
      </c>
    </row>
    <row r="1262" spans="1:40" x14ac:dyDescent="0.25">
      <c r="A1262" t="str">
        <f>"20190303171003217"</f>
        <v>20190303171003217</v>
      </c>
      <c r="B1262" t="str">
        <f>"1551604203212112"</f>
        <v>1551604203212112</v>
      </c>
      <c r="C1262" t="s">
        <v>40</v>
      </c>
      <c r="D1262">
        <v>5.1533709999999999</v>
      </c>
      <c r="E1262">
        <v>0.62386030000000003</v>
      </c>
      <c r="F1262" t="s">
        <v>53</v>
      </c>
      <c r="G1262">
        <v>-210.0977</v>
      </c>
      <c r="H1262">
        <v>8.0001429999999998E-2</v>
      </c>
      <c r="I1262">
        <v>276.71550000000002</v>
      </c>
      <c r="J1262">
        <v>-192.89340000000001</v>
      </c>
      <c r="K1262">
        <v>1.113227</v>
      </c>
      <c r="L1262">
        <v>298.4941</v>
      </c>
      <c r="M1262">
        <v>-0.20835590000000001</v>
      </c>
      <c r="N1262">
        <v>-1.4262439999999999E-2</v>
      </c>
      <c r="O1262">
        <v>-0.97794919999999996</v>
      </c>
      <c r="P1262">
        <v>-0.3621026</v>
      </c>
      <c r="Q1262">
        <v>0.18163260000000001</v>
      </c>
      <c r="R1262">
        <v>-0.9142711</v>
      </c>
      <c r="S1262">
        <v>-1.9823</v>
      </c>
      <c r="T1262">
        <v>-0.118616899999999</v>
      </c>
      <c r="U1262">
        <v>-2.5314640000000002</v>
      </c>
      <c r="V1262">
        <v>0.1674089</v>
      </c>
      <c r="W1262">
        <v>0.19222629999999999</v>
      </c>
      <c r="X1262">
        <v>0.96696599999999999</v>
      </c>
      <c r="Y1262">
        <v>0.43860690000000002</v>
      </c>
      <c r="Z1262">
        <v>2.4576859999999999E-2</v>
      </c>
      <c r="AA1262">
        <v>0.89834290000000006</v>
      </c>
      <c r="AB1262">
        <v>28</v>
      </c>
      <c r="AC1262">
        <v>-17.2042999999999</v>
      </c>
      <c r="AD1262">
        <v>-1.0332255699999999</v>
      </c>
      <c r="AE1262">
        <v>-21.778599999999901</v>
      </c>
      <c r="AF1262">
        <v>12.271472996882901</v>
      </c>
      <c r="AG1262">
        <v>-1.0332255699999999</v>
      </c>
      <c r="AH1262">
        <v>24.851068934296901</v>
      </c>
      <c r="AI1262">
        <v>92.134959033362193</v>
      </c>
      <c r="AJ1262">
        <v>63.719811982478802</v>
      </c>
      <c r="AK1262">
        <v>27.735036177530102</v>
      </c>
      <c r="AL1262">
        <v>78.9172625235841</v>
      </c>
      <c r="AM1262">
        <v>80.177857413181698</v>
      </c>
      <c r="AN1262">
        <v>0.99999996768344901</v>
      </c>
    </row>
    <row r="1263" spans="1:40" x14ac:dyDescent="0.25">
      <c r="A1263" t="str">
        <f>"20190303171003249"</f>
        <v>20190303171003249</v>
      </c>
      <c r="B1263" t="str">
        <f>"1551604203241897"</f>
        <v>1551604203241897</v>
      </c>
      <c r="C1263" t="s">
        <v>40</v>
      </c>
      <c r="D1263">
        <v>5.177003</v>
      </c>
      <c r="E1263">
        <v>0.61840379999999995</v>
      </c>
      <c r="F1263" t="s">
        <v>53</v>
      </c>
      <c r="G1263">
        <v>-210.26339999999999</v>
      </c>
      <c r="H1263">
        <v>8.0001379999999997E-2</v>
      </c>
      <c r="I1263">
        <v>276.8272</v>
      </c>
      <c r="J1263">
        <v>-193.00069999999999</v>
      </c>
      <c r="K1263">
        <v>1.1128559999999901</v>
      </c>
      <c r="L1263">
        <v>298.07929999999999</v>
      </c>
      <c r="M1263">
        <v>-0.22437869999999999</v>
      </c>
      <c r="N1263">
        <v>-1.434241E-2</v>
      </c>
      <c r="O1263">
        <v>-0.9743965</v>
      </c>
      <c r="P1263">
        <v>-0.3788974</v>
      </c>
      <c r="Q1263">
        <v>0.18108969999999999</v>
      </c>
      <c r="R1263">
        <v>-0.90754820000000003</v>
      </c>
      <c r="S1263">
        <v>-2.0111080000000001</v>
      </c>
      <c r="T1263">
        <v>-0.1196277</v>
      </c>
      <c r="U1263">
        <v>-2.5086059999999999</v>
      </c>
      <c r="V1263">
        <v>0.16950560000000001</v>
      </c>
      <c r="W1263">
        <v>0.1915712</v>
      </c>
      <c r="X1263">
        <v>0.9667308</v>
      </c>
      <c r="Y1263">
        <v>0.43412220000000001</v>
      </c>
      <c r="Z1263">
        <v>2.490421E-2</v>
      </c>
      <c r="AA1263">
        <v>0.90050969999999997</v>
      </c>
      <c r="AB1263">
        <v>28</v>
      </c>
      <c r="AC1263">
        <v>-17.262699999999899</v>
      </c>
      <c r="AD1263">
        <v>-1.0328546199999999</v>
      </c>
      <c r="AE1263">
        <v>-21.252099999999899</v>
      </c>
      <c r="AF1263">
        <v>12.0363072113648</v>
      </c>
      <c r="AG1263">
        <v>-1.0328546199999999</v>
      </c>
      <c r="AH1263">
        <v>24.548947894311699</v>
      </c>
      <c r="AI1263">
        <v>92.163430400380193</v>
      </c>
      <c r="AJ1263">
        <v>63.881365786824702</v>
      </c>
      <c r="AK1263">
        <v>27.360378701144501</v>
      </c>
      <c r="AL1263">
        <v>78.955508781397398</v>
      </c>
      <c r="AM1263">
        <v>80.054910146683397</v>
      </c>
      <c r="AN1263">
        <v>1.00000005638471</v>
      </c>
    </row>
    <row r="1264" spans="1:40" x14ac:dyDescent="0.25">
      <c r="A1264" t="str">
        <f>"20190303171003272"</f>
        <v>20190303171003272</v>
      </c>
      <c r="B1264" t="str">
        <f>"1551604203261417"</f>
        <v>1551604203261417</v>
      </c>
      <c r="C1264" t="s">
        <v>40</v>
      </c>
      <c r="D1264">
        <v>5.1335860000000002</v>
      </c>
      <c r="E1264">
        <v>0.61874649999999998</v>
      </c>
      <c r="F1264" t="s">
        <v>52</v>
      </c>
      <c r="G1264">
        <v>-206.23660000000001</v>
      </c>
      <c r="H1264" s="1">
        <v>5.2386729999999998E-6</v>
      </c>
      <c r="I1264">
        <v>281.68819999999999</v>
      </c>
      <c r="J1264">
        <v>-193.07480000000001</v>
      </c>
      <c r="K1264">
        <v>1.112652</v>
      </c>
      <c r="L1264">
        <v>297.80849999999998</v>
      </c>
      <c r="M1264">
        <v>-0.23515079999999999</v>
      </c>
      <c r="N1264">
        <v>-1.4391030000000001E-2</v>
      </c>
      <c r="O1264">
        <v>-0.97185239999999995</v>
      </c>
      <c r="P1264">
        <v>-0.39075680000000002</v>
      </c>
      <c r="Q1264">
        <v>0.18127190000000001</v>
      </c>
      <c r="R1264">
        <v>-0.90246890000000002</v>
      </c>
      <c r="S1264">
        <v>-2.016769</v>
      </c>
      <c r="T1264">
        <v>-0.1695662</v>
      </c>
      <c r="U1264">
        <v>-2.497528</v>
      </c>
      <c r="V1264">
        <v>0.1715827</v>
      </c>
      <c r="W1264">
        <v>0.1916718</v>
      </c>
      <c r="X1264">
        <v>0.96634430000000004</v>
      </c>
      <c r="Y1264">
        <v>0.42694919999999997</v>
      </c>
      <c r="Z1264">
        <v>4.0840189999999998E-2</v>
      </c>
      <c r="AA1264">
        <v>0.90335290000000001</v>
      </c>
      <c r="AB1264">
        <v>28</v>
      </c>
      <c r="AC1264">
        <v>-13.161799999999999</v>
      </c>
      <c r="AD1264">
        <v>-1.1126467613269999</v>
      </c>
      <c r="AE1264">
        <v>-16.120299999999901</v>
      </c>
      <c r="AF1264">
        <v>8.9759001586329994</v>
      </c>
      <c r="AG1264">
        <v>-1.1126467613269999</v>
      </c>
      <c r="AH1264">
        <v>18.710020786492599</v>
      </c>
      <c r="AI1264">
        <v>93.069101902608594</v>
      </c>
      <c r="AJ1264">
        <v>64.371215322685302</v>
      </c>
      <c r="AK1264">
        <v>20.781473583560501</v>
      </c>
      <c r="AL1264">
        <v>78.949635410985493</v>
      </c>
      <c r="AM1264">
        <v>79.931578057751494</v>
      </c>
      <c r="AN1264">
        <v>1.00000000399851</v>
      </c>
    </row>
    <row r="1265" spans="1:40" x14ac:dyDescent="0.25">
      <c r="A1265" t="str">
        <f>"20190303171003295"</f>
        <v>20190303171003295</v>
      </c>
      <c r="B1265" t="str">
        <f>"1551604203291673"</f>
        <v>1551604203291673</v>
      </c>
      <c r="C1265" t="s">
        <v>40</v>
      </c>
      <c r="D1265">
        <v>5.1417299999999999</v>
      </c>
      <c r="E1265">
        <v>0.61850879999999997</v>
      </c>
      <c r="F1265" t="s">
        <v>52</v>
      </c>
      <c r="G1265">
        <v>-207.25120000000001</v>
      </c>
      <c r="H1265" s="1">
        <v>5.7707739999999996E-6</v>
      </c>
      <c r="I1265">
        <v>280.74779999999998</v>
      </c>
      <c r="J1265">
        <v>-193.1568</v>
      </c>
      <c r="K1265">
        <v>1.112463</v>
      </c>
      <c r="L1265">
        <v>297.52249999999998</v>
      </c>
      <c r="M1265">
        <v>-0.24678510000000001</v>
      </c>
      <c r="N1265">
        <v>-1.4438670000000001E-2</v>
      </c>
      <c r="O1265">
        <v>-0.96896280000000001</v>
      </c>
      <c r="P1265">
        <v>-0.40297189999999999</v>
      </c>
      <c r="Q1265">
        <v>0.18121660000000001</v>
      </c>
      <c r="R1265">
        <v>-0.89709229999999995</v>
      </c>
      <c r="S1265">
        <v>-2.0511629999999998</v>
      </c>
      <c r="T1265">
        <v>-0.16098799999999999</v>
      </c>
      <c r="U1265">
        <v>-2.4685060000000001</v>
      </c>
      <c r="V1265">
        <v>0.17320329999999901</v>
      </c>
      <c r="W1265">
        <v>0.1915482</v>
      </c>
      <c r="X1265">
        <v>0.96607969999999999</v>
      </c>
      <c r="Y1265">
        <v>0.4288478</v>
      </c>
      <c r="Z1265">
        <v>3.8160449999999999E-2</v>
      </c>
      <c r="AA1265">
        <v>0.90257039999999999</v>
      </c>
      <c r="AB1265">
        <v>28</v>
      </c>
      <c r="AC1265">
        <v>-14.0944</v>
      </c>
      <c r="AD1265">
        <v>-1.112457229226</v>
      </c>
      <c r="AE1265">
        <v>-16.7746999999999</v>
      </c>
      <c r="AF1265">
        <v>9.4937191713725095</v>
      </c>
      <c r="AG1265">
        <v>-1.112457229226</v>
      </c>
      <c r="AH1265">
        <v>19.6836577942186</v>
      </c>
      <c r="AI1265">
        <v>92.914133881244993</v>
      </c>
      <c r="AJ1265">
        <v>64.251299459281199</v>
      </c>
      <c r="AK1265">
        <v>21.881833765743799</v>
      </c>
      <c r="AL1265">
        <v>78.956851281639004</v>
      </c>
      <c r="AM1265">
        <v>79.835729224391798</v>
      </c>
      <c r="AN1265">
        <v>1.0000000414031001</v>
      </c>
    </row>
    <row r="1266" spans="1:40" x14ac:dyDescent="0.25">
      <c r="A1266" t="str">
        <f>"20190303171003317"</f>
        <v>20190303171003317</v>
      </c>
      <c r="B1266" t="str">
        <f>"1551604203312169"</f>
        <v>1551604203312169</v>
      </c>
      <c r="C1266" t="s">
        <v>40</v>
      </c>
      <c r="D1266">
        <v>5.1441290000000004</v>
      </c>
      <c r="E1266">
        <v>0.61802480000000004</v>
      </c>
      <c r="F1266" t="s">
        <v>52</v>
      </c>
      <c r="G1266">
        <v>-208.1831</v>
      </c>
      <c r="H1266" s="1">
        <v>6.2563900000000001E-6</v>
      </c>
      <c r="I1266">
        <v>279.9205</v>
      </c>
      <c r="J1266">
        <v>-193.2372</v>
      </c>
      <c r="K1266">
        <v>1.1123019999999999</v>
      </c>
      <c r="L1266">
        <v>297.25510000000003</v>
      </c>
      <c r="M1266">
        <v>-0.25788879999999997</v>
      </c>
      <c r="N1266">
        <v>-1.448257E-2</v>
      </c>
      <c r="O1266">
        <v>-0.96606599999999998</v>
      </c>
      <c r="P1266">
        <v>-0.4143715</v>
      </c>
      <c r="Q1266">
        <v>0.18059320000000001</v>
      </c>
      <c r="R1266">
        <v>-0.89201059999999999</v>
      </c>
      <c r="S1266">
        <v>-2.0827330000000002</v>
      </c>
      <c r="T1266">
        <v>-0.15419269999999999</v>
      </c>
      <c r="U1266">
        <v>-2.4397280000000001</v>
      </c>
      <c r="V1266">
        <v>0.174458</v>
      </c>
      <c r="W1266">
        <v>0.19087470000000001</v>
      </c>
      <c r="X1266">
        <v>0.96598720000000005</v>
      </c>
      <c r="Y1266">
        <v>0.43054480000000001</v>
      </c>
      <c r="Z1266">
        <v>3.605796E-2</v>
      </c>
      <c r="AA1266">
        <v>0.90184869999999995</v>
      </c>
      <c r="AB1266">
        <v>28</v>
      </c>
      <c r="AC1266">
        <v>-14.9458999999999</v>
      </c>
      <c r="AD1266">
        <v>-1.1122957436100001</v>
      </c>
      <c r="AE1266">
        <v>-17.334599999999998</v>
      </c>
      <c r="AF1266">
        <v>9.94588387660629</v>
      </c>
      <c r="AG1266">
        <v>-1.1122957436100001</v>
      </c>
      <c r="AH1266">
        <v>20.554367231607301</v>
      </c>
      <c r="AI1266">
        <v>92.788772926470003</v>
      </c>
      <c r="AJ1266">
        <v>64.178505891276103</v>
      </c>
      <c r="AK1266">
        <v>22.8613171142864</v>
      </c>
      <c r="AL1266">
        <v>78.996165002547002</v>
      </c>
      <c r="AM1266">
        <v>79.762690293063201</v>
      </c>
      <c r="AN1266">
        <v>1.0000000077139599</v>
      </c>
    </row>
    <row r="1267" spans="1:40" x14ac:dyDescent="0.25">
      <c r="A1267" t="str">
        <f>"20190303171003338"</f>
        <v>20190303171003338</v>
      </c>
      <c r="B1267" t="str">
        <f>"1551604203332197"</f>
        <v>1551604203332197</v>
      </c>
      <c r="C1267" t="s">
        <v>40</v>
      </c>
      <c r="D1267">
        <v>5.1379599999999996</v>
      </c>
      <c r="E1267">
        <v>0.6178382</v>
      </c>
      <c r="F1267" t="s">
        <v>52</v>
      </c>
      <c r="G1267">
        <v>-208.43620000000001</v>
      </c>
      <c r="H1267" s="1">
        <v>6.3728390000000002E-6</v>
      </c>
      <c r="I1267">
        <v>279.87240000000003</v>
      </c>
      <c r="J1267">
        <v>-193.3193</v>
      </c>
      <c r="K1267">
        <v>1.1121620000000001</v>
      </c>
      <c r="L1267">
        <v>296.99369999999999</v>
      </c>
      <c r="M1267">
        <v>-0.26893519999999999</v>
      </c>
      <c r="N1267">
        <v>-1.452431E-2</v>
      </c>
      <c r="O1267">
        <v>-0.96304900000000004</v>
      </c>
      <c r="P1267">
        <v>-0.42569770000000001</v>
      </c>
      <c r="Q1267">
        <v>0.18033850000000001</v>
      </c>
      <c r="R1267">
        <v>-0.88671309999999903</v>
      </c>
      <c r="S1267">
        <v>-2.1106720000000001</v>
      </c>
      <c r="T1267">
        <v>-0.15446279999999901</v>
      </c>
      <c r="U1267">
        <v>-2.41391</v>
      </c>
      <c r="V1267">
        <v>0.17574379999999901</v>
      </c>
      <c r="W1267">
        <v>0.1905742</v>
      </c>
      <c r="X1267">
        <v>0.96581349999999999</v>
      </c>
      <c r="Y1267">
        <v>0.43089749999999999</v>
      </c>
      <c r="Z1267">
        <v>3.6184470000000003E-2</v>
      </c>
      <c r="AA1267">
        <v>0.90167509999999995</v>
      </c>
      <c r="AB1267">
        <v>28</v>
      </c>
      <c r="AC1267">
        <v>-15.116899999999999</v>
      </c>
      <c r="AD1267">
        <v>-1.112155627161</v>
      </c>
      <c r="AE1267">
        <v>-17.121299999999898</v>
      </c>
      <c r="AF1267">
        <v>9.9312951277619703</v>
      </c>
      <c r="AG1267">
        <v>-1.112155627161</v>
      </c>
      <c r="AH1267">
        <v>20.5076558052093</v>
      </c>
      <c r="AI1267">
        <v>92.794335858991403</v>
      </c>
      <c r="AJ1267">
        <v>64.160366294130299</v>
      </c>
      <c r="AK1267">
        <v>22.8129669196856</v>
      </c>
      <c r="AL1267">
        <v>79.013704956562094</v>
      </c>
      <c r="AM1267">
        <v>79.687036908205997</v>
      </c>
      <c r="AN1267">
        <v>1.00000006286316</v>
      </c>
    </row>
    <row r="1268" spans="1:40" x14ac:dyDescent="0.25">
      <c r="A1268" t="str">
        <f>"20190303171003360"</f>
        <v>20190303171003360</v>
      </c>
      <c r="B1268" t="str">
        <f>"1551604203351715"</f>
        <v>1551604203351715</v>
      </c>
      <c r="C1268" t="s">
        <v>40</v>
      </c>
      <c r="D1268">
        <v>5.1522810000000003</v>
      </c>
      <c r="E1268">
        <v>0.61215069999999905</v>
      </c>
      <c r="F1268" t="s">
        <v>52</v>
      </c>
      <c r="G1268">
        <v>-208.66319999999999</v>
      </c>
      <c r="H1268" s="1">
        <v>6.4732809999999899E-6</v>
      </c>
      <c r="I1268">
        <v>279.87470000000002</v>
      </c>
      <c r="J1268">
        <v>-193.41050000000001</v>
      </c>
      <c r="K1268">
        <v>1.1120380000000001</v>
      </c>
      <c r="L1268">
        <v>296.71589999999998</v>
      </c>
      <c r="M1268">
        <v>-0.28081899999999999</v>
      </c>
      <c r="N1268">
        <v>-1.456476E-2</v>
      </c>
      <c r="O1268">
        <v>-0.95965049999999996</v>
      </c>
      <c r="P1268">
        <v>-0.43692710000000001</v>
      </c>
      <c r="Q1268">
        <v>0.1805871</v>
      </c>
      <c r="R1268">
        <v>-0.88118280000000004</v>
      </c>
      <c r="S1268">
        <v>-2.139923</v>
      </c>
      <c r="T1268">
        <v>-0.15510589999999999</v>
      </c>
      <c r="U1268">
        <v>-2.3874819999999999</v>
      </c>
      <c r="V1268">
        <v>0.1761498</v>
      </c>
      <c r="W1268">
        <v>0.1908021</v>
      </c>
      <c r="X1268">
        <v>0.96569450000000001</v>
      </c>
      <c r="Y1268">
        <v>0.43082340000000002</v>
      </c>
      <c r="Z1268">
        <v>3.6412949999999999E-2</v>
      </c>
      <c r="AA1268">
        <v>0.90170130000000004</v>
      </c>
      <c r="AB1268">
        <v>28</v>
      </c>
      <c r="AC1268">
        <v>-15.2526999999999</v>
      </c>
      <c r="AD1268">
        <v>-1.112031526719</v>
      </c>
      <c r="AE1268">
        <v>-16.841199999999901</v>
      </c>
      <c r="AF1268">
        <v>9.88530261603076</v>
      </c>
      <c r="AG1268">
        <v>-1.112031526719</v>
      </c>
      <c r="AH1268">
        <v>20.398217973851501</v>
      </c>
      <c r="AI1268">
        <v>92.808612863811007</v>
      </c>
      <c r="AJ1268">
        <v>64.144429680175605</v>
      </c>
      <c r="AK1268">
        <v>22.694561428581899</v>
      </c>
      <c r="AL1268">
        <v>79.000402808409504</v>
      </c>
      <c r="AM1268">
        <v>79.662478836397398</v>
      </c>
      <c r="AN1268">
        <v>1.00000003036734</v>
      </c>
    </row>
    <row r="1269" spans="1:40" x14ac:dyDescent="0.25">
      <c r="A1269" t="str">
        <f>"20190303171003384"</f>
        <v>20190303171003384</v>
      </c>
      <c r="B1269" t="str">
        <f>"1551604203372212"</f>
        <v>1551604203372212</v>
      </c>
      <c r="C1269" t="s">
        <v>40</v>
      </c>
      <c r="D1269">
        <v>5.1630929999999999</v>
      </c>
      <c r="E1269">
        <v>0.61178509999999997</v>
      </c>
      <c r="F1269" t="s">
        <v>52</v>
      </c>
      <c r="G1269">
        <v>-208.03579999999999</v>
      </c>
      <c r="H1269" s="1">
        <v>6.1532020000000003E-6</v>
      </c>
      <c r="I1269">
        <v>280.3537</v>
      </c>
      <c r="J1269">
        <v>-193.50970000000001</v>
      </c>
      <c r="K1269">
        <v>1.1119349999999999</v>
      </c>
      <c r="L1269">
        <v>296.42619999999999</v>
      </c>
      <c r="M1269">
        <v>-0.29334539999999998</v>
      </c>
      <c r="N1269">
        <v>-1.4601309999999999E-2</v>
      </c>
      <c r="O1269">
        <v>-0.95589489999999999</v>
      </c>
      <c r="P1269">
        <v>-0.44812459999999998</v>
      </c>
      <c r="Q1269">
        <v>0.1804625</v>
      </c>
      <c r="R1269">
        <v>-0.87556699999999998</v>
      </c>
      <c r="S1269">
        <v>-2.129105</v>
      </c>
      <c r="T1269">
        <v>-0.16188559999999999</v>
      </c>
      <c r="U1269">
        <v>-2.381958</v>
      </c>
      <c r="V1269">
        <v>0.17586479999999999</v>
      </c>
      <c r="W1269">
        <v>0.1906804</v>
      </c>
      <c r="X1269">
        <v>0.96577040000000003</v>
      </c>
      <c r="Y1269">
        <v>0.41768680000000002</v>
      </c>
      <c r="Z1269">
        <v>3.862492E-2</v>
      </c>
      <c r="AA1269">
        <v>0.90776970000000001</v>
      </c>
      <c r="AB1269">
        <v>28</v>
      </c>
      <c r="AC1269">
        <v>-14.5260999999999</v>
      </c>
      <c r="AD1269">
        <v>-1.111928846798</v>
      </c>
      <c r="AE1269">
        <v>-16.072499999999899</v>
      </c>
      <c r="AF1269">
        <v>9.1475119790243795</v>
      </c>
      <c r="AG1269">
        <v>-1.111928846798</v>
      </c>
      <c r="AH1269">
        <v>19.5753116841998</v>
      </c>
      <c r="AI1269">
        <v>92.945905449396093</v>
      </c>
      <c r="AJ1269">
        <v>64.953390650785195</v>
      </c>
      <c r="AK1269">
        <v>21.635761800784898</v>
      </c>
      <c r="AL1269">
        <v>79.007505270826499</v>
      </c>
      <c r="AM1269">
        <v>79.679638279531005</v>
      </c>
      <c r="AN1269">
        <v>0.99999995416967902</v>
      </c>
    </row>
    <row r="1270" spans="1:40" x14ac:dyDescent="0.25">
      <c r="A1270" t="str">
        <f>"20190303171003407"</f>
        <v>20190303171003407</v>
      </c>
      <c r="B1270" t="str">
        <f>"1551604203401492"</f>
        <v>1551604203401492</v>
      </c>
      <c r="C1270" t="s">
        <v>40</v>
      </c>
      <c r="D1270">
        <v>5.1704470000000002</v>
      </c>
      <c r="E1270">
        <v>0.60824209999999901</v>
      </c>
      <c r="F1270" t="s">
        <v>52</v>
      </c>
      <c r="G1270">
        <v>-208.22989999999999</v>
      </c>
      <c r="H1270" s="1">
        <v>6.2400670000000003E-6</v>
      </c>
      <c r="I1270">
        <v>280.34440000000001</v>
      </c>
      <c r="J1270">
        <v>-193.60589999999999</v>
      </c>
      <c r="K1270">
        <v>1.1118619999999999</v>
      </c>
      <c r="L1270">
        <v>296.15690000000001</v>
      </c>
      <c r="M1270">
        <v>-0.30508970000000002</v>
      </c>
      <c r="N1270">
        <v>-1.463129E-2</v>
      </c>
      <c r="O1270">
        <v>-0.95221120000000004</v>
      </c>
      <c r="P1270">
        <v>-0.45783449999999998</v>
      </c>
      <c r="Q1270">
        <v>0.1807339</v>
      </c>
      <c r="R1270">
        <v>-0.8704731</v>
      </c>
      <c r="S1270">
        <v>-2.1566160000000001</v>
      </c>
      <c r="T1270">
        <v>-0.16290589999999999</v>
      </c>
      <c r="U1270">
        <v>-2.3561100000000001</v>
      </c>
      <c r="V1270">
        <v>0.17476989999999901</v>
      </c>
      <c r="W1270">
        <v>0.19097910000000001</v>
      </c>
      <c r="X1270">
        <v>0.96591020000000005</v>
      </c>
      <c r="Y1270">
        <v>0.41721930000000002</v>
      </c>
      <c r="Z1270">
        <v>3.8964230000000002E-2</v>
      </c>
      <c r="AA1270">
        <v>0.90797019999999995</v>
      </c>
      <c r="AB1270">
        <v>28</v>
      </c>
      <c r="AC1270">
        <v>-14.623999999999899</v>
      </c>
      <c r="AD1270">
        <v>-1.1118557599329999</v>
      </c>
      <c r="AE1270">
        <v>-15.8125</v>
      </c>
      <c r="AF1270">
        <v>9.0776892934718703</v>
      </c>
      <c r="AG1270">
        <v>-1.1118557599329999</v>
      </c>
      <c r="AH1270">
        <v>19.468679744568199</v>
      </c>
      <c r="AI1270">
        <v>92.962981428592499</v>
      </c>
      <c r="AJ1270">
        <v>65.001704647906607</v>
      </c>
      <c r="AK1270">
        <v>21.509768876867799</v>
      </c>
      <c r="AL1270">
        <v>78.990071411007406</v>
      </c>
      <c r="AM1270">
        <v>79.743975692943806</v>
      </c>
      <c r="AN1270">
        <v>1.00000002452342</v>
      </c>
    </row>
    <row r="1271" spans="1:40" x14ac:dyDescent="0.25">
      <c r="A1271" t="str">
        <f>"20190303171003430"</f>
        <v>20190303171003430</v>
      </c>
      <c r="B1271" t="str">
        <f>"1551604203421520"</f>
        <v>1551604203421520</v>
      </c>
      <c r="C1271" t="s">
        <v>40</v>
      </c>
      <c r="D1271">
        <v>5.174213</v>
      </c>
      <c r="E1271">
        <v>0.60777190000000003</v>
      </c>
      <c r="F1271" t="s">
        <v>52</v>
      </c>
      <c r="G1271">
        <v>-207.46870000000001</v>
      </c>
      <c r="H1271" s="1">
        <v>5.8376239999999996E-6</v>
      </c>
      <c r="I1271">
        <v>281.08640000000003</v>
      </c>
      <c r="J1271">
        <v>-193.70910000000001</v>
      </c>
      <c r="K1271">
        <v>1.11181</v>
      </c>
      <c r="L1271">
        <v>295.87889999999999</v>
      </c>
      <c r="M1271">
        <v>-0.31729249999999998</v>
      </c>
      <c r="N1271">
        <v>-1.465901E-2</v>
      </c>
      <c r="O1271">
        <v>-0.94821460000000002</v>
      </c>
      <c r="P1271">
        <v>-0.4688079</v>
      </c>
      <c r="Q1271">
        <v>0.18129770000000001</v>
      </c>
      <c r="R1271">
        <v>-0.8644946</v>
      </c>
      <c r="S1271">
        <v>-2.1588129999999999</v>
      </c>
      <c r="T1271">
        <v>-0.17314660000000001</v>
      </c>
      <c r="U1271">
        <v>-2.3468930000000001</v>
      </c>
      <c r="V1271">
        <v>0.1746579</v>
      </c>
      <c r="W1271">
        <v>0.1915491</v>
      </c>
      <c r="X1271">
        <v>0.96581760000000005</v>
      </c>
      <c r="Y1271">
        <v>0.40766449999999999</v>
      </c>
      <c r="Z1271">
        <v>4.2193590000000003E-2</v>
      </c>
      <c r="AA1271">
        <v>0.91215650000000004</v>
      </c>
      <c r="AB1271">
        <v>28</v>
      </c>
      <c r="AC1271">
        <v>-13.759600000000001</v>
      </c>
      <c r="AD1271">
        <v>-1.111804162376</v>
      </c>
      <c r="AE1271">
        <v>-14.792499999999899</v>
      </c>
      <c r="AF1271">
        <v>8.3291747643927998</v>
      </c>
      <c r="AG1271">
        <v>-1.111804162376</v>
      </c>
      <c r="AH1271">
        <v>18.338714923107599</v>
      </c>
      <c r="AI1271">
        <v>93.159487775265106</v>
      </c>
      <c r="AJ1271">
        <v>65.573149361407104</v>
      </c>
      <c r="AK1271">
        <v>20.172251381099901</v>
      </c>
      <c r="AL1271">
        <v>78.956798705717404</v>
      </c>
      <c r="AM1271">
        <v>79.7494469539443</v>
      </c>
      <c r="AN1271">
        <v>1.00000003810648</v>
      </c>
    </row>
    <row r="1272" spans="1:40" x14ac:dyDescent="0.25">
      <c r="A1272" t="str">
        <f>"20190303171003450"</f>
        <v>20190303171003450</v>
      </c>
      <c r="B1272" t="str">
        <f>"1551604203442016"</f>
        <v>1551604203442016</v>
      </c>
      <c r="C1272" t="s">
        <v>40</v>
      </c>
      <c r="D1272">
        <v>5.1536549999999997</v>
      </c>
      <c r="E1272">
        <v>0.60729319999999998</v>
      </c>
      <c r="F1272" t="s">
        <v>52</v>
      </c>
      <c r="G1272">
        <v>-207.87350000000001</v>
      </c>
      <c r="H1272" s="1">
        <v>6.0394110000000002E-6</v>
      </c>
      <c r="I1272">
        <v>280.83179999999999</v>
      </c>
      <c r="J1272">
        <v>-193.80500000000001</v>
      </c>
      <c r="K1272">
        <v>1.1117779999999999</v>
      </c>
      <c r="L1272">
        <v>295.63029999999998</v>
      </c>
      <c r="M1272">
        <v>-0.32825749999999998</v>
      </c>
      <c r="N1272">
        <v>-1.468091E-2</v>
      </c>
      <c r="O1272">
        <v>-0.94447440000000005</v>
      </c>
      <c r="P1272">
        <v>-0.47870109999999899</v>
      </c>
      <c r="Q1272">
        <v>0.18236260000000001</v>
      </c>
      <c r="R1272">
        <v>-0.85883009999999904</v>
      </c>
      <c r="S1272">
        <v>-2.1850740000000002</v>
      </c>
      <c r="T1272">
        <v>-0.1715131</v>
      </c>
      <c r="U1272">
        <v>-2.321259</v>
      </c>
      <c r="V1272">
        <v>0.1746684</v>
      </c>
      <c r="W1272">
        <v>0.1926194</v>
      </c>
      <c r="X1272">
        <v>0.96560279999999998</v>
      </c>
      <c r="Y1272">
        <v>0.40759859999999998</v>
      </c>
      <c r="Z1272">
        <v>4.1683820000000003E-2</v>
      </c>
      <c r="AA1272">
        <v>0.9122093</v>
      </c>
      <c r="AB1272">
        <v>28</v>
      </c>
      <c r="AC1272">
        <v>-14.0685</v>
      </c>
      <c r="AD1272">
        <v>-1.111771960589</v>
      </c>
      <c r="AE1272">
        <v>-14.798499999999899</v>
      </c>
      <c r="AF1272">
        <v>8.4056062397108402</v>
      </c>
      <c r="AG1272">
        <v>-1.111771960589</v>
      </c>
      <c r="AH1272">
        <v>18.5419242418705</v>
      </c>
      <c r="AI1272">
        <v>93.125844319021198</v>
      </c>
      <c r="AJ1272">
        <v>65.613798288570905</v>
      </c>
      <c r="AK1272">
        <v>20.388555803211801</v>
      </c>
      <c r="AL1272">
        <v>78.894311277043201</v>
      </c>
      <c r="AM1272">
        <v>79.746611765684307</v>
      </c>
      <c r="AN1272">
        <v>1.0000000252913701</v>
      </c>
    </row>
    <row r="1273" spans="1:40" x14ac:dyDescent="0.25">
      <c r="A1273" t="str">
        <f>"20190303171003473"</f>
        <v>20190303171003473</v>
      </c>
      <c r="B1273" t="str">
        <f>"1551604203462512"</f>
        <v>1551604203462512</v>
      </c>
      <c r="C1273" t="s">
        <v>40</v>
      </c>
      <c r="D1273">
        <v>5.147532</v>
      </c>
      <c r="E1273">
        <v>0.60692840000000003</v>
      </c>
      <c r="F1273" t="s">
        <v>52</v>
      </c>
      <c r="G1273">
        <v>-208.21209999999999</v>
      </c>
      <c r="H1273" s="1">
        <v>6.20735E-6</v>
      </c>
      <c r="I1273">
        <v>280.62819999999999</v>
      </c>
      <c r="J1273">
        <v>-193.9084</v>
      </c>
      <c r="K1273">
        <v>1.1117570000000001</v>
      </c>
      <c r="L1273">
        <v>295.37119999999999</v>
      </c>
      <c r="M1273">
        <v>-0.33971859999999998</v>
      </c>
      <c r="N1273">
        <v>-1.4700660000000001E-2</v>
      </c>
      <c r="O1273">
        <v>-0.94041209999999997</v>
      </c>
      <c r="P1273">
        <v>-0.48940869999999997</v>
      </c>
      <c r="Q1273">
        <v>0.1825348</v>
      </c>
      <c r="R1273">
        <v>-0.85273699999999997</v>
      </c>
      <c r="S1273">
        <v>-2.2075960000000001</v>
      </c>
      <c r="T1273">
        <v>-0.1703568</v>
      </c>
      <c r="U1273">
        <v>-2.2987669999999998</v>
      </c>
      <c r="V1273">
        <v>0.17503479999999999</v>
      </c>
      <c r="W1273">
        <v>0.19279199999999999</v>
      </c>
      <c r="X1273">
        <v>0.96550199999999997</v>
      </c>
      <c r="Y1273">
        <v>0.40561380000000002</v>
      </c>
      <c r="Z1273">
        <v>4.1296109999999997E-2</v>
      </c>
      <c r="AA1273">
        <v>0.91311120000000001</v>
      </c>
      <c r="AB1273">
        <v>28</v>
      </c>
      <c r="AC1273">
        <v>-14.3036999999999</v>
      </c>
      <c r="AD1273">
        <v>-1.1117507926500001</v>
      </c>
      <c r="AE1273">
        <v>-14.742999999999901</v>
      </c>
      <c r="AF1273">
        <v>8.4191531646367199</v>
      </c>
      <c r="AG1273">
        <v>-1.1117507926500001</v>
      </c>
      <c r="AH1273">
        <v>18.6710626966489</v>
      </c>
      <c r="AI1273">
        <v>93.107011837088805</v>
      </c>
      <c r="AJ1273">
        <v>65.728440524804498</v>
      </c>
      <c r="AK1273">
        <v>20.511623827887501</v>
      </c>
      <c r="AL1273">
        <v>78.884233115095299</v>
      </c>
      <c r="AM1273">
        <v>79.724511201208003</v>
      </c>
      <c r="AN1273">
        <v>1.00000002423951</v>
      </c>
    </row>
    <row r="1274" spans="1:40" x14ac:dyDescent="0.25">
      <c r="A1274" t="str">
        <f>"20190303171003495"</f>
        <v>20190303171003495</v>
      </c>
      <c r="B1274" t="str">
        <f>"1551604203491793"</f>
        <v>1551604203491793</v>
      </c>
      <c r="C1274" t="s">
        <v>40</v>
      </c>
      <c r="D1274">
        <v>5.1716290000000003</v>
      </c>
      <c r="E1274">
        <v>0.60654019999999897</v>
      </c>
      <c r="F1274" t="s">
        <v>52</v>
      </c>
      <c r="G1274">
        <v>-208.25040000000001</v>
      </c>
      <c r="H1274" s="1">
        <v>6.2118609999999997E-6</v>
      </c>
      <c r="I1274">
        <v>280.77100000000002</v>
      </c>
      <c r="J1274">
        <v>-194.01609999999999</v>
      </c>
      <c r="K1274">
        <v>1.1117410000000001</v>
      </c>
      <c r="L1274">
        <v>295.11110000000002</v>
      </c>
      <c r="M1274">
        <v>-0.35125430000000002</v>
      </c>
      <c r="N1274">
        <v>-1.471751E-2</v>
      </c>
      <c r="O1274">
        <v>-0.93616469999999896</v>
      </c>
      <c r="P1274">
        <v>-0.49992589999999998</v>
      </c>
      <c r="Q1274">
        <v>0.18172099999999999</v>
      </c>
      <c r="R1274">
        <v>-0.84678909999999996</v>
      </c>
      <c r="S1274">
        <v>-2.233215</v>
      </c>
      <c r="T1274">
        <v>-0.17311319999999999</v>
      </c>
      <c r="U1274">
        <v>-2.2734380000000001</v>
      </c>
      <c r="V1274">
        <v>0.1750408</v>
      </c>
      <c r="W1274">
        <v>0.19199140000000001</v>
      </c>
      <c r="X1274">
        <v>0.96566039999999997</v>
      </c>
      <c r="Y1274">
        <v>0.40467170000000002</v>
      </c>
      <c r="Z1274">
        <v>4.2147660000000003E-2</v>
      </c>
      <c r="AA1274">
        <v>0.91349020000000003</v>
      </c>
      <c r="AB1274">
        <v>28</v>
      </c>
      <c r="AC1274">
        <v>-14.234299999999999</v>
      </c>
      <c r="AD1274">
        <v>-1.1117347881389901</v>
      </c>
      <c r="AE1274">
        <v>-14.3401</v>
      </c>
      <c r="AF1274">
        <v>8.26450292013166</v>
      </c>
      <c r="AG1274">
        <v>-1.1117347881389901</v>
      </c>
      <c r="AH1274">
        <v>18.3709288717154</v>
      </c>
      <c r="AI1274">
        <v>93.158865924505207</v>
      </c>
      <c r="AJ1274">
        <v>65.778518770820099</v>
      </c>
      <c r="AK1274">
        <v>20.174959488575102</v>
      </c>
      <c r="AL1274">
        <v>78.930977040988196</v>
      </c>
      <c r="AM1274">
        <v>79.725816142965499</v>
      </c>
      <c r="AN1274">
        <v>0.99999999373338</v>
      </c>
    </row>
    <row r="1275" spans="1:40" x14ac:dyDescent="0.25">
      <c r="A1275" t="str">
        <f>"20190303171003518"</f>
        <v>20190303171003518</v>
      </c>
      <c r="B1275" t="str">
        <f>"1551604203511312"</f>
        <v>1551604203511312</v>
      </c>
      <c r="C1275" t="s">
        <v>40</v>
      </c>
      <c r="D1275">
        <v>5.1747519999999998</v>
      </c>
      <c r="E1275">
        <v>0.60406169999999904</v>
      </c>
      <c r="F1275" t="s">
        <v>52</v>
      </c>
      <c r="G1275">
        <v>-208.1258</v>
      </c>
      <c r="H1275" s="1">
        <v>6.1304989999999998E-6</v>
      </c>
      <c r="I1275">
        <v>281.06990000000002</v>
      </c>
      <c r="J1275">
        <v>-194.12870000000001</v>
      </c>
      <c r="K1275">
        <v>1.1117379999999999</v>
      </c>
      <c r="L1275">
        <v>294.84840000000003</v>
      </c>
      <c r="M1275">
        <v>-0.36292150000000001</v>
      </c>
      <c r="N1275">
        <v>-1.4731559999999999E-2</v>
      </c>
      <c r="O1275">
        <v>-0.93170330000000001</v>
      </c>
      <c r="P1275">
        <v>-0.51137479999999902</v>
      </c>
      <c r="Q1275">
        <v>0.18132110000000001</v>
      </c>
      <c r="R1275">
        <v>-0.84001119999999996</v>
      </c>
      <c r="S1275">
        <v>-2.2585600000000001</v>
      </c>
      <c r="T1275">
        <v>-0.17795610000000001</v>
      </c>
      <c r="U1275">
        <v>-2.2475890000000001</v>
      </c>
      <c r="V1275">
        <v>0.17604900000000001</v>
      </c>
      <c r="W1275">
        <v>0.19158049999999999</v>
      </c>
      <c r="X1275">
        <v>0.96555869999999999</v>
      </c>
      <c r="Y1275">
        <v>0.40357470000000001</v>
      </c>
      <c r="Z1275">
        <v>4.3649260000000002E-2</v>
      </c>
      <c r="AA1275">
        <v>0.91390490000000002</v>
      </c>
      <c r="AB1275">
        <v>28</v>
      </c>
      <c r="AC1275">
        <v>-13.9970999999999</v>
      </c>
      <c r="AD1275">
        <v>-1.1117318695009999</v>
      </c>
      <c r="AE1275">
        <v>-13.778499999999999</v>
      </c>
      <c r="AF1275">
        <v>8.0158209718524809</v>
      </c>
      <c r="AG1275">
        <v>-1.1117318695009999</v>
      </c>
      <c r="AH1275">
        <v>17.8620384684877</v>
      </c>
      <c r="AI1275">
        <v>93.250003698536403</v>
      </c>
      <c r="AJ1275">
        <v>65.831224229152795</v>
      </c>
      <c r="AK1275">
        <v>19.6097361494792</v>
      </c>
      <c r="AL1275">
        <v>78.954964917281004</v>
      </c>
      <c r="AM1275">
        <v>79.666845149371298</v>
      </c>
      <c r="AN1275">
        <v>0.99999997076346903</v>
      </c>
    </row>
    <row r="1276" spans="1:40" x14ac:dyDescent="0.25">
      <c r="A1276" t="str">
        <f>"20190303171003542"</f>
        <v>20190303171003542</v>
      </c>
      <c r="B1276" t="str">
        <f>"1551604203531339"</f>
        <v>1551604203531339</v>
      </c>
      <c r="C1276" t="s">
        <v>40</v>
      </c>
      <c r="D1276">
        <v>5.1676219999999997</v>
      </c>
      <c r="E1276">
        <v>0.60390829999999995</v>
      </c>
      <c r="F1276" t="s">
        <v>52</v>
      </c>
      <c r="G1276">
        <v>-207.26519999999999</v>
      </c>
      <c r="H1276" s="1">
        <v>5.6712169999999998E-6</v>
      </c>
      <c r="I1276">
        <v>281.9579</v>
      </c>
      <c r="J1276">
        <v>-194.25200000000001</v>
      </c>
      <c r="K1276">
        <v>1.1117429999999999</v>
      </c>
      <c r="L1276">
        <v>294.57130000000001</v>
      </c>
      <c r="M1276">
        <v>-0.375249</v>
      </c>
      <c r="N1276">
        <v>-1.4743620000000001E-2</v>
      </c>
      <c r="O1276">
        <v>-0.92680689999999999</v>
      </c>
      <c r="P1276">
        <v>-0.52389920000000001</v>
      </c>
      <c r="Q1276">
        <v>0.1820946</v>
      </c>
      <c r="R1276">
        <v>-0.83208879999999996</v>
      </c>
      <c r="S1276">
        <v>-2.2722020000000001</v>
      </c>
      <c r="T1276">
        <v>-0.1922941</v>
      </c>
      <c r="U1276">
        <v>-2.2296450000000001</v>
      </c>
      <c r="V1276">
        <v>0.17778479999999999</v>
      </c>
      <c r="W1276">
        <v>0.19232170000000001</v>
      </c>
      <c r="X1276">
        <v>0.96509319999999998</v>
      </c>
      <c r="Y1276">
        <v>0.39768229999999999</v>
      </c>
      <c r="Z1276">
        <v>4.809161E-2</v>
      </c>
      <c r="AA1276">
        <v>0.91626200000000002</v>
      </c>
      <c r="AB1276">
        <v>28</v>
      </c>
      <c r="AC1276">
        <v>-13.0131999999999</v>
      </c>
      <c r="AD1276">
        <v>-1.1117373287829999</v>
      </c>
      <c r="AE1276">
        <v>-12.6134</v>
      </c>
      <c r="AF1276">
        <v>7.3008795639037301</v>
      </c>
      <c r="AG1276">
        <v>-1.1117373287829999</v>
      </c>
      <c r="AH1276">
        <v>16.513035913707601</v>
      </c>
      <c r="AI1276">
        <v>93.523540268808006</v>
      </c>
      <c r="AJ1276">
        <v>66.148424699592297</v>
      </c>
      <c r="AK1276">
        <v>18.0892000205159</v>
      </c>
      <c r="AL1276">
        <v>78.911692694318404</v>
      </c>
      <c r="AM1276">
        <v>79.562267771581404</v>
      </c>
      <c r="AN1276">
        <v>0.99999997804408403</v>
      </c>
    </row>
    <row r="1277" spans="1:40" x14ac:dyDescent="0.25">
      <c r="A1277" t="str">
        <f>"20190303171003564"</f>
        <v>20190303171003564</v>
      </c>
      <c r="B1277" t="str">
        <f>"1551604203551836"</f>
        <v>1551604203551836</v>
      </c>
      <c r="C1277" t="s">
        <v>40</v>
      </c>
      <c r="D1277">
        <v>5.1856519999999904</v>
      </c>
      <c r="E1277">
        <v>0.60370389999999996</v>
      </c>
      <c r="F1277" t="s">
        <v>52</v>
      </c>
      <c r="G1277">
        <v>-207.54150000000001</v>
      </c>
      <c r="H1277" s="1">
        <v>5.7989810000000004E-6</v>
      </c>
      <c r="I1277">
        <v>281.89769999999999</v>
      </c>
      <c r="J1277">
        <v>-194.3741</v>
      </c>
      <c r="K1277">
        <v>1.1117549999999901</v>
      </c>
      <c r="L1277">
        <v>294.30610000000001</v>
      </c>
      <c r="M1277">
        <v>-0.38705489999999998</v>
      </c>
      <c r="N1277">
        <v>-1.475313E-2</v>
      </c>
      <c r="O1277">
        <v>-0.92193899999999995</v>
      </c>
      <c r="P1277">
        <v>-0.5362323</v>
      </c>
      <c r="Q1277">
        <v>0.18253910000000001</v>
      </c>
      <c r="R1277">
        <v>-0.82409650000000001</v>
      </c>
      <c r="S1277">
        <v>-2.3037869999999998</v>
      </c>
      <c r="T1277">
        <v>-0.1927247</v>
      </c>
      <c r="U1277">
        <v>-2.1970209999999999</v>
      </c>
      <c r="V1277">
        <v>0.17987909999999999</v>
      </c>
      <c r="W1277">
        <v>0.19272600000000001</v>
      </c>
      <c r="X1277">
        <v>0.96462440000000005</v>
      </c>
      <c r="Y1277">
        <v>0.3990301</v>
      </c>
      <c r="Z1277">
        <v>4.8202960000000003E-2</v>
      </c>
      <c r="AA1277">
        <v>0.91566990000000004</v>
      </c>
      <c r="AB1277">
        <v>28</v>
      </c>
      <c r="AC1277">
        <v>-13.167400000000001</v>
      </c>
      <c r="AD1277">
        <v>-1.11174920101899</v>
      </c>
      <c r="AE1277">
        <v>-12.4084</v>
      </c>
      <c r="AF1277">
        <v>7.3100029629199996</v>
      </c>
      <c r="AG1277">
        <v>-1.11174920101899</v>
      </c>
      <c r="AH1277">
        <v>16.4758801765947</v>
      </c>
      <c r="AI1277">
        <v>93.529481794792801</v>
      </c>
      <c r="AJ1277">
        <v>66.074141383458098</v>
      </c>
      <c r="AK1277">
        <v>18.058979960046699</v>
      </c>
      <c r="AL1277">
        <v>78.888086832870499</v>
      </c>
      <c r="AM1277">
        <v>79.437044960358506</v>
      </c>
      <c r="AN1277">
        <v>1.00000001738408</v>
      </c>
    </row>
    <row r="1278" spans="1:40" x14ac:dyDescent="0.25">
      <c r="A1278" t="str">
        <f>"20190303171003586"</f>
        <v>20190303171003586</v>
      </c>
      <c r="B1278" t="str">
        <f>"1551604203582092"</f>
        <v>1551604203582092</v>
      </c>
      <c r="C1278" t="s">
        <v>40</v>
      </c>
      <c r="D1278">
        <v>5.208304</v>
      </c>
      <c r="E1278">
        <v>0.60123930000000003</v>
      </c>
      <c r="F1278" t="s">
        <v>52</v>
      </c>
      <c r="G1278">
        <v>-207.76089999999999</v>
      </c>
      <c r="H1278" s="1">
        <v>5.8967720000000001E-6</v>
      </c>
      <c r="I1278">
        <v>281.8922</v>
      </c>
      <c r="J1278">
        <v>-194.49529999999999</v>
      </c>
      <c r="K1278">
        <v>1.1117669999999999</v>
      </c>
      <c r="L1278">
        <v>294.05110000000002</v>
      </c>
      <c r="M1278">
        <v>-0.3984085</v>
      </c>
      <c r="N1278">
        <v>-1.47607E-2</v>
      </c>
      <c r="O1278">
        <v>-0.9170895</v>
      </c>
      <c r="P1278">
        <v>-0.54827060000000005</v>
      </c>
      <c r="Q1278">
        <v>0.18237200000000001</v>
      </c>
      <c r="R1278">
        <v>-0.81617430000000002</v>
      </c>
      <c r="S1278">
        <v>-2.3341370000000001</v>
      </c>
      <c r="T1278">
        <v>-0.19384570000000001</v>
      </c>
      <c r="U1278">
        <v>-2.1644899999999998</v>
      </c>
      <c r="V1278">
        <v>0.18210809999999999</v>
      </c>
      <c r="W1278">
        <v>0.19251599999999999</v>
      </c>
      <c r="X1278">
        <v>0.96424799999999999</v>
      </c>
      <c r="Y1278">
        <v>0.40049309999999999</v>
      </c>
      <c r="Z1278">
        <v>4.8532430000000001E-2</v>
      </c>
      <c r="AA1278">
        <v>0.91501359999999998</v>
      </c>
      <c r="AB1278">
        <v>28</v>
      </c>
      <c r="AC1278">
        <v>-13.265599999999999</v>
      </c>
      <c r="AD1278">
        <v>-1.1117611032279999</v>
      </c>
      <c r="AE1278">
        <v>-12.158899999999999</v>
      </c>
      <c r="AF1278">
        <v>7.2944864653109001</v>
      </c>
      <c r="AG1278">
        <v>-1.1117611032279999</v>
      </c>
      <c r="AH1278">
        <v>16.375210419770202</v>
      </c>
      <c r="AI1278">
        <v>93.5488228408867</v>
      </c>
      <c r="AJ1278">
        <v>65.988983277321495</v>
      </c>
      <c r="AK1278">
        <v>17.9608758649183</v>
      </c>
      <c r="AL1278">
        <v>78.900348237937393</v>
      </c>
      <c r="AM1278">
        <v>79.305074683941797</v>
      </c>
      <c r="AN1278">
        <v>0.99999998792280498</v>
      </c>
    </row>
    <row r="1279" spans="1:40" x14ac:dyDescent="0.25">
      <c r="A1279" t="str">
        <f>"20190303171003622"</f>
        <v>20190303171003622</v>
      </c>
      <c r="B1279" t="str">
        <f>"1551604203612347"</f>
        <v>1551604203612347</v>
      </c>
      <c r="C1279" t="s">
        <v>40</v>
      </c>
      <c r="D1279">
        <v>5.1825539999999997</v>
      </c>
      <c r="E1279">
        <v>0.62530989999999997</v>
      </c>
      <c r="F1279" t="s">
        <v>52</v>
      </c>
      <c r="G1279">
        <v>-206.65469999999999</v>
      </c>
      <c r="H1279" s="1">
        <v>5.3137109999999997E-6</v>
      </c>
      <c r="I1279">
        <v>282.9502</v>
      </c>
      <c r="J1279">
        <v>-194.69280000000001</v>
      </c>
      <c r="K1279">
        <v>1.1117870000000001</v>
      </c>
      <c r="L1279">
        <v>293.65210000000002</v>
      </c>
      <c r="M1279">
        <v>-0.41618899999999998</v>
      </c>
      <c r="N1279">
        <v>-1.476977E-2</v>
      </c>
      <c r="O1279">
        <v>-0.90915820000000003</v>
      </c>
      <c r="P1279">
        <v>-0.56690499999999999</v>
      </c>
      <c r="Q1279">
        <v>0.18160660000000001</v>
      </c>
      <c r="R1279">
        <v>-0.80351619999999901</v>
      </c>
      <c r="S1279">
        <v>-2.3497919999999999</v>
      </c>
      <c r="T1279">
        <v>-0.21484819999999999</v>
      </c>
      <c r="U1279">
        <v>-2.1452640000000001</v>
      </c>
      <c r="V1279">
        <v>0.1854275</v>
      </c>
      <c r="W1279">
        <v>0.1916872</v>
      </c>
      <c r="X1279">
        <v>0.96378039999999998</v>
      </c>
      <c r="Y1279">
        <v>0.3894725</v>
      </c>
      <c r="Z1279">
        <v>5.4801049999999997E-2</v>
      </c>
      <c r="AA1279">
        <v>0.91940639999999996</v>
      </c>
      <c r="AB1279">
        <v>28</v>
      </c>
      <c r="AC1279">
        <v>-11.961899999999901</v>
      </c>
      <c r="AD1279">
        <v>-1.111781686289</v>
      </c>
      <c r="AE1279">
        <v>-10.7019</v>
      </c>
      <c r="AF1279">
        <v>6.3912811292556198</v>
      </c>
      <c r="AG1279">
        <v>-1.111781686289</v>
      </c>
      <c r="AH1279">
        <v>14.639494612848001</v>
      </c>
      <c r="AI1279">
        <v>93.981376627874994</v>
      </c>
      <c r="AJ1279">
        <v>66.414977565099704</v>
      </c>
      <c r="AK1279">
        <v>16.012474371900002</v>
      </c>
      <c r="AL1279">
        <v>78.948736340149793</v>
      </c>
      <c r="AM1279">
        <v>79.109593458259297</v>
      </c>
      <c r="AN1279">
        <v>0.99999999991212496</v>
      </c>
    </row>
    <row r="1280" spans="1:40" x14ac:dyDescent="0.25">
      <c r="A1280" t="str">
        <f>"20190303171003644"</f>
        <v>20190303171003644</v>
      </c>
      <c r="B1280" t="str">
        <f>"1551604203631402"</f>
        <v>1551604203631402</v>
      </c>
      <c r="C1280" t="s">
        <v>40</v>
      </c>
      <c r="D1280">
        <v>5.4028070000000001</v>
      </c>
      <c r="E1280">
        <v>0.63407250000000004</v>
      </c>
      <c r="F1280" t="s">
        <v>53</v>
      </c>
      <c r="G1280">
        <v>-212.89670000000001</v>
      </c>
      <c r="H1280">
        <v>2.8504709999999999E-2</v>
      </c>
      <c r="I1280">
        <v>279.61630000000002</v>
      </c>
      <c r="J1280">
        <v>-194.8176</v>
      </c>
      <c r="K1280">
        <v>1.111804</v>
      </c>
      <c r="L1280">
        <v>293.40989999999999</v>
      </c>
      <c r="M1280">
        <v>-0.4269963</v>
      </c>
      <c r="N1280">
        <v>-1.477355E-2</v>
      </c>
      <c r="O1280">
        <v>-0.90413299999999996</v>
      </c>
      <c r="P1280">
        <v>-0.57819719999999997</v>
      </c>
      <c r="Q1280">
        <v>0.1819094</v>
      </c>
      <c r="R1280">
        <v>-0.79536019999999996</v>
      </c>
      <c r="S1280">
        <v>-2.5518190000000001</v>
      </c>
      <c r="T1280">
        <v>-0.15185419999999999</v>
      </c>
      <c r="U1280">
        <v>-1.9675290000000001</v>
      </c>
      <c r="V1280">
        <v>0.18758549999999999</v>
      </c>
      <c r="W1280">
        <v>0.19194559999999999</v>
      </c>
      <c r="X1280">
        <v>0.96331129999999998</v>
      </c>
      <c r="Y1280">
        <v>0.45463369999999997</v>
      </c>
      <c r="Z1280">
        <v>3.5575339999999997E-2</v>
      </c>
      <c r="AA1280">
        <v>0.88996769999999903</v>
      </c>
      <c r="AB1280">
        <v>28</v>
      </c>
      <c r="AC1280">
        <v>-18.0791</v>
      </c>
      <c r="AD1280">
        <v>-1.08329929</v>
      </c>
      <c r="AE1280">
        <v>-13.7935999999999</v>
      </c>
      <c r="AF1280">
        <v>10.433555236169999</v>
      </c>
      <c r="AG1280">
        <v>-1.08329929</v>
      </c>
      <c r="AH1280">
        <v>20.147433427416299</v>
      </c>
      <c r="AI1280">
        <v>92.733577209448995</v>
      </c>
      <c r="AJ1280">
        <v>62.622156121268397</v>
      </c>
      <c r="AK1280">
        <v>22.714569904140799</v>
      </c>
      <c r="AL1280">
        <v>78.933651515148995</v>
      </c>
      <c r="AM1280">
        <v>78.980701191854095</v>
      </c>
      <c r="AN1280">
        <v>1.0000000469386401</v>
      </c>
    </row>
    <row r="1281" spans="1:40" x14ac:dyDescent="0.25">
      <c r="A1281" t="str">
        <f>"20190303171003663"</f>
        <v>20190303171003663</v>
      </c>
      <c r="B1281" t="str">
        <f>"1551604203651896"</f>
        <v>1551604203651896</v>
      </c>
      <c r="C1281" t="s">
        <v>40</v>
      </c>
      <c r="D1281">
        <v>5.400169</v>
      </c>
      <c r="E1281">
        <v>0.63900299999999999</v>
      </c>
      <c r="F1281" t="s">
        <v>53</v>
      </c>
      <c r="G1281">
        <v>-214.53380000000001</v>
      </c>
      <c r="H1281">
        <v>8.0000130000000003E-2</v>
      </c>
      <c r="I1281">
        <v>279.28109999999998</v>
      </c>
      <c r="J1281">
        <v>-194.9357</v>
      </c>
      <c r="K1281">
        <v>1.11182</v>
      </c>
      <c r="L1281">
        <v>293.18700000000001</v>
      </c>
      <c r="M1281">
        <v>-0.436942</v>
      </c>
      <c r="N1281">
        <v>-1.4776259999999999E-2</v>
      </c>
      <c r="O1281">
        <v>-0.89936849999999902</v>
      </c>
      <c r="P1281">
        <v>-0.58749169999999995</v>
      </c>
      <c r="Q1281">
        <v>0.18183440000000001</v>
      </c>
      <c r="R1281">
        <v>-0.78853680000000004</v>
      </c>
      <c r="S1281">
        <v>-2.6347200000000002</v>
      </c>
      <c r="T1281">
        <v>-0.13788239999999999</v>
      </c>
      <c r="U1281">
        <v>-1.8880619999999999</v>
      </c>
      <c r="V1281">
        <v>0.18825159999999999</v>
      </c>
      <c r="W1281">
        <v>0.1918636</v>
      </c>
      <c r="X1281">
        <v>0.96319759999999999</v>
      </c>
      <c r="Y1281">
        <v>0.475995</v>
      </c>
      <c r="Z1281">
        <v>3.1288570000000002E-2</v>
      </c>
      <c r="AA1281">
        <v>0.87889119999999998</v>
      </c>
      <c r="AB1281">
        <v>28</v>
      </c>
      <c r="AC1281">
        <v>-19.598099999999999</v>
      </c>
      <c r="AD1281">
        <v>-1.0318198700000001</v>
      </c>
      <c r="AE1281">
        <v>-13.905900000000001</v>
      </c>
      <c r="AF1281">
        <v>11.5298437483935</v>
      </c>
      <c r="AG1281">
        <v>-1.0318198700000001</v>
      </c>
      <c r="AH1281">
        <v>21.033279612789102</v>
      </c>
      <c r="AI1281">
        <v>92.463190595286903</v>
      </c>
      <c r="AJ1281">
        <v>61.269703831550999</v>
      </c>
      <c r="AK1281">
        <v>24.008348555789201</v>
      </c>
      <c r="AL1281">
        <v>78.938437786801003</v>
      </c>
      <c r="AM1281">
        <v>78.941262219036403</v>
      </c>
      <c r="AN1281">
        <v>0.99999996127663904</v>
      </c>
    </row>
    <row r="1282" spans="1:40" x14ac:dyDescent="0.25">
      <c r="A1282" t="str">
        <f>"20190303171003688"</f>
        <v>20190303171003688</v>
      </c>
      <c r="B1282" t="str">
        <f>"1551604203682152"</f>
        <v>1551604203682152</v>
      </c>
      <c r="C1282" t="s">
        <v>40</v>
      </c>
      <c r="D1282">
        <v>5.3792289999999996</v>
      </c>
      <c r="E1282">
        <v>0.64232060000000002</v>
      </c>
      <c r="F1282" t="s">
        <v>53</v>
      </c>
      <c r="G1282">
        <v>-217.0916</v>
      </c>
      <c r="H1282">
        <v>8.0000849999999998E-2</v>
      </c>
      <c r="I1282">
        <v>278.09089999999998</v>
      </c>
      <c r="J1282">
        <v>-195.08369999999999</v>
      </c>
      <c r="K1282">
        <v>1.111842</v>
      </c>
      <c r="L1282">
        <v>292.91559999999998</v>
      </c>
      <c r="M1282">
        <v>-0.44906390000000002</v>
      </c>
      <c r="N1282">
        <v>-1.4778609999999999E-2</v>
      </c>
      <c r="O1282">
        <v>-0.89337749999999905</v>
      </c>
      <c r="P1282">
        <v>-0.59793459999999998</v>
      </c>
      <c r="Q1282">
        <v>0.18161040000000001</v>
      </c>
      <c r="R1282">
        <v>-0.78069980000000005</v>
      </c>
      <c r="S1282">
        <v>-2.6874539999999998</v>
      </c>
      <c r="T1282">
        <v>-0.1251565</v>
      </c>
      <c r="U1282">
        <v>-1.831116</v>
      </c>
      <c r="V1282">
        <v>0.18800749999999999</v>
      </c>
      <c r="W1282">
        <v>0.1916582</v>
      </c>
      <c r="X1282">
        <v>0.96328619999999998</v>
      </c>
      <c r="Y1282">
        <v>0.4850044</v>
      </c>
      <c r="Z1282">
        <v>2.7353180000000001E-2</v>
      </c>
      <c r="AA1282">
        <v>0.87408379999999997</v>
      </c>
      <c r="AB1282">
        <v>28</v>
      </c>
      <c r="AC1282">
        <v>-22.007899999999999</v>
      </c>
      <c r="AD1282">
        <v>-1.03184115</v>
      </c>
      <c r="AE1282">
        <v>-14.8247</v>
      </c>
      <c r="AF1282">
        <v>12.9859084907332</v>
      </c>
      <c r="AG1282">
        <v>-1.03184115</v>
      </c>
      <c r="AH1282">
        <v>23.0946097802533</v>
      </c>
      <c r="AI1282">
        <v>92.230227186467502</v>
      </c>
      <c r="AJ1282">
        <v>60.651311327709401</v>
      </c>
      <c r="AK1282">
        <v>26.5152694949665</v>
      </c>
      <c r="AL1282">
        <v>78.950429245517498</v>
      </c>
      <c r="AM1282">
        <v>78.956239806169904</v>
      </c>
      <c r="AN1282">
        <v>0.99999999439696496</v>
      </c>
    </row>
    <row r="1283" spans="1:40" x14ac:dyDescent="0.25">
      <c r="A1283" t="str">
        <f>"20190303171003709"</f>
        <v>20190303171003709</v>
      </c>
      <c r="B1283" t="str">
        <f>"1551604203701672"</f>
        <v>1551604203701672</v>
      </c>
      <c r="C1283" t="s">
        <v>40</v>
      </c>
      <c r="D1283">
        <v>5.3860769999999896</v>
      </c>
      <c r="E1283">
        <v>0.64308319999999997</v>
      </c>
      <c r="F1283" t="s">
        <v>53</v>
      </c>
      <c r="G1283">
        <v>-219.4588</v>
      </c>
      <c r="H1283">
        <v>8.0000150000000006E-2</v>
      </c>
      <c r="I1283">
        <v>277.06189999999998</v>
      </c>
      <c r="J1283">
        <v>-195.21770000000001</v>
      </c>
      <c r="K1283">
        <v>1.1118589999999999</v>
      </c>
      <c r="L1283">
        <v>292.67720000000003</v>
      </c>
      <c r="M1283">
        <v>-0.45971899999999899</v>
      </c>
      <c r="N1283">
        <v>-1.477989E-2</v>
      </c>
      <c r="O1283">
        <v>-0.887941599999999</v>
      </c>
      <c r="P1283">
        <v>-0.60732759999999997</v>
      </c>
      <c r="Q1283">
        <v>0.1816305</v>
      </c>
      <c r="R1283">
        <v>-0.77341079999999995</v>
      </c>
      <c r="S1283">
        <v>-2.7321469999999999</v>
      </c>
      <c r="T1283">
        <v>-0.1156565</v>
      </c>
      <c r="U1283">
        <v>-1.7770079999999999</v>
      </c>
      <c r="V1283">
        <v>0.1881217</v>
      </c>
      <c r="W1283">
        <v>0.19168489999999999</v>
      </c>
      <c r="X1283">
        <v>0.96325859999999996</v>
      </c>
      <c r="Y1283">
        <v>0.49333900000000003</v>
      </c>
      <c r="Z1283">
        <v>2.4471389999999999E-2</v>
      </c>
      <c r="AA1283">
        <v>0.86949279999999995</v>
      </c>
      <c r="AB1283">
        <v>28</v>
      </c>
      <c r="AC1283">
        <v>-24.2410999999999</v>
      </c>
      <c r="AD1283">
        <v>-1.0318588500000001</v>
      </c>
      <c r="AE1283">
        <v>-15.6153</v>
      </c>
      <c r="AF1283">
        <v>14.3292468692797</v>
      </c>
      <c r="AG1283">
        <v>-1.0318588500000001</v>
      </c>
      <c r="AH1283">
        <v>24.980308753649599</v>
      </c>
      <c r="AI1283">
        <v>92.052059964839401</v>
      </c>
      <c r="AJ1283">
        <v>60.160482666442498</v>
      </c>
      <c r="AK1283">
        <v>28.816798468163501</v>
      </c>
      <c r="AL1283">
        <v>78.948870641354105</v>
      </c>
      <c r="AM1283">
        <v>78.949387816562506</v>
      </c>
      <c r="AN1283">
        <v>1.00000000268643</v>
      </c>
    </row>
    <row r="1284" spans="1:40" x14ac:dyDescent="0.25">
      <c r="A1284" t="str">
        <f>"20190303171003731"</f>
        <v>20190303171003731</v>
      </c>
      <c r="B1284" t="str">
        <f>"1551604203721604"</f>
        <v>1551604203721604</v>
      </c>
      <c r="C1284" t="s">
        <v>40</v>
      </c>
      <c r="D1284">
        <v>5.3667360000000004</v>
      </c>
      <c r="E1284">
        <v>0.64361740000000001</v>
      </c>
      <c r="F1284" t="s">
        <v>53</v>
      </c>
      <c r="G1284">
        <v>-219.89019999999999</v>
      </c>
      <c r="H1284">
        <v>8.000003E-2</v>
      </c>
      <c r="I1284">
        <v>277.10820000000001</v>
      </c>
      <c r="J1284">
        <v>-195.35480000000001</v>
      </c>
      <c r="K1284">
        <v>1.1118749999999999</v>
      </c>
      <c r="L1284">
        <v>292.44</v>
      </c>
      <c r="M1284">
        <v>-0.47033350000000002</v>
      </c>
      <c r="N1284">
        <v>-1.4780359999999999E-2</v>
      </c>
      <c r="O1284">
        <v>-0.88236499999999995</v>
      </c>
      <c r="P1284">
        <v>-0.61681649999999999</v>
      </c>
      <c r="Q1284">
        <v>0.18177389999999999</v>
      </c>
      <c r="R1284">
        <v>-0.76583020000000002</v>
      </c>
      <c r="S1284">
        <v>-2.7579189999999998</v>
      </c>
      <c r="T1284">
        <v>-0.1153421</v>
      </c>
      <c r="U1284">
        <v>-1.74032599999999</v>
      </c>
      <c r="V1284">
        <v>0.18845770000000001</v>
      </c>
      <c r="W1284">
        <v>0.1918281</v>
      </c>
      <c r="X1284">
        <v>0.96316440000000003</v>
      </c>
      <c r="Y1284">
        <v>0.49485590000000002</v>
      </c>
      <c r="Z1284">
        <v>2.4400669999999999E-2</v>
      </c>
      <c r="AA1284">
        <v>0.86863239999999997</v>
      </c>
      <c r="AB1284">
        <v>28</v>
      </c>
      <c r="AC1284">
        <v>-24.5353999999999</v>
      </c>
      <c r="AD1284">
        <v>-1.0318749700000001</v>
      </c>
      <c r="AE1284">
        <v>-15.3317999999999</v>
      </c>
      <c r="AF1284">
        <v>14.421351385732899</v>
      </c>
      <c r="AG1284">
        <v>-1.0318749700000001</v>
      </c>
      <c r="AH1284">
        <v>25.0389515178781</v>
      </c>
      <c r="AI1284">
        <v>92.0452273961874</v>
      </c>
      <c r="AJ1284">
        <v>60.059921223379703</v>
      </c>
      <c r="AK1284">
        <v>28.913478428911699</v>
      </c>
      <c r="AL1284">
        <v>78.940510639173894</v>
      </c>
      <c r="AM1284">
        <v>78.929081749204997</v>
      </c>
      <c r="AN1284">
        <v>0.99999999303313003</v>
      </c>
    </row>
    <row r="1285" spans="1:40" x14ac:dyDescent="0.25">
      <c r="A1285" t="str">
        <f>"20190303171003752"</f>
        <v>20190303171003752</v>
      </c>
      <c r="B1285" t="str">
        <f>"1551604203742101"</f>
        <v>1551604203742101</v>
      </c>
      <c r="C1285" t="s">
        <v>40</v>
      </c>
      <c r="D1285">
        <v>5.3461869999999996</v>
      </c>
      <c r="E1285">
        <v>0.64372410000000002</v>
      </c>
      <c r="F1285" t="s">
        <v>53</v>
      </c>
      <c r="G1285">
        <v>-220.1788</v>
      </c>
      <c r="H1285">
        <v>8.0001409999999995E-2</v>
      </c>
      <c r="I1285">
        <v>277.22890000000001</v>
      </c>
      <c r="J1285">
        <v>-195.49430000000001</v>
      </c>
      <c r="K1285">
        <v>1.111904</v>
      </c>
      <c r="L1285">
        <v>292.20499999999998</v>
      </c>
      <c r="M1285">
        <v>-0.48085280000000002</v>
      </c>
      <c r="N1285">
        <v>-1.478029E-2</v>
      </c>
      <c r="O1285">
        <v>-0.87667689999999998</v>
      </c>
      <c r="P1285">
        <v>-0.62552529999999995</v>
      </c>
      <c r="Q1285">
        <v>0.18194350000000001</v>
      </c>
      <c r="R1285">
        <v>-0.7586929</v>
      </c>
      <c r="S1285">
        <v>-2.7815400000000001</v>
      </c>
      <c r="T1285">
        <v>-0.1156218</v>
      </c>
      <c r="U1285">
        <v>-1.704407</v>
      </c>
      <c r="V1285">
        <v>0.18795490000000001</v>
      </c>
      <c r="W1285">
        <v>0.192019</v>
      </c>
      <c r="X1285">
        <v>0.96322459999999999</v>
      </c>
      <c r="Y1285">
        <v>0.49590610000000002</v>
      </c>
      <c r="Z1285">
        <v>2.4513170000000001E-2</v>
      </c>
      <c r="AA1285">
        <v>0.86803009999999903</v>
      </c>
      <c r="AB1285">
        <v>28</v>
      </c>
      <c r="AC1285">
        <v>-24.6844999999999</v>
      </c>
      <c r="AD1285">
        <v>-1.0319025900000001</v>
      </c>
      <c r="AE1285">
        <v>-14.976099999999899</v>
      </c>
      <c r="AF1285">
        <v>14.422184446614599</v>
      </c>
      <c r="AG1285">
        <v>-1.0319025900000001</v>
      </c>
      <c r="AH1285">
        <v>24.969644268705999</v>
      </c>
      <c r="AI1285">
        <v>92.049507351609606</v>
      </c>
      <c r="AJ1285">
        <v>59.989755121150303</v>
      </c>
      <c r="AK1285">
        <v>28.853896826479801</v>
      </c>
      <c r="AL1285">
        <v>78.929365603446499</v>
      </c>
      <c r="AM1285">
        <v>78.958564929666295</v>
      </c>
      <c r="AN1285">
        <v>0.99999998542008395</v>
      </c>
    </row>
    <row r="1286" spans="1:40" x14ac:dyDescent="0.25">
      <c r="A1286" t="str">
        <f>"20190303171003775"</f>
        <v>20190303171003775</v>
      </c>
      <c r="B1286" t="str">
        <f>"1551604203761621"</f>
        <v>1551604203761621</v>
      </c>
      <c r="C1286" t="s">
        <v>40</v>
      </c>
      <c r="D1286">
        <v>5.3353590000000004</v>
      </c>
      <c r="E1286">
        <v>0.64352659999999995</v>
      </c>
      <c r="F1286" t="s">
        <v>53</v>
      </c>
      <c r="G1286">
        <v>-220.87569999999999</v>
      </c>
      <c r="H1286">
        <v>8.0001210000000003E-2</v>
      </c>
      <c r="I1286">
        <v>277.06369999999998</v>
      </c>
      <c r="J1286">
        <v>-195.63929999999999</v>
      </c>
      <c r="K1286">
        <v>1.111934</v>
      </c>
      <c r="L1286">
        <v>291.9674</v>
      </c>
      <c r="M1286">
        <v>-0.49149749999999998</v>
      </c>
      <c r="N1286">
        <v>-1.477988E-2</v>
      </c>
      <c r="O1286">
        <v>-0.87075360000000002</v>
      </c>
      <c r="P1286">
        <v>-0.63402709999999995</v>
      </c>
      <c r="Q1286">
        <v>0.18184020000000001</v>
      </c>
      <c r="R1286">
        <v>-0.75162769999999901</v>
      </c>
      <c r="S1286">
        <v>-2.8018489999999998</v>
      </c>
      <c r="T1286">
        <v>-0.1139116</v>
      </c>
      <c r="U1286">
        <v>-1.671448</v>
      </c>
      <c r="V1286">
        <v>0.18703810000000001</v>
      </c>
      <c r="W1286">
        <v>0.1919469</v>
      </c>
      <c r="X1286">
        <v>0.96341739999999998</v>
      </c>
      <c r="Y1286">
        <v>0.49564140000000001</v>
      </c>
      <c r="Z1286">
        <v>2.4001339999999999E-2</v>
      </c>
      <c r="AA1286">
        <v>0.86819559999999996</v>
      </c>
      <c r="AB1286">
        <v>28</v>
      </c>
      <c r="AC1286">
        <v>-25.2364</v>
      </c>
      <c r="AD1286">
        <v>-1.0319327899999999</v>
      </c>
      <c r="AE1286">
        <v>-14.903700000000001</v>
      </c>
      <c r="AF1286">
        <v>14.6330143357292</v>
      </c>
      <c r="AG1286">
        <v>-1.0319327899999999</v>
      </c>
      <c r="AH1286">
        <v>25.352420660904201</v>
      </c>
      <c r="AI1286">
        <v>92.019001669211704</v>
      </c>
      <c r="AJ1286">
        <v>60.007140712479703</v>
      </c>
      <c r="AK1286">
        <v>29.290531357422999</v>
      </c>
      <c r="AL1286">
        <v>78.933574812643698</v>
      </c>
      <c r="AM1286">
        <v>79.013253908007101</v>
      </c>
      <c r="AN1286">
        <v>0.999999974946989</v>
      </c>
    </row>
    <row r="1287" spans="1:40" x14ac:dyDescent="0.25">
      <c r="A1287" t="str">
        <f>"20190303171003797"</f>
        <v>20190303171003797</v>
      </c>
      <c r="B1287" t="str">
        <f>"1551604203791877"</f>
        <v>1551604203791877</v>
      </c>
      <c r="C1287" t="s">
        <v>40</v>
      </c>
      <c r="D1287">
        <v>5.2971560000000002</v>
      </c>
      <c r="E1287">
        <v>0.64326839999999996</v>
      </c>
      <c r="F1287" t="s">
        <v>53</v>
      </c>
      <c r="G1287">
        <v>-221.48519999999999</v>
      </c>
      <c r="H1287">
        <v>8.0001030000000001E-2</v>
      </c>
      <c r="I1287">
        <v>276.93540000000002</v>
      </c>
      <c r="J1287">
        <v>-195.78970000000001</v>
      </c>
      <c r="K1287">
        <v>1.111955</v>
      </c>
      <c r="L1287">
        <v>291.72789999999998</v>
      </c>
      <c r="M1287">
        <v>-0.50224440000000004</v>
      </c>
      <c r="N1287">
        <v>-1.477871E-2</v>
      </c>
      <c r="O1287">
        <v>-0.86459949999999997</v>
      </c>
      <c r="P1287">
        <v>-0.6430361</v>
      </c>
      <c r="Q1287">
        <v>0.18219070000000001</v>
      </c>
      <c r="R1287">
        <v>-0.74384919999999899</v>
      </c>
      <c r="S1287">
        <v>-2.819763</v>
      </c>
      <c r="T1287">
        <v>-0.11258269999999999</v>
      </c>
      <c r="U1287">
        <v>-1.6399840000000001</v>
      </c>
      <c r="V1287">
        <v>0.186753</v>
      </c>
      <c r="W1287">
        <v>0.1923115</v>
      </c>
      <c r="X1287">
        <v>0.96340000000000003</v>
      </c>
      <c r="Y1287">
        <v>0.49453000000000003</v>
      </c>
      <c r="Z1287">
        <v>2.3602729999999999E-2</v>
      </c>
      <c r="AA1287">
        <v>0.86883999999999995</v>
      </c>
      <c r="AB1287">
        <v>28</v>
      </c>
      <c r="AC1287">
        <v>-25.6954999999999</v>
      </c>
      <c r="AD1287">
        <v>-1.03195397</v>
      </c>
      <c r="AE1287">
        <v>-14.792499999999899</v>
      </c>
      <c r="AF1287">
        <v>14.7705868264557</v>
      </c>
      <c r="AG1287">
        <v>-1.03195397</v>
      </c>
      <c r="AH1287">
        <v>25.6667206181233</v>
      </c>
      <c r="AI1287">
        <v>91.995812072123798</v>
      </c>
      <c r="AJ1287">
        <v>60.080597578514897</v>
      </c>
      <c r="AK1287">
        <v>29.631329897303999</v>
      </c>
      <c r="AL1287">
        <v>78.912288227889306</v>
      </c>
      <c r="AM1287">
        <v>79.029400936994605</v>
      </c>
      <c r="AN1287">
        <v>0.99999997802062401</v>
      </c>
    </row>
    <row r="1288" spans="1:40" x14ac:dyDescent="0.25">
      <c r="A1288" t="str">
        <f>"20190303171003823"</f>
        <v>20190303171003823</v>
      </c>
      <c r="B1288" t="str">
        <f>"1551604203811397"</f>
        <v>1551604203811397</v>
      </c>
      <c r="C1288" t="s">
        <v>40</v>
      </c>
      <c r="D1288">
        <v>5.2814209999999999</v>
      </c>
      <c r="E1288">
        <v>0.64298359999999999</v>
      </c>
      <c r="F1288" t="s">
        <v>53</v>
      </c>
      <c r="G1288">
        <v>-221.7132</v>
      </c>
      <c r="H1288">
        <v>8.0000959999999996E-2</v>
      </c>
      <c r="I1288">
        <v>277.03829999999999</v>
      </c>
      <c r="J1288">
        <v>-195.9633</v>
      </c>
      <c r="K1288">
        <v>1.1119779999999999</v>
      </c>
      <c r="L1288">
        <v>291.45960000000002</v>
      </c>
      <c r="M1288">
        <v>-0.514297</v>
      </c>
      <c r="N1288">
        <v>-1.4776920000000001E-2</v>
      </c>
      <c r="O1288">
        <v>-0.8574851</v>
      </c>
      <c r="P1288">
        <v>-0.65421359999999995</v>
      </c>
      <c r="Q1288">
        <v>0.18220049999999999</v>
      </c>
      <c r="R1288">
        <v>-0.73403529999999995</v>
      </c>
      <c r="S1288">
        <v>-2.8374630000000001</v>
      </c>
      <c r="T1288">
        <v>-0.11295280000000001</v>
      </c>
      <c r="U1288">
        <v>-1.6078490000000001</v>
      </c>
      <c r="V1288">
        <v>0.18783420000000001</v>
      </c>
      <c r="W1288">
        <v>0.1923021</v>
      </c>
      <c r="X1288">
        <v>0.96319169999999998</v>
      </c>
      <c r="Y1288">
        <v>0.49213249999999997</v>
      </c>
      <c r="Z1288">
        <v>2.370295E-2</v>
      </c>
      <c r="AA1288">
        <v>0.87019749999999996</v>
      </c>
      <c r="AB1288">
        <v>28</v>
      </c>
      <c r="AC1288">
        <v>-25.7499</v>
      </c>
      <c r="AD1288">
        <v>-1.0319770399999999</v>
      </c>
      <c r="AE1288">
        <v>-14.4213</v>
      </c>
      <c r="AF1288">
        <v>14.647013729986501</v>
      </c>
      <c r="AG1288">
        <v>-1.0319770399999999</v>
      </c>
      <c r="AH1288">
        <v>25.580660257928901</v>
      </c>
      <c r="AI1288">
        <v>92.005068131097403</v>
      </c>
      <c r="AJ1288">
        <v>60.205344377657397</v>
      </c>
      <c r="AK1288">
        <v>29.495256687289299</v>
      </c>
      <c r="AL1288">
        <v>78.912837497075003</v>
      </c>
      <c r="AM1288">
        <v>78.965113724243196</v>
      </c>
      <c r="AN1288">
        <v>1.0000000176514601</v>
      </c>
    </row>
    <row r="1289" spans="1:40" x14ac:dyDescent="0.25">
      <c r="A1289" t="str">
        <f>"20190303171003845"</f>
        <v>20190303171003845</v>
      </c>
      <c r="B1289" t="str">
        <f>"1551604203831423"</f>
        <v>1551604203831423</v>
      </c>
      <c r="C1289" t="s">
        <v>40</v>
      </c>
      <c r="D1289">
        <v>5.0651699999999904</v>
      </c>
      <c r="E1289">
        <v>0.64286399999999999</v>
      </c>
      <c r="F1289" t="s">
        <v>53</v>
      </c>
      <c r="G1289">
        <v>-221.05199999999999</v>
      </c>
      <c r="H1289">
        <v>8.0001149999999993E-2</v>
      </c>
      <c r="I1289">
        <v>277.69080000000002</v>
      </c>
      <c r="J1289">
        <v>-196.11109999999999</v>
      </c>
      <c r="K1289">
        <v>1.111998</v>
      </c>
      <c r="L1289">
        <v>291.23739999999998</v>
      </c>
      <c r="M1289">
        <v>-0.52428540000000001</v>
      </c>
      <c r="N1289">
        <v>-1.477521E-2</v>
      </c>
      <c r="O1289">
        <v>-0.85141460000000002</v>
      </c>
      <c r="P1289">
        <v>-0.66331269999999998</v>
      </c>
      <c r="Q1289">
        <v>0.18175520000000001</v>
      </c>
      <c r="R1289">
        <v>-0.72593509999999895</v>
      </c>
      <c r="S1289">
        <v>-2.8583370000000001</v>
      </c>
      <c r="T1289">
        <v>-0.1175722</v>
      </c>
      <c r="U1289">
        <v>-1.568665</v>
      </c>
      <c r="V1289">
        <v>0.18850639999999999</v>
      </c>
      <c r="W1289">
        <v>0.1918473</v>
      </c>
      <c r="X1289">
        <v>0.96315099999999998</v>
      </c>
      <c r="Y1289">
        <v>0.49376330000000002</v>
      </c>
      <c r="Z1289">
        <v>2.514951E-2</v>
      </c>
      <c r="AA1289">
        <v>0.86923259999999902</v>
      </c>
      <c r="AB1289">
        <v>28</v>
      </c>
      <c r="AC1289">
        <v>-24.940899999999999</v>
      </c>
      <c r="AD1289">
        <v>-1.0319968500000001</v>
      </c>
      <c r="AE1289">
        <v>-13.5465999999999</v>
      </c>
      <c r="AF1289">
        <v>14.1156404279984</v>
      </c>
      <c r="AG1289">
        <v>-1.0319968500000001</v>
      </c>
      <c r="AH1289">
        <v>24.580108652699298</v>
      </c>
      <c r="AI1289">
        <v>92.085135925728295</v>
      </c>
      <c r="AJ1289">
        <v>60.1325037970865</v>
      </c>
      <c r="AK1289">
        <v>28.363675071637999</v>
      </c>
      <c r="AL1289">
        <v>78.939389249105105</v>
      </c>
      <c r="AM1289">
        <v>78.926141323503103</v>
      </c>
      <c r="AN1289">
        <v>0.99999994907962297</v>
      </c>
    </row>
    <row r="1290" spans="1:40" x14ac:dyDescent="0.25">
      <c r="A1290" t="str">
        <f>"20190303171003868"</f>
        <v>20190303171003868</v>
      </c>
      <c r="B1290" t="str">
        <f>"1551604203861678"</f>
        <v>1551604203861678</v>
      </c>
      <c r="C1290" t="s">
        <v>40</v>
      </c>
      <c r="D1290">
        <v>5.0209679999999999</v>
      </c>
      <c r="E1290">
        <v>0.64261759999999901</v>
      </c>
      <c r="F1290" t="s">
        <v>53</v>
      </c>
      <c r="G1290">
        <v>-221.31100000000001</v>
      </c>
      <c r="H1290">
        <v>8.0001080000000002E-2</v>
      </c>
      <c r="I1290">
        <v>277.80110000000002</v>
      </c>
      <c r="J1290">
        <v>-196.27680000000001</v>
      </c>
      <c r="K1290">
        <v>1.1120099999999999</v>
      </c>
      <c r="L1290">
        <v>290.99470000000002</v>
      </c>
      <c r="M1290">
        <v>-0.53521479999999999</v>
      </c>
      <c r="N1290">
        <v>-1.4773359999999999E-2</v>
      </c>
      <c r="O1290">
        <v>-0.84458709999999904</v>
      </c>
      <c r="P1290">
        <v>-0.67207150000000004</v>
      </c>
      <c r="Q1290">
        <v>0.1803873</v>
      </c>
      <c r="R1290">
        <v>-0.71817880000000001</v>
      </c>
      <c r="S1290">
        <v>-2.8765719999999999</v>
      </c>
      <c r="T1290">
        <v>-0.1178025</v>
      </c>
      <c r="U1290">
        <v>-1.533752</v>
      </c>
      <c r="V1290">
        <v>0.1875549</v>
      </c>
      <c r="W1290">
        <v>0.19051190000000001</v>
      </c>
      <c r="X1290">
        <v>0.96360179999999995</v>
      </c>
      <c r="Y1290">
        <v>0.49305539999999998</v>
      </c>
      <c r="Z1290">
        <v>2.521636E-2</v>
      </c>
      <c r="AA1290">
        <v>0.86963239999999997</v>
      </c>
      <c r="AB1290">
        <v>27</v>
      </c>
      <c r="AC1290">
        <v>-25.034199999999899</v>
      </c>
      <c r="AD1290">
        <v>-1.03200892</v>
      </c>
      <c r="AE1290">
        <v>-13.1936</v>
      </c>
      <c r="AF1290">
        <v>14.0649793688694</v>
      </c>
      <c r="AG1290">
        <v>-1.03200892</v>
      </c>
      <c r="AH1290">
        <v>24.511890239948599</v>
      </c>
      <c r="AI1290">
        <v>92.091380982962207</v>
      </c>
      <c r="AJ1290">
        <v>60.152696321235503</v>
      </c>
      <c r="AK1290">
        <v>28.279346707322901</v>
      </c>
      <c r="AL1290">
        <v>79.017340700346196</v>
      </c>
      <c r="AM1290">
        <v>78.985694988528493</v>
      </c>
      <c r="AN1290">
        <v>1.00000002675942</v>
      </c>
    </row>
    <row r="1291" spans="1:40" x14ac:dyDescent="0.25">
      <c r="A1291" t="str">
        <f>"20190303171003887"</f>
        <v>20190303171003887</v>
      </c>
      <c r="B1291" t="str">
        <f>"1551604203882174"</f>
        <v>1551604203882174</v>
      </c>
      <c r="C1291" t="s">
        <v>40</v>
      </c>
      <c r="D1291">
        <v>5.0538319999999999</v>
      </c>
      <c r="E1291">
        <v>0.64230779999999998</v>
      </c>
      <c r="F1291" t="s">
        <v>53</v>
      </c>
      <c r="G1291">
        <v>-222.32740000000001</v>
      </c>
      <c r="H1291">
        <v>8.0000779999999994E-2</v>
      </c>
      <c r="I1291">
        <v>277.51089999999999</v>
      </c>
      <c r="J1291">
        <v>-196.41370000000001</v>
      </c>
      <c r="K1291">
        <v>1.1120099999999999</v>
      </c>
      <c r="L1291">
        <v>290.79910000000001</v>
      </c>
      <c r="M1291">
        <v>-0.54405139999999996</v>
      </c>
      <c r="N1291">
        <v>-1.477302E-2</v>
      </c>
      <c r="O1291">
        <v>-0.8389219</v>
      </c>
      <c r="P1291">
        <v>-0.67925630000000004</v>
      </c>
      <c r="Q1291">
        <v>0.17994649999999901</v>
      </c>
      <c r="R1291">
        <v>-0.71149859999999998</v>
      </c>
      <c r="S1291">
        <v>-2.8939360000000001</v>
      </c>
      <c r="T1291">
        <v>-0.1146446</v>
      </c>
      <c r="U1291">
        <v>-1.4978940000000001</v>
      </c>
      <c r="V1291">
        <v>0.1870523</v>
      </c>
      <c r="W1291">
        <v>0.1900859</v>
      </c>
      <c r="X1291">
        <v>0.96378359999999996</v>
      </c>
      <c r="Y1291">
        <v>0.49457230000000002</v>
      </c>
      <c r="Z1291">
        <v>2.4302919999999999E-2</v>
      </c>
      <c r="AA1291">
        <v>0.86879660000000003</v>
      </c>
      <c r="AB1291">
        <v>27</v>
      </c>
      <c r="AC1291">
        <v>-25.913699999999999</v>
      </c>
      <c r="AD1291">
        <v>-1.0320092199999999</v>
      </c>
      <c r="AE1291">
        <v>-13.2882</v>
      </c>
      <c r="AF1291">
        <v>14.4934883666673</v>
      </c>
      <c r="AG1291">
        <v>-1.0320092199999999</v>
      </c>
      <c r="AH1291">
        <v>25.217232631376199</v>
      </c>
      <c r="AI1291">
        <v>92.032106981358496</v>
      </c>
      <c r="AJ1291">
        <v>60.112062416914597</v>
      </c>
      <c r="AK1291">
        <v>29.103866919188398</v>
      </c>
      <c r="AL1291">
        <v>79.042202955955304</v>
      </c>
      <c r="AM1291">
        <v>79.016513383968402</v>
      </c>
      <c r="AN1291">
        <v>1.00000001997152</v>
      </c>
    </row>
    <row r="1292" spans="1:40" x14ac:dyDescent="0.25">
      <c r="A1292" t="str">
        <f>"20190303171003909"</f>
        <v>20190303171003909</v>
      </c>
      <c r="B1292" t="str">
        <f>"1551604203901695"</f>
        <v>1551604203901695</v>
      </c>
      <c r="C1292" t="s">
        <v>40</v>
      </c>
      <c r="D1292">
        <v>5.0413430000000004</v>
      </c>
      <c r="E1292">
        <v>0.64197419999999905</v>
      </c>
      <c r="F1292" t="s">
        <v>53</v>
      </c>
      <c r="G1292">
        <v>-223.5899</v>
      </c>
      <c r="H1292">
        <v>8.0000409999999994E-2</v>
      </c>
      <c r="I1292">
        <v>277.07600000000002</v>
      </c>
      <c r="J1292">
        <v>-196.57759999999999</v>
      </c>
      <c r="K1292">
        <v>1.111996</v>
      </c>
      <c r="L1292">
        <v>290.57060000000001</v>
      </c>
      <c r="M1292">
        <v>-0.55443659999999995</v>
      </c>
      <c r="N1292">
        <v>-1.477561E-2</v>
      </c>
      <c r="O1292">
        <v>-0.83209500000000003</v>
      </c>
      <c r="P1292">
        <v>-0.6881661</v>
      </c>
      <c r="Q1292">
        <v>0.18138770000000001</v>
      </c>
      <c r="R1292">
        <v>-0.70251409999999903</v>
      </c>
      <c r="S1292">
        <v>-2.9077449999999998</v>
      </c>
      <c r="T1292">
        <v>-0.1104209</v>
      </c>
      <c r="U1292">
        <v>-1.468323</v>
      </c>
      <c r="V1292">
        <v>0.18746090000000001</v>
      </c>
      <c r="W1292">
        <v>0.19150800000000001</v>
      </c>
      <c r="X1292">
        <v>0.96342260000000002</v>
      </c>
      <c r="Y1292">
        <v>0.49250139999999998</v>
      </c>
      <c r="Z1292">
        <v>2.300928E-2</v>
      </c>
      <c r="AA1292">
        <v>0.87000750000000004</v>
      </c>
      <c r="AB1292">
        <v>27</v>
      </c>
      <c r="AC1292">
        <v>-27.0123</v>
      </c>
      <c r="AD1292">
        <v>-1.03199559</v>
      </c>
      <c r="AE1292">
        <v>-13.4946</v>
      </c>
      <c r="AF1292">
        <v>14.979037441629499</v>
      </c>
      <c r="AG1292">
        <v>-1.03199559</v>
      </c>
      <c r="AH1292">
        <v>26.177675875207601</v>
      </c>
      <c r="AI1292">
        <v>91.959727784173595</v>
      </c>
      <c r="AJ1292">
        <v>60.2215276163722</v>
      </c>
      <c r="AK1292">
        <v>30.177927228405601</v>
      </c>
      <c r="AL1292">
        <v>78.959197605702698</v>
      </c>
      <c r="AM1292">
        <v>78.989082655542205</v>
      </c>
      <c r="AN1292">
        <v>1.0000000046417801</v>
      </c>
    </row>
    <row r="1293" spans="1:40" x14ac:dyDescent="0.25">
      <c r="A1293" t="str">
        <f>"20190303171003931"</f>
        <v>20190303171003931</v>
      </c>
      <c r="B1293" t="str">
        <f>"1551604203921721"</f>
        <v>1551604203921721</v>
      </c>
      <c r="C1293" t="s">
        <v>40</v>
      </c>
      <c r="D1293">
        <v>5.0602900000000002</v>
      </c>
      <c r="E1293">
        <v>0.6415805</v>
      </c>
      <c r="F1293" t="s">
        <v>53</v>
      </c>
      <c r="G1293">
        <v>-225.98179999999999</v>
      </c>
      <c r="H1293">
        <v>8.0001169999999996E-2</v>
      </c>
      <c r="I1293">
        <v>276.17829999999998</v>
      </c>
      <c r="J1293">
        <v>-196.7441</v>
      </c>
      <c r="K1293">
        <v>1.1119619999999999</v>
      </c>
      <c r="L1293">
        <v>290.34460000000001</v>
      </c>
      <c r="M1293">
        <v>-0.56479460000000004</v>
      </c>
      <c r="N1293">
        <v>-1.4782750000000001E-2</v>
      </c>
      <c r="O1293">
        <v>-0.82509929999999998</v>
      </c>
      <c r="P1293">
        <v>-0.6965401</v>
      </c>
      <c r="Q1293">
        <v>0.18204219999999999</v>
      </c>
      <c r="R1293">
        <v>-0.69404100000000002</v>
      </c>
      <c r="S1293">
        <v>-2.924973</v>
      </c>
      <c r="T1293">
        <v>-0.1026576</v>
      </c>
      <c r="U1293">
        <v>-1.4316709999999999</v>
      </c>
      <c r="V1293">
        <v>0.18709899999999999</v>
      </c>
      <c r="W1293">
        <v>0.19215889999999999</v>
      </c>
      <c r="X1293">
        <v>0.96336330000000003</v>
      </c>
      <c r="Y1293">
        <v>0.49249660000000001</v>
      </c>
      <c r="Z1293">
        <v>2.0692970000000002E-2</v>
      </c>
      <c r="AA1293">
        <v>0.87006830000000002</v>
      </c>
      <c r="AB1293">
        <v>27</v>
      </c>
      <c r="AC1293">
        <v>-29.237699999999901</v>
      </c>
      <c r="AD1293">
        <v>-1.0319608300000001</v>
      </c>
      <c r="AE1293">
        <v>-14.1663</v>
      </c>
      <c r="AF1293">
        <v>16.108463242623699</v>
      </c>
      <c r="AG1293">
        <v>-1.0319608300000001</v>
      </c>
      <c r="AH1293">
        <v>28.1765487884966</v>
      </c>
      <c r="AI1293">
        <v>91.8211377655972</v>
      </c>
      <c r="AJ1293">
        <v>60.243503294667399</v>
      </c>
      <c r="AK1293">
        <v>32.472533514096803</v>
      </c>
      <c r="AL1293">
        <v>78.921197570283297</v>
      </c>
      <c r="AM1293">
        <v>79.009161536222706</v>
      </c>
      <c r="AN1293">
        <v>0.999999963218549</v>
      </c>
    </row>
    <row r="1294" spans="1:40" x14ac:dyDescent="0.25">
      <c r="A1294" t="str">
        <f>"20190303171003955"</f>
        <v>20190303171003955</v>
      </c>
      <c r="B1294" t="str">
        <f>"1551604203942218"</f>
        <v>1551604203942218</v>
      </c>
      <c r="C1294" t="s">
        <v>40</v>
      </c>
      <c r="D1294">
        <v>5.0418830000000003</v>
      </c>
      <c r="E1294">
        <v>0.64116499999999998</v>
      </c>
      <c r="F1294" t="s">
        <v>53</v>
      </c>
      <c r="G1294">
        <v>-227.32839999999999</v>
      </c>
      <c r="H1294">
        <v>8.0000779999999994E-2</v>
      </c>
      <c r="I1294">
        <v>275.8048</v>
      </c>
      <c r="J1294">
        <v>-196.91900000000001</v>
      </c>
      <c r="K1294">
        <v>1.1119000000000001</v>
      </c>
      <c r="L1294">
        <v>290.11349999999999</v>
      </c>
      <c r="M1294">
        <v>-0.57549759999999905</v>
      </c>
      <c r="N1294">
        <v>-1.479477E-2</v>
      </c>
      <c r="O1294">
        <v>-0.81766969999999894</v>
      </c>
      <c r="P1294">
        <v>-0.7042235</v>
      </c>
      <c r="Q1294">
        <v>0.1822956</v>
      </c>
      <c r="R1294">
        <v>-0.68617620000000001</v>
      </c>
      <c r="S1294">
        <v>-2.9401860000000002</v>
      </c>
      <c r="T1294">
        <v>-9.9206569999999994E-2</v>
      </c>
      <c r="U1294">
        <v>-1.3977660000000001</v>
      </c>
      <c r="V1294">
        <v>0.18534229999999999</v>
      </c>
      <c r="W1294">
        <v>0.19243779999999999</v>
      </c>
      <c r="X1294">
        <v>0.96364720000000004</v>
      </c>
      <c r="Y1294">
        <v>0.49110759999999998</v>
      </c>
      <c r="Z1294">
        <v>1.9652010000000001E-2</v>
      </c>
      <c r="AA1294">
        <v>0.87087729999999997</v>
      </c>
      <c r="AB1294">
        <v>27</v>
      </c>
      <c r="AC1294">
        <v>-30.409399999999899</v>
      </c>
      <c r="AD1294">
        <v>-1.0318992199999999</v>
      </c>
      <c r="AE1294">
        <v>-14.3086999999999</v>
      </c>
      <c r="AF1294">
        <v>16.616376693392201</v>
      </c>
      <c r="AG1294">
        <v>-1.0318992199999999</v>
      </c>
      <c r="AH1294">
        <v>29.176015928142998</v>
      </c>
      <c r="AI1294">
        <v>91.760333813796606</v>
      </c>
      <c r="AJ1294">
        <v>60.337544622391</v>
      </c>
      <c r="AK1294">
        <v>33.5917950674894</v>
      </c>
      <c r="AL1294">
        <v>78.904914285428504</v>
      </c>
      <c r="AM1294">
        <v>79.113009100613993</v>
      </c>
      <c r="AN1294">
        <v>1.0000000005529801</v>
      </c>
    </row>
    <row r="1295" spans="1:40" x14ac:dyDescent="0.25">
      <c r="A1295" t="str">
        <f>"20190303171003979"</f>
        <v>20190303171003979</v>
      </c>
      <c r="B1295" t="str">
        <f>"1551604203971498"</f>
        <v>1551604203971498</v>
      </c>
      <c r="C1295" t="s">
        <v>40</v>
      </c>
      <c r="D1295">
        <v>5.2265899999999998</v>
      </c>
      <c r="E1295">
        <v>0.6410785</v>
      </c>
      <c r="F1295" t="s">
        <v>53</v>
      </c>
      <c r="G1295">
        <v>-229.13839999999999</v>
      </c>
      <c r="H1295">
        <v>8.000024E-2</v>
      </c>
      <c r="I1295">
        <v>275.22379999999998</v>
      </c>
      <c r="J1295">
        <v>-197.09889999999999</v>
      </c>
      <c r="K1295">
        <v>1.1118030000000001</v>
      </c>
      <c r="L1295">
        <v>289.88290000000001</v>
      </c>
      <c r="M1295">
        <v>-0.58634779999999997</v>
      </c>
      <c r="N1295">
        <v>-1.4811879999999999E-2</v>
      </c>
      <c r="O1295">
        <v>-0.80992410000000004</v>
      </c>
      <c r="P1295">
        <v>-0.71218950000000003</v>
      </c>
      <c r="Q1295">
        <v>0.18220749999999999</v>
      </c>
      <c r="R1295">
        <v>-0.67792810000000003</v>
      </c>
      <c r="S1295">
        <v>-2.9542389999999998</v>
      </c>
      <c r="T1295">
        <v>-9.4616290000000006E-2</v>
      </c>
      <c r="U1295">
        <v>-1.365265</v>
      </c>
      <c r="V1295">
        <v>0.18377299999999999</v>
      </c>
      <c r="W1295">
        <v>0.19236529999999999</v>
      </c>
      <c r="X1295">
        <v>0.96396219999999999</v>
      </c>
      <c r="Y1295">
        <v>0.48899379999999998</v>
      </c>
      <c r="Z1295">
        <v>1.8266129999999998E-2</v>
      </c>
      <c r="AA1295">
        <v>0.87209599999999898</v>
      </c>
      <c r="AB1295">
        <v>27</v>
      </c>
      <c r="AC1295">
        <v>-32.039499999999997</v>
      </c>
      <c r="AD1295">
        <v>-1.0318027599999999</v>
      </c>
      <c r="AE1295">
        <v>-14.6591</v>
      </c>
      <c r="AF1295">
        <v>17.341263052863301</v>
      </c>
      <c r="AG1295">
        <v>-1.0318027599999999</v>
      </c>
      <c r="AH1295">
        <v>30.6361366816543</v>
      </c>
      <c r="AI1295">
        <v>91.678835453638598</v>
      </c>
      <c r="AJ1295">
        <v>60.488425509587003</v>
      </c>
      <c r="AK1295">
        <v>35.218700884347598</v>
      </c>
      <c r="AL1295">
        <v>78.909147577100001</v>
      </c>
      <c r="AM1295">
        <v>79.206459229438394</v>
      </c>
      <c r="AN1295">
        <v>1.0000000236009601</v>
      </c>
    </row>
    <row r="1296" spans="1:40" x14ac:dyDescent="0.25">
      <c r="A1296" t="str">
        <f>"20190303171003998"</f>
        <v>20190303171003998</v>
      </c>
      <c r="B1296" t="str">
        <f>"1551604203991994"</f>
        <v>1551604203991994</v>
      </c>
      <c r="C1296" t="s">
        <v>40</v>
      </c>
      <c r="D1296">
        <v>5.1474820000000001</v>
      </c>
      <c r="E1296">
        <v>0.66568640000000001</v>
      </c>
      <c r="F1296" t="s">
        <v>53</v>
      </c>
      <c r="G1296">
        <v>-230.42089999999999</v>
      </c>
      <c r="H1296">
        <v>8.0001760000000005E-2</v>
      </c>
      <c r="I1296">
        <v>274.96379999999999</v>
      </c>
      <c r="J1296">
        <v>-197.25630000000001</v>
      </c>
      <c r="K1296">
        <v>1.111713</v>
      </c>
      <c r="L1296">
        <v>289.68630000000002</v>
      </c>
      <c r="M1296">
        <v>-0.59573379999999998</v>
      </c>
      <c r="N1296">
        <v>-1.483043E-2</v>
      </c>
      <c r="O1296">
        <v>-0.80304509999999996</v>
      </c>
      <c r="P1296">
        <v>-0.71976819999999997</v>
      </c>
      <c r="Q1296">
        <v>0.18121709999999999</v>
      </c>
      <c r="R1296">
        <v>-0.67014479999999998</v>
      </c>
      <c r="S1296">
        <v>-2.970078</v>
      </c>
      <c r="T1296">
        <v>-9.1966870000000006E-2</v>
      </c>
      <c r="U1296">
        <v>-1.3297730000000001</v>
      </c>
      <c r="V1296">
        <v>0.1832548</v>
      </c>
      <c r="W1296">
        <v>0.1913685</v>
      </c>
      <c r="X1296">
        <v>0.96425919999999998</v>
      </c>
      <c r="Y1296">
        <v>0.4892743</v>
      </c>
      <c r="Z1296">
        <v>1.7490470000000001E-2</v>
      </c>
      <c r="AA1296">
        <v>0.87195460000000002</v>
      </c>
      <c r="AB1296">
        <v>27</v>
      </c>
      <c r="AC1296">
        <v>-33.164599999999901</v>
      </c>
      <c r="AD1296">
        <v>-1.0317112399999999</v>
      </c>
      <c r="AE1296">
        <v>-14.7225</v>
      </c>
      <c r="AF1296">
        <v>17.849511790665598</v>
      </c>
      <c r="AG1296">
        <v>-1.0317112399999999</v>
      </c>
      <c r="AH1296">
        <v>31.5580631674652</v>
      </c>
      <c r="AI1296">
        <v>91.629973727516898</v>
      </c>
      <c r="AJ1296">
        <v>60.507126456131701</v>
      </c>
      <c r="AK1296">
        <v>36.270936714256202</v>
      </c>
      <c r="AL1296">
        <v>78.967341093223297</v>
      </c>
      <c r="AM1296">
        <v>79.239420564665906</v>
      </c>
      <c r="AN1296">
        <v>1.0000000146499599</v>
      </c>
    </row>
    <row r="1297" spans="1:40" x14ac:dyDescent="0.25">
      <c r="A1297" t="str">
        <f>"20190303171004025"</f>
        <v>20190303171004025</v>
      </c>
      <c r="B1297" t="str">
        <f>"1551604204011513"</f>
        <v>1551604204011513</v>
      </c>
      <c r="C1297" t="s">
        <v>40</v>
      </c>
      <c r="D1297">
        <v>5.0743790000000004</v>
      </c>
      <c r="E1297">
        <v>0.67354130000000001</v>
      </c>
      <c r="F1297" t="s">
        <v>54</v>
      </c>
      <c r="G1297">
        <v>-258.28309999999999</v>
      </c>
      <c r="H1297">
        <v>0.32568849999999999</v>
      </c>
      <c r="I1297">
        <v>267.27510000000001</v>
      </c>
      <c r="J1297">
        <v>-197.44649999999999</v>
      </c>
      <c r="K1297">
        <v>1.1116109999999999</v>
      </c>
      <c r="L1297">
        <v>289.45530000000002</v>
      </c>
      <c r="M1297">
        <v>-0.60692309999999905</v>
      </c>
      <c r="N1297">
        <v>-1.485495E-2</v>
      </c>
      <c r="O1297">
        <v>-0.79462169999999999</v>
      </c>
      <c r="P1297">
        <v>-0.72906249999999995</v>
      </c>
      <c r="Q1297">
        <v>0.18077950000000001</v>
      </c>
      <c r="R1297">
        <v>-0.6601416</v>
      </c>
      <c r="S1297">
        <v>-3.1135410000000001</v>
      </c>
      <c r="T1297">
        <v>-4.0101169999999998E-2</v>
      </c>
      <c r="U1297">
        <v>-1.143402</v>
      </c>
      <c r="V1297">
        <v>0.18319060000000001</v>
      </c>
      <c r="W1297">
        <v>0.1909112</v>
      </c>
      <c r="X1297">
        <v>0.96436200000000005</v>
      </c>
      <c r="Y1297">
        <v>0.53666950000000002</v>
      </c>
      <c r="Z1297">
        <v>2.5630750000000002E-3</v>
      </c>
      <c r="AA1297">
        <v>0.84378869999999895</v>
      </c>
      <c r="AB1297">
        <v>27</v>
      </c>
      <c r="AC1297">
        <v>-60.836599999999997</v>
      </c>
      <c r="AD1297">
        <v>-0.78592249999999997</v>
      </c>
      <c r="AE1297">
        <v>-22.180199999999999</v>
      </c>
      <c r="AF1297">
        <v>34.8791185359132</v>
      </c>
      <c r="AG1297">
        <v>-0.78592249999999997</v>
      </c>
      <c r="AH1297">
        <v>54.545991478007402</v>
      </c>
      <c r="AI1297">
        <v>90.695472257367001</v>
      </c>
      <c r="AJ1297">
        <v>57.403353655135703</v>
      </c>
      <c r="AK1297">
        <v>64.749021385169598</v>
      </c>
      <c r="AL1297">
        <v>78.994034160358197</v>
      </c>
      <c r="AM1297">
        <v>79.244222285561307</v>
      </c>
      <c r="AN1297">
        <v>0.999999974628899</v>
      </c>
    </row>
    <row r="1298" spans="1:40" x14ac:dyDescent="0.25">
      <c r="A1298" t="str">
        <f>"20190303171004045"</f>
        <v>20190303171004045</v>
      </c>
      <c r="B1298" t="str">
        <f>"1551604204041770"</f>
        <v>1551604204041770</v>
      </c>
      <c r="C1298" t="s">
        <v>40</v>
      </c>
      <c r="D1298">
        <v>5.1094019999999896</v>
      </c>
      <c r="E1298">
        <v>0.67806290000000002</v>
      </c>
      <c r="F1298" t="s">
        <v>54</v>
      </c>
      <c r="G1298">
        <v>-258.2928</v>
      </c>
      <c r="H1298">
        <v>0.86867329999999998</v>
      </c>
      <c r="I1298">
        <v>269.3306</v>
      </c>
      <c r="J1298">
        <v>-197.6208</v>
      </c>
      <c r="K1298">
        <v>1.111524</v>
      </c>
      <c r="L1298">
        <v>289.24959999999999</v>
      </c>
      <c r="M1298">
        <v>-0.61703680000000005</v>
      </c>
      <c r="N1298">
        <v>-1.4877019999999999E-2</v>
      </c>
      <c r="O1298">
        <v>-0.78679379999999999</v>
      </c>
      <c r="P1298">
        <v>-0.73726449999999999</v>
      </c>
      <c r="Q1298">
        <v>0.1812308</v>
      </c>
      <c r="R1298">
        <v>-0.65084310000000001</v>
      </c>
      <c r="S1298">
        <v>-3.1689759999999998</v>
      </c>
      <c r="T1298">
        <v>-1.265144E-2</v>
      </c>
      <c r="U1298">
        <v>-1.0481259999999999</v>
      </c>
      <c r="V1298">
        <v>0.18305260000000001</v>
      </c>
      <c r="W1298">
        <v>0.1913455</v>
      </c>
      <c r="X1298">
        <v>0.96430210000000005</v>
      </c>
      <c r="Y1298">
        <v>0.55322159999999998</v>
      </c>
      <c r="Z1298">
        <v>-5.2466259999999999E-3</v>
      </c>
      <c r="AA1298">
        <v>0.83301759999999903</v>
      </c>
      <c r="AB1298">
        <v>27</v>
      </c>
      <c r="AC1298">
        <v>-60.671999999999997</v>
      </c>
      <c r="AD1298">
        <v>-0.2428507</v>
      </c>
      <c r="AE1298">
        <v>-19.918999999999901</v>
      </c>
      <c r="AF1298">
        <v>35.4490039561448</v>
      </c>
      <c r="AG1298">
        <v>-0.2428507</v>
      </c>
      <c r="AH1298">
        <v>53.114106536315298</v>
      </c>
      <c r="AI1298">
        <v>90.217896433723595</v>
      </c>
      <c r="AJ1298">
        <v>56.280369151729801</v>
      </c>
      <c r="AK1298">
        <v>63.857647710327598</v>
      </c>
      <c r="AL1298">
        <v>78.968682955805704</v>
      </c>
      <c r="AM1298">
        <v>79.251483873787194</v>
      </c>
      <c r="AN1298">
        <v>0.99999994740070797</v>
      </c>
    </row>
    <row r="1299" spans="1:40" x14ac:dyDescent="0.25">
      <c r="A1299" t="str">
        <f>"20190303171004088"</f>
        <v>20190303171004088</v>
      </c>
      <c r="B1299" t="str">
        <f>"1551604204081786"</f>
        <v>1551604204081786</v>
      </c>
      <c r="C1299" t="s">
        <v>40</v>
      </c>
      <c r="D1299">
        <v>5.0967760000000002</v>
      </c>
      <c r="E1299">
        <v>0.67923129999999998</v>
      </c>
      <c r="F1299" t="s">
        <v>55</v>
      </c>
      <c r="G1299">
        <v>-263.52019999999999</v>
      </c>
      <c r="H1299">
        <v>1.289763</v>
      </c>
      <c r="I1299">
        <v>269.15640000000002</v>
      </c>
      <c r="J1299">
        <v>-197.97219999999999</v>
      </c>
      <c r="K1299">
        <v>1.1113299999999999</v>
      </c>
      <c r="L1299">
        <v>288.85090000000002</v>
      </c>
      <c r="M1299">
        <v>-0.63705440000000002</v>
      </c>
      <c r="N1299">
        <v>-1.492536E-2</v>
      </c>
      <c r="O1299">
        <v>-0.77067459999999999</v>
      </c>
      <c r="P1299">
        <v>-0.75442209999999998</v>
      </c>
      <c r="Q1299">
        <v>0.18093790000000001</v>
      </c>
      <c r="R1299">
        <v>-0.63095889999999999</v>
      </c>
      <c r="S1299">
        <v>-3.204437</v>
      </c>
      <c r="T1299">
        <v>8.6709259999999903E-3</v>
      </c>
      <c r="U1299">
        <v>-0.9770508</v>
      </c>
      <c r="V1299">
        <v>0.18411040000000001</v>
      </c>
      <c r="W1299">
        <v>0.19099169999999999</v>
      </c>
      <c r="X1299">
        <v>0.96417090000000005</v>
      </c>
      <c r="Y1299">
        <v>0.55131569999999996</v>
      </c>
      <c r="Z1299">
        <v>-1.113521E-2</v>
      </c>
      <c r="AA1299">
        <v>0.83422240000000003</v>
      </c>
      <c r="AB1299">
        <v>27</v>
      </c>
      <c r="AC1299">
        <v>-65.548000000000002</v>
      </c>
      <c r="AD1299">
        <v>0.17843300000000001</v>
      </c>
      <c r="AE1299">
        <v>-19.694500000000001</v>
      </c>
      <c r="AF1299">
        <v>37.973674737511097</v>
      </c>
      <c r="AG1299">
        <v>0.17843300000000001</v>
      </c>
      <c r="AH1299">
        <v>56.941636656825203</v>
      </c>
      <c r="AI1299">
        <v>89.850626980749496</v>
      </c>
      <c r="AJ1299">
        <v>56.3011674403539</v>
      </c>
      <c r="AK1299">
        <v>68.442543761637594</v>
      </c>
      <c r="AL1299">
        <v>78.989335635475896</v>
      </c>
      <c r="AM1299">
        <v>79.189394825189595</v>
      </c>
      <c r="AN1299">
        <v>0.99999999663192995</v>
      </c>
    </row>
    <row r="1300" spans="1:40" x14ac:dyDescent="0.25">
      <c r="A1300" t="str">
        <f>"20190303171004111"</f>
        <v>20190303171004111</v>
      </c>
      <c r="B1300" t="str">
        <f>"1551604204102281"</f>
        <v>1551604204102281</v>
      </c>
      <c r="C1300" t="s">
        <v>40</v>
      </c>
      <c r="D1300">
        <v>5.142563</v>
      </c>
      <c r="E1300">
        <v>0.67921039999999999</v>
      </c>
      <c r="F1300" t="s">
        <v>56</v>
      </c>
      <c r="G1300">
        <v>-270.35300000000001</v>
      </c>
      <c r="H1300">
        <v>1.523142</v>
      </c>
      <c r="I1300">
        <v>269.1542</v>
      </c>
      <c r="J1300">
        <v>-198.1661</v>
      </c>
      <c r="K1300">
        <v>1.111229</v>
      </c>
      <c r="L1300">
        <v>288.63990000000001</v>
      </c>
      <c r="M1300">
        <v>-0.64787159999999999</v>
      </c>
      <c r="N1300">
        <v>-1.495461E-2</v>
      </c>
      <c r="O1300">
        <v>-0.76160289999999997</v>
      </c>
      <c r="P1300">
        <v>-0.76312190000000002</v>
      </c>
      <c r="Q1300">
        <v>0.1816922</v>
      </c>
      <c r="R1300">
        <v>-0.62018799999999996</v>
      </c>
      <c r="S1300">
        <v>-3.2357179999999999</v>
      </c>
      <c r="T1300">
        <v>1.8413189999999999E-2</v>
      </c>
      <c r="U1300">
        <v>-0.88052369999999902</v>
      </c>
      <c r="V1300">
        <v>0.18410979999999999</v>
      </c>
      <c r="W1300">
        <v>0.19172939999999999</v>
      </c>
      <c r="X1300">
        <v>0.96402460000000001</v>
      </c>
      <c r="Y1300">
        <v>0.56467400000000001</v>
      </c>
      <c r="Z1300">
        <v>-1.367461E-2</v>
      </c>
      <c r="AA1300">
        <v>0.82520079999999996</v>
      </c>
      <c r="AB1300">
        <v>27</v>
      </c>
      <c r="AC1300">
        <v>-72.186899999999994</v>
      </c>
      <c r="AD1300">
        <v>0.41191299999999997</v>
      </c>
      <c r="AE1300">
        <v>-19.485700000000001</v>
      </c>
      <c r="AF1300">
        <v>42.356967188004802</v>
      </c>
      <c r="AG1300">
        <v>0.41191299999999997</v>
      </c>
      <c r="AH1300">
        <v>61.613221288477099</v>
      </c>
      <c r="AI1300">
        <v>89.684349767477599</v>
      </c>
      <c r="AJ1300">
        <v>55.492817279376297</v>
      </c>
      <c r="AK1300">
        <v>74.769454854426598</v>
      </c>
      <c r="AL1300">
        <v>78.946272824496901</v>
      </c>
      <c r="AM1300">
        <v>79.1878272873047</v>
      </c>
      <c r="AN1300">
        <v>1.00000000534278</v>
      </c>
    </row>
    <row r="1301" spans="1:40" x14ac:dyDescent="0.25">
      <c r="A1301" t="str">
        <f>"20190303171004132"</f>
        <v>20190303171004132</v>
      </c>
      <c r="B1301" t="str">
        <f>"1551604204121802"</f>
        <v>1551604204121802</v>
      </c>
      <c r="C1301" t="s">
        <v>40</v>
      </c>
      <c r="D1301">
        <v>5.1643460000000001</v>
      </c>
      <c r="E1301">
        <v>0.67887629999999999</v>
      </c>
      <c r="F1301" t="s">
        <v>57</v>
      </c>
      <c r="G1301">
        <v>-321.01679999999999</v>
      </c>
      <c r="H1301">
        <v>1.917103</v>
      </c>
      <c r="I1301">
        <v>257.05329999999998</v>
      </c>
      <c r="J1301">
        <v>-198.3493</v>
      </c>
      <c r="K1301">
        <v>1.11114</v>
      </c>
      <c r="L1301">
        <v>288.4461</v>
      </c>
      <c r="M1301">
        <v>-0.65793869999999999</v>
      </c>
      <c r="N1301">
        <v>-1.49815E-2</v>
      </c>
      <c r="O1301">
        <v>-0.75292239999999999</v>
      </c>
      <c r="P1301">
        <v>-0.77044000000000001</v>
      </c>
      <c r="Q1301">
        <v>0.18171080000000001</v>
      </c>
      <c r="R1301">
        <v>-0.61106740000000004</v>
      </c>
      <c r="S1301">
        <v>-3.2475589999999999</v>
      </c>
      <c r="T1301">
        <v>2.1303300000000001E-2</v>
      </c>
      <c r="U1301">
        <v>-0.8349915</v>
      </c>
      <c r="V1301">
        <v>0.18279690000000001</v>
      </c>
      <c r="W1301">
        <v>0.19177</v>
      </c>
      <c r="X1301">
        <v>0.96426639999999997</v>
      </c>
      <c r="Y1301">
        <v>0.56527039999999995</v>
      </c>
      <c r="Z1301">
        <v>-1.4304799999999999E-2</v>
      </c>
      <c r="AA1301">
        <v>0.82478169999999995</v>
      </c>
      <c r="AB1301">
        <v>27</v>
      </c>
      <c r="AC1301">
        <v>-122.6675</v>
      </c>
      <c r="AD1301">
        <v>0.80596299999999899</v>
      </c>
      <c r="AE1301">
        <v>-31.392800000000001</v>
      </c>
      <c r="AF1301">
        <v>71.709716280585894</v>
      </c>
      <c r="AG1301">
        <v>0.80596299999999899</v>
      </c>
      <c r="AH1301">
        <v>104.35152593653</v>
      </c>
      <c r="AI1301">
        <v>89.635292695389893</v>
      </c>
      <c r="AJ1301">
        <v>55.503393860836802</v>
      </c>
      <c r="AK1301">
        <v>126.618221242765</v>
      </c>
      <c r="AL1301">
        <v>78.943903300593604</v>
      </c>
      <c r="AM1301">
        <v>79.265760870871603</v>
      </c>
      <c r="AN1301">
        <v>1.0000000648592799</v>
      </c>
    </row>
    <row r="1302" spans="1:40" x14ac:dyDescent="0.25">
      <c r="A1302" t="str">
        <f>"20190303171004155"</f>
        <v>20190303171004155</v>
      </c>
      <c r="B1302" t="str">
        <f>"1551604204142298"</f>
        <v>1551604204142298</v>
      </c>
      <c r="C1302" t="s">
        <v>40</v>
      </c>
      <c r="D1302">
        <v>5.1405849999999997</v>
      </c>
      <c r="E1302">
        <v>0.67844910000000003</v>
      </c>
      <c r="F1302" t="s">
        <v>56</v>
      </c>
      <c r="G1302">
        <v>-321.01729999999998</v>
      </c>
      <c r="H1302">
        <v>1.932693</v>
      </c>
      <c r="I1302">
        <v>258.3843</v>
      </c>
      <c r="J1302">
        <v>-198.55</v>
      </c>
      <c r="K1302">
        <v>1.1110420000000001</v>
      </c>
      <c r="L1302">
        <v>288.23970000000003</v>
      </c>
      <c r="M1302">
        <v>-0.66881210000000002</v>
      </c>
      <c r="N1302">
        <v>-1.501165E-2</v>
      </c>
      <c r="O1302">
        <v>-0.74327989999999999</v>
      </c>
      <c r="P1302">
        <v>-0.77758019999999906</v>
      </c>
      <c r="Q1302">
        <v>0.18154719999999999</v>
      </c>
      <c r="R1302">
        <v>-0.602004599999999</v>
      </c>
      <c r="S1302">
        <v>-3.2559049999999998</v>
      </c>
      <c r="T1302">
        <v>2.1805999999999999E-2</v>
      </c>
      <c r="U1302">
        <v>-0.79791259999999997</v>
      </c>
      <c r="V1302">
        <v>0.18013789999999999</v>
      </c>
      <c r="W1302">
        <v>0.1916638</v>
      </c>
      <c r="X1302">
        <v>0.96478770000000003</v>
      </c>
      <c r="Y1302">
        <v>0.56262599999999996</v>
      </c>
      <c r="Z1302">
        <v>-1.4240350000000001E-2</v>
      </c>
      <c r="AA1302">
        <v>0.82658889999999996</v>
      </c>
      <c r="AB1302">
        <v>27</v>
      </c>
      <c r="AC1302">
        <v>-122.467299999999</v>
      </c>
      <c r="AD1302">
        <v>0.82165099999999902</v>
      </c>
      <c r="AE1302">
        <v>-29.855399999999999</v>
      </c>
      <c r="AF1302">
        <v>71.064818911318696</v>
      </c>
      <c r="AG1302">
        <v>0.82165099999999902</v>
      </c>
      <c r="AH1302">
        <v>104.105839686669</v>
      </c>
      <c r="AI1302">
        <v>89.626521117195395</v>
      </c>
      <c r="AJ1302">
        <v>55.6817391430423</v>
      </c>
      <c r="AK1302">
        <v>126.051217582896</v>
      </c>
      <c r="AL1302">
        <v>78.950102286673598</v>
      </c>
      <c r="AM1302">
        <v>79.423940313231</v>
      </c>
      <c r="AN1302">
        <v>0.99999999065906997</v>
      </c>
    </row>
    <row r="1303" spans="1:40" x14ac:dyDescent="0.25">
      <c r="A1303" t="str">
        <f>"20190303171004177"</f>
        <v>20190303171004177</v>
      </c>
      <c r="B1303" t="str">
        <f>"1551604204161818"</f>
        <v>1551604204161818</v>
      </c>
      <c r="C1303" t="s">
        <v>40</v>
      </c>
      <c r="D1303">
        <v>5.1610990000000001</v>
      </c>
      <c r="E1303">
        <v>0.67780739999999995</v>
      </c>
      <c r="F1303" t="s">
        <v>58</v>
      </c>
      <c r="G1303">
        <v>-327.45890000000003</v>
      </c>
      <c r="H1303">
        <v>2.0184639999999998</v>
      </c>
      <c r="I1303">
        <v>258.16730000000001</v>
      </c>
      <c r="J1303">
        <v>-198.73159999999999</v>
      </c>
      <c r="K1303">
        <v>1.1109450000000001</v>
      </c>
      <c r="L1303">
        <v>288.05829999999997</v>
      </c>
      <c r="M1303">
        <v>-0.67850909999999998</v>
      </c>
      <c r="N1303">
        <v>-1.504168E-2</v>
      </c>
      <c r="O1303">
        <v>-0.73443809999999998</v>
      </c>
      <c r="P1303">
        <v>-0.78430029999999995</v>
      </c>
      <c r="Q1303">
        <v>0.1815184</v>
      </c>
      <c r="R1303">
        <v>-0.59323199999999998</v>
      </c>
      <c r="S1303">
        <v>-3.2633670000000001</v>
      </c>
      <c r="T1303">
        <v>2.2971869999999998E-2</v>
      </c>
      <c r="U1303">
        <v>-0.76129150000000001</v>
      </c>
      <c r="V1303">
        <v>0.17835889999999999</v>
      </c>
      <c r="W1303">
        <v>0.1916718</v>
      </c>
      <c r="X1303">
        <v>0.96511659999999999</v>
      </c>
      <c r="Y1303">
        <v>0.56098499999999996</v>
      </c>
      <c r="Z1303">
        <v>-1.4377010000000001E-2</v>
      </c>
      <c r="AA1303">
        <v>0.82770109999999997</v>
      </c>
      <c r="AB1303">
        <v>27</v>
      </c>
      <c r="AC1303">
        <v>-128.72730000000001</v>
      </c>
      <c r="AD1303">
        <v>0.90751899999999897</v>
      </c>
      <c r="AE1303">
        <v>-29.890999999999899</v>
      </c>
      <c r="AF1303">
        <v>74.265811654874398</v>
      </c>
      <c r="AG1303">
        <v>0.90751899999999897</v>
      </c>
      <c r="AH1303">
        <v>109.302935919276</v>
      </c>
      <c r="AI1303">
        <v>89.606524412782207</v>
      </c>
      <c r="AJ1303">
        <v>55.805876425659697</v>
      </c>
      <c r="AK1303">
        <v>132.14903015938401</v>
      </c>
      <c r="AL1303">
        <v>78.949635521330194</v>
      </c>
      <c r="AM1303">
        <v>79.529554940828305</v>
      </c>
      <c r="AN1303">
        <v>1.00000001386</v>
      </c>
    </row>
    <row r="1304" spans="1:40" x14ac:dyDescent="0.25">
      <c r="A1304" t="str">
        <f>"20190303171004199"</f>
        <v>20190303171004199</v>
      </c>
      <c r="B1304" t="str">
        <f>"1551604204192073"</f>
        <v>1551604204192073</v>
      </c>
      <c r="C1304" t="s">
        <v>40</v>
      </c>
      <c r="D1304">
        <v>5.1593019999999896</v>
      </c>
      <c r="E1304">
        <v>0.67670430000000004</v>
      </c>
      <c r="F1304" t="s">
        <v>59</v>
      </c>
      <c r="G1304">
        <v>-320.9588</v>
      </c>
      <c r="H1304">
        <v>1.9505220000000001</v>
      </c>
      <c r="I1304">
        <v>260.83249999999998</v>
      </c>
      <c r="J1304">
        <v>-198.9341</v>
      </c>
      <c r="K1304">
        <v>1.1108370000000001</v>
      </c>
      <c r="L1304">
        <v>287.8623</v>
      </c>
      <c r="M1304">
        <v>-0.68915969999999904</v>
      </c>
      <c r="N1304">
        <v>-1.50767E-2</v>
      </c>
      <c r="O1304">
        <v>-0.72445280000000001</v>
      </c>
      <c r="P1304">
        <v>-0.79199059999999999</v>
      </c>
      <c r="Q1304">
        <v>0.18232970000000001</v>
      </c>
      <c r="R1304">
        <v>-0.58267259999999998</v>
      </c>
      <c r="S1304">
        <v>-3.2690890000000001</v>
      </c>
      <c r="T1304">
        <v>2.2456529999999999E-2</v>
      </c>
      <c r="U1304">
        <v>-0.72817989999999999</v>
      </c>
      <c r="V1304">
        <v>0.17713039999999999</v>
      </c>
      <c r="W1304">
        <v>0.1925028</v>
      </c>
      <c r="X1304">
        <v>0.96517739999999996</v>
      </c>
      <c r="Y1304">
        <v>0.55718819999999902</v>
      </c>
      <c r="Z1304">
        <v>-1.40234E-2</v>
      </c>
      <c r="AA1304">
        <v>0.8302678</v>
      </c>
      <c r="AB1304">
        <v>27</v>
      </c>
      <c r="AC1304">
        <v>-122.0247</v>
      </c>
      <c r="AD1304">
        <v>0.83968500000000001</v>
      </c>
      <c r="AE1304">
        <v>-27.029800000000002</v>
      </c>
      <c r="AF1304">
        <v>69.7780594510904</v>
      </c>
      <c r="AG1304">
        <v>0.83968500000000001</v>
      </c>
      <c r="AH1304">
        <v>103.683411744794</v>
      </c>
      <c r="AI1304">
        <v>89.6150514233818</v>
      </c>
      <c r="AJ1304">
        <v>56.059779733755697</v>
      </c>
      <c r="AK1304">
        <v>124.979728447055</v>
      </c>
      <c r="AL1304">
        <v>78.901118645081993</v>
      </c>
      <c r="AM1304">
        <v>79.600735173561702</v>
      </c>
      <c r="AN1304">
        <v>0.99999996004137903</v>
      </c>
    </row>
    <row r="1305" spans="1:40" x14ac:dyDescent="0.25">
      <c r="A1305" t="str">
        <f>"20190303171004225"</f>
        <v>20190303171004225</v>
      </c>
      <c r="B1305" t="str">
        <f>"1551604204211594"</f>
        <v>1551604204211594</v>
      </c>
      <c r="C1305" t="s">
        <v>40</v>
      </c>
      <c r="D1305">
        <v>5.1604970000000003</v>
      </c>
      <c r="E1305">
        <v>0.67593219999999898</v>
      </c>
      <c r="F1305" t="s">
        <v>58</v>
      </c>
      <c r="G1305">
        <v>-328.40640000000002</v>
      </c>
      <c r="H1305">
        <v>1.912944</v>
      </c>
      <c r="I1305">
        <v>260.45839999999998</v>
      </c>
      <c r="J1305">
        <v>-199.15289999999999</v>
      </c>
      <c r="K1305">
        <v>1.1107400000000001</v>
      </c>
      <c r="L1305">
        <v>287.65699999999998</v>
      </c>
      <c r="M1305">
        <v>-0.70046009999999903</v>
      </c>
      <c r="N1305">
        <v>-1.511324E-2</v>
      </c>
      <c r="O1305">
        <v>-0.71353159999999904</v>
      </c>
      <c r="P1305">
        <v>-0.80008119999999905</v>
      </c>
      <c r="Q1305">
        <v>0.1837347</v>
      </c>
      <c r="R1305">
        <v>-0.57106210000000002</v>
      </c>
      <c r="S1305">
        <v>-3.2735289999999999</v>
      </c>
      <c r="T1305">
        <v>2.0280360000000001E-2</v>
      </c>
      <c r="U1305">
        <v>-0.69287109999999996</v>
      </c>
      <c r="V1305">
        <v>0.17588899999999999</v>
      </c>
      <c r="W1305">
        <v>0.19392980000000001</v>
      </c>
      <c r="X1305">
        <v>0.96511880000000005</v>
      </c>
      <c r="Y1305">
        <v>0.55293389999999998</v>
      </c>
      <c r="Z1305">
        <v>-1.319587E-2</v>
      </c>
      <c r="AA1305">
        <v>0.83312070000000005</v>
      </c>
      <c r="AB1305">
        <v>27</v>
      </c>
      <c r="AC1305">
        <v>-129.2535</v>
      </c>
      <c r="AD1305">
        <v>0.80220399999999903</v>
      </c>
      <c r="AE1305">
        <v>-27.198599999999999</v>
      </c>
      <c r="AF1305">
        <v>73.180577704096905</v>
      </c>
      <c r="AG1305">
        <v>0.80220399999999903</v>
      </c>
      <c r="AH1305">
        <v>109.952476824302</v>
      </c>
      <c r="AI1305">
        <v>89.652009551198205</v>
      </c>
      <c r="AJ1305">
        <v>56.3536329937915</v>
      </c>
      <c r="AK1305">
        <v>132.08174606720499</v>
      </c>
      <c r="AL1305">
        <v>78.817787760673298</v>
      </c>
      <c r="AM1305">
        <v>79.671429878202801</v>
      </c>
      <c r="AN1305">
        <v>1.0000000028812399</v>
      </c>
    </row>
    <row r="1306" spans="1:40" x14ac:dyDescent="0.25">
      <c r="A1306" t="str">
        <f>"20190303171004246"</f>
        <v>20190303171004246</v>
      </c>
      <c r="B1306" t="str">
        <f>"1551604204232090"</f>
        <v>1551604204232090</v>
      </c>
      <c r="C1306" t="s">
        <v>40</v>
      </c>
      <c r="D1306">
        <v>5.1893859999999998</v>
      </c>
      <c r="E1306">
        <v>0.66447809999999996</v>
      </c>
      <c r="F1306" t="s">
        <v>58</v>
      </c>
      <c r="G1306">
        <v>-330.15109999999999</v>
      </c>
      <c r="H1306">
        <v>2.002383</v>
      </c>
      <c r="I1306">
        <v>261.64870000000002</v>
      </c>
      <c r="J1306">
        <v>-199.35589999999999</v>
      </c>
      <c r="K1306">
        <v>1.1106579999999999</v>
      </c>
      <c r="L1306">
        <v>287.47239999999999</v>
      </c>
      <c r="M1306">
        <v>-0.71075319999999997</v>
      </c>
      <c r="N1306">
        <v>-1.51445E-2</v>
      </c>
      <c r="O1306">
        <v>-0.70327839999999997</v>
      </c>
      <c r="P1306">
        <v>-0.80730369999999996</v>
      </c>
      <c r="Q1306">
        <v>0.18465129999999999</v>
      </c>
      <c r="R1306">
        <v>-0.56050359999999999</v>
      </c>
      <c r="S1306">
        <v>-3.2797239999999999</v>
      </c>
      <c r="T1306">
        <v>2.2323849999999999E-2</v>
      </c>
      <c r="U1306">
        <v>-0.6511536</v>
      </c>
      <c r="V1306">
        <v>0.1744579</v>
      </c>
      <c r="W1306">
        <v>0.19487840000000001</v>
      </c>
      <c r="X1306">
        <v>0.96518749999999998</v>
      </c>
      <c r="Y1306">
        <v>0.55130950000000001</v>
      </c>
      <c r="Z1306">
        <v>-1.3536940000000001E-2</v>
      </c>
      <c r="AA1306">
        <v>0.83419100000000002</v>
      </c>
      <c r="AB1306">
        <v>27</v>
      </c>
      <c r="AC1306">
        <v>-130.79519999999999</v>
      </c>
      <c r="AD1306">
        <v>0.89172499999999999</v>
      </c>
      <c r="AE1306">
        <v>-25.823699999999899</v>
      </c>
      <c r="AF1306">
        <v>73.636313516122797</v>
      </c>
      <c r="AG1306">
        <v>0.89172499999999999</v>
      </c>
      <c r="AH1306">
        <v>111.132132690098</v>
      </c>
      <c r="AI1306">
        <v>89.616759929648595</v>
      </c>
      <c r="AJ1306">
        <v>56.471486855271003</v>
      </c>
      <c r="AK1306">
        <v>133.31711352249499</v>
      </c>
      <c r="AL1306">
        <v>78.762380192126102</v>
      </c>
      <c r="AM1306">
        <v>79.754393576074193</v>
      </c>
      <c r="AN1306">
        <v>1.0000000299076</v>
      </c>
    </row>
    <row r="1307" spans="1:40" x14ac:dyDescent="0.25">
      <c r="A1307" t="str">
        <f>"20190303171004269"</f>
        <v>20190303171004269</v>
      </c>
      <c r="B1307" t="str">
        <f>"1551604204262347"</f>
        <v>1551604204262347</v>
      </c>
      <c r="C1307" t="s">
        <v>40</v>
      </c>
      <c r="D1307">
        <v>5.1798229999999998</v>
      </c>
      <c r="E1307">
        <v>0.66305309999999995</v>
      </c>
      <c r="F1307" t="s">
        <v>54</v>
      </c>
      <c r="G1307">
        <v>-322.4572</v>
      </c>
      <c r="H1307">
        <v>0.89854969999999901</v>
      </c>
      <c r="I1307">
        <v>261.34780000000001</v>
      </c>
      <c r="J1307">
        <v>-199.56379999999999</v>
      </c>
      <c r="K1307">
        <v>1.110579</v>
      </c>
      <c r="L1307">
        <v>287.28870000000001</v>
      </c>
      <c r="M1307">
        <v>-0.72111309999999995</v>
      </c>
      <c r="N1307">
        <v>-1.517575E-2</v>
      </c>
      <c r="O1307">
        <v>-0.69265100000000002</v>
      </c>
      <c r="P1307">
        <v>-0.81495379999999995</v>
      </c>
      <c r="Q1307">
        <v>0.18502589999999999</v>
      </c>
      <c r="R1307">
        <v>-0.54919549999999995</v>
      </c>
      <c r="S1307">
        <v>-3.2399900000000001</v>
      </c>
      <c r="T1307">
        <v>-5.5810209999999898E-3</v>
      </c>
      <c r="U1307">
        <v>-0.68759159999999997</v>
      </c>
      <c r="V1307">
        <v>0.17357629999999999</v>
      </c>
      <c r="W1307">
        <v>0.19527220000000001</v>
      </c>
      <c r="X1307">
        <v>0.96526679999999998</v>
      </c>
      <c r="Y1307">
        <v>0.52784509999999996</v>
      </c>
      <c r="Z1307">
        <v>-5.874003E-3</v>
      </c>
      <c r="AA1307">
        <v>0.84932039999999998</v>
      </c>
      <c r="AB1307">
        <v>27</v>
      </c>
      <c r="AC1307">
        <v>-122.8934</v>
      </c>
      <c r="AD1307">
        <v>-0.2120293</v>
      </c>
      <c r="AE1307">
        <v>-25.940899999999999</v>
      </c>
      <c r="AF1307">
        <v>66.423379698418699</v>
      </c>
      <c r="AG1307">
        <v>-0.2120293</v>
      </c>
      <c r="AH1307">
        <v>106.600013008188</v>
      </c>
      <c r="AI1307">
        <v>90.096721888835205</v>
      </c>
      <c r="AJ1307">
        <v>58.072613485390598</v>
      </c>
      <c r="AK1307">
        <v>125.601246412327</v>
      </c>
      <c r="AL1307">
        <v>78.739374574028602</v>
      </c>
      <c r="AM1307">
        <v>79.805899791902107</v>
      </c>
      <c r="AN1307">
        <v>0.99999997959838405</v>
      </c>
    </row>
    <row r="1308" spans="1:40" x14ac:dyDescent="0.25">
      <c r="A1308" t="str">
        <f>"20190303171004290"</f>
        <v>20190303171004290</v>
      </c>
      <c r="B1308" t="str">
        <f>"1551604204281866"</f>
        <v>1551604204281866</v>
      </c>
      <c r="C1308" t="s">
        <v>40</v>
      </c>
      <c r="D1308">
        <v>5.1948869999999996</v>
      </c>
      <c r="E1308">
        <v>0.66262779999999999</v>
      </c>
      <c r="F1308" t="s">
        <v>54</v>
      </c>
      <c r="G1308">
        <v>-325.2133</v>
      </c>
      <c r="H1308">
        <v>0.8006704</v>
      </c>
      <c r="I1308">
        <v>262.03300000000002</v>
      </c>
      <c r="J1308">
        <v>-199.7628</v>
      </c>
      <c r="K1308">
        <v>1.1104989999999999</v>
      </c>
      <c r="L1308">
        <v>287.11829999999998</v>
      </c>
      <c r="M1308">
        <v>-0.73085169999999999</v>
      </c>
      <c r="N1308">
        <v>-1.520673E-2</v>
      </c>
      <c r="O1308">
        <v>-0.6823669</v>
      </c>
      <c r="P1308">
        <v>-0.82249249999999996</v>
      </c>
      <c r="Q1308">
        <v>0.18559690000000001</v>
      </c>
      <c r="R1308">
        <v>-0.53764309999999904</v>
      </c>
      <c r="S1308">
        <v>-3.2436370000000001</v>
      </c>
      <c r="T1308">
        <v>-7.9987050000000001E-3</v>
      </c>
      <c r="U1308">
        <v>-0.65197749999999999</v>
      </c>
      <c r="V1308">
        <v>0.17348810000000001</v>
      </c>
      <c r="W1308">
        <v>0.19584080000000001</v>
      </c>
      <c r="X1308">
        <v>0.96516749999999996</v>
      </c>
      <c r="Y1308">
        <v>0.52495340000000001</v>
      </c>
      <c r="Z1308">
        <v>-5.0739890000000001E-3</v>
      </c>
      <c r="AA1308">
        <v>0.85111589999999904</v>
      </c>
      <c r="AB1308">
        <v>27</v>
      </c>
      <c r="AC1308">
        <v>-125.45050000000001</v>
      </c>
      <c r="AD1308">
        <v>-0.30982859999999901</v>
      </c>
      <c r="AE1308">
        <v>-25.085299999999901</v>
      </c>
      <c r="AF1308">
        <v>67.277017989274</v>
      </c>
      <c r="AG1308">
        <v>-0.30982859999999901</v>
      </c>
      <c r="AH1308">
        <v>108.81503154884901</v>
      </c>
      <c r="AI1308">
        <v>90.138758617498496</v>
      </c>
      <c r="AJ1308">
        <v>58.272761328791702</v>
      </c>
      <c r="AK1308">
        <v>127.933593064009</v>
      </c>
      <c r="AL1308">
        <v>78.706155278253405</v>
      </c>
      <c r="AM1308">
        <v>79.809944893050002</v>
      </c>
      <c r="AN1308">
        <v>1.0000000214212399</v>
      </c>
    </row>
    <row r="1309" spans="1:40" x14ac:dyDescent="0.25">
      <c r="A1309" t="str">
        <f>"20190303171004313"</f>
        <v>20190303171004313</v>
      </c>
      <c r="B1309" t="str">
        <f>"1551604204302363"</f>
        <v>1551604204302363</v>
      </c>
      <c r="C1309" t="s">
        <v>40</v>
      </c>
      <c r="D1309">
        <v>5.1999820000000003</v>
      </c>
      <c r="E1309">
        <v>0.65617630000000005</v>
      </c>
      <c r="F1309" t="s">
        <v>54</v>
      </c>
      <c r="G1309">
        <v>-324.69909999999999</v>
      </c>
      <c r="H1309">
        <v>0.78899350000000001</v>
      </c>
      <c r="I1309">
        <v>263.6737</v>
      </c>
      <c r="J1309">
        <v>-199.97559999999999</v>
      </c>
      <c r="K1309">
        <v>1.110422</v>
      </c>
      <c r="L1309">
        <v>286.94139999999999</v>
      </c>
      <c r="M1309">
        <v>-0.74108289999999999</v>
      </c>
      <c r="N1309">
        <v>-1.524096E-2</v>
      </c>
      <c r="O1309">
        <v>-0.67124069999999902</v>
      </c>
      <c r="P1309">
        <v>-0.83050869999999999</v>
      </c>
      <c r="Q1309">
        <v>0.18684629999999999</v>
      </c>
      <c r="R1309">
        <v>-0.5247328</v>
      </c>
      <c r="S1309">
        <v>-3.25061</v>
      </c>
      <c r="T1309">
        <v>-8.3633660000000005E-3</v>
      </c>
      <c r="U1309">
        <v>-0.60998540000000001</v>
      </c>
      <c r="V1309">
        <v>0.17385909999999999</v>
      </c>
      <c r="W1309">
        <v>0.19707469999999999</v>
      </c>
      <c r="X1309">
        <v>0.96484950000000003</v>
      </c>
      <c r="Y1309">
        <v>0.52303559999999905</v>
      </c>
      <c r="Z1309">
        <v>-4.8144040000000004E-3</v>
      </c>
      <c r="AA1309">
        <v>0.85229730000000004</v>
      </c>
      <c r="AB1309">
        <v>27</v>
      </c>
      <c r="AC1309">
        <v>-124.7235</v>
      </c>
      <c r="AD1309">
        <v>-0.32142850000000001</v>
      </c>
      <c r="AE1309">
        <v>-23.267699999999898</v>
      </c>
      <c r="AF1309">
        <v>66.483482657187906</v>
      </c>
      <c r="AG1309">
        <v>-0.32142850000000001</v>
      </c>
      <c r="AH1309">
        <v>108.060525719336</v>
      </c>
      <c r="AI1309">
        <v>90.145154949797998</v>
      </c>
      <c r="AJ1309">
        <v>58.398383118242698</v>
      </c>
      <c r="AK1309">
        <v>126.874875374317</v>
      </c>
      <c r="AL1309">
        <v>78.634052549925002</v>
      </c>
      <c r="AM1309">
        <v>79.785317084029799</v>
      </c>
      <c r="AN1309">
        <v>0.99999999084157498</v>
      </c>
    </row>
    <row r="1310" spans="1:40" x14ac:dyDescent="0.25">
      <c r="A1310" t="str">
        <f>"20190303171004333"</f>
        <v>20190303171004333</v>
      </c>
      <c r="B1310" t="str">
        <f>"1551604204322858"</f>
        <v>1551604204322858</v>
      </c>
      <c r="C1310" t="s">
        <v>40</v>
      </c>
      <c r="D1310">
        <v>5.2161169999999997</v>
      </c>
      <c r="E1310">
        <v>0.65492189999999995</v>
      </c>
      <c r="F1310" t="s">
        <v>54</v>
      </c>
      <c r="G1310">
        <v>-322.1327</v>
      </c>
      <c r="H1310">
        <v>0.17092939999999901</v>
      </c>
      <c r="I1310">
        <v>264.03399999999999</v>
      </c>
      <c r="J1310">
        <v>-200.17320000000001</v>
      </c>
      <c r="K1310">
        <v>1.1103540000000001</v>
      </c>
      <c r="L1310">
        <v>286.78230000000002</v>
      </c>
      <c r="M1310">
        <v>-0.75040030000000002</v>
      </c>
      <c r="N1310">
        <v>-1.5272640000000001E-2</v>
      </c>
      <c r="O1310">
        <v>-0.66080740000000004</v>
      </c>
      <c r="P1310">
        <v>-0.83730000000000004</v>
      </c>
      <c r="Q1310">
        <v>0.1880802</v>
      </c>
      <c r="R1310">
        <v>-0.5133761</v>
      </c>
      <c r="S1310">
        <v>-3.234604</v>
      </c>
      <c r="T1310">
        <v>-2.487528E-2</v>
      </c>
      <c r="U1310">
        <v>-0.60656739999999998</v>
      </c>
      <c r="V1310">
        <v>0.17338629999999999</v>
      </c>
      <c r="W1310">
        <v>0.1983171</v>
      </c>
      <c r="X1310">
        <v>0.96467999999999998</v>
      </c>
      <c r="Y1310">
        <v>0.51117500000000005</v>
      </c>
      <c r="Z1310">
        <v>-3.87456E-4</v>
      </c>
      <c r="AA1310">
        <v>0.85947659999999904</v>
      </c>
      <c r="AB1310">
        <v>27</v>
      </c>
      <c r="AC1310">
        <v>-121.95950000000001</v>
      </c>
      <c r="AD1310">
        <v>-0.93942459999999905</v>
      </c>
      <c r="AE1310">
        <v>-22.7483</v>
      </c>
      <c r="AF1310">
        <v>63.525167151619499</v>
      </c>
      <c r="AG1310">
        <v>-0.93942459999999905</v>
      </c>
      <c r="AH1310">
        <v>106.55699435576</v>
      </c>
      <c r="AI1310">
        <v>90.433869587249802</v>
      </c>
      <c r="AJ1310">
        <v>59.198234620903101</v>
      </c>
      <c r="AK1310">
        <v>124.059350418878</v>
      </c>
      <c r="AL1310">
        <v>78.561435055692201</v>
      </c>
      <c r="AM1310">
        <v>79.810760290735402</v>
      </c>
      <c r="AN1310">
        <v>0.99999999179004995</v>
      </c>
    </row>
    <row r="1311" spans="1:40" x14ac:dyDescent="0.25">
      <c r="A1311" t="str">
        <f>"20190303171004357"</f>
        <v>20190303171004357</v>
      </c>
      <c r="B1311" t="str">
        <f>"1551604204341402"</f>
        <v>1551604204341402</v>
      </c>
      <c r="C1311" t="s">
        <v>40</v>
      </c>
      <c r="D1311">
        <v>5.2122919999999997</v>
      </c>
      <c r="E1311">
        <v>0.64849469999999898</v>
      </c>
      <c r="F1311" t="s">
        <v>54</v>
      </c>
      <c r="G1311">
        <v>-322.39370000000002</v>
      </c>
      <c r="H1311">
        <v>0.1455996</v>
      </c>
      <c r="I1311">
        <v>265.20359999999999</v>
      </c>
      <c r="J1311">
        <v>-200.39179999999999</v>
      </c>
      <c r="K1311">
        <v>1.110276</v>
      </c>
      <c r="L1311">
        <v>286.61130000000003</v>
      </c>
      <c r="M1311">
        <v>-0.76051749999999996</v>
      </c>
      <c r="N1311">
        <v>-1.5306719999999999E-2</v>
      </c>
      <c r="O1311">
        <v>-0.64913730000000003</v>
      </c>
      <c r="P1311">
        <v>-0.84491469999999902</v>
      </c>
      <c r="Q1311">
        <v>0.1887548</v>
      </c>
      <c r="R1311">
        <v>-0.50049079999999901</v>
      </c>
      <c r="S1311">
        <v>-3.238159</v>
      </c>
      <c r="T1311">
        <v>-2.555895E-2</v>
      </c>
      <c r="U1311">
        <v>-0.57171629999999996</v>
      </c>
      <c r="V1311">
        <v>0.17322299999999999</v>
      </c>
      <c r="W1311">
        <v>0.19899330000000001</v>
      </c>
      <c r="X1311">
        <v>0.96457009999999999</v>
      </c>
      <c r="Y1311">
        <v>0.50701799999999997</v>
      </c>
      <c r="Z1311">
        <v>-1.1063160000000001E-4</v>
      </c>
      <c r="AA1311">
        <v>0.86193549999999997</v>
      </c>
      <c r="AB1311">
        <v>27</v>
      </c>
      <c r="AC1311">
        <v>-122.00190000000001</v>
      </c>
      <c r="AD1311">
        <v>-0.96467639999999999</v>
      </c>
      <c r="AE1311">
        <v>-21.407699999999998</v>
      </c>
      <c r="AF1311">
        <v>62.918596348414901</v>
      </c>
      <c r="AG1311">
        <v>-0.96467639999999999</v>
      </c>
      <c r="AH1311">
        <v>106.687123987162</v>
      </c>
      <c r="AI1311">
        <v>90.4462417458586</v>
      </c>
      <c r="AJ1311">
        <v>59.470075397665703</v>
      </c>
      <c r="AK1311">
        <v>123.862112010347</v>
      </c>
      <c r="AL1311">
        <v>78.521903973741701</v>
      </c>
      <c r="AM1311">
        <v>79.819020421446396</v>
      </c>
      <c r="AN1311">
        <v>1.0000000094939401</v>
      </c>
    </row>
    <row r="1312" spans="1:40" x14ac:dyDescent="0.25">
      <c r="A1312" t="str">
        <f>"20190303171004379"</f>
        <v>20190303171004379</v>
      </c>
      <c r="B1312" t="str">
        <f>"1551604204371658"</f>
        <v>1551604204371658</v>
      </c>
      <c r="C1312" t="s">
        <v>40</v>
      </c>
      <c r="D1312">
        <v>5.2236710000000004</v>
      </c>
      <c r="E1312">
        <v>0.64752159999999903</v>
      </c>
      <c r="F1312" t="s">
        <v>60</v>
      </c>
      <c r="G1312">
        <v>-289.3689</v>
      </c>
      <c r="H1312">
        <v>8.0001320000000001E-2</v>
      </c>
      <c r="I1312">
        <v>270.93049999999999</v>
      </c>
      <c r="J1312">
        <v>-200.6122</v>
      </c>
      <c r="K1312">
        <v>1.1101939999999999</v>
      </c>
      <c r="L1312">
        <v>286.4452</v>
      </c>
      <c r="M1312">
        <v>-0.77049449999999997</v>
      </c>
      <c r="N1312">
        <v>-1.534019E-2</v>
      </c>
      <c r="O1312">
        <v>-0.637262199999999</v>
      </c>
      <c r="P1312">
        <v>-0.85240490000000002</v>
      </c>
      <c r="Q1312">
        <v>0.18994459999999999</v>
      </c>
      <c r="R1312">
        <v>-0.4871624</v>
      </c>
      <c r="S1312">
        <v>-3.2225950000000001</v>
      </c>
      <c r="T1312">
        <v>-3.7314769999999997E-2</v>
      </c>
      <c r="U1312">
        <v>-0.56793209999999905</v>
      </c>
      <c r="V1312">
        <v>0.17330960000000001</v>
      </c>
      <c r="W1312">
        <v>0.20017779999999999</v>
      </c>
      <c r="X1312">
        <v>0.96430939999999998</v>
      </c>
      <c r="Y1312">
        <v>0.49384719999999999</v>
      </c>
      <c r="Z1312">
        <v>2.9345899999999999E-3</v>
      </c>
      <c r="AA1312">
        <v>0.86954370000000003</v>
      </c>
      <c r="AB1312">
        <v>27</v>
      </c>
      <c r="AC1312">
        <v>-88.756699999999995</v>
      </c>
      <c r="AD1312">
        <v>-1.0301926800000001</v>
      </c>
      <c r="AE1312">
        <v>-15.514699999999999</v>
      </c>
      <c r="AF1312">
        <v>44.606712434853399</v>
      </c>
      <c r="AG1312">
        <v>-1.0301926800000001</v>
      </c>
      <c r="AH1312">
        <v>78.272451980020193</v>
      </c>
      <c r="AI1312">
        <v>90.655152145056505</v>
      </c>
      <c r="AJ1312">
        <v>60.321603345809599</v>
      </c>
      <c r="AK1312">
        <v>90.096597217476599</v>
      </c>
      <c r="AL1312">
        <v>78.452643447433402</v>
      </c>
      <c r="AM1312">
        <v>79.811341064471094</v>
      </c>
      <c r="AN1312">
        <v>0.99999999399668005</v>
      </c>
    </row>
    <row r="1313" spans="1:40" x14ac:dyDescent="0.25">
      <c r="A1313" t="str">
        <f>"20190303171004401"</f>
        <v>20190303171004401</v>
      </c>
      <c r="B1313" t="str">
        <f>"1551604204392154"</f>
        <v>1551604204392154</v>
      </c>
      <c r="C1313" t="s">
        <v>40</v>
      </c>
      <c r="D1313">
        <v>5.1880540000000002</v>
      </c>
      <c r="E1313">
        <v>0.64161919999999995</v>
      </c>
      <c r="F1313" t="s">
        <v>60</v>
      </c>
      <c r="G1313">
        <v>-290.79270000000002</v>
      </c>
      <c r="H1313" s="1">
        <v>4.9413730000000001E-6</v>
      </c>
      <c r="I1313">
        <v>271.74700000000001</v>
      </c>
      <c r="J1313">
        <v>-200.83269999999999</v>
      </c>
      <c r="K1313">
        <v>1.110125</v>
      </c>
      <c r="L1313">
        <v>286.28429999999997</v>
      </c>
      <c r="M1313">
        <v>-0.78026419999999996</v>
      </c>
      <c r="N1313">
        <v>-1.537208E-2</v>
      </c>
      <c r="O1313">
        <v>-0.62526119999999996</v>
      </c>
      <c r="P1313">
        <v>-0.86005679999999995</v>
      </c>
      <c r="Q1313">
        <v>0.19107279999999999</v>
      </c>
      <c r="R1313">
        <v>-0.47306799999999999</v>
      </c>
      <c r="S1313">
        <v>-3.227646</v>
      </c>
      <c r="T1313">
        <v>-3.9734720000000001E-2</v>
      </c>
      <c r="U1313">
        <v>-0.52606200000000003</v>
      </c>
      <c r="V1313">
        <v>0.17416709999999999</v>
      </c>
      <c r="W1313">
        <v>0.20128019999999999</v>
      </c>
      <c r="X1313">
        <v>0.96392540000000004</v>
      </c>
      <c r="Y1313">
        <v>0.4915814</v>
      </c>
      <c r="Z1313">
        <v>3.6286700000000001E-3</v>
      </c>
      <c r="AA1313">
        <v>0.87082409999999999</v>
      </c>
      <c r="AB1313">
        <v>27</v>
      </c>
      <c r="AC1313">
        <v>-89.96</v>
      </c>
      <c r="AD1313">
        <v>-1.1101200586269999</v>
      </c>
      <c r="AE1313">
        <v>-14.537299999999901</v>
      </c>
      <c r="AF1313">
        <v>44.904203345991803</v>
      </c>
      <c r="AG1313">
        <v>-1.1101200586269999</v>
      </c>
      <c r="AH1313">
        <v>79.279776920841499</v>
      </c>
      <c r="AI1313">
        <v>90.698052919107795</v>
      </c>
      <c r="AJ1313">
        <v>60.472708889427899</v>
      </c>
      <c r="AK1313">
        <v>91.120265985680405</v>
      </c>
      <c r="AL1313">
        <v>78.388168809569294</v>
      </c>
      <c r="AM1313">
        <v>79.758001166698193</v>
      </c>
      <c r="AN1313">
        <v>1.0000000371997999</v>
      </c>
    </row>
    <row r="1314" spans="1:40" x14ac:dyDescent="0.25">
      <c r="A1314" t="str">
        <f>"20190303171004426"</f>
        <v>20190303171004426</v>
      </c>
      <c r="B1314" t="str">
        <f>"1551604204411674"</f>
        <v>1551604204411674</v>
      </c>
      <c r="C1314" t="s">
        <v>40</v>
      </c>
      <c r="D1314">
        <v>5.1911610000000001</v>
      </c>
      <c r="E1314">
        <v>0.64125779999999999</v>
      </c>
      <c r="F1314" t="s">
        <v>53</v>
      </c>
      <c r="G1314">
        <v>-268.32130000000001</v>
      </c>
      <c r="H1314">
        <v>8.0000489999999994E-2</v>
      </c>
      <c r="I1314">
        <v>275.4144</v>
      </c>
      <c r="J1314">
        <v>-201.07419999999999</v>
      </c>
      <c r="K1314">
        <v>1.110058</v>
      </c>
      <c r="L1314">
        <v>286.11419999999998</v>
      </c>
      <c r="M1314">
        <v>-0.79069780000000001</v>
      </c>
      <c r="N1314">
        <v>-1.5404080000000001E-2</v>
      </c>
      <c r="O1314">
        <v>-0.61201300000000003</v>
      </c>
      <c r="P1314">
        <v>-0.86846080000000003</v>
      </c>
      <c r="Q1314">
        <v>0.19105549999999999</v>
      </c>
      <c r="R1314">
        <v>-0.4574648</v>
      </c>
      <c r="S1314">
        <v>-3.2142789999999999</v>
      </c>
      <c r="T1314">
        <v>-4.9061779999999999E-2</v>
      </c>
      <c r="U1314">
        <v>-0.51770020000000005</v>
      </c>
      <c r="V1314">
        <v>0.175348</v>
      </c>
      <c r="W1314">
        <v>0.201233</v>
      </c>
      <c r="X1314">
        <v>0.9637211</v>
      </c>
      <c r="Y1314">
        <v>0.47845209999999999</v>
      </c>
      <c r="Z1314">
        <v>5.9337900000000004E-3</v>
      </c>
      <c r="AA1314">
        <v>0.87809359999999903</v>
      </c>
      <c r="AB1314">
        <v>27</v>
      </c>
      <c r="AC1314">
        <v>-67.247100000000003</v>
      </c>
      <c r="AD1314">
        <v>-1.03005751</v>
      </c>
      <c r="AE1314">
        <v>-10.6997999999999</v>
      </c>
      <c r="AF1314">
        <v>32.692186452110001</v>
      </c>
      <c r="AG1314">
        <v>-1.03005751</v>
      </c>
      <c r="AH1314">
        <v>59.713966663145698</v>
      </c>
      <c r="AI1314">
        <v>90.866857669031305</v>
      </c>
      <c r="AJ1314">
        <v>61.300188513897098</v>
      </c>
      <c r="AK1314">
        <v>68.085225182419094</v>
      </c>
      <c r="AL1314">
        <v>78.390929223280907</v>
      </c>
      <c r="AM1314">
        <v>79.687903422839099</v>
      </c>
      <c r="AN1314">
        <v>0.99999999998910405</v>
      </c>
    </row>
    <row r="1315" spans="1:40" x14ac:dyDescent="0.25">
      <c r="A1315" t="str">
        <f>"20190303171004449"</f>
        <v>20190303171004449</v>
      </c>
      <c r="B1315" t="str">
        <f>"1551604204441930"</f>
        <v>1551604204441930</v>
      </c>
      <c r="C1315" t="s">
        <v>40</v>
      </c>
      <c r="D1315">
        <v>5.0099559999999999</v>
      </c>
      <c r="E1315">
        <v>0.64056190000000002</v>
      </c>
      <c r="F1315" t="s">
        <v>53</v>
      </c>
      <c r="G1315">
        <v>-264.34109999999998</v>
      </c>
      <c r="H1315">
        <v>8.0000180000000004E-2</v>
      </c>
      <c r="I1315">
        <v>277.0188</v>
      </c>
      <c r="J1315">
        <v>-201.3152</v>
      </c>
      <c r="K1315">
        <v>1.110009</v>
      </c>
      <c r="L1315">
        <v>285.95030000000003</v>
      </c>
      <c r="M1315">
        <v>-0.80083689999999996</v>
      </c>
      <c r="N1315">
        <v>-1.543213E-2</v>
      </c>
      <c r="O1315">
        <v>-0.59868379999999999</v>
      </c>
      <c r="P1315">
        <v>-0.87620889999999996</v>
      </c>
      <c r="Q1315">
        <v>0.19108749999999999</v>
      </c>
      <c r="R1315">
        <v>-0.44242969999999998</v>
      </c>
      <c r="S1315">
        <v>-3.2219389999999999</v>
      </c>
      <c r="T1315">
        <v>-5.2456860000000001E-2</v>
      </c>
      <c r="U1315">
        <v>-0.46319579999999999</v>
      </c>
      <c r="V1315">
        <v>0.175837299999999</v>
      </c>
      <c r="W1315">
        <v>0.20125870000000001</v>
      </c>
      <c r="X1315">
        <v>0.9636266</v>
      </c>
      <c r="Y1315">
        <v>0.47857949999999999</v>
      </c>
      <c r="Z1315">
        <v>6.847438E-3</v>
      </c>
      <c r="AA1315">
        <v>0.87801749999999901</v>
      </c>
      <c r="AB1315">
        <v>27</v>
      </c>
      <c r="AC1315">
        <v>-63.025899999999901</v>
      </c>
      <c r="AD1315">
        <v>-1.0300088199999999</v>
      </c>
      <c r="AE1315">
        <v>-8.9315000000000193</v>
      </c>
      <c r="AF1315">
        <v>30.575544299770598</v>
      </c>
      <c r="AG1315">
        <v>-1.0300088199999999</v>
      </c>
      <c r="AH1315">
        <v>55.812640598016003</v>
      </c>
      <c r="AI1315">
        <v>90.927262542270398</v>
      </c>
      <c r="AJ1315">
        <v>61.284982641053602</v>
      </c>
      <c r="AK1315">
        <v>63.647275494869497</v>
      </c>
      <c r="AL1315">
        <v>78.389426229048595</v>
      </c>
      <c r="AM1315">
        <v>79.658755780414296</v>
      </c>
      <c r="AN1315">
        <v>1.00000002231226</v>
      </c>
    </row>
    <row r="1316" spans="1:40" x14ac:dyDescent="0.25">
      <c r="A1316" t="str">
        <f>"20190303171004491"</f>
        <v>20190303171004491</v>
      </c>
      <c r="B1316" t="str">
        <f>"1551604204481946"</f>
        <v>1551604204481946</v>
      </c>
      <c r="C1316" t="s">
        <v>40</v>
      </c>
      <c r="D1316">
        <v>5.1825289999999997</v>
      </c>
      <c r="E1316">
        <v>0.6582519</v>
      </c>
      <c r="F1316" t="s">
        <v>53</v>
      </c>
      <c r="G1316">
        <v>-275.68430000000001</v>
      </c>
      <c r="H1316">
        <v>8.0001619999999996E-2</v>
      </c>
      <c r="I1316">
        <v>276.47089999999997</v>
      </c>
      <c r="J1316">
        <v>-201.73419999999999</v>
      </c>
      <c r="K1316">
        <v>1.109964</v>
      </c>
      <c r="L1316">
        <v>285.67959999999999</v>
      </c>
      <c r="M1316">
        <v>-0.81778009999999901</v>
      </c>
      <c r="N1316">
        <v>-1.547281E-2</v>
      </c>
      <c r="O1316">
        <v>-0.57532289999999997</v>
      </c>
      <c r="P1316">
        <v>-0.89014179999999998</v>
      </c>
      <c r="Q1316">
        <v>0.19258149999999999</v>
      </c>
      <c r="R1316">
        <v>-0.41298899999999999</v>
      </c>
      <c r="S1316">
        <v>-3.2259519999999999</v>
      </c>
      <c r="T1316">
        <v>-4.4679280000000002E-2</v>
      </c>
      <c r="U1316">
        <v>-0.4111938</v>
      </c>
      <c r="V1316">
        <v>0.18002750000000001</v>
      </c>
      <c r="W1316">
        <v>0.2026415</v>
      </c>
      <c r="X1316">
        <v>0.96256240000000004</v>
      </c>
      <c r="Y1316">
        <v>0.4672732</v>
      </c>
      <c r="Z1316">
        <v>4.927262E-3</v>
      </c>
      <c r="AA1316">
        <v>0.88409930000000003</v>
      </c>
      <c r="AB1316">
        <v>27</v>
      </c>
      <c r="AC1316">
        <v>-73.950100000000006</v>
      </c>
      <c r="AD1316">
        <v>-1.02996238</v>
      </c>
      <c r="AE1316">
        <v>-9.2087000000000199</v>
      </c>
      <c r="AF1316">
        <v>35.011996023596502</v>
      </c>
      <c r="AG1316">
        <v>-1.02996238</v>
      </c>
      <c r="AH1316">
        <v>65.768203129630706</v>
      </c>
      <c r="AI1316">
        <v>90.791988954302298</v>
      </c>
      <c r="AJ1316">
        <v>61.971196006926398</v>
      </c>
      <c r="AK1316">
        <v>74.514141147576296</v>
      </c>
      <c r="AL1316">
        <v>78.308529694785904</v>
      </c>
      <c r="AM1316">
        <v>79.406392765836799</v>
      </c>
      <c r="AN1316">
        <v>0.99999992608612698</v>
      </c>
    </row>
    <row r="1317" spans="1:40" x14ac:dyDescent="0.25">
      <c r="A1317" t="str">
        <f>"20190303171004512"</f>
        <v>20190303171004512</v>
      </c>
      <c r="B1317" t="str">
        <f>"1551604204502442"</f>
        <v>1551604204502442</v>
      </c>
      <c r="C1317" t="s">
        <v>40</v>
      </c>
      <c r="D1317">
        <v>5.2079899999999997</v>
      </c>
      <c r="E1317">
        <v>0.65880240000000001</v>
      </c>
      <c r="F1317" t="s">
        <v>61</v>
      </c>
      <c r="G1317">
        <v>-512.82539999999995</v>
      </c>
      <c r="H1317">
        <v>0.70088030000000001</v>
      </c>
      <c r="I1317">
        <v>269.3845</v>
      </c>
      <c r="J1317">
        <v>-201.9572</v>
      </c>
      <c r="K1317">
        <v>1.10995</v>
      </c>
      <c r="L1317">
        <v>285.54239999999999</v>
      </c>
      <c r="M1317">
        <v>-0.82644139999999999</v>
      </c>
      <c r="N1317">
        <v>-1.549E-2</v>
      </c>
      <c r="O1317">
        <v>-0.56280959999999902</v>
      </c>
      <c r="P1317">
        <v>-0.89707519999999996</v>
      </c>
      <c r="Q1317">
        <v>0.1923977</v>
      </c>
      <c r="R1317">
        <v>-0.39779320000000001</v>
      </c>
      <c r="S1317">
        <v>-3.2911830000000002</v>
      </c>
      <c r="T1317">
        <v>-4.3270590000000003E-3</v>
      </c>
      <c r="U1317">
        <v>-0.17239380000000001</v>
      </c>
      <c r="V1317">
        <v>0.18177219999999999</v>
      </c>
      <c r="W1317">
        <v>0.2024183</v>
      </c>
      <c r="X1317">
        <v>0.96228150000000001</v>
      </c>
      <c r="Y1317">
        <v>0.51880800000000005</v>
      </c>
      <c r="Z1317">
        <v>-4.0946799999999998E-3</v>
      </c>
      <c r="AA1317">
        <v>0.854881</v>
      </c>
      <c r="AB1317">
        <v>26</v>
      </c>
      <c r="AC1317">
        <v>-310.86819999999898</v>
      </c>
      <c r="AD1317">
        <v>-0.40906969999999898</v>
      </c>
      <c r="AE1317">
        <v>-16.157899999999898</v>
      </c>
      <c r="AF1317">
        <v>161.62516419575601</v>
      </c>
      <c r="AG1317">
        <v>-0.40906969999999898</v>
      </c>
      <c r="AH1317">
        <v>266.03963450428301</v>
      </c>
      <c r="AI1317">
        <v>90.075293640712502</v>
      </c>
      <c r="AJ1317">
        <v>58.720361893148201</v>
      </c>
      <c r="AK1317">
        <v>311.287565068856</v>
      </c>
      <c r="AL1317">
        <v>78.321589541688397</v>
      </c>
      <c r="AM1317">
        <v>79.303034132581899</v>
      </c>
      <c r="AN1317">
        <v>0.99999999305498999</v>
      </c>
    </row>
    <row r="1318" spans="1:40" x14ac:dyDescent="0.25">
      <c r="A1318" t="str">
        <f>"20190303171004535"</f>
        <v>20190303171004535</v>
      </c>
      <c r="B1318" t="str">
        <f>"1551604204521962"</f>
        <v>1551604204521962</v>
      </c>
      <c r="C1318" t="s">
        <v>40</v>
      </c>
      <c r="D1318">
        <v>5.1966000000000001</v>
      </c>
      <c r="E1318">
        <v>0.65789869999999995</v>
      </c>
      <c r="F1318" t="s">
        <v>46</v>
      </c>
      <c r="G1318">
        <v>-455.2321</v>
      </c>
      <c r="H1318">
        <v>1.052135</v>
      </c>
      <c r="I1318">
        <v>276.9588</v>
      </c>
      <c r="J1318">
        <v>-202.20189999999999</v>
      </c>
      <c r="K1318">
        <v>1.1099490000000001</v>
      </c>
      <c r="L1318">
        <v>285.39710000000002</v>
      </c>
      <c r="M1318">
        <v>-0.83565529999999999</v>
      </c>
      <c r="N1318">
        <v>-1.550523E-2</v>
      </c>
      <c r="O1318">
        <v>-0.5490353</v>
      </c>
      <c r="P1318">
        <v>-0.90368820000000005</v>
      </c>
      <c r="Q1318">
        <v>0.19106000000000001</v>
      </c>
      <c r="R1318">
        <v>-0.38320219999999999</v>
      </c>
      <c r="S1318">
        <v>-3.294861</v>
      </c>
      <c r="T1318">
        <v>-7.5125690000000004E-4</v>
      </c>
      <c r="U1318">
        <v>-0.11166379999999999</v>
      </c>
      <c r="V1318">
        <v>0.18153820000000001</v>
      </c>
      <c r="W1318">
        <v>0.20110549999999999</v>
      </c>
      <c r="X1318">
        <v>0.96260089999999998</v>
      </c>
      <c r="Y1318">
        <v>0.52041269999999995</v>
      </c>
      <c r="Z1318">
        <v>-4.6969339999999998E-3</v>
      </c>
      <c r="AA1318">
        <v>0.85390200000000005</v>
      </c>
      <c r="AB1318">
        <v>26</v>
      </c>
      <c r="AC1318">
        <v>-253.03020000000001</v>
      </c>
      <c r="AD1318">
        <v>-5.7813999999999997E-2</v>
      </c>
      <c r="AE1318">
        <v>-8.4383000000000195</v>
      </c>
      <c r="AF1318">
        <v>131.886852410671</v>
      </c>
      <c r="AG1318">
        <v>-5.7813999999999997E-2</v>
      </c>
      <c r="AH1318">
        <v>216.104924736154</v>
      </c>
      <c r="AI1318">
        <v>90.013084042306602</v>
      </c>
      <c r="AJ1318">
        <v>58.604666398282397</v>
      </c>
      <c r="AK1318">
        <v>253.17085866361401</v>
      </c>
      <c r="AL1318">
        <v>78.398387089575905</v>
      </c>
      <c r="AM1318">
        <v>79.319950774073305</v>
      </c>
      <c r="AN1318">
        <v>1.0000000164351499</v>
      </c>
    </row>
    <row r="1319" spans="1:40" x14ac:dyDescent="0.25">
      <c r="A1319" t="str">
        <f>"20190303171004559"</f>
        <v>20190303171004559</v>
      </c>
      <c r="B1319" t="str">
        <f>"1551604204541481"</f>
        <v>1551604204541481</v>
      </c>
      <c r="C1319" t="s">
        <v>40</v>
      </c>
      <c r="D1319">
        <v>5.1810609999999997</v>
      </c>
      <c r="E1319">
        <v>0.65650889999999995</v>
      </c>
      <c r="F1319" t="s">
        <v>61</v>
      </c>
      <c r="G1319">
        <v>-551.06219999999996</v>
      </c>
      <c r="H1319">
        <v>0.96284539999999996</v>
      </c>
      <c r="I1319">
        <v>278.67250000000001</v>
      </c>
      <c r="J1319">
        <v>-202.43389999999999</v>
      </c>
      <c r="K1319">
        <v>1.1099600000000001</v>
      </c>
      <c r="L1319">
        <v>285.26459999999997</v>
      </c>
      <c r="M1319">
        <v>-0.84411250000000004</v>
      </c>
      <c r="N1319">
        <v>-1.551631E-2</v>
      </c>
      <c r="O1319">
        <v>-0.53594149999999996</v>
      </c>
      <c r="P1319">
        <v>-0.90930350000000004</v>
      </c>
      <c r="Q1319">
        <v>0.1909275</v>
      </c>
      <c r="R1319">
        <v>-0.36974859999999998</v>
      </c>
      <c r="S1319">
        <v>-3.2931059999999999</v>
      </c>
      <c r="T1319">
        <v>-1.387835E-3</v>
      </c>
      <c r="U1319">
        <v>-6.3476560000000001E-2</v>
      </c>
      <c r="V1319">
        <v>0.1808234</v>
      </c>
      <c r="W1319">
        <v>0.20100970000000001</v>
      </c>
      <c r="X1319">
        <v>0.96275540000000004</v>
      </c>
      <c r="Y1319">
        <v>0.51957359999999997</v>
      </c>
      <c r="Z1319">
        <v>-4.3204259999999996E-3</v>
      </c>
      <c r="AA1319">
        <v>0.85441480000000003</v>
      </c>
      <c r="AB1319">
        <v>26</v>
      </c>
      <c r="AC1319">
        <v>-348.62830000000002</v>
      </c>
      <c r="AD1319">
        <v>-0.14711460000000001</v>
      </c>
      <c r="AE1319">
        <v>-6.5920999999999497</v>
      </c>
      <c r="AF1319">
        <v>181.30169743341901</v>
      </c>
      <c r="AG1319">
        <v>-0.14711460000000001</v>
      </c>
      <c r="AH1319">
        <v>297.850295560809</v>
      </c>
      <c r="AI1319">
        <v>90.024173425497594</v>
      </c>
      <c r="AJ1319">
        <v>58.671094133148699</v>
      </c>
      <c r="AK1319">
        <v>348.69058734156499</v>
      </c>
      <c r="AL1319">
        <v>78.403990030697102</v>
      </c>
      <c r="AM1319">
        <v>79.362709622852194</v>
      </c>
      <c r="AN1319">
        <v>0.99999998085540398</v>
      </c>
    </row>
    <row r="1320" spans="1:40" x14ac:dyDescent="0.25">
      <c r="A1320" t="str">
        <f>"20190303171004579"</f>
        <v>20190303171004579</v>
      </c>
      <c r="B1320" t="str">
        <f>"1551604204571738"</f>
        <v>1551604204571738</v>
      </c>
      <c r="C1320" t="s">
        <v>40</v>
      </c>
      <c r="D1320">
        <v>5.1799609999999996</v>
      </c>
      <c r="E1320">
        <v>0.64412639999999999</v>
      </c>
      <c r="F1320" t="s">
        <v>62</v>
      </c>
      <c r="G1320">
        <v>0</v>
      </c>
      <c r="H1320">
        <v>0</v>
      </c>
      <c r="I1320">
        <v>0</v>
      </c>
      <c r="J1320">
        <v>-202.66390000000001</v>
      </c>
      <c r="K1320">
        <v>1.109977</v>
      </c>
      <c r="L1320">
        <v>285.13799999999998</v>
      </c>
      <c r="M1320">
        <v>-0.85222520000000002</v>
      </c>
      <c r="N1320">
        <v>-1.5524700000000001E-2</v>
      </c>
      <c r="O1320">
        <v>-0.52294490000000005</v>
      </c>
      <c r="P1320">
        <v>-0.91449499999999995</v>
      </c>
      <c r="Q1320">
        <v>0.19140670000000001</v>
      </c>
      <c r="R1320">
        <v>-0.35645850000000001</v>
      </c>
      <c r="S1320">
        <v>-3.2899929999999999</v>
      </c>
      <c r="T1320">
        <v>-2.2344589999999998E-3</v>
      </c>
      <c r="U1320">
        <v>-2.3925780000000001E-2</v>
      </c>
      <c r="V1320">
        <v>0.18005360000000001</v>
      </c>
      <c r="W1320">
        <v>0.2015245</v>
      </c>
      <c r="X1320">
        <v>0.96279210000000004</v>
      </c>
      <c r="Y1320">
        <v>0.51673549999999902</v>
      </c>
      <c r="Z1320">
        <v>-3.918716E-3</v>
      </c>
      <c r="AA1320">
        <v>0.85613609999999896</v>
      </c>
      <c r="AB1320">
        <v>26</v>
      </c>
      <c r="AC1320">
        <v>-3.2899929999999999</v>
      </c>
      <c r="AD1320">
        <v>-2.2344589999999998E-3</v>
      </c>
      <c r="AE1320">
        <v>-2.3925780000000001E-2</v>
      </c>
      <c r="AF1320">
        <v>1.7002988859427199</v>
      </c>
      <c r="AG1320">
        <v>-2.2344589999999998E-3</v>
      </c>
      <c r="AH1320">
        <v>2.8166647112946102</v>
      </c>
      <c r="AI1320">
        <v>90.038912461004202</v>
      </c>
      <c r="AJ1320">
        <v>58.882432550751403</v>
      </c>
      <c r="AK1320">
        <v>3.2900792376776402</v>
      </c>
      <c r="AL1320">
        <v>78.3738784860968</v>
      </c>
      <c r="AM1320">
        <v>79.407362235265097</v>
      </c>
      <c r="AN1320">
        <v>1.0000000253978001</v>
      </c>
    </row>
    <row r="1321" spans="1:40" x14ac:dyDescent="0.25">
      <c r="A1321" t="str">
        <f>"20190303171004602"</f>
        <v>20190303171004602</v>
      </c>
      <c r="B1321" t="str">
        <f>"1551604204592235"</f>
        <v>1551604204592235</v>
      </c>
      <c r="C1321" t="s">
        <v>40</v>
      </c>
      <c r="D1321">
        <v>5.161556</v>
      </c>
      <c r="E1321">
        <v>0.64283789999999996</v>
      </c>
      <c r="F1321" t="s">
        <v>53</v>
      </c>
      <c r="G1321">
        <v>-381.63380000000001</v>
      </c>
      <c r="H1321" s="1">
        <v>-6.6737159999999995E-7</v>
      </c>
      <c r="I1321">
        <v>281.20370000000003</v>
      </c>
      <c r="J1321">
        <v>-202.91040000000001</v>
      </c>
      <c r="K1321">
        <v>1.1099950000000001</v>
      </c>
      <c r="L1321">
        <v>285.00740000000002</v>
      </c>
      <c r="M1321">
        <v>-0.86063369999999995</v>
      </c>
      <c r="N1321">
        <v>-1.553149E-2</v>
      </c>
      <c r="O1321">
        <v>-0.50898759999999998</v>
      </c>
      <c r="P1321">
        <v>-0.91967429999999994</v>
      </c>
      <c r="Q1321">
        <v>0.19260820000000001</v>
      </c>
      <c r="R1321">
        <v>-0.34220099999999998</v>
      </c>
      <c r="S1321">
        <v>-3.2568049999999999</v>
      </c>
      <c r="T1321">
        <v>-2.0198819999999999E-2</v>
      </c>
      <c r="U1321">
        <v>-7.1594240000000003E-2</v>
      </c>
      <c r="V1321">
        <v>0.17922299999999999</v>
      </c>
      <c r="W1321">
        <v>0.20276250000000001</v>
      </c>
      <c r="X1321">
        <v>0.96268710000000002</v>
      </c>
      <c r="Y1321">
        <v>0.4899559</v>
      </c>
      <c r="Z1321">
        <v>1.469245E-4</v>
      </c>
      <c r="AA1321">
        <v>0.87174719999999895</v>
      </c>
      <c r="AB1321">
        <v>26</v>
      </c>
      <c r="AC1321">
        <v>-178.7234</v>
      </c>
      <c r="AD1321">
        <v>-1.1099956673716</v>
      </c>
      <c r="AE1321">
        <v>-3.8036999999999899</v>
      </c>
      <c r="AF1321">
        <v>87.701601050875496</v>
      </c>
      <c r="AG1321">
        <v>-1.1099956673716</v>
      </c>
      <c r="AH1321">
        <v>155.76420312800701</v>
      </c>
      <c r="AI1321">
        <v>90.355774917006002</v>
      </c>
      <c r="AJ1321">
        <v>60.618714042973103</v>
      </c>
      <c r="AK1321">
        <v>178.760425971106</v>
      </c>
      <c r="AL1321">
        <v>78.301450617346802</v>
      </c>
      <c r="AM1321">
        <v>79.454004080477503</v>
      </c>
      <c r="AN1321">
        <v>0.999999983820829</v>
      </c>
    </row>
    <row r="1322" spans="1:40" x14ac:dyDescent="0.25">
      <c r="A1322" t="str">
        <f>"20190303171004627"</f>
        <v>20190303171004627</v>
      </c>
      <c r="B1322" t="str">
        <f>"1551604204611754"</f>
        <v>1551604204611754</v>
      </c>
      <c r="C1322" t="s">
        <v>40</v>
      </c>
      <c r="D1322">
        <v>5.1589830000000001</v>
      </c>
      <c r="E1322">
        <v>0.64190999999999998</v>
      </c>
      <c r="F1322" t="s">
        <v>53</v>
      </c>
      <c r="G1322">
        <v>-355.20940000000002</v>
      </c>
      <c r="H1322" s="1">
        <v>1.23542E-6</v>
      </c>
      <c r="I1322">
        <v>283.45659999999998</v>
      </c>
      <c r="J1322">
        <v>-203.15379999999999</v>
      </c>
      <c r="K1322">
        <v>1.1100129999999999</v>
      </c>
      <c r="L1322">
        <v>284.88350000000003</v>
      </c>
      <c r="M1322">
        <v>-0.86864609999999998</v>
      </c>
      <c r="N1322">
        <v>-1.553623E-2</v>
      </c>
      <c r="O1322">
        <v>-0.49518970000000001</v>
      </c>
      <c r="P1322">
        <v>-0.92463799999999996</v>
      </c>
      <c r="Q1322">
        <v>0.1926928</v>
      </c>
      <c r="R1322">
        <v>-0.3285033</v>
      </c>
      <c r="S1322">
        <v>-3.2546689999999998</v>
      </c>
      <c r="T1322">
        <v>-2.372086E-2</v>
      </c>
      <c r="U1322">
        <v>-3.3142089999999999E-2</v>
      </c>
      <c r="V1322">
        <v>0.178140299999999</v>
      </c>
      <c r="W1322">
        <v>0.20289270000000001</v>
      </c>
      <c r="X1322">
        <v>0.96286059999999996</v>
      </c>
      <c r="Y1322">
        <v>0.48632310000000001</v>
      </c>
      <c r="Z1322">
        <v>1.0616460000000001E-3</v>
      </c>
      <c r="AA1322">
        <v>0.87377839999999996</v>
      </c>
      <c r="AB1322">
        <v>26</v>
      </c>
      <c r="AC1322">
        <v>-152.0556</v>
      </c>
      <c r="AD1322">
        <v>-1.1100117645799901</v>
      </c>
      <c r="AE1322">
        <v>-1.42690000000004</v>
      </c>
      <c r="AF1322">
        <v>74.061879066243705</v>
      </c>
      <c r="AG1322">
        <v>-1.1100117645799901</v>
      </c>
      <c r="AH1322">
        <v>132.798025395194</v>
      </c>
      <c r="AI1322">
        <v>90.418257849496896</v>
      </c>
      <c r="AJ1322">
        <v>60.851453658353002</v>
      </c>
      <c r="AK1322">
        <v>152.05824412310901</v>
      </c>
      <c r="AL1322">
        <v>78.293832247800694</v>
      </c>
      <c r="AM1322">
        <v>79.518143833840298</v>
      </c>
      <c r="AN1322">
        <v>0.999999974614869</v>
      </c>
    </row>
    <row r="1323" spans="1:40" x14ac:dyDescent="0.25">
      <c r="A1323" t="str">
        <f>"20190303171004649"</f>
        <v>20190303171004649</v>
      </c>
      <c r="B1323" t="str">
        <f>"1551604204642010"</f>
        <v>1551604204642010</v>
      </c>
      <c r="C1323" t="s">
        <v>40</v>
      </c>
      <c r="D1323">
        <v>4.9831219999999998</v>
      </c>
      <c r="E1323">
        <v>0.64036719999999903</v>
      </c>
      <c r="F1323" t="s">
        <v>53</v>
      </c>
      <c r="G1323">
        <v>-336.00290000000001</v>
      </c>
      <c r="H1323" s="1">
        <v>1.6314200000000001E-6</v>
      </c>
      <c r="I1323">
        <v>285.21620000000001</v>
      </c>
      <c r="J1323">
        <v>-203.4145</v>
      </c>
      <c r="K1323">
        <v>1.110039</v>
      </c>
      <c r="L1323">
        <v>284.75599999999997</v>
      </c>
      <c r="M1323">
        <v>-0.87691679999999905</v>
      </c>
      <c r="N1323">
        <v>-1.553949E-2</v>
      </c>
      <c r="O1323">
        <v>-0.48039110000000002</v>
      </c>
      <c r="P1323">
        <v>-0.92988280000000001</v>
      </c>
      <c r="Q1323">
        <v>0.19217819999999999</v>
      </c>
      <c r="R1323">
        <v>-0.31366470000000002</v>
      </c>
      <c r="S1323">
        <v>-3.253082</v>
      </c>
      <c r="T1323">
        <v>-2.7180909999999999E-2</v>
      </c>
      <c r="U1323">
        <v>8.1481929999999998E-3</v>
      </c>
      <c r="V1323">
        <v>0.17724619999999999</v>
      </c>
      <c r="W1323">
        <v>0.20241970000000001</v>
      </c>
      <c r="X1323">
        <v>0.96312520000000001</v>
      </c>
      <c r="Y1323">
        <v>0.48258689999999999</v>
      </c>
      <c r="Z1323">
        <v>1.939992E-3</v>
      </c>
      <c r="AA1323">
        <v>0.87584599999999901</v>
      </c>
      <c r="AB1323">
        <v>26</v>
      </c>
      <c r="AC1323">
        <v>-132.58840000000001</v>
      </c>
      <c r="AD1323">
        <v>-1.11003736858</v>
      </c>
      <c r="AE1323">
        <v>0.46020000000004202</v>
      </c>
      <c r="AF1323">
        <v>64.101086907150304</v>
      </c>
      <c r="AG1323">
        <v>-1.11003736858</v>
      </c>
      <c r="AH1323">
        <v>116.053789895338</v>
      </c>
      <c r="AI1323">
        <v>90.479702936407804</v>
      </c>
      <c r="AJ1323">
        <v>61.0863975093514</v>
      </c>
      <c r="AK1323">
        <v>132.584552926458</v>
      </c>
      <c r="AL1323">
        <v>78.321508313709899</v>
      </c>
      <c r="AM1323">
        <v>79.572398312723806</v>
      </c>
      <c r="AN1323">
        <v>1.0000000506187801</v>
      </c>
    </row>
    <row r="1324" spans="1:40" x14ac:dyDescent="0.25">
      <c r="A1324" t="str">
        <f>"20190303171004670"</f>
        <v>20190303171004670</v>
      </c>
      <c r="B1324" t="str">
        <f>"1551604204661530"</f>
        <v>1551604204661530</v>
      </c>
      <c r="C1324" t="s">
        <v>40</v>
      </c>
      <c r="D1324">
        <v>4.982246</v>
      </c>
      <c r="E1324">
        <v>0.63941939999999997</v>
      </c>
      <c r="F1324" t="s">
        <v>53</v>
      </c>
      <c r="G1324">
        <v>-399.47820000000002</v>
      </c>
      <c r="H1324" s="1">
        <v>3.5070219999999998E-6</v>
      </c>
      <c r="I1324">
        <v>287.81670000000003</v>
      </c>
      <c r="J1324">
        <v>-203.6379</v>
      </c>
      <c r="K1324">
        <v>1.1100589999999999</v>
      </c>
      <c r="L1324">
        <v>284.65109999999999</v>
      </c>
      <c r="M1324">
        <v>-0.88375569999999903</v>
      </c>
      <c r="N1324">
        <v>-1.5540979999999999E-2</v>
      </c>
      <c r="O1324">
        <v>-0.46769040000000001</v>
      </c>
      <c r="P1324">
        <v>-0.93434329999999999</v>
      </c>
      <c r="Q1324">
        <v>0.19216040000000001</v>
      </c>
      <c r="R1324">
        <v>-0.30012850000000002</v>
      </c>
      <c r="S1324">
        <v>-3.247131</v>
      </c>
      <c r="T1324">
        <v>-1.8383980000000001E-2</v>
      </c>
      <c r="U1324">
        <v>5.0689699999999997E-2</v>
      </c>
      <c r="V1324">
        <v>0.1773285</v>
      </c>
      <c r="W1324">
        <v>0.2024099</v>
      </c>
      <c r="X1324">
        <v>0.96311210000000003</v>
      </c>
      <c r="Y1324">
        <v>0.48143629999999998</v>
      </c>
      <c r="Z1324">
        <v>1.8692580000000001E-4</v>
      </c>
      <c r="AA1324">
        <v>0.87648110000000001</v>
      </c>
      <c r="AB1324">
        <v>26</v>
      </c>
      <c r="AC1324">
        <v>-195.84030000000001</v>
      </c>
      <c r="AD1324">
        <v>-1.110055492978</v>
      </c>
      <c r="AE1324">
        <v>3.1656000000000399</v>
      </c>
      <c r="AF1324">
        <v>94.398615393599201</v>
      </c>
      <c r="AG1324">
        <v>-1.110055492978</v>
      </c>
      <c r="AH1324">
        <v>171.609676917</v>
      </c>
      <c r="AI1324">
        <v>90.324726571320895</v>
      </c>
      <c r="AJ1324">
        <v>61.185798921969301</v>
      </c>
      <c r="AK1324">
        <v>195.86273770930299</v>
      </c>
      <c r="AL1324">
        <v>78.322081565389894</v>
      </c>
      <c r="AM1324">
        <v>79.567524006121602</v>
      </c>
      <c r="AN1324">
        <v>1.0000000408483301</v>
      </c>
    </row>
    <row r="1325" spans="1:40" x14ac:dyDescent="0.25">
      <c r="A1325" t="str">
        <f>"20190303171004690"</f>
        <v>20190303171004690</v>
      </c>
      <c r="B1325" t="str">
        <f>"1551604204682026"</f>
        <v>1551604204682026</v>
      </c>
      <c r="C1325" t="s">
        <v>40</v>
      </c>
      <c r="D1325">
        <v>5.0016210000000001</v>
      </c>
      <c r="E1325">
        <v>0.63877450000000002</v>
      </c>
      <c r="F1325" t="s">
        <v>53</v>
      </c>
      <c r="G1325">
        <v>-385.44880000000001</v>
      </c>
      <c r="H1325">
        <v>8.0000150000000006E-2</v>
      </c>
      <c r="I1325">
        <v>289.70420000000001</v>
      </c>
      <c r="J1325">
        <v>-203.86</v>
      </c>
      <c r="K1325">
        <v>1.1100840000000001</v>
      </c>
      <c r="L1325">
        <v>284.55070000000001</v>
      </c>
      <c r="M1325">
        <v>-0.89032559999999905</v>
      </c>
      <c r="N1325">
        <v>-1.554152E-2</v>
      </c>
      <c r="O1325">
        <v>-0.4550594</v>
      </c>
      <c r="P1325">
        <v>-0.93866210000000005</v>
      </c>
      <c r="Q1325">
        <v>0.19229270000000001</v>
      </c>
      <c r="R1325">
        <v>-0.28624699999999997</v>
      </c>
      <c r="S1325">
        <v>-3.2435459999999998</v>
      </c>
      <c r="T1325">
        <v>-1.8376469999999999E-2</v>
      </c>
      <c r="U1325">
        <v>9.0148930000000002E-2</v>
      </c>
      <c r="V1325">
        <v>0.17787169999999999</v>
      </c>
      <c r="W1325">
        <v>0.20253550000000001</v>
      </c>
      <c r="X1325">
        <v>0.96298550000000005</v>
      </c>
      <c r="Y1325">
        <v>0.47962840000000001</v>
      </c>
      <c r="Z1325">
        <v>3.282879E-4</v>
      </c>
      <c r="AA1325">
        <v>0.87747169999999897</v>
      </c>
      <c r="AB1325">
        <v>26</v>
      </c>
      <c r="AC1325">
        <v>-181.58879999999999</v>
      </c>
      <c r="AD1325">
        <v>-1.03008385</v>
      </c>
      <c r="AE1325">
        <v>5.1535000000000002</v>
      </c>
      <c r="AF1325">
        <v>87.229702545242105</v>
      </c>
      <c r="AG1325">
        <v>-1.03008385</v>
      </c>
      <c r="AH1325">
        <v>159.34210930707201</v>
      </c>
      <c r="AI1325">
        <v>90.324893209729495</v>
      </c>
      <c r="AJ1325">
        <v>61.302089916364203</v>
      </c>
      <c r="AK1325">
        <v>181.65899338402301</v>
      </c>
      <c r="AL1325">
        <v>78.314732786326303</v>
      </c>
      <c r="AM1325">
        <v>79.534926379355596</v>
      </c>
      <c r="AN1325">
        <v>1.0000000218156899</v>
      </c>
    </row>
    <row r="1326" spans="1:40" x14ac:dyDescent="0.25">
      <c r="A1326" t="str">
        <f>"20190303171004713"</f>
        <v>20190303171004713</v>
      </c>
      <c r="B1326" t="str">
        <f>"1551604204702523"</f>
        <v>1551604204702523</v>
      </c>
      <c r="C1326" t="s">
        <v>40</v>
      </c>
      <c r="D1326">
        <v>4.9467290000000004</v>
      </c>
      <c r="E1326">
        <v>0.62596859999999999</v>
      </c>
      <c r="F1326" t="s">
        <v>53</v>
      </c>
      <c r="G1326">
        <v>-376.88010000000003</v>
      </c>
      <c r="H1326">
        <v>8.0000569999999993E-2</v>
      </c>
      <c r="I1326">
        <v>291.62099999999998</v>
      </c>
      <c r="J1326">
        <v>-204.10919999999999</v>
      </c>
      <c r="K1326">
        <v>1.1101160000000001</v>
      </c>
      <c r="L1326">
        <v>284.44240000000002</v>
      </c>
      <c r="M1326">
        <v>-0.89743989999999996</v>
      </c>
      <c r="N1326">
        <v>-1.554114E-2</v>
      </c>
      <c r="O1326">
        <v>-0.4408629</v>
      </c>
      <c r="P1326">
        <v>-0.94302149999999996</v>
      </c>
      <c r="Q1326">
        <v>0.1922566</v>
      </c>
      <c r="R1326">
        <v>-0.27156560000000002</v>
      </c>
      <c r="S1326">
        <v>-3.240402</v>
      </c>
      <c r="T1326">
        <v>-1.9291880000000001E-2</v>
      </c>
      <c r="U1326">
        <v>0.1324158</v>
      </c>
      <c r="V1326">
        <v>0.17759339999999901</v>
      </c>
      <c r="W1326">
        <v>0.20251830000000001</v>
      </c>
      <c r="X1326">
        <v>0.96304049999999997</v>
      </c>
      <c r="Y1326">
        <v>0.47714689999999998</v>
      </c>
      <c r="Z1326">
        <v>6.692798E-4</v>
      </c>
      <c r="AA1326">
        <v>0.87882329999999997</v>
      </c>
      <c r="AB1326">
        <v>26</v>
      </c>
      <c r="AC1326">
        <v>-172.77090000000001</v>
      </c>
      <c r="AD1326">
        <v>-1.0301154299999999</v>
      </c>
      <c r="AE1326">
        <v>7.1785999999999497</v>
      </c>
      <c r="AF1326">
        <v>82.617688392022501</v>
      </c>
      <c r="AG1326">
        <v>-1.0301154299999999</v>
      </c>
      <c r="AH1326">
        <v>151.89967605922601</v>
      </c>
      <c r="AI1326">
        <v>90.341329360034393</v>
      </c>
      <c r="AJ1326">
        <v>61.458389405929402</v>
      </c>
      <c r="AK1326">
        <v>172.91690247034401</v>
      </c>
      <c r="AL1326">
        <v>78.315739356932795</v>
      </c>
      <c r="AM1326">
        <v>79.551522843341303</v>
      </c>
      <c r="AN1326">
        <v>1.0000000410993399</v>
      </c>
    </row>
    <row r="1327" spans="1:40" x14ac:dyDescent="0.25">
      <c r="A1327" t="str">
        <f>"20190303171004735"</f>
        <v>20190303171004735</v>
      </c>
      <c r="B1327" t="str">
        <f>"1551604204722042"</f>
        <v>1551604204722042</v>
      </c>
      <c r="C1327" t="s">
        <v>40</v>
      </c>
      <c r="D1327">
        <v>4.9483610000000002</v>
      </c>
      <c r="E1327">
        <v>0.62365979999999999</v>
      </c>
      <c r="F1327" t="s">
        <v>60</v>
      </c>
      <c r="G1327">
        <v>-403.3965</v>
      </c>
      <c r="H1327">
        <v>8.0000420000000003E-2</v>
      </c>
      <c r="I1327">
        <v>289.71660000000003</v>
      </c>
      <c r="J1327">
        <v>-204.3571</v>
      </c>
      <c r="K1327">
        <v>1.110141</v>
      </c>
      <c r="L1327">
        <v>284.33920000000001</v>
      </c>
      <c r="M1327">
        <v>-0.90424780000000005</v>
      </c>
      <c r="N1327">
        <v>-1.5539890000000001E-2</v>
      </c>
      <c r="O1327">
        <v>-0.42672549999999998</v>
      </c>
      <c r="P1327">
        <v>-0.94713449999999999</v>
      </c>
      <c r="Q1327">
        <v>0.19148470000000001</v>
      </c>
      <c r="R1327">
        <v>-0.2574302</v>
      </c>
      <c r="S1327">
        <v>-3.2091059999999998</v>
      </c>
      <c r="T1327">
        <v>-1.6587850000000001E-2</v>
      </c>
      <c r="U1327">
        <v>8.4930420000000006E-2</v>
      </c>
      <c r="V1327">
        <v>0.17691589999999999</v>
      </c>
      <c r="W1327">
        <v>0.2017785</v>
      </c>
      <c r="X1327">
        <v>0.96332039999999997</v>
      </c>
      <c r="Y1327">
        <v>0.45050810000000002</v>
      </c>
      <c r="Z1327" s="1">
        <v>3.0770199999999999E-5</v>
      </c>
      <c r="AA1327">
        <v>0.89277240000000002</v>
      </c>
      <c r="AB1327">
        <v>26</v>
      </c>
      <c r="AC1327">
        <v>-199.0394</v>
      </c>
      <c r="AD1327">
        <v>-1.0301405800000001</v>
      </c>
      <c r="AE1327">
        <v>5.3774000000000202</v>
      </c>
      <c r="AF1327">
        <v>89.806120201811098</v>
      </c>
      <c r="AG1327">
        <v>-1.0301405800000001</v>
      </c>
      <c r="AH1327">
        <v>177.70294781854301</v>
      </c>
      <c r="AI1327">
        <v>90.296434935222806</v>
      </c>
      <c r="AJ1327">
        <v>63.189237268734303</v>
      </c>
      <c r="AK1327">
        <v>199.10936210715099</v>
      </c>
      <c r="AL1327">
        <v>78.359019779942301</v>
      </c>
      <c r="AM1327">
        <v>79.593468187009805</v>
      </c>
      <c r="AN1327">
        <v>0.99999999589560995</v>
      </c>
    </row>
    <row r="1328" spans="1:40" x14ac:dyDescent="0.25">
      <c r="A1328" t="str">
        <f>"20190303171004758"</f>
        <v>20190303171004758</v>
      </c>
      <c r="B1328" t="str">
        <f>"1551604204752298"</f>
        <v>1551604204752298</v>
      </c>
      <c r="C1328" t="s">
        <v>40</v>
      </c>
      <c r="D1328">
        <v>4.9448019999999904</v>
      </c>
      <c r="E1328">
        <v>0.61919740000000001</v>
      </c>
      <c r="F1328" t="s">
        <v>53</v>
      </c>
      <c r="G1328">
        <v>-380.399</v>
      </c>
      <c r="H1328">
        <v>8.0000139999999997E-2</v>
      </c>
      <c r="I1328">
        <v>290.70010000000002</v>
      </c>
      <c r="J1328">
        <v>-204.59399999999999</v>
      </c>
      <c r="K1328">
        <v>1.110163</v>
      </c>
      <c r="L1328">
        <v>284.24509999999998</v>
      </c>
      <c r="M1328">
        <v>-0.91050399999999998</v>
      </c>
      <c r="N1328">
        <v>-1.553788E-2</v>
      </c>
      <c r="O1328">
        <v>-0.41320800000000002</v>
      </c>
      <c r="P1328">
        <v>-0.95056169999999995</v>
      </c>
      <c r="Q1328">
        <v>0.1913957</v>
      </c>
      <c r="R1328">
        <v>-0.24454049999999999</v>
      </c>
      <c r="S1328">
        <v>-3.2027130000000001</v>
      </c>
      <c r="T1328">
        <v>-1.8741250000000001E-2</v>
      </c>
      <c r="U1328">
        <v>0.115722699999999</v>
      </c>
      <c r="V1328">
        <v>0.17563999999999999</v>
      </c>
      <c r="W1328">
        <v>0.201737</v>
      </c>
      <c r="X1328">
        <v>0.96356249999999999</v>
      </c>
      <c r="Y1328">
        <v>0.44582450000000001</v>
      </c>
      <c r="Z1328">
        <v>5.7714970000000002E-4</v>
      </c>
      <c r="AA1328">
        <v>0.89512019999999903</v>
      </c>
      <c r="AB1328">
        <v>26</v>
      </c>
      <c r="AC1328">
        <v>-175.80499999999901</v>
      </c>
      <c r="AD1328">
        <v>-1.0301628599999999</v>
      </c>
      <c r="AE1328">
        <v>6.45500000000004</v>
      </c>
      <c r="AF1328">
        <v>78.528130725082093</v>
      </c>
      <c r="AG1328">
        <v>-1.0301628599999999</v>
      </c>
      <c r="AH1328">
        <v>157.41751926946199</v>
      </c>
      <c r="AI1328">
        <v>90.335517116928003</v>
      </c>
      <c r="AJ1328">
        <v>63.4875682447692</v>
      </c>
      <c r="AK1328">
        <v>175.92044771329199</v>
      </c>
      <c r="AL1328">
        <v>78.361447044953493</v>
      </c>
      <c r="AM1328">
        <v>79.669436936267005</v>
      </c>
      <c r="AN1328">
        <v>0.99999995908762396</v>
      </c>
    </row>
    <row r="1329" spans="1:40" x14ac:dyDescent="0.25">
      <c r="A1329" t="str">
        <f>"20190303171004780"</f>
        <v>20190303171004780</v>
      </c>
      <c r="B1329" t="str">
        <f>"1551604204771819"</f>
        <v>1551604204771819</v>
      </c>
      <c r="C1329" t="s">
        <v>40</v>
      </c>
      <c r="D1329">
        <v>4.928941</v>
      </c>
      <c r="E1329">
        <v>0.6167203</v>
      </c>
      <c r="F1329" t="s">
        <v>60</v>
      </c>
      <c r="G1329">
        <v>-403.21050000000002</v>
      </c>
      <c r="H1329">
        <v>7.9999650000000005E-2</v>
      </c>
      <c r="I1329">
        <v>292.04489999999998</v>
      </c>
      <c r="J1329">
        <v>-204.85169999999999</v>
      </c>
      <c r="K1329">
        <v>1.1101890000000001</v>
      </c>
      <c r="L1329">
        <v>284.14749999999998</v>
      </c>
      <c r="M1329">
        <v>-0.91704359999999996</v>
      </c>
      <c r="N1329">
        <v>-1.5535129999999999E-2</v>
      </c>
      <c r="O1329">
        <v>-0.39848420000000001</v>
      </c>
      <c r="P1329">
        <v>-0.95415839999999996</v>
      </c>
      <c r="Q1329">
        <v>0.19183040000000001</v>
      </c>
      <c r="R1329">
        <v>-0.22974530000000001</v>
      </c>
      <c r="S1329">
        <v>-3.191605</v>
      </c>
      <c r="T1329">
        <v>-1.655388E-2</v>
      </c>
      <c r="U1329">
        <v>0.12533569999999999</v>
      </c>
      <c r="V1329">
        <v>0.17504400000000001</v>
      </c>
      <c r="W1329">
        <v>0.20219699999999999</v>
      </c>
      <c r="X1329">
        <v>0.96357459999999995</v>
      </c>
      <c r="Y1329">
        <v>0.43417159999999999</v>
      </c>
      <c r="Z1329">
        <v>2.147439E-4</v>
      </c>
      <c r="AA1329">
        <v>0.90083009999999997</v>
      </c>
      <c r="AB1329">
        <v>26</v>
      </c>
      <c r="AC1329">
        <v>-198.3588</v>
      </c>
      <c r="AD1329">
        <v>-1.0301893499999999</v>
      </c>
      <c r="AE1329">
        <v>7.8974000000000002</v>
      </c>
      <c r="AF1329">
        <v>86.293199495691297</v>
      </c>
      <c r="AG1329">
        <v>-1.0301893499999999</v>
      </c>
      <c r="AH1329">
        <v>178.77344235244499</v>
      </c>
      <c r="AI1329">
        <v>90.297339138224103</v>
      </c>
      <c r="AJ1329">
        <v>64.233588977737199</v>
      </c>
      <c r="AK1329">
        <v>198.513277288555</v>
      </c>
      <c r="AL1329">
        <v>78.334537131366304</v>
      </c>
      <c r="AM1329">
        <v>79.703867146260507</v>
      </c>
      <c r="AN1329">
        <v>1.00000001925507</v>
      </c>
    </row>
    <row r="1330" spans="1:40" x14ac:dyDescent="0.25">
      <c r="A1330" t="str">
        <f>"20190303171004802"</f>
        <v>20190303171004802</v>
      </c>
      <c r="B1330" t="str">
        <f>"1551604204792315"</f>
        <v>1551604204792315</v>
      </c>
      <c r="C1330" t="s">
        <v>40</v>
      </c>
      <c r="D1330">
        <v>4.9333710000000002</v>
      </c>
      <c r="E1330">
        <v>0.60259370000000001</v>
      </c>
      <c r="F1330" t="s">
        <v>46</v>
      </c>
      <c r="G1330">
        <v>-407.89960000000002</v>
      </c>
      <c r="H1330">
        <v>0.10000390000000001</v>
      </c>
      <c r="I1330">
        <v>294.00689999999997</v>
      </c>
      <c r="J1330">
        <v>-205.0909</v>
      </c>
      <c r="K1330">
        <v>1.110223</v>
      </c>
      <c r="L1330">
        <v>284.06110000000001</v>
      </c>
      <c r="M1330">
        <v>-0.92286710000000005</v>
      </c>
      <c r="N1330">
        <v>-1.553217E-2</v>
      </c>
      <c r="O1330">
        <v>-0.38480540000000002</v>
      </c>
      <c r="P1330">
        <v>-0.95725349999999998</v>
      </c>
      <c r="Q1330">
        <v>0.19193879999999999</v>
      </c>
      <c r="R1330">
        <v>-0.21639220000000001</v>
      </c>
      <c r="S1330">
        <v>-3.184555</v>
      </c>
      <c r="T1330">
        <v>-1.5843510000000002E-2</v>
      </c>
      <c r="U1330">
        <v>0.15463260000000001</v>
      </c>
      <c r="V1330">
        <v>0.1741586</v>
      </c>
      <c r="W1330">
        <v>0.20233889999999999</v>
      </c>
      <c r="X1330">
        <v>0.96370520000000004</v>
      </c>
      <c r="Y1330">
        <v>0.42912159999999999</v>
      </c>
      <c r="Z1330">
        <v>2.0160849999999999E-4</v>
      </c>
      <c r="AA1330">
        <v>0.90324669999999896</v>
      </c>
      <c r="AB1330">
        <v>26</v>
      </c>
      <c r="AC1330">
        <v>-202.80869999999999</v>
      </c>
      <c r="AD1330">
        <v>-1.01021909999999</v>
      </c>
      <c r="AE1330">
        <v>9.9457999999999593</v>
      </c>
      <c r="AF1330">
        <v>87.228892622167294</v>
      </c>
      <c r="AG1330">
        <v>-1.01021909999999</v>
      </c>
      <c r="AH1330">
        <v>183.35584805443199</v>
      </c>
      <c r="AI1330">
        <v>90.285060597568204</v>
      </c>
      <c r="AJ1330">
        <v>64.557906707914796</v>
      </c>
      <c r="AK1330">
        <v>203.04991323928101</v>
      </c>
      <c r="AL1330">
        <v>78.326234803301503</v>
      </c>
      <c r="AM1330">
        <v>79.756199865134107</v>
      </c>
      <c r="AN1330">
        <v>0.99999998045710403</v>
      </c>
    </row>
    <row r="1331" spans="1:40" x14ac:dyDescent="0.25">
      <c r="A1331" t="str">
        <f>"20190303171004827"</f>
        <v>20190303171004827</v>
      </c>
      <c r="B1331" t="str">
        <f>"1551604204821594"</f>
        <v>1551604204821594</v>
      </c>
      <c r="C1331" t="s">
        <v>40</v>
      </c>
      <c r="D1331">
        <v>4.9677540000000002</v>
      </c>
      <c r="E1331">
        <v>0.59889099999999995</v>
      </c>
      <c r="F1331" t="s">
        <v>53</v>
      </c>
      <c r="G1331">
        <v>-392.73079999999999</v>
      </c>
      <c r="H1331" s="1">
        <v>-8.3589379999999997E-8</v>
      </c>
      <c r="I1331">
        <v>289.3254</v>
      </c>
      <c r="J1331">
        <v>-205.37610000000001</v>
      </c>
      <c r="K1331">
        <v>1.1102609999999999</v>
      </c>
      <c r="L1331">
        <v>283.96319999999997</v>
      </c>
      <c r="M1331">
        <v>-0.92950790000000005</v>
      </c>
      <c r="N1331">
        <v>-1.5527829999999999E-2</v>
      </c>
      <c r="O1331">
        <v>-0.36847530000000001</v>
      </c>
      <c r="P1331">
        <v>-0.96063100000000001</v>
      </c>
      <c r="Q1331">
        <v>0.19243850000000001</v>
      </c>
      <c r="R1331">
        <v>-0.20038890000000001</v>
      </c>
      <c r="S1331">
        <v>-3.1577449999999998</v>
      </c>
      <c r="T1331">
        <v>-1.8683669999999999E-2</v>
      </c>
      <c r="U1331">
        <v>8.8592530000000003E-2</v>
      </c>
      <c r="V1331">
        <v>0.1732069</v>
      </c>
      <c r="W1331">
        <v>0.20287459999999999</v>
      </c>
      <c r="X1331">
        <v>0.96376410000000001</v>
      </c>
      <c r="Y1331">
        <v>0.3944048</v>
      </c>
      <c r="Z1331">
        <v>5.5450219999999997E-4</v>
      </c>
      <c r="AA1331">
        <v>0.91893659999999999</v>
      </c>
      <c r="AB1331">
        <v>26</v>
      </c>
      <c r="AC1331">
        <v>-187.35470000000001</v>
      </c>
      <c r="AD1331">
        <v>-1.11026108358938</v>
      </c>
      <c r="AE1331">
        <v>5.3622000000000298</v>
      </c>
      <c r="AF1331">
        <v>74.026110712139499</v>
      </c>
      <c r="AG1331">
        <v>-1.11026108358938</v>
      </c>
      <c r="AH1331">
        <v>172.18654565374499</v>
      </c>
      <c r="AI1331">
        <v>90.339402873936393</v>
      </c>
      <c r="AJ1331">
        <v>66.736256095002602</v>
      </c>
      <c r="AK1331">
        <v>187.42813089557501</v>
      </c>
      <c r="AL1331">
        <v>78.294891474181298</v>
      </c>
      <c r="AM1331">
        <v>79.811611533537899</v>
      </c>
      <c r="AN1331">
        <v>0.99999998699078896</v>
      </c>
    </row>
    <row r="1332" spans="1:40" x14ac:dyDescent="0.25">
      <c r="A1332" t="str">
        <f>"20190303171004847"</f>
        <v>20190303171004847</v>
      </c>
      <c r="B1332" t="str">
        <f>"1551604204842090"</f>
        <v>1551604204842090</v>
      </c>
      <c r="C1332" t="s">
        <v>40</v>
      </c>
      <c r="D1332">
        <v>4.9471980000000002</v>
      </c>
      <c r="E1332">
        <v>0.59679659999999901</v>
      </c>
      <c r="F1332" t="s">
        <v>53</v>
      </c>
      <c r="G1332">
        <v>-349.87299999999999</v>
      </c>
      <c r="H1332" s="1">
        <v>3.7171069999999999E-6</v>
      </c>
      <c r="I1332">
        <v>289.07960000000003</v>
      </c>
      <c r="J1332">
        <v>-205.6069</v>
      </c>
      <c r="K1332">
        <v>1.1102909999999999</v>
      </c>
      <c r="L1332">
        <v>283.88810000000001</v>
      </c>
      <c r="M1332">
        <v>-0.9346409</v>
      </c>
      <c r="N1332">
        <v>-1.552327E-2</v>
      </c>
      <c r="O1332">
        <v>-0.35525449999999997</v>
      </c>
      <c r="P1332">
        <v>-0.9631632</v>
      </c>
      <c r="Q1332">
        <v>0.19229779999999999</v>
      </c>
      <c r="R1332">
        <v>-0.18798619999999999</v>
      </c>
      <c r="S1332">
        <v>-3.151062</v>
      </c>
      <c r="T1332">
        <v>-2.4211529999999998E-2</v>
      </c>
      <c r="U1332">
        <v>0.1115723</v>
      </c>
      <c r="V1332">
        <v>0.17195150000000001</v>
      </c>
      <c r="W1332">
        <v>0.20277880000000001</v>
      </c>
      <c r="X1332">
        <v>0.964009</v>
      </c>
      <c r="Y1332">
        <v>0.3881077</v>
      </c>
      <c r="Z1332">
        <v>1.5934619999999999E-3</v>
      </c>
      <c r="AA1332">
        <v>0.92161269999999995</v>
      </c>
      <c r="AB1332">
        <v>26</v>
      </c>
      <c r="AC1332">
        <v>-144.26609999999999</v>
      </c>
      <c r="AD1332">
        <v>-1.1102872828929999</v>
      </c>
      <c r="AE1332">
        <v>5.1915000000000102</v>
      </c>
      <c r="AF1332">
        <v>56.106801790608301</v>
      </c>
      <c r="AG1332">
        <v>-1.1102872828929999</v>
      </c>
      <c r="AH1332">
        <v>133.00083013775901</v>
      </c>
      <c r="AI1332">
        <v>90.440686570423907</v>
      </c>
      <c r="AJ1332">
        <v>67.127403928506695</v>
      </c>
      <c r="AK1332">
        <v>144.35521037480501</v>
      </c>
      <c r="AL1332">
        <v>78.300496554378398</v>
      </c>
      <c r="AM1332">
        <v>79.886443129437495</v>
      </c>
      <c r="AN1332">
        <v>0.99999995608134395</v>
      </c>
    </row>
    <row r="1333" spans="1:40" x14ac:dyDescent="0.25">
      <c r="A1333" t="str">
        <f>"20190303171004870"</f>
        <v>20190303171004870</v>
      </c>
      <c r="B1333" t="str">
        <f>"1551604204861610"</f>
        <v>1551604204861610</v>
      </c>
      <c r="C1333" t="s">
        <v>40</v>
      </c>
      <c r="D1333">
        <v>4.9538250000000001</v>
      </c>
      <c r="E1333">
        <v>0.58708539999999998</v>
      </c>
      <c r="F1333" t="s">
        <v>53</v>
      </c>
      <c r="G1333">
        <v>-325.82279999999997</v>
      </c>
      <c r="H1333" s="1">
        <v>1.3656840000000001E-6</v>
      </c>
      <c r="I1333">
        <v>289.10340000000002</v>
      </c>
      <c r="J1333">
        <v>-205.85759999999999</v>
      </c>
      <c r="K1333">
        <v>1.11032999999999</v>
      </c>
      <c r="L1333">
        <v>283.81049999999999</v>
      </c>
      <c r="M1333">
        <v>-0.93997109999999995</v>
      </c>
      <c r="N1333">
        <v>-1.5516399999999901E-2</v>
      </c>
      <c r="O1333">
        <v>-0.34090130000000002</v>
      </c>
      <c r="P1333">
        <v>-0.96590160000000003</v>
      </c>
      <c r="Q1333">
        <v>0.1919323</v>
      </c>
      <c r="R1333">
        <v>-0.17377049999999999</v>
      </c>
      <c r="S1333">
        <v>-3.1472020000000001</v>
      </c>
      <c r="T1333">
        <v>-2.906692E-2</v>
      </c>
      <c r="U1333">
        <v>0.13653560000000001</v>
      </c>
      <c r="V1333">
        <v>0.17139109999999999</v>
      </c>
      <c r="W1333">
        <v>0.20244029999999999</v>
      </c>
      <c r="X1333">
        <v>0.96418000000000004</v>
      </c>
      <c r="Y1333">
        <v>0.38131880000000001</v>
      </c>
      <c r="Z1333">
        <v>2.4649279999999999E-3</v>
      </c>
      <c r="AA1333">
        <v>0.92444029999999999</v>
      </c>
      <c r="AB1333">
        <v>26</v>
      </c>
      <c r="AC1333">
        <v>-119.965199999999</v>
      </c>
      <c r="AD1333">
        <v>-1.1103286343159899</v>
      </c>
      <c r="AE1333">
        <v>5.2929000000000297</v>
      </c>
      <c r="AF1333">
        <v>45.873063819420302</v>
      </c>
      <c r="AG1333">
        <v>-1.1103286343159899</v>
      </c>
      <c r="AH1333">
        <v>110.96333031271401</v>
      </c>
      <c r="AI1333">
        <v>90.529811465491704</v>
      </c>
      <c r="AJ1333">
        <v>67.539435755162799</v>
      </c>
      <c r="AK1333">
        <v>120.07677330751901</v>
      </c>
      <c r="AL1333">
        <v>78.320302803986493</v>
      </c>
      <c r="AM1333">
        <v>79.920477926944201</v>
      </c>
      <c r="AN1333">
        <v>1.0000000283116399</v>
      </c>
    </row>
    <row r="1334" spans="1:40" x14ac:dyDescent="0.25">
      <c r="A1334" t="str">
        <f>"20190303171004892"</f>
        <v>20190303171004892</v>
      </c>
      <c r="B1334" t="str">
        <f>"1551604204882106"</f>
        <v>1551604204882106</v>
      </c>
      <c r="C1334" t="s">
        <v>40</v>
      </c>
      <c r="D1334">
        <v>4.9109429999999996</v>
      </c>
      <c r="E1334">
        <v>0.58452299999999902</v>
      </c>
      <c r="F1334" t="s">
        <v>53</v>
      </c>
      <c r="G1334">
        <v>-267.72059999999999</v>
      </c>
      <c r="H1334" s="1">
        <v>2.571711E-6</v>
      </c>
      <c r="I1334">
        <v>285.89460000000003</v>
      </c>
      <c r="J1334">
        <v>-206.10919999999999</v>
      </c>
      <c r="K1334">
        <v>1.11039</v>
      </c>
      <c r="L1334">
        <v>283.73680000000002</v>
      </c>
      <c r="M1334">
        <v>-0.94506140000000005</v>
      </c>
      <c r="N1334">
        <v>-1.5506270000000001E-2</v>
      </c>
      <c r="O1334">
        <v>-0.32652510000000001</v>
      </c>
      <c r="P1334">
        <v>-0.96841100000000002</v>
      </c>
      <c r="Q1334">
        <v>0.1917904</v>
      </c>
      <c r="R1334">
        <v>-0.15936420000000001</v>
      </c>
      <c r="S1334">
        <v>-3.1361080000000001</v>
      </c>
      <c r="T1334">
        <v>-5.6287410000000003E-2</v>
      </c>
      <c r="U1334">
        <v>0.10565190000000001</v>
      </c>
      <c r="V1334">
        <v>0.17102439999999999</v>
      </c>
      <c r="W1334">
        <v>0.20232120000000001</v>
      </c>
      <c r="X1334">
        <v>0.96427010000000002</v>
      </c>
      <c r="Y1334">
        <v>0.35809750000000001</v>
      </c>
      <c r="Z1334">
        <v>6.6476900000000004E-3</v>
      </c>
      <c r="AA1334">
        <v>0.9336605</v>
      </c>
      <c r="AB1334">
        <v>26</v>
      </c>
      <c r="AC1334">
        <v>-61.611400000000003</v>
      </c>
      <c r="AD1334">
        <v>-1.1103874282890001</v>
      </c>
      <c r="AE1334">
        <v>2.1577999999999999</v>
      </c>
      <c r="AF1334">
        <v>22.152398307551</v>
      </c>
      <c r="AG1334">
        <v>-1.1103874282890001</v>
      </c>
      <c r="AH1334">
        <v>57.510235949591802</v>
      </c>
      <c r="AI1334">
        <v>91.032199829161101</v>
      </c>
      <c r="AJ1334">
        <v>68.933787641061599</v>
      </c>
      <c r="AK1334">
        <v>61.6391835604189</v>
      </c>
      <c r="AL1334">
        <v>78.327270819415503</v>
      </c>
      <c r="AM1334">
        <v>79.942523416936098</v>
      </c>
      <c r="AN1334">
        <v>1.0000000195594001</v>
      </c>
    </row>
    <row r="1335" spans="1:40" x14ac:dyDescent="0.25">
      <c r="A1335" t="str">
        <f>"20190303171004914"</f>
        <v>20190303171004914</v>
      </c>
      <c r="B1335" t="str">
        <f>"1551604204901626"</f>
        <v>1551604204901626</v>
      </c>
      <c r="C1335" t="s">
        <v>40</v>
      </c>
      <c r="D1335">
        <v>4.9344739999999998</v>
      </c>
      <c r="E1335">
        <v>0.58259879999999997</v>
      </c>
      <c r="F1335" t="s">
        <v>53</v>
      </c>
      <c r="G1335">
        <v>-266.32859999999999</v>
      </c>
      <c r="H1335" s="1">
        <v>1.830963E-6</v>
      </c>
      <c r="I1335">
        <v>286.28870000000001</v>
      </c>
      <c r="J1335">
        <v>-206.3622</v>
      </c>
      <c r="K1335">
        <v>1.1104719999999999</v>
      </c>
      <c r="L1335">
        <v>283.66669999999999</v>
      </c>
      <c r="M1335">
        <v>-0.94991820000000005</v>
      </c>
      <c r="N1335">
        <v>-1.549159E-2</v>
      </c>
      <c r="O1335">
        <v>-0.31211499999999998</v>
      </c>
      <c r="P1335">
        <v>-0.97060290000000005</v>
      </c>
      <c r="Q1335">
        <v>0.19211420000000001</v>
      </c>
      <c r="R1335">
        <v>-0.1449916</v>
      </c>
      <c r="S1335">
        <v>-3.1311339999999999</v>
      </c>
      <c r="T1335">
        <v>-5.7735090000000003E-2</v>
      </c>
      <c r="U1335">
        <v>0.13269039999999999</v>
      </c>
      <c r="V1335">
        <v>0.17060420000000001</v>
      </c>
      <c r="W1335">
        <v>0.20267189999999999</v>
      </c>
      <c r="X1335">
        <v>0.96427090000000004</v>
      </c>
      <c r="Y1335">
        <v>0.35198800000000002</v>
      </c>
      <c r="Z1335">
        <v>6.7723649999999998E-3</v>
      </c>
      <c r="AA1335">
        <v>0.93598000000000003</v>
      </c>
      <c r="AB1335">
        <v>26</v>
      </c>
      <c r="AC1335">
        <v>-59.966399999999901</v>
      </c>
      <c r="AD1335">
        <v>-1.11047016903699</v>
      </c>
      <c r="AE1335">
        <v>2.6220000000000101</v>
      </c>
      <c r="AF1335">
        <v>21.202383017361601</v>
      </c>
      <c r="AG1335">
        <v>-1.11047016903699</v>
      </c>
      <c r="AH1335">
        <v>56.132325312407801</v>
      </c>
      <c r="AI1335">
        <v>91.060244050895804</v>
      </c>
      <c r="AJ1335">
        <v>69.3073738535507</v>
      </c>
      <c r="AK1335">
        <v>60.0134329512085</v>
      </c>
      <c r="AL1335">
        <v>78.306752231015395</v>
      </c>
      <c r="AM1335">
        <v>79.966739706473703</v>
      </c>
      <c r="AN1335">
        <v>1.00000003034702</v>
      </c>
    </row>
    <row r="1336" spans="1:40" x14ac:dyDescent="0.25">
      <c r="A1336" t="str">
        <f>"20190303171004937"</f>
        <v>20190303171004937</v>
      </c>
      <c r="B1336" t="str">
        <f>"1551604204931882"</f>
        <v>1551604204931882</v>
      </c>
      <c r="C1336" t="s">
        <v>40</v>
      </c>
      <c r="D1336">
        <v>5.0685760000000002</v>
      </c>
      <c r="E1336">
        <v>0.57333529999999999</v>
      </c>
      <c r="F1336" t="s">
        <v>53</v>
      </c>
      <c r="G1336">
        <v>-267.93380000000002</v>
      </c>
      <c r="H1336" s="1">
        <v>2.6851669999999999E-6</v>
      </c>
      <c r="I1336">
        <v>286.90300000000002</v>
      </c>
      <c r="J1336">
        <v>-206.62389999999999</v>
      </c>
      <c r="K1336">
        <v>1.110582</v>
      </c>
      <c r="L1336">
        <v>283.59840000000003</v>
      </c>
      <c r="M1336">
        <v>-0.95465460000000002</v>
      </c>
      <c r="N1336">
        <v>-1.547026E-2</v>
      </c>
      <c r="O1336">
        <v>-0.29731279999999999</v>
      </c>
      <c r="P1336">
        <v>-0.97262230000000005</v>
      </c>
      <c r="Q1336">
        <v>0.19240979999999999</v>
      </c>
      <c r="R1336">
        <v>-0.13032289999999999</v>
      </c>
      <c r="S1336">
        <v>-3.1265719999999999</v>
      </c>
      <c r="T1336">
        <v>-5.6389090000000003E-2</v>
      </c>
      <c r="U1336">
        <v>0.16433719999999999</v>
      </c>
      <c r="V1336">
        <v>0.17010980000000001</v>
      </c>
      <c r="W1336">
        <v>0.2030025</v>
      </c>
      <c r="X1336">
        <v>0.9642887</v>
      </c>
      <c r="Y1336">
        <v>0.34694999999999998</v>
      </c>
      <c r="Z1336">
        <v>6.4781600000000002E-3</v>
      </c>
      <c r="AA1336">
        <v>0.93786130000000001</v>
      </c>
      <c r="AB1336">
        <v>26</v>
      </c>
      <c r="AC1336">
        <v>-61.309899999999999</v>
      </c>
      <c r="AD1336">
        <v>-1.1105793148330001</v>
      </c>
      <c r="AE1336">
        <v>3.30459999999999</v>
      </c>
      <c r="AF1336">
        <v>21.378538279506401</v>
      </c>
      <c r="AG1336">
        <v>-1.1105793148330001</v>
      </c>
      <c r="AH1336">
        <v>57.535352240501702</v>
      </c>
      <c r="AI1336">
        <v>91.036588392595405</v>
      </c>
      <c r="AJ1336">
        <v>69.616332724340396</v>
      </c>
      <c r="AK1336">
        <v>61.388859272847398</v>
      </c>
      <c r="AL1336">
        <v>78.287408103011302</v>
      </c>
      <c r="AM1336">
        <v>79.995408137243999</v>
      </c>
      <c r="AN1336">
        <v>1.0000000280049799</v>
      </c>
    </row>
    <row r="1337" spans="1:40" x14ac:dyDescent="0.25">
      <c r="A1337" t="str">
        <f>"20190303171004957"</f>
        <v>20190303171004957</v>
      </c>
      <c r="B1337" t="str">
        <f>"1551604204941643"</f>
        <v>1551604204941643</v>
      </c>
      <c r="C1337" t="s">
        <v>40</v>
      </c>
      <c r="D1337">
        <v>4.8899879999999998</v>
      </c>
      <c r="E1337">
        <v>0.57215119999999997</v>
      </c>
      <c r="F1337" t="s">
        <v>53</v>
      </c>
      <c r="G1337">
        <v>-246.48699999999999</v>
      </c>
      <c r="H1337" s="1">
        <v>1.9152490000000002E-6</v>
      </c>
      <c r="I1337">
        <v>285.33080000000001</v>
      </c>
      <c r="J1337">
        <v>-206.85769999999999</v>
      </c>
      <c r="K1337">
        <v>1.1107129999999901</v>
      </c>
      <c r="L1337">
        <v>283.54109999999997</v>
      </c>
      <c r="M1337">
        <v>-0.95863010000000004</v>
      </c>
      <c r="N1337">
        <v>-1.5443399999999999E-2</v>
      </c>
      <c r="O1337">
        <v>-0.28423540000000003</v>
      </c>
      <c r="P1337">
        <v>-0.97404120000000005</v>
      </c>
      <c r="Q1337">
        <v>0.19391749999999999</v>
      </c>
      <c r="R1337">
        <v>-0.1167907</v>
      </c>
      <c r="S1337">
        <v>-3.119812</v>
      </c>
      <c r="T1337">
        <v>-8.6917640000000004E-2</v>
      </c>
      <c r="U1337">
        <v>0.1355896</v>
      </c>
      <c r="V1337">
        <v>0.17022309999999999</v>
      </c>
      <c r="W1337">
        <v>0.2045276</v>
      </c>
      <c r="X1337">
        <v>0.96394630000000003</v>
      </c>
      <c r="Y1337">
        <v>0.32541530000000002</v>
      </c>
      <c r="Z1337">
        <v>1.046043E-2</v>
      </c>
      <c r="AA1337">
        <v>0.9455133</v>
      </c>
      <c r="AB1337">
        <v>26</v>
      </c>
      <c r="AC1337">
        <v>-39.629300000000001</v>
      </c>
      <c r="AD1337">
        <v>-1.11071108475099</v>
      </c>
      <c r="AE1337">
        <v>1.78970000000003</v>
      </c>
      <c r="AF1337">
        <v>12.971090183888601</v>
      </c>
      <c r="AG1337">
        <v>-1.11071108475099</v>
      </c>
      <c r="AH1337">
        <v>37.456251870240699</v>
      </c>
      <c r="AI1337">
        <v>91.605061267012005</v>
      </c>
      <c r="AJ1337">
        <v>70.899043806251697</v>
      </c>
      <c r="AK1337">
        <v>39.654175868869999</v>
      </c>
      <c r="AL1337">
        <v>78.198152868549698</v>
      </c>
      <c r="AM1337">
        <v>79.985395384538094</v>
      </c>
      <c r="AN1337">
        <v>0.99999995610952896</v>
      </c>
    </row>
    <row r="1338" spans="1:40" x14ac:dyDescent="0.25">
      <c r="A1338" t="str">
        <f>"20190303171004980"</f>
        <v>20190303171004980</v>
      </c>
      <c r="B1338" t="str">
        <f>"1551604204971898"</f>
        <v>1551604204971898</v>
      </c>
      <c r="C1338" t="s">
        <v>40</v>
      </c>
      <c r="D1338">
        <v>4.8421880000000002</v>
      </c>
      <c r="E1338">
        <v>0.56348920000000002</v>
      </c>
      <c r="F1338" t="s">
        <v>53</v>
      </c>
      <c r="G1338">
        <v>-245.81360000000001</v>
      </c>
      <c r="H1338" s="1">
        <v>1.5569319999999999E-6</v>
      </c>
      <c r="I1338">
        <v>285.64359999999999</v>
      </c>
      <c r="J1338">
        <v>-207.12530000000001</v>
      </c>
      <c r="K1338">
        <v>1.1108789999999999</v>
      </c>
      <c r="L1338">
        <v>283.4796</v>
      </c>
      <c r="M1338">
        <v>-0.96289809999999998</v>
      </c>
      <c r="N1338">
        <v>-1.5405530000000001E-2</v>
      </c>
      <c r="O1338">
        <v>-0.26942539999999998</v>
      </c>
      <c r="P1338">
        <v>-0.9755819</v>
      </c>
      <c r="Q1338">
        <v>0.19503229999999999</v>
      </c>
      <c r="R1338">
        <v>-0.10100820000000001</v>
      </c>
      <c r="S1338">
        <v>-3.1178129999999999</v>
      </c>
      <c r="T1338">
        <v>-8.8894959999999995E-2</v>
      </c>
      <c r="U1338">
        <v>0.1682739</v>
      </c>
      <c r="V1338">
        <v>0.17085649999999999</v>
      </c>
      <c r="W1338">
        <v>0.20565050000000001</v>
      </c>
      <c r="X1338">
        <v>0.96359530000000004</v>
      </c>
      <c r="Y1338">
        <v>0.32074520000000001</v>
      </c>
      <c r="Z1338">
        <v>1.0478960000000001E-2</v>
      </c>
      <c r="AA1338">
        <v>0.94710760000000005</v>
      </c>
      <c r="AB1338">
        <v>26</v>
      </c>
      <c r="AC1338">
        <v>-38.688299999999998</v>
      </c>
      <c r="AD1338">
        <v>-1.110877443068</v>
      </c>
      <c r="AE1338">
        <v>2.1639999999999802</v>
      </c>
      <c r="AF1338">
        <v>12.4985333584941</v>
      </c>
      <c r="AG1338">
        <v>-1.110877443068</v>
      </c>
      <c r="AH1338">
        <v>36.6440862736969</v>
      </c>
      <c r="AI1338">
        <v>91.643495361423902</v>
      </c>
      <c r="AJ1338">
        <v>71.166561879417401</v>
      </c>
      <c r="AK1338">
        <v>38.732885816074301</v>
      </c>
      <c r="AL1338">
        <v>78.132418499766402</v>
      </c>
      <c r="AM1338">
        <v>79.945302975248097</v>
      </c>
      <c r="AN1338">
        <v>0.99999998696229497</v>
      </c>
    </row>
    <row r="1339" spans="1:40" x14ac:dyDescent="0.25">
      <c r="A1339" t="str">
        <f>"20190303171005003"</f>
        <v>20190303171005003</v>
      </c>
      <c r="B1339" t="str">
        <f>"1551604204992395"</f>
        <v>1551604204992395</v>
      </c>
      <c r="C1339" t="s">
        <v>40</v>
      </c>
      <c r="D1339">
        <v>4.8736470000000001</v>
      </c>
      <c r="E1339">
        <v>0.56119319999999995</v>
      </c>
      <c r="F1339" t="s">
        <v>53</v>
      </c>
      <c r="G1339">
        <v>-238.48400000000001</v>
      </c>
      <c r="H1339" s="1">
        <v>2.9633059999999998E-6</v>
      </c>
      <c r="I1339">
        <v>284.95190000000002</v>
      </c>
      <c r="J1339">
        <v>-207.38149999999999</v>
      </c>
      <c r="K1339">
        <v>1.1110549999999999</v>
      </c>
      <c r="L1339">
        <v>283.42450000000002</v>
      </c>
      <c r="M1339">
        <v>-0.96670400000000001</v>
      </c>
      <c r="N1339">
        <v>-1.536617E-2</v>
      </c>
      <c r="O1339">
        <v>-0.25543589999999999</v>
      </c>
      <c r="P1339">
        <v>-0.97713879999999997</v>
      </c>
      <c r="Q1339">
        <v>0.1944169</v>
      </c>
      <c r="R1339">
        <v>-8.603732E-2</v>
      </c>
      <c r="S1339">
        <v>-3.1122740000000002</v>
      </c>
      <c r="T1339">
        <v>-0.11025169999999999</v>
      </c>
      <c r="U1339">
        <v>0.1461182</v>
      </c>
      <c r="V1339">
        <v>0.17158999999999999</v>
      </c>
      <c r="W1339">
        <v>0.20504890000000001</v>
      </c>
      <c r="X1339">
        <v>0.96359320000000004</v>
      </c>
      <c r="Y1339">
        <v>0.30020859999999999</v>
      </c>
      <c r="Z1339">
        <v>1.2650369999999999E-2</v>
      </c>
      <c r="AA1339">
        <v>0.95378969999999996</v>
      </c>
      <c r="AB1339">
        <v>26</v>
      </c>
      <c r="AC1339">
        <v>-31.102499999999999</v>
      </c>
      <c r="AD1339">
        <v>-1.111052036694</v>
      </c>
      <c r="AE1339">
        <v>1.5274000000000001</v>
      </c>
      <c r="AF1339">
        <v>9.41037059090654</v>
      </c>
      <c r="AG1339">
        <v>-1.111052036694</v>
      </c>
      <c r="AH1339">
        <v>29.6425237700788</v>
      </c>
      <c r="AI1339">
        <v>92.046004268059704</v>
      </c>
      <c r="AJ1339">
        <v>72.387342113990798</v>
      </c>
      <c r="AK1339">
        <v>31.1202301846584</v>
      </c>
      <c r="AL1339">
        <v>78.167638585149803</v>
      </c>
      <c r="AM1339">
        <v>79.903002153969197</v>
      </c>
      <c r="AN1339">
        <v>1.00000001728872</v>
      </c>
    </row>
    <row r="1340" spans="1:40" x14ac:dyDescent="0.25">
      <c r="A1340" t="str">
        <f>"20190303171005024"</f>
        <v>20190303171005024</v>
      </c>
      <c r="B1340" t="str">
        <f>"1551604205011915"</f>
        <v>1551604205011915</v>
      </c>
      <c r="C1340" t="s">
        <v>40</v>
      </c>
      <c r="D1340">
        <v>4.8628339999999897</v>
      </c>
      <c r="E1340">
        <v>0.56035199999999996</v>
      </c>
      <c r="F1340" t="s">
        <v>53</v>
      </c>
      <c r="G1340">
        <v>-237.72</v>
      </c>
      <c r="H1340" s="1">
        <v>2.5487810000000002E-6</v>
      </c>
      <c r="I1340">
        <v>285.13339999999999</v>
      </c>
      <c r="J1340">
        <v>-207.63239999999999</v>
      </c>
      <c r="K1340">
        <v>1.1112519999999999</v>
      </c>
      <c r="L1340">
        <v>283.3741</v>
      </c>
      <c r="M1340">
        <v>-0.97016100000000005</v>
      </c>
      <c r="N1340">
        <v>-1.532211E-2</v>
      </c>
      <c r="O1340">
        <v>-0.24197730000000001</v>
      </c>
      <c r="P1340">
        <v>-0.97835329999999998</v>
      </c>
      <c r="Q1340">
        <v>0.19380749999999999</v>
      </c>
      <c r="R1340">
        <v>-7.2549660000000002E-2</v>
      </c>
      <c r="S1340">
        <v>-3.1082610000000002</v>
      </c>
      <c r="T1340">
        <v>-0.11383070000000001</v>
      </c>
      <c r="U1340">
        <v>0.17507929999999999</v>
      </c>
      <c r="V1340">
        <v>0.17140739999999999</v>
      </c>
      <c r="W1340">
        <v>0.20448279999999999</v>
      </c>
      <c r="X1340">
        <v>0.96374599999999999</v>
      </c>
      <c r="Y1340">
        <v>0.29585640000000002</v>
      </c>
      <c r="Z1340">
        <v>1.275512E-2</v>
      </c>
      <c r="AA1340">
        <v>0.95514730000000003</v>
      </c>
      <c r="AB1340">
        <v>26</v>
      </c>
      <c r="AC1340">
        <v>-30.087599999999998</v>
      </c>
      <c r="AD1340">
        <v>-1.1112494512190001</v>
      </c>
      <c r="AE1340">
        <v>1.7592999999999901</v>
      </c>
      <c r="AF1340">
        <v>8.9761722224472305</v>
      </c>
      <c r="AG1340">
        <v>-1.1112494512190001</v>
      </c>
      <c r="AH1340">
        <v>28.728425278218801</v>
      </c>
      <c r="AI1340">
        <v>92.114454084655904</v>
      </c>
      <c r="AJ1340">
        <v>72.648629388268901</v>
      </c>
      <c r="AK1340">
        <v>30.118581674376099</v>
      </c>
      <c r="AL1340">
        <v>78.200776053078499</v>
      </c>
      <c r="AM1340">
        <v>79.915092646482293</v>
      </c>
      <c r="AN1340">
        <v>1.0000000323932901</v>
      </c>
    </row>
    <row r="1341" spans="1:40" x14ac:dyDescent="0.25">
      <c r="A1341" t="str">
        <f>"20190303171005049"</f>
        <v>20190303171005049</v>
      </c>
      <c r="B1341" t="str">
        <f>"1551604205042171"</f>
        <v>1551604205042171</v>
      </c>
      <c r="C1341" t="s">
        <v>40</v>
      </c>
      <c r="D1341">
        <v>4.8345019999999996</v>
      </c>
      <c r="E1341">
        <v>0.55064990000000003</v>
      </c>
      <c r="F1341" t="s">
        <v>53</v>
      </c>
      <c r="G1341">
        <v>-237.36519999999999</v>
      </c>
      <c r="H1341" s="1">
        <v>2.348307E-6</v>
      </c>
      <c r="I1341">
        <v>285.40069999999997</v>
      </c>
      <c r="J1341">
        <v>-207.9101</v>
      </c>
      <c r="K1341">
        <v>1.1115060000000001</v>
      </c>
      <c r="L1341">
        <v>283.322</v>
      </c>
      <c r="M1341">
        <v>-0.97367919999999997</v>
      </c>
      <c r="N1341">
        <v>-1.526302E-2</v>
      </c>
      <c r="O1341">
        <v>-0.22741049999999999</v>
      </c>
      <c r="P1341">
        <v>-0.97919290000000003</v>
      </c>
      <c r="Q1341">
        <v>0.19473960000000001</v>
      </c>
      <c r="R1341">
        <v>-5.7073239999999997E-2</v>
      </c>
      <c r="S1341">
        <v>-3.1050719999999998</v>
      </c>
      <c r="T1341">
        <v>-0.1160506</v>
      </c>
      <c r="U1341">
        <v>0.21163940000000001</v>
      </c>
      <c r="V1341">
        <v>0.17205409999999999</v>
      </c>
      <c r="W1341">
        <v>0.20544090000000001</v>
      </c>
      <c r="X1341">
        <v>0.96342689999999997</v>
      </c>
      <c r="Y1341">
        <v>0.29278979999999999</v>
      </c>
      <c r="Z1341">
        <v>1.266537E-2</v>
      </c>
      <c r="AA1341">
        <v>0.95609299999999997</v>
      </c>
      <c r="AB1341">
        <v>26</v>
      </c>
      <c r="AC1341">
        <v>-29.455099999999899</v>
      </c>
      <c r="AD1341">
        <v>-1.1115036516929999</v>
      </c>
      <c r="AE1341">
        <v>2.07869999999996</v>
      </c>
      <c r="AF1341">
        <v>8.7110607130068392</v>
      </c>
      <c r="AG1341">
        <v>-1.1115036516929999</v>
      </c>
      <c r="AH1341">
        <v>28.170475534677198</v>
      </c>
      <c r="AI1341">
        <v>92.158756113367403</v>
      </c>
      <c r="AJ1341">
        <v>72.816999485616407</v>
      </c>
      <c r="AK1341">
        <v>29.5075195664303</v>
      </c>
      <c r="AL1341">
        <v>78.144689682822303</v>
      </c>
      <c r="AM1341">
        <v>79.874545566550694</v>
      </c>
      <c r="AN1341">
        <v>0.99999998418161495</v>
      </c>
    </row>
    <row r="1342" spans="1:40" x14ac:dyDescent="0.25">
      <c r="A1342" t="str">
        <f>"20190303171005070"</f>
        <v>20190303171005070</v>
      </c>
      <c r="B1342" t="str">
        <f>"1551604205061690"</f>
        <v>1551604205061690</v>
      </c>
      <c r="C1342" t="s">
        <v>40</v>
      </c>
      <c r="D1342">
        <v>4.8257000000000003</v>
      </c>
      <c r="E1342">
        <v>0.54859139999999995</v>
      </c>
      <c r="F1342" t="s">
        <v>53</v>
      </c>
      <c r="G1342">
        <v>-239.3013</v>
      </c>
      <c r="H1342" s="1">
        <v>3.3887159999999999E-6</v>
      </c>
      <c r="I1342">
        <v>285.16919999999999</v>
      </c>
      <c r="J1342">
        <v>-208.16380000000001</v>
      </c>
      <c r="K1342">
        <v>1.111782</v>
      </c>
      <c r="L1342">
        <v>283.27780000000001</v>
      </c>
      <c r="M1342">
        <v>-0.97661189999999998</v>
      </c>
      <c r="N1342">
        <v>-1.5199549999999999E-2</v>
      </c>
      <c r="O1342">
        <v>-0.2144721</v>
      </c>
      <c r="P1342">
        <v>-0.97965570000000002</v>
      </c>
      <c r="Q1342">
        <v>0.1959835</v>
      </c>
      <c r="R1342">
        <v>-4.3191939999999998E-2</v>
      </c>
      <c r="S1342">
        <v>-3.0961609999999999</v>
      </c>
      <c r="T1342">
        <v>-0.1096294</v>
      </c>
      <c r="U1342">
        <v>0.18218989999999999</v>
      </c>
      <c r="V1342">
        <v>0.17276359999999999</v>
      </c>
      <c r="W1342">
        <v>0.2067129</v>
      </c>
      <c r="X1342">
        <v>0.96302779999999999</v>
      </c>
      <c r="Y1342">
        <v>0.27121719999999999</v>
      </c>
      <c r="Z1342">
        <v>1.1141750000000001E-2</v>
      </c>
      <c r="AA1342">
        <v>0.96245369999999997</v>
      </c>
      <c r="AB1342">
        <v>26</v>
      </c>
      <c r="AC1342">
        <v>-31.1374999999999</v>
      </c>
      <c r="AD1342">
        <v>-1.111778611284</v>
      </c>
      <c r="AE1342">
        <v>1.89139999999997</v>
      </c>
      <c r="AF1342">
        <v>8.5154569686344708</v>
      </c>
      <c r="AG1342">
        <v>-1.111778611284</v>
      </c>
      <c r="AH1342">
        <v>29.9689988416681</v>
      </c>
      <c r="AI1342">
        <v>92.043734613633006</v>
      </c>
      <c r="AJ1342">
        <v>74.137915004719304</v>
      </c>
      <c r="AK1342">
        <v>31.175149568800499</v>
      </c>
      <c r="AL1342">
        <v>78.070211176392803</v>
      </c>
      <c r="AM1342">
        <v>79.829535126032695</v>
      </c>
      <c r="AN1342">
        <v>1.0000000140420999</v>
      </c>
    </row>
    <row r="1343" spans="1:40" x14ac:dyDescent="0.25">
      <c r="A1343" t="str">
        <f>"20190303171005092"</f>
        <v>20190303171005092</v>
      </c>
      <c r="B1343" t="str">
        <f>"1551604205082186"</f>
        <v>1551604205082186</v>
      </c>
      <c r="C1343" t="s">
        <v>40</v>
      </c>
      <c r="D1343">
        <v>4.7864319999999996</v>
      </c>
      <c r="E1343">
        <v>0.54772589999999999</v>
      </c>
      <c r="F1343" t="s">
        <v>53</v>
      </c>
      <c r="G1343">
        <v>-239.84479999999999</v>
      </c>
      <c r="H1343" s="1">
        <v>3.6679259999999999E-6</v>
      </c>
      <c r="I1343">
        <v>285.39859999999999</v>
      </c>
      <c r="J1343">
        <v>-208.4178</v>
      </c>
      <c r="K1343">
        <v>1.1120950000000001</v>
      </c>
      <c r="L1343">
        <v>283.23660000000001</v>
      </c>
      <c r="M1343">
        <v>-0.97928769999999998</v>
      </c>
      <c r="N1343">
        <v>-1.512865E-2</v>
      </c>
      <c r="O1343">
        <v>-0.2019077</v>
      </c>
      <c r="P1343">
        <v>-0.98007820000000001</v>
      </c>
      <c r="Q1343">
        <v>0.1960818</v>
      </c>
      <c r="R1343">
        <v>-3.1600089999999997E-2</v>
      </c>
      <c r="S1343">
        <v>-3.093124</v>
      </c>
      <c r="T1343">
        <v>-0.108546699999999</v>
      </c>
      <c r="U1343">
        <v>0.20706179999999999</v>
      </c>
      <c r="V1343">
        <v>0.17161989999999999</v>
      </c>
      <c r="W1343">
        <v>0.2068981</v>
      </c>
      <c r="X1343">
        <v>0.96319250000000001</v>
      </c>
      <c r="Y1343">
        <v>0.26662419999999998</v>
      </c>
      <c r="Z1343">
        <v>1.0680769999999999E-2</v>
      </c>
      <c r="AA1343">
        <v>0.96374139999999997</v>
      </c>
      <c r="AB1343">
        <v>26</v>
      </c>
      <c r="AC1343">
        <v>-31.4269999999999</v>
      </c>
      <c r="AD1343">
        <v>-1.112091332074</v>
      </c>
      <c r="AE1343">
        <v>2.1619999999999702</v>
      </c>
      <c r="AF1343">
        <v>8.4530068943425505</v>
      </c>
      <c r="AG1343">
        <v>-1.112091332074</v>
      </c>
      <c r="AH1343">
        <v>30.305253168467399</v>
      </c>
      <c r="AI1343">
        <v>92.024394065472293</v>
      </c>
      <c r="AJ1343">
        <v>74.414684362729005</v>
      </c>
      <c r="AK1343">
        <v>31.4817159997923</v>
      </c>
      <c r="AL1343">
        <v>78.0593654036674</v>
      </c>
      <c r="AM1343">
        <v>79.897164266992903</v>
      </c>
      <c r="AN1343">
        <v>1.0000000029579299</v>
      </c>
    </row>
    <row r="1344" spans="1:40" x14ac:dyDescent="0.25">
      <c r="A1344" t="str">
        <f>"20190303171005114"</f>
        <v>20190303171005114</v>
      </c>
      <c r="B1344" t="str">
        <f>"1551604205101706"</f>
        <v>1551604205101706</v>
      </c>
      <c r="C1344" t="s">
        <v>40</v>
      </c>
      <c r="D1344">
        <v>4.7914709999999996</v>
      </c>
      <c r="E1344">
        <v>0.53760669999999899</v>
      </c>
      <c r="F1344" t="s">
        <v>53</v>
      </c>
      <c r="G1344">
        <v>-239.51220000000001</v>
      </c>
      <c r="H1344" s="1">
        <v>3.482149E-6</v>
      </c>
      <c r="I1344">
        <v>285.59980000000002</v>
      </c>
      <c r="J1344">
        <v>-208.666</v>
      </c>
      <c r="K1344">
        <v>1.1124309999999999</v>
      </c>
      <c r="L1344">
        <v>283.19909999999999</v>
      </c>
      <c r="M1344">
        <v>-0.98166089999999995</v>
      </c>
      <c r="N1344">
        <v>-1.5053739999999999E-2</v>
      </c>
      <c r="O1344">
        <v>-0.19004070000000001</v>
      </c>
      <c r="P1344">
        <v>-0.98042070000000003</v>
      </c>
      <c r="Q1344">
        <v>0.19571089999999999</v>
      </c>
      <c r="R1344">
        <v>-2.17415E-2</v>
      </c>
      <c r="S1344">
        <v>-3.090668</v>
      </c>
      <c r="T1344">
        <v>-0.1105375</v>
      </c>
      <c r="U1344">
        <v>0.23489380000000001</v>
      </c>
      <c r="V1344">
        <v>0.16947960000000001</v>
      </c>
      <c r="W1344">
        <v>0.2066434</v>
      </c>
      <c r="X1344">
        <v>0.96362610000000004</v>
      </c>
      <c r="Y1344">
        <v>0.2636387</v>
      </c>
      <c r="Z1344">
        <v>1.0596039999999999E-2</v>
      </c>
      <c r="AA1344">
        <v>0.96456330000000001</v>
      </c>
      <c r="AB1344">
        <v>26</v>
      </c>
      <c r="AC1344">
        <v>-30.8462</v>
      </c>
      <c r="AD1344">
        <v>-1.1124275178509999</v>
      </c>
      <c r="AE1344">
        <v>2.40070000000002</v>
      </c>
      <c r="AF1344">
        <v>8.2090250311145105</v>
      </c>
      <c r="AG1344">
        <v>-1.1124275178509999</v>
      </c>
      <c r="AH1344">
        <v>29.789144400119799</v>
      </c>
      <c r="AI1344">
        <v>92.061839700989495</v>
      </c>
      <c r="AJ1344">
        <v>74.593336204593101</v>
      </c>
      <c r="AK1344">
        <v>30.9195522450621</v>
      </c>
      <c r="AL1344">
        <v>78.074281482657796</v>
      </c>
      <c r="AM1344">
        <v>80.025010394063301</v>
      </c>
      <c r="AN1344">
        <v>1.00000004509046</v>
      </c>
    </row>
    <row r="1345" spans="1:40" x14ac:dyDescent="0.25">
      <c r="A1345" t="str">
        <f>"20190303171005135"</f>
        <v>20190303171005135</v>
      </c>
      <c r="B1345" t="str">
        <f>"1551604205122202"</f>
        <v>1551604205122202</v>
      </c>
      <c r="C1345" t="s">
        <v>40</v>
      </c>
      <c r="D1345">
        <v>4.8998480000000004</v>
      </c>
      <c r="E1345">
        <v>0.53594799999999998</v>
      </c>
      <c r="F1345" t="s">
        <v>53</v>
      </c>
      <c r="G1345">
        <v>-239.10570000000001</v>
      </c>
      <c r="H1345" s="1">
        <v>3.2911269999999998E-6</v>
      </c>
      <c r="I1345">
        <v>285.02019999999999</v>
      </c>
      <c r="J1345">
        <v>-208.91579999999999</v>
      </c>
      <c r="K1345">
        <v>1.1127849999999999</v>
      </c>
      <c r="L1345">
        <v>283.16390000000001</v>
      </c>
      <c r="M1345">
        <v>-0.983819</v>
      </c>
      <c r="N1345">
        <v>-1.4974579999999999E-2</v>
      </c>
      <c r="O1345">
        <v>-0.17853840000000001</v>
      </c>
      <c r="P1345">
        <v>-0.98058310000000004</v>
      </c>
      <c r="Q1345">
        <v>0.19572429999999999</v>
      </c>
      <c r="R1345">
        <v>-1.2212570000000001E-2</v>
      </c>
      <c r="S1345">
        <v>-3.0865330000000002</v>
      </c>
      <c r="T1345">
        <v>-0.1127986</v>
      </c>
      <c r="U1345">
        <v>0.18466189999999999</v>
      </c>
      <c r="V1345">
        <v>0.16738</v>
      </c>
      <c r="W1345">
        <v>0.20677119999999999</v>
      </c>
      <c r="X1345">
        <v>0.96396550000000003</v>
      </c>
      <c r="Y1345">
        <v>0.2367388</v>
      </c>
      <c r="Z1345">
        <v>9.9166399999999991E-3</v>
      </c>
      <c r="AA1345">
        <v>0.97152269999999996</v>
      </c>
      <c r="AB1345">
        <v>26</v>
      </c>
      <c r="AC1345">
        <v>-30.189900000000002</v>
      </c>
      <c r="AD1345">
        <v>-1.1127817088730001</v>
      </c>
      <c r="AE1345">
        <v>1.8562999999999701</v>
      </c>
      <c r="AF1345">
        <v>7.2073736223041101</v>
      </c>
      <c r="AG1345">
        <v>-1.1127817088730001</v>
      </c>
      <c r="AH1345">
        <v>29.333566607039401</v>
      </c>
      <c r="AI1345">
        <v>92.109806274258403</v>
      </c>
      <c r="AJ1345">
        <v>76.195655254497495</v>
      </c>
      <c r="AK1345">
        <v>30.226522253688099</v>
      </c>
      <c r="AL1345">
        <v>78.066796168243698</v>
      </c>
      <c r="AM1345">
        <v>80.149550044521902</v>
      </c>
      <c r="AN1345">
        <v>0.99999993936984299</v>
      </c>
    </row>
    <row r="1346" spans="1:40" x14ac:dyDescent="0.25">
      <c r="A1346" t="str">
        <f>"20190303171005158"</f>
        <v>20190303171005158</v>
      </c>
      <c r="B1346" t="str">
        <f>"1551604205151483"</f>
        <v>1551604205151483</v>
      </c>
      <c r="C1346" t="s">
        <v>40</v>
      </c>
      <c r="D1346">
        <v>4.8970289999999999</v>
      </c>
      <c r="E1346">
        <v>0.53210880000000005</v>
      </c>
      <c r="F1346" t="s">
        <v>53</v>
      </c>
      <c r="G1346">
        <v>-234.96680000000001</v>
      </c>
      <c r="H1346" s="1">
        <v>1.0962289999999999E-6</v>
      </c>
      <c r="I1346">
        <v>284.84699999999998</v>
      </c>
      <c r="J1346">
        <v>-209.17150000000001</v>
      </c>
      <c r="K1346">
        <v>1.1131500000000001</v>
      </c>
      <c r="L1346">
        <v>283.13060000000002</v>
      </c>
      <c r="M1346">
        <v>-0.98580029999999996</v>
      </c>
      <c r="N1346">
        <v>-1.489098E-2</v>
      </c>
      <c r="O1346">
        <v>-0.1672612</v>
      </c>
      <c r="P1346">
        <v>-0.98056169999999998</v>
      </c>
      <c r="Q1346">
        <v>0.1962005</v>
      </c>
      <c r="R1346">
        <v>-2.1035020000000001E-3</v>
      </c>
      <c r="S1346">
        <v>-3.0882260000000001</v>
      </c>
      <c r="T1346">
        <v>-0.13191549999999999</v>
      </c>
      <c r="U1346">
        <v>0.1995239</v>
      </c>
      <c r="V1346">
        <v>0.1660816</v>
      </c>
      <c r="W1346">
        <v>0.20734040000000001</v>
      </c>
      <c r="X1346">
        <v>0.96406789999999998</v>
      </c>
      <c r="Y1346">
        <v>0.23015099999999999</v>
      </c>
      <c r="Z1346">
        <v>1.1250029999999999E-2</v>
      </c>
      <c r="AA1346">
        <v>0.97308989999999995</v>
      </c>
      <c r="AB1346">
        <v>26</v>
      </c>
      <c r="AC1346">
        <v>-25.795300000000001</v>
      </c>
      <c r="AD1346">
        <v>-1.1131489037710001</v>
      </c>
      <c r="AE1346">
        <v>1.71639999999996</v>
      </c>
      <c r="AF1346">
        <v>5.9961289374403099</v>
      </c>
      <c r="AG1346">
        <v>-1.1131489037710001</v>
      </c>
      <c r="AH1346">
        <v>25.0981800671799</v>
      </c>
      <c r="AI1346">
        <v>92.470081486826999</v>
      </c>
      <c r="AJ1346">
        <v>76.563499223046193</v>
      </c>
      <c r="AK1346">
        <v>25.828497931567</v>
      </c>
      <c r="AL1346">
        <v>78.0334620772242</v>
      </c>
      <c r="AM1346">
        <v>80.225500390668998</v>
      </c>
      <c r="AN1346">
        <v>1.0000000275705601</v>
      </c>
    </row>
    <row r="1347" spans="1:40" x14ac:dyDescent="0.25">
      <c r="A1347" t="str">
        <f>"20190303171005181"</f>
        <v>20190303171005181</v>
      </c>
      <c r="B1347" t="str">
        <f>"1551604205171978"</f>
        <v>1551604205171978</v>
      </c>
      <c r="C1347" t="s">
        <v>40</v>
      </c>
      <c r="D1347">
        <v>4.8956489999999997</v>
      </c>
      <c r="E1347">
        <v>0.52961899999999995</v>
      </c>
      <c r="F1347" t="s">
        <v>53</v>
      </c>
      <c r="G1347">
        <v>-238.59139999999999</v>
      </c>
      <c r="H1347" s="1">
        <v>3.016828E-6</v>
      </c>
      <c r="I1347">
        <v>285.0351</v>
      </c>
      <c r="J1347">
        <v>-209.44800000000001</v>
      </c>
      <c r="K1347">
        <v>1.1135469999999901</v>
      </c>
      <c r="L1347">
        <v>283.09750000000003</v>
      </c>
      <c r="M1347">
        <v>-0.987707</v>
      </c>
      <c r="N1347">
        <v>-1.47996E-2</v>
      </c>
      <c r="O1347">
        <v>-0.15561510000000001</v>
      </c>
      <c r="P1347">
        <v>-0.98042609999999997</v>
      </c>
      <c r="Q1347">
        <v>0.19668840000000001</v>
      </c>
      <c r="R1347">
        <v>8.8509079999999993E-3</v>
      </c>
      <c r="S1347">
        <v>-3.083221</v>
      </c>
      <c r="T1347">
        <v>-0.116658399999999</v>
      </c>
      <c r="U1347">
        <v>0.19958500000000001</v>
      </c>
      <c r="V1347">
        <v>0.16526930000000001</v>
      </c>
      <c r="W1347">
        <v>0.2079076</v>
      </c>
      <c r="X1347">
        <v>0.96408530000000003</v>
      </c>
      <c r="Y1347">
        <v>0.21885959999999999</v>
      </c>
      <c r="Z1347">
        <v>9.3213959999999992E-3</v>
      </c>
      <c r="AA1347">
        <v>0.97571180000000002</v>
      </c>
      <c r="AB1347">
        <v>26</v>
      </c>
      <c r="AC1347">
        <v>-29.1434</v>
      </c>
      <c r="AD1347">
        <v>-1.11354398317199</v>
      </c>
      <c r="AE1347">
        <v>1.93759999999997</v>
      </c>
      <c r="AF1347">
        <v>6.4402788636931101</v>
      </c>
      <c r="AG1347">
        <v>-1.11354398317199</v>
      </c>
      <c r="AH1347">
        <v>28.445391570416501</v>
      </c>
      <c r="AI1347">
        <v>92.186512460149004</v>
      </c>
      <c r="AJ1347">
        <v>77.242826426235595</v>
      </c>
      <c r="AK1347">
        <v>29.186597500204002</v>
      </c>
      <c r="AL1347">
        <v>78.000239484818806</v>
      </c>
      <c r="AM1347">
        <v>80.272563803068707</v>
      </c>
      <c r="AN1347">
        <v>0.99999998866816997</v>
      </c>
    </row>
    <row r="1348" spans="1:40" x14ac:dyDescent="0.25">
      <c r="A1348" t="str">
        <f>"20190303171005205"</f>
        <v>20190303171005205</v>
      </c>
      <c r="B1348" t="str">
        <f>"1551604205191498"</f>
        <v>1551604205191498</v>
      </c>
      <c r="C1348" t="s">
        <v>40</v>
      </c>
      <c r="D1348">
        <v>4.8478139999999996</v>
      </c>
      <c r="E1348">
        <v>0.52906839999999999</v>
      </c>
      <c r="F1348" t="s">
        <v>53</v>
      </c>
      <c r="G1348">
        <v>-240.67910000000001</v>
      </c>
      <c r="H1348" s="1">
        <v>-1.1754100000000001E-6</v>
      </c>
      <c r="I1348">
        <v>285.25099999999998</v>
      </c>
      <c r="J1348">
        <v>-209.7114</v>
      </c>
      <c r="K1348">
        <v>1.113874</v>
      </c>
      <c r="L1348">
        <v>283.06849999999997</v>
      </c>
      <c r="M1348">
        <v>-0.98933269999999995</v>
      </c>
      <c r="N1348">
        <v>-1.4716669999999999E-2</v>
      </c>
      <c r="O1348">
        <v>-0.14492920000000001</v>
      </c>
      <c r="P1348">
        <v>-0.98035039999999996</v>
      </c>
      <c r="Q1348">
        <v>0.1964979</v>
      </c>
      <c r="R1348">
        <v>1.7378910000000001E-2</v>
      </c>
      <c r="S1348">
        <v>-3.0800169999999998</v>
      </c>
      <c r="T1348">
        <v>-0.1098182</v>
      </c>
      <c r="U1348">
        <v>0.2123718</v>
      </c>
      <c r="V1348">
        <v>0.16306590000000001</v>
      </c>
      <c r="W1348">
        <v>0.2078082</v>
      </c>
      <c r="X1348">
        <v>0.96448179999999994</v>
      </c>
      <c r="Y1348">
        <v>0.21244189999999999</v>
      </c>
      <c r="Z1348">
        <v>8.3668730000000004E-3</v>
      </c>
      <c r="AA1348">
        <v>0.9771379</v>
      </c>
      <c r="AB1348">
        <v>26</v>
      </c>
      <c r="AC1348">
        <v>-30.967700000000001</v>
      </c>
      <c r="AD1348">
        <v>-1.11387517541</v>
      </c>
      <c r="AE1348">
        <v>2.1825000000000001</v>
      </c>
      <c r="AF1348">
        <v>6.6395142389736801</v>
      </c>
      <c r="AG1348">
        <v>-1.11387517541</v>
      </c>
      <c r="AH1348">
        <v>30.285342130717801</v>
      </c>
      <c r="AI1348">
        <v>92.057530639033004</v>
      </c>
      <c r="AJ1348">
        <v>77.634563363698405</v>
      </c>
      <c r="AK1348">
        <v>31.024600161977201</v>
      </c>
      <c r="AL1348">
        <v>78.006061248508701</v>
      </c>
      <c r="AM1348">
        <v>80.403695454800598</v>
      </c>
      <c r="AN1348">
        <v>0.999999939130643</v>
      </c>
    </row>
    <row r="1349" spans="1:40" x14ac:dyDescent="0.25">
      <c r="A1349" t="str">
        <f>"20190303171005224"</f>
        <v>20190303171005224</v>
      </c>
      <c r="B1349" t="str">
        <f>"1551604205211994"</f>
        <v>1551604205211994</v>
      </c>
      <c r="C1349" t="s">
        <v>40</v>
      </c>
      <c r="D1349">
        <v>4.9036860000000004</v>
      </c>
      <c r="E1349">
        <v>0.51436380000000004</v>
      </c>
      <c r="F1349" t="s">
        <v>53</v>
      </c>
      <c r="G1349">
        <v>-241.3271</v>
      </c>
      <c r="H1349" s="1">
        <v>-8.3056990000000001E-7</v>
      </c>
      <c r="I1349">
        <v>285.47859999999997</v>
      </c>
      <c r="J1349">
        <v>-209.9348</v>
      </c>
      <c r="K1349">
        <v>1.1141270000000001</v>
      </c>
      <c r="L1349">
        <v>283.04570000000001</v>
      </c>
      <c r="M1349">
        <v>-0.99057479999999998</v>
      </c>
      <c r="N1349">
        <v>-1.464995E-2</v>
      </c>
      <c r="O1349">
        <v>-0.13618820000000001</v>
      </c>
      <c r="P1349">
        <v>-0.9801957</v>
      </c>
      <c r="Q1349">
        <v>0.19658310000000001</v>
      </c>
      <c r="R1349">
        <v>2.3914230000000002E-2</v>
      </c>
      <c r="S1349">
        <v>-3.0777130000000001</v>
      </c>
      <c r="T1349">
        <v>-0.1084331</v>
      </c>
      <c r="U1349">
        <v>0.2346191</v>
      </c>
      <c r="V1349">
        <v>0.16084579999999901</v>
      </c>
      <c r="W1349">
        <v>0.20796870000000001</v>
      </c>
      <c r="X1349">
        <v>0.96482000000000001</v>
      </c>
      <c r="Y1349">
        <v>0.21089859999999999</v>
      </c>
      <c r="Z1349">
        <v>8.0470899999999998E-3</v>
      </c>
      <c r="AA1349">
        <v>0.97747479999999998</v>
      </c>
      <c r="AB1349">
        <v>25</v>
      </c>
      <c r="AC1349">
        <v>-31.392299999999999</v>
      </c>
      <c r="AD1349">
        <v>-1.1141278305699001</v>
      </c>
      <c r="AE1349">
        <v>2.4328999999999601</v>
      </c>
      <c r="AF1349">
        <v>6.6775861331527597</v>
      </c>
      <c r="AG1349">
        <v>-1.1141278305699001</v>
      </c>
      <c r="AH1349">
        <v>30.729911131820199</v>
      </c>
      <c r="AI1349">
        <v>92.029065163168795</v>
      </c>
      <c r="AJ1349">
        <v>77.740263587960996</v>
      </c>
      <c r="AK1349">
        <v>31.466790042171301</v>
      </c>
      <c r="AL1349">
        <v>77.996660523064804</v>
      </c>
      <c r="AM1349">
        <v>80.5352240878956</v>
      </c>
      <c r="AN1349">
        <v>0.99999999197866496</v>
      </c>
    </row>
    <row r="1350" spans="1:40" x14ac:dyDescent="0.25">
      <c r="A1350" t="str">
        <f>"20190303171005249"</f>
        <v>20190303171005249</v>
      </c>
      <c r="B1350" t="str">
        <f>"1551604205242250"</f>
        <v>1551604205242250</v>
      </c>
      <c r="C1350" t="s">
        <v>40</v>
      </c>
      <c r="D1350">
        <v>4.782483</v>
      </c>
      <c r="E1350">
        <v>0.51172039999999996</v>
      </c>
      <c r="F1350" t="s">
        <v>53</v>
      </c>
      <c r="G1350">
        <v>-253.74719999999999</v>
      </c>
      <c r="H1350" s="1">
        <v>4.5727280000000001E-7</v>
      </c>
      <c r="I1350">
        <v>285.03809999999999</v>
      </c>
      <c r="J1350">
        <v>-210.21469999999999</v>
      </c>
      <c r="K1350">
        <v>1.114436</v>
      </c>
      <c r="L1350">
        <v>283.01960000000003</v>
      </c>
      <c r="M1350">
        <v>-0.99196479999999998</v>
      </c>
      <c r="N1350">
        <v>-1.456643E-2</v>
      </c>
      <c r="O1350">
        <v>-0.12567449999999999</v>
      </c>
      <c r="P1350">
        <v>-0.97989029999999999</v>
      </c>
      <c r="Q1350">
        <v>0.1967236</v>
      </c>
      <c r="R1350">
        <v>3.3394819999999999E-2</v>
      </c>
      <c r="S1350">
        <v>-3.0728759999999999</v>
      </c>
      <c r="T1350">
        <v>-7.814169E-2</v>
      </c>
      <c r="U1350">
        <v>0.13974</v>
      </c>
      <c r="V1350">
        <v>0.15978499999999901</v>
      </c>
      <c r="W1350">
        <v>0.2081655</v>
      </c>
      <c r="X1350">
        <v>0.96495379999999997</v>
      </c>
      <c r="Y1350">
        <v>0.170532399999999</v>
      </c>
      <c r="Z1350">
        <v>4.7674609999999997E-3</v>
      </c>
      <c r="AA1350">
        <v>0.98534049999999995</v>
      </c>
      <c r="AB1350">
        <v>25</v>
      </c>
      <c r="AC1350">
        <v>-43.532499999999999</v>
      </c>
      <c r="AD1350">
        <v>-1.1144355427271999</v>
      </c>
      <c r="AE1350">
        <v>2.01849999999996</v>
      </c>
      <c r="AF1350">
        <v>7.4691130048284302</v>
      </c>
      <c r="AG1350">
        <v>-1.1144355427271999</v>
      </c>
      <c r="AH1350">
        <v>42.905521214910202</v>
      </c>
      <c r="AI1350">
        <v>91.465840687107999</v>
      </c>
      <c r="AJ1350">
        <v>80.124752880803101</v>
      </c>
      <c r="AK1350">
        <v>43.565047531029897</v>
      </c>
      <c r="AL1350">
        <v>77.985132255988006</v>
      </c>
      <c r="AM1350">
        <v>80.597807683187696</v>
      </c>
      <c r="AN1350">
        <v>0.99999997887484404</v>
      </c>
    </row>
    <row r="1351" spans="1:40" x14ac:dyDescent="0.25">
      <c r="A1351" t="str">
        <f>"20190303171005272"</f>
        <v>20190303171005272</v>
      </c>
      <c r="B1351" t="str">
        <f>"1551604205261771"</f>
        <v>1551604205261771</v>
      </c>
      <c r="C1351" t="s">
        <v>40</v>
      </c>
      <c r="D1351">
        <v>4.7907989999999998</v>
      </c>
      <c r="E1351">
        <v>0.51036300000000001</v>
      </c>
      <c r="F1351" t="s">
        <v>53</v>
      </c>
      <c r="G1351">
        <v>-256.51049999999998</v>
      </c>
      <c r="H1351" s="1">
        <v>1.9277650000000001E-6</v>
      </c>
      <c r="I1351">
        <v>285.2414</v>
      </c>
      <c r="J1351">
        <v>-210.4846</v>
      </c>
      <c r="K1351">
        <v>1.114754</v>
      </c>
      <c r="L1351">
        <v>282.99680000000001</v>
      </c>
      <c r="M1351">
        <v>-0.99314619999999998</v>
      </c>
      <c r="N1351">
        <v>-1.4484459999999999E-2</v>
      </c>
      <c r="O1351">
        <v>-0.1159787</v>
      </c>
      <c r="P1351">
        <v>-0.97944229999999999</v>
      </c>
      <c r="Q1351">
        <v>0.1972061</v>
      </c>
      <c r="R1351">
        <v>4.2460869999999998E-2</v>
      </c>
      <c r="S1351">
        <v>-3.0713810000000001</v>
      </c>
      <c r="T1351">
        <v>-7.3934440000000004E-2</v>
      </c>
      <c r="U1351">
        <v>0.1473999</v>
      </c>
      <c r="V1351">
        <v>0.15912390000000001</v>
      </c>
      <c r="W1351">
        <v>0.2086981</v>
      </c>
      <c r="X1351">
        <v>0.96494800000000003</v>
      </c>
      <c r="Y1351">
        <v>0.16338929999999999</v>
      </c>
      <c r="Z1351">
        <v>4.2559269999999996E-3</v>
      </c>
      <c r="AA1351">
        <v>0.98655250000000005</v>
      </c>
      <c r="AB1351">
        <v>25</v>
      </c>
      <c r="AC1351">
        <v>-46.025899999999901</v>
      </c>
      <c r="AD1351">
        <v>-1.1147520722349999</v>
      </c>
      <c r="AE1351">
        <v>2.2445999999999899</v>
      </c>
      <c r="AF1351">
        <v>7.5636066679979903</v>
      </c>
      <c r="AG1351">
        <v>-1.1147520722349999</v>
      </c>
      <c r="AH1351">
        <v>45.428299437589203</v>
      </c>
      <c r="AI1351">
        <v>91.386602829626895</v>
      </c>
      <c r="AJ1351">
        <v>80.547221060768706</v>
      </c>
      <c r="AK1351">
        <v>46.0671380465729</v>
      </c>
      <c r="AL1351">
        <v>77.953931236464598</v>
      </c>
      <c r="AM1351">
        <v>80.635962953440995</v>
      </c>
      <c r="AN1351">
        <v>0.99999997759940895</v>
      </c>
    </row>
    <row r="1352" spans="1:40" x14ac:dyDescent="0.25">
      <c r="A1352" t="str">
        <f>"20190303171005293"</f>
        <v>20190303171005293</v>
      </c>
      <c r="B1352" t="str">
        <f>"1551604205282267"</f>
        <v>1551604205282267</v>
      </c>
      <c r="C1352" t="s">
        <v>40</v>
      </c>
      <c r="D1352">
        <v>4.6266109999999996</v>
      </c>
      <c r="E1352">
        <v>0.50908549999999997</v>
      </c>
      <c r="F1352" t="s">
        <v>53</v>
      </c>
      <c r="G1352">
        <v>-259.38170000000002</v>
      </c>
      <c r="H1352" s="1">
        <v>3.4557070000000002E-6</v>
      </c>
      <c r="I1352">
        <v>285.6026</v>
      </c>
      <c r="J1352">
        <v>-210.73099999999999</v>
      </c>
      <c r="K1352">
        <v>1.1150719999999901</v>
      </c>
      <c r="L1352">
        <v>282.97789999999998</v>
      </c>
      <c r="M1352">
        <v>-0.9940985</v>
      </c>
      <c r="N1352">
        <v>-1.4410249999999999E-2</v>
      </c>
      <c r="O1352">
        <v>-0.1075205</v>
      </c>
      <c r="P1352">
        <v>-0.97929029999999995</v>
      </c>
      <c r="Q1352">
        <v>0.19644349999999999</v>
      </c>
      <c r="R1352">
        <v>4.8994210000000003E-2</v>
      </c>
      <c r="S1352">
        <v>-3.0699619999999999</v>
      </c>
      <c r="T1352">
        <v>-6.9988610000000007E-2</v>
      </c>
      <c r="U1352">
        <v>0.16360469999999999</v>
      </c>
      <c r="V1352">
        <v>0.15718940000000001</v>
      </c>
      <c r="W1352">
        <v>0.2080158</v>
      </c>
      <c r="X1352">
        <v>0.9654123</v>
      </c>
      <c r="Y1352">
        <v>0.16021589999999999</v>
      </c>
      <c r="Z1352">
        <v>3.8781879999999999E-3</v>
      </c>
      <c r="AA1352">
        <v>0.98707440000000002</v>
      </c>
      <c r="AB1352">
        <v>25</v>
      </c>
      <c r="AC1352">
        <v>-48.650700000000001</v>
      </c>
      <c r="AD1352">
        <v>-1.11506854429299</v>
      </c>
      <c r="AE1352">
        <v>2.62470000000001</v>
      </c>
      <c r="AF1352">
        <v>7.8368665971220599</v>
      </c>
      <c r="AG1352">
        <v>-1.11506854429299</v>
      </c>
      <c r="AH1352">
        <v>48.061194109903496</v>
      </c>
      <c r="AI1352">
        <v>91.311763455895303</v>
      </c>
      <c r="AJ1352">
        <v>80.738846736284799</v>
      </c>
      <c r="AK1352">
        <v>48.7087080016436</v>
      </c>
      <c r="AL1352">
        <v>77.993901588341103</v>
      </c>
      <c r="AM1352">
        <v>80.752195664366695</v>
      </c>
      <c r="AN1352">
        <v>0.99999999475664503</v>
      </c>
    </row>
    <row r="1353" spans="1:40" x14ac:dyDescent="0.25">
      <c r="A1353" t="str">
        <f>"20190303171005315"</f>
        <v>20190303171005315</v>
      </c>
      <c r="B1353" t="str">
        <f>"1551604205301787"</f>
        <v>1551604205301787</v>
      </c>
      <c r="C1353" t="s">
        <v>40</v>
      </c>
      <c r="D1353">
        <v>4.7331279999999998</v>
      </c>
      <c r="E1353">
        <v>0.50879350000000001</v>
      </c>
      <c r="F1353" t="s">
        <v>53</v>
      </c>
      <c r="G1353">
        <v>-259.15010000000001</v>
      </c>
      <c r="H1353" s="1">
        <v>3.3324559999999999E-6</v>
      </c>
      <c r="I1353">
        <v>285.72039999999998</v>
      </c>
      <c r="J1353">
        <v>-210.98310000000001</v>
      </c>
      <c r="K1353">
        <v>1.1154120000000001</v>
      </c>
      <c r="L1353">
        <v>282.96019999999999</v>
      </c>
      <c r="M1353">
        <v>-0.9949576</v>
      </c>
      <c r="N1353">
        <v>-1.433567E-2</v>
      </c>
      <c r="O1353">
        <v>-9.9267649999999999E-2</v>
      </c>
      <c r="P1353">
        <v>-0.979213</v>
      </c>
      <c r="Q1353">
        <v>0.19536000000000001</v>
      </c>
      <c r="R1353">
        <v>5.4557319999999999E-2</v>
      </c>
      <c r="S1353">
        <v>-3.0689090000000001</v>
      </c>
      <c r="T1353">
        <v>-7.0675370000000001E-2</v>
      </c>
      <c r="U1353">
        <v>0.17382810000000001</v>
      </c>
      <c r="V1353">
        <v>0.15448909999999999</v>
      </c>
      <c r="W1353">
        <v>0.20703489999999999</v>
      </c>
      <c r="X1353">
        <v>0.96605890000000005</v>
      </c>
      <c r="Y1353">
        <v>0.15532029999999999</v>
      </c>
      <c r="Z1353">
        <v>3.761337E-3</v>
      </c>
      <c r="AA1353">
        <v>0.98785699999999999</v>
      </c>
      <c r="AB1353">
        <v>25</v>
      </c>
      <c r="AC1353">
        <v>-48.167000000000002</v>
      </c>
      <c r="AD1353">
        <v>-1.115408667544</v>
      </c>
      <c r="AE1353">
        <v>2.76019999999999</v>
      </c>
      <c r="AF1353">
        <v>7.5244579349587202</v>
      </c>
      <c r="AG1353">
        <v>-1.115408667544</v>
      </c>
      <c r="AH1353">
        <v>47.629558536411899</v>
      </c>
      <c r="AI1353">
        <v>91.325103395835697</v>
      </c>
      <c r="AJ1353">
        <v>81.022677151998394</v>
      </c>
      <c r="AK1353">
        <v>48.233146798483801</v>
      </c>
      <c r="AL1353">
        <v>78.051354628582203</v>
      </c>
      <c r="AM1353">
        <v>80.914368146088606</v>
      </c>
      <c r="AN1353">
        <v>1.0000000650530101</v>
      </c>
    </row>
    <row r="1354" spans="1:40" x14ac:dyDescent="0.25">
      <c r="A1354" t="str">
        <f>"20190303171005335"</f>
        <v>20190303171005335</v>
      </c>
      <c r="B1354" t="str">
        <f>"1551604205322283"</f>
        <v>1551604205322283</v>
      </c>
      <c r="C1354" t="s">
        <v>40</v>
      </c>
      <c r="D1354">
        <v>4.7290089999999996</v>
      </c>
      <c r="E1354">
        <v>0.49952679999999999</v>
      </c>
      <c r="F1354" t="s">
        <v>53</v>
      </c>
      <c r="G1354">
        <v>-257.37880000000001</v>
      </c>
      <c r="H1354" s="1">
        <v>2.3898520000000001E-6</v>
      </c>
      <c r="I1354">
        <v>285.83139999999997</v>
      </c>
      <c r="J1354">
        <v>-211.221</v>
      </c>
      <c r="K1354">
        <v>1.11574</v>
      </c>
      <c r="L1354">
        <v>282.94499999999999</v>
      </c>
      <c r="M1354">
        <v>-0.99566779999999999</v>
      </c>
      <c r="N1354">
        <v>-1.426612E-2</v>
      </c>
      <c r="O1354">
        <v>-9.1880760000000006E-2</v>
      </c>
      <c r="P1354">
        <v>-0.97897780000000001</v>
      </c>
      <c r="Q1354">
        <v>0.1949776</v>
      </c>
      <c r="R1354">
        <v>5.988446E-2</v>
      </c>
      <c r="S1354">
        <v>-3.067825</v>
      </c>
      <c r="T1354">
        <v>-7.3754189999999997E-2</v>
      </c>
      <c r="U1354">
        <v>0.18984989999999999</v>
      </c>
      <c r="V1354">
        <v>0.15240429999999999</v>
      </c>
      <c r="W1354">
        <v>0.20674090000000001</v>
      </c>
      <c r="X1354">
        <v>0.9664528</v>
      </c>
      <c r="Y1354">
        <v>0.15314469999999999</v>
      </c>
      <c r="Z1354">
        <v>3.8283549999999999E-3</v>
      </c>
      <c r="AA1354">
        <v>0.98819639999999997</v>
      </c>
      <c r="AB1354">
        <v>25</v>
      </c>
      <c r="AC1354">
        <v>-46.157800000000002</v>
      </c>
      <c r="AD1354">
        <v>-1.1157376101480001</v>
      </c>
      <c r="AE1354">
        <v>2.8863999999999801</v>
      </c>
      <c r="AF1354">
        <v>7.1114944984436601</v>
      </c>
      <c r="AG1354">
        <v>-1.1157376101480001</v>
      </c>
      <c r="AH1354">
        <v>45.6707004862796</v>
      </c>
      <c r="AI1354">
        <v>91.382803552125694</v>
      </c>
      <c r="AJ1354">
        <v>81.149411296274195</v>
      </c>
      <c r="AK1354">
        <v>46.234522894948903</v>
      </c>
      <c r="AL1354">
        <v>78.068570608842407</v>
      </c>
      <c r="AM1354">
        <v>81.038566873325607</v>
      </c>
      <c r="AN1354">
        <v>0.99999994250956803</v>
      </c>
    </row>
    <row r="1355" spans="1:40" x14ac:dyDescent="0.25">
      <c r="A1355" t="str">
        <f>"20190303171005361"</f>
        <v>20190303171005361</v>
      </c>
      <c r="B1355" t="str">
        <f>"1551604205351519"</f>
        <v>1551604205351519</v>
      </c>
      <c r="C1355" t="s">
        <v>40</v>
      </c>
      <c r="D1355">
        <v>4.6625310000000004</v>
      </c>
      <c r="E1355">
        <v>0.49869629999999998</v>
      </c>
      <c r="F1355" t="s">
        <v>53</v>
      </c>
      <c r="G1355">
        <v>-264.54919999999998</v>
      </c>
      <c r="H1355" s="1">
        <v>8.8408019999999904E-7</v>
      </c>
      <c r="I1355">
        <v>285.25749999999999</v>
      </c>
      <c r="J1355">
        <v>-211.49430000000001</v>
      </c>
      <c r="K1355">
        <v>1.1161160000000001</v>
      </c>
      <c r="L1355">
        <v>282.92919999999998</v>
      </c>
      <c r="M1355">
        <v>-0.99637189999999998</v>
      </c>
      <c r="N1355">
        <v>-1.4184810000000001E-2</v>
      </c>
      <c r="O1355">
        <v>-8.3915760000000006E-2</v>
      </c>
      <c r="P1355">
        <v>-0.97838150000000002</v>
      </c>
      <c r="Q1355">
        <v>0.1955722</v>
      </c>
      <c r="R1355">
        <v>6.7240359999999999E-2</v>
      </c>
      <c r="S1355">
        <v>-3.069061</v>
      </c>
      <c r="T1355">
        <v>-6.4211249999999997E-2</v>
      </c>
      <c r="U1355">
        <v>0.13308719999999999</v>
      </c>
      <c r="V1355">
        <v>0.15174480000000001</v>
      </c>
      <c r="W1355">
        <v>0.20740149999999999</v>
      </c>
      <c r="X1355">
        <v>0.96641509999999997</v>
      </c>
      <c r="Y1355">
        <v>0.12696760000000001</v>
      </c>
      <c r="Z1355">
        <v>2.792213E-3</v>
      </c>
      <c r="AA1355">
        <v>0.99190290000000003</v>
      </c>
      <c r="AB1355">
        <v>25</v>
      </c>
      <c r="AC1355">
        <v>-53.054899999999897</v>
      </c>
      <c r="AD1355">
        <v>-1.1161151159197999</v>
      </c>
      <c r="AE1355">
        <v>2.3283000000000098</v>
      </c>
      <c r="AF1355">
        <v>6.7696860571229696</v>
      </c>
      <c r="AG1355">
        <v>-1.1161151159197999</v>
      </c>
      <c r="AH1355">
        <v>52.649073775535598</v>
      </c>
      <c r="AI1355">
        <v>91.204525855859401</v>
      </c>
      <c r="AJ1355">
        <v>82.673037260244101</v>
      </c>
      <c r="AK1355">
        <v>53.094249516174301</v>
      </c>
      <c r="AL1355">
        <v>78.029883253997795</v>
      </c>
      <c r="AM1355">
        <v>81.076377893577998</v>
      </c>
      <c r="AN1355">
        <v>1.00000000601864</v>
      </c>
    </row>
    <row r="1356" spans="1:40" x14ac:dyDescent="0.25">
      <c r="A1356" t="str">
        <f>"20190303171005382"</f>
        <v>20190303171005382</v>
      </c>
      <c r="B1356" t="str">
        <f>"1551604205372015"</f>
        <v>1551604205372015</v>
      </c>
      <c r="C1356" t="s">
        <v>40</v>
      </c>
      <c r="D1356">
        <v>4.7791189999999997</v>
      </c>
      <c r="E1356">
        <v>0.49816719999999998</v>
      </c>
      <c r="F1356" t="s">
        <v>53</v>
      </c>
      <c r="G1356">
        <v>-267.95690000000002</v>
      </c>
      <c r="H1356" s="1">
        <v>2.6974639999999999E-6</v>
      </c>
      <c r="I1356">
        <v>285.62979999999999</v>
      </c>
      <c r="J1356">
        <v>-211.75700000000001</v>
      </c>
      <c r="K1356">
        <v>1.116455</v>
      </c>
      <c r="L1356">
        <v>282.91559999999998</v>
      </c>
      <c r="M1356">
        <v>-0.9969519</v>
      </c>
      <c r="N1356">
        <v>-1.4103249999999999E-2</v>
      </c>
      <c r="O1356">
        <v>-7.6733780000000001E-2</v>
      </c>
      <c r="P1356">
        <v>-0.97804270000000004</v>
      </c>
      <c r="Q1356">
        <v>0.19513610000000001</v>
      </c>
      <c r="R1356">
        <v>7.3173139999999998E-2</v>
      </c>
      <c r="S1356">
        <v>-3.0683289999999999</v>
      </c>
      <c r="T1356">
        <v>-6.0652610000000003E-2</v>
      </c>
      <c r="U1356">
        <v>0.146759</v>
      </c>
      <c r="V1356">
        <v>0.15046760000000001</v>
      </c>
      <c r="W1356">
        <v>0.2070292</v>
      </c>
      <c r="X1356">
        <v>0.96669459999999996</v>
      </c>
      <c r="Y1356">
        <v>0.1242458</v>
      </c>
      <c r="Z1356">
        <v>2.5374870000000002E-3</v>
      </c>
      <c r="AA1356">
        <v>0.99224820000000002</v>
      </c>
      <c r="AB1356">
        <v>25</v>
      </c>
      <c r="AC1356">
        <v>-56.1999</v>
      </c>
      <c r="AD1356">
        <v>-1.116452302536</v>
      </c>
      <c r="AE1356">
        <v>2.7141999999999999</v>
      </c>
      <c r="AF1356">
        <v>7.0162929466467796</v>
      </c>
      <c r="AG1356">
        <v>-1.116452302536</v>
      </c>
      <c r="AH1356">
        <v>55.803905015562997</v>
      </c>
      <c r="AI1356">
        <v>91.137195925914199</v>
      </c>
      <c r="AJ1356">
        <v>82.833736214457204</v>
      </c>
      <c r="AK1356">
        <v>56.2543389210377</v>
      </c>
      <c r="AL1356">
        <v>78.051687888412602</v>
      </c>
      <c r="AM1356">
        <v>81.152810343326905</v>
      </c>
      <c r="AN1356">
        <v>1.0000000189857701</v>
      </c>
    </row>
    <row r="1357" spans="1:40" x14ac:dyDescent="0.25">
      <c r="A1357" t="str">
        <f>"20190303171005403"</f>
        <v>20190303171005403</v>
      </c>
      <c r="B1357" t="str">
        <f>"1551604205391535"</f>
        <v>1551604205391535</v>
      </c>
      <c r="C1357" t="s">
        <v>40</v>
      </c>
      <c r="D1357">
        <v>4.5688750000000002</v>
      </c>
      <c r="E1357">
        <v>0.49752429999999997</v>
      </c>
      <c r="F1357" t="s">
        <v>53</v>
      </c>
      <c r="G1357">
        <v>-266.88959999999997</v>
      </c>
      <c r="H1357" s="1">
        <v>2.1294899999999998E-6</v>
      </c>
      <c r="I1357">
        <v>285.779</v>
      </c>
      <c r="J1357">
        <v>-211.99199999999999</v>
      </c>
      <c r="K1357">
        <v>1.1167129999999901</v>
      </c>
      <c r="L1357">
        <v>282.90460000000002</v>
      </c>
      <c r="M1357">
        <v>-0.9974035</v>
      </c>
      <c r="N1357">
        <v>-1.4032029999999999E-2</v>
      </c>
      <c r="O1357">
        <v>-7.0636649999999995E-2</v>
      </c>
      <c r="P1357">
        <v>-0.97825059999999997</v>
      </c>
      <c r="Q1357">
        <v>0.192745</v>
      </c>
      <c r="R1357">
        <v>7.6653899999999997E-2</v>
      </c>
      <c r="S1357">
        <v>-3.0678100000000001</v>
      </c>
      <c r="T1357">
        <v>-6.212413E-2</v>
      </c>
      <c r="U1357">
        <v>0.15933229999999901</v>
      </c>
      <c r="V1357">
        <v>0.147864</v>
      </c>
      <c r="W1357">
        <v>0.20470450000000001</v>
      </c>
      <c r="X1357">
        <v>0.96759099999999998</v>
      </c>
      <c r="Y1357">
        <v>0.12224210000000001</v>
      </c>
      <c r="Z1357">
        <v>2.533558E-3</v>
      </c>
      <c r="AA1357">
        <v>0.99249710000000002</v>
      </c>
      <c r="AB1357">
        <v>25</v>
      </c>
      <c r="AC1357">
        <v>-54.897599999999898</v>
      </c>
      <c r="AD1357">
        <v>-1.11671087051</v>
      </c>
      <c r="AE1357">
        <v>2.8743999999999699</v>
      </c>
      <c r="AF1357">
        <v>6.7426003329767603</v>
      </c>
      <c r="AG1357">
        <v>-1.11671087051</v>
      </c>
      <c r="AH1357">
        <v>54.534882950962803</v>
      </c>
      <c r="AI1357">
        <v>91.164219646198205</v>
      </c>
      <c r="AJ1357">
        <v>82.951815723913995</v>
      </c>
      <c r="AK1357">
        <v>54.961469784693598</v>
      </c>
      <c r="AL1357">
        <v>78.187798917211694</v>
      </c>
      <c r="AM1357">
        <v>81.311469895875504</v>
      </c>
      <c r="AN1357">
        <v>1.00000001904862</v>
      </c>
    </row>
    <row r="1358" spans="1:40" x14ac:dyDescent="0.25">
      <c r="A1358" t="str">
        <f>"20190303171005424"</f>
        <v>20190303171005424</v>
      </c>
      <c r="B1358" t="str">
        <f>"1551604205412031"</f>
        <v>1551604205412031</v>
      </c>
      <c r="C1358" t="s">
        <v>40</v>
      </c>
      <c r="D1358">
        <v>4.6587809999999896</v>
      </c>
      <c r="E1358">
        <v>0.4971544</v>
      </c>
      <c r="F1358" t="s">
        <v>53</v>
      </c>
      <c r="G1358">
        <v>-261.8614</v>
      </c>
      <c r="H1358" s="1">
        <v>-5.4626929999999998E-7</v>
      </c>
      <c r="I1358">
        <v>285.59190000000001</v>
      </c>
      <c r="J1358">
        <v>-212.23310000000001</v>
      </c>
      <c r="K1358">
        <v>1.116949</v>
      </c>
      <c r="L1358">
        <v>282.89440000000002</v>
      </c>
      <c r="M1358">
        <v>-0.99780639999999998</v>
      </c>
      <c r="N1358">
        <v>-1.395742E-2</v>
      </c>
      <c r="O1358">
        <v>-6.4711809999999995E-2</v>
      </c>
      <c r="P1358">
        <v>-0.97842759999999995</v>
      </c>
      <c r="Q1358">
        <v>0.1908369</v>
      </c>
      <c r="R1358">
        <v>7.9125210000000001E-2</v>
      </c>
      <c r="S1358">
        <v>-3.067291</v>
      </c>
      <c r="T1358">
        <v>-6.8685170000000004E-2</v>
      </c>
      <c r="U1358">
        <v>0.16528319999999999</v>
      </c>
      <c r="V1358">
        <v>0.1444348</v>
      </c>
      <c r="W1358">
        <v>0.2028587</v>
      </c>
      <c r="X1358">
        <v>0.96849730000000001</v>
      </c>
      <c r="Y1358">
        <v>0.118268899999999</v>
      </c>
      <c r="Z1358">
        <v>2.6943100000000001E-3</v>
      </c>
      <c r="AA1358">
        <v>0.99297800000000003</v>
      </c>
      <c r="AB1358">
        <v>25</v>
      </c>
      <c r="AC1358">
        <v>-49.628300000000003</v>
      </c>
      <c r="AD1358">
        <v>-1.1169495462693</v>
      </c>
      <c r="AE1358">
        <v>2.69749999999999</v>
      </c>
      <c r="AF1358">
        <v>5.9007147365111399</v>
      </c>
      <c r="AG1358">
        <v>-1.1169495462693</v>
      </c>
      <c r="AH1358">
        <v>49.324770340288097</v>
      </c>
      <c r="AI1358">
        <v>91.288048791734298</v>
      </c>
      <c r="AJ1358">
        <v>83.178134635325094</v>
      </c>
      <c r="AK1358">
        <v>49.689022729499897</v>
      </c>
      <c r="AL1358">
        <v>78.295822473708398</v>
      </c>
      <c r="AM1358">
        <v>81.517829137527002</v>
      </c>
      <c r="AN1358">
        <v>1.0000000418620001</v>
      </c>
    </row>
    <row r="1359" spans="1:40" x14ac:dyDescent="0.25">
      <c r="A1359" t="str">
        <f>"20190303171005450"</f>
        <v>20190303171005450</v>
      </c>
      <c r="B1359" t="str">
        <f>"1551604205441817"</f>
        <v>1551604205441817</v>
      </c>
      <c r="C1359" t="s">
        <v>40</v>
      </c>
      <c r="D1359">
        <v>4.6710390000000004</v>
      </c>
      <c r="E1359">
        <v>0.49146430000000002</v>
      </c>
      <c r="F1359" t="s">
        <v>53</v>
      </c>
      <c r="G1359">
        <v>-258.4409</v>
      </c>
      <c r="H1359" s="1">
        <v>2.9550530000000001E-6</v>
      </c>
      <c r="I1359">
        <v>285.46660000000003</v>
      </c>
      <c r="J1359">
        <v>-212.53110000000001</v>
      </c>
      <c r="K1359">
        <v>1.1172260000000001</v>
      </c>
      <c r="L1359">
        <v>282.88339999999999</v>
      </c>
      <c r="M1359">
        <v>-0.99822909999999998</v>
      </c>
      <c r="N1359">
        <v>-1.3853580000000001E-2</v>
      </c>
      <c r="O1359">
        <v>-5.7850220000000001E-2</v>
      </c>
      <c r="P1359">
        <v>-0.97806970000000004</v>
      </c>
      <c r="Q1359">
        <v>0.1906043</v>
      </c>
      <c r="R1359">
        <v>8.3962460000000003E-2</v>
      </c>
      <c r="S1359">
        <v>-3.0668030000000002</v>
      </c>
      <c r="T1359">
        <v>-7.4131489999999994E-2</v>
      </c>
      <c r="U1359">
        <v>0.17071529999999999</v>
      </c>
      <c r="V1359">
        <v>0.14241570000000001</v>
      </c>
      <c r="W1359">
        <v>0.20265040000000001</v>
      </c>
      <c r="X1359">
        <v>0.96883980000000003</v>
      </c>
      <c r="Y1359">
        <v>0.1131978</v>
      </c>
      <c r="Z1359">
        <v>2.7480320000000001E-3</v>
      </c>
      <c r="AA1359">
        <v>0.99356869999999997</v>
      </c>
      <c r="AB1359">
        <v>25</v>
      </c>
      <c r="AC1359">
        <v>-45.909799999999898</v>
      </c>
      <c r="AD1359">
        <v>-1.117223044947</v>
      </c>
      <c r="AE1359">
        <v>2.5832000000000299</v>
      </c>
      <c r="AF1359">
        <v>5.2319314935403902</v>
      </c>
      <c r="AG1359">
        <v>-1.117223044947</v>
      </c>
      <c r="AH1359">
        <v>45.656493352621503</v>
      </c>
      <c r="AI1359">
        <v>91.392648409621302</v>
      </c>
      <c r="AJ1359">
        <v>83.462798673808607</v>
      </c>
      <c r="AK1359">
        <v>45.968866417861904</v>
      </c>
      <c r="AL1359">
        <v>78.3080096820824</v>
      </c>
      <c r="AM1359">
        <v>81.637630012380001</v>
      </c>
      <c r="AN1359">
        <v>0.99999998714534499</v>
      </c>
    </row>
    <row r="1360" spans="1:40" x14ac:dyDescent="0.25">
      <c r="A1360" t="str">
        <f>"20190303171005472"</f>
        <v>20190303171005472</v>
      </c>
      <c r="B1360" t="str">
        <f>"1551604205462313"</f>
        <v>1551604205462313</v>
      </c>
      <c r="C1360" t="s">
        <v>40</v>
      </c>
      <c r="D1360">
        <v>4.6205629999999998</v>
      </c>
      <c r="E1360">
        <v>0.49092249999999998</v>
      </c>
      <c r="F1360" t="s">
        <v>53</v>
      </c>
      <c r="G1360">
        <v>-255.4453</v>
      </c>
      <c r="H1360" s="1">
        <v>1.3609369999999999E-6</v>
      </c>
      <c r="I1360">
        <v>284.84780000000001</v>
      </c>
      <c r="J1360">
        <v>-212.77070000000001</v>
      </c>
      <c r="K1360">
        <v>1.1174679999999999</v>
      </c>
      <c r="L1360">
        <v>282.87549999999999</v>
      </c>
      <c r="M1360">
        <v>-0.99851540000000005</v>
      </c>
      <c r="N1360">
        <v>-1.375587E-2</v>
      </c>
      <c r="O1360">
        <v>-5.2704279999999999E-2</v>
      </c>
      <c r="P1360">
        <v>-0.97746149999999998</v>
      </c>
      <c r="Q1360">
        <v>0.1916273</v>
      </c>
      <c r="R1360">
        <v>8.8588189999999997E-2</v>
      </c>
      <c r="S1360">
        <v>-3.070786</v>
      </c>
      <c r="T1360">
        <v>-7.9944609999999999E-2</v>
      </c>
      <c r="U1360">
        <v>0.14056399999999999</v>
      </c>
      <c r="V1360">
        <v>0.14188020000000001</v>
      </c>
      <c r="W1360">
        <v>0.20366590000000001</v>
      </c>
      <c r="X1360">
        <v>0.96870540000000005</v>
      </c>
      <c r="Y1360">
        <v>9.8262500000000003E-2</v>
      </c>
      <c r="Z1360">
        <v>2.6010600000000001E-3</v>
      </c>
      <c r="AA1360">
        <v>0.99515710000000002</v>
      </c>
      <c r="AB1360">
        <v>25</v>
      </c>
      <c r="AC1360">
        <v>-42.674599999999998</v>
      </c>
      <c r="AD1360">
        <v>-1.1174666390629999</v>
      </c>
      <c r="AE1360">
        <v>1.9723000000000099</v>
      </c>
      <c r="AF1360">
        <v>4.2160204965167596</v>
      </c>
      <c r="AG1360">
        <v>-1.1174666390629999</v>
      </c>
      <c r="AH1360">
        <v>42.482251837386002</v>
      </c>
      <c r="AI1360">
        <v>91.499416548342197</v>
      </c>
      <c r="AJ1360">
        <v>84.332414474745605</v>
      </c>
      <c r="AK1360">
        <v>42.705564996749096</v>
      </c>
      <c r="AL1360">
        <v>78.248586408951596</v>
      </c>
      <c r="AM1360">
        <v>81.667491666827104</v>
      </c>
      <c r="AN1360">
        <v>0.99999997098200399</v>
      </c>
    </row>
    <row r="1361" spans="1:40" x14ac:dyDescent="0.25">
      <c r="A1361" t="str">
        <f>"20190303171005493"</f>
        <v>20190303171005493</v>
      </c>
      <c r="B1361" t="str">
        <f>"1551604205481835"</f>
        <v>1551604205481835</v>
      </c>
      <c r="C1361" t="s">
        <v>40</v>
      </c>
      <c r="D1361">
        <v>4.8441869999999998</v>
      </c>
      <c r="E1361">
        <v>0.49036079999999999</v>
      </c>
      <c r="F1361" t="s">
        <v>53</v>
      </c>
      <c r="G1361">
        <v>-257.34719999999999</v>
      </c>
      <c r="H1361" s="1">
        <v>2.3730469999999998E-6</v>
      </c>
      <c r="I1361">
        <v>285.0428</v>
      </c>
      <c r="J1361">
        <v>-213.02160000000001</v>
      </c>
      <c r="K1361">
        <v>1.117745</v>
      </c>
      <c r="L1361">
        <v>282.86829999999998</v>
      </c>
      <c r="M1361">
        <v>-0.99876989999999999</v>
      </c>
      <c r="N1361">
        <v>-1.363727E-2</v>
      </c>
      <c r="O1361">
        <v>-4.7672850000000003E-2</v>
      </c>
      <c r="P1361">
        <v>-0.97691490000000003</v>
      </c>
      <c r="Q1361">
        <v>0.19212109999999999</v>
      </c>
      <c r="R1361">
        <v>9.3416369999999999E-2</v>
      </c>
      <c r="S1361">
        <v>-3.0707399999999998</v>
      </c>
      <c r="T1361">
        <v>-7.69788E-2</v>
      </c>
      <c r="U1361">
        <v>0.14929200000000001</v>
      </c>
      <c r="V1361">
        <v>0.1416453</v>
      </c>
      <c r="W1361">
        <v>0.20414070000000001</v>
      </c>
      <c r="X1361">
        <v>0.9686399</v>
      </c>
      <c r="Y1361">
        <v>9.6076419999999996E-2</v>
      </c>
      <c r="Z1361">
        <v>2.403507E-3</v>
      </c>
      <c r="AA1361">
        <v>0.99537100000000001</v>
      </c>
      <c r="AB1361">
        <v>25</v>
      </c>
      <c r="AC1361">
        <v>-44.325599999999902</v>
      </c>
      <c r="AD1361">
        <v>-1.117742626953</v>
      </c>
      <c r="AE1361">
        <v>2.1745000000000201</v>
      </c>
      <c r="AF1361">
        <v>4.2826346554894297</v>
      </c>
      <c r="AG1361">
        <v>-1.117742626953</v>
      </c>
      <c r="AH1361">
        <v>44.143515768786102</v>
      </c>
      <c r="AI1361">
        <v>91.443681339026199</v>
      </c>
      <c r="AJ1361">
        <v>84.458724799702296</v>
      </c>
      <c r="AK1361">
        <v>44.364854249750202</v>
      </c>
      <c r="AL1361">
        <v>78.2207993566266</v>
      </c>
      <c r="AM1361">
        <v>81.680539275327206</v>
      </c>
      <c r="AN1361">
        <v>1.0000000361402901</v>
      </c>
    </row>
    <row r="1362" spans="1:40" x14ac:dyDescent="0.25">
      <c r="A1362" t="str">
        <f>"20190303171005515"</f>
        <v>20190303171005515</v>
      </c>
      <c r="B1362" t="str">
        <f>"1551604205502330"</f>
        <v>1551604205502330</v>
      </c>
      <c r="C1362" t="s">
        <v>40</v>
      </c>
      <c r="D1362">
        <v>4.7735089999999998</v>
      </c>
      <c r="E1362">
        <v>0.49003580000000002</v>
      </c>
      <c r="F1362" t="s">
        <v>53</v>
      </c>
      <c r="G1362">
        <v>-258.35980000000001</v>
      </c>
      <c r="H1362" s="1">
        <v>2.9118860000000001E-6</v>
      </c>
      <c r="I1362">
        <v>285.20650000000001</v>
      </c>
      <c r="J1362">
        <v>-213.26679999999999</v>
      </c>
      <c r="K1362">
        <v>1.118028</v>
      </c>
      <c r="L1362">
        <v>282.86200000000002</v>
      </c>
      <c r="M1362">
        <v>-0.99897820000000004</v>
      </c>
      <c r="N1362">
        <v>-1.350282E-2</v>
      </c>
      <c r="O1362">
        <v>-4.3132669999999998E-2</v>
      </c>
      <c r="P1362">
        <v>-0.97686459999999997</v>
      </c>
      <c r="Q1362">
        <v>0.19105240000000001</v>
      </c>
      <c r="R1362">
        <v>9.6097189999999999E-2</v>
      </c>
      <c r="S1362">
        <v>-3.0706329999999999</v>
      </c>
      <c r="T1362">
        <v>-7.5701589999999999E-2</v>
      </c>
      <c r="U1362">
        <v>0.15835569999999999</v>
      </c>
      <c r="V1362">
        <v>0.13974879999999901</v>
      </c>
      <c r="W1362">
        <v>0.20306360000000001</v>
      </c>
      <c r="X1362">
        <v>0.96914160000000005</v>
      </c>
      <c r="Y1362">
        <v>9.4486970000000003E-2</v>
      </c>
      <c r="Z1362">
        <v>2.282849E-3</v>
      </c>
      <c r="AA1362">
        <v>0.99552350000000001</v>
      </c>
      <c r="AB1362">
        <v>25</v>
      </c>
      <c r="AC1362">
        <v>-45.093000000000004</v>
      </c>
      <c r="AD1362">
        <v>-1.1180250881139999</v>
      </c>
      <c r="AE1362">
        <v>2.34449999999998</v>
      </c>
      <c r="AF1362">
        <v>4.2848494053270096</v>
      </c>
      <c r="AG1362">
        <v>-1.1180250881139999</v>
      </c>
      <c r="AH1362">
        <v>44.922352250732999</v>
      </c>
      <c r="AI1362">
        <v>91.419241108816394</v>
      </c>
      <c r="AJ1362">
        <v>84.551414139830399</v>
      </c>
      <c r="AK1362">
        <v>45.140089125553601</v>
      </c>
      <c r="AL1362">
        <v>78.283832494724095</v>
      </c>
      <c r="AM1362">
        <v>81.794592782670904</v>
      </c>
      <c r="AN1362">
        <v>0.99999999679847995</v>
      </c>
    </row>
    <row r="1363" spans="1:40" x14ac:dyDescent="0.25">
      <c r="A1363" t="str">
        <f>"20190303171005537"</f>
        <v>20190303171005537</v>
      </c>
      <c r="B1363" t="str">
        <f>"1551604205532117"</f>
        <v>1551604205532117</v>
      </c>
      <c r="C1363" t="s">
        <v>40</v>
      </c>
      <c r="D1363">
        <v>4.7234420000000004</v>
      </c>
      <c r="E1363">
        <v>0.48919069999999998</v>
      </c>
      <c r="F1363" t="s">
        <v>53</v>
      </c>
      <c r="G1363">
        <v>-256.27850000000001</v>
      </c>
      <c r="H1363" s="1">
        <v>1.8043119999999999E-6</v>
      </c>
      <c r="I1363">
        <v>285.1653</v>
      </c>
      <c r="J1363">
        <v>-213.51730000000001</v>
      </c>
      <c r="K1363">
        <v>1.118301</v>
      </c>
      <c r="L1363">
        <v>282.85629999999998</v>
      </c>
      <c r="M1363">
        <v>-0.99915419999999999</v>
      </c>
      <c r="N1363">
        <v>-1.3342110000000001E-2</v>
      </c>
      <c r="O1363">
        <v>-3.890014E-2</v>
      </c>
      <c r="P1363">
        <v>-0.97669799999999996</v>
      </c>
      <c r="Q1363">
        <v>0.19028809999999999</v>
      </c>
      <c r="R1363">
        <v>9.9255650000000001E-2</v>
      </c>
      <c r="S1363">
        <v>-3.0704799999999999</v>
      </c>
      <c r="T1363">
        <v>-7.9812649999999999E-2</v>
      </c>
      <c r="U1363">
        <v>0.16442870000000001</v>
      </c>
      <c r="V1363">
        <v>0.13862179999999999</v>
      </c>
      <c r="W1363">
        <v>0.20225860000000001</v>
      </c>
      <c r="X1363">
        <v>0.96947179999999999</v>
      </c>
      <c r="Y1363">
        <v>9.2232120000000001E-2</v>
      </c>
      <c r="Z1363">
        <v>2.3053180000000002E-3</v>
      </c>
      <c r="AA1363">
        <v>0.99573489999999998</v>
      </c>
      <c r="AB1363">
        <v>25</v>
      </c>
      <c r="AC1363">
        <v>-42.761200000000002</v>
      </c>
      <c r="AD1363">
        <v>-1.118299195688</v>
      </c>
      <c r="AE1363">
        <v>2.3090000000000201</v>
      </c>
      <c r="AF1363">
        <v>3.9681104166716699</v>
      </c>
      <c r="AG1363">
        <v>-1.118299195688</v>
      </c>
      <c r="AH1363">
        <v>42.6099422221642</v>
      </c>
      <c r="AI1363">
        <v>91.496910297948105</v>
      </c>
      <c r="AJ1363">
        <v>84.6795955015575</v>
      </c>
      <c r="AK1363">
        <v>42.8089204435962</v>
      </c>
      <c r="AL1363">
        <v>78.330933706581106</v>
      </c>
      <c r="AM1363">
        <v>81.862610039596206</v>
      </c>
      <c r="AN1363">
        <v>1.0000000578522099</v>
      </c>
    </row>
    <row r="1364" spans="1:40" x14ac:dyDescent="0.25">
      <c r="A1364" t="str">
        <f>"20190303171005562"</f>
        <v>20190303171005562</v>
      </c>
      <c r="B1364" t="str">
        <f>"1551604205551637"</f>
        <v>1551604205551637</v>
      </c>
      <c r="C1364" t="s">
        <v>40</v>
      </c>
      <c r="D1364">
        <v>4.6916349999999998</v>
      </c>
      <c r="E1364">
        <v>0.4844599</v>
      </c>
      <c r="F1364" t="s">
        <v>53</v>
      </c>
      <c r="G1364">
        <v>-253.84010000000001</v>
      </c>
      <c r="H1364" s="1">
        <v>5.067116E-7</v>
      </c>
      <c r="I1364">
        <v>285.04629999999997</v>
      </c>
      <c r="J1364">
        <v>-213.79640000000001</v>
      </c>
      <c r="K1364">
        <v>1.1185689999999999</v>
      </c>
      <c r="L1364">
        <v>282.85050000000001</v>
      </c>
      <c r="M1364">
        <v>-0.9993128</v>
      </c>
      <c r="N1364">
        <v>-1.3152769999999999E-2</v>
      </c>
      <c r="O1364">
        <v>-3.465406E-2</v>
      </c>
      <c r="P1364">
        <v>-0.97652130000000004</v>
      </c>
      <c r="Q1364">
        <v>0.18910859999999999</v>
      </c>
      <c r="R1364">
        <v>0.1031707</v>
      </c>
      <c r="S1364">
        <v>-3.0712280000000001</v>
      </c>
      <c r="T1364">
        <v>-8.5176470000000004E-2</v>
      </c>
      <c r="U1364">
        <v>0.16680909999999999</v>
      </c>
      <c r="V1364">
        <v>0.138233299999999</v>
      </c>
      <c r="W1364">
        <v>0.2010065</v>
      </c>
      <c r="X1364">
        <v>0.96978759999999997</v>
      </c>
      <c r="Y1364">
        <v>8.875313E-2</v>
      </c>
      <c r="Z1364">
        <v>2.3187569999999998E-3</v>
      </c>
      <c r="AA1364">
        <v>0.99605100000000002</v>
      </c>
      <c r="AB1364">
        <v>25</v>
      </c>
      <c r="AC1364">
        <v>-40.043700000000001</v>
      </c>
      <c r="AD1364">
        <v>-1.1185684932883999</v>
      </c>
      <c r="AE1364">
        <v>2.1957999999999598</v>
      </c>
      <c r="AF1364">
        <v>3.5794930777513301</v>
      </c>
      <c r="AG1364">
        <v>-1.1185684932883999</v>
      </c>
      <c r="AH1364">
        <v>39.912494319102301</v>
      </c>
      <c r="AI1364">
        <v>91.598910040638003</v>
      </c>
      <c r="AJ1364">
        <v>84.875223085538295</v>
      </c>
      <c r="AK1364">
        <v>40.0882921679163</v>
      </c>
      <c r="AL1364">
        <v>78.404177700971005</v>
      </c>
      <c r="AM1364">
        <v>81.887718963973597</v>
      </c>
      <c r="AN1364">
        <v>1.00000002369244</v>
      </c>
    </row>
    <row r="1365" spans="1:40" x14ac:dyDescent="0.25">
      <c r="A1365" t="str">
        <f>"20190303171005584"</f>
        <v>20190303171005584</v>
      </c>
      <c r="B1365" t="str">
        <f>"1551604205572132"</f>
        <v>1551604205572132</v>
      </c>
      <c r="C1365" t="s">
        <v>40</v>
      </c>
      <c r="D1365">
        <v>4.7272360000000004</v>
      </c>
      <c r="E1365">
        <v>0.48427540000000002</v>
      </c>
      <c r="F1365" t="s">
        <v>53</v>
      </c>
      <c r="G1365">
        <v>-248.32820000000001</v>
      </c>
      <c r="H1365" s="1">
        <v>2.8950630000000001E-6</v>
      </c>
      <c r="I1365">
        <v>284.399</v>
      </c>
      <c r="J1365">
        <v>-214.0522</v>
      </c>
      <c r="K1365">
        <v>1.11877</v>
      </c>
      <c r="L1365">
        <v>282.84589999999997</v>
      </c>
      <c r="M1365">
        <v>-0.99943269999999995</v>
      </c>
      <c r="N1365">
        <v>-1.2989560000000001E-2</v>
      </c>
      <c r="O1365">
        <v>-3.1073509999999999E-2</v>
      </c>
      <c r="P1365">
        <v>-0.97648699999999999</v>
      </c>
      <c r="Q1365">
        <v>0.1879178</v>
      </c>
      <c r="R1365">
        <v>0.1056412</v>
      </c>
      <c r="S1365">
        <v>-3.0768430000000002</v>
      </c>
      <c r="T1365">
        <v>-9.9666119999999997E-2</v>
      </c>
      <c r="U1365">
        <v>0.13797000000000001</v>
      </c>
      <c r="V1365">
        <v>0.13709830000000001</v>
      </c>
      <c r="W1365">
        <v>0.19974420000000001</v>
      </c>
      <c r="X1365">
        <v>0.9702094</v>
      </c>
      <c r="Y1365">
        <v>7.5758259999999994E-2</v>
      </c>
      <c r="Z1365">
        <v>2.3210050000000001E-3</v>
      </c>
      <c r="AA1365">
        <v>0.99712350000000005</v>
      </c>
      <c r="AB1365">
        <v>25</v>
      </c>
      <c r="AC1365">
        <v>-34.276000000000003</v>
      </c>
      <c r="AD1365">
        <v>-1.118767104937</v>
      </c>
      <c r="AE1365">
        <v>1.5531000000000199</v>
      </c>
      <c r="AF1365">
        <v>2.6147354273127199</v>
      </c>
      <c r="AG1365">
        <v>-1.118767104937</v>
      </c>
      <c r="AH1365">
        <v>34.174846906795402</v>
      </c>
      <c r="AI1365">
        <v>91.869537288155399</v>
      </c>
      <c r="AJ1365">
        <v>85.624793910580806</v>
      </c>
      <c r="AK1365">
        <v>34.2929824059214</v>
      </c>
      <c r="AL1365">
        <v>78.477998871734201</v>
      </c>
      <c r="AM1365">
        <v>81.956903497695293</v>
      </c>
      <c r="AN1365">
        <v>0.99999998457244399</v>
      </c>
    </row>
    <row r="1366" spans="1:40" x14ac:dyDescent="0.25">
      <c r="A1366" t="str">
        <f>"20190303171005605"</f>
        <v>20190303171005605</v>
      </c>
      <c r="B1366" t="str">
        <f>"1551604205591652"</f>
        <v>1551604205591652</v>
      </c>
      <c r="C1366" t="s">
        <v>40</v>
      </c>
      <c r="D1366">
        <v>4.7079879999999896</v>
      </c>
      <c r="E1366">
        <v>0.48440299999999997</v>
      </c>
      <c r="F1366" t="s">
        <v>53</v>
      </c>
      <c r="G1366">
        <v>-248.32550000000001</v>
      </c>
      <c r="H1366" s="1">
        <v>2.8936390000000001E-6</v>
      </c>
      <c r="I1366">
        <v>284.43889999999999</v>
      </c>
      <c r="J1366">
        <v>-214.2919</v>
      </c>
      <c r="K1366">
        <v>1.118914</v>
      </c>
      <c r="L1366">
        <v>282.84210000000002</v>
      </c>
      <c r="M1366">
        <v>-0.99952629999999998</v>
      </c>
      <c r="N1366">
        <v>-1.283608E-2</v>
      </c>
      <c r="O1366">
        <v>-2.7971019999999999E-2</v>
      </c>
      <c r="P1366">
        <v>-0.97675840000000003</v>
      </c>
      <c r="Q1366">
        <v>0.18606500000000001</v>
      </c>
      <c r="R1366">
        <v>0.10640910000000001</v>
      </c>
      <c r="S1366">
        <v>-3.0760960000000002</v>
      </c>
      <c r="T1366">
        <v>-0.1004115</v>
      </c>
      <c r="U1366">
        <v>0.14297489999999999</v>
      </c>
      <c r="V1366">
        <v>0.1347622</v>
      </c>
      <c r="W1366">
        <v>0.19781879999999999</v>
      </c>
      <c r="X1366">
        <v>0.97093090000000004</v>
      </c>
      <c r="Y1366">
        <v>7.4293670000000006E-2</v>
      </c>
      <c r="Z1366">
        <v>2.2424540000000001E-3</v>
      </c>
      <c r="AA1366">
        <v>0.99723390000000001</v>
      </c>
      <c r="AB1366">
        <v>25</v>
      </c>
      <c r="AC1366">
        <v>-34.0336</v>
      </c>
      <c r="AD1366">
        <v>-1.118911106361</v>
      </c>
      <c r="AE1366">
        <v>1.59679999999997</v>
      </c>
      <c r="AF1366">
        <v>2.5454627968149701</v>
      </c>
      <c r="AG1366">
        <v>-1.118911106361</v>
      </c>
      <c r="AH1366">
        <v>33.9390105797263</v>
      </c>
      <c r="AI1366">
        <v>91.882975117827201</v>
      </c>
      <c r="AJ1366">
        <v>85.710784551640799</v>
      </c>
      <c r="AK1366">
        <v>34.052720626180196</v>
      </c>
      <c r="AL1366">
        <v>78.590562362244199</v>
      </c>
      <c r="AM1366">
        <v>82.098008135089003</v>
      </c>
      <c r="AN1366">
        <v>0.99999997037854405</v>
      </c>
    </row>
    <row r="1367" spans="1:40" x14ac:dyDescent="0.25">
      <c r="A1367" t="str">
        <f>"20190303171005627"</f>
        <v>20190303171005627</v>
      </c>
      <c r="B1367" t="str">
        <f>"1551604205612149"</f>
        <v>1551604205612149</v>
      </c>
      <c r="C1367" t="s">
        <v>40</v>
      </c>
      <c r="D1367">
        <v>4.7821249999999997</v>
      </c>
      <c r="E1367">
        <v>0.48026540000000001</v>
      </c>
      <c r="F1367" t="s">
        <v>53</v>
      </c>
      <c r="G1367">
        <v>-246.4213</v>
      </c>
      <c r="H1367" s="1">
        <v>1.880308E-6</v>
      </c>
      <c r="I1367">
        <v>284.37419999999997</v>
      </c>
      <c r="J1367">
        <v>-214.52690000000001</v>
      </c>
      <c r="K1367">
        <v>1.119016</v>
      </c>
      <c r="L1367">
        <v>282.83890000000002</v>
      </c>
      <c r="M1367">
        <v>-0.99960360000000004</v>
      </c>
      <c r="N1367">
        <v>-1.267481E-2</v>
      </c>
      <c r="O1367">
        <v>-2.5142999999999999E-2</v>
      </c>
      <c r="P1367">
        <v>-0.97735939999999999</v>
      </c>
      <c r="Q1367">
        <v>0.183282</v>
      </c>
      <c r="R1367">
        <v>0.1057188</v>
      </c>
      <c r="S1367">
        <v>-3.07579</v>
      </c>
      <c r="T1367">
        <v>-0.1071148</v>
      </c>
      <c r="U1367">
        <v>0.14666750000000001</v>
      </c>
      <c r="V1367">
        <v>0.13125400000000001</v>
      </c>
      <c r="W1367">
        <v>0.19495319999999999</v>
      </c>
      <c r="X1367">
        <v>0.97199049999999998</v>
      </c>
      <c r="Y1367">
        <v>7.2665649999999998E-2</v>
      </c>
      <c r="Z1367">
        <v>2.2816529999999998E-3</v>
      </c>
      <c r="AA1367">
        <v>0.99735370000000001</v>
      </c>
      <c r="AB1367">
        <v>25</v>
      </c>
      <c r="AC1367">
        <v>-31.894399999999901</v>
      </c>
      <c r="AD1367">
        <v>-1.119014119692</v>
      </c>
      <c r="AE1367">
        <v>1.5352999999999399</v>
      </c>
      <c r="AF1367">
        <v>2.33393348387952</v>
      </c>
      <c r="AG1367">
        <v>-1.119014119692</v>
      </c>
      <c r="AH1367">
        <v>31.806648246689701</v>
      </c>
      <c r="AI1367">
        <v>92.009537349916101</v>
      </c>
      <c r="AJ1367">
        <v>85.803226458576503</v>
      </c>
      <c r="AK1367">
        <v>31.911789526692001</v>
      </c>
      <c r="AL1367">
        <v>78.758009720577604</v>
      </c>
      <c r="AM1367">
        <v>82.309509673420095</v>
      </c>
      <c r="AN1367">
        <v>0.99999994739824305</v>
      </c>
    </row>
    <row r="1368" spans="1:40" x14ac:dyDescent="0.25">
      <c r="A1368" t="str">
        <f>"20190303171005662"</f>
        <v>20190303171005662</v>
      </c>
      <c r="B1368" t="str">
        <f>"1551604205652673"</f>
        <v>1551604205652673</v>
      </c>
      <c r="C1368" t="s">
        <v>40</v>
      </c>
      <c r="D1368">
        <v>4.7861459999999996</v>
      </c>
      <c r="E1368">
        <v>0.48080830000000002</v>
      </c>
      <c r="F1368" t="s">
        <v>53</v>
      </c>
      <c r="G1368">
        <v>-246.6266</v>
      </c>
      <c r="H1368" s="1">
        <v>1.9895319999999998E-6</v>
      </c>
      <c r="I1368">
        <v>284.02589999999998</v>
      </c>
      <c r="J1368">
        <v>-214.92850000000001</v>
      </c>
      <c r="K1368">
        <v>1.1191679999999999</v>
      </c>
      <c r="L1368">
        <v>282.83440000000002</v>
      </c>
      <c r="M1368">
        <v>-0.99971030000000005</v>
      </c>
      <c r="N1368">
        <v>-1.239138E-2</v>
      </c>
      <c r="O1368">
        <v>-2.063889E-2</v>
      </c>
      <c r="P1368">
        <v>-0.97708550000000005</v>
      </c>
      <c r="Q1368">
        <v>0.183587</v>
      </c>
      <c r="R1368">
        <v>0.1077023</v>
      </c>
      <c r="S1368">
        <v>-3.0773160000000002</v>
      </c>
      <c r="T1368">
        <v>-0.1072772</v>
      </c>
      <c r="U1368">
        <v>0.1138</v>
      </c>
      <c r="V1368">
        <v>0.12875799999999901</v>
      </c>
      <c r="W1368">
        <v>0.1950519</v>
      </c>
      <c r="X1368">
        <v>0.97230450000000002</v>
      </c>
      <c r="Y1368">
        <v>5.7521009999999997E-2</v>
      </c>
      <c r="Z1368">
        <v>1.822071E-3</v>
      </c>
      <c r="AA1368">
        <v>0.99834259999999997</v>
      </c>
      <c r="AB1368">
        <v>25</v>
      </c>
      <c r="AC1368">
        <v>-31.698099999999901</v>
      </c>
      <c r="AD1368">
        <v>-1.1191660104679999</v>
      </c>
      <c r="AE1368">
        <v>1.19149999999996</v>
      </c>
      <c r="AF1368">
        <v>1.84321544728492</v>
      </c>
      <c r="AG1368">
        <v>-1.1191660104679999</v>
      </c>
      <c r="AH1368">
        <v>31.627383346844798</v>
      </c>
      <c r="AI1368">
        <v>92.023191735668803</v>
      </c>
      <c r="AJ1368">
        <v>86.664626250458099</v>
      </c>
      <c r="AK1368">
        <v>31.700809975651701</v>
      </c>
      <c r="AL1368">
        <v>78.7522440090044</v>
      </c>
      <c r="AM1368">
        <v>82.456463918589407</v>
      </c>
      <c r="AN1368">
        <v>0.99999995348892901</v>
      </c>
    </row>
    <row r="1369" spans="1:40" x14ac:dyDescent="0.25">
      <c r="A1369" t="str">
        <f>"20190303171005684"</f>
        <v>20190303171005684</v>
      </c>
      <c r="B1369" t="str">
        <f>"1551604205672193"</f>
        <v>1551604205672193</v>
      </c>
      <c r="C1369" t="s">
        <v>40</v>
      </c>
      <c r="D1369">
        <v>4.7937079999999996</v>
      </c>
      <c r="E1369">
        <v>0.47999540000000002</v>
      </c>
      <c r="F1369" t="s">
        <v>53</v>
      </c>
      <c r="G1369">
        <v>-246.5017</v>
      </c>
      <c r="H1369" s="1">
        <v>1.9231089999999999E-6</v>
      </c>
      <c r="I1369">
        <v>284.1114</v>
      </c>
      <c r="J1369">
        <v>-215.19319999999999</v>
      </c>
      <c r="K1369">
        <v>1.1192299999999999</v>
      </c>
      <c r="L1369">
        <v>282.83240000000001</v>
      </c>
      <c r="M1369">
        <v>-0.99976739999999997</v>
      </c>
      <c r="N1369">
        <v>-1.2209390000000001E-2</v>
      </c>
      <c r="O1369">
        <v>-1.778389E-2</v>
      </c>
      <c r="P1369">
        <v>-0.97678509999999996</v>
      </c>
      <c r="Q1369">
        <v>0.1846826</v>
      </c>
      <c r="R1369">
        <v>0.10855239999999999</v>
      </c>
      <c r="S1369">
        <v>-3.077118</v>
      </c>
      <c r="T1369">
        <v>-0.1090734</v>
      </c>
      <c r="U1369">
        <v>0.1244507</v>
      </c>
      <c r="V1369">
        <v>0.12678989999999901</v>
      </c>
      <c r="W1369">
        <v>0.19600119999999999</v>
      </c>
      <c r="X1369">
        <v>0.97237229999999997</v>
      </c>
      <c r="Y1369">
        <v>5.8121350000000002E-2</v>
      </c>
      <c r="Z1369">
        <v>1.79744E-3</v>
      </c>
      <c r="AA1369">
        <v>0.99830790000000003</v>
      </c>
      <c r="AB1369">
        <v>25</v>
      </c>
      <c r="AC1369">
        <v>-31.308499999999999</v>
      </c>
      <c r="AD1369">
        <v>-1.1192280768909999</v>
      </c>
      <c r="AE1369">
        <v>1.2789999999999899</v>
      </c>
      <c r="AF1369">
        <v>1.8332871334477701</v>
      </c>
      <c r="AG1369">
        <v>-1.1192280768909999</v>
      </c>
      <c r="AH1369">
        <v>31.240942926826499</v>
      </c>
      <c r="AI1369">
        <v>92.048262194069395</v>
      </c>
      <c r="AJ1369">
        <v>86.641609292667894</v>
      </c>
      <c r="AK1369">
        <v>31.314695083283102</v>
      </c>
      <c r="AL1369">
        <v>78.696783383259799</v>
      </c>
      <c r="AM1369">
        <v>82.570983117639997</v>
      </c>
      <c r="AN1369">
        <v>1.00000001947536</v>
      </c>
    </row>
    <row r="1370" spans="1:40" x14ac:dyDescent="0.25">
      <c r="A1370" t="str">
        <f>"20190303171005705"</f>
        <v>20190303171005705</v>
      </c>
      <c r="B1370" t="str">
        <f>"1551604205691714"</f>
        <v>1551604205691714</v>
      </c>
      <c r="C1370" t="s">
        <v>40</v>
      </c>
      <c r="D1370">
        <v>4.7911390000000003</v>
      </c>
      <c r="E1370">
        <v>0.47933179999999997</v>
      </c>
      <c r="F1370" t="s">
        <v>53</v>
      </c>
      <c r="G1370">
        <v>-248.4409</v>
      </c>
      <c r="H1370" s="1">
        <v>2.9550270000000002E-6</v>
      </c>
      <c r="I1370">
        <v>284.14760000000001</v>
      </c>
      <c r="J1370">
        <v>-215.42779999999999</v>
      </c>
      <c r="K1370">
        <v>1.119254</v>
      </c>
      <c r="L1370">
        <v>282.83109999999999</v>
      </c>
      <c r="M1370">
        <v>-0.99981070000000005</v>
      </c>
      <c r="N1370">
        <v>-1.2056030000000001E-2</v>
      </c>
      <c r="O1370">
        <v>-1.5277900000000001E-2</v>
      </c>
      <c r="P1370">
        <v>-0.97670690000000004</v>
      </c>
      <c r="Q1370">
        <v>0.1852451</v>
      </c>
      <c r="R1370">
        <v>0.108297</v>
      </c>
      <c r="S1370">
        <v>-3.0773470000000001</v>
      </c>
      <c r="T1370">
        <v>-0.1035938</v>
      </c>
      <c r="U1370">
        <v>0.1217346</v>
      </c>
      <c r="V1370">
        <v>0.12407700000000001</v>
      </c>
      <c r="W1370">
        <v>0.1964388</v>
      </c>
      <c r="X1370">
        <v>0.97263390000000005</v>
      </c>
      <c r="Y1370">
        <v>5.4744210000000001E-2</v>
      </c>
      <c r="Z1370">
        <v>1.5809820000000001E-3</v>
      </c>
      <c r="AA1370">
        <v>0.99849920000000003</v>
      </c>
      <c r="AB1370">
        <v>25</v>
      </c>
      <c r="AC1370">
        <v>-33.013100000000001</v>
      </c>
      <c r="AD1370">
        <v>-1.119251044973</v>
      </c>
      <c r="AE1370">
        <v>1.31650000000001</v>
      </c>
      <c r="AF1370">
        <v>1.8186666626221499</v>
      </c>
      <c r="AG1370">
        <v>-1.119251044973</v>
      </c>
      <c r="AH1370">
        <v>32.951316452139103</v>
      </c>
      <c r="AI1370">
        <v>91.942452769075302</v>
      </c>
      <c r="AJ1370">
        <v>86.840905884782998</v>
      </c>
      <c r="AK1370">
        <v>33.020441051875999</v>
      </c>
      <c r="AL1370">
        <v>78.671213492124096</v>
      </c>
      <c r="AM1370">
        <v>82.7301555557287</v>
      </c>
      <c r="AN1370">
        <v>1.00000000375182</v>
      </c>
    </row>
    <row r="1371" spans="1:40" x14ac:dyDescent="0.25">
      <c r="A1371" t="str">
        <f>"20190303171005727"</f>
        <v>20190303171005727</v>
      </c>
      <c r="B1371" t="str">
        <f>"1551604205721969"</f>
        <v>1551604205721969</v>
      </c>
      <c r="C1371" t="s">
        <v>40</v>
      </c>
      <c r="D1371">
        <v>4.8529099999999996</v>
      </c>
      <c r="E1371">
        <v>0.47839900000000002</v>
      </c>
      <c r="F1371" t="s">
        <v>53</v>
      </c>
      <c r="G1371">
        <v>-249.35290000000001</v>
      </c>
      <c r="H1371" s="1">
        <v>3.44038E-6</v>
      </c>
      <c r="I1371">
        <v>284.12779999999998</v>
      </c>
      <c r="J1371">
        <v>-215.6754</v>
      </c>
      <c r="K1371">
        <v>1.119256</v>
      </c>
      <c r="L1371">
        <v>282.83019999999999</v>
      </c>
      <c r="M1371">
        <v>-0.99984930000000005</v>
      </c>
      <c r="N1371">
        <v>-1.1897370000000001E-2</v>
      </c>
      <c r="O1371">
        <v>-1.2636339999999999E-2</v>
      </c>
      <c r="P1371">
        <v>-0.97638510000000001</v>
      </c>
      <c r="Q1371">
        <v>0.18682699999999999</v>
      </c>
      <c r="R1371">
        <v>0.10847900000000001</v>
      </c>
      <c r="S1371">
        <v>-3.0777589999999999</v>
      </c>
      <c r="T1371">
        <v>-0.1015408</v>
      </c>
      <c r="U1371">
        <v>0.11764529999999999</v>
      </c>
      <c r="V1371">
        <v>0.1216831</v>
      </c>
      <c r="W1371">
        <v>0.1978782</v>
      </c>
      <c r="X1371">
        <v>0.97264459999999997</v>
      </c>
      <c r="Y1371">
        <v>5.078104E-2</v>
      </c>
      <c r="Z1371">
        <v>1.405849E-3</v>
      </c>
      <c r="AA1371">
        <v>0.99870879999999995</v>
      </c>
      <c r="AB1371">
        <v>25</v>
      </c>
      <c r="AC1371">
        <v>-33.677500000000002</v>
      </c>
      <c r="AD1371">
        <v>-1.11925255962</v>
      </c>
      <c r="AE1371">
        <v>1.2975999999999801</v>
      </c>
      <c r="AF1371">
        <v>1.7211885953706001</v>
      </c>
      <c r="AG1371">
        <v>-1.11925255962</v>
      </c>
      <c r="AH1371">
        <v>33.621332038101997</v>
      </c>
      <c r="AI1371">
        <v>91.904177947905296</v>
      </c>
      <c r="AJ1371">
        <v>87.069395494577506</v>
      </c>
      <c r="AK1371">
        <v>33.683960344492696</v>
      </c>
      <c r="AL1371">
        <v>78.587091147006305</v>
      </c>
      <c r="AM1371">
        <v>82.869037181375603</v>
      </c>
      <c r="AN1371">
        <v>1.0000000383850001</v>
      </c>
    </row>
    <row r="1372" spans="1:40" x14ac:dyDescent="0.25">
      <c r="A1372" t="str">
        <f>"20190303171005750"</f>
        <v>20190303171005750</v>
      </c>
      <c r="B1372" t="str">
        <f>"1551604205741997"</f>
        <v>1551604205741997</v>
      </c>
      <c r="C1372" t="s">
        <v>40</v>
      </c>
      <c r="D1372">
        <v>4.8411670000000004</v>
      </c>
      <c r="E1372">
        <v>0.47441040000000001</v>
      </c>
      <c r="F1372" t="s">
        <v>53</v>
      </c>
      <c r="G1372">
        <v>-250.98660000000001</v>
      </c>
      <c r="H1372" s="1">
        <v>-1.0117519999999999E-6</v>
      </c>
      <c r="I1372">
        <v>284.11130000000003</v>
      </c>
      <c r="J1372">
        <v>-215.9436</v>
      </c>
      <c r="K1372">
        <v>1.1192219999999999</v>
      </c>
      <c r="L1372">
        <v>282.83010000000002</v>
      </c>
      <c r="M1372">
        <v>-0.99988359999999998</v>
      </c>
      <c r="N1372">
        <v>-1.173066E-2</v>
      </c>
      <c r="O1372">
        <v>-9.7610479999999996E-3</v>
      </c>
      <c r="P1372">
        <v>-0.9757304</v>
      </c>
      <c r="Q1372">
        <v>0.1892124</v>
      </c>
      <c r="R1372">
        <v>0.1102216</v>
      </c>
      <c r="S1372">
        <v>-3.0788120000000001</v>
      </c>
      <c r="T1372">
        <v>-9.758878E-2</v>
      </c>
      <c r="U1372">
        <v>0.1116943</v>
      </c>
      <c r="V1372">
        <v>0.1206338</v>
      </c>
      <c r="W1372">
        <v>0.20009650000000001</v>
      </c>
      <c r="X1372">
        <v>0.9723214</v>
      </c>
      <c r="Y1372">
        <v>4.5974559999999998E-2</v>
      </c>
      <c r="Z1372">
        <v>1.192827E-3</v>
      </c>
      <c r="AA1372">
        <v>0.99894190000000005</v>
      </c>
      <c r="AB1372">
        <v>25</v>
      </c>
      <c r="AC1372">
        <v>-35.042999999999999</v>
      </c>
      <c r="AD1372">
        <v>-1.1192230117519999</v>
      </c>
      <c r="AE1372">
        <v>1.2812000000000101</v>
      </c>
      <c r="AF1372">
        <v>1.6215669738204399</v>
      </c>
      <c r="AG1372">
        <v>-1.1192230117519999</v>
      </c>
      <c r="AH1372">
        <v>34.993175703104903</v>
      </c>
      <c r="AI1372">
        <v>91.8299634085093</v>
      </c>
      <c r="AJ1372">
        <v>87.346839068613093</v>
      </c>
      <c r="AK1372">
        <v>35.048601760826202</v>
      </c>
      <c r="AL1372">
        <v>78.457398018158401</v>
      </c>
      <c r="AM1372">
        <v>82.927577751461499</v>
      </c>
      <c r="AN1372">
        <v>1.0000000139563201</v>
      </c>
    </row>
    <row r="1373" spans="1:40" x14ac:dyDescent="0.25">
      <c r="A1373" t="str">
        <f>"20190303171005773"</f>
        <v>20190303171005773</v>
      </c>
      <c r="B1373" t="str">
        <f>"1551604205761517"</f>
        <v>1551604205761517</v>
      </c>
      <c r="C1373" t="s">
        <v>40</v>
      </c>
      <c r="D1373">
        <v>4.8533350000000004</v>
      </c>
      <c r="E1373">
        <v>0.47438359999999902</v>
      </c>
      <c r="F1373" t="s">
        <v>53</v>
      </c>
      <c r="G1373">
        <v>-250.72579999999999</v>
      </c>
      <c r="H1373" s="1">
        <v>-1.1505710000000001E-6</v>
      </c>
      <c r="I1373">
        <v>283.78230000000002</v>
      </c>
      <c r="J1373">
        <v>-216.20099999999999</v>
      </c>
      <c r="K1373">
        <v>1.119183</v>
      </c>
      <c r="L1373">
        <v>282.83069999999998</v>
      </c>
      <c r="M1373">
        <v>-0.99990860000000004</v>
      </c>
      <c r="N1373">
        <v>-1.158269E-2</v>
      </c>
      <c r="O1373">
        <v>-6.9695410000000001E-3</v>
      </c>
      <c r="P1373">
        <v>-0.97551690000000002</v>
      </c>
      <c r="Q1373">
        <v>0.19005859999999999</v>
      </c>
      <c r="R1373">
        <v>0.11065609999999999</v>
      </c>
      <c r="S1373">
        <v>-3.0843050000000001</v>
      </c>
      <c r="T1373">
        <v>-9.9246979999999999E-2</v>
      </c>
      <c r="U1373">
        <v>8.4442139999999999E-2</v>
      </c>
      <c r="V1373">
        <v>0.1183632</v>
      </c>
      <c r="W1373">
        <v>0.20080190000000001</v>
      </c>
      <c r="X1373">
        <v>0.97245499999999996</v>
      </c>
      <c r="Y1373">
        <v>3.430888E-2</v>
      </c>
      <c r="Z1373">
        <v>8.9403050000000004E-4</v>
      </c>
      <c r="AA1373">
        <v>0.99941089999999999</v>
      </c>
      <c r="AB1373">
        <v>25</v>
      </c>
      <c r="AC1373">
        <v>-34.524799999999999</v>
      </c>
      <c r="AD1373">
        <v>-1.1191841505710001</v>
      </c>
      <c r="AE1373">
        <v>0.95160000000004097</v>
      </c>
      <c r="AF1373">
        <v>1.1909644683812699</v>
      </c>
      <c r="AG1373">
        <v>-1.1191841505710001</v>
      </c>
      <c r="AH1373">
        <v>34.481121721809799</v>
      </c>
      <c r="AI1373">
        <v>91.857939801535096</v>
      </c>
      <c r="AJ1373">
        <v>88.021812566867794</v>
      </c>
      <c r="AK1373">
        <v>34.519830890693797</v>
      </c>
      <c r="AL1373">
        <v>78.416143995414998</v>
      </c>
      <c r="AM1373">
        <v>83.060330205882195</v>
      </c>
      <c r="AN1373">
        <v>0.99999998859142403</v>
      </c>
    </row>
    <row r="1374" spans="1:40" x14ac:dyDescent="0.25">
      <c r="A1374" t="str">
        <f>"20190303171005794"</f>
        <v>20190303171005794</v>
      </c>
      <c r="B1374" t="str">
        <f>"1551604205782013"</f>
        <v>1551604205782013</v>
      </c>
      <c r="C1374" t="s">
        <v>40</v>
      </c>
      <c r="D1374">
        <v>4.8604909999999997</v>
      </c>
      <c r="E1374">
        <v>0.47334169999999998</v>
      </c>
      <c r="F1374" t="s">
        <v>53</v>
      </c>
      <c r="G1374">
        <v>-251.2783</v>
      </c>
      <c r="H1374" s="1">
        <v>-8.5655810000000003E-7</v>
      </c>
      <c r="I1374">
        <v>283.79259999999999</v>
      </c>
      <c r="J1374">
        <v>-216.44319999999999</v>
      </c>
      <c r="K1374">
        <v>1.119137</v>
      </c>
      <c r="L1374">
        <v>282.83190000000002</v>
      </c>
      <c r="M1374">
        <v>-0.99992519999999996</v>
      </c>
      <c r="N1374">
        <v>-1.1453339999999999E-2</v>
      </c>
      <c r="O1374">
        <v>-4.2950039999999998E-3</v>
      </c>
      <c r="P1374">
        <v>-0.97568829999999995</v>
      </c>
      <c r="Q1374">
        <v>0.1895896</v>
      </c>
      <c r="R1374">
        <v>0.10994619999999999</v>
      </c>
      <c r="S1374">
        <v>-3.0848689999999999</v>
      </c>
      <c r="T1374">
        <v>-9.8426700000000006E-2</v>
      </c>
      <c r="U1374">
        <v>8.4594730000000007E-2</v>
      </c>
      <c r="V1374">
        <v>0.11506130000000001</v>
      </c>
      <c r="W1374">
        <v>0.20021749999999999</v>
      </c>
      <c r="X1374">
        <v>0.97297169999999999</v>
      </c>
      <c r="Y1374">
        <v>3.1682780000000001E-2</v>
      </c>
      <c r="Z1374">
        <v>7.7455869999999997E-4</v>
      </c>
      <c r="AA1374">
        <v>0.99949770000000004</v>
      </c>
      <c r="AB1374">
        <v>25</v>
      </c>
      <c r="AC1374">
        <v>-34.835099999999997</v>
      </c>
      <c r="AD1374">
        <v>-1.1191378565581001</v>
      </c>
      <c r="AE1374">
        <v>0.96069999999997402</v>
      </c>
      <c r="AF1374">
        <v>1.1091739054352401</v>
      </c>
      <c r="AG1374">
        <v>-1.1191378565581001</v>
      </c>
      <c r="AH1374">
        <v>34.794766855323203</v>
      </c>
      <c r="AI1374">
        <v>91.841290006045995</v>
      </c>
      <c r="AJ1374">
        <v>88.174165946983393</v>
      </c>
      <c r="AK1374">
        <v>34.830425446881598</v>
      </c>
      <c r="AL1374">
        <v>78.450322337709693</v>
      </c>
      <c r="AM1374">
        <v>83.255661660585304</v>
      </c>
      <c r="AN1374">
        <v>1.00000003953241</v>
      </c>
    </row>
    <row r="1375" spans="1:40" x14ac:dyDescent="0.25">
      <c r="A1375" t="str">
        <f>"20190303171005818"</f>
        <v>20190303171005818</v>
      </c>
      <c r="B1375" t="str">
        <f>"1551604205812269"</f>
        <v>1551604205812269</v>
      </c>
      <c r="C1375" t="s">
        <v>40</v>
      </c>
      <c r="D1375">
        <v>4.8846280000000002</v>
      </c>
      <c r="E1375">
        <v>0.47275840000000002</v>
      </c>
      <c r="F1375" t="s">
        <v>53</v>
      </c>
      <c r="G1375">
        <v>-253.0017</v>
      </c>
      <c r="H1375" s="1">
        <v>6.0559440000000001E-8</v>
      </c>
      <c r="I1375">
        <v>283.70679999999999</v>
      </c>
      <c r="J1375">
        <v>-216.70609999999999</v>
      </c>
      <c r="K1375">
        <v>1.1190709999999999</v>
      </c>
      <c r="L1375">
        <v>282.834</v>
      </c>
      <c r="M1375">
        <v>-0.99993509999999997</v>
      </c>
      <c r="N1375">
        <v>-1.132376E-2</v>
      </c>
      <c r="O1375">
        <v>-1.3255739999999999E-3</v>
      </c>
      <c r="P1375">
        <v>-0.97579419999999994</v>
      </c>
      <c r="Q1375">
        <v>0.18915270000000001</v>
      </c>
      <c r="R1375">
        <v>0.10975939999999999</v>
      </c>
      <c r="S1375">
        <v>-3.084778</v>
      </c>
      <c r="T1375">
        <v>-9.4432000000000002E-2</v>
      </c>
      <c r="U1375">
        <v>7.3822020000000002E-2</v>
      </c>
      <c r="V1375">
        <v>0.1119998</v>
      </c>
      <c r="W1375">
        <v>0.19966010000000001</v>
      </c>
      <c r="X1375">
        <v>0.97344330000000001</v>
      </c>
      <c r="Y1375">
        <v>2.523305E-2</v>
      </c>
      <c r="Z1375">
        <v>5.5456889999999995E-4</v>
      </c>
      <c r="AA1375">
        <v>0.99968140000000005</v>
      </c>
      <c r="AB1375">
        <v>25</v>
      </c>
      <c r="AC1375">
        <v>-36.2956</v>
      </c>
      <c r="AD1375">
        <v>-1.11907093944056</v>
      </c>
      <c r="AE1375">
        <v>0.87279999999998303</v>
      </c>
      <c r="AF1375">
        <v>0.92004071287632505</v>
      </c>
      <c r="AG1375">
        <v>-1.11907093944056</v>
      </c>
      <c r="AH1375">
        <v>36.259961522522197</v>
      </c>
      <c r="AI1375">
        <v>91.767158128620295</v>
      </c>
      <c r="AJ1375">
        <v>88.546519653022003</v>
      </c>
      <c r="AK1375">
        <v>36.288890921267303</v>
      </c>
      <c r="AL1375">
        <v>78.482916503904207</v>
      </c>
      <c r="AM1375">
        <v>83.436677152380199</v>
      </c>
      <c r="AN1375">
        <v>0.99999998452346905</v>
      </c>
    </row>
    <row r="1376" spans="1:40" x14ac:dyDescent="0.25">
      <c r="A1376" t="str">
        <f>"20190303171005841"</f>
        <v>20190303171005841</v>
      </c>
      <c r="B1376" t="str">
        <f>"1551604205832296"</f>
        <v>1551604205832296</v>
      </c>
      <c r="C1376" t="s">
        <v>40</v>
      </c>
      <c r="D1376">
        <v>4.8861350000000003</v>
      </c>
      <c r="E1376">
        <v>0.47237770000000001</v>
      </c>
      <c r="F1376" t="s">
        <v>53</v>
      </c>
      <c r="G1376">
        <v>-252.71780000000001</v>
      </c>
      <c r="H1376" s="1">
        <v>-9.0512509999999994E-8</v>
      </c>
      <c r="I1376">
        <v>283.65300000000002</v>
      </c>
      <c r="J1376">
        <v>-216.976</v>
      </c>
      <c r="K1376">
        <v>1.1190020000000001</v>
      </c>
      <c r="L1376">
        <v>282.83710000000002</v>
      </c>
      <c r="M1376">
        <v>-0.99993560000000004</v>
      </c>
      <c r="N1376">
        <v>-1.120763E-2</v>
      </c>
      <c r="O1376">
        <v>1.8102369999999999E-3</v>
      </c>
      <c r="P1376">
        <v>-0.97574479999999997</v>
      </c>
      <c r="Q1376">
        <v>0.189494</v>
      </c>
      <c r="R1376">
        <v>0.10961</v>
      </c>
      <c r="S1376">
        <v>-3.0851139999999999</v>
      </c>
      <c r="T1376">
        <v>-9.5870490000000003E-2</v>
      </c>
      <c r="U1376">
        <v>7.0159910000000006E-2</v>
      </c>
      <c r="V1376">
        <v>0.1088219</v>
      </c>
      <c r="W1376">
        <v>0.1998904</v>
      </c>
      <c r="X1376">
        <v>0.97375639999999997</v>
      </c>
      <c r="Y1376">
        <v>2.0912259999999998E-2</v>
      </c>
      <c r="Z1376">
        <v>4.0610279999999998E-4</v>
      </c>
      <c r="AA1376">
        <v>0.99978129999999998</v>
      </c>
      <c r="AB1376">
        <v>26</v>
      </c>
      <c r="AC1376">
        <v>-35.741799999999998</v>
      </c>
      <c r="AD1376">
        <v>-1.11900209051251</v>
      </c>
      <c r="AE1376">
        <v>0.81589999999999896</v>
      </c>
      <c r="AF1376">
        <v>0.75045826685030104</v>
      </c>
      <c r="AG1376">
        <v>-1.11900209051251</v>
      </c>
      <c r="AH1376">
        <v>35.708235974817903</v>
      </c>
      <c r="AI1376">
        <v>91.794515457355004</v>
      </c>
      <c r="AJ1376">
        <v>88.796026706326899</v>
      </c>
      <c r="AK1376">
        <v>35.733646185662799</v>
      </c>
      <c r="AL1376">
        <v>78.469449443436503</v>
      </c>
      <c r="AM1376">
        <v>83.623382946354795</v>
      </c>
      <c r="AN1376">
        <v>0.99999995223636295</v>
      </c>
    </row>
    <row r="1377" spans="1:40" x14ac:dyDescent="0.25">
      <c r="A1377" t="str">
        <f>"20190303171005863"</f>
        <v>20190303171005863</v>
      </c>
      <c r="B1377" t="str">
        <f>"1551604205851815"</f>
        <v>1551604205851815</v>
      </c>
      <c r="C1377" t="s">
        <v>40</v>
      </c>
      <c r="D1377">
        <v>4.9055339999999896</v>
      </c>
      <c r="E1377">
        <v>0.47202939999999999</v>
      </c>
      <c r="F1377" t="s">
        <v>53</v>
      </c>
      <c r="G1377">
        <v>-253.10069999999999</v>
      </c>
      <c r="H1377" s="1">
        <v>1.132568E-7</v>
      </c>
      <c r="I1377">
        <v>283.64960000000002</v>
      </c>
      <c r="J1377">
        <v>-217.23179999999999</v>
      </c>
      <c r="K1377">
        <v>1.1189469999999999</v>
      </c>
      <c r="L1377">
        <v>282.84089999999998</v>
      </c>
      <c r="M1377">
        <v>-0.99992650000000005</v>
      </c>
      <c r="N1377">
        <v>-1.1110480000000001E-2</v>
      </c>
      <c r="O1377">
        <v>4.840085E-3</v>
      </c>
      <c r="P1377">
        <v>-0.97579539999999998</v>
      </c>
      <c r="Q1377">
        <v>0.18966839999999999</v>
      </c>
      <c r="R1377">
        <v>0.10885350000000001</v>
      </c>
      <c r="S1377">
        <v>-3.0853269999999999</v>
      </c>
      <c r="T1377">
        <v>-9.5571400000000001E-2</v>
      </c>
      <c r="U1377">
        <v>6.9396970000000002E-2</v>
      </c>
      <c r="V1377">
        <v>0.1051372</v>
      </c>
      <c r="W1377">
        <v>0.19997680000000001</v>
      </c>
      <c r="X1377">
        <v>0.97414339999999999</v>
      </c>
      <c r="Y1377">
        <v>1.7636929999999999E-2</v>
      </c>
      <c r="Z1377">
        <v>2.7498000000000003E-4</v>
      </c>
      <c r="AA1377">
        <v>0.99984439999999997</v>
      </c>
      <c r="AB1377">
        <v>26</v>
      </c>
      <c r="AC1377">
        <v>-35.868899999999996</v>
      </c>
      <c r="AD1377">
        <v>-1.1189468867432</v>
      </c>
      <c r="AE1377">
        <v>0.80870000000004405</v>
      </c>
      <c r="AF1377">
        <v>0.634454164501704</v>
      </c>
      <c r="AG1377">
        <v>-1.1189468867432</v>
      </c>
      <c r="AH1377">
        <v>35.837536400441699</v>
      </c>
      <c r="AI1377">
        <v>91.788071531061505</v>
      </c>
      <c r="AJ1377">
        <v>88.985763181850302</v>
      </c>
      <c r="AK1377">
        <v>35.860613344938599</v>
      </c>
      <c r="AL1377">
        <v>78.464397140078106</v>
      </c>
      <c r="AM1377">
        <v>83.840033977455903</v>
      </c>
      <c r="AN1377">
        <v>0.99999995756281901</v>
      </c>
    </row>
    <row r="1378" spans="1:40" x14ac:dyDescent="0.25">
      <c r="A1378" t="str">
        <f>"20190303171005885"</f>
        <v>20190303171005885</v>
      </c>
      <c r="B1378" t="str">
        <f>"1551604205872311"</f>
        <v>1551604205872311</v>
      </c>
      <c r="C1378" t="s">
        <v>40</v>
      </c>
      <c r="D1378">
        <v>4.9086420000000004</v>
      </c>
      <c r="E1378">
        <v>0.47196569999999999</v>
      </c>
      <c r="F1378" t="s">
        <v>53</v>
      </c>
      <c r="G1378">
        <v>-254.13759999999999</v>
      </c>
      <c r="H1378" s="1">
        <v>6.6504359999999996E-7</v>
      </c>
      <c r="I1378">
        <v>283.625</v>
      </c>
      <c r="J1378">
        <v>-217.49590000000001</v>
      </c>
      <c r="K1378">
        <v>1.1188979999999999</v>
      </c>
      <c r="L1378">
        <v>282.84559999999999</v>
      </c>
      <c r="M1378">
        <v>-0.99990699999999999</v>
      </c>
      <c r="N1378">
        <v>-1.102147E-2</v>
      </c>
      <c r="O1378">
        <v>8.0281699999999994E-3</v>
      </c>
      <c r="P1378">
        <v>-0.97570679999999999</v>
      </c>
      <c r="Q1378">
        <v>0.19021569999999999</v>
      </c>
      <c r="R1378">
        <v>0.1086936</v>
      </c>
      <c r="S1378">
        <v>-3.0852810000000002</v>
      </c>
      <c r="T1378">
        <v>-9.3542459999999994E-2</v>
      </c>
      <c r="U1378">
        <v>6.5551760000000001E-2</v>
      </c>
      <c r="V1378">
        <v>0.10189479999999999</v>
      </c>
      <c r="W1378">
        <v>0.2004426</v>
      </c>
      <c r="X1378">
        <v>0.97439219999999904</v>
      </c>
      <c r="Y1378">
        <v>1.32075E-2</v>
      </c>
      <c r="Z1378">
        <v>1.181159E-4</v>
      </c>
      <c r="AA1378">
        <v>0.99991280000000005</v>
      </c>
      <c r="AB1378">
        <v>26</v>
      </c>
      <c r="AC1378">
        <v>-36.641699999999901</v>
      </c>
      <c r="AD1378">
        <v>-1.1188973349564</v>
      </c>
      <c r="AE1378">
        <v>0.77940000000000897</v>
      </c>
      <c r="AF1378">
        <v>0.48473941034099899</v>
      </c>
      <c r="AG1378">
        <v>-1.1188973349564</v>
      </c>
      <c r="AH1378">
        <v>36.612652248266201</v>
      </c>
      <c r="AI1378">
        <v>91.750283900267803</v>
      </c>
      <c r="AJ1378">
        <v>89.241467141950906</v>
      </c>
      <c r="AK1378">
        <v>36.632952490818703</v>
      </c>
      <c r="AL1378">
        <v>78.4371574186559</v>
      </c>
      <c r="AM1378">
        <v>84.030124984888602</v>
      </c>
      <c r="AN1378">
        <v>0.99999997279131903</v>
      </c>
    </row>
    <row r="1379" spans="1:40" x14ac:dyDescent="0.25">
      <c r="A1379" t="str">
        <f>"20190303171005906"</f>
        <v>20190303171005906</v>
      </c>
      <c r="B1379" t="str">
        <f>"1551604205901591"</f>
        <v>1551604205901591</v>
      </c>
      <c r="C1379" t="s">
        <v>40</v>
      </c>
      <c r="D1379">
        <v>4.9605009999999998</v>
      </c>
      <c r="E1379">
        <v>0.47037109999999899</v>
      </c>
      <c r="F1379" t="s">
        <v>53</v>
      </c>
      <c r="G1379">
        <v>-254.70240000000001</v>
      </c>
      <c r="H1379" s="1">
        <v>9.6560050000000003E-7</v>
      </c>
      <c r="I1379">
        <v>283.64010000000002</v>
      </c>
      <c r="J1379">
        <v>-217.72389999999999</v>
      </c>
      <c r="K1379">
        <v>1.1188610000000001</v>
      </c>
      <c r="L1379">
        <v>282.85050000000001</v>
      </c>
      <c r="M1379">
        <v>-0.99988149999999998</v>
      </c>
      <c r="N1379">
        <v>-1.0953269999999999E-2</v>
      </c>
      <c r="O1379">
        <v>1.081845E-2</v>
      </c>
      <c r="P1379">
        <v>-0.97576490000000005</v>
      </c>
      <c r="Q1379">
        <v>0.1905705</v>
      </c>
      <c r="R1379">
        <v>0.1075431</v>
      </c>
      <c r="S1379">
        <v>-3.085464</v>
      </c>
      <c r="T1379">
        <v>-9.2787980000000006E-2</v>
      </c>
      <c r="U1379">
        <v>6.588745E-2</v>
      </c>
      <c r="V1379">
        <v>9.8039570000000006E-2</v>
      </c>
      <c r="W1379">
        <v>0.20074529999999999</v>
      </c>
      <c r="X1379">
        <v>0.97472539999999996</v>
      </c>
      <c r="Y1379">
        <v>1.0526880000000001E-2</v>
      </c>
      <c r="Z1379" s="1">
        <v>9.1708929999999997E-6</v>
      </c>
      <c r="AA1379">
        <v>0.99994459999999996</v>
      </c>
      <c r="AB1379">
        <v>26</v>
      </c>
      <c r="AC1379">
        <v>-36.978499999999997</v>
      </c>
      <c r="AD1379">
        <v>-1.1188600343995001</v>
      </c>
      <c r="AE1379">
        <v>0.78960000000000696</v>
      </c>
      <c r="AF1379">
        <v>0.38912366233225798</v>
      </c>
      <c r="AG1379">
        <v>-1.1188600343995001</v>
      </c>
      <c r="AH1379">
        <v>36.951065614326801</v>
      </c>
      <c r="AI1379">
        <v>91.734261913261804</v>
      </c>
      <c r="AJ1379">
        <v>89.396652868145793</v>
      </c>
      <c r="AK1379">
        <v>36.970048891439802</v>
      </c>
      <c r="AL1379">
        <v>78.419454700948705</v>
      </c>
      <c r="AM1379">
        <v>84.256407925460906</v>
      </c>
      <c r="AN1379">
        <v>1.0000000190815099</v>
      </c>
    </row>
    <row r="1380" spans="1:40" x14ac:dyDescent="0.25">
      <c r="A1380" t="str">
        <f>"20190303171005928"</f>
        <v>20190303171005928</v>
      </c>
      <c r="B1380" t="str">
        <f>"1551604205922087"</f>
        <v>1551604205922087</v>
      </c>
      <c r="C1380" t="s">
        <v>40</v>
      </c>
      <c r="D1380">
        <v>5.046697</v>
      </c>
      <c r="E1380">
        <v>0.4682655</v>
      </c>
      <c r="F1380" t="s">
        <v>53</v>
      </c>
      <c r="G1380">
        <v>-256.81450000000001</v>
      </c>
      <c r="H1380" s="1">
        <v>2.0895309999999999E-6</v>
      </c>
      <c r="I1380">
        <v>283.49869999999999</v>
      </c>
      <c r="J1380">
        <v>-217.9853</v>
      </c>
      <c r="K1380">
        <v>1.1188290000000001</v>
      </c>
      <c r="L1380">
        <v>282.85680000000002</v>
      </c>
      <c r="M1380">
        <v>-0.99984209999999996</v>
      </c>
      <c r="N1380">
        <v>-1.0884400000000001E-2</v>
      </c>
      <c r="O1380">
        <v>1.4048359999999999E-2</v>
      </c>
      <c r="P1380">
        <v>-0.97571870000000005</v>
      </c>
      <c r="Q1380">
        <v>0.19163359999999999</v>
      </c>
      <c r="R1380">
        <v>0.10606450000000001</v>
      </c>
      <c r="S1380">
        <v>-3.0861209999999999</v>
      </c>
      <c r="T1380">
        <v>-8.8331580000000007E-2</v>
      </c>
      <c r="U1380">
        <v>5.1177979999999998E-2</v>
      </c>
      <c r="V1380">
        <v>9.3427709999999997E-2</v>
      </c>
      <c r="W1380">
        <v>0.20175989999999999</v>
      </c>
      <c r="X1380">
        <v>0.97496890000000003</v>
      </c>
      <c r="Y1380">
        <v>2.53287E-3</v>
      </c>
      <c r="Z1380">
        <v>-1.9904490000000001E-4</v>
      </c>
      <c r="AA1380">
        <v>0.99999680000000002</v>
      </c>
      <c r="AB1380">
        <v>26</v>
      </c>
      <c r="AC1380">
        <v>-38.8292</v>
      </c>
      <c r="AD1380">
        <v>-1.1188269104690001</v>
      </c>
      <c r="AE1380">
        <v>0.64189999999996405</v>
      </c>
      <c r="AF1380">
        <v>9.6237887273966302E-2</v>
      </c>
      <c r="AG1380">
        <v>-1.1188269104690001</v>
      </c>
      <c r="AH1380">
        <v>38.802179227016801</v>
      </c>
      <c r="AI1380">
        <v>91.651611007143501</v>
      </c>
      <c r="AJ1380">
        <v>89.857894232399701</v>
      </c>
      <c r="AK1380">
        <v>38.818425369301998</v>
      </c>
      <c r="AL1380">
        <v>78.360108794773197</v>
      </c>
      <c r="AM1380">
        <v>84.526268335123305</v>
      </c>
      <c r="AN1380">
        <v>1.00000007510552</v>
      </c>
    </row>
    <row r="1381" spans="1:40" x14ac:dyDescent="0.25">
      <c r="A1381" t="str">
        <f>"20190303171005950"</f>
        <v>20190303171005950</v>
      </c>
      <c r="B1381" t="str">
        <f>"1551604205942114"</f>
        <v>1551604205942114</v>
      </c>
      <c r="C1381" t="s">
        <v>40</v>
      </c>
      <c r="D1381">
        <v>4.9714830000000001</v>
      </c>
      <c r="E1381">
        <v>0.46664099999999997</v>
      </c>
      <c r="F1381" t="s">
        <v>53</v>
      </c>
      <c r="G1381">
        <v>-262.21960000000001</v>
      </c>
      <c r="H1381" s="1">
        <v>-3.55616E-7</v>
      </c>
      <c r="I1381">
        <v>283.29849999999999</v>
      </c>
      <c r="J1381">
        <v>-218.24279999999999</v>
      </c>
      <c r="K1381">
        <v>1.118814</v>
      </c>
      <c r="L1381">
        <v>282.8639</v>
      </c>
      <c r="M1381">
        <v>-0.99979280000000004</v>
      </c>
      <c r="N1381">
        <v>-1.0825019999999999E-2</v>
      </c>
      <c r="O1381">
        <v>1.7245670000000001E-2</v>
      </c>
      <c r="P1381">
        <v>-0.97553939999999995</v>
      </c>
      <c r="Q1381">
        <v>0.19294829999999999</v>
      </c>
      <c r="R1381">
        <v>0.1053278</v>
      </c>
      <c r="S1381">
        <v>-3.0866389999999999</v>
      </c>
      <c r="T1381">
        <v>-7.8071000000000002E-2</v>
      </c>
      <c r="U1381">
        <v>3.0822749999999999E-2</v>
      </c>
      <c r="V1381">
        <v>8.9585849999999995E-2</v>
      </c>
      <c r="W1381">
        <v>0.2030342</v>
      </c>
      <c r="X1381">
        <v>0.97506490000000001</v>
      </c>
      <c r="Y1381">
        <v>-7.2568190000000003E-3</v>
      </c>
      <c r="Z1381">
        <v>-3.804584E-4</v>
      </c>
      <c r="AA1381">
        <v>0.99997360000000002</v>
      </c>
      <c r="AB1381">
        <v>26</v>
      </c>
      <c r="AC1381">
        <v>-43.976799999999997</v>
      </c>
      <c r="AD1381">
        <v>-1.118814355616</v>
      </c>
      <c r="AE1381">
        <v>0.434599999999989</v>
      </c>
      <c r="AF1381">
        <v>-0.32370887173399199</v>
      </c>
      <c r="AG1381">
        <v>-1.118814355616</v>
      </c>
      <c r="AH1381">
        <v>43.949311315055397</v>
      </c>
      <c r="AI1381">
        <v>91.458219912298802</v>
      </c>
      <c r="AJ1381">
        <v>90.422004718590998</v>
      </c>
      <c r="AK1381">
        <v>43.964741533001501</v>
      </c>
      <c r="AL1381">
        <v>78.285553282048795</v>
      </c>
      <c r="AM1381">
        <v>84.750584313365195</v>
      </c>
      <c r="AN1381">
        <v>1.0000000350509299</v>
      </c>
    </row>
    <row r="1382" spans="1:40" x14ac:dyDescent="0.25">
      <c r="A1382" t="str">
        <f>"20190303171005973"</f>
        <v>20190303171005973</v>
      </c>
      <c r="B1382" t="str">
        <f>"1551604205961634"</f>
        <v>1551604205961634</v>
      </c>
      <c r="C1382" t="s">
        <v>40</v>
      </c>
      <c r="D1382">
        <v>4.9885469999999996</v>
      </c>
      <c r="E1382">
        <v>0.46539079999999999</v>
      </c>
      <c r="F1382" t="s">
        <v>53</v>
      </c>
      <c r="G1382">
        <v>-269.28339999999997</v>
      </c>
      <c r="H1382" s="1">
        <v>3.4033620000000001E-6</v>
      </c>
      <c r="I1382">
        <v>283.12079999999997</v>
      </c>
      <c r="J1382">
        <v>-218.49969999999999</v>
      </c>
      <c r="K1382">
        <v>1.1188070000000001</v>
      </c>
      <c r="L1382">
        <v>282.87180000000001</v>
      </c>
      <c r="M1382">
        <v>-0.99973330000000005</v>
      </c>
      <c r="N1382">
        <v>-1.077319E-2</v>
      </c>
      <c r="O1382">
        <v>2.043147E-2</v>
      </c>
      <c r="P1382">
        <v>-0.97541449999999996</v>
      </c>
      <c r="Q1382">
        <v>0.19401669999999999</v>
      </c>
      <c r="R1382">
        <v>0.1045205</v>
      </c>
      <c r="S1382">
        <v>-3.0869450000000001</v>
      </c>
      <c r="T1382">
        <v>-6.7665820000000002E-2</v>
      </c>
      <c r="U1382">
        <v>1.5533450000000001E-2</v>
      </c>
      <c r="V1382">
        <v>8.5675580000000001E-2</v>
      </c>
      <c r="W1382">
        <v>0.20407339999999999</v>
      </c>
      <c r="X1382">
        <v>0.97519929999999999</v>
      </c>
      <c r="Y1382">
        <v>-1.539475E-2</v>
      </c>
      <c r="Z1382">
        <v>-4.7930230000000002E-4</v>
      </c>
      <c r="AA1382">
        <v>0.99988140000000003</v>
      </c>
      <c r="AB1382">
        <v>26</v>
      </c>
      <c r="AC1382">
        <v>-50.783699999999897</v>
      </c>
      <c r="AD1382">
        <v>-1.1188035966380001</v>
      </c>
      <c r="AE1382">
        <v>0.248999999999966</v>
      </c>
      <c r="AF1382">
        <v>-0.78831514827221905</v>
      </c>
      <c r="AG1382">
        <v>-1.1188035966380001</v>
      </c>
      <c r="AH1382">
        <v>50.753552824453799</v>
      </c>
      <c r="AI1382">
        <v>91.262662675814994</v>
      </c>
      <c r="AJ1382">
        <v>90.889858871909396</v>
      </c>
      <c r="AK1382">
        <v>50.772002979648803</v>
      </c>
      <c r="AL1382">
        <v>78.224737446586403</v>
      </c>
      <c r="AM1382">
        <v>84.979202897717599</v>
      </c>
      <c r="AN1382">
        <v>0.99999996615819198</v>
      </c>
    </row>
    <row r="1383" spans="1:40" x14ac:dyDescent="0.25">
      <c r="A1383" t="str">
        <f>"20190303171005995"</f>
        <v>20190303171005995</v>
      </c>
      <c r="B1383" t="str">
        <f>"1551604205982130"</f>
        <v>1551604205982130</v>
      </c>
      <c r="C1383" t="s">
        <v>40</v>
      </c>
      <c r="D1383">
        <v>4.9468709999999998</v>
      </c>
      <c r="E1383">
        <v>0.46427040000000003</v>
      </c>
      <c r="F1383" t="s">
        <v>53</v>
      </c>
      <c r="G1383">
        <v>-277.03379999999999</v>
      </c>
      <c r="H1383" s="1">
        <v>2.2801669999999999E-6</v>
      </c>
      <c r="I1383">
        <v>282.92559999999997</v>
      </c>
      <c r="J1383">
        <v>-218.761</v>
      </c>
      <c r="K1383">
        <v>1.118817</v>
      </c>
      <c r="L1383">
        <v>282.88069999999999</v>
      </c>
      <c r="M1383">
        <v>-0.99966290000000002</v>
      </c>
      <c r="N1383">
        <v>-1.072682E-2</v>
      </c>
      <c r="O1383">
        <v>2.364231E-2</v>
      </c>
      <c r="P1383">
        <v>-0.97535709999999998</v>
      </c>
      <c r="Q1383">
        <v>0.1944147</v>
      </c>
      <c r="R1383">
        <v>0.1043152</v>
      </c>
      <c r="S1383">
        <v>-3.0870510000000002</v>
      </c>
      <c r="T1383">
        <v>-5.9005019999999998E-2</v>
      </c>
      <c r="U1383">
        <v>2.8381349999999999E-3</v>
      </c>
      <c r="V1383">
        <v>8.2329559999999996E-2</v>
      </c>
      <c r="W1383">
        <v>0.2044483</v>
      </c>
      <c r="X1383">
        <v>0.97540899999999997</v>
      </c>
      <c r="Y1383">
        <v>-2.271724E-2</v>
      </c>
      <c r="Z1383">
        <v>-5.3714430000000003E-4</v>
      </c>
      <c r="AA1383">
        <v>0.99974180000000001</v>
      </c>
      <c r="AB1383">
        <v>26</v>
      </c>
      <c r="AC1383">
        <v>-58.272799999999897</v>
      </c>
      <c r="AD1383">
        <v>-1.1188147198329901</v>
      </c>
      <c r="AE1383">
        <v>4.4899999999984098E-2</v>
      </c>
      <c r="AF1383">
        <v>-1.3324043096517799</v>
      </c>
      <c r="AG1383">
        <v>-1.1188147198329901</v>
      </c>
      <c r="AH1383">
        <v>58.2361041403393</v>
      </c>
      <c r="AI1383">
        <v>91.100326205108303</v>
      </c>
      <c r="AJ1383">
        <v>91.310661628637604</v>
      </c>
      <c r="AK1383">
        <v>58.262087784992197</v>
      </c>
      <c r="AL1383">
        <v>78.202794918305401</v>
      </c>
      <c r="AM1383">
        <v>85.175375697202</v>
      </c>
      <c r="AN1383">
        <v>0.99999999055184097</v>
      </c>
    </row>
    <row r="1384" spans="1:40" x14ac:dyDescent="0.25">
      <c r="A1384" t="str">
        <f>"20190303171006019"</f>
        <v>20190303171006019</v>
      </c>
      <c r="B1384" t="str">
        <f>"1551604206011410"</f>
        <v>1551604206011410</v>
      </c>
      <c r="C1384" t="s">
        <v>40</v>
      </c>
      <c r="D1384">
        <v>4.9447739999999998</v>
      </c>
      <c r="E1384">
        <v>0.46306009999999997</v>
      </c>
      <c r="F1384" t="s">
        <v>60</v>
      </c>
      <c r="G1384">
        <v>-284.09660000000002</v>
      </c>
      <c r="H1384" s="1">
        <v>6.9764919999999998E-6</v>
      </c>
      <c r="I1384">
        <v>282.7244</v>
      </c>
      <c r="J1384">
        <v>-219.02889999999999</v>
      </c>
      <c r="K1384">
        <v>1.118843</v>
      </c>
      <c r="L1384">
        <v>282.89069999999998</v>
      </c>
      <c r="M1384">
        <v>-0.99958159999999896</v>
      </c>
      <c r="N1384">
        <v>-1.0685460000000001E-2</v>
      </c>
      <c r="O1384">
        <v>2.6879670000000001E-2</v>
      </c>
      <c r="P1384">
        <v>-0.97530660000000002</v>
      </c>
      <c r="Q1384">
        <v>0.19452710000000001</v>
      </c>
      <c r="R1384">
        <v>0.10457619999999999</v>
      </c>
      <c r="S1384">
        <v>-3.0871279999999999</v>
      </c>
      <c r="T1384">
        <v>-5.2864069999999999E-2</v>
      </c>
      <c r="U1384">
        <v>-7.385254E-3</v>
      </c>
      <c r="V1384">
        <v>7.9413330000000004E-2</v>
      </c>
      <c r="W1384">
        <v>0.20454349999999999</v>
      </c>
      <c r="X1384">
        <v>0.97563080000000002</v>
      </c>
      <c r="Y1384">
        <v>-2.9265010000000001E-2</v>
      </c>
      <c r="Z1384">
        <v>-5.7989800000000002E-4</v>
      </c>
      <c r="AA1384">
        <v>0.99957149999999995</v>
      </c>
      <c r="AB1384">
        <v>26</v>
      </c>
      <c r="AC1384">
        <v>-65.067700000000002</v>
      </c>
      <c r="AD1384">
        <v>-1.1188360235079999</v>
      </c>
      <c r="AE1384">
        <v>-0.16629999999997799</v>
      </c>
      <c r="AF1384">
        <v>-1.9147718748156699</v>
      </c>
      <c r="AG1384">
        <v>-1.1188360235079999</v>
      </c>
      <c r="AH1384">
        <v>65.020492227050397</v>
      </c>
      <c r="AI1384">
        <v>90.985389123219505</v>
      </c>
      <c r="AJ1384">
        <v>91.686801280976496</v>
      </c>
      <c r="AK1384">
        <v>65.058301198448206</v>
      </c>
      <c r="AL1384">
        <v>78.197222585747596</v>
      </c>
      <c r="AM1384">
        <v>85.3465596946468</v>
      </c>
      <c r="AN1384">
        <v>0.99999998914128896</v>
      </c>
    </row>
    <row r="1385" spans="1:40" x14ac:dyDescent="0.25">
      <c r="A1385" t="str">
        <f>"20190303171006040"</f>
        <v>20190303171006040</v>
      </c>
      <c r="B1385" t="str">
        <f>"1551604206031438"</f>
        <v>1551604206031438</v>
      </c>
      <c r="C1385" t="s">
        <v>40</v>
      </c>
      <c r="D1385">
        <v>4.9730249999999998</v>
      </c>
      <c r="E1385">
        <v>0.46243810000000002</v>
      </c>
      <c r="F1385" t="s">
        <v>60</v>
      </c>
      <c r="G1385">
        <v>-291.2423</v>
      </c>
      <c r="H1385" s="1">
        <v>2.6103650000000001E-6</v>
      </c>
      <c r="I1385">
        <v>282.50880000000001</v>
      </c>
      <c r="J1385">
        <v>-219.28559999999999</v>
      </c>
      <c r="K1385">
        <v>1.1188750000000001</v>
      </c>
      <c r="L1385">
        <v>282.90100000000001</v>
      </c>
      <c r="M1385">
        <v>-0.99949569999999999</v>
      </c>
      <c r="N1385">
        <v>-1.0650939999999999E-2</v>
      </c>
      <c r="O1385">
        <v>2.9917989999999998E-2</v>
      </c>
      <c r="P1385">
        <v>-0.97528020000000004</v>
      </c>
      <c r="Q1385">
        <v>0.1941872</v>
      </c>
      <c r="R1385">
        <v>0.1054515</v>
      </c>
      <c r="S1385">
        <v>-3.0872649999999999</v>
      </c>
      <c r="T1385">
        <v>-4.7832609999999998E-2</v>
      </c>
      <c r="U1385">
        <v>-1.6326899999999998E-2</v>
      </c>
      <c r="V1385">
        <v>7.729685E-2</v>
      </c>
      <c r="W1385">
        <v>0.2041897</v>
      </c>
      <c r="X1385">
        <v>0.97587489999999999</v>
      </c>
      <c r="Y1385">
        <v>-3.5197819999999998E-2</v>
      </c>
      <c r="Z1385">
        <v>-6.0489769999999999E-4</v>
      </c>
      <c r="AA1385">
        <v>0.99938020000000005</v>
      </c>
      <c r="AB1385">
        <v>26</v>
      </c>
      <c r="AC1385">
        <v>-71.956699999999998</v>
      </c>
      <c r="AD1385">
        <v>-1.1188723896349999</v>
      </c>
      <c r="AE1385">
        <v>-0.39220000000000199</v>
      </c>
      <c r="AF1385">
        <v>-2.5443310207690502</v>
      </c>
      <c r="AG1385">
        <v>-1.1188723896349999</v>
      </c>
      <c r="AH1385">
        <v>71.895368642564705</v>
      </c>
      <c r="AI1385">
        <v>90.891036458902306</v>
      </c>
      <c r="AJ1385">
        <v>92.0268150680144</v>
      </c>
      <c r="AK1385">
        <v>71.949075935815898</v>
      </c>
      <c r="AL1385">
        <v>78.217931364376696</v>
      </c>
      <c r="AM1385">
        <v>85.471185785898001</v>
      </c>
      <c r="AN1385">
        <v>1.00000002852801</v>
      </c>
    </row>
    <row r="1386" spans="1:40" x14ac:dyDescent="0.25">
      <c r="A1386" t="str">
        <f>"20190303171006064"</f>
        <v>20190303171006064</v>
      </c>
      <c r="B1386" t="str">
        <f>"1551604206051933"</f>
        <v>1551604206051933</v>
      </c>
      <c r="C1386" t="s">
        <v>40</v>
      </c>
      <c r="D1386">
        <v>4.9841930000000003</v>
      </c>
      <c r="E1386">
        <v>0.46198260000000002</v>
      </c>
      <c r="F1386" t="s">
        <v>60</v>
      </c>
      <c r="G1386">
        <v>-293.25389999999999</v>
      </c>
      <c r="H1386" s="1">
        <v>2.9712550000000001E-6</v>
      </c>
      <c r="I1386">
        <v>282.46230000000003</v>
      </c>
      <c r="J1386">
        <v>-219.5583</v>
      </c>
      <c r="K1386">
        <v>1.11890499999999</v>
      </c>
      <c r="L1386">
        <v>282.91269999999997</v>
      </c>
      <c r="M1386">
        <v>-0.99939610000000001</v>
      </c>
      <c r="N1386">
        <v>-1.0619180000000001E-2</v>
      </c>
      <c r="O1386">
        <v>3.3082439999999998E-2</v>
      </c>
      <c r="P1386">
        <v>-0.97497310000000004</v>
      </c>
      <c r="Q1386">
        <v>0.1949003</v>
      </c>
      <c r="R1386">
        <v>0.1069645</v>
      </c>
      <c r="S1386">
        <v>-3.087326</v>
      </c>
      <c r="T1386">
        <v>-4.6699999999999998E-2</v>
      </c>
      <c r="U1386">
        <v>-1.8310549999999998E-2</v>
      </c>
      <c r="V1386">
        <v>7.5705930000000005E-2</v>
      </c>
      <c r="W1386">
        <v>0.2048875</v>
      </c>
      <c r="X1386">
        <v>0.97585330000000003</v>
      </c>
      <c r="Y1386">
        <v>-3.9003330000000003E-2</v>
      </c>
      <c r="Z1386">
        <v>-6.5106820000000005E-4</v>
      </c>
      <c r="AA1386">
        <v>0.99923879999999998</v>
      </c>
      <c r="AB1386">
        <v>26</v>
      </c>
      <c r="AC1386">
        <v>-73.695599999999899</v>
      </c>
      <c r="AD1386">
        <v>-1.11890202874499</v>
      </c>
      <c r="AE1386">
        <v>-0.45039999999994501</v>
      </c>
      <c r="AF1386">
        <v>-2.8876558194789301</v>
      </c>
      <c r="AG1386">
        <v>-1.11890202874499</v>
      </c>
      <c r="AH1386">
        <v>73.623384500902205</v>
      </c>
      <c r="AI1386">
        <v>90.870025013783504</v>
      </c>
      <c r="AJ1386">
        <v>92.246103319259007</v>
      </c>
      <c r="AK1386">
        <v>73.688487861058704</v>
      </c>
      <c r="AL1386">
        <v>78.177086145166896</v>
      </c>
      <c r="AM1386">
        <v>85.563923896940096</v>
      </c>
      <c r="AN1386">
        <v>0.99999996930715196</v>
      </c>
    </row>
    <row r="1387" spans="1:40" x14ac:dyDescent="0.25">
      <c r="A1387" t="str">
        <f>"20190303171006086"</f>
        <v>20190303171006086</v>
      </c>
      <c r="B1387" t="str">
        <f>"1551604206072430"</f>
        <v>1551604206072430</v>
      </c>
      <c r="C1387" t="s">
        <v>40</v>
      </c>
      <c r="D1387">
        <v>4.9891579999999998</v>
      </c>
      <c r="E1387">
        <v>0.46146559999999998</v>
      </c>
      <c r="F1387" t="s">
        <v>60</v>
      </c>
      <c r="G1387">
        <v>-299.62459999999999</v>
      </c>
      <c r="H1387" s="1">
        <v>4.1007420000000003E-6</v>
      </c>
      <c r="I1387">
        <v>282.46879999999999</v>
      </c>
      <c r="J1387">
        <v>-219.80690000000001</v>
      </c>
      <c r="K1387">
        <v>1.118935</v>
      </c>
      <c r="L1387">
        <v>282.92410000000001</v>
      </c>
      <c r="M1387">
        <v>-0.99929950000000001</v>
      </c>
      <c r="N1387">
        <v>-1.0591329999999999E-2</v>
      </c>
      <c r="O1387">
        <v>3.5892830000000001E-2</v>
      </c>
      <c r="P1387">
        <v>-0.9744678</v>
      </c>
      <c r="Q1387">
        <v>0.19641420000000001</v>
      </c>
      <c r="R1387">
        <v>0.1087839</v>
      </c>
      <c r="S1387">
        <v>-3.0875089999999998</v>
      </c>
      <c r="T1387">
        <v>-4.314697E-2</v>
      </c>
      <c r="U1387">
        <v>-1.7120360000000001E-2</v>
      </c>
      <c r="V1387">
        <v>7.4778209999999998E-2</v>
      </c>
      <c r="W1387">
        <v>0.20638400000000001</v>
      </c>
      <c r="X1387">
        <v>0.97560950000000002</v>
      </c>
      <c r="Y1387">
        <v>-4.1428359999999997E-2</v>
      </c>
      <c r="Z1387">
        <v>-6.3016150000000002E-4</v>
      </c>
      <c r="AA1387">
        <v>0.99914130000000001</v>
      </c>
      <c r="AB1387">
        <v>26</v>
      </c>
      <c r="AC1387">
        <v>-79.817699999999903</v>
      </c>
      <c r="AD1387">
        <v>-1.118930899258</v>
      </c>
      <c r="AE1387">
        <v>-0.45530000000002202</v>
      </c>
      <c r="AF1387">
        <v>-3.3193981738824099</v>
      </c>
      <c r="AG1387">
        <v>-1.118930899258</v>
      </c>
      <c r="AH1387">
        <v>79.734251437800495</v>
      </c>
      <c r="AI1387">
        <v>90.803297664580995</v>
      </c>
      <c r="AJ1387">
        <v>92.383890786264203</v>
      </c>
      <c r="AK1387">
        <v>79.811160015003495</v>
      </c>
      <c r="AL1387">
        <v>78.089471098781203</v>
      </c>
      <c r="AM1387">
        <v>85.616980932343594</v>
      </c>
      <c r="AN1387">
        <v>1.0000000163185201</v>
      </c>
    </row>
    <row r="1388" spans="1:40" x14ac:dyDescent="0.25">
      <c r="A1388" t="str">
        <f>"20190303171006106"</f>
        <v>20190303171006106</v>
      </c>
      <c r="B1388" t="str">
        <f>"1551604206091951"</f>
        <v>1551604206091951</v>
      </c>
      <c r="C1388" t="s">
        <v>40</v>
      </c>
      <c r="D1388">
        <v>4.9956239999999896</v>
      </c>
      <c r="E1388">
        <v>0.46097860000000002</v>
      </c>
      <c r="F1388" t="s">
        <v>60</v>
      </c>
      <c r="G1388">
        <v>-314.6207</v>
      </c>
      <c r="H1388" s="1">
        <v>4.4569480000000001E-6</v>
      </c>
      <c r="I1388">
        <v>282.43299999999999</v>
      </c>
      <c r="J1388">
        <v>-220.0531</v>
      </c>
      <c r="K1388">
        <v>1.1189899999999999</v>
      </c>
      <c r="L1388">
        <v>282.93599999999998</v>
      </c>
      <c r="M1388">
        <v>-0.99919950000000002</v>
      </c>
      <c r="N1388">
        <v>-1.055906E-2</v>
      </c>
      <c r="O1388">
        <v>3.8587339999999998E-2</v>
      </c>
      <c r="P1388">
        <v>-0.97409460000000003</v>
      </c>
      <c r="Q1388">
        <v>0.19670679999999999</v>
      </c>
      <c r="R1388">
        <v>0.1115646</v>
      </c>
      <c r="S1388">
        <v>-3.087723</v>
      </c>
      <c r="T1388">
        <v>-3.6439300000000001E-2</v>
      </c>
      <c r="U1388">
        <v>-1.5991209999999999E-2</v>
      </c>
      <c r="V1388">
        <v>7.4909539999999997E-2</v>
      </c>
      <c r="W1388">
        <v>0.20665269999999999</v>
      </c>
      <c r="X1388">
        <v>0.97554249999999998</v>
      </c>
      <c r="Y1388">
        <v>-4.375822E-2</v>
      </c>
      <c r="Z1388">
        <v>-5.3700989999999995E-4</v>
      </c>
      <c r="AA1388">
        <v>0.99904199999999999</v>
      </c>
      <c r="AB1388">
        <v>26</v>
      </c>
      <c r="AC1388">
        <v>-94.567599999999999</v>
      </c>
      <c r="AD1388">
        <v>-1.1189855430519999</v>
      </c>
      <c r="AE1388">
        <v>-0.50299999999998501</v>
      </c>
      <c r="AF1388">
        <v>-4.1513594809043397</v>
      </c>
      <c r="AG1388">
        <v>-1.1189855430519999</v>
      </c>
      <c r="AH1388">
        <v>94.464524885027501</v>
      </c>
      <c r="AI1388">
        <v>90.678014723717894</v>
      </c>
      <c r="AJ1388">
        <v>92.516314287480498</v>
      </c>
      <c r="AK1388">
        <v>94.562320064279504</v>
      </c>
      <c r="AL1388">
        <v>78.073736009881998</v>
      </c>
      <c r="AM1388">
        <v>85.609012912901903</v>
      </c>
      <c r="AN1388">
        <v>0.99999997345327496</v>
      </c>
    </row>
    <row r="1389" spans="1:40" x14ac:dyDescent="0.25">
      <c r="A1389" t="str">
        <f>"20190303171006130"</f>
        <v>20190303171006130</v>
      </c>
      <c r="B1389" t="str">
        <f>"1551604206122205"</f>
        <v>1551604206122205</v>
      </c>
      <c r="C1389" t="s">
        <v>40</v>
      </c>
      <c r="D1389">
        <v>5.0093189999999996</v>
      </c>
      <c r="E1389">
        <v>0.46043580000000001</v>
      </c>
      <c r="F1389" t="s">
        <v>53</v>
      </c>
      <c r="G1389">
        <v>-322.12869999999998</v>
      </c>
      <c r="H1389" s="1">
        <v>-3.1376049999999999E-7</v>
      </c>
      <c r="I1389">
        <v>282.55160000000001</v>
      </c>
      <c r="J1389">
        <v>-220.32339999999999</v>
      </c>
      <c r="K1389">
        <v>1.119068</v>
      </c>
      <c r="L1389">
        <v>282.94959999999998</v>
      </c>
      <c r="M1389">
        <v>-0.99908640000000004</v>
      </c>
      <c r="N1389">
        <v>-1.05171E-2</v>
      </c>
      <c r="O1389">
        <v>4.1422309999999997E-2</v>
      </c>
      <c r="P1389">
        <v>-0.97378989999999999</v>
      </c>
      <c r="Q1389">
        <v>0.1969535</v>
      </c>
      <c r="R1389">
        <v>0.1137658</v>
      </c>
      <c r="S1389">
        <v>-3.087952</v>
      </c>
      <c r="T1389">
        <v>-3.3851270000000003E-2</v>
      </c>
      <c r="U1389">
        <v>-1.1627200000000001E-2</v>
      </c>
      <c r="V1389">
        <v>7.4309459999999994E-2</v>
      </c>
      <c r="W1389">
        <v>0.20687530000000001</v>
      </c>
      <c r="X1389">
        <v>0.9755412</v>
      </c>
      <c r="Y1389">
        <v>-4.5181069999999997E-2</v>
      </c>
      <c r="Z1389">
        <v>-5.0349119999999997E-4</v>
      </c>
      <c r="AA1389">
        <v>0.9989787</v>
      </c>
      <c r="AB1389">
        <v>26</v>
      </c>
      <c r="AC1389">
        <v>-101.8053</v>
      </c>
      <c r="AD1389">
        <v>-1.1190683137605</v>
      </c>
      <c r="AE1389">
        <v>-0.39799999999996699</v>
      </c>
      <c r="AF1389">
        <v>-4.6143446569570203</v>
      </c>
      <c r="AG1389">
        <v>-1.1190683137605</v>
      </c>
      <c r="AH1389">
        <v>101.68913984081</v>
      </c>
      <c r="AI1389">
        <v>90.629854883878807</v>
      </c>
      <c r="AJ1389">
        <v>92.598126385375494</v>
      </c>
      <c r="AK1389">
        <v>101.799929528796</v>
      </c>
      <c r="AL1389">
        <v>78.060700105724095</v>
      </c>
      <c r="AM1389">
        <v>85.644046211436901</v>
      </c>
      <c r="AN1389">
        <v>0.99999995924650997</v>
      </c>
    </row>
    <row r="1390" spans="1:40" x14ac:dyDescent="0.25">
      <c r="A1390" t="str">
        <f>"20190303171006152"</f>
        <v>20190303171006152</v>
      </c>
      <c r="B1390" t="str">
        <f>"1551604206142232"</f>
        <v>1551604206142232</v>
      </c>
      <c r="C1390" t="s">
        <v>40</v>
      </c>
      <c r="D1390">
        <v>4.9834329999999998</v>
      </c>
      <c r="E1390">
        <v>0.46012940000000002</v>
      </c>
      <c r="F1390" t="s">
        <v>53</v>
      </c>
      <c r="G1390">
        <v>-329.07330000000002</v>
      </c>
      <c r="H1390" s="1">
        <v>3.3774679999999998E-6</v>
      </c>
      <c r="I1390">
        <v>282.65089999999998</v>
      </c>
      <c r="J1390">
        <v>-220.58699999999999</v>
      </c>
      <c r="K1390">
        <v>1.1191530000000001</v>
      </c>
      <c r="L1390">
        <v>282.96350000000001</v>
      </c>
      <c r="M1390">
        <v>-0.99897460000000005</v>
      </c>
      <c r="N1390">
        <v>-1.0466619999999999E-2</v>
      </c>
      <c r="O1390">
        <v>4.4049619999999998E-2</v>
      </c>
      <c r="P1390">
        <v>-0.97352740000000004</v>
      </c>
      <c r="Q1390">
        <v>0.19635140000000001</v>
      </c>
      <c r="R1390">
        <v>0.117007</v>
      </c>
      <c r="S1390">
        <v>-3.0881959999999999</v>
      </c>
      <c r="T1390">
        <v>-3.1778340000000002E-2</v>
      </c>
      <c r="U1390">
        <v>-8.4838869999999903E-3</v>
      </c>
      <c r="V1390">
        <v>7.4937429999999999E-2</v>
      </c>
      <c r="W1390">
        <v>0.20623839999999999</v>
      </c>
      <c r="X1390">
        <v>0.9756281</v>
      </c>
      <c r="Y1390">
        <v>-4.6791399999999997E-2</v>
      </c>
      <c r="Z1390">
        <v>-4.7763359999999997E-4</v>
      </c>
      <c r="AA1390">
        <v>0.99890460000000003</v>
      </c>
      <c r="AB1390">
        <v>26</v>
      </c>
      <c r="AC1390">
        <v>-108.4863</v>
      </c>
      <c r="AD1390">
        <v>-1.1191496225319999</v>
      </c>
      <c r="AE1390">
        <v>-0.31260000000003102</v>
      </c>
      <c r="AF1390">
        <v>-5.0907964397571197</v>
      </c>
      <c r="AG1390">
        <v>-1.1191496225319999</v>
      </c>
      <c r="AH1390">
        <v>108.355683773941</v>
      </c>
      <c r="AI1390">
        <v>90.591105351491393</v>
      </c>
      <c r="AJ1390">
        <v>92.689908008613997</v>
      </c>
      <c r="AK1390">
        <v>108.480979486669</v>
      </c>
      <c r="AL1390">
        <v>78.097997101599404</v>
      </c>
      <c r="AM1390">
        <v>85.607768369234606</v>
      </c>
      <c r="AN1390">
        <v>1.0000000427795801</v>
      </c>
    </row>
    <row r="1391" spans="1:40" x14ac:dyDescent="0.25">
      <c r="A1391" t="str">
        <f>"20190303171006175"</f>
        <v>20190303171006175</v>
      </c>
      <c r="B1391" t="str">
        <f>"1551604206161753"</f>
        <v>1551604206161753</v>
      </c>
      <c r="C1391" t="s">
        <v>40</v>
      </c>
      <c r="D1391">
        <v>5.009004</v>
      </c>
      <c r="E1391">
        <v>0.45975559999999899</v>
      </c>
      <c r="F1391" t="s">
        <v>53</v>
      </c>
      <c r="G1391">
        <v>-323.32940000000002</v>
      </c>
      <c r="H1391" s="1">
        <v>3.07248E-7</v>
      </c>
      <c r="I1391">
        <v>282.96249999999998</v>
      </c>
      <c r="J1391">
        <v>-220.84350000000001</v>
      </c>
      <c r="K1391">
        <v>1.1192500000000001</v>
      </c>
      <c r="L1391">
        <v>282.9776</v>
      </c>
      <c r="M1391">
        <v>-0.99886629999999998</v>
      </c>
      <c r="N1391">
        <v>-1.040866E-2</v>
      </c>
      <c r="O1391">
        <v>4.6453149999999999E-2</v>
      </c>
      <c r="P1391">
        <v>-0.97307540000000003</v>
      </c>
      <c r="Q1391">
        <v>0.19696949999999999</v>
      </c>
      <c r="R1391">
        <v>0.11969680000000001</v>
      </c>
      <c r="S1391">
        <v>-3.0883790000000002</v>
      </c>
      <c r="T1391">
        <v>-3.36411E-2</v>
      </c>
      <c r="U1391" s="1">
        <v>-3.0517579999999999E-5</v>
      </c>
      <c r="V1391">
        <v>7.5240870000000001E-2</v>
      </c>
      <c r="W1391">
        <v>0.2068169</v>
      </c>
      <c r="X1391">
        <v>0.97548219999999997</v>
      </c>
      <c r="Y1391">
        <v>-4.6460139999999997E-2</v>
      </c>
      <c r="Z1391">
        <v>-5.1704279999999995E-4</v>
      </c>
      <c r="AA1391">
        <v>0.99892000000000003</v>
      </c>
      <c r="AB1391">
        <v>26</v>
      </c>
      <c r="AC1391">
        <v>-102.4859</v>
      </c>
      <c r="AD1391">
        <v>-1.1192496927519999</v>
      </c>
      <c r="AE1391">
        <v>-1.5100000000018101E-2</v>
      </c>
      <c r="AF1391">
        <v>-4.77556463494372</v>
      </c>
      <c r="AG1391">
        <v>-1.1192496927519999</v>
      </c>
      <c r="AH1391">
        <v>102.362341306003</v>
      </c>
      <c r="AI1391">
        <v>90.625777606276699</v>
      </c>
      <c r="AJ1391">
        <v>92.671113594159095</v>
      </c>
      <c r="AK1391">
        <v>102.479791447406</v>
      </c>
      <c r="AL1391">
        <v>78.064120280120605</v>
      </c>
      <c r="AM1391">
        <v>85.589396184799398</v>
      </c>
      <c r="AN1391">
        <v>0.99999997058040302</v>
      </c>
    </row>
    <row r="1392" spans="1:40" x14ac:dyDescent="0.25">
      <c r="A1392" t="str">
        <f>"20190303171006195"</f>
        <v>20190303171006195</v>
      </c>
      <c r="B1392" t="str">
        <f>"1551604206182248"</f>
        <v>1551604206182248</v>
      </c>
      <c r="C1392" t="s">
        <v>40</v>
      </c>
      <c r="D1392">
        <v>5.0145520000000001</v>
      </c>
      <c r="E1392">
        <v>0.45940720000000002</v>
      </c>
      <c r="F1392" t="s">
        <v>53</v>
      </c>
      <c r="G1392">
        <v>-334.48219999999998</v>
      </c>
      <c r="H1392" s="1">
        <v>9.1126560000000001E-7</v>
      </c>
      <c r="I1392">
        <v>283.17860000000002</v>
      </c>
      <c r="J1392">
        <v>-221.09209999999999</v>
      </c>
      <c r="K1392">
        <v>1.1193599999999999</v>
      </c>
      <c r="L1392">
        <v>282.99160000000001</v>
      </c>
      <c r="M1392">
        <v>-0.99876390000000004</v>
      </c>
      <c r="N1392">
        <v>-1.034797E-2</v>
      </c>
      <c r="O1392">
        <v>4.8619610000000001E-2</v>
      </c>
      <c r="P1392">
        <v>-0.97240729999999997</v>
      </c>
      <c r="Q1392">
        <v>0.19861719999999999</v>
      </c>
      <c r="R1392">
        <v>0.1223746</v>
      </c>
      <c r="S1392">
        <v>-3.0885009999999999</v>
      </c>
      <c r="T1392">
        <v>-3.0419229999999998E-2</v>
      </c>
      <c r="U1392">
        <v>5.4626459999999998E-3</v>
      </c>
      <c r="V1392">
        <v>7.5774590000000003E-2</v>
      </c>
      <c r="W1392">
        <v>0.20842060000000001</v>
      </c>
      <c r="X1392">
        <v>0.97509950000000001</v>
      </c>
      <c r="Y1392">
        <v>-4.6850860000000001E-2</v>
      </c>
      <c r="Z1392">
        <v>-4.4856280000000001E-4</v>
      </c>
      <c r="AA1392">
        <v>0.99890179999999995</v>
      </c>
      <c r="AB1392">
        <v>26</v>
      </c>
      <c r="AC1392">
        <v>-113.3901</v>
      </c>
      <c r="AD1392">
        <v>-1.1193590887344</v>
      </c>
      <c r="AE1392">
        <v>0.18700000000001099</v>
      </c>
      <c r="AF1392">
        <v>-5.3259790247149903</v>
      </c>
      <c r="AG1392">
        <v>-1.1193590887344</v>
      </c>
      <c r="AH1392">
        <v>113.25404244953199</v>
      </c>
      <c r="AI1392">
        <v>90.565645770635399</v>
      </c>
      <c r="AJ1392">
        <v>92.692455457221996</v>
      </c>
      <c r="AK1392">
        <v>113.38473066732401</v>
      </c>
      <c r="AL1392">
        <v>77.970188403226402</v>
      </c>
      <c r="AM1392">
        <v>85.556498103643605</v>
      </c>
      <c r="AN1392">
        <v>0.99999998494713804</v>
      </c>
    </row>
    <row r="1393" spans="1:40" x14ac:dyDescent="0.25">
      <c r="A1393" t="str">
        <f>"20190303171006219"</f>
        <v>20190303171006219</v>
      </c>
      <c r="B1393" t="str">
        <f>"1551604206212504"</f>
        <v>1551604206212504</v>
      </c>
      <c r="C1393" t="s">
        <v>40</v>
      </c>
      <c r="D1393">
        <v>5.0251460000000003</v>
      </c>
      <c r="E1393">
        <v>0.45887250000000002</v>
      </c>
      <c r="F1393" t="s">
        <v>53</v>
      </c>
      <c r="G1393">
        <v>-367.17950000000002</v>
      </c>
      <c r="H1393" s="1">
        <v>2.2838009999999999E-6</v>
      </c>
      <c r="I1393">
        <v>283.48099999999999</v>
      </c>
      <c r="J1393">
        <v>-221.35579999999999</v>
      </c>
      <c r="K1393">
        <v>1.11948799999999</v>
      </c>
      <c r="L1393">
        <v>283.00689999999997</v>
      </c>
      <c r="M1393">
        <v>-0.99866069999999996</v>
      </c>
      <c r="N1393">
        <v>-1.027292E-2</v>
      </c>
      <c r="O1393">
        <v>5.0710289999999998E-2</v>
      </c>
      <c r="P1393">
        <v>-0.97188989999999997</v>
      </c>
      <c r="Q1393">
        <v>0.19981460000000001</v>
      </c>
      <c r="R1393">
        <v>0.12451669999999999</v>
      </c>
      <c r="S1393">
        <v>-3.088654</v>
      </c>
      <c r="T1393">
        <v>-2.3666019999999999E-2</v>
      </c>
      <c r="U1393">
        <v>1.0345460000000001E-2</v>
      </c>
      <c r="V1393">
        <v>7.5829099999999997E-2</v>
      </c>
      <c r="W1393">
        <v>0.2095668</v>
      </c>
      <c r="X1393">
        <v>0.97484959999999998</v>
      </c>
      <c r="Y1393">
        <v>-4.7364089999999998E-2</v>
      </c>
      <c r="Z1393">
        <v>-2.920318E-4</v>
      </c>
      <c r="AA1393">
        <v>0.99887760000000003</v>
      </c>
      <c r="AB1393">
        <v>26</v>
      </c>
      <c r="AC1393">
        <v>-145.8237</v>
      </c>
      <c r="AD1393">
        <v>-1.11948571619899</v>
      </c>
      <c r="AE1393">
        <v>0.474100000000021</v>
      </c>
      <c r="AF1393">
        <v>-6.92125351190424</v>
      </c>
      <c r="AG1393">
        <v>-1.11948571619899</v>
      </c>
      <c r="AH1393">
        <v>145.65152325791499</v>
      </c>
      <c r="AI1393">
        <v>90.439873544062607</v>
      </c>
      <c r="AJ1393">
        <v>92.720606849476596</v>
      </c>
      <c r="AK1393">
        <v>145.82017427570099</v>
      </c>
      <c r="AL1393">
        <v>77.903033403783596</v>
      </c>
      <c r="AM1393">
        <v>85.552179073143094</v>
      </c>
      <c r="AN1393">
        <v>1.0000000193445999</v>
      </c>
    </row>
    <row r="1394" spans="1:40" x14ac:dyDescent="0.25">
      <c r="A1394" t="str">
        <f>"20190303171006241"</f>
        <v>20190303171006241</v>
      </c>
      <c r="B1394" t="str">
        <f>"1551604206232532"</f>
        <v>1551604206232532</v>
      </c>
      <c r="C1394" t="s">
        <v>40</v>
      </c>
      <c r="D1394">
        <v>5.0279740000000004</v>
      </c>
      <c r="E1394">
        <v>0.45879890000000001</v>
      </c>
      <c r="F1394" t="s">
        <v>60</v>
      </c>
      <c r="G1394">
        <v>-412.19959999999998</v>
      </c>
      <c r="H1394" s="1">
        <v>2.6685500000000001E-6</v>
      </c>
      <c r="I1394">
        <v>283.78559999999999</v>
      </c>
      <c r="J1394">
        <v>-221.62780000000001</v>
      </c>
      <c r="K1394">
        <v>1.1196250000000001</v>
      </c>
      <c r="L1394">
        <v>283.02300000000002</v>
      </c>
      <c r="M1394">
        <v>-0.99856199999999995</v>
      </c>
      <c r="N1394">
        <v>-1.018935E-2</v>
      </c>
      <c r="O1394">
        <v>5.2633560000000003E-2</v>
      </c>
      <c r="P1394">
        <v>-0.97154370000000001</v>
      </c>
      <c r="Q1394">
        <v>0.2006733</v>
      </c>
      <c r="R1394">
        <v>0.12583039999999901</v>
      </c>
      <c r="S1394">
        <v>-3.088867</v>
      </c>
      <c r="T1394">
        <v>-1.8119219999999998E-2</v>
      </c>
      <c r="U1394">
        <v>1.260376E-2</v>
      </c>
      <c r="V1394">
        <v>7.5203829999999999E-2</v>
      </c>
      <c r="W1394">
        <v>0.21037239999999999</v>
      </c>
      <c r="X1394">
        <v>0.97472449999999999</v>
      </c>
      <c r="Y1394">
        <v>-4.8558379999999998E-2</v>
      </c>
      <c r="Z1394">
        <v>-1.619325E-4</v>
      </c>
      <c r="AA1394">
        <v>0.99882029999999999</v>
      </c>
      <c r="AB1394">
        <v>26</v>
      </c>
      <c r="AC1394">
        <v>-190.5718</v>
      </c>
      <c r="AD1394">
        <v>-1.11962233145</v>
      </c>
      <c r="AE1394">
        <v>0.76260000000002004</v>
      </c>
      <c r="AF1394">
        <v>-9.2691293140122593</v>
      </c>
      <c r="AG1394">
        <v>-1.11962233145</v>
      </c>
      <c r="AH1394">
        <v>190.34119043766199</v>
      </c>
      <c r="AI1394">
        <v>90.336621665304193</v>
      </c>
      <c r="AJ1394">
        <v>92.787955537592694</v>
      </c>
      <c r="AK1394">
        <v>190.57003722944299</v>
      </c>
      <c r="AL1394">
        <v>77.855823361944303</v>
      </c>
      <c r="AM1394">
        <v>85.588145532747902</v>
      </c>
      <c r="AN1394">
        <v>1.00000000681433</v>
      </c>
    </row>
    <row r="1395" spans="1:40" x14ac:dyDescent="0.25">
      <c r="A1395" t="str">
        <f>"20190303171006265"</f>
        <v>20190303171006265</v>
      </c>
      <c r="B1395" t="str">
        <f>"1551604206252052"</f>
        <v>1551604206252052</v>
      </c>
      <c r="C1395" t="s">
        <v>40</v>
      </c>
      <c r="D1395">
        <v>4.9711360000000004</v>
      </c>
      <c r="E1395">
        <v>0.48002820000000002</v>
      </c>
      <c r="F1395" t="s">
        <v>53</v>
      </c>
      <c r="G1395">
        <v>-452.23230000000001</v>
      </c>
      <c r="H1395" s="1">
        <v>-3.2999489999999999E-7</v>
      </c>
      <c r="I1395">
        <v>284.18490000000003</v>
      </c>
      <c r="J1395">
        <v>-221.90539999999999</v>
      </c>
      <c r="K1395">
        <v>1.1197509999999999</v>
      </c>
      <c r="L1395">
        <v>283.03980000000001</v>
      </c>
      <c r="M1395">
        <v>-0.99846869999999999</v>
      </c>
      <c r="N1395">
        <v>-1.010517E-2</v>
      </c>
      <c r="O1395">
        <v>5.4390800000000003E-2</v>
      </c>
      <c r="P1395">
        <v>-0.97089239999999999</v>
      </c>
      <c r="Q1395">
        <v>0.2021298</v>
      </c>
      <c r="R1395">
        <v>0.12849859999999999</v>
      </c>
      <c r="S1395">
        <v>-3.088943</v>
      </c>
      <c r="T1395">
        <v>-1.499736E-2</v>
      </c>
      <c r="U1395">
        <v>1.556396E-2</v>
      </c>
      <c r="V1395">
        <v>7.6115150000000006E-2</v>
      </c>
      <c r="W1395">
        <v>0.21176600000000001</v>
      </c>
      <c r="X1395">
        <v>0.97435190000000005</v>
      </c>
      <c r="Y1395">
        <v>-4.9359260000000002E-2</v>
      </c>
      <c r="Z1395" s="1">
        <v>-8.3328809999999907E-5</v>
      </c>
      <c r="AA1395">
        <v>0.99878109999999998</v>
      </c>
      <c r="AB1395">
        <v>26</v>
      </c>
      <c r="AC1395">
        <v>-230.32689999999999</v>
      </c>
      <c r="AD1395">
        <v>-1.1197513299949</v>
      </c>
      <c r="AE1395">
        <v>1.14510000000001</v>
      </c>
      <c r="AF1395">
        <v>-11.3846288287171</v>
      </c>
      <c r="AG1395">
        <v>-1.1197513299949</v>
      </c>
      <c r="AH1395">
        <v>230.042767212683</v>
      </c>
      <c r="AI1395">
        <v>90.278548633574204</v>
      </c>
      <c r="AJ1395">
        <v>92.833209869027201</v>
      </c>
      <c r="AK1395">
        <v>230.32702482226699</v>
      </c>
      <c r="AL1395">
        <v>77.774135413629693</v>
      </c>
      <c r="AM1395">
        <v>85.533197010428395</v>
      </c>
      <c r="AN1395">
        <v>0.99999998992456596</v>
      </c>
    </row>
    <row r="1396" spans="1:40" x14ac:dyDescent="0.25">
      <c r="A1396" t="str">
        <f>"20190303171006288"</f>
        <v>20190303171006288</v>
      </c>
      <c r="B1396" t="str">
        <f>"1551604206282308"</f>
        <v>1551604206282308</v>
      </c>
      <c r="C1396" t="s">
        <v>40</v>
      </c>
      <c r="D1396">
        <v>4.9663329999999997</v>
      </c>
      <c r="E1396">
        <v>0.48645240000000001</v>
      </c>
      <c r="F1396" t="s">
        <v>53</v>
      </c>
      <c r="G1396">
        <v>-265.8553</v>
      </c>
      <c r="H1396" s="1">
        <v>1.5791010000000001E-6</v>
      </c>
      <c r="I1396">
        <v>285.71800000000002</v>
      </c>
      <c r="J1396">
        <v>-222.1679</v>
      </c>
      <c r="K1396">
        <v>1.1198709999999901</v>
      </c>
      <c r="L1396">
        <v>283.05579999999998</v>
      </c>
      <c r="M1396">
        <v>-0.99838959999999999</v>
      </c>
      <c r="N1396">
        <v>-1.0018859999999999E-2</v>
      </c>
      <c r="O1396">
        <v>5.5837709999999999E-2</v>
      </c>
      <c r="P1396">
        <v>-0.97023559999999998</v>
      </c>
      <c r="Q1396">
        <v>0.2029532</v>
      </c>
      <c r="R1396">
        <v>0.13210939999999999</v>
      </c>
      <c r="S1396">
        <v>-3.0814509999999999</v>
      </c>
      <c r="T1396">
        <v>-7.8508729999999999E-2</v>
      </c>
      <c r="U1396">
        <v>0.18777469999999999</v>
      </c>
      <c r="V1396">
        <v>7.8272659999999994E-2</v>
      </c>
      <c r="W1396">
        <v>0.21252180000000001</v>
      </c>
      <c r="X1396">
        <v>0.9740164</v>
      </c>
      <c r="Y1396">
        <v>4.996599E-3</v>
      </c>
      <c r="Z1396">
        <v>-7.719491E-4</v>
      </c>
      <c r="AA1396">
        <v>0.99998719999999996</v>
      </c>
      <c r="AB1396">
        <v>26</v>
      </c>
      <c r="AC1396">
        <v>-43.687399999999997</v>
      </c>
      <c r="AD1396">
        <v>-1.1198694208990001</v>
      </c>
      <c r="AE1396">
        <v>2.6622000000000399</v>
      </c>
      <c r="AF1396">
        <v>0.21837642521375</v>
      </c>
      <c r="AG1396">
        <v>-1.1198694208990001</v>
      </c>
      <c r="AH1396">
        <v>43.739259083497103</v>
      </c>
      <c r="AI1396">
        <v>91.4666224052704</v>
      </c>
      <c r="AJ1396">
        <v>89.713942489851206</v>
      </c>
      <c r="AK1396">
        <v>43.754137872391397</v>
      </c>
      <c r="AL1396">
        <v>77.729823209421397</v>
      </c>
      <c r="AM1396">
        <v>85.405542981560899</v>
      </c>
      <c r="AN1396">
        <v>1.0000000361238299</v>
      </c>
    </row>
    <row r="1397" spans="1:40" x14ac:dyDescent="0.25">
      <c r="A1397" t="str">
        <f>"20190303171006310"</f>
        <v>20190303171006310</v>
      </c>
      <c r="B1397" t="str">
        <f>"1551604206301829"</f>
        <v>1551604206301829</v>
      </c>
      <c r="C1397" t="s">
        <v>40</v>
      </c>
      <c r="D1397">
        <v>4.9559410000000002</v>
      </c>
      <c r="E1397">
        <v>0.4873979</v>
      </c>
      <c r="F1397" t="s">
        <v>60</v>
      </c>
      <c r="G1397">
        <v>-282.83449999999999</v>
      </c>
      <c r="H1397" s="1">
        <v>6.452788E-6</v>
      </c>
      <c r="I1397">
        <v>287.96769999999998</v>
      </c>
      <c r="J1397">
        <v>-222.43379999999999</v>
      </c>
      <c r="K1397">
        <v>1.1200129999999999</v>
      </c>
      <c r="L1397">
        <v>283.07220000000001</v>
      </c>
      <c r="M1397">
        <v>-0.99832200000000004</v>
      </c>
      <c r="N1397">
        <v>-9.9270190000000005E-3</v>
      </c>
      <c r="O1397">
        <v>5.7048679999999997E-2</v>
      </c>
      <c r="P1397">
        <v>-0.96982310000000005</v>
      </c>
      <c r="Q1397">
        <v>0.20296729999999999</v>
      </c>
      <c r="R1397">
        <v>0.13508229999999999</v>
      </c>
      <c r="S1397">
        <v>-3.0700379999999998</v>
      </c>
      <c r="T1397">
        <v>-5.6670900000000003E-2</v>
      </c>
      <c r="U1397">
        <v>0.2485657</v>
      </c>
      <c r="V1397">
        <v>7.999742E-2</v>
      </c>
      <c r="W1397">
        <v>0.21247099999999999</v>
      </c>
      <c r="X1397">
        <v>0.97388730000000001</v>
      </c>
      <c r="Y1397">
        <v>2.3699970000000001E-2</v>
      </c>
      <c r="Z1397">
        <v>-1.4807829999999999E-4</v>
      </c>
      <c r="AA1397">
        <v>0.99971909999999997</v>
      </c>
      <c r="AB1397">
        <v>26</v>
      </c>
      <c r="AC1397">
        <v>-60.400700000000001</v>
      </c>
      <c r="AD1397">
        <v>-1.120006547212</v>
      </c>
      <c r="AE1397">
        <v>4.89549999999997</v>
      </c>
      <c r="AF1397">
        <v>1.4410839703535201</v>
      </c>
      <c r="AG1397">
        <v>-1.120006547212</v>
      </c>
      <c r="AH1397">
        <v>60.560929759416197</v>
      </c>
      <c r="AI1397">
        <v>91.059200705839402</v>
      </c>
      <c r="AJ1397">
        <v>88.636869498902797</v>
      </c>
      <c r="AK1397">
        <v>60.588425883169698</v>
      </c>
      <c r="AL1397">
        <v>77.732801325507793</v>
      </c>
      <c r="AM1397">
        <v>85.304130999185801</v>
      </c>
      <c r="AN1397">
        <v>0.99999999307447296</v>
      </c>
    </row>
    <row r="1398" spans="1:40" x14ac:dyDescent="0.25">
      <c r="A1398" t="str">
        <f>"20190303171006331"</f>
        <v>20190303171006331</v>
      </c>
      <c r="B1398" t="str">
        <f>"1551604206322324"</f>
        <v>1551604206322324</v>
      </c>
      <c r="C1398" t="s">
        <v>40</v>
      </c>
      <c r="D1398">
        <v>4.966977</v>
      </c>
      <c r="E1398">
        <v>0.48777470000000001</v>
      </c>
      <c r="F1398" t="s">
        <v>60</v>
      </c>
      <c r="G1398">
        <v>-287.97579999999999</v>
      </c>
      <c r="H1398" s="1">
        <v>4.0200420000000004E-6</v>
      </c>
      <c r="I1398">
        <v>288.70710000000003</v>
      </c>
      <c r="J1398">
        <v>-222.6962</v>
      </c>
      <c r="K1398">
        <v>1.1201730000000001</v>
      </c>
      <c r="L1398">
        <v>283.08839999999998</v>
      </c>
      <c r="M1398">
        <v>-0.99827030000000005</v>
      </c>
      <c r="N1398">
        <v>-9.8356980000000004E-3</v>
      </c>
      <c r="O1398">
        <v>5.7962430000000002E-2</v>
      </c>
      <c r="P1398">
        <v>-0.97009520000000005</v>
      </c>
      <c r="Q1398">
        <v>0.20080819999999999</v>
      </c>
      <c r="R1398">
        <v>0.13634959999999999</v>
      </c>
      <c r="S1398">
        <v>-3.0675810000000001</v>
      </c>
      <c r="T1398">
        <v>-5.2420139999999997E-2</v>
      </c>
      <c r="U1398">
        <v>0.26373289999999999</v>
      </c>
      <c r="V1398">
        <v>8.0251760000000005E-2</v>
      </c>
      <c r="W1398">
        <v>0.21026329999999999</v>
      </c>
      <c r="X1398">
        <v>0.97434540000000003</v>
      </c>
      <c r="Y1398">
        <v>2.7757179999999999E-2</v>
      </c>
      <c r="Z1398" s="1">
        <v>-4.443378E-5</v>
      </c>
      <c r="AA1398">
        <v>0.99961469999999997</v>
      </c>
      <c r="AB1398">
        <v>26</v>
      </c>
      <c r="AC1398">
        <v>-65.279599999999903</v>
      </c>
      <c r="AD1398">
        <v>-1.1201689799579999</v>
      </c>
      <c r="AE1398">
        <v>5.6187000000000404</v>
      </c>
      <c r="AF1398">
        <v>1.8247720504257401</v>
      </c>
      <c r="AG1398">
        <v>-1.1201689799579999</v>
      </c>
      <c r="AH1398">
        <v>65.476390520225394</v>
      </c>
      <c r="AI1398">
        <v>90.979739282530204</v>
      </c>
      <c r="AJ1398">
        <v>88.403627922383706</v>
      </c>
      <c r="AK1398">
        <v>65.511390514449801</v>
      </c>
      <c r="AL1398">
        <v>77.862217007534198</v>
      </c>
      <c r="AM1398">
        <v>85.291473106553298</v>
      </c>
      <c r="AN1398">
        <v>0.99999997940557295</v>
      </c>
    </row>
    <row r="1399" spans="1:40" x14ac:dyDescent="0.25">
      <c r="A1399" t="str">
        <f>"20190303171006353"</f>
        <v>20190303171006353</v>
      </c>
      <c r="B1399" t="str">
        <f>"1551604206342350"</f>
        <v>1551604206342350</v>
      </c>
      <c r="C1399" t="s">
        <v>40</v>
      </c>
      <c r="D1399">
        <v>4.963419</v>
      </c>
      <c r="E1399">
        <v>0.4880119</v>
      </c>
      <c r="F1399" t="s">
        <v>60</v>
      </c>
      <c r="G1399">
        <v>-282.05189999999999</v>
      </c>
      <c r="H1399" s="1">
        <v>6.7285629999999999E-6</v>
      </c>
      <c r="I1399">
        <v>288.31259999999997</v>
      </c>
      <c r="J1399">
        <v>-222.94239999999999</v>
      </c>
      <c r="K1399">
        <v>1.120358</v>
      </c>
      <c r="L1399">
        <v>283.10359999999997</v>
      </c>
      <c r="M1399">
        <v>-0.99823759999999995</v>
      </c>
      <c r="N1399">
        <v>-9.7495800000000007E-3</v>
      </c>
      <c r="O1399">
        <v>5.8536579999999998E-2</v>
      </c>
      <c r="P1399">
        <v>-0.97053750000000005</v>
      </c>
      <c r="Q1399">
        <v>0.1986298</v>
      </c>
      <c r="R1399">
        <v>0.13639299999999999</v>
      </c>
      <c r="S1399">
        <v>-3.066513</v>
      </c>
      <c r="T1399">
        <v>-5.7871579999999999E-2</v>
      </c>
      <c r="U1399">
        <v>0.26989750000000001</v>
      </c>
      <c r="V1399">
        <v>7.9598550000000004E-2</v>
      </c>
      <c r="W1399">
        <v>0.20804700000000001</v>
      </c>
      <c r="X1399">
        <v>0.97487460000000004</v>
      </c>
      <c r="Y1399">
        <v>2.9205789999999999E-2</v>
      </c>
      <c r="Z1399">
        <v>-1.1339090000000001E-4</v>
      </c>
      <c r="AA1399">
        <v>0.99957339999999995</v>
      </c>
      <c r="AB1399">
        <v>26</v>
      </c>
      <c r="AC1399">
        <v>-59.109499999999997</v>
      </c>
      <c r="AD1399">
        <v>-1.1203512714370001</v>
      </c>
      <c r="AE1399">
        <v>5.2089999999999996</v>
      </c>
      <c r="AF1399">
        <v>1.73921447481863</v>
      </c>
      <c r="AG1399">
        <v>-1.1203512714370001</v>
      </c>
      <c r="AH1399">
        <v>59.291928388475398</v>
      </c>
      <c r="AI1399">
        <v>91.082038900466102</v>
      </c>
      <c r="AJ1399">
        <v>88.319820487544405</v>
      </c>
      <c r="AK1399">
        <v>59.328010467105003</v>
      </c>
      <c r="AL1399">
        <v>77.992073851363401</v>
      </c>
      <c r="AM1399">
        <v>85.332152031317094</v>
      </c>
      <c r="AN1399">
        <v>0.99999998454813099</v>
      </c>
    </row>
    <row r="1400" spans="1:40" x14ac:dyDescent="0.25">
      <c r="A1400" t="str">
        <f>"20190303171006374"</f>
        <v>20190303171006374</v>
      </c>
      <c r="B1400" t="str">
        <f>"1551604206361871"</f>
        <v>1551604206361871</v>
      </c>
      <c r="C1400" t="s">
        <v>40</v>
      </c>
      <c r="D1400">
        <v>4.9618449999999896</v>
      </c>
      <c r="E1400">
        <v>0.48812759999999999</v>
      </c>
      <c r="F1400" t="s">
        <v>53</v>
      </c>
      <c r="G1400">
        <v>-275.35320000000002</v>
      </c>
      <c r="H1400" s="1">
        <v>1.174918E-6</v>
      </c>
      <c r="I1400">
        <v>287.75069999999999</v>
      </c>
      <c r="J1400">
        <v>-223.1936</v>
      </c>
      <c r="K1400">
        <v>1.120549</v>
      </c>
      <c r="L1400">
        <v>283.11880000000002</v>
      </c>
      <c r="M1400">
        <v>-0.99822040000000001</v>
      </c>
      <c r="N1400">
        <v>-9.6610559999999995E-3</v>
      </c>
      <c r="O1400">
        <v>5.8843569999999998E-2</v>
      </c>
      <c r="P1400">
        <v>-0.97079219999999999</v>
      </c>
      <c r="Q1400">
        <v>0.1973105</v>
      </c>
      <c r="R1400">
        <v>0.13649629999999999</v>
      </c>
      <c r="S1400">
        <v>-3.066284</v>
      </c>
      <c r="T1400">
        <v>-6.5546270000000004E-2</v>
      </c>
      <c r="U1400">
        <v>0.27188109999999999</v>
      </c>
      <c r="V1400">
        <v>7.9271880000000003E-2</v>
      </c>
      <c r="W1400">
        <v>0.20668819999999999</v>
      </c>
      <c r="X1400">
        <v>0.97519020000000001</v>
      </c>
      <c r="Y1400">
        <v>2.9546280000000001E-2</v>
      </c>
      <c r="Z1400">
        <v>-2.2775439999999999E-4</v>
      </c>
      <c r="AA1400">
        <v>0.99956339999999999</v>
      </c>
      <c r="AB1400">
        <v>26</v>
      </c>
      <c r="AC1400">
        <v>-52.159599999999998</v>
      </c>
      <c r="AD1400">
        <v>-1.120547825082</v>
      </c>
      <c r="AE1400">
        <v>4.6318999999999697</v>
      </c>
      <c r="AF1400">
        <v>1.55376116077217</v>
      </c>
      <c r="AG1400">
        <v>-1.120547825082</v>
      </c>
      <c r="AH1400">
        <v>52.317823588261099</v>
      </c>
      <c r="AI1400">
        <v>91.2264379587088</v>
      </c>
      <c r="AJ1400">
        <v>88.298900995066802</v>
      </c>
      <c r="AK1400">
        <v>52.352884029300903</v>
      </c>
      <c r="AL1400">
        <v>78.071657262500096</v>
      </c>
      <c r="AM1400">
        <v>85.3527224890924</v>
      </c>
      <c r="AN1400">
        <v>0.99999998457700701</v>
      </c>
    </row>
    <row r="1401" spans="1:40" x14ac:dyDescent="0.25">
      <c r="A1401" t="str">
        <f>"20190303171006397"</f>
        <v>20190303171006397</v>
      </c>
      <c r="B1401" t="str">
        <f>"1551604206392127"</f>
        <v>1551604206392127</v>
      </c>
      <c r="C1401" t="s">
        <v>40</v>
      </c>
      <c r="D1401">
        <v>4.9137599999999999</v>
      </c>
      <c r="E1401">
        <v>0.48806490000000002</v>
      </c>
      <c r="F1401" t="s">
        <v>53</v>
      </c>
      <c r="G1401">
        <v>-272.89400000000001</v>
      </c>
      <c r="H1401" s="1">
        <v>-1.250118E-7</v>
      </c>
      <c r="I1401">
        <v>287.55099999999999</v>
      </c>
      <c r="J1401">
        <v>-223.47210000000001</v>
      </c>
      <c r="K1401">
        <v>1.1207739999999999</v>
      </c>
      <c r="L1401">
        <v>283.13549999999998</v>
      </c>
      <c r="M1401">
        <v>-0.99822080000000002</v>
      </c>
      <c r="N1401">
        <v>-9.5685930000000002E-3</v>
      </c>
      <c r="O1401">
        <v>5.8852349999999998E-2</v>
      </c>
      <c r="P1401">
        <v>-0.97081729999999999</v>
      </c>
      <c r="Q1401">
        <v>0.19710949999999999</v>
      </c>
      <c r="R1401">
        <v>0.13660729999999999</v>
      </c>
      <c r="S1401">
        <v>-3.0658720000000002</v>
      </c>
      <c r="T1401">
        <v>-6.9123390000000007E-2</v>
      </c>
      <c r="U1401">
        <v>0.27340700000000001</v>
      </c>
      <c r="V1401">
        <v>7.9249310000000003E-2</v>
      </c>
      <c r="W1401">
        <v>0.20644419999999999</v>
      </c>
      <c r="X1401">
        <v>0.97524370000000005</v>
      </c>
      <c r="Y1401">
        <v>3.004277E-2</v>
      </c>
      <c r="Z1401">
        <v>-2.7804270000000001E-4</v>
      </c>
      <c r="AA1401">
        <v>0.99954860000000001</v>
      </c>
      <c r="AB1401">
        <v>26</v>
      </c>
      <c r="AC1401">
        <v>-49.421900000000001</v>
      </c>
      <c r="AD1401">
        <v>-1.1207741250118</v>
      </c>
      <c r="AE1401">
        <v>4.4154999999999998</v>
      </c>
      <c r="AF1401">
        <v>1.4983532067227701</v>
      </c>
      <c r="AG1401">
        <v>-1.1207741250118</v>
      </c>
      <c r="AH1401">
        <v>49.570812274963302</v>
      </c>
      <c r="AI1401">
        <v>91.294620470763107</v>
      </c>
      <c r="AJ1401">
        <v>88.268675049835196</v>
      </c>
      <c r="AK1401">
        <v>49.6061148102837</v>
      </c>
      <c r="AL1401">
        <v>78.085945389766195</v>
      </c>
      <c r="AM1401">
        <v>85.354293604629405</v>
      </c>
      <c r="AN1401">
        <v>0.99999996761940202</v>
      </c>
    </row>
    <row r="1402" spans="1:40" x14ac:dyDescent="0.25">
      <c r="A1402" t="str">
        <f>"20190303171006419"</f>
        <v>20190303171006419</v>
      </c>
      <c r="B1402" t="str">
        <f>"1551604206411646"</f>
        <v>1551604206411646</v>
      </c>
      <c r="C1402" t="s">
        <v>40</v>
      </c>
      <c r="D1402">
        <v>4.9677410000000002</v>
      </c>
      <c r="E1402">
        <v>0.48795339999999998</v>
      </c>
      <c r="F1402" t="s">
        <v>53</v>
      </c>
      <c r="G1402">
        <v>-273.8895</v>
      </c>
      <c r="H1402" s="1">
        <v>4.0234199999999999E-7</v>
      </c>
      <c r="I1402">
        <v>287.60509999999999</v>
      </c>
      <c r="J1402">
        <v>-223.73240000000001</v>
      </c>
      <c r="K1402">
        <v>1.120986</v>
      </c>
      <c r="L1402">
        <v>283.15069999999997</v>
      </c>
      <c r="M1402">
        <v>-0.99824009999999996</v>
      </c>
      <c r="N1402">
        <v>-9.4914019999999995E-3</v>
      </c>
      <c r="O1402">
        <v>5.8537680000000002E-2</v>
      </c>
      <c r="P1402">
        <v>-0.97109909999999999</v>
      </c>
      <c r="Q1402">
        <v>0.196746</v>
      </c>
      <c r="R1402">
        <v>0.13512060000000001</v>
      </c>
      <c r="S1402">
        <v>-3.0657809999999999</v>
      </c>
      <c r="T1402">
        <v>-6.8152069999999995E-2</v>
      </c>
      <c r="U1402">
        <v>0.27178960000000002</v>
      </c>
      <c r="V1402">
        <v>7.7950099999999994E-2</v>
      </c>
      <c r="W1402">
        <v>0.2060476</v>
      </c>
      <c r="X1402">
        <v>0.97543230000000003</v>
      </c>
      <c r="Y1402">
        <v>2.9837470000000001E-2</v>
      </c>
      <c r="Z1402">
        <v>-2.6923790000000001E-4</v>
      </c>
      <c r="AA1402">
        <v>0.99955479999999997</v>
      </c>
      <c r="AB1402">
        <v>27</v>
      </c>
      <c r="AC1402">
        <v>-50.1570999999999</v>
      </c>
      <c r="AD1402">
        <v>-1.1209855976580001</v>
      </c>
      <c r="AE1402">
        <v>4.4544000000000201</v>
      </c>
      <c r="AF1402">
        <v>1.50980019710567</v>
      </c>
      <c r="AG1402">
        <v>-1.1209855976580001</v>
      </c>
      <c r="AH1402">
        <v>50.306913170780597</v>
      </c>
      <c r="AI1402">
        <v>91.275932493480795</v>
      </c>
      <c r="AJ1402">
        <v>88.280967448934007</v>
      </c>
      <c r="AK1402">
        <v>50.3420462249777</v>
      </c>
      <c r="AL1402">
        <v>78.109168593815895</v>
      </c>
      <c r="AM1402">
        <v>85.431009709740195</v>
      </c>
      <c r="AN1402">
        <v>1.0000000017195201</v>
      </c>
    </row>
    <row r="1403" spans="1:40" x14ac:dyDescent="0.25">
      <c r="A1403" t="str">
        <f>"20190303171006443"</f>
        <v>20190303171006443</v>
      </c>
      <c r="B1403" t="str">
        <f>"1551604206431577"</f>
        <v>1551604206431577</v>
      </c>
      <c r="C1403" t="s">
        <v>40</v>
      </c>
      <c r="D1403">
        <v>4.9667349999999999</v>
      </c>
      <c r="E1403">
        <v>0.48796309999999898</v>
      </c>
      <c r="F1403" t="s">
        <v>53</v>
      </c>
      <c r="G1403">
        <v>-273.67140000000001</v>
      </c>
      <c r="H1403" s="1">
        <v>2.9150669999999999E-7</v>
      </c>
      <c r="I1403">
        <v>287.4864</v>
      </c>
      <c r="J1403">
        <v>-224.0033</v>
      </c>
      <c r="K1403">
        <v>1.121159</v>
      </c>
      <c r="L1403">
        <v>283.166</v>
      </c>
      <c r="M1403">
        <v>-0.99827489999999997</v>
      </c>
      <c r="N1403">
        <v>-9.4169690000000007E-3</v>
      </c>
      <c r="O1403">
        <v>5.7954270000000002E-2</v>
      </c>
      <c r="P1403">
        <v>-0.97189780000000003</v>
      </c>
      <c r="Q1403">
        <v>0.19541320000000001</v>
      </c>
      <c r="R1403">
        <v>0.1312585</v>
      </c>
      <c r="S1403">
        <v>-3.0661770000000002</v>
      </c>
      <c r="T1403">
        <v>-6.8826789999999999E-2</v>
      </c>
      <c r="U1403">
        <v>0.26620480000000002</v>
      </c>
      <c r="V1403">
        <v>7.4527960000000004E-2</v>
      </c>
      <c r="W1403">
        <v>0.20467930000000001</v>
      </c>
      <c r="X1403">
        <v>0.97598770000000001</v>
      </c>
      <c r="Y1403">
        <v>2.8604089999999999E-2</v>
      </c>
      <c r="Z1403">
        <v>-2.9630789999999998E-4</v>
      </c>
      <c r="AA1403">
        <v>0.9995908</v>
      </c>
      <c r="AB1403">
        <v>27</v>
      </c>
      <c r="AC1403">
        <v>-49.668100000000003</v>
      </c>
      <c r="AD1403">
        <v>-1.1211587084932999</v>
      </c>
      <c r="AE1403">
        <v>4.3204000000000002</v>
      </c>
      <c r="AF1403">
        <v>1.4338068018399399</v>
      </c>
      <c r="AG1403">
        <v>-1.1211587084932999</v>
      </c>
      <c r="AH1403">
        <v>49.809819552827101</v>
      </c>
      <c r="AI1403">
        <v>91.288907155125003</v>
      </c>
      <c r="AJ1403">
        <v>88.351160475352103</v>
      </c>
      <c r="AK1403">
        <v>49.843062934372597</v>
      </c>
      <c r="AL1403">
        <v>78.189273914525501</v>
      </c>
      <c r="AM1403">
        <v>85.633278340663793</v>
      </c>
      <c r="AN1403">
        <v>1.0000000116107699</v>
      </c>
    </row>
    <row r="1404" spans="1:40" x14ac:dyDescent="0.25">
      <c r="A1404" t="str">
        <f>"20190303171006464"</f>
        <v>20190303171006464</v>
      </c>
      <c r="B1404" t="str">
        <f>"1551604206452073"</f>
        <v>1551604206452073</v>
      </c>
      <c r="C1404" t="s">
        <v>40</v>
      </c>
      <c r="D1404">
        <v>4.9633250000000002</v>
      </c>
      <c r="E1404">
        <v>0.48804219999999998</v>
      </c>
      <c r="F1404" t="s">
        <v>53</v>
      </c>
      <c r="G1404">
        <v>-270.98950000000002</v>
      </c>
      <c r="H1404" s="1">
        <v>-1.1177980000000001E-6</v>
      </c>
      <c r="I1404">
        <v>287.0779</v>
      </c>
      <c r="J1404">
        <v>-224.2672</v>
      </c>
      <c r="K1404">
        <v>1.121302</v>
      </c>
      <c r="L1404">
        <v>283.1807</v>
      </c>
      <c r="M1404">
        <v>-0.99832140000000003</v>
      </c>
      <c r="N1404">
        <v>-9.3459379999999998E-3</v>
      </c>
      <c r="O1404">
        <v>5.7159250000000002E-2</v>
      </c>
      <c r="P1404">
        <v>-0.97269000000000005</v>
      </c>
      <c r="Q1404">
        <v>0.19438849999999999</v>
      </c>
      <c r="R1404">
        <v>0.12683630000000001</v>
      </c>
      <c r="S1404">
        <v>-3.066986</v>
      </c>
      <c r="T1404">
        <v>-7.3182700000000003E-2</v>
      </c>
      <c r="U1404">
        <v>0.25534059999999997</v>
      </c>
      <c r="V1404">
        <v>7.0770009999999994E-2</v>
      </c>
      <c r="W1404">
        <v>0.20361360000000001</v>
      </c>
      <c r="X1404">
        <v>0.97649019999999997</v>
      </c>
      <c r="Y1404">
        <v>2.5862980000000001E-2</v>
      </c>
      <c r="Z1404">
        <v>-3.9712379999999999E-4</v>
      </c>
      <c r="AA1404">
        <v>0.99966540000000004</v>
      </c>
      <c r="AB1404">
        <v>27</v>
      </c>
      <c r="AC1404">
        <v>-46.722299999999997</v>
      </c>
      <c r="AD1404">
        <v>-1.121303117798</v>
      </c>
      <c r="AE1404">
        <v>3.89719999999999</v>
      </c>
      <c r="AF1404">
        <v>1.2194022500748101</v>
      </c>
      <c r="AG1404">
        <v>-1.121303117798</v>
      </c>
      <c r="AH1404">
        <v>46.841883584982703</v>
      </c>
      <c r="AI1404">
        <v>91.370822825269002</v>
      </c>
      <c r="AJ1404">
        <v>88.508795524342403</v>
      </c>
      <c r="AK1404">
        <v>46.871167260038902</v>
      </c>
      <c r="AL1404">
        <v>78.251647476977396</v>
      </c>
      <c r="AM1404">
        <v>85.854801293504096</v>
      </c>
      <c r="AN1404">
        <v>1.0000000015582</v>
      </c>
    </row>
    <row r="1405" spans="1:40" x14ac:dyDescent="0.25">
      <c r="A1405" t="str">
        <f>"20190303171006488"</f>
        <v>20190303171006488</v>
      </c>
      <c r="B1405" t="str">
        <f>"1551604206482329"</f>
        <v>1551604206482329</v>
      </c>
      <c r="C1405" t="s">
        <v>40</v>
      </c>
      <c r="D1405">
        <v>4.911473</v>
      </c>
      <c r="E1405">
        <v>0.48800149999999998</v>
      </c>
      <c r="F1405" t="s">
        <v>53</v>
      </c>
      <c r="G1405">
        <v>-269.84379999999999</v>
      </c>
      <c r="H1405" s="1">
        <v>3.7016120000000002E-6</v>
      </c>
      <c r="I1405">
        <v>286.78890000000001</v>
      </c>
      <c r="J1405">
        <v>-224.54339999999999</v>
      </c>
      <c r="K1405">
        <v>1.121443</v>
      </c>
      <c r="L1405">
        <v>283.19560000000001</v>
      </c>
      <c r="M1405">
        <v>-0.99838139999999997</v>
      </c>
      <c r="N1405">
        <v>-9.2753969999999995E-3</v>
      </c>
      <c r="O1405">
        <v>5.6112759999999998E-2</v>
      </c>
      <c r="P1405">
        <v>-0.97303839999999997</v>
      </c>
      <c r="Q1405">
        <v>0.19470609999999999</v>
      </c>
      <c r="R1405">
        <v>0.12363730000000001</v>
      </c>
      <c r="S1405">
        <v>-3.0676269999999999</v>
      </c>
      <c r="T1405">
        <v>-7.5471159999999995E-2</v>
      </c>
      <c r="U1405">
        <v>0.24285889999999999</v>
      </c>
      <c r="V1405">
        <v>6.8508429999999995E-2</v>
      </c>
      <c r="W1405">
        <v>0.2038848</v>
      </c>
      <c r="X1405">
        <v>0.97659490000000004</v>
      </c>
      <c r="Y1405">
        <v>2.285394E-2</v>
      </c>
      <c r="Z1405">
        <v>-4.698999E-4</v>
      </c>
      <c r="AA1405">
        <v>0.99973869999999998</v>
      </c>
      <c r="AB1405">
        <v>27</v>
      </c>
      <c r="AC1405">
        <v>-45.300400000000003</v>
      </c>
      <c r="AD1405">
        <v>-1.1214392983879999</v>
      </c>
      <c r="AE1405">
        <v>3.5933000000000002</v>
      </c>
      <c r="AF1405">
        <v>1.04496195005196</v>
      </c>
      <c r="AG1405">
        <v>-1.1214392983879999</v>
      </c>
      <c r="AH1405">
        <v>45.403008085635598</v>
      </c>
      <c r="AI1405">
        <v>91.414524702608603</v>
      </c>
      <c r="AJ1405">
        <v>88.681555607287606</v>
      </c>
      <c r="AK1405">
        <v>45.428875341585503</v>
      </c>
      <c r="AL1405">
        <v>78.2357759989074</v>
      </c>
      <c r="AM1405">
        <v>85.987257304835495</v>
      </c>
      <c r="AN1405">
        <v>1.0000000076790501</v>
      </c>
    </row>
    <row r="1406" spans="1:40" x14ac:dyDescent="0.25">
      <c r="A1406" t="str">
        <f>"20190303171006511"</f>
        <v>20190303171006511</v>
      </c>
      <c r="B1406" t="str">
        <f>"1551604206501849"</f>
        <v>1551604206501849</v>
      </c>
      <c r="C1406" t="s">
        <v>40</v>
      </c>
      <c r="D1406">
        <v>4.9696350000000002</v>
      </c>
      <c r="E1406">
        <v>0.48797259999999998</v>
      </c>
      <c r="F1406" t="s">
        <v>53</v>
      </c>
      <c r="G1406">
        <v>-271.06619999999998</v>
      </c>
      <c r="H1406" s="1">
        <v>-1.061295E-6</v>
      </c>
      <c r="I1406">
        <v>286.71859999999998</v>
      </c>
      <c r="J1406">
        <v>-224.81989999999999</v>
      </c>
      <c r="K1406">
        <v>1.12158</v>
      </c>
      <c r="L1406">
        <v>283.2099</v>
      </c>
      <c r="M1406">
        <v>-0.99844999999999995</v>
      </c>
      <c r="N1406">
        <v>-9.2088340000000008E-3</v>
      </c>
      <c r="O1406">
        <v>5.4889300000000002E-2</v>
      </c>
      <c r="P1406">
        <v>-0.9731881</v>
      </c>
      <c r="Q1406">
        <v>0.1957671</v>
      </c>
      <c r="R1406">
        <v>0.1207482</v>
      </c>
      <c r="S1406">
        <v>-3.0684049999999998</v>
      </c>
      <c r="T1406">
        <v>-7.3964600000000005E-2</v>
      </c>
      <c r="U1406">
        <v>0.23236080000000001</v>
      </c>
      <c r="V1406">
        <v>6.6745280000000004E-2</v>
      </c>
      <c r="W1406">
        <v>0.20489959999999999</v>
      </c>
      <c r="X1406">
        <v>0.97650459999999994</v>
      </c>
      <c r="Y1406">
        <v>2.0659739999999999E-2</v>
      </c>
      <c r="Z1406">
        <v>-4.7079579999999998E-4</v>
      </c>
      <c r="AA1406">
        <v>0.99978639999999996</v>
      </c>
      <c r="AB1406">
        <v>27</v>
      </c>
      <c r="AC1406">
        <v>-46.246299999999898</v>
      </c>
      <c r="AD1406">
        <v>-1.1215810612949999</v>
      </c>
      <c r="AE1406">
        <v>3.50869999999997</v>
      </c>
      <c r="AF1406">
        <v>0.96431143503295302</v>
      </c>
      <c r="AG1406">
        <v>-1.1215810612949999</v>
      </c>
      <c r="AH1406">
        <v>46.342072244737501</v>
      </c>
      <c r="AI1406">
        <v>91.386114507027102</v>
      </c>
      <c r="AJ1406">
        <v>88.807929808102898</v>
      </c>
      <c r="AK1406">
        <v>46.3656715745309</v>
      </c>
      <c r="AL1406">
        <v>78.176378280902796</v>
      </c>
      <c r="AM1406">
        <v>86.089845315225006</v>
      </c>
      <c r="AN1406">
        <v>1.00000000615179</v>
      </c>
    </row>
    <row r="1407" spans="1:40" x14ac:dyDescent="0.25">
      <c r="A1407" t="str">
        <f>"20190303171006533"</f>
        <v>20190303171006533</v>
      </c>
      <c r="B1407" t="str">
        <f>"1551604206522346"</f>
        <v>1551604206522346</v>
      </c>
      <c r="C1407" t="s">
        <v>40</v>
      </c>
      <c r="D1407">
        <v>4.9687070000000002</v>
      </c>
      <c r="E1407">
        <v>0.48801739999999999</v>
      </c>
      <c r="F1407" t="s">
        <v>53</v>
      </c>
      <c r="G1407">
        <v>-274.01159999999999</v>
      </c>
      <c r="H1407" s="1">
        <v>5.0245119999999996E-7</v>
      </c>
      <c r="I1407">
        <v>286.80239999999998</v>
      </c>
      <c r="J1407">
        <v>-225.08430000000001</v>
      </c>
      <c r="K1407">
        <v>1.1216839999999999</v>
      </c>
      <c r="L1407">
        <v>283.22320000000002</v>
      </c>
      <c r="M1407">
        <v>-0.99852050000000003</v>
      </c>
      <c r="N1407">
        <v>-9.1470879999999994E-3</v>
      </c>
      <c r="O1407">
        <v>5.3601059999999999E-2</v>
      </c>
      <c r="P1407">
        <v>-0.97356989999999999</v>
      </c>
      <c r="Q1407">
        <v>0.19608999999999999</v>
      </c>
      <c r="R1407">
        <v>0.1170913</v>
      </c>
      <c r="S1407">
        <v>-3.068924</v>
      </c>
      <c r="T1407">
        <v>-6.9972039999999999E-2</v>
      </c>
      <c r="U1407">
        <v>0.22412109999999999</v>
      </c>
      <c r="V1407">
        <v>6.4281080000000004E-2</v>
      </c>
      <c r="W1407">
        <v>0.20517540000000001</v>
      </c>
      <c r="X1407">
        <v>0.97661200000000004</v>
      </c>
      <c r="Y1407">
        <v>1.926756E-2</v>
      </c>
      <c r="Z1407">
        <v>-4.2167890000000002E-4</v>
      </c>
      <c r="AA1407">
        <v>0.99981430000000004</v>
      </c>
      <c r="AB1407">
        <v>27</v>
      </c>
      <c r="AC1407">
        <v>-48.927299999999903</v>
      </c>
      <c r="AD1407">
        <v>-1.1216834975487999</v>
      </c>
      <c r="AE1407">
        <v>3.57919999999995</v>
      </c>
      <c r="AF1407">
        <v>0.95089215606261601</v>
      </c>
      <c r="AG1407">
        <v>-1.1216834975487999</v>
      </c>
      <c r="AH1407">
        <v>49.023186209955298</v>
      </c>
      <c r="AI1407">
        <v>91.310490880537898</v>
      </c>
      <c r="AJ1407">
        <v>88.888785483524003</v>
      </c>
      <c r="AK1407">
        <v>49.045235812839998</v>
      </c>
      <c r="AL1407">
        <v>78.160233015494697</v>
      </c>
      <c r="AM1407">
        <v>86.234195715500306</v>
      </c>
      <c r="AN1407">
        <v>1.00000000027756</v>
      </c>
    </row>
    <row r="1408" spans="1:40" x14ac:dyDescent="0.25">
      <c r="A1408" t="str">
        <f>"20190303171006558"</f>
        <v>20190303171006558</v>
      </c>
      <c r="B1408" t="str">
        <f>"1551604206552132"</f>
        <v>1551604206552132</v>
      </c>
      <c r="C1408" t="s">
        <v>40</v>
      </c>
      <c r="D1408">
        <v>4.9667180000000002</v>
      </c>
      <c r="E1408">
        <v>0.48819869999999999</v>
      </c>
      <c r="F1408" t="s">
        <v>53</v>
      </c>
      <c r="G1408">
        <v>-275.13740000000001</v>
      </c>
      <c r="H1408" s="1">
        <v>1.1048800000000001E-6</v>
      </c>
      <c r="I1408">
        <v>286.72559999999999</v>
      </c>
      <c r="J1408">
        <v>-225.3717</v>
      </c>
      <c r="K1408">
        <v>1.1217629999999901</v>
      </c>
      <c r="L1408">
        <v>283.2371</v>
      </c>
      <c r="M1408">
        <v>-0.99859960000000003</v>
      </c>
      <c r="N1408">
        <v>-9.0826190000000001E-3</v>
      </c>
      <c r="O1408">
        <v>5.2118600000000001E-2</v>
      </c>
      <c r="P1408">
        <v>-0.97411859999999995</v>
      </c>
      <c r="Q1408">
        <v>0.19572790000000001</v>
      </c>
      <c r="R1408">
        <v>0.1130656</v>
      </c>
      <c r="S1408">
        <v>-3.069458</v>
      </c>
      <c r="T1408">
        <v>-6.8786139999999996E-2</v>
      </c>
      <c r="U1408">
        <v>0.21478269999999999</v>
      </c>
      <c r="V1408">
        <v>6.1643719999999999E-2</v>
      </c>
      <c r="W1408">
        <v>0.2047591</v>
      </c>
      <c r="X1408">
        <v>0.97686930000000005</v>
      </c>
      <c r="Y1408">
        <v>1.7713349999999999E-2</v>
      </c>
      <c r="Z1408">
        <v>-4.1355930000000002E-4</v>
      </c>
      <c r="AA1408">
        <v>0.99984300000000004</v>
      </c>
      <c r="AB1408">
        <v>27</v>
      </c>
      <c r="AC1408">
        <v>-49.765700000000002</v>
      </c>
      <c r="AD1408">
        <v>-1.1217618951199999</v>
      </c>
      <c r="AE1408">
        <v>3.4884999999999802</v>
      </c>
      <c r="AF1408">
        <v>0.889483070713744</v>
      </c>
      <c r="AG1408">
        <v>-1.1217618951199999</v>
      </c>
      <c r="AH1408">
        <v>49.854674369714999</v>
      </c>
      <c r="AI1408">
        <v>91.288768963402305</v>
      </c>
      <c r="AJ1408">
        <v>88.977864763924998</v>
      </c>
      <c r="AK1408">
        <v>49.875225176361397</v>
      </c>
      <c r="AL1408">
        <v>78.184601841194905</v>
      </c>
      <c r="AM1408">
        <v>86.389232337401296</v>
      </c>
      <c r="AN1408">
        <v>0.99999993326536696</v>
      </c>
    </row>
    <row r="1409" spans="1:40" x14ac:dyDescent="0.25">
      <c r="A1409" t="str">
        <f>"20190303171006578"</f>
        <v>20190303171006578</v>
      </c>
      <c r="B1409" t="str">
        <f>"1551604206571652"</f>
        <v>1551604206571652</v>
      </c>
      <c r="C1409" t="s">
        <v>40</v>
      </c>
      <c r="D1409">
        <v>4.9013710000000001</v>
      </c>
      <c r="E1409">
        <v>0.4882203</v>
      </c>
      <c r="F1409" t="s">
        <v>53</v>
      </c>
      <c r="G1409">
        <v>-274.8492</v>
      </c>
      <c r="H1409" s="1">
        <v>9.5984839999999992E-7</v>
      </c>
      <c r="I1409">
        <v>286.53449999999998</v>
      </c>
      <c r="J1409">
        <v>-225.62469999999999</v>
      </c>
      <c r="K1409">
        <v>1.121799</v>
      </c>
      <c r="L1409">
        <v>283.24889999999999</v>
      </c>
      <c r="M1409">
        <v>-0.9986699</v>
      </c>
      <c r="N1409">
        <v>-9.0207719999999998E-3</v>
      </c>
      <c r="O1409">
        <v>5.0767489999999998E-2</v>
      </c>
      <c r="P1409">
        <v>-0.97429030000000005</v>
      </c>
      <c r="Q1409">
        <v>0.19648199999999999</v>
      </c>
      <c r="R1409">
        <v>0.1102424</v>
      </c>
      <c r="S1409">
        <v>-3.0699459999999998</v>
      </c>
      <c r="T1409">
        <v>-6.9602369999999997E-2</v>
      </c>
      <c r="U1409">
        <v>0.20458979999999999</v>
      </c>
      <c r="V1409">
        <v>6.0117360000000002E-2</v>
      </c>
      <c r="W1409">
        <v>0.20545450000000001</v>
      </c>
      <c r="X1409">
        <v>0.97681850000000003</v>
      </c>
      <c r="Y1409">
        <v>1.5751439999999998E-2</v>
      </c>
      <c r="Z1409">
        <v>-4.414841E-4</v>
      </c>
      <c r="AA1409">
        <v>0.99987579999999998</v>
      </c>
      <c r="AB1409">
        <v>27</v>
      </c>
      <c r="AC1409">
        <v>-49.224499999999999</v>
      </c>
      <c r="AD1409">
        <v>-1.1217980401515999</v>
      </c>
      <c r="AE1409">
        <v>3.2855999999999801</v>
      </c>
      <c r="AF1409">
        <v>0.78185296984679198</v>
      </c>
      <c r="AG1409">
        <v>-1.1217980401515999</v>
      </c>
      <c r="AH1409">
        <v>49.302336278762098</v>
      </c>
      <c r="AI1409">
        <v>91.303287695548903</v>
      </c>
      <c r="AJ1409">
        <v>89.091460485541603</v>
      </c>
      <c r="AK1409">
        <v>49.321294462468103</v>
      </c>
      <c r="AL1409">
        <v>78.143893849206194</v>
      </c>
      <c r="AM1409">
        <v>86.478228021879303</v>
      </c>
      <c r="AN1409">
        <v>1.00000001524293</v>
      </c>
    </row>
    <row r="1410" spans="1:40" x14ac:dyDescent="0.25">
      <c r="A1410" t="str">
        <f>"20190303171006600"</f>
        <v>20190303171006600</v>
      </c>
      <c r="B1410" t="str">
        <f>"1551604206592149"</f>
        <v>1551604206592149</v>
      </c>
      <c r="C1410" t="s">
        <v>40</v>
      </c>
      <c r="D1410">
        <v>5.023504</v>
      </c>
      <c r="E1410">
        <v>0.48829129999999898</v>
      </c>
      <c r="F1410" t="s">
        <v>53</v>
      </c>
      <c r="G1410">
        <v>-277.52609999999999</v>
      </c>
      <c r="H1410" s="1">
        <v>2.3826019999999999E-6</v>
      </c>
      <c r="I1410">
        <v>286.57530000000003</v>
      </c>
      <c r="J1410">
        <v>-225.89109999999999</v>
      </c>
      <c r="K1410">
        <v>1.1218109999999999</v>
      </c>
      <c r="L1410">
        <v>283.26100000000002</v>
      </c>
      <c r="M1410">
        <v>-0.99874260000000004</v>
      </c>
      <c r="N1410">
        <v>-8.9553830000000008E-3</v>
      </c>
      <c r="O1410">
        <v>4.9327429999999999E-2</v>
      </c>
      <c r="P1410">
        <v>-0.97450559999999997</v>
      </c>
      <c r="Q1410">
        <v>0.19711500000000001</v>
      </c>
      <c r="R1410">
        <v>0.107167</v>
      </c>
      <c r="S1410">
        <v>-3.0702820000000002</v>
      </c>
      <c r="T1410">
        <v>-6.6361069999999994E-2</v>
      </c>
      <c r="U1410">
        <v>0.19677729999999999</v>
      </c>
      <c r="V1410">
        <v>5.8435769999999998E-2</v>
      </c>
      <c r="W1410">
        <v>0.20602190000000001</v>
      </c>
      <c r="X1410">
        <v>0.97680100000000003</v>
      </c>
      <c r="Y1410">
        <v>1.465257E-2</v>
      </c>
      <c r="Z1410">
        <v>-3.9876210000000002E-4</v>
      </c>
      <c r="AA1410">
        <v>0.99989260000000002</v>
      </c>
      <c r="AB1410">
        <v>27</v>
      </c>
      <c r="AC1410">
        <v>-51.634999999999899</v>
      </c>
      <c r="AD1410">
        <v>-1.121808617398</v>
      </c>
      <c r="AE1410">
        <v>3.3143000000000602</v>
      </c>
      <c r="AF1410">
        <v>0.76278272426481797</v>
      </c>
      <c r="AG1410">
        <v>-1.121808617398</v>
      </c>
      <c r="AH1410">
        <v>51.711322130025103</v>
      </c>
      <c r="AI1410">
        <v>91.242625952198097</v>
      </c>
      <c r="AJ1410">
        <v>89.154903421651795</v>
      </c>
      <c r="AK1410">
        <v>51.729112968363701</v>
      </c>
      <c r="AL1410">
        <v>78.110673095496907</v>
      </c>
      <c r="AM1410">
        <v>86.576439430255704</v>
      </c>
      <c r="AN1410">
        <v>0.99999997804805096</v>
      </c>
    </row>
    <row r="1411" spans="1:40" x14ac:dyDescent="0.25">
      <c r="A1411" t="str">
        <f>"20190303171006624"</f>
        <v>20190303171006624</v>
      </c>
      <c r="B1411" t="str">
        <f>"1551604206612644"</f>
        <v>1551604206612644</v>
      </c>
      <c r="C1411" t="s">
        <v>40</v>
      </c>
      <c r="D1411">
        <v>4.9730829999999999</v>
      </c>
      <c r="E1411">
        <v>0.4884097</v>
      </c>
      <c r="F1411" t="s">
        <v>53</v>
      </c>
      <c r="G1411">
        <v>-279.87299999999999</v>
      </c>
      <c r="H1411" s="1">
        <v>3.631902E-6</v>
      </c>
      <c r="I1411">
        <v>286.5668</v>
      </c>
      <c r="J1411">
        <v>-226.17590000000001</v>
      </c>
      <c r="K1411">
        <v>1.121802</v>
      </c>
      <c r="L1411">
        <v>283.27339999999998</v>
      </c>
      <c r="M1411">
        <v>-0.99881810000000004</v>
      </c>
      <c r="N1411">
        <v>-8.8796309999999903E-3</v>
      </c>
      <c r="O1411">
        <v>4.7789539999999998E-2</v>
      </c>
      <c r="P1411">
        <v>-0.97481010000000001</v>
      </c>
      <c r="Q1411">
        <v>0.1973482</v>
      </c>
      <c r="R1411">
        <v>0.1039197</v>
      </c>
      <c r="S1411">
        <v>-3.0706790000000002</v>
      </c>
      <c r="T1411">
        <v>-6.3812259999999996E-2</v>
      </c>
      <c r="U1411">
        <v>0.1880493</v>
      </c>
      <c r="V1411">
        <v>5.6682820000000002E-2</v>
      </c>
      <c r="W1411">
        <v>0.20617679999999999</v>
      </c>
      <c r="X1411">
        <v>0.97687159999999995</v>
      </c>
      <c r="Y1411">
        <v>1.3353149999999999E-2</v>
      </c>
      <c r="Z1411">
        <v>-3.692713E-4</v>
      </c>
      <c r="AA1411">
        <v>0.99991079999999999</v>
      </c>
      <c r="AB1411">
        <v>27</v>
      </c>
      <c r="AC1411">
        <v>-53.697099999999899</v>
      </c>
      <c r="AD1411">
        <v>-1.1217983680979999</v>
      </c>
      <c r="AE1411">
        <v>3.2934000000000201</v>
      </c>
      <c r="AF1411">
        <v>0.72306184514012295</v>
      </c>
      <c r="AG1411">
        <v>-1.1217983680979999</v>
      </c>
      <c r="AH1411">
        <v>53.769759074754603</v>
      </c>
      <c r="AI1411">
        <v>91.195080319282795</v>
      </c>
      <c r="AJ1411">
        <v>89.229568890626695</v>
      </c>
      <c r="AK1411">
        <v>53.7863202028892</v>
      </c>
      <c r="AL1411">
        <v>78.101603149102701</v>
      </c>
      <c r="AM1411">
        <v>86.679145096313903</v>
      </c>
      <c r="AN1411">
        <v>0.99999996891397502</v>
      </c>
    </row>
    <row r="1412" spans="1:40" x14ac:dyDescent="0.25">
      <c r="A1412" t="str">
        <f>"20190303171006646"</f>
        <v>20190303171006646</v>
      </c>
      <c r="B1412" t="str">
        <f>"1551604206631695"</f>
        <v>1551604206631695</v>
      </c>
      <c r="C1412" t="s">
        <v>40</v>
      </c>
      <c r="D1412">
        <v>4.96638</v>
      </c>
      <c r="E1412">
        <v>0.4885179</v>
      </c>
      <c r="F1412" t="s">
        <v>60</v>
      </c>
      <c r="G1412">
        <v>-281.31959999999998</v>
      </c>
      <c r="H1412" s="1">
        <v>7.4267170000000002E-6</v>
      </c>
      <c r="I1412">
        <v>286.50540000000001</v>
      </c>
      <c r="J1412">
        <v>-226.45259999999999</v>
      </c>
      <c r="K1412">
        <v>1.12178</v>
      </c>
      <c r="L1412">
        <v>283.28500000000003</v>
      </c>
      <c r="M1412">
        <v>-0.99888840000000001</v>
      </c>
      <c r="N1412">
        <v>-8.7991670000000001E-3</v>
      </c>
      <c r="O1412">
        <v>4.63106E-2</v>
      </c>
      <c r="P1412">
        <v>-0.97509089999999998</v>
      </c>
      <c r="Q1412">
        <v>0.19738220000000001</v>
      </c>
      <c r="R1412">
        <v>0.10118340000000001</v>
      </c>
      <c r="S1412">
        <v>-3.0709840000000002</v>
      </c>
      <c r="T1412">
        <v>-6.2473300000000002E-2</v>
      </c>
      <c r="U1412">
        <v>0.17999270000000001</v>
      </c>
      <c r="V1412">
        <v>5.5387989999999998E-2</v>
      </c>
      <c r="W1412">
        <v>0.20612920000000001</v>
      </c>
      <c r="X1412">
        <v>0.97695600000000005</v>
      </c>
      <c r="Y1412">
        <v>1.2213969999999999E-2</v>
      </c>
      <c r="Z1412">
        <v>-3.5534020000000001E-4</v>
      </c>
      <c r="AA1412">
        <v>0.99992530000000002</v>
      </c>
      <c r="AB1412">
        <v>27</v>
      </c>
      <c r="AC1412">
        <v>-54.866999999999898</v>
      </c>
      <c r="AD1412">
        <v>-1.121772573283</v>
      </c>
      <c r="AE1412">
        <v>3.2203999999999802</v>
      </c>
      <c r="AF1412">
        <v>0.67564118011318397</v>
      </c>
      <c r="AG1412">
        <v>-1.121772573283</v>
      </c>
      <c r="AH1412">
        <v>54.934388123404901</v>
      </c>
      <c r="AI1412">
        <v>91.169741690787205</v>
      </c>
      <c r="AJ1412">
        <v>89.295351460730203</v>
      </c>
      <c r="AK1412">
        <v>54.949994205671501</v>
      </c>
      <c r="AL1412">
        <v>78.104391290416103</v>
      </c>
      <c r="AM1412">
        <v>86.755120543567699</v>
      </c>
      <c r="AN1412">
        <v>1.0000000512324301</v>
      </c>
    </row>
    <row r="1413" spans="1:40" x14ac:dyDescent="0.25">
      <c r="A1413" t="str">
        <f>"20190303171006666"</f>
        <v>20190303171006666</v>
      </c>
      <c r="B1413" t="str">
        <f>"1551604206652192"</f>
        <v>1551604206652192</v>
      </c>
      <c r="C1413" t="s">
        <v>40</v>
      </c>
      <c r="D1413">
        <v>4.9335230000000001</v>
      </c>
      <c r="E1413">
        <v>0.46809919999999999</v>
      </c>
      <c r="F1413" t="s">
        <v>60</v>
      </c>
      <c r="G1413">
        <v>-282.14580000000001</v>
      </c>
      <c r="H1413" s="1">
        <v>7.0762360000000003E-6</v>
      </c>
      <c r="I1413">
        <v>286.42840000000001</v>
      </c>
      <c r="J1413">
        <v>-226.69970000000001</v>
      </c>
      <c r="K1413">
        <v>1.121756</v>
      </c>
      <c r="L1413">
        <v>283.29509999999999</v>
      </c>
      <c r="M1413">
        <v>-0.99894859999999996</v>
      </c>
      <c r="N1413">
        <v>-8.7214990000000006E-3</v>
      </c>
      <c r="O1413">
        <v>4.5007659999999998E-2</v>
      </c>
      <c r="P1413">
        <v>-0.97543159999999896</v>
      </c>
      <c r="Q1413">
        <v>0.19740460000000001</v>
      </c>
      <c r="R1413">
        <v>9.7799040000000004E-2</v>
      </c>
      <c r="S1413">
        <v>-3.0711520000000001</v>
      </c>
      <c r="T1413">
        <v>-6.1859129999999998E-2</v>
      </c>
      <c r="U1413">
        <v>0.17333979999999999</v>
      </c>
      <c r="V1413">
        <v>5.3270970000000001E-2</v>
      </c>
      <c r="W1413">
        <v>0.2060709</v>
      </c>
      <c r="X1413">
        <v>0.97708589999999995</v>
      </c>
      <c r="Y1413">
        <v>1.1356299999999901E-2</v>
      </c>
      <c r="Z1413">
        <v>-3.4894750000000001E-4</v>
      </c>
      <c r="AA1413">
        <v>0.99993540000000003</v>
      </c>
      <c r="AB1413">
        <v>27</v>
      </c>
      <c r="AC1413">
        <v>-55.446100000000001</v>
      </c>
      <c r="AD1413">
        <v>-1.1217489237639999</v>
      </c>
      <c r="AE1413">
        <v>3.1333000000000202</v>
      </c>
      <c r="AF1413">
        <v>0.63427175995609297</v>
      </c>
      <c r="AG1413">
        <v>-1.1217489237639999</v>
      </c>
      <c r="AH1413">
        <v>55.508289214327398</v>
      </c>
      <c r="AI1413">
        <v>91.157638597963796</v>
      </c>
      <c r="AJ1413">
        <v>89.345331771293004</v>
      </c>
      <c r="AK1413">
        <v>55.523245517664598</v>
      </c>
      <c r="AL1413">
        <v>78.107803507474003</v>
      </c>
      <c r="AM1413">
        <v>86.879309226287802</v>
      </c>
      <c r="AN1413">
        <v>0.99999993402517795</v>
      </c>
    </row>
    <row r="1414" spans="1:40" x14ac:dyDescent="0.25">
      <c r="A1414" t="str">
        <f>"20190303171006700"</f>
        <v>20190303171006700</v>
      </c>
      <c r="B1414" t="str">
        <f>"1551604206692207"</f>
        <v>1551604206692207</v>
      </c>
      <c r="C1414" t="s">
        <v>40</v>
      </c>
      <c r="D1414">
        <v>4.9597280000000001</v>
      </c>
      <c r="E1414">
        <v>0.45816370000000001</v>
      </c>
      <c r="F1414" t="s">
        <v>60</v>
      </c>
      <c r="G1414">
        <v>-310.53730000000002</v>
      </c>
      <c r="H1414" s="1">
        <v>2.5654009999999999E-6</v>
      </c>
      <c r="I1414">
        <v>283.35649999999998</v>
      </c>
      <c r="J1414">
        <v>-227.11349999999999</v>
      </c>
      <c r="K1414">
        <v>1.1217159999999999</v>
      </c>
      <c r="L1414">
        <v>283.31130000000002</v>
      </c>
      <c r="M1414">
        <v>-0.99904420000000005</v>
      </c>
      <c r="N1414">
        <v>-8.5937730000000007E-3</v>
      </c>
      <c r="O1414">
        <v>4.2861509999999998E-2</v>
      </c>
      <c r="P1414">
        <v>-0.97601059999999995</v>
      </c>
      <c r="Q1414">
        <v>0.1964051</v>
      </c>
      <c r="R1414">
        <v>9.3961180000000005E-2</v>
      </c>
      <c r="S1414">
        <v>-3.0836640000000002</v>
      </c>
      <c r="T1414">
        <v>-4.1259650000000002E-2</v>
      </c>
      <c r="U1414">
        <v>2.2583009999999999E-3</v>
      </c>
      <c r="V1414">
        <v>5.1521150000000002E-2</v>
      </c>
      <c r="W1414">
        <v>0.20494399999999999</v>
      </c>
      <c r="X1414">
        <v>0.97741679999999997</v>
      </c>
      <c r="Y1414">
        <v>-4.2124729999999999E-2</v>
      </c>
      <c r="Z1414">
        <v>-6.6772640000000002E-4</v>
      </c>
      <c r="AA1414">
        <v>0.99911209999999995</v>
      </c>
      <c r="AB1414">
        <v>27</v>
      </c>
      <c r="AC1414">
        <v>-83.4238</v>
      </c>
      <c r="AD1414">
        <v>-1.1217134345990001</v>
      </c>
      <c r="AE1414">
        <v>4.5199999999965698E-2</v>
      </c>
      <c r="AF1414">
        <v>-3.5300049269047</v>
      </c>
      <c r="AG1414">
        <v>-1.1217134345990001</v>
      </c>
      <c r="AH1414">
        <v>83.334000953510895</v>
      </c>
      <c r="AI1414">
        <v>90.770489726668401</v>
      </c>
      <c r="AJ1414">
        <v>92.425583078845904</v>
      </c>
      <c r="AK1414">
        <v>83.416274735408095</v>
      </c>
      <c r="AL1414">
        <v>78.1737795551592</v>
      </c>
      <c r="AM1414">
        <v>86.982643433138193</v>
      </c>
      <c r="AN1414">
        <v>1.0000000364777799</v>
      </c>
    </row>
    <row r="1415" spans="1:40" x14ac:dyDescent="0.25">
      <c r="A1415" t="str">
        <f>"20190303171006721"</f>
        <v>20190303171006721</v>
      </c>
      <c r="B1415" t="str">
        <f>"1551604206711727"</f>
        <v>1551604206711727</v>
      </c>
      <c r="C1415" t="s">
        <v>40</v>
      </c>
      <c r="D1415">
        <v>4.9453589999999998</v>
      </c>
      <c r="E1415">
        <v>0.45721919999999999</v>
      </c>
      <c r="F1415" t="s">
        <v>46</v>
      </c>
      <c r="G1415">
        <v>-454.8227</v>
      </c>
      <c r="H1415">
        <v>8.2785919999999999E-2</v>
      </c>
      <c r="I1415">
        <v>276.88920000000002</v>
      </c>
      <c r="J1415">
        <v>-227.37270000000001</v>
      </c>
      <c r="K1415">
        <v>1.121704</v>
      </c>
      <c r="L1415">
        <v>283.32100000000003</v>
      </c>
      <c r="M1415">
        <v>-0.99910089999999996</v>
      </c>
      <c r="N1415">
        <v>-8.5168829999999994E-3</v>
      </c>
      <c r="O1415">
        <v>4.1534799999999997E-2</v>
      </c>
      <c r="P1415">
        <v>-0.97627920000000001</v>
      </c>
      <c r="Q1415">
        <v>0.19633980000000001</v>
      </c>
      <c r="R1415">
        <v>9.1268660000000001E-2</v>
      </c>
      <c r="S1415">
        <v>-3.0849609999999998</v>
      </c>
      <c r="T1415">
        <v>-1.4074329999999999E-2</v>
      </c>
      <c r="U1415">
        <v>-8.7005620000000006E-2</v>
      </c>
      <c r="V1415">
        <v>5.0122180000000002E-2</v>
      </c>
      <c r="W1415">
        <v>0.2047997</v>
      </c>
      <c r="X1415">
        <v>0.97751980000000005</v>
      </c>
      <c r="Y1415">
        <v>-6.9684999999999997E-2</v>
      </c>
      <c r="Z1415">
        <v>-2.9147629999999998E-4</v>
      </c>
      <c r="AA1415">
        <v>0.99756900000000004</v>
      </c>
      <c r="AB1415">
        <v>27</v>
      </c>
      <c r="AC1415">
        <v>-227.45</v>
      </c>
      <c r="AD1415">
        <v>-1.03891808</v>
      </c>
      <c r="AE1415">
        <v>-6.4317999999999502</v>
      </c>
      <c r="AF1415">
        <v>-15.8733499798966</v>
      </c>
      <c r="AG1415">
        <v>-1.03891808</v>
      </c>
      <c r="AH1415">
        <v>226.981824553428</v>
      </c>
      <c r="AI1415">
        <v>90.261607663145298</v>
      </c>
      <c r="AJ1415">
        <v>94.000310131719104</v>
      </c>
      <c r="AK1415">
        <v>227.5385489713</v>
      </c>
      <c r="AL1415">
        <v>78.182226724444504</v>
      </c>
      <c r="AM1415">
        <v>87.064738139862698</v>
      </c>
      <c r="AN1415">
        <v>1.0000000547200301</v>
      </c>
    </row>
    <row r="1416" spans="1:40" x14ac:dyDescent="0.25">
      <c r="A1416" t="str">
        <f>"20190303171006744"</f>
        <v>20190303171006744</v>
      </c>
      <c r="B1416" t="str">
        <f>"1551604206731754"</f>
        <v>1551604206731754</v>
      </c>
      <c r="C1416" t="s">
        <v>40</v>
      </c>
      <c r="D1416">
        <v>4.9323980000000001</v>
      </c>
      <c r="E1416">
        <v>0.4570089</v>
      </c>
      <c r="F1416" t="s">
        <v>53</v>
      </c>
      <c r="G1416">
        <v>-378.27440000000001</v>
      </c>
      <c r="H1416">
        <v>8.0000500000000002E-2</v>
      </c>
      <c r="I1416">
        <v>278.26350000000002</v>
      </c>
      <c r="J1416">
        <v>-227.65090000000001</v>
      </c>
      <c r="K1416">
        <v>1.1216889999999999</v>
      </c>
      <c r="L1416">
        <v>283.33100000000002</v>
      </c>
      <c r="M1416">
        <v>-0.99915940000000003</v>
      </c>
      <c r="N1416">
        <v>-8.4351189999999996E-3</v>
      </c>
      <c r="O1416">
        <v>4.0118229999999998E-2</v>
      </c>
      <c r="P1416">
        <v>-0.97655110000000001</v>
      </c>
      <c r="Q1416">
        <v>0.19634070000000001</v>
      </c>
      <c r="R1416">
        <v>8.8308979999999995E-2</v>
      </c>
      <c r="S1416">
        <v>-3.0868530000000001</v>
      </c>
      <c r="T1416">
        <v>-2.1309140000000001E-2</v>
      </c>
      <c r="U1416">
        <v>-0.10345459999999999</v>
      </c>
      <c r="V1416">
        <v>4.8544030000000002E-2</v>
      </c>
      <c r="W1416">
        <v>0.20471710000000001</v>
      </c>
      <c r="X1416">
        <v>0.97761670000000001</v>
      </c>
      <c r="Y1416">
        <v>-7.3562020000000006E-2</v>
      </c>
      <c r="Z1416">
        <v>-5.0271339999999895E-4</v>
      </c>
      <c r="AA1416">
        <v>0.99729049999999997</v>
      </c>
      <c r="AB1416">
        <v>28</v>
      </c>
      <c r="AC1416">
        <v>-150.62350000000001</v>
      </c>
      <c r="AD1416">
        <v>-1.0416885</v>
      </c>
      <c r="AE1416">
        <v>-5.0674999999999297</v>
      </c>
      <c r="AF1416">
        <v>-11.1058522961979</v>
      </c>
      <c r="AG1416">
        <v>-1.0416885</v>
      </c>
      <c r="AH1416">
        <v>150.29174388144699</v>
      </c>
      <c r="AI1416">
        <v>90.396037173000707</v>
      </c>
      <c r="AJ1416">
        <v>94.226207104326505</v>
      </c>
      <c r="AK1416">
        <v>150.70512051381101</v>
      </c>
      <c r="AL1416">
        <v>78.187061298538097</v>
      </c>
      <c r="AM1416">
        <v>87.1572852226831</v>
      </c>
      <c r="AN1416">
        <v>1.00000001299997</v>
      </c>
    </row>
    <row r="1417" spans="1:40" x14ac:dyDescent="0.25">
      <c r="A1417" t="str">
        <f>"20190303171006765"</f>
        <v>20190303171006765</v>
      </c>
      <c r="B1417" t="str">
        <f>"1551604206762010"</f>
        <v>1551604206762010</v>
      </c>
      <c r="C1417" t="s">
        <v>40</v>
      </c>
      <c r="D1417">
        <v>4.9395199999999999</v>
      </c>
      <c r="E1417">
        <v>0.45677600000000002</v>
      </c>
      <c r="F1417" t="s">
        <v>53</v>
      </c>
      <c r="G1417">
        <v>-339.35610000000003</v>
      </c>
      <c r="H1417">
        <v>8.0000420000000003E-2</v>
      </c>
      <c r="I1417">
        <v>279.18369999999999</v>
      </c>
      <c r="J1417">
        <v>-227.91679999999999</v>
      </c>
      <c r="K1417">
        <v>1.121669</v>
      </c>
      <c r="L1417">
        <v>283.34019999999998</v>
      </c>
      <c r="M1417">
        <v>-0.99921329999999997</v>
      </c>
      <c r="N1417">
        <v>-8.3520929999999997E-3</v>
      </c>
      <c r="O1417">
        <v>3.8772180000000003E-2</v>
      </c>
      <c r="P1417">
        <v>-0.97685219999999995</v>
      </c>
      <c r="Q1417">
        <v>0.19586290000000001</v>
      </c>
      <c r="R1417">
        <v>8.6011299999999999E-2</v>
      </c>
      <c r="S1417">
        <v>-3.0881959999999999</v>
      </c>
      <c r="T1417">
        <v>-2.8798460000000001E-2</v>
      </c>
      <c r="U1417">
        <v>-0.11465450000000001</v>
      </c>
      <c r="V1417">
        <v>4.7558990000000002E-2</v>
      </c>
      <c r="W1417">
        <v>0.20415649999999999</v>
      </c>
      <c r="X1417">
        <v>0.97778229999999999</v>
      </c>
      <c r="Y1417">
        <v>-7.5813809999999995E-2</v>
      </c>
      <c r="Z1417">
        <v>-7.077982E-4</v>
      </c>
      <c r="AA1417">
        <v>0.99712179999999995</v>
      </c>
      <c r="AB1417">
        <v>28</v>
      </c>
      <c r="AC1417">
        <v>-111.4393</v>
      </c>
      <c r="AD1417">
        <v>-1.0416685800000001</v>
      </c>
      <c r="AE1417">
        <v>-4.1564999999999896</v>
      </c>
      <c r="AF1417">
        <v>-8.4735298246131698</v>
      </c>
      <c r="AG1417">
        <v>-1.0416685800000001</v>
      </c>
      <c r="AH1417">
        <v>111.184637006125</v>
      </c>
      <c r="AI1417">
        <v>90.535226000507805</v>
      </c>
      <c r="AJ1417">
        <v>94.358163334089497</v>
      </c>
      <c r="AK1417">
        <v>111.51192441753901</v>
      </c>
      <c r="AL1417">
        <v>78.219873938524998</v>
      </c>
      <c r="AM1417">
        <v>87.215347878016999</v>
      </c>
      <c r="AN1417">
        <v>0.99999998010767899</v>
      </c>
    </row>
    <row r="1418" spans="1:40" x14ac:dyDescent="0.25">
      <c r="A1418" t="str">
        <f>"20190303171006789"</f>
        <v>20190303171006789</v>
      </c>
      <c r="B1418" t="str">
        <f>"1551604206782508"</f>
        <v>1551604206782508</v>
      </c>
      <c r="C1418" t="s">
        <v>40</v>
      </c>
      <c r="D1418">
        <v>4.9153320000000003</v>
      </c>
      <c r="E1418">
        <v>0.45675680000000002</v>
      </c>
      <c r="F1418" t="s">
        <v>53</v>
      </c>
      <c r="G1418">
        <v>-320.37869999999998</v>
      </c>
      <c r="H1418">
        <v>4.1801280000000003E-2</v>
      </c>
      <c r="I1418">
        <v>279.61630000000002</v>
      </c>
      <c r="J1418">
        <v>-228.2116</v>
      </c>
      <c r="K1418">
        <v>1.1216390000000001</v>
      </c>
      <c r="L1418">
        <v>283.35000000000002</v>
      </c>
      <c r="M1418">
        <v>-0.99927029999999994</v>
      </c>
      <c r="N1418">
        <v>-8.2541999999999997E-3</v>
      </c>
      <c r="O1418">
        <v>3.7294109999999998E-2</v>
      </c>
      <c r="P1418">
        <v>-0.97715099999999999</v>
      </c>
      <c r="Q1418">
        <v>0.195239</v>
      </c>
      <c r="R1418">
        <v>8.4010959999999996E-2</v>
      </c>
      <c r="S1418">
        <v>-3.0892789999999999</v>
      </c>
      <c r="T1418">
        <v>-3.6079880000000002E-2</v>
      </c>
      <c r="U1418">
        <v>-0.12442019999999999</v>
      </c>
      <c r="V1418">
        <v>4.700315E-2</v>
      </c>
      <c r="W1418">
        <v>0.2034357</v>
      </c>
      <c r="X1418">
        <v>0.97795940000000003</v>
      </c>
      <c r="Y1418">
        <v>-7.7470150000000002E-2</v>
      </c>
      <c r="Z1418">
        <v>-8.9973989999999997E-4</v>
      </c>
      <c r="AA1418">
        <v>0.9969943</v>
      </c>
      <c r="AB1418">
        <v>28</v>
      </c>
      <c r="AC1418">
        <v>-92.167099999999905</v>
      </c>
      <c r="AD1418">
        <v>-1.07983772</v>
      </c>
      <c r="AE1418">
        <v>-3.73369999999999</v>
      </c>
      <c r="AF1418">
        <v>-7.1675270281910102</v>
      </c>
      <c r="AG1418">
        <v>-1.07983772</v>
      </c>
      <c r="AH1418">
        <v>91.951127098595293</v>
      </c>
      <c r="AI1418">
        <v>90.670793446651302</v>
      </c>
      <c r="AJ1418">
        <v>94.457153769104295</v>
      </c>
      <c r="AK1418">
        <v>92.236377139951699</v>
      </c>
      <c r="AL1418">
        <v>78.262058088572005</v>
      </c>
      <c r="AM1418">
        <v>87.248340459173093</v>
      </c>
      <c r="AN1418">
        <v>0.99999998409638602</v>
      </c>
    </row>
    <row r="1419" spans="1:40" x14ac:dyDescent="0.25">
      <c r="A1419" t="str">
        <f>"20190303171006810"</f>
        <v>20190303171006810</v>
      </c>
      <c r="B1419" t="str">
        <f>"1551604206802026"</f>
        <v>1551604206802026</v>
      </c>
      <c r="C1419" t="s">
        <v>40</v>
      </c>
      <c r="D1419">
        <v>4.9132360000000004</v>
      </c>
      <c r="E1419">
        <v>0.45685130000000002</v>
      </c>
      <c r="F1419" t="s">
        <v>60</v>
      </c>
      <c r="G1419">
        <v>-313.79329999999999</v>
      </c>
      <c r="H1419" s="1">
        <v>4.3278180000000004E-6</v>
      </c>
      <c r="I1419">
        <v>279.7133</v>
      </c>
      <c r="J1419">
        <v>-228.48009999999999</v>
      </c>
      <c r="K1419">
        <v>1.1216159999999999</v>
      </c>
      <c r="L1419">
        <v>283.3587</v>
      </c>
      <c r="M1419">
        <v>-0.99931970000000003</v>
      </c>
      <c r="N1419">
        <v>-8.1643919999999995E-3</v>
      </c>
      <c r="O1419">
        <v>3.5968559999999997E-2</v>
      </c>
      <c r="P1419">
        <v>-0.97725090000000003</v>
      </c>
      <c r="Q1419">
        <v>0.19550609999999999</v>
      </c>
      <c r="R1419">
        <v>8.2206470000000004E-2</v>
      </c>
      <c r="S1419">
        <v>-3.0895079999999999</v>
      </c>
      <c r="T1419">
        <v>-4.0491100000000002E-2</v>
      </c>
      <c r="U1419">
        <v>-0.1312866</v>
      </c>
      <c r="V1419">
        <v>4.6500489999999998E-2</v>
      </c>
      <c r="W1419">
        <v>0.20361270000000001</v>
      </c>
      <c r="X1419">
        <v>0.9779466</v>
      </c>
      <c r="Y1419">
        <v>-7.835454E-2</v>
      </c>
      <c r="Z1419">
        <v>-1.010899E-3</v>
      </c>
      <c r="AA1419">
        <v>0.99692510000000001</v>
      </c>
      <c r="AB1419">
        <v>28</v>
      </c>
      <c r="AC1419">
        <v>-85.313199999999995</v>
      </c>
      <c r="AD1419">
        <v>-1.121611672182</v>
      </c>
      <c r="AE1419">
        <v>-3.6453999999999902</v>
      </c>
      <c r="AF1419">
        <v>-6.7105780556516699</v>
      </c>
      <c r="AG1419">
        <v>-1.121611672182</v>
      </c>
      <c r="AH1419">
        <v>85.112183634608499</v>
      </c>
      <c r="AI1419">
        <v>90.752666781379702</v>
      </c>
      <c r="AJ1419">
        <v>94.508097870678597</v>
      </c>
      <c r="AK1419">
        <v>85.383685055375096</v>
      </c>
      <c r="AL1419">
        <v>78.251700006560796</v>
      </c>
      <c r="AM1419">
        <v>87.277687110611893</v>
      </c>
      <c r="AN1419">
        <v>0.99999998981154503</v>
      </c>
    </row>
    <row r="1420" spans="1:40" x14ac:dyDescent="0.25">
      <c r="A1420" t="str">
        <f>"20190303171006833"</f>
        <v>20190303171006833</v>
      </c>
      <c r="B1420" t="str">
        <f>"1551604206821546"</f>
        <v>1551604206821546</v>
      </c>
      <c r="C1420" t="s">
        <v>40</v>
      </c>
      <c r="D1420">
        <v>4.913341</v>
      </c>
      <c r="E1420">
        <v>0.4572136</v>
      </c>
      <c r="F1420" t="s">
        <v>60</v>
      </c>
      <c r="G1420">
        <v>-311.35640000000001</v>
      </c>
      <c r="H1420" s="1">
        <v>3.2464899999999999E-6</v>
      </c>
      <c r="I1420">
        <v>279.72070000000002</v>
      </c>
      <c r="J1420">
        <v>-228.75399999999999</v>
      </c>
      <c r="K1420">
        <v>1.1215889999999999</v>
      </c>
      <c r="L1420">
        <v>283.36709999999999</v>
      </c>
      <c r="M1420">
        <v>-0.99936720000000001</v>
      </c>
      <c r="N1420">
        <v>-8.0754859999999998E-3</v>
      </c>
      <c r="O1420">
        <v>3.4645479999999999E-2</v>
      </c>
      <c r="P1420">
        <v>-0.97731140000000005</v>
      </c>
      <c r="Q1420">
        <v>0.1957149</v>
      </c>
      <c r="R1420">
        <v>8.0983719999999995E-2</v>
      </c>
      <c r="S1420">
        <v>-3.0895839999999999</v>
      </c>
      <c r="T1420">
        <v>-4.1813139999999999E-2</v>
      </c>
      <c r="U1420">
        <v>-0.13562009999999999</v>
      </c>
      <c r="V1420">
        <v>4.6582079999999998E-2</v>
      </c>
      <c r="W1420">
        <v>0.2037322</v>
      </c>
      <c r="X1420">
        <v>0.97791790000000001</v>
      </c>
      <c r="Y1420">
        <v>-7.8428659999999997E-2</v>
      </c>
      <c r="Z1420">
        <v>-1.036302E-3</v>
      </c>
      <c r="AA1420">
        <v>0.99691920000000001</v>
      </c>
      <c r="AB1420">
        <v>28</v>
      </c>
      <c r="AC1420">
        <v>-82.602399999999903</v>
      </c>
      <c r="AD1420">
        <v>-1.12158575351</v>
      </c>
      <c r="AE1420">
        <v>-3.6463999999999701</v>
      </c>
      <c r="AF1420">
        <v>-6.5049065022882901</v>
      </c>
      <c r="AG1420">
        <v>-1.12158575351</v>
      </c>
      <c r="AH1420">
        <v>82.411308053920905</v>
      </c>
      <c r="AI1420">
        <v>90.777307699879998</v>
      </c>
      <c r="AJ1420">
        <v>94.513125204642293</v>
      </c>
      <c r="AK1420">
        <v>82.6752409029707</v>
      </c>
      <c r="AL1420">
        <v>78.244707400776406</v>
      </c>
      <c r="AM1420">
        <v>87.272837817037498</v>
      </c>
      <c r="AN1420">
        <v>1.0000000593171801</v>
      </c>
    </row>
    <row r="1421" spans="1:40" x14ac:dyDescent="0.25">
      <c r="A1421" t="str">
        <f>"20190303171006853"</f>
        <v>20190303171006853</v>
      </c>
      <c r="B1421" t="str">
        <f>"1551604206842043"</f>
        <v>1551604206842043</v>
      </c>
      <c r="C1421" t="s">
        <v>40</v>
      </c>
      <c r="D1421">
        <v>4.9572269999999996</v>
      </c>
      <c r="E1421">
        <v>0.45737519999999998</v>
      </c>
      <c r="F1421" t="s">
        <v>60</v>
      </c>
      <c r="G1421">
        <v>-309.0924</v>
      </c>
      <c r="H1421" s="1">
        <v>2.7688640000000001E-6</v>
      </c>
      <c r="I1421">
        <v>279.84530000000001</v>
      </c>
      <c r="J1421">
        <v>-229.0147</v>
      </c>
      <c r="K1421">
        <v>1.1215539999999999</v>
      </c>
      <c r="L1421">
        <v>283.37490000000003</v>
      </c>
      <c r="M1421">
        <v>-0.99940929999999994</v>
      </c>
      <c r="N1421">
        <v>-7.9903639999999998E-3</v>
      </c>
      <c r="O1421">
        <v>3.3426270000000001E-2</v>
      </c>
      <c r="P1421">
        <v>-0.97740170000000004</v>
      </c>
      <c r="Q1421">
        <v>0.1957633</v>
      </c>
      <c r="R1421">
        <v>7.976519E-2</v>
      </c>
      <c r="S1421">
        <v>-3.089493</v>
      </c>
      <c r="T1421">
        <v>-4.3131709999999997E-2</v>
      </c>
      <c r="U1421">
        <v>-0.135437</v>
      </c>
      <c r="V1421">
        <v>4.6568499999999999E-2</v>
      </c>
      <c r="W1421">
        <v>0.2036944</v>
      </c>
      <c r="X1421">
        <v>0.97792639999999997</v>
      </c>
      <c r="Y1421">
        <v>-7.7154280000000006E-2</v>
      </c>
      <c r="Z1421">
        <v>-1.0461870000000001E-3</v>
      </c>
      <c r="AA1421">
        <v>0.99701859999999998</v>
      </c>
      <c r="AB1421">
        <v>28</v>
      </c>
      <c r="AC1421">
        <v>-80.077699999999993</v>
      </c>
      <c r="AD1421">
        <v>-1.1215512311360001</v>
      </c>
      <c r="AE1421">
        <v>-3.5296000000000101</v>
      </c>
      <c r="AF1421">
        <v>-6.20319713783576</v>
      </c>
      <c r="AG1421">
        <v>-1.1215512311360001</v>
      </c>
      <c r="AH1421">
        <v>79.899320666738006</v>
      </c>
      <c r="AI1421">
        <v>90.801798725426394</v>
      </c>
      <c r="AJ1421">
        <v>94.439405482573207</v>
      </c>
      <c r="AK1421">
        <v>80.147607418444807</v>
      </c>
      <c r="AL1421">
        <v>78.246919324398604</v>
      </c>
      <c r="AM1421">
        <v>87.273655324018193</v>
      </c>
      <c r="AN1421">
        <v>1.0000000388002801</v>
      </c>
    </row>
    <row r="1422" spans="1:40" x14ac:dyDescent="0.25">
      <c r="A1422" t="str">
        <f>"20190303171006878"</f>
        <v>20190303171006878</v>
      </c>
      <c r="B1422" t="str">
        <f>"1551604206872298"</f>
        <v>1551604206872298</v>
      </c>
      <c r="C1422" t="s">
        <v>40</v>
      </c>
      <c r="D1422">
        <v>4.9560139999999997</v>
      </c>
      <c r="E1422">
        <v>0.45726519999999998</v>
      </c>
      <c r="F1422" t="s">
        <v>60</v>
      </c>
      <c r="G1422">
        <v>-308.31380000000001</v>
      </c>
      <c r="H1422" s="1">
        <v>2.9063730000000001E-6</v>
      </c>
      <c r="I1422">
        <v>279.85210000000001</v>
      </c>
      <c r="J1422">
        <v>-229.31479999999999</v>
      </c>
      <c r="K1422">
        <v>1.1214949999999999</v>
      </c>
      <c r="L1422">
        <v>283.38350000000003</v>
      </c>
      <c r="M1422">
        <v>-0.99945399999999995</v>
      </c>
      <c r="N1422">
        <v>-7.8859429999999994E-3</v>
      </c>
      <c r="O1422">
        <v>3.208664E-2</v>
      </c>
      <c r="P1422">
        <v>-0.97746069999999996</v>
      </c>
      <c r="Q1422">
        <v>0.19619120000000001</v>
      </c>
      <c r="R1422">
        <v>7.7972109999999997E-2</v>
      </c>
      <c r="S1422">
        <v>-3.0892940000000002</v>
      </c>
      <c r="T1422">
        <v>-4.3692830000000002E-2</v>
      </c>
      <c r="U1422">
        <v>-0.13723750000000001</v>
      </c>
      <c r="V1422">
        <v>4.6106199999999903E-2</v>
      </c>
      <c r="W1422">
        <v>0.2040141</v>
      </c>
      <c r="X1422">
        <v>0.97788160000000002</v>
      </c>
      <c r="Y1422">
        <v>-7.6400499999999996E-2</v>
      </c>
      <c r="Z1422">
        <v>-1.0420990000000001E-3</v>
      </c>
      <c r="AA1422">
        <v>0.99707670000000004</v>
      </c>
      <c r="AB1422">
        <v>28</v>
      </c>
      <c r="AC1422">
        <v>-78.998999999999995</v>
      </c>
      <c r="AD1422">
        <v>-1.1214920936270001</v>
      </c>
      <c r="AE1422">
        <v>-3.5314000000000099</v>
      </c>
      <c r="AF1422">
        <v>-6.0632532662466296</v>
      </c>
      <c r="AG1422">
        <v>-1.1214920936270001</v>
      </c>
      <c r="AH1422">
        <v>78.829150803961397</v>
      </c>
      <c r="AI1422">
        <v>90.812684521690898</v>
      </c>
      <c r="AJ1422">
        <v>94.398324157864494</v>
      </c>
      <c r="AK1422">
        <v>79.069942463368506</v>
      </c>
      <c r="AL1422">
        <v>78.228208257996798</v>
      </c>
      <c r="AM1422">
        <v>87.300556883900796</v>
      </c>
      <c r="AN1422">
        <v>0.99999997914790395</v>
      </c>
    </row>
    <row r="1423" spans="1:40" x14ac:dyDescent="0.25">
      <c r="A1423" t="str">
        <f>"20190303171006901"</f>
        <v>20190303171006901</v>
      </c>
      <c r="B1423" t="str">
        <f>"1551604206891818"</f>
        <v>1551604206891818</v>
      </c>
      <c r="C1423" t="s">
        <v>40</v>
      </c>
      <c r="D1423">
        <v>4.9735389999999997</v>
      </c>
      <c r="E1423">
        <v>0.45721010000000001</v>
      </c>
      <c r="F1423" t="s">
        <v>60</v>
      </c>
      <c r="G1423">
        <v>-311.20929999999998</v>
      </c>
      <c r="H1423" s="1">
        <v>3.1977229999999999E-6</v>
      </c>
      <c r="I1423">
        <v>279.5745</v>
      </c>
      <c r="J1423">
        <v>-229.61609999999999</v>
      </c>
      <c r="K1423">
        <v>1.1214329999999999</v>
      </c>
      <c r="L1423">
        <v>283.39179999999999</v>
      </c>
      <c r="M1423">
        <v>-0.99949440000000001</v>
      </c>
      <c r="N1423">
        <v>-7.785269E-3</v>
      </c>
      <c r="O1423">
        <v>3.0831310000000001E-2</v>
      </c>
      <c r="P1423">
        <v>-0.97745190000000004</v>
      </c>
      <c r="Q1423">
        <v>0.196688</v>
      </c>
      <c r="R1423">
        <v>7.6825879999999999E-2</v>
      </c>
      <c r="S1423">
        <v>-3.0891419999999998</v>
      </c>
      <c r="T1423">
        <v>-4.2303800000000003E-2</v>
      </c>
      <c r="U1423">
        <v>-0.14367679999999999</v>
      </c>
      <c r="V1423">
        <v>4.6215020000000002E-2</v>
      </c>
      <c r="W1423">
        <v>0.20440620000000001</v>
      </c>
      <c r="X1423">
        <v>0.97779459999999996</v>
      </c>
      <c r="Y1423">
        <v>-7.7225009999999997E-2</v>
      </c>
      <c r="Z1423">
        <v>-1.0113679999999999E-3</v>
      </c>
      <c r="AA1423">
        <v>0.99701320000000004</v>
      </c>
      <c r="AB1423">
        <v>28</v>
      </c>
      <c r="AC1423">
        <v>-81.593199999999996</v>
      </c>
      <c r="AD1423">
        <v>-1.121429802277</v>
      </c>
      <c r="AE1423">
        <v>-3.8172999999999799</v>
      </c>
      <c r="AF1423">
        <v>-6.3299932047912701</v>
      </c>
      <c r="AG1423">
        <v>-1.121429802277</v>
      </c>
      <c r="AH1423">
        <v>81.421365457175298</v>
      </c>
      <c r="AI1423">
        <v>90.786720643760006</v>
      </c>
      <c r="AJ1423">
        <v>94.445440571847399</v>
      </c>
      <c r="AK1423">
        <v>81.674752351537904</v>
      </c>
      <c r="AL1423">
        <v>78.205259237803105</v>
      </c>
      <c r="AM1423">
        <v>87.293954713997707</v>
      </c>
      <c r="AN1423">
        <v>1.0000000012306001</v>
      </c>
    </row>
    <row r="1424" spans="1:40" x14ac:dyDescent="0.25">
      <c r="A1424" t="str">
        <f>"20190303171006924"</f>
        <v>20190303171006924</v>
      </c>
      <c r="B1424" t="str">
        <f>"1551604206912314"</f>
        <v>1551604206912314</v>
      </c>
      <c r="C1424" t="s">
        <v>40</v>
      </c>
      <c r="D1424">
        <v>4.9707210000000002</v>
      </c>
      <c r="E1424">
        <v>0.45726159999999999</v>
      </c>
      <c r="F1424" t="s">
        <v>60</v>
      </c>
      <c r="G1424">
        <v>-312.37599999999998</v>
      </c>
      <c r="H1424">
        <v>5.9572109999999996E-3</v>
      </c>
      <c r="I1424">
        <v>279.44200000000001</v>
      </c>
      <c r="J1424">
        <v>-229.899</v>
      </c>
      <c r="K1424">
        <v>1.1213709999999999</v>
      </c>
      <c r="L1424">
        <v>283.39929999999998</v>
      </c>
      <c r="M1424">
        <v>-0.99952859999999999</v>
      </c>
      <c r="N1424">
        <v>-7.696624E-3</v>
      </c>
      <c r="O1424">
        <v>2.972141E-2</v>
      </c>
      <c r="P1424">
        <v>-0.97760340000000001</v>
      </c>
      <c r="Q1424">
        <v>0.1964543</v>
      </c>
      <c r="R1424">
        <v>7.5481880000000001E-2</v>
      </c>
      <c r="S1424">
        <v>-3.089172</v>
      </c>
      <c r="T1424">
        <v>-4.1637300000000002E-2</v>
      </c>
      <c r="U1424">
        <v>-0.14743039999999999</v>
      </c>
      <c r="V1424">
        <v>4.597847E-2</v>
      </c>
      <c r="W1424">
        <v>0.2040804</v>
      </c>
      <c r="X1424">
        <v>0.97787380000000002</v>
      </c>
      <c r="Y1424">
        <v>-7.7326569999999997E-2</v>
      </c>
      <c r="Z1424">
        <v>-9.9034490000000008E-4</v>
      </c>
      <c r="AA1424">
        <v>0.99700529999999998</v>
      </c>
      <c r="AB1424">
        <v>28</v>
      </c>
      <c r="AC1424">
        <v>-82.476999999999904</v>
      </c>
      <c r="AD1424">
        <v>-1.115413789</v>
      </c>
      <c r="AE1424">
        <v>-3.9572999999999698</v>
      </c>
      <c r="AF1424">
        <v>-6.4057880522784698</v>
      </c>
      <c r="AG1424">
        <v>-1.115413789</v>
      </c>
      <c r="AH1424">
        <v>82.307921956495804</v>
      </c>
      <c r="AI1424">
        <v>90.774068285191206</v>
      </c>
      <c r="AJ1424">
        <v>94.450194618096603</v>
      </c>
      <c r="AK1424">
        <v>82.5643523882312</v>
      </c>
      <c r="AL1424">
        <v>78.224328146915099</v>
      </c>
      <c r="AM1424">
        <v>87.308002811008294</v>
      </c>
      <c r="AN1424">
        <v>0.99999999904707004</v>
      </c>
    </row>
    <row r="1425" spans="1:40" x14ac:dyDescent="0.25">
      <c r="A1425" t="str">
        <f>"20190303171006944"</f>
        <v>20190303171006944</v>
      </c>
      <c r="B1425" t="str">
        <f>"1551604206931835"</f>
        <v>1551604206931835</v>
      </c>
      <c r="C1425" t="s">
        <v>40</v>
      </c>
      <c r="D1425">
        <v>4.9741749999999998</v>
      </c>
      <c r="E1425">
        <v>0.45730110000000002</v>
      </c>
      <c r="F1425" t="s">
        <v>60</v>
      </c>
      <c r="G1425">
        <v>-310.60879999999997</v>
      </c>
      <c r="H1425" s="1">
        <v>2.9553450000000001E-6</v>
      </c>
      <c r="I1425">
        <v>279.43889999999999</v>
      </c>
      <c r="J1425">
        <v>-230.15770000000001</v>
      </c>
      <c r="K1425">
        <v>1.1213169999999999</v>
      </c>
      <c r="L1425">
        <v>283.40600000000001</v>
      </c>
      <c r="M1425">
        <v>-0.99955720000000003</v>
      </c>
      <c r="N1425">
        <v>-7.6099919999999899E-3</v>
      </c>
      <c r="O1425">
        <v>2.877041E-2</v>
      </c>
      <c r="P1425">
        <v>-0.97784000000000004</v>
      </c>
      <c r="Q1425">
        <v>0.19576170000000001</v>
      </c>
      <c r="R1425">
        <v>7.4205339999999995E-2</v>
      </c>
      <c r="S1425">
        <v>-3.0890659999999999</v>
      </c>
      <c r="T1425">
        <v>-4.2918919999999999E-2</v>
      </c>
      <c r="U1425">
        <v>-0.15158079999999999</v>
      </c>
      <c r="V1425">
        <v>4.5650049999999998E-2</v>
      </c>
      <c r="W1425">
        <v>0.20329849999999999</v>
      </c>
      <c r="X1425">
        <v>0.97805200000000003</v>
      </c>
      <c r="Y1425">
        <v>-7.7715350000000002E-2</v>
      </c>
      <c r="Z1425">
        <v>-1.016149E-3</v>
      </c>
      <c r="AA1425">
        <v>0.9969751</v>
      </c>
      <c r="AB1425">
        <v>28</v>
      </c>
      <c r="AC1425">
        <v>-80.451099999999897</v>
      </c>
      <c r="AD1425">
        <v>-1.1213140446549901</v>
      </c>
      <c r="AE1425">
        <v>-3.9671000000000101</v>
      </c>
      <c r="AF1425">
        <v>-6.2789187781676103</v>
      </c>
      <c r="AG1425">
        <v>-1.1213140446549901</v>
      </c>
      <c r="AH1425">
        <v>80.288097455507895</v>
      </c>
      <c r="AI1425">
        <v>90.797712940285706</v>
      </c>
      <c r="AJ1425">
        <v>94.471706459977398</v>
      </c>
      <c r="AK1425">
        <v>80.541050149813003</v>
      </c>
      <c r="AL1425">
        <v>78.270086574691305</v>
      </c>
      <c r="AM1425">
        <v>87.327689790835393</v>
      </c>
      <c r="AN1425">
        <v>0.99999996093562504</v>
      </c>
    </row>
    <row r="1426" spans="1:40" x14ac:dyDescent="0.25">
      <c r="A1426" t="str">
        <f>"20190303171006965"</f>
        <v>20190303171006965</v>
      </c>
      <c r="B1426" t="str">
        <f>"1551604206952331"</f>
        <v>1551604206952331</v>
      </c>
      <c r="C1426" t="s">
        <v>40</v>
      </c>
      <c r="D1426">
        <v>4.963241</v>
      </c>
      <c r="E1426">
        <v>0.45735290000000001</v>
      </c>
      <c r="F1426" t="s">
        <v>60</v>
      </c>
      <c r="G1426">
        <v>-305.54149999999998</v>
      </c>
      <c r="H1426" s="1">
        <v>3.4183290000000001E-6</v>
      </c>
      <c r="I1426">
        <v>279.62110000000001</v>
      </c>
      <c r="J1426">
        <v>-230.4384</v>
      </c>
      <c r="K1426">
        <v>1.1212530000000001</v>
      </c>
      <c r="L1426">
        <v>283.41309999999999</v>
      </c>
      <c r="M1426">
        <v>-0.99958499999999995</v>
      </c>
      <c r="N1426">
        <v>-7.5043019999999896E-3</v>
      </c>
      <c r="O1426">
        <v>2.7813379999999999E-2</v>
      </c>
      <c r="P1426">
        <v>-0.97783699999999996</v>
      </c>
      <c r="Q1426">
        <v>0.19611300000000001</v>
      </c>
      <c r="R1426">
        <v>7.3310990000000006E-2</v>
      </c>
      <c r="S1426">
        <v>-3.088959</v>
      </c>
      <c r="T1426">
        <v>-4.5947429999999997E-2</v>
      </c>
      <c r="U1426">
        <v>-0.15509029999999999</v>
      </c>
      <c r="V1426">
        <v>4.5716970000000003E-2</v>
      </c>
      <c r="W1426">
        <v>0.20354120000000001</v>
      </c>
      <c r="X1426">
        <v>0.97799840000000005</v>
      </c>
      <c r="Y1426">
        <v>-7.7890879999999996E-2</v>
      </c>
      <c r="Z1426">
        <v>-1.076273E-3</v>
      </c>
      <c r="AA1426">
        <v>0.99696130000000005</v>
      </c>
      <c r="AB1426">
        <v>28</v>
      </c>
      <c r="AC1426">
        <v>-75.103099999999898</v>
      </c>
      <c r="AD1426">
        <v>-1.121249581671</v>
      </c>
      <c r="AE1426">
        <v>-3.7919999999999701</v>
      </c>
      <c r="AF1426">
        <v>-5.8781558776537697</v>
      </c>
      <c r="AG1426">
        <v>-1.121249581671</v>
      </c>
      <c r="AH1426">
        <v>74.951908675510694</v>
      </c>
      <c r="AI1426">
        <v>90.854434037670899</v>
      </c>
      <c r="AJ1426">
        <v>94.484282963193394</v>
      </c>
      <c r="AK1426">
        <v>75.190415155447099</v>
      </c>
      <c r="AL1426">
        <v>78.255883993333796</v>
      </c>
      <c r="AM1426">
        <v>87.323631590035603</v>
      </c>
      <c r="AN1426">
        <v>0.99999996592298901</v>
      </c>
    </row>
    <row r="1427" spans="1:40" x14ac:dyDescent="0.25">
      <c r="A1427" t="str">
        <f>"20190303171006991"</f>
        <v>20190303171006991</v>
      </c>
      <c r="B1427" t="str">
        <f>"1551604206981611"</f>
        <v>1551604206981611</v>
      </c>
      <c r="C1427" t="s">
        <v>40</v>
      </c>
      <c r="D1427">
        <v>5.0188100000000002</v>
      </c>
      <c r="E1427">
        <v>0.45762439999999999</v>
      </c>
      <c r="F1427" t="s">
        <v>60</v>
      </c>
      <c r="G1427">
        <v>-306.92399999999998</v>
      </c>
      <c r="H1427" s="1">
        <v>3.2008649999999998E-6</v>
      </c>
      <c r="I1427">
        <v>279.51310000000001</v>
      </c>
      <c r="J1427">
        <v>-230.75299999999999</v>
      </c>
      <c r="K1427">
        <v>1.1211819999999999</v>
      </c>
      <c r="L1427">
        <v>283.42070000000001</v>
      </c>
      <c r="M1427">
        <v>-0.99961299999999997</v>
      </c>
      <c r="N1427">
        <v>-7.3651630000000001E-3</v>
      </c>
      <c r="O1427">
        <v>2.6828540000000001E-2</v>
      </c>
      <c r="P1427">
        <v>-0.97767029999999999</v>
      </c>
      <c r="Q1427">
        <v>0.1972488</v>
      </c>
      <c r="R1427">
        <v>7.2484110000000004E-2</v>
      </c>
      <c r="S1427">
        <v>-3.088867</v>
      </c>
      <c r="T1427">
        <v>-4.528165E-2</v>
      </c>
      <c r="U1427">
        <v>-0.15750120000000001</v>
      </c>
      <c r="V1427">
        <v>4.5884759999999997E-2</v>
      </c>
      <c r="W1427">
        <v>0.2045332</v>
      </c>
      <c r="X1427">
        <v>0.97778359999999997</v>
      </c>
      <c r="Y1427">
        <v>-7.7686699999999997E-2</v>
      </c>
      <c r="Z1427">
        <v>-1.050931E-3</v>
      </c>
      <c r="AA1427">
        <v>0.99697729999999996</v>
      </c>
      <c r="AB1427">
        <v>28</v>
      </c>
      <c r="AC1427">
        <v>-76.171000000000006</v>
      </c>
      <c r="AD1427">
        <v>-1.121178799135</v>
      </c>
      <c r="AE1427">
        <v>-3.9076</v>
      </c>
      <c r="AF1427">
        <v>-5.94851996419073</v>
      </c>
      <c r="AG1427">
        <v>-1.121178799135</v>
      </c>
      <c r="AH1427">
        <v>76.022315275539697</v>
      </c>
      <c r="AI1427">
        <v>90.842363757887199</v>
      </c>
      <c r="AJ1427">
        <v>94.474108069280703</v>
      </c>
      <c r="AK1427">
        <v>76.2629290777476</v>
      </c>
      <c r="AL1427">
        <v>78.197825665360796</v>
      </c>
      <c r="AM1427">
        <v>87.3132339323287</v>
      </c>
      <c r="AN1427">
        <v>1.00000000476572</v>
      </c>
    </row>
    <row r="1428" spans="1:40" x14ac:dyDescent="0.25">
      <c r="A1428" t="str">
        <f>"20190303171007012"</f>
        <v>20190303171007012</v>
      </c>
      <c r="B1428" t="str">
        <f>"1551604207002107"</f>
        <v>1551604207002107</v>
      </c>
      <c r="C1428" t="s">
        <v>40</v>
      </c>
      <c r="D1428">
        <v>4.9978689999999997</v>
      </c>
      <c r="E1428">
        <v>0.45772309999999999</v>
      </c>
      <c r="F1428" t="s">
        <v>60</v>
      </c>
      <c r="G1428">
        <v>-311.82580000000002</v>
      </c>
      <c r="H1428">
        <v>8.1810700000000004E-3</v>
      </c>
      <c r="I1428">
        <v>279.2747</v>
      </c>
      <c r="J1428">
        <v>-231.03540000000001</v>
      </c>
      <c r="K1428">
        <v>1.121111</v>
      </c>
      <c r="L1428">
        <v>283.42739999999998</v>
      </c>
      <c r="M1428">
        <v>-0.99963550000000001</v>
      </c>
      <c r="N1428">
        <v>-7.2163819999999899E-3</v>
      </c>
      <c r="O1428">
        <v>2.6013629999999999E-2</v>
      </c>
      <c r="P1428">
        <v>-0.97743089999999999</v>
      </c>
      <c r="Q1428">
        <v>0.19833880000000001</v>
      </c>
      <c r="R1428">
        <v>7.2733899999999893E-2</v>
      </c>
      <c r="S1428">
        <v>-3.0887910000000001</v>
      </c>
      <c r="T1428">
        <v>-4.2404169999999998E-2</v>
      </c>
      <c r="U1428">
        <v>-0.15795899999999999</v>
      </c>
      <c r="V1428">
        <v>4.6960509999999997E-2</v>
      </c>
      <c r="W1428">
        <v>0.20547219999999999</v>
      </c>
      <c r="X1428">
        <v>0.97753559999999995</v>
      </c>
      <c r="Y1428">
        <v>-7.7024159999999994E-2</v>
      </c>
      <c r="Z1428">
        <v>-9.7578249999999997E-4</v>
      </c>
      <c r="AA1428">
        <v>0.99702880000000005</v>
      </c>
      <c r="AB1428">
        <v>29</v>
      </c>
      <c r="AC1428">
        <v>-80.790400000000005</v>
      </c>
      <c r="AD1428">
        <v>-1.11292993</v>
      </c>
      <c r="AE1428">
        <v>-4.1526999999999799</v>
      </c>
      <c r="AF1428">
        <v>-6.2518177387299501</v>
      </c>
      <c r="AG1428">
        <v>-1.11292993</v>
      </c>
      <c r="AH1428">
        <v>80.639766253717596</v>
      </c>
      <c r="AI1428">
        <v>90.788338106594793</v>
      </c>
      <c r="AJ1428">
        <v>94.433143836746595</v>
      </c>
      <c r="AK1428">
        <v>80.889404371163494</v>
      </c>
      <c r="AL1428">
        <v>78.142857204011605</v>
      </c>
      <c r="AM1428">
        <v>87.249642817742298</v>
      </c>
      <c r="AN1428">
        <v>0.99999998186982897</v>
      </c>
    </row>
    <row r="1429" spans="1:40" x14ac:dyDescent="0.25">
      <c r="A1429" t="str">
        <f>"20190303171007034"</f>
        <v>20190303171007034</v>
      </c>
      <c r="B1429" t="str">
        <f>"1551604207021627"</f>
        <v>1551604207021627</v>
      </c>
      <c r="C1429" t="s">
        <v>40</v>
      </c>
      <c r="D1429">
        <v>5.015326</v>
      </c>
      <c r="E1429">
        <v>0.45784409999999998</v>
      </c>
      <c r="F1429" t="s">
        <v>60</v>
      </c>
      <c r="G1429">
        <v>-313.34559999999999</v>
      </c>
      <c r="H1429">
        <v>8.0001160000000002E-2</v>
      </c>
      <c r="I1429">
        <v>279.25560000000002</v>
      </c>
      <c r="J1429">
        <v>-231.3082</v>
      </c>
      <c r="K1429">
        <v>1.1210359999999999</v>
      </c>
      <c r="L1429">
        <v>283.43369999999999</v>
      </c>
      <c r="M1429">
        <v>-0.99965570000000004</v>
      </c>
      <c r="N1429">
        <v>-7.047551E-3</v>
      </c>
      <c r="O1429">
        <v>2.5280299999999999E-2</v>
      </c>
      <c r="P1429">
        <v>-0.97742680000000004</v>
      </c>
      <c r="Q1429">
        <v>0.1984457</v>
      </c>
      <c r="R1429">
        <v>7.2502810000000001E-2</v>
      </c>
      <c r="S1429">
        <v>-3.088867</v>
      </c>
      <c r="T1429">
        <v>-3.9069890000000003E-2</v>
      </c>
      <c r="U1429">
        <v>-0.15655520000000001</v>
      </c>
      <c r="V1429">
        <v>4.7468629999999998E-2</v>
      </c>
      <c r="W1429">
        <v>0.2054097</v>
      </c>
      <c r="X1429">
        <v>0.97752419999999995</v>
      </c>
      <c r="Y1429">
        <v>-7.5841220000000001E-2</v>
      </c>
      <c r="Z1429">
        <v>-8.8828899999999903E-4</v>
      </c>
      <c r="AA1429">
        <v>0.99711950000000005</v>
      </c>
      <c r="AB1429">
        <v>29</v>
      </c>
      <c r="AC1429">
        <v>-82.037399999999906</v>
      </c>
      <c r="AD1429">
        <v>-1.04103484</v>
      </c>
      <c r="AE1429">
        <v>-4.1780999999999704</v>
      </c>
      <c r="AF1429">
        <v>-6.2497421286093697</v>
      </c>
      <c r="AG1429">
        <v>-1.04103484</v>
      </c>
      <c r="AH1429">
        <v>81.892400481997498</v>
      </c>
      <c r="AI1429">
        <v>90.726206272295599</v>
      </c>
      <c r="AJ1429">
        <v>94.364154415673198</v>
      </c>
      <c r="AK1429">
        <v>82.137130987855102</v>
      </c>
      <c r="AL1429">
        <v>78.1465163206813</v>
      </c>
      <c r="AM1429">
        <v>87.219897593350595</v>
      </c>
      <c r="AN1429">
        <v>0.99999998863690298</v>
      </c>
    </row>
    <row r="1430" spans="1:40" x14ac:dyDescent="0.25">
      <c r="A1430" t="str">
        <f>"20190303171007055"</f>
        <v>20190303171007055</v>
      </c>
      <c r="B1430" t="str">
        <f>"1551604207042123"</f>
        <v>1551604207042123</v>
      </c>
      <c r="C1430" t="s">
        <v>40</v>
      </c>
      <c r="D1430">
        <v>5.0234209999999999</v>
      </c>
      <c r="E1430">
        <v>0.4580111</v>
      </c>
      <c r="F1430" t="s">
        <v>60</v>
      </c>
      <c r="G1430">
        <v>-314.89580000000001</v>
      </c>
      <c r="H1430">
        <v>8.0001409999999995E-2</v>
      </c>
      <c r="I1430">
        <v>279.18880000000001</v>
      </c>
      <c r="J1430">
        <v>-231.58539999999999</v>
      </c>
      <c r="K1430">
        <v>1.120957</v>
      </c>
      <c r="L1430">
        <v>283.44</v>
      </c>
      <c r="M1430">
        <v>-0.99967450000000002</v>
      </c>
      <c r="N1430">
        <v>-6.8488890000000004E-3</v>
      </c>
      <c r="O1430">
        <v>2.457817E-2</v>
      </c>
      <c r="P1430">
        <v>-0.97756710000000002</v>
      </c>
      <c r="Q1430">
        <v>0.1978077</v>
      </c>
      <c r="R1430">
        <v>7.2352830000000007E-2</v>
      </c>
      <c r="S1430">
        <v>-3.0887449999999999</v>
      </c>
      <c r="T1430">
        <v>-3.8468479999999999E-2</v>
      </c>
      <c r="U1430">
        <v>-0.15686040000000001</v>
      </c>
      <c r="V1430">
        <v>4.8021080000000001E-2</v>
      </c>
      <c r="W1430">
        <v>0.20457520000000001</v>
      </c>
      <c r="X1430">
        <v>0.97767219999999999</v>
      </c>
      <c r="Y1430">
        <v>-7.5241520000000006E-2</v>
      </c>
      <c r="Z1430">
        <v>-8.6378099999999999E-4</v>
      </c>
      <c r="AA1430">
        <v>0.99716499999999997</v>
      </c>
      <c r="AB1430">
        <v>29</v>
      </c>
      <c r="AC1430">
        <v>-83.310400000000001</v>
      </c>
      <c r="AD1430">
        <v>-1.04095559</v>
      </c>
      <c r="AE1430">
        <v>-4.2511999999999803</v>
      </c>
      <c r="AF1430">
        <v>-6.2966003085014002</v>
      </c>
      <c r="AG1430">
        <v>-1.04095559</v>
      </c>
      <c r="AH1430">
        <v>83.167791861809704</v>
      </c>
      <c r="AI1430">
        <v>90.7150493121392</v>
      </c>
      <c r="AJ1430">
        <v>94.329580887675604</v>
      </c>
      <c r="AK1430">
        <v>83.412303451916998</v>
      </c>
      <c r="AL1430">
        <v>78.195367006987894</v>
      </c>
      <c r="AM1430">
        <v>87.188018878150899</v>
      </c>
      <c r="AN1430">
        <v>0.99999998361612297</v>
      </c>
    </row>
    <row r="1431" spans="1:40" x14ac:dyDescent="0.25">
      <c r="A1431" t="str">
        <f>"20190303171007080"</f>
        <v>20190303171007080</v>
      </c>
      <c r="B1431" t="str">
        <f>"1551604207072379"</f>
        <v>1551604207072379</v>
      </c>
      <c r="C1431" t="s">
        <v>40</v>
      </c>
      <c r="D1431">
        <v>5.0475070000000004</v>
      </c>
      <c r="E1431">
        <v>0.45833099999999999</v>
      </c>
      <c r="F1431" t="s">
        <v>60</v>
      </c>
      <c r="G1431">
        <v>-312.11500000000001</v>
      </c>
      <c r="H1431">
        <v>5.6529790000000003E-2</v>
      </c>
      <c r="I1431">
        <v>279.36380000000003</v>
      </c>
      <c r="J1431">
        <v>-231.90090000000001</v>
      </c>
      <c r="K1431">
        <v>1.1208720000000001</v>
      </c>
      <c r="L1431">
        <v>283.447</v>
      </c>
      <c r="M1431">
        <v>-0.99969459999999999</v>
      </c>
      <c r="N1431">
        <v>-6.5903359999999996E-3</v>
      </c>
      <c r="O1431">
        <v>2.38201E-2</v>
      </c>
      <c r="P1431">
        <v>-0.9776745</v>
      </c>
      <c r="Q1431">
        <v>0.19735220000000001</v>
      </c>
      <c r="R1431">
        <v>7.214421E-2</v>
      </c>
      <c r="S1431">
        <v>-3.088654</v>
      </c>
      <c r="T1431">
        <v>-4.082537E-2</v>
      </c>
      <c r="U1431">
        <v>-0.1563416</v>
      </c>
      <c r="V1431">
        <v>4.8567350000000002E-2</v>
      </c>
      <c r="W1431">
        <v>0.2038643</v>
      </c>
      <c r="X1431">
        <v>0.97779369999999999</v>
      </c>
      <c r="Y1431">
        <v>-7.4318869999999995E-2</v>
      </c>
      <c r="Z1431">
        <v>-8.9369350000000005E-4</v>
      </c>
      <c r="AA1431">
        <v>0.99723410000000001</v>
      </c>
      <c r="AB1431">
        <v>29</v>
      </c>
      <c r="AC1431">
        <v>-80.214100000000002</v>
      </c>
      <c r="AD1431">
        <v>-1.06434221</v>
      </c>
      <c r="AE1431">
        <v>-4.0831999999999704</v>
      </c>
      <c r="AF1431">
        <v>-5.9917384679679397</v>
      </c>
      <c r="AG1431">
        <v>-1.06434221</v>
      </c>
      <c r="AH1431">
        <v>80.0800123573365</v>
      </c>
      <c r="AI1431">
        <v>90.759350161379302</v>
      </c>
      <c r="AJ1431">
        <v>94.279005745927904</v>
      </c>
      <c r="AK1431">
        <v>80.310909180258193</v>
      </c>
      <c r="AL1431">
        <v>78.2369754310714</v>
      </c>
      <c r="AM1431">
        <v>87.156435845759603</v>
      </c>
      <c r="AN1431">
        <v>0.99999998003010104</v>
      </c>
    </row>
    <row r="1432" spans="1:40" x14ac:dyDescent="0.25">
      <c r="A1432" t="str">
        <f>"20190303171007103"</f>
        <v>20190303171007103</v>
      </c>
      <c r="B1432" t="str">
        <f>"1551604207091898"</f>
        <v>1551604207091898</v>
      </c>
      <c r="C1432" t="s">
        <v>40</v>
      </c>
      <c r="D1432">
        <v>5.0419700000000001</v>
      </c>
      <c r="E1432">
        <v>0.45853440000000001</v>
      </c>
      <c r="F1432" t="s">
        <v>60</v>
      </c>
      <c r="G1432">
        <v>-311.53460000000001</v>
      </c>
      <c r="H1432" s="1">
        <v>3.360083E-6</v>
      </c>
      <c r="I1432">
        <v>279.47199999999998</v>
      </c>
      <c r="J1432">
        <v>-232.2002</v>
      </c>
      <c r="K1432">
        <v>1.1208119999999999</v>
      </c>
      <c r="L1432">
        <v>283.45339999999999</v>
      </c>
      <c r="M1432">
        <v>-0.99971259999999995</v>
      </c>
      <c r="N1432">
        <v>-6.324283E-3</v>
      </c>
      <c r="O1432">
        <v>2.3125489999999999E-2</v>
      </c>
      <c r="P1432">
        <v>-0.97757340000000004</v>
      </c>
      <c r="Q1432">
        <v>0.198023</v>
      </c>
      <c r="R1432">
        <v>7.1675379999999997E-2</v>
      </c>
      <c r="S1432">
        <v>-3.088654</v>
      </c>
      <c r="T1432">
        <v>-4.347372E-2</v>
      </c>
      <c r="U1432">
        <v>-0.154174799999999</v>
      </c>
      <c r="V1432">
        <v>4.8789390000000002E-2</v>
      </c>
      <c r="W1432">
        <v>0.2042728</v>
      </c>
      <c r="X1432">
        <v>0.97769740000000005</v>
      </c>
      <c r="Y1432">
        <v>-7.2927169999999999E-2</v>
      </c>
      <c r="Z1432">
        <v>-9.2281700000000004E-4</v>
      </c>
      <c r="AA1432">
        <v>0.99733689999999997</v>
      </c>
      <c r="AB1432">
        <v>29</v>
      </c>
      <c r="AC1432">
        <v>-79.334400000000002</v>
      </c>
      <c r="AD1432">
        <v>-1.1208086399169901</v>
      </c>
      <c r="AE1432">
        <v>-3.9813999999999998</v>
      </c>
      <c r="AF1432">
        <v>-5.8138612386268296</v>
      </c>
      <c r="AG1432">
        <v>-1.1208086399169901</v>
      </c>
      <c r="AH1432">
        <v>79.205340179173106</v>
      </c>
      <c r="AI1432">
        <v>90.808544597263094</v>
      </c>
      <c r="AJ1432">
        <v>94.1981182373992</v>
      </c>
      <c r="AK1432">
        <v>79.426337617995799</v>
      </c>
      <c r="AL1432">
        <v>78.213067152808406</v>
      </c>
      <c r="AM1432">
        <v>87.143176240294395</v>
      </c>
      <c r="AN1432">
        <v>0.99999999368158599</v>
      </c>
    </row>
    <row r="1433" spans="1:40" x14ac:dyDescent="0.25">
      <c r="A1433" t="str">
        <f>"20190303171007126"</f>
        <v>20190303171007126</v>
      </c>
      <c r="B1433" t="str">
        <f>"1551604207112394"</f>
        <v>1551604207112394</v>
      </c>
      <c r="C1433" t="s">
        <v>40</v>
      </c>
      <c r="D1433">
        <v>5.0623740000000002</v>
      </c>
      <c r="E1433">
        <v>0.45871220000000001</v>
      </c>
      <c r="F1433" t="s">
        <v>60</v>
      </c>
      <c r="G1433">
        <v>-312.37029999999999</v>
      </c>
      <c r="H1433">
        <v>3.6517330000000001E-2</v>
      </c>
      <c r="I1433">
        <v>279.44049999999999</v>
      </c>
      <c r="J1433">
        <v>-232.49799999999999</v>
      </c>
      <c r="K1433">
        <v>1.1207640000000001</v>
      </c>
      <c r="L1433">
        <v>283.45960000000002</v>
      </c>
      <c r="M1433">
        <v>-0.9997298</v>
      </c>
      <c r="N1433">
        <v>-6.0600259999999996E-3</v>
      </c>
      <c r="O1433">
        <v>2.244697E-2</v>
      </c>
      <c r="P1433">
        <v>-0.97730779999999995</v>
      </c>
      <c r="Q1433">
        <v>0.19936899999999999</v>
      </c>
      <c r="R1433">
        <v>7.1567119999999998E-2</v>
      </c>
      <c r="S1433">
        <v>-3.088654</v>
      </c>
      <c r="T1433">
        <v>-4.17738E-2</v>
      </c>
      <c r="U1433">
        <v>-0.15460209999999999</v>
      </c>
      <c r="V1433">
        <v>4.9354780000000001E-2</v>
      </c>
      <c r="W1433">
        <v>0.2053574</v>
      </c>
      <c r="X1433">
        <v>0.97744180000000003</v>
      </c>
      <c r="Y1433">
        <v>-7.238878E-2</v>
      </c>
      <c r="Z1433">
        <v>-8.7617209999999997E-4</v>
      </c>
      <c r="AA1433">
        <v>0.99737609999999999</v>
      </c>
      <c r="AB1433">
        <v>29</v>
      </c>
      <c r="AC1433">
        <v>-79.872299999999996</v>
      </c>
      <c r="AD1433">
        <v>-1.08424667</v>
      </c>
      <c r="AE1433">
        <v>-4.0191000000000301</v>
      </c>
      <c r="AF1433">
        <v>-5.8099431814703504</v>
      </c>
      <c r="AG1433">
        <v>-1.08424667</v>
      </c>
      <c r="AH1433">
        <v>79.747297751943705</v>
      </c>
      <c r="AI1433">
        <v>90.776888366219694</v>
      </c>
      <c r="AJ1433">
        <v>94.1668889404813</v>
      </c>
      <c r="AK1433">
        <v>79.966008587089505</v>
      </c>
      <c r="AL1433">
        <v>78.149578471213999</v>
      </c>
      <c r="AM1433">
        <v>87.109371660962395</v>
      </c>
      <c r="AN1433">
        <v>1.00000001421542</v>
      </c>
    </row>
    <row r="1434" spans="1:40" x14ac:dyDescent="0.25">
      <c r="A1434" t="str">
        <f>"20190303171007145"</f>
        <v>20190303171007145</v>
      </c>
      <c r="B1434" t="str">
        <f>"1551604207122155"</f>
        <v>1551604207122155</v>
      </c>
      <c r="C1434" t="s">
        <v>40</v>
      </c>
      <c r="D1434">
        <v>5.0753380000000003</v>
      </c>
      <c r="E1434">
        <v>0.45876139999999999</v>
      </c>
      <c r="F1434" t="s">
        <v>60</v>
      </c>
      <c r="G1434">
        <v>-316.9581</v>
      </c>
      <c r="H1434">
        <v>8.0001050000000004E-2</v>
      </c>
      <c r="I1434">
        <v>279.2595</v>
      </c>
      <c r="J1434">
        <v>-232.7603</v>
      </c>
      <c r="K1434">
        <v>1.12073</v>
      </c>
      <c r="L1434">
        <v>283.4649</v>
      </c>
      <c r="M1434">
        <v>-0.99974439999999998</v>
      </c>
      <c r="N1434">
        <v>-5.8235709999999996E-3</v>
      </c>
      <c r="O1434">
        <v>2.185403E-2</v>
      </c>
      <c r="P1434">
        <v>-0.97732289999999999</v>
      </c>
      <c r="Q1434">
        <v>0.1996135</v>
      </c>
      <c r="R1434">
        <v>7.0675119999999994E-2</v>
      </c>
      <c r="S1434">
        <v>-3.088654</v>
      </c>
      <c r="T1434">
        <v>-3.8060070000000001E-2</v>
      </c>
      <c r="U1434">
        <v>-0.15359500000000001</v>
      </c>
      <c r="V1434">
        <v>4.90448E-2</v>
      </c>
      <c r="W1434">
        <v>0.2053701</v>
      </c>
      <c r="X1434">
        <v>0.97745470000000001</v>
      </c>
      <c r="Y1434">
        <v>-7.1474540000000003E-2</v>
      </c>
      <c r="Z1434">
        <v>-7.9030820000000005E-4</v>
      </c>
      <c r="AA1434">
        <v>0.9974421</v>
      </c>
      <c r="AB1434">
        <v>29</v>
      </c>
      <c r="AC1434">
        <v>-84.197800000000001</v>
      </c>
      <c r="AD1434">
        <v>-1.0407289500000001</v>
      </c>
      <c r="AE1434">
        <v>-4.2053999999999903</v>
      </c>
      <c r="AF1434">
        <v>-6.0435666479795298</v>
      </c>
      <c r="AG1434">
        <v>-1.0407289500000001</v>
      </c>
      <c r="AH1434">
        <v>84.072971148786905</v>
      </c>
      <c r="AI1434">
        <v>90.707396004416395</v>
      </c>
      <c r="AJ1434">
        <v>94.111621814016502</v>
      </c>
      <c r="AK1434">
        <v>84.296336174003997</v>
      </c>
      <c r="AL1434">
        <v>78.148834561810503</v>
      </c>
      <c r="AM1434">
        <v>87.127534024445396</v>
      </c>
      <c r="AN1434">
        <v>0.99999998046656902</v>
      </c>
    </row>
    <row r="1435" spans="1:40" x14ac:dyDescent="0.25">
      <c r="A1435" t="str">
        <f>"20190303171007168"</f>
        <v>20190303171007168</v>
      </c>
      <c r="B1435" t="str">
        <f>"1551604207162171"</f>
        <v>1551604207162171</v>
      </c>
      <c r="C1435" t="s">
        <v>40</v>
      </c>
      <c r="D1435">
        <v>4.9744570000000001</v>
      </c>
      <c r="E1435">
        <v>0.47705560000000002</v>
      </c>
      <c r="F1435" t="s">
        <v>60</v>
      </c>
      <c r="G1435">
        <v>-318.67989999999998</v>
      </c>
      <c r="H1435">
        <v>8.0000600000000005E-2</v>
      </c>
      <c r="I1435">
        <v>279.1284</v>
      </c>
      <c r="J1435">
        <v>-233.0669</v>
      </c>
      <c r="K1435">
        <v>1.1206849999999999</v>
      </c>
      <c r="L1435">
        <v>283.47089999999997</v>
      </c>
      <c r="M1435">
        <v>-0.99976069999999995</v>
      </c>
      <c r="N1435">
        <v>-5.5412990000000004E-3</v>
      </c>
      <c r="O1435">
        <v>2.11626E-2</v>
      </c>
      <c r="P1435">
        <v>-0.97737070000000004</v>
      </c>
      <c r="Q1435">
        <v>0.19966619999999999</v>
      </c>
      <c r="R1435">
        <v>6.9856020000000005E-2</v>
      </c>
      <c r="S1435">
        <v>-3.0885310000000001</v>
      </c>
      <c r="T1435">
        <v>-3.7410859999999997E-2</v>
      </c>
      <c r="U1435">
        <v>-0.15588379999999999</v>
      </c>
      <c r="V1435">
        <v>4.8901569999999998E-2</v>
      </c>
      <c r="W1435">
        <v>0.205147</v>
      </c>
      <c r="X1435">
        <v>0.97750870000000001</v>
      </c>
      <c r="Y1435">
        <v>-7.1524299999999999E-2</v>
      </c>
      <c r="Z1435">
        <v>-7.7019960000000004E-4</v>
      </c>
      <c r="AA1435">
        <v>0.99743850000000001</v>
      </c>
      <c r="AB1435">
        <v>30</v>
      </c>
      <c r="AC1435">
        <v>-85.6129999999999</v>
      </c>
      <c r="AD1435">
        <v>-1.0406844</v>
      </c>
      <c r="AE1435">
        <v>-4.3424999999999701</v>
      </c>
      <c r="AF1435">
        <v>-6.15244217277953</v>
      </c>
      <c r="AG1435">
        <v>-1.0406844</v>
      </c>
      <c r="AH1435">
        <v>85.489326592730805</v>
      </c>
      <c r="AI1435">
        <v>90.695643403752399</v>
      </c>
      <c r="AJ1435">
        <v>94.116329896748098</v>
      </c>
      <c r="AK1435">
        <v>85.716745913435005</v>
      </c>
      <c r="AL1435">
        <v>78.161895060064793</v>
      </c>
      <c r="AM1435">
        <v>87.136066716922599</v>
      </c>
      <c r="AN1435">
        <v>0.99999995686657595</v>
      </c>
    </row>
    <row r="1436" spans="1:40" x14ac:dyDescent="0.25">
      <c r="A1436" t="str">
        <f>"20190303171007191"</f>
        <v>20190303171007191</v>
      </c>
      <c r="B1436" t="str">
        <f>"1551604207181691"</f>
        <v>1551604207181691</v>
      </c>
      <c r="C1436" t="s">
        <v>40</v>
      </c>
      <c r="D1436">
        <v>4.8615779999999997</v>
      </c>
      <c r="E1436">
        <v>0.47726800000000003</v>
      </c>
      <c r="F1436" t="s">
        <v>60</v>
      </c>
      <c r="G1436">
        <v>-282.43619999999999</v>
      </c>
      <c r="H1436" s="1">
        <v>7.6084379999999996E-6</v>
      </c>
      <c r="I1436">
        <v>283.2296</v>
      </c>
      <c r="J1436">
        <v>-233.37379999999999</v>
      </c>
      <c r="K1436">
        <v>1.12064599999999</v>
      </c>
      <c r="L1436">
        <v>283.47669999999999</v>
      </c>
      <c r="M1436">
        <v>-0.99977669999999996</v>
      </c>
      <c r="N1436">
        <v>-5.2615020000000004E-3</v>
      </c>
      <c r="O1436">
        <v>2.0469370000000001E-2</v>
      </c>
      <c r="P1436">
        <v>-0.97743820000000003</v>
      </c>
      <c r="Q1436">
        <v>0.19954730000000001</v>
      </c>
      <c r="R1436">
        <v>6.9250809999999996E-2</v>
      </c>
      <c r="S1436">
        <v>-3.084854</v>
      </c>
      <c r="T1436">
        <v>-7.0025799999999999E-2</v>
      </c>
      <c r="U1436">
        <v>-1.5075679999999999E-2</v>
      </c>
      <c r="V1436">
        <v>4.897315E-2</v>
      </c>
      <c r="W1436">
        <v>0.20475489999999999</v>
      </c>
      <c r="X1436">
        <v>0.97758730000000005</v>
      </c>
      <c r="Y1436">
        <v>-2.5344180000000001E-2</v>
      </c>
      <c r="Z1436">
        <v>-7.111795E-4</v>
      </c>
      <c r="AA1436">
        <v>0.99967859999999997</v>
      </c>
      <c r="AB1436">
        <v>30</v>
      </c>
      <c r="AC1436">
        <v>-49.062399999999997</v>
      </c>
      <c r="AD1436">
        <v>-1.12063839156199</v>
      </c>
      <c r="AE1436">
        <v>-0.247099999999988</v>
      </c>
      <c r="AF1436">
        <v>-1.2506859964783601</v>
      </c>
      <c r="AG1436">
        <v>-1.12063839156199</v>
      </c>
      <c r="AH1436">
        <v>49.021487533936003</v>
      </c>
      <c r="AI1436">
        <v>91.3091359814768</v>
      </c>
      <c r="AJ1436">
        <v>91.461471097941995</v>
      </c>
      <c r="AK1436">
        <v>49.050242465315797</v>
      </c>
      <c r="AL1436">
        <v>78.184847698879494</v>
      </c>
      <c r="AM1436">
        <v>87.132111827447204</v>
      </c>
      <c r="AN1436">
        <v>0.99999993380810903</v>
      </c>
    </row>
    <row r="1437" spans="1:40" x14ac:dyDescent="0.25">
      <c r="A1437" t="str">
        <f>"20190303171007212"</f>
        <v>20190303171007212</v>
      </c>
      <c r="B1437" t="str">
        <f>"1551604207202187"</f>
        <v>1551604207202187</v>
      </c>
      <c r="C1437" t="s">
        <v>40</v>
      </c>
      <c r="D1437">
        <v>5.0964619999999998</v>
      </c>
      <c r="E1437">
        <v>0.47782439999999998</v>
      </c>
      <c r="F1437" t="s">
        <v>60</v>
      </c>
      <c r="G1437">
        <v>-281.14510000000001</v>
      </c>
      <c r="H1437" s="1">
        <v>8.1803470000000005E-6</v>
      </c>
      <c r="I1437">
        <v>283.2328</v>
      </c>
      <c r="J1437">
        <v>-233.6703</v>
      </c>
      <c r="K1437">
        <v>1.120619</v>
      </c>
      <c r="L1437">
        <v>283.4821</v>
      </c>
      <c r="M1437">
        <v>-0.9997916</v>
      </c>
      <c r="N1437">
        <v>-5.0072930000000003E-3</v>
      </c>
      <c r="O1437">
        <v>1.9798659999999999E-2</v>
      </c>
      <c r="P1437">
        <v>-0.97739450000000005</v>
      </c>
      <c r="Q1437">
        <v>0.20010829999999999</v>
      </c>
      <c r="R1437">
        <v>6.8242129999999998E-2</v>
      </c>
      <c r="S1437">
        <v>-3.0851440000000001</v>
      </c>
      <c r="T1437">
        <v>-7.237267E-2</v>
      </c>
      <c r="U1437">
        <v>-1.5747069999999998E-2</v>
      </c>
      <c r="V1437">
        <v>4.8619809999999999E-2</v>
      </c>
      <c r="W1437">
        <v>0.20506720000000001</v>
      </c>
      <c r="X1437">
        <v>0.97753950000000001</v>
      </c>
      <c r="Y1437">
        <v>-2.4890059999999999E-2</v>
      </c>
      <c r="Z1437">
        <v>-7.1945759999999896E-4</v>
      </c>
      <c r="AA1437">
        <v>0.99968990000000002</v>
      </c>
      <c r="AB1437">
        <v>30</v>
      </c>
      <c r="AC1437">
        <v>-47.474800000000002</v>
      </c>
      <c r="AD1437">
        <v>-1.120610819653</v>
      </c>
      <c r="AE1437">
        <v>-0.24930000000000499</v>
      </c>
      <c r="AF1437">
        <v>-1.18853800499752</v>
      </c>
      <c r="AG1437">
        <v>-1.120610819653</v>
      </c>
      <c r="AH1437">
        <v>47.434130361111997</v>
      </c>
      <c r="AI1437">
        <v>91.352911802543602</v>
      </c>
      <c r="AJ1437">
        <v>91.435337063971502</v>
      </c>
      <c r="AK1437">
        <v>47.4622493600273</v>
      </c>
      <c r="AL1437">
        <v>78.166566598820495</v>
      </c>
      <c r="AM1437">
        <v>87.152630398882096</v>
      </c>
      <c r="AN1437">
        <v>0.999999958250262</v>
      </c>
    </row>
    <row r="1438" spans="1:40" x14ac:dyDescent="0.25">
      <c r="A1438" t="str">
        <f>"20190303171007238"</f>
        <v>20190303171007238</v>
      </c>
      <c r="B1438" t="str">
        <f>"1551604207232443"</f>
        <v>1551604207232443</v>
      </c>
      <c r="C1438" t="s">
        <v>40</v>
      </c>
      <c r="D1438">
        <v>5.1072579999999999</v>
      </c>
      <c r="E1438">
        <v>0.47771340000000001</v>
      </c>
      <c r="F1438" t="s">
        <v>60</v>
      </c>
      <c r="G1438">
        <v>-280.57760000000002</v>
      </c>
      <c r="H1438" s="1">
        <v>8.4264139999999994E-6</v>
      </c>
      <c r="I1438">
        <v>283.25990000000002</v>
      </c>
      <c r="J1438">
        <v>-233.9879</v>
      </c>
      <c r="K1438">
        <v>1.1205969999999901</v>
      </c>
      <c r="L1438">
        <v>283.48770000000002</v>
      </c>
      <c r="M1438">
        <v>-0.99980670000000005</v>
      </c>
      <c r="N1438">
        <v>-4.7588680000000003E-3</v>
      </c>
      <c r="O1438">
        <v>1.907938E-2</v>
      </c>
      <c r="P1438">
        <v>-0.97736690000000004</v>
      </c>
      <c r="Q1438">
        <v>0.200406</v>
      </c>
      <c r="R1438">
        <v>6.7760860000000006E-2</v>
      </c>
      <c r="S1438">
        <v>-3.0854949999999999</v>
      </c>
      <c r="T1438">
        <v>-7.3712230000000004E-2</v>
      </c>
      <c r="U1438">
        <v>-1.461792E-2</v>
      </c>
      <c r="V1438">
        <v>4.8840380000000003E-2</v>
      </c>
      <c r="W1438">
        <v>0.20512269999999999</v>
      </c>
      <c r="X1438">
        <v>0.97751690000000002</v>
      </c>
      <c r="Y1438">
        <v>-2.380446E-2</v>
      </c>
      <c r="Z1438">
        <v>-7.0588539999999998E-4</v>
      </c>
      <c r="AA1438">
        <v>0.99971639999999995</v>
      </c>
      <c r="AB1438">
        <v>30</v>
      </c>
      <c r="AC1438">
        <v>-46.589700000000001</v>
      </c>
      <c r="AD1438">
        <v>-1.1205885735859999</v>
      </c>
      <c r="AE1438">
        <v>-0.227800000000001</v>
      </c>
      <c r="AF1438">
        <v>-1.1160255225521301</v>
      </c>
      <c r="AG1438">
        <v>-1.1205885735859999</v>
      </c>
      <c r="AH1438">
        <v>46.5499437816488</v>
      </c>
      <c r="AI1438">
        <v>91.378608845807506</v>
      </c>
      <c r="AJ1438">
        <v>91.373391671587299</v>
      </c>
      <c r="AK1438">
        <v>46.576802142192001</v>
      </c>
      <c r="AL1438">
        <v>78.163318084977902</v>
      </c>
      <c r="AM1438">
        <v>87.139668324911796</v>
      </c>
      <c r="AN1438">
        <v>0.999999997279722</v>
      </c>
    </row>
    <row r="1439" spans="1:40" x14ac:dyDescent="0.25">
      <c r="A1439" t="str">
        <f>"20190303171007258"</f>
        <v>20190303171007258</v>
      </c>
      <c r="B1439" t="str">
        <f>"1551604207251963"</f>
        <v>1551604207251963</v>
      </c>
      <c r="C1439" t="s">
        <v>40</v>
      </c>
      <c r="D1439">
        <v>5.1182809999999996</v>
      </c>
      <c r="E1439">
        <v>0.47801739999999998</v>
      </c>
      <c r="F1439" t="s">
        <v>60</v>
      </c>
      <c r="G1439">
        <v>-282.37040000000002</v>
      </c>
      <c r="H1439" s="1">
        <v>7.6387709999999994E-6</v>
      </c>
      <c r="I1439">
        <v>283.22399999999999</v>
      </c>
      <c r="J1439">
        <v>-234.28739999999999</v>
      </c>
      <c r="K1439">
        <v>1.120576</v>
      </c>
      <c r="L1439">
        <v>283.49279999999999</v>
      </c>
      <c r="M1439">
        <v>-0.9998205</v>
      </c>
      <c r="N1439">
        <v>-4.5506260000000003E-3</v>
      </c>
      <c r="O1439">
        <v>1.840048E-2</v>
      </c>
      <c r="P1439">
        <v>-0.97737439999999998</v>
      </c>
      <c r="Q1439">
        <v>0.20056370000000001</v>
      </c>
      <c r="R1439">
        <v>6.718404E-2</v>
      </c>
      <c r="S1439">
        <v>-3.0852810000000002</v>
      </c>
      <c r="T1439">
        <v>-7.1458339999999995E-2</v>
      </c>
      <c r="U1439">
        <v>-1.6815190000000001E-2</v>
      </c>
      <c r="V1439">
        <v>4.8925410000000003E-2</v>
      </c>
      <c r="W1439">
        <v>0.20507739999999999</v>
      </c>
      <c r="X1439">
        <v>0.97752209999999995</v>
      </c>
      <c r="Y1439">
        <v>-2.3838689999999999E-2</v>
      </c>
      <c r="Z1439">
        <v>-6.7264970000000001E-4</v>
      </c>
      <c r="AA1439">
        <v>0.99971560000000004</v>
      </c>
      <c r="AB1439">
        <v>30</v>
      </c>
      <c r="AC1439">
        <v>-48.082999999999998</v>
      </c>
      <c r="AD1439">
        <v>-1.1205683612289901</v>
      </c>
      <c r="AE1439">
        <v>-0.26879999999999798</v>
      </c>
      <c r="AF1439">
        <v>-1.1528876568295501</v>
      </c>
      <c r="AG1439">
        <v>-1.1205683612289901</v>
      </c>
      <c r="AH1439">
        <v>48.043820518102898</v>
      </c>
      <c r="AI1439">
        <v>91.335733317416398</v>
      </c>
      <c r="AJ1439">
        <v>91.374639268678905</v>
      </c>
      <c r="AK1439">
        <v>48.0707136765946</v>
      </c>
      <c r="AL1439">
        <v>78.165969342686296</v>
      </c>
      <c r="AM1439">
        <v>87.134712060025706</v>
      </c>
      <c r="AN1439">
        <v>0.99999994586141705</v>
      </c>
    </row>
    <row r="1440" spans="1:40" x14ac:dyDescent="0.25">
      <c r="A1440" t="str">
        <f>"20190303171007282"</f>
        <v>20190303171007282</v>
      </c>
      <c r="B1440" t="str">
        <f>"1551604207272459"</f>
        <v>1551604207272459</v>
      </c>
      <c r="C1440" t="s">
        <v>40</v>
      </c>
      <c r="D1440">
        <v>4.9565859999999997</v>
      </c>
      <c r="E1440">
        <v>0.4779004</v>
      </c>
      <c r="F1440" t="s">
        <v>60</v>
      </c>
      <c r="G1440">
        <v>-282.10120000000001</v>
      </c>
      <c r="H1440" s="1">
        <v>7.7555709999999997E-6</v>
      </c>
      <c r="I1440">
        <v>283.23649999999998</v>
      </c>
      <c r="J1440">
        <v>-234.5951</v>
      </c>
      <c r="K1440">
        <v>1.1205609999999999</v>
      </c>
      <c r="L1440">
        <v>283.49779999999998</v>
      </c>
      <c r="M1440">
        <v>-0.99983379999999999</v>
      </c>
      <c r="N1440">
        <v>-4.3590699999999996E-3</v>
      </c>
      <c r="O1440">
        <v>1.770302E-2</v>
      </c>
      <c r="P1440">
        <v>-0.97741140000000004</v>
      </c>
      <c r="Q1440">
        <v>0.20052710000000001</v>
      </c>
      <c r="R1440">
        <v>6.6754170000000002E-2</v>
      </c>
      <c r="S1440">
        <v>-3.0854189999999999</v>
      </c>
      <c r="T1440">
        <v>-7.2309970000000001E-2</v>
      </c>
      <c r="U1440">
        <v>-1.6540530000000001E-2</v>
      </c>
      <c r="V1440">
        <v>4.9174580000000002E-2</v>
      </c>
      <c r="W1440">
        <v>0.2048548</v>
      </c>
      <c r="X1440">
        <v>0.97755630000000004</v>
      </c>
      <c r="Y1440">
        <v>-2.3052159999999999E-2</v>
      </c>
      <c r="Z1440">
        <v>-6.5799369999999997E-4</v>
      </c>
      <c r="AA1440">
        <v>0.99973400000000001</v>
      </c>
      <c r="AB1440">
        <v>30</v>
      </c>
      <c r="AC1440">
        <v>-47.506100000000004</v>
      </c>
      <c r="AD1440">
        <v>-1.1205532444290001</v>
      </c>
      <c r="AE1440">
        <v>-0.26130000000000497</v>
      </c>
      <c r="AF1440">
        <v>-1.10165555530397</v>
      </c>
      <c r="AG1440">
        <v>-1.1205532444290001</v>
      </c>
      <c r="AH1440">
        <v>47.4676203847011</v>
      </c>
      <c r="AI1440">
        <v>91.351948430877201</v>
      </c>
      <c r="AJ1440">
        <v>91.329514392558195</v>
      </c>
      <c r="AK1440">
        <v>47.493623461704999</v>
      </c>
      <c r="AL1440">
        <v>78.179000375547602</v>
      </c>
      <c r="AM1440">
        <v>87.120244650691802</v>
      </c>
      <c r="AN1440">
        <v>0.99999997403545204</v>
      </c>
    </row>
    <row r="1441" spans="1:40" x14ac:dyDescent="0.25">
      <c r="A1441" t="str">
        <f>"20190303171007303"</f>
        <v>20190303171007303</v>
      </c>
      <c r="B1441" t="str">
        <f>"1551604207291979"</f>
        <v>1551604207291979</v>
      </c>
      <c r="C1441" t="s">
        <v>40</v>
      </c>
      <c r="D1441">
        <v>5.1399869999999996</v>
      </c>
      <c r="E1441">
        <v>0.47776039999999997</v>
      </c>
      <c r="F1441" t="s">
        <v>60</v>
      </c>
      <c r="G1441">
        <v>-281.43200000000002</v>
      </c>
      <c r="H1441" s="1">
        <v>8.0575959999999996E-6</v>
      </c>
      <c r="I1441">
        <v>283.21109999999999</v>
      </c>
      <c r="J1441">
        <v>-234.9034</v>
      </c>
      <c r="K1441">
        <v>1.1205459999999901</v>
      </c>
      <c r="L1441">
        <v>283.50259999999997</v>
      </c>
      <c r="M1441">
        <v>-0.99984660000000003</v>
      </c>
      <c r="N1441">
        <v>-4.1890460000000001E-3</v>
      </c>
      <c r="O1441">
        <v>1.7005559999999999E-2</v>
      </c>
      <c r="P1441">
        <v>-0.97751440000000001</v>
      </c>
      <c r="Q1441">
        <v>0.20030970000000001</v>
      </c>
      <c r="R1441">
        <v>6.5892370000000006E-2</v>
      </c>
      <c r="S1441">
        <v>-3.085785</v>
      </c>
      <c r="T1441">
        <v>-7.3826069999999994E-2</v>
      </c>
      <c r="U1441">
        <v>-1.8890379999999998E-2</v>
      </c>
      <c r="V1441">
        <v>4.8991069999999998E-2</v>
      </c>
      <c r="W1441">
        <v>0.2044716</v>
      </c>
      <c r="X1441">
        <v>0.97764580000000001</v>
      </c>
      <c r="Y1441">
        <v>-2.3115050000000002E-2</v>
      </c>
      <c r="Z1441">
        <v>-6.6043979999999905E-4</v>
      </c>
      <c r="AA1441">
        <v>0.99973259999999997</v>
      </c>
      <c r="AB1441">
        <v>31</v>
      </c>
      <c r="AC1441">
        <v>-46.528599999999997</v>
      </c>
      <c r="AD1441">
        <v>-1.1205379424039901</v>
      </c>
      <c r="AE1441">
        <v>-0.29149999999998499</v>
      </c>
      <c r="AF1441">
        <v>-1.0820821424015199</v>
      </c>
      <c r="AG1441">
        <v>-1.1205379424039901</v>
      </c>
      <c r="AH1441">
        <v>46.489952256279203</v>
      </c>
      <c r="AI1441">
        <v>91.380347575172806</v>
      </c>
      <c r="AJ1441">
        <v>91.333353648484305</v>
      </c>
      <c r="AK1441">
        <v>46.516042048248202</v>
      </c>
      <c r="AL1441">
        <v>78.201431650597598</v>
      </c>
      <c r="AM1441">
        <v>87.131235561136506</v>
      </c>
      <c r="AN1441">
        <v>1.00000003520197</v>
      </c>
    </row>
    <row r="1442" spans="1:40" x14ac:dyDescent="0.25">
      <c r="A1442" t="str">
        <f>"20190303171007347"</f>
        <v>20190303171007347</v>
      </c>
      <c r="B1442" t="str">
        <f>"1551604207341755"</f>
        <v>1551604207341755</v>
      </c>
      <c r="C1442" t="s">
        <v>40</v>
      </c>
      <c r="D1442">
        <v>5.1873719999999999</v>
      </c>
      <c r="E1442">
        <v>0.47784850000000001</v>
      </c>
      <c r="F1442" t="s">
        <v>60</v>
      </c>
      <c r="G1442">
        <v>-280.10250000000002</v>
      </c>
      <c r="H1442" s="1">
        <v>8.6545449999999997E-6</v>
      </c>
      <c r="I1442">
        <v>283.17540000000002</v>
      </c>
      <c r="J1442">
        <v>-235.50139999999999</v>
      </c>
      <c r="K1442">
        <v>1.1205290000000001</v>
      </c>
      <c r="L1442">
        <v>283.51130000000001</v>
      </c>
      <c r="M1442">
        <v>-0.99986960000000003</v>
      </c>
      <c r="N1442">
        <v>-3.9320900000000001E-3</v>
      </c>
      <c r="O1442">
        <v>1.5669470000000001E-2</v>
      </c>
      <c r="P1442">
        <v>-0.97751319999999997</v>
      </c>
      <c r="Q1442">
        <v>0.20105690000000001</v>
      </c>
      <c r="R1442">
        <v>6.3593759999999999E-2</v>
      </c>
      <c r="S1442">
        <v>-3.0861969999999999</v>
      </c>
      <c r="T1442">
        <v>-7.6510430000000004E-2</v>
      </c>
      <c r="U1442">
        <v>-2.233887E-2</v>
      </c>
      <c r="V1442">
        <v>4.7996339999999998E-2</v>
      </c>
      <c r="W1442">
        <v>0.2049668</v>
      </c>
      <c r="X1442">
        <v>0.9775914</v>
      </c>
      <c r="Y1442">
        <v>-2.2894850000000001E-2</v>
      </c>
      <c r="Z1442">
        <v>-6.5555569999999996E-4</v>
      </c>
      <c r="AA1442">
        <v>0.99973769999999995</v>
      </c>
      <c r="AB1442">
        <v>31</v>
      </c>
      <c r="AC1442">
        <v>-44.601100000000002</v>
      </c>
      <c r="AD1442">
        <v>-1.1205203454549999</v>
      </c>
      <c r="AE1442">
        <v>-0.33589999999998099</v>
      </c>
      <c r="AF1442">
        <v>-1.03408703663205</v>
      </c>
      <c r="AG1442">
        <v>-1.1205203454549999</v>
      </c>
      <c r="AH1442">
        <v>44.562235779134397</v>
      </c>
      <c r="AI1442">
        <v>91.4400151098924</v>
      </c>
      <c r="AJ1442">
        <v>91.3293361568915</v>
      </c>
      <c r="AK1442">
        <v>44.588314158297997</v>
      </c>
      <c r="AL1442">
        <v>78.172444338985599</v>
      </c>
      <c r="AM1442">
        <v>87.189233336315795</v>
      </c>
      <c r="AN1442">
        <v>0.99999999155479702</v>
      </c>
    </row>
    <row r="1443" spans="1:40" x14ac:dyDescent="0.25">
      <c r="A1443" t="str">
        <f>"20190303171007371"</f>
        <v>20190303171007371</v>
      </c>
      <c r="B1443" t="str">
        <f>"1551604207362251"</f>
        <v>1551604207362251</v>
      </c>
      <c r="C1443" t="s">
        <v>40</v>
      </c>
      <c r="D1443">
        <v>5.104311</v>
      </c>
      <c r="E1443">
        <v>0.4777749</v>
      </c>
      <c r="F1443" t="s">
        <v>60</v>
      </c>
      <c r="G1443">
        <v>-281.44279999999998</v>
      </c>
      <c r="H1443" s="1">
        <v>8.0779639999999994E-6</v>
      </c>
      <c r="I1443">
        <v>283.08929999999998</v>
      </c>
      <c r="J1443">
        <v>-235.83860000000001</v>
      </c>
      <c r="K1443">
        <v>1.1205240000000001</v>
      </c>
      <c r="L1443">
        <v>283.51589999999999</v>
      </c>
      <c r="M1443">
        <v>-0.99988109999999997</v>
      </c>
      <c r="N1443">
        <v>-3.8347450000000001E-3</v>
      </c>
      <c r="O1443">
        <v>1.493768E-2</v>
      </c>
      <c r="P1443">
        <v>-0.97753460000000003</v>
      </c>
      <c r="Q1443">
        <v>0.20122789999999999</v>
      </c>
      <c r="R1443">
        <v>6.2719490000000003E-2</v>
      </c>
      <c r="S1443">
        <v>-3.0863339999999999</v>
      </c>
      <c r="T1443">
        <v>-7.5276369999999995E-2</v>
      </c>
      <c r="U1443">
        <v>-2.835083E-2</v>
      </c>
      <c r="V1443">
        <v>4.7839600000000003E-2</v>
      </c>
      <c r="W1443">
        <v>0.2050419</v>
      </c>
      <c r="X1443">
        <v>0.97758330000000004</v>
      </c>
      <c r="Y1443">
        <v>-2.4110220000000002E-2</v>
      </c>
      <c r="Z1443">
        <v>-6.4720730000000001E-4</v>
      </c>
      <c r="AA1443">
        <v>0.99970910000000002</v>
      </c>
      <c r="AB1443">
        <v>31</v>
      </c>
      <c r="AC1443">
        <v>-45.604199999999899</v>
      </c>
      <c r="AD1443">
        <v>-1.1205159220359999</v>
      </c>
      <c r="AE1443">
        <v>-0.42660000000000697</v>
      </c>
      <c r="AF1443">
        <v>-1.1071100270435299</v>
      </c>
      <c r="AG1443">
        <v>-1.1205159220359999</v>
      </c>
      <c r="AH1443">
        <v>45.565233596041899</v>
      </c>
      <c r="AI1443">
        <v>91.408287862732607</v>
      </c>
      <c r="AJ1443">
        <v>91.3918562197168</v>
      </c>
      <c r="AK1443">
        <v>45.592452897440999</v>
      </c>
      <c r="AL1443">
        <v>78.168047653845903</v>
      </c>
      <c r="AM1443">
        <v>87.198374536299497</v>
      </c>
      <c r="AN1443">
        <v>0.99999995826132904</v>
      </c>
    </row>
    <row r="1444" spans="1:40" x14ac:dyDescent="0.25">
      <c r="A1444" t="str">
        <f>"20190303171007392"</f>
        <v>20190303171007392</v>
      </c>
      <c r="B1444" t="str">
        <f>"1551604207381771"</f>
        <v>1551604207381771</v>
      </c>
      <c r="C1444" t="s">
        <v>40</v>
      </c>
      <c r="D1444">
        <v>5.1795939999999998</v>
      </c>
      <c r="E1444">
        <v>0.47787350000000001</v>
      </c>
      <c r="F1444" t="s">
        <v>60</v>
      </c>
      <c r="G1444">
        <v>-282.31529999999998</v>
      </c>
      <c r="H1444" s="1">
        <v>7.7029739999999995E-6</v>
      </c>
      <c r="I1444">
        <v>283.03149999999999</v>
      </c>
      <c r="J1444">
        <v>-236.1414</v>
      </c>
      <c r="K1444">
        <v>1.1205210000000001</v>
      </c>
      <c r="L1444">
        <v>283.5197</v>
      </c>
      <c r="M1444">
        <v>-0.99989059999999996</v>
      </c>
      <c r="N1444">
        <v>-3.77415E-3</v>
      </c>
      <c r="O1444">
        <v>1.430495E-2</v>
      </c>
      <c r="P1444">
        <v>-0.97766149999999996</v>
      </c>
      <c r="Q1444">
        <v>0.2009821</v>
      </c>
      <c r="R1444">
        <v>6.1517009999999997E-2</v>
      </c>
      <c r="S1444">
        <v>-3.0863040000000002</v>
      </c>
      <c r="T1444">
        <v>-7.4408290000000002E-2</v>
      </c>
      <c r="U1444">
        <v>-3.2165529999999998E-2</v>
      </c>
      <c r="V1444">
        <v>4.7259410000000002E-2</v>
      </c>
      <c r="W1444">
        <v>0.20473530000000001</v>
      </c>
      <c r="X1444">
        <v>0.97767579999999998</v>
      </c>
      <c r="Y1444">
        <v>-2.4713410000000002E-2</v>
      </c>
      <c r="Z1444">
        <v>-6.3534170000000001E-4</v>
      </c>
      <c r="AA1444">
        <v>0.99969430000000004</v>
      </c>
      <c r="AB1444">
        <v>31</v>
      </c>
      <c r="AC1444">
        <v>-46.173899999999897</v>
      </c>
      <c r="AD1444">
        <v>-1.1205132970260001</v>
      </c>
      <c r="AE1444">
        <v>-0.48820000000000602</v>
      </c>
      <c r="AF1444">
        <v>-1.14799407514606</v>
      </c>
      <c r="AG1444">
        <v>-1.1205132970260001</v>
      </c>
      <c r="AH1444">
        <v>46.135025806265801</v>
      </c>
      <c r="AI1444">
        <v>91.390878347550398</v>
      </c>
      <c r="AJ1444">
        <v>91.425416886881493</v>
      </c>
      <c r="AK1444">
        <v>46.162907692109201</v>
      </c>
      <c r="AL1444">
        <v>78.185995583838704</v>
      </c>
      <c r="AM1444">
        <v>87.2325604384109</v>
      </c>
      <c r="AN1444">
        <v>0.99999998240263799</v>
      </c>
    </row>
    <row r="1445" spans="1:40" x14ac:dyDescent="0.25">
      <c r="A1445" t="str">
        <f>"20190303171007414"</f>
        <v>20190303171007414</v>
      </c>
      <c r="B1445" t="str">
        <f>"1551604207402267"</f>
        <v>1551604207402267</v>
      </c>
      <c r="C1445" t="s">
        <v>40</v>
      </c>
      <c r="D1445">
        <v>4.9563119999999996</v>
      </c>
      <c r="E1445">
        <v>0.47789150000000002</v>
      </c>
      <c r="F1445" t="s">
        <v>60</v>
      </c>
      <c r="G1445">
        <v>-281.44729999999998</v>
      </c>
      <c r="H1445" s="1">
        <v>8.0923580000000008E-6</v>
      </c>
      <c r="I1445">
        <v>283.00990000000002</v>
      </c>
      <c r="J1445">
        <v>-236.45679999999999</v>
      </c>
      <c r="K1445">
        <v>1.1205050000000001</v>
      </c>
      <c r="L1445">
        <v>283.52370000000002</v>
      </c>
      <c r="M1445">
        <v>-0.9998996</v>
      </c>
      <c r="N1445">
        <v>-3.7363779999999998E-3</v>
      </c>
      <c r="O1445">
        <v>1.3679729999999999E-2</v>
      </c>
      <c r="P1445">
        <v>-0.97779119999999997</v>
      </c>
      <c r="Q1445">
        <v>0.20075809999999999</v>
      </c>
      <c r="R1445">
        <v>6.0170719999999997E-2</v>
      </c>
      <c r="S1445">
        <v>-3.0864259999999999</v>
      </c>
      <c r="T1445">
        <v>-7.6333999999999999E-2</v>
      </c>
      <c r="U1445">
        <v>-3.4729000000000003E-2</v>
      </c>
      <c r="V1445">
        <v>4.6531980000000001E-2</v>
      </c>
      <c r="W1445">
        <v>0.2044716</v>
      </c>
      <c r="X1445">
        <v>0.97776589999999997</v>
      </c>
      <c r="Y1445">
        <v>-2.4917580000000002E-2</v>
      </c>
      <c r="Z1445">
        <v>-6.4179720000000001E-4</v>
      </c>
      <c r="AA1445">
        <v>0.9996893</v>
      </c>
      <c r="AB1445">
        <v>31</v>
      </c>
      <c r="AC1445">
        <v>-44.990499999999997</v>
      </c>
      <c r="AD1445">
        <v>-1.1204969076419999</v>
      </c>
      <c r="AE1445">
        <v>-0.51380000000000303</v>
      </c>
      <c r="AF1445">
        <v>-1.1285141263096199</v>
      </c>
      <c r="AG1445">
        <v>-1.1204969076419999</v>
      </c>
      <c r="AH1445">
        <v>44.9513831149577</v>
      </c>
      <c r="AI1445">
        <v>91.427458688431102</v>
      </c>
      <c r="AJ1445">
        <v>91.4381207639221</v>
      </c>
      <c r="AK1445">
        <v>44.979505348558703</v>
      </c>
      <c r="AL1445">
        <v>78.201431322477802</v>
      </c>
      <c r="AM1445">
        <v>87.275343654454005</v>
      </c>
      <c r="AN1445">
        <v>1.00000000778604</v>
      </c>
    </row>
    <row r="1446" spans="1:40" x14ac:dyDescent="0.25">
      <c r="A1446" t="str">
        <f>"20190303171007438"</f>
        <v>20190303171007438</v>
      </c>
      <c r="B1446" t="str">
        <f>"1551604207431548"</f>
        <v>1551604207431548</v>
      </c>
      <c r="C1446" t="s">
        <v>40</v>
      </c>
      <c r="D1446">
        <v>5.1365689999999997</v>
      </c>
      <c r="E1446">
        <v>0.477904</v>
      </c>
      <c r="F1446" t="s">
        <v>60</v>
      </c>
      <c r="G1446">
        <v>-280.298</v>
      </c>
      <c r="H1446" s="1">
        <v>8.6071320000000002E-6</v>
      </c>
      <c r="I1446">
        <v>282.9853</v>
      </c>
      <c r="J1446">
        <v>-236.7758</v>
      </c>
      <c r="K1446">
        <v>1.120487</v>
      </c>
      <c r="L1446">
        <v>283.52749999999997</v>
      </c>
      <c r="M1446">
        <v>-0.9999074</v>
      </c>
      <c r="N1446">
        <v>-3.7209729999999998E-3</v>
      </c>
      <c r="O1446">
        <v>1.309568E-2</v>
      </c>
      <c r="P1446">
        <v>-0.97770950000000001</v>
      </c>
      <c r="Q1446">
        <v>0.20148750000000001</v>
      </c>
      <c r="R1446">
        <v>5.9052729999999998E-2</v>
      </c>
      <c r="S1446">
        <v>-3.0866699999999998</v>
      </c>
      <c r="T1446">
        <v>-7.888937E-2</v>
      </c>
      <c r="U1446">
        <v>-3.7902829999999998E-2</v>
      </c>
      <c r="V1446">
        <v>4.59993E-2</v>
      </c>
      <c r="W1446">
        <v>0.205182</v>
      </c>
      <c r="X1446">
        <v>0.97764229999999996</v>
      </c>
      <c r="Y1446">
        <v>-2.5359719999999999E-2</v>
      </c>
      <c r="Z1446">
        <v>-6.5711259999999896E-4</v>
      </c>
      <c r="AA1446">
        <v>0.99967819999999996</v>
      </c>
      <c r="AB1446">
        <v>32</v>
      </c>
      <c r="AC1446">
        <v>-43.522199999999998</v>
      </c>
      <c r="AD1446">
        <v>-1.120478392868</v>
      </c>
      <c r="AE1446">
        <v>-0.54219999999997903</v>
      </c>
      <c r="AF1446">
        <v>-1.1113737024316599</v>
      </c>
      <c r="AG1446">
        <v>-1.120478392868</v>
      </c>
      <c r="AH1446">
        <v>43.4825513547787</v>
      </c>
      <c r="AI1446">
        <v>91.475615661103006</v>
      </c>
      <c r="AJ1446">
        <v>91.464108246739301</v>
      </c>
      <c r="AK1446">
        <v>43.511181271672001</v>
      </c>
      <c r="AL1446">
        <v>78.159846972925806</v>
      </c>
      <c r="AM1446">
        <v>87.306148230588903</v>
      </c>
      <c r="AN1446">
        <v>1.0000000277368799</v>
      </c>
    </row>
    <row r="1447" spans="1:40" x14ac:dyDescent="0.25">
      <c r="A1447" t="str">
        <f>"20190303171007457"</f>
        <v>20190303171007457</v>
      </c>
      <c r="B1447" t="str">
        <f>"1551604207452042"</f>
        <v>1551604207452042</v>
      </c>
      <c r="C1447" t="s">
        <v>40</v>
      </c>
      <c r="D1447">
        <v>5.1437530000000002</v>
      </c>
      <c r="E1447">
        <v>0.47798849999999998</v>
      </c>
      <c r="F1447" t="s">
        <v>60</v>
      </c>
      <c r="G1447">
        <v>-280.45659999999998</v>
      </c>
      <c r="H1447" s="1">
        <v>8.5463839999999996E-6</v>
      </c>
      <c r="I1447">
        <v>282.93900000000002</v>
      </c>
      <c r="J1447">
        <v>-237.0727</v>
      </c>
      <c r="K1447">
        <v>1.120463</v>
      </c>
      <c r="L1447">
        <v>283.53089999999997</v>
      </c>
      <c r="M1447">
        <v>-0.99991379999999996</v>
      </c>
      <c r="N1447">
        <v>-3.7184919999999999E-3</v>
      </c>
      <c r="O1447">
        <v>1.26073E-2</v>
      </c>
      <c r="P1447">
        <v>-0.9774119</v>
      </c>
      <c r="Q1447">
        <v>0.20306769999999999</v>
      </c>
      <c r="R1447">
        <v>5.8564600000000001E-2</v>
      </c>
      <c r="S1447">
        <v>-3.08725</v>
      </c>
      <c r="T1447">
        <v>-7.9192760000000001E-2</v>
      </c>
      <c r="U1447">
        <v>-4.1595460000000001E-2</v>
      </c>
      <c r="V1447">
        <v>4.60075E-2</v>
      </c>
      <c r="W1447">
        <v>0.20675450000000001</v>
      </c>
      <c r="X1447">
        <v>0.97731049999999997</v>
      </c>
      <c r="Y1447">
        <v>-2.606441E-2</v>
      </c>
      <c r="Z1447">
        <v>-6.5915579999999997E-4</v>
      </c>
      <c r="AA1447">
        <v>0.99966010000000005</v>
      </c>
      <c r="AB1447">
        <v>32</v>
      </c>
      <c r="AC1447">
        <v>-43.383899999999898</v>
      </c>
      <c r="AD1447">
        <v>-1.1204544536159999</v>
      </c>
      <c r="AE1447">
        <v>-0.59189999999995202</v>
      </c>
      <c r="AF1447">
        <v>-1.13805152985636</v>
      </c>
      <c r="AG1447">
        <v>-1.1204544536159999</v>
      </c>
      <c r="AH1447">
        <v>43.344084216813002</v>
      </c>
      <c r="AI1447">
        <v>91.480269253604206</v>
      </c>
      <c r="AJ1447">
        <v>91.504024664754397</v>
      </c>
      <c r="AK1447">
        <v>43.373496700881901</v>
      </c>
      <c r="AL1447">
        <v>78.067774431311307</v>
      </c>
      <c r="AM1447">
        <v>87.304755337138701</v>
      </c>
      <c r="AN1447">
        <v>0.99999996336837405</v>
      </c>
    </row>
    <row r="1448" spans="1:40" x14ac:dyDescent="0.25">
      <c r="A1448" t="str">
        <f>"20190303171007480"</f>
        <v>20190303171007480</v>
      </c>
      <c r="B1448" t="str">
        <f>"1551604207472539"</f>
        <v>1551604207472539</v>
      </c>
      <c r="C1448" t="s">
        <v>40</v>
      </c>
      <c r="D1448">
        <v>5.2819719999999997</v>
      </c>
      <c r="E1448">
        <v>0.50578729999999905</v>
      </c>
      <c r="F1448" t="s">
        <v>60</v>
      </c>
      <c r="G1448">
        <v>-283.70409999999998</v>
      </c>
      <c r="H1448" s="1">
        <v>7.1176459999999901E-6</v>
      </c>
      <c r="I1448">
        <v>282.88380000000001</v>
      </c>
      <c r="J1448">
        <v>-237.39920000000001</v>
      </c>
      <c r="K1448">
        <v>1.120431</v>
      </c>
      <c r="L1448">
        <v>283.53449999999998</v>
      </c>
      <c r="M1448">
        <v>-0.99991980000000003</v>
      </c>
      <c r="N1448">
        <v>-3.7231479999999999E-3</v>
      </c>
      <c r="O1448">
        <v>1.212329E-2</v>
      </c>
      <c r="P1448">
        <v>-0.97731970000000001</v>
      </c>
      <c r="Q1448">
        <v>0.20363229999999999</v>
      </c>
      <c r="R1448">
        <v>5.8144809999999998E-2</v>
      </c>
      <c r="S1448">
        <v>-3.0872959999999998</v>
      </c>
      <c r="T1448">
        <v>-7.4181319999999995E-2</v>
      </c>
      <c r="U1448">
        <v>-4.2846679999999998E-2</v>
      </c>
      <c r="V1448">
        <v>4.60811E-2</v>
      </c>
      <c r="W1448">
        <v>0.2073189</v>
      </c>
      <c r="X1448">
        <v>0.97718749999999999</v>
      </c>
      <c r="Y1448">
        <v>-2.5987079999999999E-2</v>
      </c>
      <c r="Z1448">
        <v>-6.0664829999999999E-4</v>
      </c>
      <c r="AA1448">
        <v>0.9996621</v>
      </c>
      <c r="AB1448">
        <v>32</v>
      </c>
      <c r="AC1448">
        <v>-46.304899999999897</v>
      </c>
      <c r="AD1448">
        <v>-1.120423882354</v>
      </c>
      <c r="AE1448">
        <v>-0.65069999999997197</v>
      </c>
      <c r="AF1448">
        <v>-1.2113146189070501</v>
      </c>
      <c r="AG1448">
        <v>-1.120423882354</v>
      </c>
      <c r="AH1448">
        <v>46.2665256403277</v>
      </c>
      <c r="AI1448">
        <v>91.386770167726993</v>
      </c>
      <c r="AJ1448">
        <v>91.499731463449393</v>
      </c>
      <c r="AK1448">
        <v>46.295939644954103</v>
      </c>
      <c r="AL1448">
        <v>78.034720988796906</v>
      </c>
      <c r="AM1448">
        <v>87.300110728330793</v>
      </c>
      <c r="AN1448">
        <v>1.0000000021153299</v>
      </c>
    </row>
    <row r="1449" spans="1:40" x14ac:dyDescent="0.25">
      <c r="A1449" t="str">
        <f>"20190303171007504"</f>
        <v>20190303171007504</v>
      </c>
      <c r="B1449" t="str">
        <f>"1551604207492059"</f>
        <v>1551604207492059</v>
      </c>
      <c r="C1449" t="s">
        <v>40</v>
      </c>
      <c r="D1449">
        <v>5.0894870000000001</v>
      </c>
      <c r="E1449">
        <v>0.52147410000000005</v>
      </c>
      <c r="F1449" t="s">
        <v>43</v>
      </c>
      <c r="G1449">
        <v>-238.357</v>
      </c>
      <c r="H1449">
        <v>1.051356</v>
      </c>
      <c r="I1449">
        <v>283.58659999999998</v>
      </c>
      <c r="J1449">
        <v>-237.74940000000001</v>
      </c>
      <c r="K1449">
        <v>1.120387</v>
      </c>
      <c r="L1449">
        <v>283.53829999999999</v>
      </c>
      <c r="M1449">
        <v>-0.99992490000000001</v>
      </c>
      <c r="N1449">
        <v>-3.7438329999999998E-3</v>
      </c>
      <c r="O1449">
        <v>1.1669000000000001E-2</v>
      </c>
      <c r="P1449">
        <v>-0.9773771</v>
      </c>
      <c r="Q1449">
        <v>0.20353280000000001</v>
      </c>
      <c r="R1449">
        <v>5.7520160000000001E-2</v>
      </c>
      <c r="S1449">
        <v>-3.1063230000000002</v>
      </c>
      <c r="T1449">
        <v>-0.22414329999999999</v>
      </c>
      <c r="U1449">
        <v>0.16830439999999999</v>
      </c>
      <c r="V1449">
        <v>4.5921339999999998E-2</v>
      </c>
      <c r="W1449">
        <v>0.2072349</v>
      </c>
      <c r="X1449">
        <v>0.97721279999999999</v>
      </c>
      <c r="Y1449">
        <v>4.2357880000000001E-2</v>
      </c>
      <c r="Z1449">
        <v>8.0796169999999997E-4</v>
      </c>
      <c r="AA1449">
        <v>0.99910220000000005</v>
      </c>
      <c r="AB1449">
        <v>32</v>
      </c>
      <c r="AC1449">
        <v>-0.60759999999999004</v>
      </c>
      <c r="AD1449">
        <v>-6.9030999999999995E-2</v>
      </c>
      <c r="AE1449">
        <v>4.8299999999983301E-2</v>
      </c>
      <c r="AF1449">
        <v>4.06847240086032E-2</v>
      </c>
      <c r="AG1449">
        <v>-6.9030999999999995E-2</v>
      </c>
      <c r="AH1449">
        <v>0.60042079252063596</v>
      </c>
      <c r="AI1449">
        <v>96.543683731408507</v>
      </c>
      <c r="AJ1449">
        <v>86.123543460145498</v>
      </c>
      <c r="AK1449">
        <v>0.60574388467384899</v>
      </c>
      <c r="AL1449">
        <v>78.039640226423899</v>
      </c>
      <c r="AM1449">
        <v>87.309526835868297</v>
      </c>
      <c r="AN1449">
        <v>0.99999996486462195</v>
      </c>
    </row>
    <row r="1450" spans="1:40" x14ac:dyDescent="0.25">
      <c r="A1450" t="str">
        <f>"20190303171007528"</f>
        <v>20190303171007528</v>
      </c>
      <c r="B1450" t="str">
        <f>"1551604207522315"</f>
        <v>1551604207522315</v>
      </c>
      <c r="C1450" t="s">
        <v>40</v>
      </c>
      <c r="D1450">
        <v>5.1577390000000003</v>
      </c>
      <c r="E1450">
        <v>0.53390349999999998</v>
      </c>
      <c r="F1450" t="s">
        <v>43</v>
      </c>
      <c r="G1450">
        <v>-238.63</v>
      </c>
      <c r="H1450">
        <v>1.021965</v>
      </c>
      <c r="I1450">
        <v>283.61880000000002</v>
      </c>
      <c r="J1450">
        <v>-238.07149999999999</v>
      </c>
      <c r="K1450">
        <v>1.120347</v>
      </c>
      <c r="L1450">
        <v>283.54169999999999</v>
      </c>
      <c r="M1450">
        <v>-0.99992899999999996</v>
      </c>
      <c r="N1450">
        <v>-3.787346E-3</v>
      </c>
      <c r="O1450">
        <v>1.130958E-2</v>
      </c>
      <c r="P1450">
        <v>-0.97750280000000001</v>
      </c>
      <c r="Q1450">
        <v>0.2029696</v>
      </c>
      <c r="R1450">
        <v>5.737623E-2</v>
      </c>
      <c r="S1450">
        <v>-3.1254270000000002</v>
      </c>
      <c r="T1450">
        <v>-0.34940209999999999</v>
      </c>
      <c r="U1450">
        <v>0.28500370000000003</v>
      </c>
      <c r="V1450">
        <v>4.6148019999999998E-2</v>
      </c>
      <c r="W1450">
        <v>0.20671010000000001</v>
      </c>
      <c r="X1450">
        <v>0.97731330000000005</v>
      </c>
      <c r="Y1450">
        <v>7.9103039999999999E-2</v>
      </c>
      <c r="Z1450">
        <v>3.33439E-3</v>
      </c>
      <c r="AA1450">
        <v>0.99686090000000005</v>
      </c>
      <c r="AB1450">
        <v>32</v>
      </c>
      <c r="AC1450">
        <v>-0.55850000000000899</v>
      </c>
      <c r="AD1450">
        <v>-9.83819999999999E-2</v>
      </c>
      <c r="AE1450">
        <v>7.7100000000029895E-2</v>
      </c>
      <c r="AF1450">
        <v>6.8687106386156299E-2</v>
      </c>
      <c r="AG1450">
        <v>-9.83819999999999E-2</v>
      </c>
      <c r="AH1450">
        <v>0.54280779518516498</v>
      </c>
      <c r="AI1450">
        <v>100.19357154918799</v>
      </c>
      <c r="AJ1450">
        <v>82.7881005424519</v>
      </c>
      <c r="AK1450">
        <v>0.55591117907583298</v>
      </c>
      <c r="AL1450">
        <v>78.070374924866996</v>
      </c>
      <c r="AM1450">
        <v>87.296543221084804</v>
      </c>
      <c r="AN1450">
        <v>0.99999999577441001</v>
      </c>
    </row>
    <row r="1451" spans="1:40" x14ac:dyDescent="0.25">
      <c r="A1451" t="str">
        <f>"20190303171007548"</f>
        <v>20190303171007548</v>
      </c>
      <c r="B1451" t="str">
        <f>"1551604207541835"</f>
        <v>1551604207541835</v>
      </c>
      <c r="C1451" t="s">
        <v>40</v>
      </c>
      <c r="D1451">
        <v>5.1009260000000003</v>
      </c>
      <c r="E1451">
        <v>0.5379429</v>
      </c>
      <c r="F1451" t="s">
        <v>43</v>
      </c>
      <c r="G1451">
        <v>-238.90459999999999</v>
      </c>
      <c r="H1451">
        <v>0.99022580000000004</v>
      </c>
      <c r="I1451">
        <v>283.64120000000003</v>
      </c>
      <c r="J1451">
        <v>-238.37880000000001</v>
      </c>
      <c r="K1451">
        <v>1.1203110000000001</v>
      </c>
      <c r="L1451">
        <v>283.54489999999998</v>
      </c>
      <c r="M1451">
        <v>-0.99993200000000004</v>
      </c>
      <c r="N1451">
        <v>-3.8531329999999999E-3</v>
      </c>
      <c r="O1451">
        <v>1.101596E-2</v>
      </c>
      <c r="P1451">
        <v>-0.97753279999999998</v>
      </c>
      <c r="Q1451">
        <v>0.20281469999999999</v>
      </c>
      <c r="R1451">
        <v>5.7410969999999999E-2</v>
      </c>
      <c r="S1451">
        <v>-3.1491090000000002</v>
      </c>
      <c r="T1451">
        <v>-0.49188009999999899</v>
      </c>
      <c r="U1451">
        <v>0.3756409</v>
      </c>
      <c r="V1451">
        <v>4.6487849999999997E-2</v>
      </c>
      <c r="W1451">
        <v>0.20661589999999999</v>
      </c>
      <c r="X1451">
        <v>0.9773172</v>
      </c>
      <c r="Y1451">
        <v>0.10632179999999999</v>
      </c>
      <c r="Z1451">
        <v>6.7696989999999997E-3</v>
      </c>
      <c r="AA1451">
        <v>0.99430870000000005</v>
      </c>
      <c r="AB1451">
        <v>32</v>
      </c>
      <c r="AC1451">
        <v>-0.52579999999997495</v>
      </c>
      <c r="AD1451">
        <v>-0.13008520000000001</v>
      </c>
      <c r="AE1451">
        <v>9.6300000000042005E-2</v>
      </c>
      <c r="AF1451">
        <v>8.5441853733026499E-2</v>
      </c>
      <c r="AG1451">
        <v>-0.13008520000000001</v>
      </c>
      <c r="AH1451">
        <v>0.49737331534932699</v>
      </c>
      <c r="AI1451">
        <v>104.45439710396801</v>
      </c>
      <c r="AJ1451">
        <v>80.252519033171495</v>
      </c>
      <c r="AK1451">
        <v>0.52115514431880805</v>
      </c>
      <c r="AL1451">
        <v>78.0758922907646</v>
      </c>
      <c r="AM1451">
        <v>87.276675913429898</v>
      </c>
      <c r="AN1451">
        <v>1.0000000798731301</v>
      </c>
    </row>
    <row r="1452" spans="1:40" x14ac:dyDescent="0.25">
      <c r="A1452" t="str">
        <f>"20190303171007571"</f>
        <v>20190303171007571</v>
      </c>
      <c r="B1452" t="str">
        <f>"1551604207562332"</f>
        <v>1551604207562332</v>
      </c>
      <c r="C1452" t="s">
        <v>40</v>
      </c>
      <c r="D1452">
        <v>5.1315249999999999</v>
      </c>
      <c r="E1452">
        <v>0.54043079999999999</v>
      </c>
      <c r="F1452" t="s">
        <v>43</v>
      </c>
      <c r="G1452">
        <v>-239.19139999999999</v>
      </c>
      <c r="H1452">
        <v>0.98131100000000004</v>
      </c>
      <c r="I1452">
        <v>283.64920000000001</v>
      </c>
      <c r="J1452">
        <v>-238.70849999999999</v>
      </c>
      <c r="K1452">
        <v>1.1202859999999999</v>
      </c>
      <c r="L1452">
        <v>283.54829999999998</v>
      </c>
      <c r="M1452">
        <v>-0.99993460000000001</v>
      </c>
      <c r="N1452">
        <v>-3.948132E-3</v>
      </c>
      <c r="O1452">
        <v>1.074432E-2</v>
      </c>
      <c r="P1452">
        <v>-0.97745859999999996</v>
      </c>
      <c r="Q1452">
        <v>0.2029482</v>
      </c>
      <c r="R1452">
        <v>5.819771E-2</v>
      </c>
      <c r="S1452">
        <v>-3.1572719999999999</v>
      </c>
      <c r="T1452">
        <v>-0.54015000000000002</v>
      </c>
      <c r="U1452">
        <v>0.40444950000000002</v>
      </c>
      <c r="V1452">
        <v>4.7558879999999998E-2</v>
      </c>
      <c r="W1452">
        <v>0.20683889999999999</v>
      </c>
      <c r="X1452">
        <v>0.97721840000000004</v>
      </c>
      <c r="Y1452">
        <v>0.1148641</v>
      </c>
      <c r="Z1452">
        <v>8.1698209999999903E-3</v>
      </c>
      <c r="AA1452">
        <v>0.9933476</v>
      </c>
      <c r="AB1452">
        <v>32</v>
      </c>
      <c r="AC1452">
        <v>-0.4829</v>
      </c>
      <c r="AD1452">
        <v>-0.13897499999999999</v>
      </c>
      <c r="AE1452">
        <v>0.100900000000024</v>
      </c>
      <c r="AF1452">
        <v>8.8668953212876503E-2</v>
      </c>
      <c r="AG1452">
        <v>-0.13897499999999999</v>
      </c>
      <c r="AH1452">
        <v>0.44837341066333702</v>
      </c>
      <c r="AI1452">
        <v>106.91268443428</v>
      </c>
      <c r="AJ1452">
        <v>78.813695594478304</v>
      </c>
      <c r="AK1452">
        <v>0.47771848329192901</v>
      </c>
      <c r="AL1452">
        <v>78.062832143731995</v>
      </c>
      <c r="AM1452">
        <v>87.213749971161306</v>
      </c>
      <c r="AN1452">
        <v>0.99999998945931201</v>
      </c>
    </row>
    <row r="1453" spans="1:40" x14ac:dyDescent="0.25">
      <c r="A1453" t="str">
        <f>"20190303171007594"</f>
        <v>20190303171007594</v>
      </c>
      <c r="B1453" t="str">
        <f>"1551604207581851"</f>
        <v>1551604207581851</v>
      </c>
      <c r="C1453" t="s">
        <v>40</v>
      </c>
      <c r="D1453">
        <v>5.1050259999999996</v>
      </c>
      <c r="E1453">
        <v>0.54217539999999997</v>
      </c>
      <c r="F1453" t="s">
        <v>43</v>
      </c>
      <c r="G1453">
        <v>-239.48320000000001</v>
      </c>
      <c r="H1453">
        <v>0.98051390000000005</v>
      </c>
      <c r="I1453">
        <v>283.65230000000003</v>
      </c>
      <c r="J1453">
        <v>-239.0472</v>
      </c>
      <c r="K1453">
        <v>1.1202749999999999</v>
      </c>
      <c r="L1453">
        <v>283.55169999999998</v>
      </c>
      <c r="M1453">
        <v>-0.99993679999999996</v>
      </c>
      <c r="N1453">
        <v>-4.0620170000000002E-3</v>
      </c>
      <c r="O1453">
        <v>1.049955E-2</v>
      </c>
      <c r="P1453">
        <v>-0.97745850000000001</v>
      </c>
      <c r="Q1453">
        <v>0.20278560000000001</v>
      </c>
      <c r="R1453">
        <v>5.8763599999999999E-2</v>
      </c>
      <c r="S1453">
        <v>-3.1624300000000001</v>
      </c>
      <c r="T1453">
        <v>-0.57064239999999999</v>
      </c>
      <c r="U1453">
        <v>0.4239502</v>
      </c>
      <c r="V1453">
        <v>4.8379119999999998E-2</v>
      </c>
      <c r="W1453">
        <v>0.2067843</v>
      </c>
      <c r="X1453">
        <v>0.97718970000000005</v>
      </c>
      <c r="Y1453">
        <v>0.1206569</v>
      </c>
      <c r="Z1453">
        <v>9.1711440000000009E-3</v>
      </c>
      <c r="AA1453">
        <v>0.99265190000000003</v>
      </c>
      <c r="AB1453">
        <v>33</v>
      </c>
      <c r="AC1453">
        <v>-0.43600000000000699</v>
      </c>
      <c r="AD1453">
        <v>-0.139761099999999</v>
      </c>
      <c r="AE1453">
        <v>0.100600000000042</v>
      </c>
      <c r="AF1453">
        <v>8.7481858830062695E-2</v>
      </c>
      <c r="AG1453">
        <v>-0.139761099999999</v>
      </c>
      <c r="AH1453">
        <v>0.39818517113250801</v>
      </c>
      <c r="AI1453">
        <v>108.922690030494</v>
      </c>
      <c r="AJ1453">
        <v>77.608898544126902</v>
      </c>
      <c r="AK1453">
        <v>0.43097293558574901</v>
      </c>
      <c r="AL1453">
        <v>78.0660297222569</v>
      </c>
      <c r="AM1453">
        <v>87.165690569848394</v>
      </c>
      <c r="AN1453">
        <v>0.999999997882277</v>
      </c>
    </row>
    <row r="1454" spans="1:40" x14ac:dyDescent="0.25">
      <c r="A1454" t="str">
        <f>"20190303171007616"</f>
        <v>20190303171007616</v>
      </c>
      <c r="B1454" t="str">
        <f>"1551604207612108"</f>
        <v>1551604207612108</v>
      </c>
      <c r="C1454" t="s">
        <v>40</v>
      </c>
      <c r="D1454">
        <v>5.090554</v>
      </c>
      <c r="E1454">
        <v>0.54363689999999998</v>
      </c>
      <c r="F1454" t="s">
        <v>43</v>
      </c>
      <c r="G1454">
        <v>-239.77789999999999</v>
      </c>
      <c r="H1454">
        <v>0.98367859999999996</v>
      </c>
      <c r="I1454">
        <v>283.65320000000003</v>
      </c>
      <c r="J1454">
        <v>-239.36109999999999</v>
      </c>
      <c r="K1454">
        <v>1.120268</v>
      </c>
      <c r="L1454">
        <v>283.55470000000003</v>
      </c>
      <c r="M1454">
        <v>-0.99993840000000001</v>
      </c>
      <c r="N1454">
        <v>-4.1778090000000002E-3</v>
      </c>
      <c r="O1454">
        <v>1.0294650000000001E-2</v>
      </c>
      <c r="P1454">
        <v>-0.97755250000000005</v>
      </c>
      <c r="Q1454">
        <v>0.20206940000000001</v>
      </c>
      <c r="R1454">
        <v>5.9660709999999999E-2</v>
      </c>
      <c r="S1454">
        <v>-3.1656339999999998</v>
      </c>
      <c r="T1454">
        <v>-0.5919335</v>
      </c>
      <c r="U1454">
        <v>0.438446</v>
      </c>
      <c r="V1454">
        <v>4.9486259999999997E-2</v>
      </c>
      <c r="W1454">
        <v>0.20618010000000001</v>
      </c>
      <c r="X1454">
        <v>0.97726190000000002</v>
      </c>
      <c r="Y1454">
        <v>0.12498090000000001</v>
      </c>
      <c r="Z1454">
        <v>9.9386779999999994E-3</v>
      </c>
      <c r="AA1454">
        <v>0.99210940000000003</v>
      </c>
      <c r="AB1454">
        <v>33</v>
      </c>
      <c r="AC1454">
        <v>-0.41679999999999401</v>
      </c>
      <c r="AD1454">
        <v>-0.1365894</v>
      </c>
      <c r="AE1454">
        <v>9.8500000000001295E-2</v>
      </c>
      <c r="AF1454">
        <v>8.5506778076087697E-2</v>
      </c>
      <c r="AG1454">
        <v>-0.1365894</v>
      </c>
      <c r="AH1454">
        <v>0.37922029231076998</v>
      </c>
      <c r="AI1454">
        <v>109.359621433312</v>
      </c>
      <c r="AJ1454">
        <v>77.293415601499007</v>
      </c>
      <c r="AK1454">
        <v>0.412038958582291</v>
      </c>
      <c r="AL1454">
        <v>78.101409963235199</v>
      </c>
      <c r="AM1454">
        <v>87.101151577085304</v>
      </c>
      <c r="AN1454">
        <v>0.99999997237820304</v>
      </c>
    </row>
    <row r="1455" spans="1:40" x14ac:dyDescent="0.25">
      <c r="A1455" t="str">
        <f>"20190303171007636"</f>
        <v>20190303171007636</v>
      </c>
      <c r="B1455" t="str">
        <f>"1551604207631627"</f>
        <v>1551604207631627</v>
      </c>
      <c r="C1455" t="s">
        <v>40</v>
      </c>
      <c r="D1455">
        <v>5.0539459999999998</v>
      </c>
      <c r="E1455">
        <v>0.54442139999999895</v>
      </c>
      <c r="F1455" t="s">
        <v>43</v>
      </c>
      <c r="G1455">
        <v>-240.07149999999999</v>
      </c>
      <c r="H1455">
        <v>0.98252700000000004</v>
      </c>
      <c r="I1455">
        <v>283.65620000000001</v>
      </c>
      <c r="J1455">
        <v>-239.66380000000001</v>
      </c>
      <c r="K1455">
        <v>1.120261</v>
      </c>
      <c r="L1455">
        <v>283.55770000000001</v>
      </c>
      <c r="M1455">
        <v>-0.99993960000000004</v>
      </c>
      <c r="N1455">
        <v>-4.3039890000000003E-3</v>
      </c>
      <c r="O1455">
        <v>1.0109409999999999E-2</v>
      </c>
      <c r="P1455">
        <v>-0.97767870000000001</v>
      </c>
      <c r="Q1455">
        <v>0.20126459999999999</v>
      </c>
      <c r="R1455">
        <v>6.0309349999999998E-2</v>
      </c>
      <c r="S1455">
        <v>-3.168304</v>
      </c>
      <c r="T1455">
        <v>-0.61432100000000001</v>
      </c>
      <c r="U1455">
        <v>0.45175169999999998</v>
      </c>
      <c r="V1455">
        <v>5.0321780000000003E-2</v>
      </c>
      <c r="W1455">
        <v>0.20549790000000001</v>
      </c>
      <c r="X1455">
        <v>0.97736290000000003</v>
      </c>
      <c r="Y1455">
        <v>0.12891130000000001</v>
      </c>
      <c r="Z1455">
        <v>1.0713840000000001E-2</v>
      </c>
      <c r="AA1455">
        <v>0.99159819999999999</v>
      </c>
      <c r="AB1455">
        <v>33</v>
      </c>
      <c r="AC1455">
        <v>-0.40769999999997703</v>
      </c>
      <c r="AD1455">
        <v>-0.137733999999999</v>
      </c>
      <c r="AE1455">
        <v>9.8500000000001295E-2</v>
      </c>
      <c r="AF1455">
        <v>8.5187095862894996E-2</v>
      </c>
      <c r="AG1455">
        <v>-0.137733999999999</v>
      </c>
      <c r="AH1455">
        <v>0.36889484956496099</v>
      </c>
      <c r="AI1455">
        <v>109.991148781993</v>
      </c>
      <c r="AJ1455">
        <v>76.996902062976403</v>
      </c>
      <c r="AK1455">
        <v>0.40287827701814499</v>
      </c>
      <c r="AL1455">
        <v>78.141352251605397</v>
      </c>
      <c r="AM1455">
        <v>87.052597452494297</v>
      </c>
      <c r="AN1455">
        <v>0.99999995337159298</v>
      </c>
    </row>
    <row r="1456" spans="1:40" x14ac:dyDescent="0.25">
      <c r="A1456" t="str">
        <f>"20190303171007659"</f>
        <v>20190303171007659</v>
      </c>
      <c r="B1456" t="str">
        <f>"1551604207651654"</f>
        <v>1551604207651654</v>
      </c>
      <c r="C1456" t="s">
        <v>40</v>
      </c>
      <c r="D1456">
        <v>5.0405170000000004</v>
      </c>
      <c r="E1456">
        <v>0.5450661</v>
      </c>
      <c r="F1456" t="s">
        <v>43</v>
      </c>
      <c r="G1456">
        <v>-240.36609999999999</v>
      </c>
      <c r="H1456">
        <v>0.98132180000000002</v>
      </c>
      <c r="I1456">
        <v>283.65969999999999</v>
      </c>
      <c r="J1456">
        <v>-240.006</v>
      </c>
      <c r="K1456">
        <v>1.1202700000000001</v>
      </c>
      <c r="L1456">
        <v>283.5609</v>
      </c>
      <c r="M1456">
        <v>-0.99994090000000002</v>
      </c>
      <c r="N1456">
        <v>-4.4727639999999997E-3</v>
      </c>
      <c r="O1456">
        <v>9.9070600000000005E-3</v>
      </c>
      <c r="P1456">
        <v>-0.97789230000000005</v>
      </c>
      <c r="Q1456">
        <v>0.20017760000000001</v>
      </c>
      <c r="R1456">
        <v>6.0461760000000003E-2</v>
      </c>
      <c r="S1456">
        <v>-3.169235</v>
      </c>
      <c r="T1456">
        <v>-0.62709380000000003</v>
      </c>
      <c r="U1456">
        <v>0.45925899999999997</v>
      </c>
      <c r="V1456">
        <v>5.0675459999999999E-2</v>
      </c>
      <c r="W1456">
        <v>0.2045757</v>
      </c>
      <c r="X1456">
        <v>0.97753809999999997</v>
      </c>
      <c r="Y1456">
        <v>0.1312316</v>
      </c>
      <c r="Z1456">
        <v>1.1203970000000001E-2</v>
      </c>
      <c r="AA1456">
        <v>0.99128839999999996</v>
      </c>
      <c r="AB1456">
        <v>33</v>
      </c>
      <c r="AC1456">
        <v>-0.36010000000001602</v>
      </c>
      <c r="AD1456">
        <v>-0.13894819999999999</v>
      </c>
      <c r="AE1456">
        <v>9.8799999999982901E-2</v>
      </c>
      <c r="AF1456">
        <v>8.3645622249335305E-2</v>
      </c>
      <c r="AG1456">
        <v>-0.13894819999999999</v>
      </c>
      <c r="AH1456">
        <v>0.31714744787411198</v>
      </c>
      <c r="AI1456">
        <v>112.95908094910899</v>
      </c>
      <c r="AJ1456">
        <v>75.225054593610594</v>
      </c>
      <c r="AK1456">
        <v>0.35621018528079901</v>
      </c>
      <c r="AL1456">
        <v>78.195337674243206</v>
      </c>
      <c r="AM1456">
        <v>87.032449939226893</v>
      </c>
      <c r="AN1456">
        <v>0.99999997811415497</v>
      </c>
    </row>
    <row r="1457" spans="1:40" x14ac:dyDescent="0.25">
      <c r="A1457" t="str">
        <f>"20190303171007681"</f>
        <v>20190303171007681</v>
      </c>
      <c r="B1457" t="str">
        <f>"1551604207672151"</f>
        <v>1551604207672151</v>
      </c>
      <c r="C1457" t="s">
        <v>40</v>
      </c>
      <c r="D1457">
        <v>5.0347650000000002</v>
      </c>
      <c r="E1457">
        <v>0.5455835</v>
      </c>
      <c r="F1457" t="s">
        <v>43</v>
      </c>
      <c r="G1457">
        <v>-240.93700000000001</v>
      </c>
      <c r="H1457">
        <v>0.93287589999999998</v>
      </c>
      <c r="I1457">
        <v>283.69760000000002</v>
      </c>
      <c r="J1457">
        <v>-240.34460000000001</v>
      </c>
      <c r="K1457">
        <v>1.1202799999999999</v>
      </c>
      <c r="L1457">
        <v>283.5641</v>
      </c>
      <c r="M1457">
        <v>-0.99994209999999994</v>
      </c>
      <c r="N1457">
        <v>-4.6610480000000001E-3</v>
      </c>
      <c r="O1457">
        <v>9.7088569999999996E-3</v>
      </c>
      <c r="P1457">
        <v>-0.97797190000000001</v>
      </c>
      <c r="Q1457">
        <v>0.1998722</v>
      </c>
      <c r="R1457">
        <v>6.0183859999999999E-2</v>
      </c>
      <c r="S1457">
        <v>-3.1697389999999999</v>
      </c>
      <c r="T1457">
        <v>-0.63812609999999903</v>
      </c>
      <c r="U1457">
        <v>0.46466059999999998</v>
      </c>
      <c r="V1457">
        <v>5.0593970000000002E-2</v>
      </c>
      <c r="W1457">
        <v>0.20445389999999999</v>
      </c>
      <c r="X1457">
        <v>0.97756790000000005</v>
      </c>
      <c r="Y1457">
        <v>0.132938</v>
      </c>
      <c r="Z1457">
        <v>1.161448E-2</v>
      </c>
      <c r="AA1457">
        <v>0.9910563</v>
      </c>
      <c r="AB1457">
        <v>33</v>
      </c>
      <c r="AC1457">
        <v>-0.59239999999999704</v>
      </c>
      <c r="AD1457">
        <v>-0.18740409999999999</v>
      </c>
      <c r="AE1457">
        <v>0.13350000000002599</v>
      </c>
      <c r="AF1457">
        <v>0.11663402317063699</v>
      </c>
      <c r="AG1457">
        <v>-0.18740409999999999</v>
      </c>
      <c r="AH1457">
        <v>0.54204450392423797</v>
      </c>
      <c r="AI1457">
        <v>108.67522676934</v>
      </c>
      <c r="AJ1457">
        <v>77.856577131043693</v>
      </c>
      <c r="AK1457">
        <v>0.58526578260842499</v>
      </c>
      <c r="AL1457">
        <v>78.202468125646405</v>
      </c>
      <c r="AM1457">
        <v>87.037303632782994</v>
      </c>
      <c r="AN1457">
        <v>1.0000000730679801</v>
      </c>
    </row>
    <row r="1458" spans="1:40" x14ac:dyDescent="0.25">
      <c r="A1458" t="str">
        <f>"20190303171007705"</f>
        <v>20190303171007705</v>
      </c>
      <c r="B1458" t="str">
        <f>"1551604207702407"</f>
        <v>1551604207702407</v>
      </c>
      <c r="C1458" t="s">
        <v>40</v>
      </c>
      <c r="D1458">
        <v>5.0084200000000001</v>
      </c>
      <c r="E1458">
        <v>0.54606290000000002</v>
      </c>
      <c r="F1458" t="s">
        <v>43</v>
      </c>
      <c r="G1458">
        <v>-241.2373</v>
      </c>
      <c r="H1458">
        <v>0.93854210000000005</v>
      </c>
      <c r="I1458">
        <v>283.69589999999999</v>
      </c>
      <c r="J1458">
        <v>-240.6917</v>
      </c>
      <c r="K1458">
        <v>1.120296</v>
      </c>
      <c r="L1458">
        <v>283.56729999999999</v>
      </c>
      <c r="M1458">
        <v>-0.99994300000000003</v>
      </c>
      <c r="N1458">
        <v>-4.8604590000000001E-3</v>
      </c>
      <c r="O1458">
        <v>9.5048770000000001E-3</v>
      </c>
      <c r="P1458">
        <v>-0.9780586</v>
      </c>
      <c r="Q1458">
        <v>0.1998066</v>
      </c>
      <c r="R1458">
        <v>5.8980169999999998E-2</v>
      </c>
      <c r="S1458">
        <v>-3.1707000000000001</v>
      </c>
      <c r="T1458">
        <v>-0.64551130000000001</v>
      </c>
      <c r="U1458">
        <v>0.46792600000000001</v>
      </c>
      <c r="V1458">
        <v>4.9591660000000003E-2</v>
      </c>
      <c r="W1458">
        <v>0.20458219999999999</v>
      </c>
      <c r="X1458">
        <v>0.97759229999999997</v>
      </c>
      <c r="Y1458">
        <v>0.1340122</v>
      </c>
      <c r="Z1458">
        <v>1.190367E-2</v>
      </c>
      <c r="AA1458">
        <v>0.99090820000000002</v>
      </c>
      <c r="AB1458">
        <v>33</v>
      </c>
      <c r="AC1458">
        <v>-0.54560000000000697</v>
      </c>
      <c r="AD1458">
        <v>-0.181753899999999</v>
      </c>
      <c r="AE1458">
        <v>0.12860000000000499</v>
      </c>
      <c r="AF1458">
        <v>0.11166829190329999</v>
      </c>
      <c r="AG1458">
        <v>-0.181753899999999</v>
      </c>
      <c r="AH1458">
        <v>0.49478017458179602</v>
      </c>
      <c r="AI1458">
        <v>109.71412084482699</v>
      </c>
      <c r="AJ1458">
        <v>77.281843731560997</v>
      </c>
      <c r="AK1458">
        <v>0.53880581728578503</v>
      </c>
      <c r="AL1458">
        <v>78.194956953824402</v>
      </c>
      <c r="AM1458">
        <v>87.095968065834498</v>
      </c>
      <c r="AN1458">
        <v>0.99999995715884105</v>
      </c>
    </row>
    <row r="1459" spans="1:40" x14ac:dyDescent="0.25">
      <c r="A1459" t="str">
        <f>"20190303171007726"</f>
        <v>20190303171007726</v>
      </c>
      <c r="B1459" t="str">
        <f>"1551604207721926"</f>
        <v>1551604207721926</v>
      </c>
      <c r="C1459" t="s">
        <v>40</v>
      </c>
      <c r="D1459">
        <v>4.9658009999999999</v>
      </c>
      <c r="E1459">
        <v>0.54634969999999905</v>
      </c>
      <c r="F1459" t="s">
        <v>43</v>
      </c>
      <c r="G1459">
        <v>-241.53919999999999</v>
      </c>
      <c r="H1459">
        <v>0.94615009999999999</v>
      </c>
      <c r="I1459">
        <v>283.69279999999998</v>
      </c>
      <c r="J1459">
        <v>-241.01230000000001</v>
      </c>
      <c r="K1459">
        <v>1.12032</v>
      </c>
      <c r="L1459">
        <v>283.57010000000002</v>
      </c>
      <c r="M1459">
        <v>-0.99994380000000005</v>
      </c>
      <c r="N1459">
        <v>-5.0712830000000002E-3</v>
      </c>
      <c r="O1459">
        <v>9.3147239999999999E-3</v>
      </c>
      <c r="P1459">
        <v>-0.97822129999999996</v>
      </c>
      <c r="Q1459">
        <v>0.19940189999999999</v>
      </c>
      <c r="R1459">
        <v>5.7638639999999998E-2</v>
      </c>
      <c r="S1459">
        <v>-3.1722410000000001</v>
      </c>
      <c r="T1459">
        <v>-0.65198959999999995</v>
      </c>
      <c r="U1459">
        <v>0.46862789999999999</v>
      </c>
      <c r="V1459">
        <v>4.8436590000000002E-2</v>
      </c>
      <c r="W1459">
        <v>0.20438339999999999</v>
      </c>
      <c r="X1459">
        <v>0.9776918</v>
      </c>
      <c r="Y1459">
        <v>0.13428470000000001</v>
      </c>
      <c r="Z1459">
        <v>1.209354E-2</v>
      </c>
      <c r="AA1459">
        <v>0.990869</v>
      </c>
      <c r="AB1459">
        <v>33</v>
      </c>
      <c r="AC1459">
        <v>-0.52689999999998305</v>
      </c>
      <c r="AD1459">
        <v>-0.17416989999999999</v>
      </c>
      <c r="AE1459">
        <v>0.122699999999952</v>
      </c>
      <c r="AF1459">
        <v>0.106725008396857</v>
      </c>
      <c r="AG1459">
        <v>-0.17416989999999999</v>
      </c>
      <c r="AH1459">
        <v>0.478432229078462</v>
      </c>
      <c r="AI1459">
        <v>109.56063330153501</v>
      </c>
      <c r="AJ1459">
        <v>77.424783328750493</v>
      </c>
      <c r="AK1459">
        <v>0.52021416676625098</v>
      </c>
      <c r="AL1459">
        <v>78.2065933411114</v>
      </c>
      <c r="AM1459">
        <v>87.163784091801602</v>
      </c>
      <c r="AN1459">
        <v>0.99999996661681301</v>
      </c>
    </row>
    <row r="1460" spans="1:40" x14ac:dyDescent="0.25">
      <c r="A1460" t="str">
        <f>"20190303171007759"</f>
        <v>20190303171007759</v>
      </c>
      <c r="B1460" t="str">
        <f>"1551604207752182"</f>
        <v>1551604207752182</v>
      </c>
      <c r="C1460" t="s">
        <v>40</v>
      </c>
      <c r="D1460">
        <v>4.944852</v>
      </c>
      <c r="E1460">
        <v>0.54653569999999996</v>
      </c>
      <c r="F1460" t="s">
        <v>43</v>
      </c>
      <c r="G1460">
        <v>-241.83969999999999</v>
      </c>
      <c r="H1460">
        <v>0.94914719999999997</v>
      </c>
      <c r="I1460">
        <v>283.69229999999999</v>
      </c>
      <c r="J1460">
        <v>-241.5137</v>
      </c>
      <c r="K1460">
        <v>1.1203719999999999</v>
      </c>
      <c r="L1460">
        <v>283.57440000000003</v>
      </c>
      <c r="M1460">
        <v>-0.99994439999999996</v>
      </c>
      <c r="N1460">
        <v>-5.4851580000000004E-3</v>
      </c>
      <c r="O1460">
        <v>9.0143480000000002E-3</v>
      </c>
      <c r="P1460">
        <v>-0.97837560000000001</v>
      </c>
      <c r="Q1460">
        <v>0.19906099999999999</v>
      </c>
      <c r="R1460">
        <v>5.6178909999999999E-2</v>
      </c>
      <c r="S1460">
        <v>-3.173035</v>
      </c>
      <c r="T1460">
        <v>-0.65647239999999996</v>
      </c>
      <c r="U1460">
        <v>0.4679565</v>
      </c>
      <c r="V1460">
        <v>4.7271529999999999E-2</v>
      </c>
      <c r="W1460">
        <v>0.20444689999999999</v>
      </c>
      <c r="X1460">
        <v>0.97773560000000004</v>
      </c>
      <c r="Y1460">
        <v>0.13429430000000001</v>
      </c>
      <c r="Z1460">
        <v>1.226228E-2</v>
      </c>
      <c r="AA1460">
        <v>0.99086560000000001</v>
      </c>
      <c r="AB1460">
        <v>33</v>
      </c>
      <c r="AC1460">
        <v>-0.32599999999999302</v>
      </c>
      <c r="AD1460">
        <v>-0.17122479999999901</v>
      </c>
      <c r="AE1460">
        <v>0.11789999999996301</v>
      </c>
      <c r="AF1460">
        <v>9.2411912402946605E-2</v>
      </c>
      <c r="AG1460">
        <v>-0.17122479999999901</v>
      </c>
      <c r="AH1460">
        <v>0.262910566787737</v>
      </c>
      <c r="AI1460">
        <v>121.567235232119</v>
      </c>
      <c r="AJ1460">
        <v>70.633648515798996</v>
      </c>
      <c r="AK1460">
        <v>0.32707775806015699</v>
      </c>
      <c r="AL1460">
        <v>78.202877191596997</v>
      </c>
      <c r="AM1460">
        <v>87.232020854727693</v>
      </c>
      <c r="AN1460">
        <v>1.00000001798775</v>
      </c>
    </row>
    <row r="1461" spans="1:40" x14ac:dyDescent="0.25">
      <c r="A1461" t="str">
        <f>"20190303171007783"</f>
        <v>20190303171007783</v>
      </c>
      <c r="B1461" t="str">
        <f>"1551604207771702"</f>
        <v>1551604207771702</v>
      </c>
      <c r="C1461" t="s">
        <v>40</v>
      </c>
      <c r="D1461">
        <v>4.889653</v>
      </c>
      <c r="E1461">
        <v>0.52595159999999996</v>
      </c>
      <c r="F1461" t="s">
        <v>43</v>
      </c>
      <c r="G1461">
        <v>-242.4308</v>
      </c>
      <c r="H1461">
        <v>0.92916500000000002</v>
      </c>
      <c r="I1461">
        <v>283.70870000000002</v>
      </c>
      <c r="J1461">
        <v>-241.85900000000001</v>
      </c>
      <c r="K1461">
        <v>1.12042</v>
      </c>
      <c r="L1461">
        <v>283.57729999999998</v>
      </c>
      <c r="M1461">
        <v>-0.99994439999999996</v>
      </c>
      <c r="N1461">
        <v>-5.8304709999999899E-3</v>
      </c>
      <c r="O1461">
        <v>8.8058779999999996E-3</v>
      </c>
      <c r="P1461">
        <v>-0.97830249999999996</v>
      </c>
      <c r="Q1461">
        <v>0.19950999999999999</v>
      </c>
      <c r="R1461">
        <v>5.5861309999999997E-2</v>
      </c>
      <c r="S1461">
        <v>-3.1743009999999998</v>
      </c>
      <c r="T1461">
        <v>-0.66182549999999996</v>
      </c>
      <c r="U1461">
        <v>0.46453860000000002</v>
      </c>
      <c r="V1461">
        <v>4.7159010000000001E-2</v>
      </c>
      <c r="W1461">
        <v>0.20523330000000001</v>
      </c>
      <c r="X1461">
        <v>0.97757629999999995</v>
      </c>
      <c r="Y1461">
        <v>0.1333686</v>
      </c>
      <c r="Z1461">
        <v>1.2323600000000001E-2</v>
      </c>
      <c r="AA1461">
        <v>0.99098989999999998</v>
      </c>
      <c r="AB1461">
        <v>34</v>
      </c>
      <c r="AC1461">
        <v>-0.57179999999999598</v>
      </c>
      <c r="AD1461">
        <v>-0.19125499999999901</v>
      </c>
      <c r="AE1461">
        <v>0.13140000000004101</v>
      </c>
      <c r="AF1461">
        <v>0.11422189318522601</v>
      </c>
      <c r="AG1461">
        <v>-0.19125499999999901</v>
      </c>
      <c r="AH1461">
        <v>0.51790052839038103</v>
      </c>
      <c r="AI1461">
        <v>109.83044993918701</v>
      </c>
      <c r="AJ1461">
        <v>77.562639776776805</v>
      </c>
      <c r="AK1461">
        <v>0.56377839016306097</v>
      </c>
      <c r="AL1461">
        <v>78.1568440664457</v>
      </c>
      <c r="AM1461">
        <v>87.238149955898606</v>
      </c>
      <c r="AN1461">
        <v>1.0000000509873701</v>
      </c>
    </row>
    <row r="1462" spans="1:40" x14ac:dyDescent="0.25">
      <c r="A1462" t="str">
        <f>"20190303171007803"</f>
        <v>20190303171007803</v>
      </c>
      <c r="B1462" t="str">
        <f>"1551604207792198"</f>
        <v>1551604207792198</v>
      </c>
      <c r="C1462" t="s">
        <v>40</v>
      </c>
      <c r="D1462">
        <v>4.817234</v>
      </c>
      <c r="E1462">
        <v>0.51283599999999996</v>
      </c>
      <c r="F1462" t="s">
        <v>43</v>
      </c>
      <c r="G1462">
        <v>-242.7474</v>
      </c>
      <c r="H1462">
        <v>0.96485069999999995</v>
      </c>
      <c r="I1462">
        <v>283.66340000000002</v>
      </c>
      <c r="J1462">
        <v>-242.1711</v>
      </c>
      <c r="K1462">
        <v>1.120465</v>
      </c>
      <c r="L1462">
        <v>283.57990000000001</v>
      </c>
      <c r="M1462">
        <v>-0.99994400000000006</v>
      </c>
      <c r="N1462">
        <v>-6.1596759999999898E-3</v>
      </c>
      <c r="O1462">
        <v>8.6176589999999997E-3</v>
      </c>
      <c r="P1462">
        <v>-0.97832799999999998</v>
      </c>
      <c r="Q1462">
        <v>0.1994891</v>
      </c>
      <c r="R1462">
        <v>5.5484440000000003E-2</v>
      </c>
      <c r="S1462">
        <v>-3.162048</v>
      </c>
      <c r="T1462">
        <v>-0.55385609999999996</v>
      </c>
      <c r="U1462">
        <v>0.30523679999999997</v>
      </c>
      <c r="V1462">
        <v>4.6966059999999997E-2</v>
      </c>
      <c r="W1462">
        <v>0.20553379999999999</v>
      </c>
      <c r="X1462">
        <v>0.97752240000000001</v>
      </c>
      <c r="Y1462">
        <v>8.6276220000000001E-2</v>
      </c>
      <c r="Z1462">
        <v>6.3083760000000001E-3</v>
      </c>
      <c r="AA1462">
        <v>0.99625129999999995</v>
      </c>
      <c r="AB1462">
        <v>34</v>
      </c>
      <c r="AC1462">
        <v>-0.57630000000000303</v>
      </c>
      <c r="AD1462">
        <v>-0.15561430000000001</v>
      </c>
      <c r="AE1462">
        <v>8.3500000000015007E-2</v>
      </c>
      <c r="AF1462">
        <v>7.3296131578245993E-2</v>
      </c>
      <c r="AG1462">
        <v>-0.15561430000000001</v>
      </c>
      <c r="AH1462">
        <v>0.53853932807502303</v>
      </c>
      <c r="AI1462">
        <v>105.97729586647201</v>
      </c>
      <c r="AJ1462">
        <v>82.249566957885193</v>
      </c>
      <c r="AK1462">
        <v>0.56534302963096905</v>
      </c>
      <c r="AL1462">
        <v>78.139251006338498</v>
      </c>
      <c r="AM1462">
        <v>87.249281180746493</v>
      </c>
      <c r="AN1462">
        <v>0.99999999811806095</v>
      </c>
    </row>
    <row r="1463" spans="1:40" x14ac:dyDescent="0.25">
      <c r="A1463" t="str">
        <f>"20190303171007826"</f>
        <v>20190303171007826</v>
      </c>
      <c r="B1463" t="str">
        <f>"1551604207822454"</f>
        <v>1551604207822454</v>
      </c>
      <c r="C1463" t="s">
        <v>40</v>
      </c>
      <c r="D1463">
        <v>4.1134510000000004</v>
      </c>
      <c r="E1463">
        <v>0.48615629999999999</v>
      </c>
      <c r="F1463" t="s">
        <v>43</v>
      </c>
      <c r="G1463">
        <v>-243.0641</v>
      </c>
      <c r="H1463">
        <v>0.99663020000000002</v>
      </c>
      <c r="I1463">
        <v>283.6388</v>
      </c>
      <c r="J1463">
        <v>-242.5033</v>
      </c>
      <c r="K1463">
        <v>1.1205240000000001</v>
      </c>
      <c r="L1463">
        <v>283.58260000000001</v>
      </c>
      <c r="M1463">
        <v>-0.99994300000000003</v>
      </c>
      <c r="N1463">
        <v>-6.5605309999999997E-3</v>
      </c>
      <c r="O1463">
        <v>8.4178659999999995E-3</v>
      </c>
      <c r="P1463">
        <v>-0.9784486</v>
      </c>
      <c r="Q1463">
        <v>0.19888990000000001</v>
      </c>
      <c r="R1463">
        <v>5.5509200000000002E-2</v>
      </c>
      <c r="S1463">
        <v>-3.1436160000000002</v>
      </c>
      <c r="T1463">
        <v>-0.43599840000000001</v>
      </c>
      <c r="U1463">
        <v>0.20715330000000001</v>
      </c>
      <c r="V1463">
        <v>4.718526E-2</v>
      </c>
      <c r="W1463">
        <v>0.2053276</v>
      </c>
      <c r="X1463">
        <v>0.97755519999999996</v>
      </c>
      <c r="Y1463">
        <v>5.6856759999999999E-2</v>
      </c>
      <c r="Z1463">
        <v>3.001802E-3</v>
      </c>
      <c r="AA1463">
        <v>0.99837790000000004</v>
      </c>
      <c r="AB1463">
        <v>34</v>
      </c>
      <c r="AC1463">
        <v>-0.56079999999999997</v>
      </c>
      <c r="AD1463">
        <v>-0.1238938</v>
      </c>
      <c r="AE1463">
        <v>5.61999999999898E-2</v>
      </c>
      <c r="AF1463">
        <v>4.9104355477760001E-2</v>
      </c>
      <c r="AG1463">
        <v>-0.1238938</v>
      </c>
      <c r="AH1463">
        <v>0.53538256055952105</v>
      </c>
      <c r="AI1463">
        <v>102.97694918072</v>
      </c>
      <c r="AJ1463">
        <v>84.759592648747301</v>
      </c>
      <c r="AK1463">
        <v>0.55172039798850603</v>
      </c>
      <c r="AL1463">
        <v>78.151323138676503</v>
      </c>
      <c r="AM1463">
        <v>87.236555462864501</v>
      </c>
      <c r="AN1463">
        <v>1.0000000205650299</v>
      </c>
    </row>
    <row r="1464" spans="1:40" x14ac:dyDescent="0.25">
      <c r="A1464" t="str">
        <f>"20190303171007849"</f>
        <v>20190303171007849</v>
      </c>
      <c r="B1464" t="str">
        <f>"1551604207841974"</f>
        <v>1551604207841974</v>
      </c>
      <c r="C1464" t="s">
        <v>40</v>
      </c>
      <c r="D1464">
        <v>4.6467390000000002</v>
      </c>
      <c r="E1464">
        <v>0.48516959999999998</v>
      </c>
      <c r="F1464" t="s">
        <v>62</v>
      </c>
      <c r="G1464">
        <v>0</v>
      </c>
      <c r="H1464">
        <v>0</v>
      </c>
      <c r="I1464">
        <v>0</v>
      </c>
      <c r="J1464">
        <v>-242.86170000000001</v>
      </c>
      <c r="K1464">
        <v>1.1205860000000001</v>
      </c>
      <c r="L1464">
        <v>283.58539999999999</v>
      </c>
      <c r="M1464">
        <v>-0.99994170000000004</v>
      </c>
      <c r="N1464">
        <v>-7.0270899999999997E-3</v>
      </c>
      <c r="O1464">
        <v>8.2026010000000003E-3</v>
      </c>
      <c r="P1464">
        <v>-0.97873750000000004</v>
      </c>
      <c r="Q1464">
        <v>0.19734470000000001</v>
      </c>
      <c r="R1464">
        <v>5.5928060000000002E-2</v>
      </c>
      <c r="S1464">
        <v>-3.0598139999999998</v>
      </c>
      <c r="T1464">
        <v>2.4813410000000001E-2</v>
      </c>
      <c r="U1464">
        <v>2.2033690000000002E-2</v>
      </c>
      <c r="V1464">
        <v>4.7812399999999998E-2</v>
      </c>
      <c r="W1464">
        <v>0.20424059999999999</v>
      </c>
      <c r="X1464">
        <v>0.97775239999999997</v>
      </c>
      <c r="Y1464">
        <v>-1.0010869999999999E-3</v>
      </c>
      <c r="Z1464">
        <v>1.2469670000000001E-4</v>
      </c>
      <c r="AA1464">
        <v>0.99999950000000004</v>
      </c>
      <c r="AB1464">
        <v>34</v>
      </c>
      <c r="AC1464">
        <v>-3.0598139999999998</v>
      </c>
      <c r="AD1464">
        <v>2.4813410000000001E-2</v>
      </c>
      <c r="AE1464">
        <v>2.2033690000000002E-2</v>
      </c>
      <c r="AF1464">
        <v>-3.0659019290671099E-3</v>
      </c>
      <c r="AG1464">
        <v>2.4813410000000001E-2</v>
      </c>
      <c r="AH1464">
        <v>3.0596905904290299</v>
      </c>
      <c r="AI1464">
        <v>89.535354394152506</v>
      </c>
      <c r="AJ1464">
        <v>90.057412073852703</v>
      </c>
      <c r="AK1464">
        <v>3.0597927404042302</v>
      </c>
      <c r="AL1464">
        <v>78.214951909844302</v>
      </c>
      <c r="AM1464">
        <v>87.200448400429096</v>
      </c>
      <c r="AN1464">
        <v>1.0000000019939399</v>
      </c>
    </row>
    <row r="1465" spans="1:40" x14ac:dyDescent="0.25">
      <c r="A1465" t="str">
        <f>"20190303171007871"</f>
        <v>20190303171007871</v>
      </c>
      <c r="B1465" t="str">
        <f>"1551604207862470"</f>
        <v>1551604207862470</v>
      </c>
      <c r="C1465" t="s">
        <v>40</v>
      </c>
      <c r="D1465">
        <v>4.1079619999999997</v>
      </c>
      <c r="E1465">
        <v>0.48555619999999999</v>
      </c>
      <c r="F1465" t="s">
        <v>41</v>
      </c>
      <c r="G1465">
        <v>-544.20640000000003</v>
      </c>
      <c r="H1465">
        <v>-0.05</v>
      </c>
      <c r="I1465">
        <v>284.91379999999998</v>
      </c>
      <c r="J1465">
        <v>-243.18950000000001</v>
      </c>
      <c r="K1465">
        <v>1.120633</v>
      </c>
      <c r="L1465">
        <v>283.58789999999999</v>
      </c>
      <c r="M1465">
        <v>-0.99994019999999995</v>
      </c>
      <c r="N1465">
        <v>-7.4404329999999998E-3</v>
      </c>
      <c r="O1465">
        <v>8.0070479999999992E-3</v>
      </c>
      <c r="P1465">
        <v>-0.97888929999999996</v>
      </c>
      <c r="Q1465">
        <v>0.19644929999999999</v>
      </c>
      <c r="R1465">
        <v>5.6420339999999999E-2</v>
      </c>
      <c r="S1465">
        <v>-3.0667879999999998</v>
      </c>
      <c r="T1465">
        <v>-1.191306E-2</v>
      </c>
      <c r="U1465">
        <v>1.351929E-2</v>
      </c>
      <c r="V1465">
        <v>4.849465E-2</v>
      </c>
      <c r="W1465">
        <v>0.20375090000000001</v>
      </c>
      <c r="X1465">
        <v>0.97782100000000005</v>
      </c>
      <c r="Y1465">
        <v>-3.5989569999999999E-3</v>
      </c>
      <c r="Z1465" s="1">
        <v>8.0949579999999997E-6</v>
      </c>
      <c r="AA1465">
        <v>0.99999349999999998</v>
      </c>
      <c r="AB1465">
        <v>34</v>
      </c>
      <c r="AC1465">
        <v>-301.01690000000002</v>
      </c>
      <c r="AD1465">
        <v>-1.170633</v>
      </c>
      <c r="AE1465">
        <v>1.3258999999999901</v>
      </c>
      <c r="AF1465">
        <v>-1.0844497407556799</v>
      </c>
      <c r="AG1465">
        <v>-1.170633</v>
      </c>
      <c r="AH1465">
        <v>301.01331426385701</v>
      </c>
      <c r="AI1465">
        <v>90.222819236510702</v>
      </c>
      <c r="AJ1465">
        <v>90.206416532024306</v>
      </c>
      <c r="AK1465">
        <v>301.01754396873997</v>
      </c>
      <c r="AL1465">
        <v>78.243612715020703</v>
      </c>
      <c r="AM1465">
        <v>87.160764521032107</v>
      </c>
      <c r="AN1465">
        <v>1.00000003418521</v>
      </c>
    </row>
    <row r="1466" spans="1:40" x14ac:dyDescent="0.25">
      <c r="A1466" t="str">
        <f>"20190303171007893"</f>
        <v>20190303171007893</v>
      </c>
      <c r="B1466" t="str">
        <f>"1551604207881990"</f>
        <v>1551604207881990</v>
      </c>
      <c r="C1466" t="s">
        <v>40</v>
      </c>
      <c r="D1466">
        <v>4.6551479999999996</v>
      </c>
      <c r="E1466">
        <v>0.48509089999999999</v>
      </c>
      <c r="F1466" t="s">
        <v>53</v>
      </c>
      <c r="G1466">
        <v>-382.3057</v>
      </c>
      <c r="H1466" s="1">
        <v>-3.0979179999999999E-7</v>
      </c>
      <c r="I1466">
        <v>284.37650000000002</v>
      </c>
      <c r="J1466">
        <v>-243.52269999999999</v>
      </c>
      <c r="K1466">
        <v>1.1206769999999999</v>
      </c>
      <c r="L1466">
        <v>283.59039999999999</v>
      </c>
      <c r="M1466">
        <v>-0.99993909999999997</v>
      </c>
      <c r="N1466">
        <v>-7.8168360000000006E-3</v>
      </c>
      <c r="O1466">
        <v>7.8092450000000002E-3</v>
      </c>
      <c r="P1466">
        <v>-0.97894219999999998</v>
      </c>
      <c r="Q1466">
        <v>0.19596640000000001</v>
      </c>
      <c r="R1466">
        <v>5.7181919999999997E-2</v>
      </c>
      <c r="S1466">
        <v>-3.0686650000000002</v>
      </c>
      <c r="T1466">
        <v>-2.471924E-2</v>
      </c>
      <c r="U1466">
        <v>1.7395020000000001E-2</v>
      </c>
      <c r="V1466">
        <v>4.9449569999999998E-2</v>
      </c>
      <c r="W1466">
        <v>0.2036365</v>
      </c>
      <c r="X1466">
        <v>0.97779700000000003</v>
      </c>
      <c r="Y1466">
        <v>-2.140889E-3</v>
      </c>
      <c r="Z1466" s="1">
        <v>-1.8849810000000001E-5</v>
      </c>
      <c r="AA1466">
        <v>0.99999769999999999</v>
      </c>
      <c r="AB1466">
        <v>34</v>
      </c>
      <c r="AC1466">
        <v>-138.78299999999999</v>
      </c>
      <c r="AD1466">
        <v>-1.1206773097917999</v>
      </c>
      <c r="AE1466">
        <v>0.78610000000003299</v>
      </c>
      <c r="AF1466">
        <v>-0.297727962693</v>
      </c>
      <c r="AG1466">
        <v>-1.1206773097917999</v>
      </c>
      <c r="AH1466">
        <v>138.77585816940999</v>
      </c>
      <c r="AI1466">
        <v>90.462678000445393</v>
      </c>
      <c r="AJ1466">
        <v>90.122921448720902</v>
      </c>
      <c r="AK1466">
        <v>138.78070244176101</v>
      </c>
      <c r="AL1466">
        <v>78.250307648999396</v>
      </c>
      <c r="AM1466">
        <v>87.104879698159294</v>
      </c>
      <c r="AN1466">
        <v>1.0000000286572099</v>
      </c>
    </row>
    <row r="1467" spans="1:40" x14ac:dyDescent="0.25">
      <c r="A1467" t="str">
        <f>"20190303171007918"</f>
        <v>20190303171007918</v>
      </c>
      <c r="B1467" t="str">
        <f>"1551604207912246"</f>
        <v>1551604207912246</v>
      </c>
      <c r="C1467" t="s">
        <v>40</v>
      </c>
      <c r="D1467">
        <v>4.5147279999999999</v>
      </c>
      <c r="E1467">
        <v>0.48444219999999999</v>
      </c>
      <c r="F1467" t="s">
        <v>53</v>
      </c>
      <c r="G1467">
        <v>-373.04270000000002</v>
      </c>
      <c r="H1467" s="1">
        <v>8.2383200000000001E-8</v>
      </c>
      <c r="I1467">
        <v>284.24329999999998</v>
      </c>
      <c r="J1467">
        <v>-243.8715</v>
      </c>
      <c r="K1467">
        <v>1.1207020000000001</v>
      </c>
      <c r="L1467">
        <v>283.59289999999999</v>
      </c>
      <c r="M1467">
        <v>-0.99993779999999999</v>
      </c>
      <c r="N1467">
        <v>-8.162407E-3</v>
      </c>
      <c r="O1467">
        <v>7.6027589999999997E-3</v>
      </c>
      <c r="P1467">
        <v>-0.97905580000000003</v>
      </c>
      <c r="Q1467">
        <v>0.19530030000000001</v>
      </c>
      <c r="R1467">
        <v>5.7514389999999999E-2</v>
      </c>
      <c r="S1467">
        <v>-3.0689389999999999</v>
      </c>
      <c r="T1467">
        <v>-2.6554109999999999E-2</v>
      </c>
      <c r="U1467">
        <v>1.5472410000000001E-2</v>
      </c>
      <c r="V1467">
        <v>4.9984290000000001E-2</v>
      </c>
      <c r="W1467">
        <v>0.20330970000000001</v>
      </c>
      <c r="X1467">
        <v>0.97783779999999998</v>
      </c>
      <c r="Y1467">
        <v>-2.561322E-3</v>
      </c>
      <c r="Z1467" s="1">
        <v>-2.5257170000000001E-5</v>
      </c>
      <c r="AA1467">
        <v>0.99999669999999896</v>
      </c>
      <c r="AB1467">
        <v>34</v>
      </c>
      <c r="AC1467">
        <v>-129.1712</v>
      </c>
      <c r="AD1467">
        <v>-1.1207019176168</v>
      </c>
      <c r="AE1467">
        <v>0.65039999999998999</v>
      </c>
      <c r="AF1467">
        <v>-0.33168403657800699</v>
      </c>
      <c r="AG1467">
        <v>-1.1207019176168</v>
      </c>
      <c r="AH1467">
        <v>129.16268909138</v>
      </c>
      <c r="AI1467">
        <v>90.497122407536096</v>
      </c>
      <c r="AJ1467">
        <v>90.147132688148005</v>
      </c>
      <c r="AK1467">
        <v>129.167976837933</v>
      </c>
      <c r="AL1467">
        <v>78.269431796537603</v>
      </c>
      <c r="AM1467">
        <v>87.073749501590399</v>
      </c>
      <c r="AN1467">
        <v>1.0000000132348601</v>
      </c>
    </row>
    <row r="1468" spans="1:40" x14ac:dyDescent="0.25">
      <c r="A1468" t="str">
        <f>"20190303171007938"</f>
        <v>20190303171007938</v>
      </c>
      <c r="B1468" t="str">
        <f>"1551604207931766"</f>
        <v>1551604207931766</v>
      </c>
      <c r="C1468" t="s">
        <v>40</v>
      </c>
      <c r="D1468">
        <v>4.4779859999999996</v>
      </c>
      <c r="E1468">
        <v>0.48427290000000001</v>
      </c>
      <c r="F1468" t="s">
        <v>53</v>
      </c>
      <c r="G1468">
        <v>-352.85329999999999</v>
      </c>
      <c r="H1468" s="1">
        <v>-1.8408489999999999E-8</v>
      </c>
      <c r="I1468">
        <v>283.96339999999998</v>
      </c>
      <c r="J1468">
        <v>-244.20230000000001</v>
      </c>
      <c r="K1468">
        <v>1.1207129999999901</v>
      </c>
      <c r="L1468">
        <v>283.59519999999998</v>
      </c>
      <c r="M1468">
        <v>-0.99993690000000002</v>
      </c>
      <c r="N1468">
        <v>-8.4472369999999998E-3</v>
      </c>
      <c r="O1468">
        <v>7.4066879999999998E-3</v>
      </c>
      <c r="P1468">
        <v>-0.97905330000000002</v>
      </c>
      <c r="Q1468">
        <v>0.19527539999999999</v>
      </c>
      <c r="R1468">
        <v>5.763944E-2</v>
      </c>
      <c r="S1468">
        <v>-3.0698699999999999</v>
      </c>
      <c r="T1468">
        <v>-3.1568649999999997E-2</v>
      </c>
      <c r="U1468">
        <v>1.043701E-2</v>
      </c>
      <c r="V1468">
        <v>5.0302270000000003E-2</v>
      </c>
      <c r="W1468">
        <v>0.2035632</v>
      </c>
      <c r="X1468">
        <v>0.97776870000000005</v>
      </c>
      <c r="Y1468">
        <v>-4.0068029999999998E-3</v>
      </c>
      <c r="Z1468" s="1">
        <v>-5.1121010000000001E-5</v>
      </c>
      <c r="AA1468">
        <v>0.99999199999999999</v>
      </c>
      <c r="AB1468">
        <v>34</v>
      </c>
      <c r="AC1468">
        <v>-108.650999999999</v>
      </c>
      <c r="AD1468">
        <v>-1.1207130184084899</v>
      </c>
      <c r="AE1468">
        <v>0.36820000000000103</v>
      </c>
      <c r="AF1468">
        <v>-0.436536419063762</v>
      </c>
      <c r="AG1468">
        <v>-1.1207130184084899</v>
      </c>
      <c r="AH1468">
        <v>108.639188204302</v>
      </c>
      <c r="AI1468">
        <v>90.591032859331705</v>
      </c>
      <c r="AJ1468">
        <v>90.230225945323795</v>
      </c>
      <c r="AK1468">
        <v>108.64584564264101</v>
      </c>
      <c r="AL1468">
        <v>78.2545964939399</v>
      </c>
      <c r="AM1468">
        <v>87.054958785061601</v>
      </c>
      <c r="AN1468">
        <v>0.99999996273054004</v>
      </c>
    </row>
    <row r="1469" spans="1:40" x14ac:dyDescent="0.25">
      <c r="A1469" t="str">
        <f>"20190303171007961"</f>
        <v>20190303171007961</v>
      </c>
      <c r="B1469" t="str">
        <f>"1551604207952262"</f>
        <v>1551604207952262</v>
      </c>
      <c r="C1469" t="s">
        <v>40</v>
      </c>
      <c r="D1469">
        <v>4.450507</v>
      </c>
      <c r="E1469">
        <v>0.48425780000000002</v>
      </c>
      <c r="F1469" t="s">
        <v>53</v>
      </c>
      <c r="G1469">
        <v>-348.19400000000002</v>
      </c>
      <c r="H1469" s="1">
        <v>2.8236559999999998E-6</v>
      </c>
      <c r="I1469">
        <v>283.93529999999998</v>
      </c>
      <c r="J1469">
        <v>-244.54499999999999</v>
      </c>
      <c r="K1469">
        <v>1.1207260000000001</v>
      </c>
      <c r="L1469">
        <v>283.59750000000003</v>
      </c>
      <c r="M1469">
        <v>-0.99993620000000005</v>
      </c>
      <c r="N1469">
        <v>-8.7069230000000001E-3</v>
      </c>
      <c r="O1469">
        <v>7.2038400000000004E-3</v>
      </c>
      <c r="P1469">
        <v>-0.97901930000000004</v>
      </c>
      <c r="Q1469">
        <v>0.19522619999999999</v>
      </c>
      <c r="R1469">
        <v>5.8378979999999997E-2</v>
      </c>
      <c r="S1469">
        <v>-3.0701749999999999</v>
      </c>
      <c r="T1469">
        <v>-3.3087020000000002E-2</v>
      </c>
      <c r="U1469">
        <v>1.004028E-2</v>
      </c>
      <c r="V1469">
        <v>5.1241700000000001E-2</v>
      </c>
      <c r="W1469">
        <v>0.2037677</v>
      </c>
      <c r="X1469">
        <v>0.97767729999999997</v>
      </c>
      <c r="Y1469">
        <v>-3.9334840000000001E-3</v>
      </c>
      <c r="Z1469" s="1">
        <v>-5.322772E-5</v>
      </c>
      <c r="AA1469">
        <v>0.99999229999999995</v>
      </c>
      <c r="AB1469">
        <v>34</v>
      </c>
      <c r="AC1469">
        <v>-103.649</v>
      </c>
      <c r="AD1469">
        <v>-1.120723176344</v>
      </c>
      <c r="AE1469">
        <v>0.33779999999995802</v>
      </c>
      <c r="AF1469">
        <v>-0.40886004043127899</v>
      </c>
      <c r="AG1469">
        <v>-1.120723176344</v>
      </c>
      <c r="AH1469">
        <v>103.63662741954199</v>
      </c>
      <c r="AI1469">
        <v>90.619565756705995</v>
      </c>
      <c r="AJ1469">
        <v>90.226038166026598</v>
      </c>
      <c r="AK1469">
        <v>103.643493427555</v>
      </c>
      <c r="AL1469">
        <v>78.242628457854096</v>
      </c>
      <c r="AM1469">
        <v>86.999777689801803</v>
      </c>
      <c r="AN1469">
        <v>0.99999994515873303</v>
      </c>
    </row>
    <row r="1470" spans="1:40" x14ac:dyDescent="0.25">
      <c r="A1470" t="str">
        <f>"20190303171007983"</f>
        <v>20190303171007983</v>
      </c>
      <c r="B1470" t="str">
        <f>"1551604207971782"</f>
        <v>1551604207971782</v>
      </c>
      <c r="C1470" t="s">
        <v>40</v>
      </c>
      <c r="D1470">
        <v>4.3402690000000002</v>
      </c>
      <c r="E1470">
        <v>0.48445300000000002</v>
      </c>
      <c r="F1470" t="s">
        <v>53</v>
      </c>
      <c r="G1470">
        <v>-346.17439999999999</v>
      </c>
      <c r="H1470" s="1">
        <v>1.7489169999999999E-6</v>
      </c>
      <c r="I1470">
        <v>283.9803</v>
      </c>
      <c r="J1470">
        <v>-244.87309999999999</v>
      </c>
      <c r="K1470">
        <v>1.1207309999999999</v>
      </c>
      <c r="L1470">
        <v>283.59969999999998</v>
      </c>
      <c r="M1470">
        <v>-0.99993569999999998</v>
      </c>
      <c r="N1470">
        <v>-8.9214350000000001E-3</v>
      </c>
      <c r="O1470">
        <v>7.0105209999999996E-3</v>
      </c>
      <c r="P1470">
        <v>-0.97898510000000005</v>
      </c>
      <c r="Q1470">
        <v>0.19518820000000001</v>
      </c>
      <c r="R1470">
        <v>5.907544E-2</v>
      </c>
      <c r="S1470">
        <v>-3.0703580000000001</v>
      </c>
      <c r="T1470">
        <v>-3.3858539999999999E-2</v>
      </c>
      <c r="U1470">
        <v>1.1566160000000001E-2</v>
      </c>
      <c r="V1470">
        <v>5.2128460000000001E-2</v>
      </c>
      <c r="W1470">
        <v>0.20393900000000001</v>
      </c>
      <c r="X1470">
        <v>0.97759470000000004</v>
      </c>
      <c r="Y1470">
        <v>-3.2434579999999998E-3</v>
      </c>
      <c r="Z1470" s="1">
        <v>-4.7112759999999998E-5</v>
      </c>
      <c r="AA1470">
        <v>0.99999479999999996</v>
      </c>
      <c r="AB1470">
        <v>34</v>
      </c>
      <c r="AC1470">
        <v>-101.3013</v>
      </c>
      <c r="AD1470">
        <v>-1.12072925108299</v>
      </c>
      <c r="AE1470">
        <v>0.38060000000001498</v>
      </c>
      <c r="AF1470">
        <v>-0.32957211929320801</v>
      </c>
      <c r="AG1470">
        <v>-1.12072925108299</v>
      </c>
      <c r="AH1470">
        <v>101.289081411981</v>
      </c>
      <c r="AI1470">
        <v>90.633929097069498</v>
      </c>
      <c r="AJ1470">
        <v>90.186427051948897</v>
      </c>
      <c r="AK1470">
        <v>101.295817609213</v>
      </c>
      <c r="AL1470">
        <v>78.232603168983204</v>
      </c>
      <c r="AM1470">
        <v>86.947697470807796</v>
      </c>
      <c r="AN1470">
        <v>0.999999944765529</v>
      </c>
    </row>
    <row r="1471" spans="1:40" x14ac:dyDescent="0.25">
      <c r="A1471" t="str">
        <f>"20190303171008004"</f>
        <v>20190303171008004</v>
      </c>
      <c r="B1471" t="str">
        <f>"1551604207992279"</f>
        <v>1551604207992279</v>
      </c>
      <c r="C1471" t="s">
        <v>40</v>
      </c>
      <c r="D1471">
        <v>4.4400320000000004</v>
      </c>
      <c r="E1471">
        <v>0.4844522</v>
      </c>
      <c r="F1471" t="s">
        <v>53</v>
      </c>
      <c r="G1471">
        <v>-349.13409999999999</v>
      </c>
      <c r="H1471" s="1">
        <v>3.3239250000000001E-6</v>
      </c>
      <c r="I1471">
        <v>284.09300000000002</v>
      </c>
      <c r="J1471">
        <v>-245.19560000000001</v>
      </c>
      <c r="K1471">
        <v>1.120736</v>
      </c>
      <c r="L1471">
        <v>283.60180000000003</v>
      </c>
      <c r="M1471">
        <v>-0.99993529999999997</v>
      </c>
      <c r="N1471">
        <v>-9.1050249999999992E-3</v>
      </c>
      <c r="O1471">
        <v>6.82185E-3</v>
      </c>
      <c r="P1471">
        <v>-0.97887049999999998</v>
      </c>
      <c r="Q1471">
        <v>0.19551879999999999</v>
      </c>
      <c r="R1471">
        <v>5.9875360000000002E-2</v>
      </c>
      <c r="S1471">
        <v>-3.0701139999999998</v>
      </c>
      <c r="T1471">
        <v>-3.3001419999999997E-2</v>
      </c>
      <c r="U1471">
        <v>1.452637E-2</v>
      </c>
      <c r="V1471">
        <v>5.3114199999999903E-2</v>
      </c>
      <c r="W1471">
        <v>0.2044483</v>
      </c>
      <c r="X1471">
        <v>0.97743530000000001</v>
      </c>
      <c r="Y1471">
        <v>-2.090448E-3</v>
      </c>
      <c r="Z1471" s="1">
        <v>-3.196466E-5</v>
      </c>
      <c r="AA1471">
        <v>0.99999780000000005</v>
      </c>
      <c r="AB1471">
        <v>34</v>
      </c>
      <c r="AC1471">
        <v>-103.938499999999</v>
      </c>
      <c r="AD1471">
        <v>-1.120732676075</v>
      </c>
      <c r="AE1471">
        <v>0.49119999999999198</v>
      </c>
      <c r="AF1471">
        <v>-0.21786833416437401</v>
      </c>
      <c r="AG1471">
        <v>-1.120732676075</v>
      </c>
      <c r="AH1471">
        <v>103.927349372733</v>
      </c>
      <c r="AI1471">
        <v>90.617841431054302</v>
      </c>
      <c r="AJ1471">
        <v>90.120111961156795</v>
      </c>
      <c r="AK1471">
        <v>103.93362043142901</v>
      </c>
      <c r="AL1471">
        <v>78.202794979317702</v>
      </c>
      <c r="AM1471">
        <v>86.889585048518398</v>
      </c>
      <c r="AN1471">
        <v>0.99999999565030995</v>
      </c>
    </row>
    <row r="1472" spans="1:40" x14ac:dyDescent="0.25">
      <c r="A1472" t="str">
        <f>"20190303171008027"</f>
        <v>20190303171008027</v>
      </c>
      <c r="B1472" t="str">
        <f>"1551604208021559"</f>
        <v>1551604208021559</v>
      </c>
      <c r="C1472" t="s">
        <v>40</v>
      </c>
      <c r="D1472">
        <v>4.4350379999999996</v>
      </c>
      <c r="E1472">
        <v>0.48441089999999998</v>
      </c>
      <c r="F1472" t="s">
        <v>53</v>
      </c>
      <c r="G1472">
        <v>-352.72489999999999</v>
      </c>
      <c r="H1472" s="1">
        <v>-8.6716339999999996E-8</v>
      </c>
      <c r="I1472">
        <v>284.1832</v>
      </c>
      <c r="J1472">
        <v>-245.53809999999999</v>
      </c>
      <c r="K1472">
        <v>1.1207400000000001</v>
      </c>
      <c r="L1472">
        <v>283.60390000000001</v>
      </c>
      <c r="M1472">
        <v>-0.99993509999999997</v>
      </c>
      <c r="N1472">
        <v>-9.2752459999999991E-3</v>
      </c>
      <c r="O1472">
        <v>6.6226130000000003E-3</v>
      </c>
      <c r="P1472">
        <v>-0.97879079999999996</v>
      </c>
      <c r="Q1472">
        <v>0.19589490000000001</v>
      </c>
      <c r="R1472">
        <v>5.9948809999999998E-2</v>
      </c>
      <c r="S1472">
        <v>-3.0701290000000001</v>
      </c>
      <c r="T1472">
        <v>-3.1998749999999999E-2</v>
      </c>
      <c r="U1472">
        <v>1.6601560000000001E-2</v>
      </c>
      <c r="V1472">
        <v>5.3383239999999998E-2</v>
      </c>
      <c r="W1472">
        <v>0.2049897</v>
      </c>
      <c r="X1472">
        <v>0.97730729999999999</v>
      </c>
      <c r="Y1472">
        <v>-1.2154220000000001E-3</v>
      </c>
      <c r="Z1472" s="1">
        <v>-1.9565E-5</v>
      </c>
      <c r="AA1472">
        <v>0.99999930000000004</v>
      </c>
      <c r="AB1472">
        <v>34</v>
      </c>
      <c r="AC1472">
        <v>-107.18680000000001</v>
      </c>
      <c r="AD1472">
        <v>-1.12074008671634</v>
      </c>
      <c r="AE1472">
        <v>0.57929999999998905</v>
      </c>
      <c r="AF1472">
        <v>-0.13058562735656301</v>
      </c>
      <c r="AG1472">
        <v>-1.12074008671634</v>
      </c>
      <c r="AH1472">
        <v>107.176568919381</v>
      </c>
      <c r="AI1472">
        <v>90.599116854557195</v>
      </c>
      <c r="AJ1472">
        <v>90.069810049767398</v>
      </c>
      <c r="AK1472">
        <v>107.182508070482</v>
      </c>
      <c r="AL1472">
        <v>78.171104539003593</v>
      </c>
      <c r="AM1472">
        <v>86.873452372472599</v>
      </c>
      <c r="AN1472">
        <v>1.0000000530261299</v>
      </c>
    </row>
    <row r="1473" spans="1:40" x14ac:dyDescent="0.25">
      <c r="A1473" t="str">
        <f>"20190303171008050"</f>
        <v>20190303171008050</v>
      </c>
      <c r="B1473" t="str">
        <f>"1551604208042055"</f>
        <v>1551604208042055</v>
      </c>
      <c r="C1473" t="s">
        <v>40</v>
      </c>
      <c r="D1473">
        <v>4.4382789999999996</v>
      </c>
      <c r="E1473">
        <v>0.48443570000000002</v>
      </c>
      <c r="F1473" t="s">
        <v>53</v>
      </c>
      <c r="G1473">
        <v>-354.52050000000003</v>
      </c>
      <c r="H1473" s="1">
        <v>8.6881979999999998E-7</v>
      </c>
      <c r="I1473">
        <v>284.19099999999997</v>
      </c>
      <c r="J1473">
        <v>-245.90199999999999</v>
      </c>
      <c r="K1473">
        <v>1.1207469999999999</v>
      </c>
      <c r="L1473">
        <v>283.60610000000003</v>
      </c>
      <c r="M1473">
        <v>-0.99993500000000002</v>
      </c>
      <c r="N1473">
        <v>-9.4315800000000002E-3</v>
      </c>
      <c r="O1473">
        <v>6.4116249999999998E-3</v>
      </c>
      <c r="P1473">
        <v>-0.97873319999999997</v>
      </c>
      <c r="Q1473">
        <v>0.1960277</v>
      </c>
      <c r="R1473">
        <v>6.0451440000000002E-2</v>
      </c>
      <c r="S1473">
        <v>-3.0703429999999998</v>
      </c>
      <c r="T1473">
        <v>-3.1574369999999997E-2</v>
      </c>
      <c r="U1473">
        <v>1.6540530000000001E-2</v>
      </c>
      <c r="V1473">
        <v>5.4092609999999999E-2</v>
      </c>
      <c r="W1473">
        <v>0.20527529999999999</v>
      </c>
      <c r="X1473">
        <v>0.97720830000000003</v>
      </c>
      <c r="Y1473">
        <v>0</v>
      </c>
      <c r="Z1473">
        <v>0</v>
      </c>
      <c r="AA1473">
        <v>1</v>
      </c>
      <c r="AB1473">
        <v>34</v>
      </c>
      <c r="AC1473">
        <v>-108.6185</v>
      </c>
      <c r="AD1473">
        <v>-1.1207461311801901</v>
      </c>
      <c r="AE1473">
        <v>0.58489999999994702</v>
      </c>
      <c r="AF1473">
        <v>-0.11155219090078999</v>
      </c>
      <c r="AG1473">
        <v>-1.1207461311801901</v>
      </c>
      <c r="AH1473">
        <v>108.60845484446401</v>
      </c>
      <c r="AI1473">
        <v>90.591222021544894</v>
      </c>
      <c r="AJ1473">
        <v>90.058848710219294</v>
      </c>
      <c r="AK1473">
        <v>108.61429454488901</v>
      </c>
      <c r="AL1473">
        <v>78.154384805760301</v>
      </c>
      <c r="AM1473">
        <v>86.831669795350706</v>
      </c>
      <c r="AN1473">
        <v>1.00000001041779</v>
      </c>
    </row>
    <row r="1474" spans="1:40" x14ac:dyDescent="0.25">
      <c r="A1474" t="str">
        <f>"20190303171008073"</f>
        <v>20190303171008073</v>
      </c>
      <c r="B1474" t="str">
        <f>"1551604208061575"</f>
        <v>1551604208061575</v>
      </c>
      <c r="C1474" t="s">
        <v>40</v>
      </c>
      <c r="D1474">
        <v>4.4579279999999999</v>
      </c>
      <c r="E1474">
        <v>0.48430309999999999</v>
      </c>
      <c r="F1474" t="s">
        <v>53</v>
      </c>
      <c r="G1474">
        <v>-356.27409999999998</v>
      </c>
      <c r="H1474" s="1">
        <v>1.8020000000000001E-6</v>
      </c>
      <c r="I1474">
        <v>284.25990000000002</v>
      </c>
      <c r="J1474">
        <v>-246.2363</v>
      </c>
      <c r="K1474">
        <v>1.1207510000000001</v>
      </c>
      <c r="L1474">
        <v>283.60809999999998</v>
      </c>
      <c r="M1474">
        <v>-0.99993520000000002</v>
      </c>
      <c r="N1474">
        <v>-9.5511150000000006E-3</v>
      </c>
      <c r="O1474">
        <v>6.2176159999999996E-3</v>
      </c>
      <c r="P1474">
        <v>-0.97862879999999997</v>
      </c>
      <c r="Q1474">
        <v>0.19647780000000001</v>
      </c>
      <c r="R1474">
        <v>6.0683090000000002E-2</v>
      </c>
      <c r="S1474">
        <v>-3.0703130000000001</v>
      </c>
      <c r="T1474">
        <v>-3.117669E-2</v>
      </c>
      <c r="U1474">
        <v>1.818848E-2</v>
      </c>
      <c r="V1474">
        <v>5.4514609999999998E-2</v>
      </c>
      <c r="W1474">
        <v>0.20584089999999999</v>
      </c>
      <c r="X1474">
        <v>0.97706590000000004</v>
      </c>
      <c r="Y1474">
        <v>0</v>
      </c>
      <c r="Z1474">
        <v>0</v>
      </c>
      <c r="AA1474">
        <v>1</v>
      </c>
      <c r="AB1474">
        <v>34</v>
      </c>
      <c r="AC1474">
        <v>-110.037799999999</v>
      </c>
      <c r="AD1474">
        <v>-1.1207491979999999</v>
      </c>
      <c r="AE1474">
        <v>0.65180000000003602</v>
      </c>
      <c r="AF1474">
        <v>-3.2413134169976598E-2</v>
      </c>
      <c r="AG1474">
        <v>-1.1207491979999999</v>
      </c>
      <c r="AH1474">
        <v>110.02831206001601</v>
      </c>
      <c r="AI1474">
        <v>90.583595024275198</v>
      </c>
      <c r="AJ1474">
        <v>90.016878707854701</v>
      </c>
      <c r="AK1474">
        <v>110.034024665793</v>
      </c>
      <c r="AL1474">
        <v>78.121271595508404</v>
      </c>
      <c r="AM1474">
        <v>86.806538826739498</v>
      </c>
      <c r="AN1474">
        <v>1.00000004587953</v>
      </c>
    </row>
    <row r="1475" spans="1:40" x14ac:dyDescent="0.25">
      <c r="A1475" t="str">
        <f>"20190303171008093"</f>
        <v>20190303171008093</v>
      </c>
      <c r="B1475" t="str">
        <f>"1551604208082071"</f>
        <v>1551604208082071</v>
      </c>
      <c r="C1475" t="s">
        <v>40</v>
      </c>
      <c r="D1475">
        <v>4.4345910000000002</v>
      </c>
      <c r="E1475">
        <v>0.48428149999999998</v>
      </c>
      <c r="F1475" t="s">
        <v>53</v>
      </c>
      <c r="G1475">
        <v>-361.17259999999999</v>
      </c>
      <c r="H1475" s="1">
        <v>-9.1280670000000003E-7</v>
      </c>
      <c r="I1475">
        <v>284.28550000000001</v>
      </c>
      <c r="J1475">
        <v>-246.55090000000001</v>
      </c>
      <c r="K1475">
        <v>1.120749</v>
      </c>
      <c r="L1475">
        <v>283.60980000000001</v>
      </c>
      <c r="M1475">
        <v>-0.99993540000000003</v>
      </c>
      <c r="N1475">
        <v>-9.6408259999999999E-3</v>
      </c>
      <c r="O1475">
        <v>6.0344819999999999E-3</v>
      </c>
      <c r="P1475">
        <v>-0.97867380000000004</v>
      </c>
      <c r="Q1475">
        <v>0.1964418</v>
      </c>
      <c r="R1475">
        <v>6.0074200000000001E-2</v>
      </c>
      <c r="S1475">
        <v>-3.0704189999999998</v>
      </c>
      <c r="T1475">
        <v>-2.993989E-2</v>
      </c>
      <c r="U1475">
        <v>1.8096919999999999E-2</v>
      </c>
      <c r="V1475">
        <v>5.4084859999999998E-2</v>
      </c>
      <c r="W1475">
        <v>0.2058931</v>
      </c>
      <c r="X1475">
        <v>0.97707869999999997</v>
      </c>
      <c r="Y1475">
        <v>0</v>
      </c>
      <c r="Z1475">
        <v>0</v>
      </c>
      <c r="AA1475">
        <v>1</v>
      </c>
      <c r="AB1475">
        <v>34</v>
      </c>
      <c r="AC1475">
        <v>-114.621699999999</v>
      </c>
      <c r="AD1475">
        <v>-1.1207499128067</v>
      </c>
      <c r="AE1475">
        <v>0.67570000000000596</v>
      </c>
      <c r="AF1475">
        <v>-1.6025447124371098E-2</v>
      </c>
      <c r="AG1475">
        <v>-1.1207499128067</v>
      </c>
      <c r="AH1475">
        <v>114.61273325437099</v>
      </c>
      <c r="AI1475">
        <v>90.560253567157901</v>
      </c>
      <c r="AJ1475">
        <v>90.008011243192399</v>
      </c>
      <c r="AK1475">
        <v>114.61821391567599</v>
      </c>
      <c r="AL1475">
        <v>78.118214294947705</v>
      </c>
      <c r="AM1475">
        <v>86.831703474134798</v>
      </c>
      <c r="AN1475">
        <v>0.99999996335125896</v>
      </c>
    </row>
    <row r="1476" spans="1:40" x14ac:dyDescent="0.25">
      <c r="A1476" t="str">
        <f>"20190303171008119"</f>
        <v>20190303171008119</v>
      </c>
      <c r="B1476" t="str">
        <f>"1551604208112326"</f>
        <v>1551604208112326</v>
      </c>
      <c r="C1476" t="s">
        <v>40</v>
      </c>
      <c r="D1476">
        <v>4.4122450000000004</v>
      </c>
      <c r="E1476">
        <v>0.48417650000000001</v>
      </c>
      <c r="F1476" t="s">
        <v>53</v>
      </c>
      <c r="G1476">
        <v>-361.47660000000002</v>
      </c>
      <c r="H1476" s="1">
        <v>-7.5100309999999895E-7</v>
      </c>
      <c r="I1476">
        <v>284.21980000000002</v>
      </c>
      <c r="J1476">
        <v>-246.93700000000001</v>
      </c>
      <c r="K1476">
        <v>1.1207419999999999</v>
      </c>
      <c r="L1476">
        <v>283.61189999999999</v>
      </c>
      <c r="M1476">
        <v>-0.99993600000000005</v>
      </c>
      <c r="N1476">
        <v>-9.7106750000000002E-3</v>
      </c>
      <c r="O1476">
        <v>5.80972E-3</v>
      </c>
      <c r="P1476">
        <v>-0.97883370000000003</v>
      </c>
      <c r="Q1476">
        <v>0.1959023</v>
      </c>
      <c r="R1476">
        <v>5.9218850000000003E-2</v>
      </c>
      <c r="S1476">
        <v>-3.070389</v>
      </c>
      <c r="T1476">
        <v>-2.994227E-2</v>
      </c>
      <c r="U1476">
        <v>1.6296390000000001E-2</v>
      </c>
      <c r="V1476">
        <v>5.344865E-2</v>
      </c>
      <c r="W1476">
        <v>0.20542279999999999</v>
      </c>
      <c r="X1476">
        <v>0.97721270000000005</v>
      </c>
      <c r="Y1476">
        <v>0</v>
      </c>
      <c r="Z1476">
        <v>0</v>
      </c>
      <c r="AA1476">
        <v>1</v>
      </c>
      <c r="AB1476">
        <v>34</v>
      </c>
      <c r="AC1476">
        <v>-114.53959999999999</v>
      </c>
      <c r="AD1476">
        <v>-1.1207427510030901</v>
      </c>
      <c r="AE1476">
        <v>0.60790000000002897</v>
      </c>
      <c r="AF1476">
        <v>-5.7579111492066702E-2</v>
      </c>
      <c r="AG1476">
        <v>-1.1207427510030901</v>
      </c>
      <c r="AH1476">
        <v>114.530233682222</v>
      </c>
      <c r="AI1476">
        <v>90.560653461057896</v>
      </c>
      <c r="AJ1476">
        <v>90.028804968719598</v>
      </c>
      <c r="AK1476">
        <v>114.535731573044</v>
      </c>
      <c r="AL1476">
        <v>78.145749202825399</v>
      </c>
      <c r="AM1476">
        <v>86.8693266206554</v>
      </c>
      <c r="AN1476">
        <v>0.99999997299397503</v>
      </c>
    </row>
    <row r="1477" spans="1:40" x14ac:dyDescent="0.25">
      <c r="A1477" t="str">
        <f>"20190303171008140"</f>
        <v>20190303171008140</v>
      </c>
      <c r="B1477" t="str">
        <f>"1551604208131846"</f>
        <v>1551604208131846</v>
      </c>
      <c r="C1477" t="s">
        <v>40</v>
      </c>
      <c r="D1477">
        <v>4.4338509999999998</v>
      </c>
      <c r="E1477">
        <v>0.48398010000000002</v>
      </c>
      <c r="F1477" t="s">
        <v>53</v>
      </c>
      <c r="G1477">
        <v>-353.78309999999999</v>
      </c>
      <c r="H1477" s="1">
        <v>4.7637929999999998E-7</v>
      </c>
      <c r="I1477">
        <v>284.06209999999999</v>
      </c>
      <c r="J1477">
        <v>-247.26519999999999</v>
      </c>
      <c r="K1477">
        <v>1.1207320000000001</v>
      </c>
      <c r="L1477">
        <v>283.61360000000002</v>
      </c>
      <c r="M1477">
        <v>-0.99993690000000002</v>
      </c>
      <c r="N1477">
        <v>-9.7335479999999999E-3</v>
      </c>
      <c r="O1477">
        <v>5.6182740000000004E-3</v>
      </c>
      <c r="P1477">
        <v>-0.97895489999999996</v>
      </c>
      <c r="Q1477">
        <v>0.19559860000000001</v>
      </c>
      <c r="R1477">
        <v>5.8211659999999998E-2</v>
      </c>
      <c r="S1477">
        <v>-3.070541</v>
      </c>
      <c r="T1477">
        <v>-3.2207850000000003E-2</v>
      </c>
      <c r="U1477">
        <v>1.293945E-2</v>
      </c>
      <c r="V1477">
        <v>5.2628220000000003E-2</v>
      </c>
      <c r="W1477">
        <v>0.2051423</v>
      </c>
      <c r="X1477">
        <v>0.97731619999999997</v>
      </c>
      <c r="Y1477">
        <v>-1.4043809999999999E-3</v>
      </c>
      <c r="Z1477" s="1">
        <v>-1.844306E-5</v>
      </c>
      <c r="AA1477">
        <v>0.99999899999999997</v>
      </c>
      <c r="AB1477">
        <v>34</v>
      </c>
      <c r="AC1477">
        <v>-106.5179</v>
      </c>
      <c r="AD1477">
        <v>-1.1207315236206901</v>
      </c>
      <c r="AE1477">
        <v>0.44849999999996698</v>
      </c>
      <c r="AF1477">
        <v>-0.14996554381635999</v>
      </c>
      <c r="AG1477">
        <v>-1.1207315236206901</v>
      </c>
      <c r="AH1477">
        <v>106.50694823236201</v>
      </c>
      <c r="AI1477">
        <v>90.602878533627901</v>
      </c>
      <c r="AJ1477">
        <v>90.080674427324695</v>
      </c>
      <c r="AK1477">
        <v>106.512950154352</v>
      </c>
      <c r="AL1477">
        <v>78.162171005701694</v>
      </c>
      <c r="AM1477">
        <v>86.917614489076797</v>
      </c>
      <c r="AN1477">
        <v>1.00000002378604</v>
      </c>
    </row>
    <row r="1478" spans="1:40" x14ac:dyDescent="0.25">
      <c r="A1478" t="str">
        <f>"20190303171008162"</f>
        <v>20190303171008162</v>
      </c>
      <c r="B1478" t="str">
        <f>"1551604208152342"</f>
        <v>1551604208152342</v>
      </c>
      <c r="C1478" t="s">
        <v>40</v>
      </c>
      <c r="D1478">
        <v>4.5386819999999997</v>
      </c>
      <c r="E1478">
        <v>0.46074330000000002</v>
      </c>
      <c r="F1478" t="s">
        <v>53</v>
      </c>
      <c r="G1478">
        <v>-348.90050000000002</v>
      </c>
      <c r="H1478" s="1">
        <v>3.1996100000000001E-6</v>
      </c>
      <c r="I1478">
        <v>283.88630000000001</v>
      </c>
      <c r="J1478">
        <v>-247.5977</v>
      </c>
      <c r="K1478">
        <v>1.1207260000000001</v>
      </c>
      <c r="L1478">
        <v>283.61529999999999</v>
      </c>
      <c r="M1478">
        <v>-0.99993790000000005</v>
      </c>
      <c r="N1478">
        <v>-9.7393419999999998E-3</v>
      </c>
      <c r="O1478">
        <v>5.4245910000000003E-3</v>
      </c>
      <c r="P1478">
        <v>-0.97895889999999997</v>
      </c>
      <c r="Q1478">
        <v>0.19576209999999999</v>
      </c>
      <c r="R1478">
        <v>5.7593730000000003E-2</v>
      </c>
      <c r="S1478">
        <v>-3.07077</v>
      </c>
      <c r="T1478">
        <v>-3.3861280000000001E-2</v>
      </c>
      <c r="U1478">
        <v>8.2397459999999992E-3</v>
      </c>
      <c r="V1478">
        <v>5.2199969999999998E-2</v>
      </c>
      <c r="W1478">
        <v>0.2053112</v>
      </c>
      <c r="X1478">
        <v>0.9773037</v>
      </c>
      <c r="Y1478">
        <v>-2.741276E-3</v>
      </c>
      <c r="Z1478" s="1">
        <v>-3.544504E-5</v>
      </c>
      <c r="AA1478">
        <v>0.9999962</v>
      </c>
      <c r="AB1478">
        <v>34</v>
      </c>
      <c r="AC1478">
        <v>-101.3028</v>
      </c>
      <c r="AD1478">
        <v>-1.1207228003899901</v>
      </c>
      <c r="AE1478">
        <v>0.27100000000001501</v>
      </c>
      <c r="AF1478">
        <v>-0.27852219726816901</v>
      </c>
      <c r="AG1478">
        <v>-1.1207228003899901</v>
      </c>
      <c r="AH1478">
        <v>101.29038244639599</v>
      </c>
      <c r="AI1478">
        <v>90.633918265774398</v>
      </c>
      <c r="AJ1478">
        <v>90.157548088956901</v>
      </c>
      <c r="AK1478">
        <v>101.29696525734001</v>
      </c>
      <c r="AL1478">
        <v>78.152283284241193</v>
      </c>
      <c r="AM1478">
        <v>86.942609880048096</v>
      </c>
      <c r="AN1478">
        <v>1.00000002387356</v>
      </c>
    </row>
    <row r="1479" spans="1:40" x14ac:dyDescent="0.25">
      <c r="A1479" t="str">
        <f>"20190303171008184"</f>
        <v>20190303171008184</v>
      </c>
      <c r="B1479" t="str">
        <f>"1551604208171863"</f>
        <v>1551604208171863</v>
      </c>
      <c r="C1479" t="s">
        <v>40</v>
      </c>
      <c r="D1479">
        <v>4.536378</v>
      </c>
      <c r="E1479">
        <v>0.44764470000000001</v>
      </c>
      <c r="F1479" t="s">
        <v>60</v>
      </c>
      <c r="G1479">
        <v>-429.96120000000002</v>
      </c>
      <c r="H1479">
        <v>5.3462929999999999E-2</v>
      </c>
      <c r="I1479">
        <v>273.07060000000001</v>
      </c>
      <c r="J1479">
        <v>-247.93209999999999</v>
      </c>
      <c r="K1479">
        <v>1.120716</v>
      </c>
      <c r="L1479">
        <v>283.61689999999999</v>
      </c>
      <c r="M1479">
        <v>-0.99993929999999998</v>
      </c>
      <c r="N1479">
        <v>-9.7193179999999994E-3</v>
      </c>
      <c r="O1479">
        <v>5.2293089999999997E-3</v>
      </c>
      <c r="P1479">
        <v>-0.97889199999999998</v>
      </c>
      <c r="Q1479">
        <v>0.1960472</v>
      </c>
      <c r="R1479">
        <v>5.775951E-2</v>
      </c>
      <c r="S1479">
        <v>-3.0785369999999999</v>
      </c>
      <c r="T1479">
        <v>-1.8016819999999999E-2</v>
      </c>
      <c r="U1479">
        <v>-0.178009</v>
      </c>
      <c r="V1479">
        <v>5.2556840000000001E-2</v>
      </c>
      <c r="W1479">
        <v>0.20557629999999999</v>
      </c>
      <c r="X1479">
        <v>0.97722880000000001</v>
      </c>
      <c r="Y1479">
        <v>-6.2943330000000006E-2</v>
      </c>
      <c r="Z1479">
        <v>-4.6997850000000003E-4</v>
      </c>
      <c r="AA1479">
        <v>0.99801700000000004</v>
      </c>
      <c r="AB1479">
        <v>34</v>
      </c>
      <c r="AC1479">
        <v>-182.0291</v>
      </c>
      <c r="AD1479">
        <v>-1.06725307</v>
      </c>
      <c r="AE1479">
        <v>-10.546299999999899</v>
      </c>
      <c r="AF1479">
        <v>-11.4976930439911</v>
      </c>
      <c r="AG1479">
        <v>-1.06725307</v>
      </c>
      <c r="AH1479">
        <v>181.96522416110699</v>
      </c>
      <c r="AI1479">
        <v>90.335375593820999</v>
      </c>
      <c r="AJ1479">
        <v>93.615496704158801</v>
      </c>
      <c r="AK1479">
        <v>182.33123368872199</v>
      </c>
      <c r="AL1479">
        <v>78.136762608089796</v>
      </c>
      <c r="AM1479">
        <v>86.921512328033799</v>
      </c>
      <c r="AN1479">
        <v>0.99999998205095697</v>
      </c>
    </row>
    <row r="1480" spans="1:40" x14ac:dyDescent="0.25">
      <c r="A1480" t="str">
        <f>"20190303171008206"</f>
        <v>20190303171008206</v>
      </c>
      <c r="B1480" t="str">
        <f>"1551604208192359"</f>
        <v>1551604208192359</v>
      </c>
      <c r="C1480" t="s">
        <v>40</v>
      </c>
      <c r="D1480">
        <v>4.570735</v>
      </c>
      <c r="E1480">
        <v>0.44261159999999999</v>
      </c>
      <c r="F1480" t="s">
        <v>63</v>
      </c>
      <c r="G1480">
        <v>-440.6841</v>
      </c>
      <c r="H1480">
        <v>0.76727009999999995</v>
      </c>
      <c r="I1480">
        <v>266.00310000000002</v>
      </c>
      <c r="J1480">
        <v>-248.2741</v>
      </c>
      <c r="K1480">
        <v>1.120703</v>
      </c>
      <c r="L1480">
        <v>283.61849999999998</v>
      </c>
      <c r="M1480">
        <v>-0.99994059999999996</v>
      </c>
      <c r="N1480">
        <v>-9.6680900000000007E-3</v>
      </c>
      <c r="O1480">
        <v>5.0301310000000002E-3</v>
      </c>
      <c r="P1480">
        <v>-0.97884170000000004</v>
      </c>
      <c r="Q1480">
        <v>0.19636380000000001</v>
      </c>
      <c r="R1480">
        <v>5.7535349999999999E-2</v>
      </c>
      <c r="S1480">
        <v>-3.0824579999999999</v>
      </c>
      <c r="T1480">
        <v>-5.6520700000000004E-3</v>
      </c>
      <c r="U1480">
        <v>-0.28167720000000002</v>
      </c>
      <c r="V1480">
        <v>5.2527650000000002E-2</v>
      </c>
      <c r="W1480">
        <v>0.20584179999999999</v>
      </c>
      <c r="X1480">
        <v>0.97717449999999995</v>
      </c>
      <c r="Y1480">
        <v>-9.600873E-2</v>
      </c>
      <c r="Z1480">
        <v>-5.1360299999999995E-4</v>
      </c>
      <c r="AA1480">
        <v>0.9953803</v>
      </c>
      <c r="AB1480">
        <v>34</v>
      </c>
      <c r="AC1480">
        <v>-192.41</v>
      </c>
      <c r="AD1480">
        <v>-0.35343289999999999</v>
      </c>
      <c r="AE1480">
        <v>-17.615399999999902</v>
      </c>
      <c r="AF1480">
        <v>-18.583007696520902</v>
      </c>
      <c r="AG1480">
        <v>-0.35343289999999999</v>
      </c>
      <c r="AH1480">
        <v>192.31831013643799</v>
      </c>
      <c r="AI1480">
        <v>90.1048070429554</v>
      </c>
      <c r="AJ1480">
        <v>95.519145263341002</v>
      </c>
      <c r="AK1480">
        <v>193.214351184375</v>
      </c>
      <c r="AL1480">
        <v>78.121218372593802</v>
      </c>
      <c r="AM1480">
        <v>86.923048186830599</v>
      </c>
      <c r="AN1480">
        <v>1.000000002046</v>
      </c>
    </row>
    <row r="1481" spans="1:40" x14ac:dyDescent="0.25">
      <c r="A1481" t="str">
        <f>"20190303171008229"</f>
        <v>20190303171008229</v>
      </c>
      <c r="B1481" t="str">
        <f>"1551604208222616"</f>
        <v>1551604208222616</v>
      </c>
      <c r="C1481" t="s">
        <v>40</v>
      </c>
      <c r="D1481">
        <v>4.6005310000000001</v>
      </c>
      <c r="E1481">
        <v>0.4390985</v>
      </c>
      <c r="F1481" t="s">
        <v>63</v>
      </c>
      <c r="G1481">
        <v>-440.40789999999998</v>
      </c>
      <c r="H1481">
        <v>1.200161</v>
      </c>
      <c r="I1481">
        <v>263.55180000000001</v>
      </c>
      <c r="J1481">
        <v>-248.631</v>
      </c>
      <c r="K1481">
        <v>1.1206849999999999</v>
      </c>
      <c r="L1481">
        <v>283.62009999999998</v>
      </c>
      <c r="M1481">
        <v>-0.99994249999999996</v>
      </c>
      <c r="N1481">
        <v>-9.5885959999999996E-3</v>
      </c>
      <c r="O1481">
        <v>4.8220329999999999E-3</v>
      </c>
      <c r="P1481">
        <v>-0.97882559999999996</v>
      </c>
      <c r="Q1481">
        <v>0.1966407</v>
      </c>
      <c r="R1481">
        <v>5.6858489999999998E-2</v>
      </c>
      <c r="S1481">
        <v>-3.0835569999999999</v>
      </c>
      <c r="T1481">
        <v>1.275301E-3</v>
      </c>
      <c r="U1481">
        <v>-0.322052</v>
      </c>
      <c r="V1481">
        <v>5.2054370000000003E-2</v>
      </c>
      <c r="W1481">
        <v>0.2060411</v>
      </c>
      <c r="X1481">
        <v>0.97715779999999997</v>
      </c>
      <c r="Y1481">
        <v>-0.10867159999999999</v>
      </c>
      <c r="Z1481">
        <v>-4.5191920000000002E-4</v>
      </c>
      <c r="AA1481">
        <v>0.99407760000000001</v>
      </c>
      <c r="AB1481">
        <v>34</v>
      </c>
      <c r="AC1481">
        <v>-191.77690000000001</v>
      </c>
      <c r="AD1481">
        <v>7.9476000000000102E-2</v>
      </c>
      <c r="AE1481">
        <v>-20.068299999999901</v>
      </c>
      <c r="AF1481">
        <v>-20.992860060847299</v>
      </c>
      <c r="AG1481">
        <v>7.9476000000000102E-2</v>
      </c>
      <c r="AH1481">
        <v>191.67786317699699</v>
      </c>
      <c r="AI1481">
        <v>89.976384482229804</v>
      </c>
      <c r="AJ1481">
        <v>96.250212650956101</v>
      </c>
      <c r="AK1481">
        <v>192.82403823711499</v>
      </c>
      <c r="AL1481">
        <v>78.109548911290702</v>
      </c>
      <c r="AM1481">
        <v>86.950667295134707</v>
      </c>
      <c r="AN1481">
        <v>0.99999997921307304</v>
      </c>
    </row>
    <row r="1482" spans="1:40" x14ac:dyDescent="0.25">
      <c r="A1482" t="str">
        <f>"20190303171008251"</f>
        <v>20190303171008251</v>
      </c>
      <c r="B1482" t="str">
        <f>"1551604208242092"</f>
        <v>1551604208242092</v>
      </c>
      <c r="C1482" t="s">
        <v>40</v>
      </c>
      <c r="D1482">
        <v>4.609998</v>
      </c>
      <c r="E1482">
        <v>0.43792239999999999</v>
      </c>
      <c r="F1482" t="s">
        <v>64</v>
      </c>
      <c r="G1482">
        <v>-385.31319999999999</v>
      </c>
      <c r="H1482">
        <v>1.358776</v>
      </c>
      <c r="I1482">
        <v>268.0335</v>
      </c>
      <c r="J1482">
        <v>-248.9718</v>
      </c>
      <c r="K1482">
        <v>1.1206719999999999</v>
      </c>
      <c r="L1482">
        <v>283.6216</v>
      </c>
      <c r="M1482">
        <v>-0.99994430000000001</v>
      </c>
      <c r="N1482">
        <v>-9.4953669999999993E-3</v>
      </c>
      <c r="O1482">
        <v>4.6238319999999996E-3</v>
      </c>
      <c r="P1482">
        <v>-0.97868580000000005</v>
      </c>
      <c r="Q1482">
        <v>0.19742489999999999</v>
      </c>
      <c r="R1482">
        <v>5.6545720000000001E-2</v>
      </c>
      <c r="S1482">
        <v>-3.0842589999999999</v>
      </c>
      <c r="T1482">
        <v>5.3741930000000002E-3</v>
      </c>
      <c r="U1482">
        <v>-0.3517151</v>
      </c>
      <c r="V1482">
        <v>5.1935580000000002E-2</v>
      </c>
      <c r="W1482">
        <v>0.20673250000000001</v>
      </c>
      <c r="X1482">
        <v>0.9770181</v>
      </c>
      <c r="Y1482">
        <v>-0.11789479999999999</v>
      </c>
      <c r="Z1482">
        <v>-4.0737180000000002E-4</v>
      </c>
      <c r="AA1482">
        <v>0.99302599999999996</v>
      </c>
      <c r="AB1482">
        <v>34</v>
      </c>
      <c r="AC1482">
        <v>-136.34139999999999</v>
      </c>
      <c r="AD1482">
        <v>0.23810400000000001</v>
      </c>
      <c r="AE1482">
        <v>-15.588099999999899</v>
      </c>
      <c r="AF1482">
        <v>-16.2183326279463</v>
      </c>
      <c r="AG1482">
        <v>0.23810400000000001</v>
      </c>
      <c r="AH1482">
        <v>136.26745215135401</v>
      </c>
      <c r="AI1482">
        <v>89.900587187147707</v>
      </c>
      <c r="AJ1482">
        <v>96.787323213863701</v>
      </c>
      <c r="AK1482">
        <v>137.22940473006199</v>
      </c>
      <c r="AL1482">
        <v>78.069063208833597</v>
      </c>
      <c r="AM1482">
        <v>86.957178695775099</v>
      </c>
      <c r="AN1482">
        <v>0.99999999937689799</v>
      </c>
    </row>
    <row r="1483" spans="1:40" x14ac:dyDescent="0.25">
      <c r="A1483" t="str">
        <f>"20190303171008273"</f>
        <v>20190303171008273</v>
      </c>
      <c r="B1483" t="str">
        <f>"1551604208262588"</f>
        <v>1551604208262588</v>
      </c>
      <c r="C1483" t="s">
        <v>40</v>
      </c>
      <c r="D1483">
        <v>4.5322329999999997</v>
      </c>
      <c r="E1483">
        <v>0.43738369999999999</v>
      </c>
      <c r="F1483" t="s">
        <v>64</v>
      </c>
      <c r="G1483">
        <v>-383.1859</v>
      </c>
      <c r="H1483">
        <v>1.5121150000000001</v>
      </c>
      <c r="I1483">
        <v>267.85000000000002</v>
      </c>
      <c r="J1483">
        <v>-249.3066</v>
      </c>
      <c r="K1483">
        <v>1.1206609999999999</v>
      </c>
      <c r="L1483">
        <v>283.62299999999999</v>
      </c>
      <c r="M1483">
        <v>-0.99994609999999995</v>
      </c>
      <c r="N1483">
        <v>-9.3945150000000009E-3</v>
      </c>
      <c r="O1483">
        <v>4.4290629999999996E-3</v>
      </c>
      <c r="P1483">
        <v>-0.97857179999999999</v>
      </c>
      <c r="Q1483">
        <v>0.19807630000000001</v>
      </c>
      <c r="R1483">
        <v>5.6241100000000002E-2</v>
      </c>
      <c r="S1483">
        <v>-3.084457</v>
      </c>
      <c r="T1483">
        <v>8.9973209999999904E-3</v>
      </c>
      <c r="U1483">
        <v>-0.36245729999999998</v>
      </c>
      <c r="V1483">
        <v>5.1821689999999997E-2</v>
      </c>
      <c r="W1483">
        <v>0.20728440000000001</v>
      </c>
      <c r="X1483">
        <v>0.97690719999999998</v>
      </c>
      <c r="Y1483">
        <v>-0.12110650000000001</v>
      </c>
      <c r="Z1483">
        <v>-3.4046150000000003E-4</v>
      </c>
      <c r="AA1483">
        <v>0.99263950000000001</v>
      </c>
      <c r="AB1483">
        <v>34</v>
      </c>
      <c r="AC1483">
        <v>-133.8793</v>
      </c>
      <c r="AD1483">
        <v>0.39145399999999902</v>
      </c>
      <c r="AE1483">
        <v>-15.7729999999999</v>
      </c>
      <c r="AF1483">
        <v>-16.365693277844102</v>
      </c>
      <c r="AG1483">
        <v>0.39145399999999902</v>
      </c>
      <c r="AH1483">
        <v>133.80699575296299</v>
      </c>
      <c r="AI1483">
        <v>89.833620806829103</v>
      </c>
      <c r="AJ1483">
        <v>96.973110552102696</v>
      </c>
      <c r="AK1483">
        <v>134.80467820195301</v>
      </c>
      <c r="AL1483">
        <v>78.036741484625495</v>
      </c>
      <c r="AM1483">
        <v>86.963494803232706</v>
      </c>
      <c r="AN1483">
        <v>0.99999999372482795</v>
      </c>
    </row>
    <row r="1484" spans="1:40" x14ac:dyDescent="0.25">
      <c r="A1484" t="str">
        <f>"20190303171008299"</f>
        <v>20190303171008299</v>
      </c>
      <c r="B1484" t="str">
        <f>"1551604208292844"</f>
        <v>1551604208292844</v>
      </c>
      <c r="C1484" t="s">
        <v>40</v>
      </c>
      <c r="D1484">
        <v>4.6793290000000001</v>
      </c>
      <c r="E1484">
        <v>0.43627830000000001</v>
      </c>
      <c r="F1484" t="s">
        <v>64</v>
      </c>
      <c r="G1484">
        <v>-381.46339999999998</v>
      </c>
      <c r="H1484">
        <v>1.6278319999999999</v>
      </c>
      <c r="I1484">
        <v>267.85000000000002</v>
      </c>
      <c r="J1484">
        <v>-249.69759999999999</v>
      </c>
      <c r="K1484">
        <v>1.1206529999999999</v>
      </c>
      <c r="L1484">
        <v>283.62450000000001</v>
      </c>
      <c r="M1484">
        <v>-0.99994810000000001</v>
      </c>
      <c r="N1484">
        <v>-9.2719310000000006E-3</v>
      </c>
      <c r="O1484">
        <v>4.2035909999999996E-3</v>
      </c>
      <c r="P1484">
        <v>-0.97857989999999995</v>
      </c>
      <c r="Q1484">
        <v>0.19812940000000001</v>
      </c>
      <c r="R1484">
        <v>5.5910000000000001E-2</v>
      </c>
      <c r="S1484">
        <v>-3.084473</v>
      </c>
      <c r="T1484">
        <v>1.183879E-2</v>
      </c>
      <c r="U1484">
        <v>-0.3681335</v>
      </c>
      <c r="V1484">
        <v>5.1711399999999998E-2</v>
      </c>
      <c r="W1484">
        <v>0.20721719999999999</v>
      </c>
      <c r="X1484">
        <v>0.97692730000000005</v>
      </c>
      <c r="Y1484">
        <v>-0.1226835</v>
      </c>
      <c r="Z1484">
        <v>-2.8125550000000001E-4</v>
      </c>
      <c r="AA1484">
        <v>0.99244580000000004</v>
      </c>
      <c r="AB1484">
        <v>34</v>
      </c>
      <c r="AC1484">
        <v>-131.76579999999899</v>
      </c>
      <c r="AD1484">
        <v>0.50717899999999905</v>
      </c>
      <c r="AE1484">
        <v>-15.7744999999999</v>
      </c>
      <c r="AF1484">
        <v>-16.3280355128372</v>
      </c>
      <c r="AG1484">
        <v>0.50717899999999905</v>
      </c>
      <c r="AH1484">
        <v>131.696399747209</v>
      </c>
      <c r="AI1484">
        <v>89.781024581584106</v>
      </c>
      <c r="AJ1484">
        <v>97.0676018942534</v>
      </c>
      <c r="AK1484">
        <v>132.70570327089601</v>
      </c>
      <c r="AL1484">
        <v>78.040677207542998</v>
      </c>
      <c r="AM1484">
        <v>86.970007444969397</v>
      </c>
      <c r="AN1484">
        <v>0.999999993175545</v>
      </c>
    </row>
    <row r="1485" spans="1:40" x14ac:dyDescent="0.25">
      <c r="A1485" t="str">
        <f>"20190303171008320"</f>
        <v>20190303171008320</v>
      </c>
      <c r="B1485" t="str">
        <f>"1551604208312365"</f>
        <v>1551604208312365</v>
      </c>
      <c r="C1485" t="s">
        <v>40</v>
      </c>
      <c r="D1485">
        <v>4.7210660000000004</v>
      </c>
      <c r="E1485">
        <v>0.4356255</v>
      </c>
      <c r="F1485" t="s">
        <v>64</v>
      </c>
      <c r="G1485">
        <v>-378.2731</v>
      </c>
      <c r="H1485">
        <v>1.663759</v>
      </c>
      <c r="I1485">
        <v>267.85000000000002</v>
      </c>
      <c r="J1485">
        <v>-250.02010000000001</v>
      </c>
      <c r="K1485">
        <v>1.120633</v>
      </c>
      <c r="L1485">
        <v>283.62569999999999</v>
      </c>
      <c r="M1485">
        <v>-0.99995000000000001</v>
      </c>
      <c r="N1485">
        <v>-9.1695019999999995E-3</v>
      </c>
      <c r="O1485">
        <v>4.0234520000000003E-3</v>
      </c>
      <c r="P1485">
        <v>-0.9786724</v>
      </c>
      <c r="Q1485">
        <v>0.19772909999999999</v>
      </c>
      <c r="R1485">
        <v>5.5711919999999998E-2</v>
      </c>
      <c r="S1485">
        <v>-3.0846710000000002</v>
      </c>
      <c r="T1485">
        <v>1.3031360000000001E-2</v>
      </c>
      <c r="U1485">
        <v>-0.37844850000000002</v>
      </c>
      <c r="V1485">
        <v>5.1690720000000002E-2</v>
      </c>
      <c r="W1485">
        <v>0.2067176</v>
      </c>
      <c r="X1485">
        <v>0.97703430000000002</v>
      </c>
      <c r="Y1485">
        <v>-0.1257674</v>
      </c>
      <c r="Z1485">
        <v>-2.6042449999999999E-4</v>
      </c>
      <c r="AA1485">
        <v>0.99205969999999999</v>
      </c>
      <c r="AB1485">
        <v>35</v>
      </c>
      <c r="AC1485">
        <v>-128.25299999999999</v>
      </c>
      <c r="AD1485">
        <v>0.543126</v>
      </c>
      <c r="AE1485">
        <v>-15.775699999999899</v>
      </c>
      <c r="AF1485">
        <v>-16.291325906646598</v>
      </c>
      <c r="AG1485">
        <v>0.543126</v>
      </c>
      <c r="AH1485">
        <v>128.18622181663301</v>
      </c>
      <c r="AI1485">
        <v>89.759175896520503</v>
      </c>
      <c r="AJ1485">
        <v>97.242952891990001</v>
      </c>
      <c r="AK1485">
        <v>129.21845746359699</v>
      </c>
      <c r="AL1485">
        <v>78.069936498184106</v>
      </c>
      <c r="AM1485">
        <v>86.971547998194495</v>
      </c>
      <c r="AN1485">
        <v>1.0000000600301799</v>
      </c>
    </row>
    <row r="1486" spans="1:40" x14ac:dyDescent="0.25">
      <c r="A1486" t="str">
        <f>"20190303171008341"</f>
        <v>20190303171008341</v>
      </c>
      <c r="B1486" t="str">
        <f>"1551604208332860"</f>
        <v>1551604208332860</v>
      </c>
      <c r="C1486" t="s">
        <v>40</v>
      </c>
      <c r="D1486">
        <v>4.7397869999999998</v>
      </c>
      <c r="E1486">
        <v>0.43516070000000001</v>
      </c>
      <c r="F1486" t="s">
        <v>64</v>
      </c>
      <c r="G1486">
        <v>-376.7604</v>
      </c>
      <c r="H1486">
        <v>1.6102350000000001</v>
      </c>
      <c r="I1486">
        <v>267.85000000000002</v>
      </c>
      <c r="J1486">
        <v>-250.35669999999999</v>
      </c>
      <c r="K1486">
        <v>1.120614</v>
      </c>
      <c r="L1486">
        <v>283.62689999999998</v>
      </c>
      <c r="M1486">
        <v>-0.99995160000000005</v>
      </c>
      <c r="N1486">
        <v>-9.0668610000000007E-3</v>
      </c>
      <c r="O1486">
        <v>3.8417210000000002E-3</v>
      </c>
      <c r="P1486">
        <v>-0.97873460000000001</v>
      </c>
      <c r="Q1486">
        <v>0.19745589999999999</v>
      </c>
      <c r="R1486">
        <v>5.5585919999999997E-2</v>
      </c>
      <c r="S1486">
        <v>-3.0847929999999999</v>
      </c>
      <c r="T1486">
        <v>1.191854E-2</v>
      </c>
      <c r="U1486">
        <v>-0.38397219999999999</v>
      </c>
      <c r="V1486">
        <v>5.1744329999999998E-2</v>
      </c>
      <c r="W1486">
        <v>0.20634430000000001</v>
      </c>
      <c r="X1486">
        <v>0.97711029999999999</v>
      </c>
      <c r="Y1486">
        <v>-0.1273319</v>
      </c>
      <c r="Z1486">
        <v>-2.8495840000000001E-4</v>
      </c>
      <c r="AA1486">
        <v>0.99186019999999997</v>
      </c>
      <c r="AB1486">
        <v>35</v>
      </c>
      <c r="AC1486">
        <v>-126.4037</v>
      </c>
      <c r="AD1486">
        <v>0.48962099999999997</v>
      </c>
      <c r="AE1486">
        <v>-15.7768999999999</v>
      </c>
      <c r="AF1486">
        <v>-16.262170983950199</v>
      </c>
      <c r="AG1486">
        <v>0.48962099999999997</v>
      </c>
      <c r="AH1486">
        <v>126.340287697021</v>
      </c>
      <c r="AI1486">
        <v>89.779773069846996</v>
      </c>
      <c r="AJ1486">
        <v>97.334624072012502</v>
      </c>
      <c r="AK1486">
        <v>127.383539867602</v>
      </c>
      <c r="AL1486">
        <v>78.091795486679302</v>
      </c>
      <c r="AM1486">
        <v>86.968648313576296</v>
      </c>
      <c r="AN1486">
        <v>0.99999999209786405</v>
      </c>
    </row>
    <row r="1487" spans="1:40" x14ac:dyDescent="0.25">
      <c r="A1487" t="str">
        <f>"20190303171008364"</f>
        <v>20190303171008364</v>
      </c>
      <c r="B1487" t="str">
        <f>"1551604208351911"</f>
        <v>1551604208351911</v>
      </c>
      <c r="C1487" t="s">
        <v>40</v>
      </c>
      <c r="D1487">
        <v>4.6688070000000002</v>
      </c>
      <c r="E1487">
        <v>0.43493349999999997</v>
      </c>
      <c r="F1487" t="s">
        <v>64</v>
      </c>
      <c r="G1487">
        <v>-371.4572</v>
      </c>
      <c r="H1487">
        <v>1.5614049999999999</v>
      </c>
      <c r="I1487">
        <v>268.36970000000002</v>
      </c>
      <c r="J1487">
        <v>-250.7176</v>
      </c>
      <c r="K1487">
        <v>1.1205959999999999</v>
      </c>
      <c r="L1487">
        <v>283.62810000000002</v>
      </c>
      <c r="M1487">
        <v>-0.99995319999999999</v>
      </c>
      <c r="N1487">
        <v>-8.9590590000000001E-3</v>
      </c>
      <c r="O1487">
        <v>3.6621449999999999E-3</v>
      </c>
      <c r="P1487">
        <v>-0.97862130000000003</v>
      </c>
      <c r="Q1487">
        <v>0.19800609999999999</v>
      </c>
      <c r="R1487">
        <v>5.5625519999999998E-2</v>
      </c>
      <c r="S1487">
        <v>-3.084991</v>
      </c>
      <c r="T1487">
        <v>1.1230830000000001E-2</v>
      </c>
      <c r="U1487">
        <v>-0.38867190000000001</v>
      </c>
      <c r="V1487">
        <v>5.1964450000000002E-2</v>
      </c>
      <c r="W1487">
        <v>0.20678659999999999</v>
      </c>
      <c r="X1487">
        <v>0.97700509999999996</v>
      </c>
      <c r="Y1487">
        <v>-0.12863350000000001</v>
      </c>
      <c r="Z1487">
        <v>-2.9931530000000002E-4</v>
      </c>
      <c r="AA1487">
        <v>0.99169209999999997</v>
      </c>
      <c r="AB1487">
        <v>35</v>
      </c>
      <c r="AC1487">
        <v>-120.7396</v>
      </c>
      <c r="AD1487">
        <v>0.44080900000000001</v>
      </c>
      <c r="AE1487">
        <v>-15.2583999999999</v>
      </c>
      <c r="AF1487">
        <v>-15.7002753440809</v>
      </c>
      <c r="AG1487">
        <v>0.44080900000000001</v>
      </c>
      <c r="AH1487">
        <v>120.681326290933</v>
      </c>
      <c r="AI1487">
        <v>89.792467268589306</v>
      </c>
      <c r="AJ1487">
        <v>97.412375910883299</v>
      </c>
      <c r="AK1487">
        <v>121.69911862373201</v>
      </c>
      <c r="AL1487">
        <v>78.065894859218503</v>
      </c>
      <c r="AM1487">
        <v>86.955449996611705</v>
      </c>
      <c r="AN1487">
        <v>0.99999998371468601</v>
      </c>
    </row>
    <row r="1488" spans="1:40" x14ac:dyDescent="0.25">
      <c r="A1488" t="str">
        <f>"20190303171008384"</f>
        <v>20190303171008384</v>
      </c>
      <c r="B1488" t="str">
        <f>"1551604208372407"</f>
        <v>1551604208372407</v>
      </c>
      <c r="C1488" t="s">
        <v>40</v>
      </c>
      <c r="D1488">
        <v>4.7739339999999997</v>
      </c>
      <c r="E1488">
        <v>0.43454749999999998</v>
      </c>
      <c r="F1488" t="s">
        <v>64</v>
      </c>
      <c r="G1488">
        <v>-371.30419999999998</v>
      </c>
      <c r="H1488">
        <v>1.6153390000000001</v>
      </c>
      <c r="I1488">
        <v>268.36970000000002</v>
      </c>
      <c r="J1488">
        <v>-251.02869999999999</v>
      </c>
      <c r="K1488">
        <v>1.120587</v>
      </c>
      <c r="L1488">
        <v>283.62920000000003</v>
      </c>
      <c r="M1488">
        <v>-0.99995460000000003</v>
      </c>
      <c r="N1488">
        <v>-8.8684479999999993E-3</v>
      </c>
      <c r="O1488">
        <v>3.526033E-3</v>
      </c>
      <c r="P1488">
        <v>-0.9785393</v>
      </c>
      <c r="Q1488">
        <v>0.1985653</v>
      </c>
      <c r="R1488">
        <v>5.5071719999999998E-2</v>
      </c>
      <c r="S1488">
        <v>-3.085159</v>
      </c>
      <c r="T1488">
        <v>1.265967E-2</v>
      </c>
      <c r="U1488">
        <v>-0.39038089999999998</v>
      </c>
      <c r="V1488">
        <v>5.1549919999999999E-2</v>
      </c>
      <c r="W1488">
        <v>0.20725550000000001</v>
      </c>
      <c r="X1488">
        <v>0.97692769999999995</v>
      </c>
      <c r="Y1488">
        <v>-0.1290326</v>
      </c>
      <c r="Z1488">
        <v>-2.6519880000000002E-4</v>
      </c>
      <c r="AA1488">
        <v>0.99164030000000003</v>
      </c>
      <c r="AB1488">
        <v>35</v>
      </c>
      <c r="AC1488">
        <v>-120.27549999999999</v>
      </c>
      <c r="AD1488">
        <v>0.49475199999999903</v>
      </c>
      <c r="AE1488">
        <v>-15.259499999999999</v>
      </c>
      <c r="AF1488">
        <v>-15.683255963173</v>
      </c>
      <c r="AG1488">
        <v>0.49475199999999903</v>
      </c>
      <c r="AH1488">
        <v>120.218942667281</v>
      </c>
      <c r="AI1488">
        <v>89.766186057644106</v>
      </c>
      <c r="AJ1488">
        <v>97.432590916848099</v>
      </c>
      <c r="AK1488">
        <v>121.23862203599499</v>
      </c>
      <c r="AL1488">
        <v>78.038433968918</v>
      </c>
      <c r="AM1488">
        <v>86.979452936003099</v>
      </c>
      <c r="AN1488">
        <v>0.99999998377977295</v>
      </c>
    </row>
    <row r="1489" spans="1:40" x14ac:dyDescent="0.25">
      <c r="A1489" t="str">
        <f>"20190303171008398"</f>
        <v>20190303171008398</v>
      </c>
      <c r="B1489" t="str">
        <f>"1551604208391927"</f>
        <v>1551604208391927</v>
      </c>
      <c r="C1489" t="s">
        <v>40</v>
      </c>
      <c r="D1489">
        <v>4.8006219999999997</v>
      </c>
      <c r="E1489">
        <v>0.4341988</v>
      </c>
      <c r="F1489" t="s">
        <v>64</v>
      </c>
      <c r="G1489">
        <v>-370.28449999999998</v>
      </c>
      <c r="H1489">
        <v>1.649996</v>
      </c>
      <c r="I1489">
        <v>268.36970000000002</v>
      </c>
      <c r="J1489">
        <v>-251.25720000000001</v>
      </c>
      <c r="K1489">
        <v>1.1205700000000001</v>
      </c>
      <c r="L1489">
        <v>283.62990000000002</v>
      </c>
      <c r="M1489">
        <v>-0.99995529999999999</v>
      </c>
      <c r="N1489">
        <v>-8.8052289999999995E-3</v>
      </c>
      <c r="O1489">
        <v>3.4396159999999999E-3</v>
      </c>
      <c r="P1489">
        <v>-0.97851929999999998</v>
      </c>
      <c r="Q1489">
        <v>0.1987409</v>
      </c>
      <c r="R1489">
        <v>5.479179E-2</v>
      </c>
      <c r="S1489">
        <v>-3.085251</v>
      </c>
      <c r="T1489">
        <v>1.36981E-2</v>
      </c>
      <c r="U1489">
        <v>-0.3947754</v>
      </c>
      <c r="V1489">
        <v>5.1360830000000003E-2</v>
      </c>
      <c r="W1489">
        <v>0.20736740000000001</v>
      </c>
      <c r="X1489">
        <v>0.9769139</v>
      </c>
      <c r="Y1489">
        <v>-0.130333</v>
      </c>
      <c r="Z1489">
        <v>-2.4261730000000001E-4</v>
      </c>
      <c r="AA1489">
        <v>0.99147019999999997</v>
      </c>
      <c r="AB1489">
        <v>35</v>
      </c>
      <c r="AC1489">
        <v>-119.027299999999</v>
      </c>
      <c r="AD1489">
        <v>0.52942599999999995</v>
      </c>
      <c r="AE1489">
        <v>-15.2601999999999</v>
      </c>
      <c r="AF1489">
        <v>-15.669228816878199</v>
      </c>
      <c r="AG1489">
        <v>0.52942599999999995</v>
      </c>
      <c r="AH1489">
        <v>118.971788883759</v>
      </c>
      <c r="AI1489">
        <v>89.747217688994994</v>
      </c>
      <c r="AJ1489">
        <v>97.502980263120406</v>
      </c>
      <c r="AK1489">
        <v>120.00038155692199</v>
      </c>
      <c r="AL1489">
        <v>78.031880031663704</v>
      </c>
      <c r="AM1489">
        <v>86.990469750374402</v>
      </c>
      <c r="AN1489">
        <v>0.99999997072712898</v>
      </c>
    </row>
    <row r="1490" spans="1:40" x14ac:dyDescent="0.25">
      <c r="A1490" t="str">
        <f>"20190303171008419"</f>
        <v>20190303171008419</v>
      </c>
      <c r="B1490" t="str">
        <f>"1551604208412423"</f>
        <v>1551604208412423</v>
      </c>
      <c r="C1490" t="s">
        <v>40</v>
      </c>
      <c r="D1490">
        <v>4.8272919999999999</v>
      </c>
      <c r="E1490">
        <v>0.43385479999999998</v>
      </c>
      <c r="F1490" t="s">
        <v>64</v>
      </c>
      <c r="G1490">
        <v>-369.38929999999999</v>
      </c>
      <c r="H1490">
        <v>1.6612070000000001</v>
      </c>
      <c r="I1490">
        <v>268.36970000000002</v>
      </c>
      <c r="J1490">
        <v>-251.57249999999999</v>
      </c>
      <c r="K1490">
        <v>1.1205430000000001</v>
      </c>
      <c r="L1490">
        <v>283.6309</v>
      </c>
      <c r="M1490">
        <v>-0.99995630000000002</v>
      </c>
      <c r="N1490">
        <v>-8.7256060000000003E-3</v>
      </c>
      <c r="O1490">
        <v>3.3492159999999999E-3</v>
      </c>
      <c r="P1490">
        <v>-0.97857729999999998</v>
      </c>
      <c r="Q1490">
        <v>0.19859009999999999</v>
      </c>
      <c r="R1490">
        <v>5.4300979999999999E-2</v>
      </c>
      <c r="S1490">
        <v>-3.0853269999999999</v>
      </c>
      <c r="T1490">
        <v>1.4122010000000001E-2</v>
      </c>
      <c r="U1490">
        <v>-0.39855960000000001</v>
      </c>
      <c r="V1490">
        <v>5.0969979999999998E-2</v>
      </c>
      <c r="W1490">
        <v>0.20713599999999999</v>
      </c>
      <c r="X1490">
        <v>0.9769835</v>
      </c>
      <c r="Y1490">
        <v>-0.13143650000000001</v>
      </c>
      <c r="Z1490">
        <v>-2.318872E-4</v>
      </c>
      <c r="AA1490">
        <v>0.99132450000000005</v>
      </c>
      <c r="AB1490">
        <v>35</v>
      </c>
      <c r="AC1490">
        <v>-117.8168</v>
      </c>
      <c r="AD1490">
        <v>0.54066399999999903</v>
      </c>
      <c r="AE1490">
        <v>-15.261199999999899</v>
      </c>
      <c r="AF1490">
        <v>-15.6553990930596</v>
      </c>
      <c r="AG1490">
        <v>0.54066399999999903</v>
      </c>
      <c r="AH1490">
        <v>117.76258510222</v>
      </c>
      <c r="AI1490">
        <v>89.739243224927506</v>
      </c>
      <c r="AJ1490">
        <v>97.572519152283107</v>
      </c>
      <c r="AK1490">
        <v>118.799874950614</v>
      </c>
      <c r="AL1490">
        <v>78.045433012311094</v>
      </c>
      <c r="AM1490">
        <v>87.013542689912995</v>
      </c>
      <c r="AN1490">
        <v>1.00000001031472</v>
      </c>
    </row>
    <row r="1491" spans="1:40" x14ac:dyDescent="0.25">
      <c r="A1491" t="str">
        <f>"20190303171008441"</f>
        <v>20190303171008441</v>
      </c>
      <c r="B1491" t="str">
        <f>"1551604208431943"</f>
        <v>1551604208431943</v>
      </c>
      <c r="C1491" t="s">
        <v>40</v>
      </c>
      <c r="D1491">
        <v>4.8753320000000002</v>
      </c>
      <c r="E1491">
        <v>0.43357770000000001</v>
      </c>
      <c r="F1491" t="s">
        <v>64</v>
      </c>
      <c r="G1491">
        <v>-368.71910000000003</v>
      </c>
      <c r="H1491">
        <v>1.6590879999999999</v>
      </c>
      <c r="I1491">
        <v>268.32909999999998</v>
      </c>
      <c r="J1491">
        <v>-251.92240000000001</v>
      </c>
      <c r="K1491">
        <v>1.1205099999999999</v>
      </c>
      <c r="L1491">
        <v>283.63200000000001</v>
      </c>
      <c r="M1491">
        <v>-0.99995730000000005</v>
      </c>
      <c r="N1491">
        <v>-8.6455179999999996E-3</v>
      </c>
      <c r="O1491">
        <v>3.2808519999999999E-3</v>
      </c>
      <c r="P1491">
        <v>-0.97864249999999997</v>
      </c>
      <c r="Q1491">
        <v>0.19822129999999999</v>
      </c>
      <c r="R1491">
        <v>5.4469969999999999E-2</v>
      </c>
      <c r="S1491">
        <v>-3.085159</v>
      </c>
      <c r="T1491">
        <v>1.418495E-2</v>
      </c>
      <c r="U1491">
        <v>-0.40298460000000003</v>
      </c>
      <c r="V1491">
        <v>5.1219489999999999E-2</v>
      </c>
      <c r="W1491">
        <v>0.20668629999999999</v>
      </c>
      <c r="X1491">
        <v>0.97706570000000004</v>
      </c>
      <c r="Y1491">
        <v>-0.13277369999999999</v>
      </c>
      <c r="Z1491">
        <v>-2.2917820000000001E-4</v>
      </c>
      <c r="AA1491">
        <v>0.99114630000000004</v>
      </c>
      <c r="AB1491">
        <v>35</v>
      </c>
      <c r="AC1491">
        <v>-116.7967</v>
      </c>
      <c r="AD1491">
        <v>0.538578</v>
      </c>
      <c r="AE1491">
        <v>-15.302899999999999</v>
      </c>
      <c r="AF1491">
        <v>-15.685696715936301</v>
      </c>
      <c r="AG1491">
        <v>0.538578</v>
      </c>
      <c r="AH1491">
        <v>116.743422442132</v>
      </c>
      <c r="AI1491">
        <v>89.738030543636299</v>
      </c>
      <c r="AJ1491">
        <v>97.652456089728005</v>
      </c>
      <c r="AK1491">
        <v>117.793708793078</v>
      </c>
      <c r="AL1491">
        <v>78.071768985289395</v>
      </c>
      <c r="AM1491">
        <v>86.999201955647393</v>
      </c>
      <c r="AN1491">
        <v>1.0000000224400101</v>
      </c>
    </row>
    <row r="1492" spans="1:40" x14ac:dyDescent="0.25">
      <c r="A1492" t="str">
        <f>"20190303171008463"</f>
        <v>20190303171008463</v>
      </c>
      <c r="B1492" t="str">
        <f>"1551604208451971"</f>
        <v>1551604208451971</v>
      </c>
      <c r="C1492" t="s">
        <v>40</v>
      </c>
      <c r="D1492">
        <v>4.8687940000000003</v>
      </c>
      <c r="E1492">
        <v>0.43323339999999999</v>
      </c>
      <c r="F1492" t="s">
        <v>64</v>
      </c>
      <c r="G1492">
        <v>-368.71910000000003</v>
      </c>
      <c r="H1492">
        <v>1.609877</v>
      </c>
      <c r="I1492">
        <v>268.28820000000002</v>
      </c>
      <c r="J1492">
        <v>-252.26859999999999</v>
      </c>
      <c r="K1492">
        <v>1.120482</v>
      </c>
      <c r="L1492">
        <v>283.63310000000001</v>
      </c>
      <c r="M1492">
        <v>-0.99995809999999996</v>
      </c>
      <c r="N1492">
        <v>-8.5700399999999993E-3</v>
      </c>
      <c r="O1492">
        <v>3.2391830000000001E-3</v>
      </c>
      <c r="P1492">
        <v>-0.97861169999999997</v>
      </c>
      <c r="Q1492">
        <v>0.1981697</v>
      </c>
      <c r="R1492">
        <v>5.5209580000000001E-2</v>
      </c>
      <c r="S1492">
        <v>-3.0854029999999999</v>
      </c>
      <c r="T1492">
        <v>1.292944E-2</v>
      </c>
      <c r="U1492">
        <v>-0.40533449999999999</v>
      </c>
      <c r="V1492">
        <v>5.2012309999999999E-2</v>
      </c>
      <c r="W1492">
        <v>0.20655760000000001</v>
      </c>
      <c r="X1492">
        <v>0.977051</v>
      </c>
      <c r="Y1492">
        <v>-0.13346440000000001</v>
      </c>
      <c r="Z1492">
        <v>-2.5475070000000001E-4</v>
      </c>
      <c r="AA1492">
        <v>0.99105359999999998</v>
      </c>
      <c r="AB1492">
        <v>35</v>
      </c>
      <c r="AC1492">
        <v>-116.45050000000001</v>
      </c>
      <c r="AD1492">
        <v>0.48939499999999903</v>
      </c>
      <c r="AE1492">
        <v>-15.3448999999999</v>
      </c>
      <c r="AF1492">
        <v>-15.721764862226699</v>
      </c>
      <c r="AG1492">
        <v>0.48939499999999903</v>
      </c>
      <c r="AH1492">
        <v>116.39816155514799</v>
      </c>
      <c r="AI1492">
        <v>89.761269623269499</v>
      </c>
      <c r="AJ1492">
        <v>97.692321476893795</v>
      </c>
      <c r="AK1492">
        <v>117.456142501222</v>
      </c>
      <c r="AL1492">
        <v>78.079305187563406</v>
      </c>
      <c r="AM1492">
        <v>86.952794094120904</v>
      </c>
      <c r="AN1492">
        <v>0.99999998955514802</v>
      </c>
    </row>
    <row r="1493" spans="1:40" x14ac:dyDescent="0.25">
      <c r="A1493" t="str">
        <f>"20190303171008485"</f>
        <v>20190303171008485</v>
      </c>
      <c r="B1493" t="str">
        <f>"1551604208472467"</f>
        <v>1551604208472467</v>
      </c>
      <c r="C1493" t="s">
        <v>40</v>
      </c>
      <c r="D1493">
        <v>4.9058169999999999</v>
      </c>
      <c r="E1493">
        <v>0.43304029999999999</v>
      </c>
      <c r="F1493" t="s">
        <v>64</v>
      </c>
      <c r="G1493">
        <v>-368.71910000000003</v>
      </c>
      <c r="H1493">
        <v>1.5973189999999999</v>
      </c>
      <c r="I1493">
        <v>268.31659999999999</v>
      </c>
      <c r="J1493">
        <v>-252.60720000000001</v>
      </c>
      <c r="K1493">
        <v>1.120452</v>
      </c>
      <c r="L1493">
        <v>283.63420000000002</v>
      </c>
      <c r="M1493">
        <v>-0.99995880000000004</v>
      </c>
      <c r="N1493">
        <v>-8.5005830000000008E-3</v>
      </c>
      <c r="O1493">
        <v>3.2230660000000001E-3</v>
      </c>
      <c r="P1493">
        <v>-0.97849680000000006</v>
      </c>
      <c r="Q1493">
        <v>0.19846720000000001</v>
      </c>
      <c r="R1493">
        <v>5.6171619999999998E-2</v>
      </c>
      <c r="S1493">
        <v>-3.0859070000000002</v>
      </c>
      <c r="T1493">
        <v>1.263797E-2</v>
      </c>
      <c r="U1493">
        <v>-0.40588380000000002</v>
      </c>
      <c r="V1493">
        <v>5.3000680000000001E-2</v>
      </c>
      <c r="W1493">
        <v>0.20678379999999999</v>
      </c>
      <c r="X1493">
        <v>0.97694999999999999</v>
      </c>
      <c r="Y1493">
        <v>-0.133601</v>
      </c>
      <c r="Z1493">
        <v>-2.5746349999999999E-4</v>
      </c>
      <c r="AA1493">
        <v>0.99103520000000001</v>
      </c>
      <c r="AB1493">
        <v>35</v>
      </c>
      <c r="AC1493">
        <v>-116.11190000000001</v>
      </c>
      <c r="AD1493">
        <v>0.47686699999999999</v>
      </c>
      <c r="AE1493">
        <v>-15.317600000000001</v>
      </c>
      <c r="AF1493">
        <v>-15.6915100821316</v>
      </c>
      <c r="AG1493">
        <v>0.47686699999999999</v>
      </c>
      <c r="AH1493">
        <v>116.06000133444201</v>
      </c>
      <c r="AI1493">
        <v>89.766707149207903</v>
      </c>
      <c r="AJ1493">
        <v>97.699797467253205</v>
      </c>
      <c r="AK1493">
        <v>117.11692789919</v>
      </c>
      <c r="AL1493">
        <v>78.066058511102199</v>
      </c>
      <c r="AM1493">
        <v>86.894681083039202</v>
      </c>
      <c r="AN1493">
        <v>0.99999995726144997</v>
      </c>
    </row>
    <row r="1494" spans="1:40" x14ac:dyDescent="0.25">
      <c r="A1494" t="str">
        <f>"20190303171008508"</f>
        <v>20190303171008508</v>
      </c>
      <c r="B1494" t="str">
        <f>"1551604208501746"</f>
        <v>1551604208501746</v>
      </c>
      <c r="C1494" t="s">
        <v>40</v>
      </c>
      <c r="D1494">
        <v>4.9057870000000001</v>
      </c>
      <c r="E1494">
        <v>0.4731091</v>
      </c>
      <c r="F1494" t="s">
        <v>64</v>
      </c>
      <c r="G1494">
        <v>-369.05599999999998</v>
      </c>
      <c r="H1494">
        <v>1.6381870000000001</v>
      </c>
      <c r="I1494">
        <v>268.36970000000002</v>
      </c>
      <c r="J1494">
        <v>-252.9744</v>
      </c>
      <c r="K1494">
        <v>1.1204240000000001</v>
      </c>
      <c r="L1494">
        <v>283.6354</v>
      </c>
      <c r="M1494">
        <v>-0.9999593</v>
      </c>
      <c r="N1494">
        <v>-8.4265580000000007E-3</v>
      </c>
      <c r="O1494">
        <v>3.239769E-3</v>
      </c>
      <c r="P1494">
        <v>-0.97839489999999996</v>
      </c>
      <c r="Q1494">
        <v>0.19866059999999999</v>
      </c>
      <c r="R1494">
        <v>5.724978E-2</v>
      </c>
      <c r="S1494">
        <v>-3.0863649999999998</v>
      </c>
      <c r="T1494">
        <v>1.372397E-2</v>
      </c>
      <c r="U1494">
        <v>-0.40457149999999997</v>
      </c>
      <c r="V1494">
        <v>5.4074079999999997E-2</v>
      </c>
      <c r="W1494">
        <v>0.2069009</v>
      </c>
      <c r="X1494">
        <v>0.97686640000000002</v>
      </c>
      <c r="Y1494">
        <v>-0.13318429999999901</v>
      </c>
      <c r="Z1494">
        <v>-2.2716300000000001E-4</v>
      </c>
      <c r="AA1494">
        <v>0.99109130000000001</v>
      </c>
      <c r="AB1494">
        <v>35</v>
      </c>
      <c r="AC1494">
        <v>-116.081599999999</v>
      </c>
      <c r="AD1494">
        <v>0.51776299999999997</v>
      </c>
      <c r="AE1494">
        <v>-15.265699999999899</v>
      </c>
      <c r="AF1494">
        <v>-15.6414048918219</v>
      </c>
      <c r="AG1494">
        <v>0.51776299999999997</v>
      </c>
      <c r="AH1494">
        <v>116.02926254501099</v>
      </c>
      <c r="AI1494">
        <v>89.746619852899897</v>
      </c>
      <c r="AJ1494">
        <v>97.677513660976601</v>
      </c>
      <c r="AK1494">
        <v>117.07993590813599</v>
      </c>
      <c r="AL1494">
        <v>78.059201100743294</v>
      </c>
      <c r="AM1494">
        <v>86.831646662655501</v>
      </c>
      <c r="AN1494">
        <v>0.99999997599880697</v>
      </c>
    </row>
    <row r="1495" spans="1:40" x14ac:dyDescent="0.25">
      <c r="A1495" t="str">
        <f>"20190303171008532"</f>
        <v>20190303171008532</v>
      </c>
      <c r="B1495" t="str">
        <f>"1551604208522242"</f>
        <v>1551604208522242</v>
      </c>
      <c r="C1495" t="s">
        <v>40</v>
      </c>
      <c r="D1495">
        <v>4.9735469999999999</v>
      </c>
      <c r="E1495">
        <v>0.48303849999999998</v>
      </c>
      <c r="F1495" t="s">
        <v>53</v>
      </c>
      <c r="G1495">
        <v>-340.82799999999997</v>
      </c>
      <c r="H1495" s="1">
        <v>-1.0961490000000001E-6</v>
      </c>
      <c r="I1495">
        <v>281.20699999999999</v>
      </c>
      <c r="J1495">
        <v>-253.3417</v>
      </c>
      <c r="K1495">
        <v>1.1203860000000001</v>
      </c>
      <c r="L1495">
        <v>283.63659999999999</v>
      </c>
      <c r="M1495">
        <v>-0.99995970000000001</v>
      </c>
      <c r="N1495">
        <v>-8.3517049999999992E-3</v>
      </c>
      <c r="O1495">
        <v>3.2948999999999999E-3</v>
      </c>
      <c r="P1495">
        <v>-0.97832410000000003</v>
      </c>
      <c r="Q1495">
        <v>0.19865650000000001</v>
      </c>
      <c r="R1495">
        <v>5.8462840000000002E-2</v>
      </c>
      <c r="S1495">
        <v>-3.079224</v>
      </c>
      <c r="T1495">
        <v>-3.9270279999999998E-2</v>
      </c>
      <c r="U1495">
        <v>-8.5113530000000007E-2</v>
      </c>
      <c r="V1495">
        <v>5.5247079999999997E-2</v>
      </c>
      <c r="W1495">
        <v>0.2068198</v>
      </c>
      <c r="X1495">
        <v>0.97681799999999996</v>
      </c>
      <c r="Y1495">
        <v>-3.0920090000000001E-2</v>
      </c>
      <c r="Z1495">
        <v>-3.4077340000000003E-4</v>
      </c>
      <c r="AA1495">
        <v>0.99952180000000002</v>
      </c>
      <c r="AB1495">
        <v>35</v>
      </c>
      <c r="AC1495">
        <v>-87.4863</v>
      </c>
      <c r="AD1495">
        <v>-1.1203870961489999</v>
      </c>
      <c r="AE1495">
        <v>-2.42959999999999</v>
      </c>
      <c r="AF1495">
        <v>-2.7174101486117399</v>
      </c>
      <c r="AG1495">
        <v>-1.1203870961489999</v>
      </c>
      <c r="AH1495">
        <v>87.463486143886996</v>
      </c>
      <c r="AI1495">
        <v>90.733551667600693</v>
      </c>
      <c r="AJ1495">
        <v>91.779554776352001</v>
      </c>
      <c r="AK1495">
        <v>87.512861875286106</v>
      </c>
      <c r="AL1495">
        <v>78.063951258892601</v>
      </c>
      <c r="AM1495">
        <v>86.7629018323412</v>
      </c>
      <c r="AN1495">
        <v>1.0000000373222799</v>
      </c>
    </row>
    <row r="1496" spans="1:40" x14ac:dyDescent="0.25">
      <c r="A1496" t="str">
        <f>"20190303171008554"</f>
        <v>20190303171008554</v>
      </c>
      <c r="B1496" t="str">
        <f>"1551604208542268"</f>
        <v>1551604208542268</v>
      </c>
      <c r="C1496" t="s">
        <v>40</v>
      </c>
      <c r="D1496">
        <v>4.9152449999999996</v>
      </c>
      <c r="E1496">
        <v>0.48699880000000001</v>
      </c>
      <c r="F1496" t="s">
        <v>53</v>
      </c>
      <c r="G1496">
        <v>-338.96809999999999</v>
      </c>
      <c r="H1496" s="1">
        <v>3.2810680000000002E-6</v>
      </c>
      <c r="I1496">
        <v>283.5763</v>
      </c>
      <c r="J1496">
        <v>-253.71549999999999</v>
      </c>
      <c r="K1496">
        <v>1.120333</v>
      </c>
      <c r="L1496">
        <v>283.6379</v>
      </c>
      <c r="M1496">
        <v>-0.99996010000000002</v>
      </c>
      <c r="N1496">
        <v>-8.2700569999999904E-3</v>
      </c>
      <c r="O1496">
        <v>3.3911810000000001E-3</v>
      </c>
      <c r="P1496">
        <v>-0.97834580000000004</v>
      </c>
      <c r="Q1496">
        <v>0.1982862</v>
      </c>
      <c r="R1496">
        <v>5.9349449999999998E-2</v>
      </c>
      <c r="S1496">
        <v>-3.0747680000000002</v>
      </c>
      <c r="T1496">
        <v>-4.0231940000000001E-2</v>
      </c>
      <c r="U1496">
        <v>-2.166748E-3</v>
      </c>
      <c r="V1496">
        <v>5.605661E-2</v>
      </c>
      <c r="W1496">
        <v>0.2063654</v>
      </c>
      <c r="X1496">
        <v>0.97686799999999996</v>
      </c>
      <c r="Y1496">
        <v>-4.0953680000000003E-3</v>
      </c>
      <c r="Z1496" s="1">
        <v>-6.0052590000000001E-5</v>
      </c>
      <c r="AA1496">
        <v>0.99999159999999998</v>
      </c>
      <c r="AB1496">
        <v>35</v>
      </c>
      <c r="AC1496">
        <v>-85.252600000000001</v>
      </c>
      <c r="AD1496">
        <v>-1.1203297189319901</v>
      </c>
      <c r="AE1496">
        <v>-6.1599999999998503E-2</v>
      </c>
      <c r="AF1496">
        <v>-0.35065596031885099</v>
      </c>
      <c r="AG1496">
        <v>-1.1203297189319901</v>
      </c>
      <c r="AH1496">
        <v>85.237180939263595</v>
      </c>
      <c r="AI1496">
        <v>90.753027314372105</v>
      </c>
      <c r="AJ1496">
        <v>90.235706918344405</v>
      </c>
      <c r="AK1496">
        <v>85.245264459407906</v>
      </c>
      <c r="AL1496">
        <v>78.090560721374999</v>
      </c>
      <c r="AM1496">
        <v>86.715739790834704</v>
      </c>
      <c r="AN1496">
        <v>1.00000005563292</v>
      </c>
    </row>
    <row r="1497" spans="1:40" x14ac:dyDescent="0.25">
      <c r="A1497" t="str">
        <f>"20190303171008576"</f>
        <v>20190303171008576</v>
      </c>
      <c r="B1497" t="str">
        <f>"1551604208561788"</f>
        <v>1551604208561788</v>
      </c>
      <c r="C1497" t="s">
        <v>40</v>
      </c>
      <c r="D1497">
        <v>4.9186249999999996</v>
      </c>
      <c r="E1497">
        <v>0.48894939999999998</v>
      </c>
      <c r="F1497" t="s">
        <v>53</v>
      </c>
      <c r="G1497">
        <v>-333.13310000000001</v>
      </c>
      <c r="H1497" s="1">
        <v>1.3701119999999999E-7</v>
      </c>
      <c r="I1497">
        <v>284.46749999999997</v>
      </c>
      <c r="J1497">
        <v>-254.04920000000001</v>
      </c>
      <c r="K1497">
        <v>1.1202890000000001</v>
      </c>
      <c r="L1497">
        <v>283.63909999999998</v>
      </c>
      <c r="M1497">
        <v>-0.99996039999999997</v>
      </c>
      <c r="N1497">
        <v>-8.1928160000000003E-3</v>
      </c>
      <c r="O1497">
        <v>3.5114399999999998E-3</v>
      </c>
      <c r="P1497">
        <v>-0.97848619999999997</v>
      </c>
      <c r="Q1497">
        <v>0.19761480000000001</v>
      </c>
      <c r="R1497">
        <v>5.9275370000000001E-2</v>
      </c>
      <c r="S1497">
        <v>-3.0732270000000002</v>
      </c>
      <c r="T1497">
        <v>-4.3353559999999999E-2</v>
      </c>
      <c r="U1497">
        <v>3.2104489999999999E-2</v>
      </c>
      <c r="V1497">
        <v>5.5880680000000002E-2</v>
      </c>
      <c r="W1497">
        <v>0.20561499999999999</v>
      </c>
      <c r="X1497">
        <v>0.97703620000000002</v>
      </c>
      <c r="Y1497">
        <v>6.9334799999999997E-3</v>
      </c>
      <c r="Z1497" s="1">
        <v>5.6543470000000003E-5</v>
      </c>
      <c r="AA1497">
        <v>0.99997599999999998</v>
      </c>
      <c r="AB1497">
        <v>35</v>
      </c>
      <c r="AC1497">
        <v>-79.0839</v>
      </c>
      <c r="AD1497">
        <v>-1.1202888629887999</v>
      </c>
      <c r="AE1497">
        <v>0.82839999999998704</v>
      </c>
      <c r="AF1497">
        <v>0.55057676510804798</v>
      </c>
      <c r="AG1497">
        <v>-1.1202888629887999</v>
      </c>
      <c r="AH1497">
        <v>79.0704559996406</v>
      </c>
      <c r="AI1497">
        <v>90.811706125742901</v>
      </c>
      <c r="AJ1497">
        <v>89.601049282904199</v>
      </c>
      <c r="AK1497">
        <v>79.080308509147301</v>
      </c>
      <c r="AL1497">
        <v>78.134496561069994</v>
      </c>
      <c r="AM1497">
        <v>86.726587168771601</v>
      </c>
      <c r="AN1497">
        <v>0.99999995736634995</v>
      </c>
    </row>
    <row r="1498" spans="1:40" x14ac:dyDescent="0.25">
      <c r="A1498" t="str">
        <f>"20190303171008598"</f>
        <v>20190303171008598</v>
      </c>
      <c r="B1498" t="str">
        <f>"1551604208592044"</f>
        <v>1551604208592044</v>
      </c>
      <c r="C1498" t="s">
        <v>40</v>
      </c>
      <c r="D1498">
        <v>5.0343470000000003</v>
      </c>
      <c r="E1498">
        <v>0.49034800000000001</v>
      </c>
      <c r="F1498" t="s">
        <v>53</v>
      </c>
      <c r="G1498">
        <v>-331.46850000000001</v>
      </c>
      <c r="H1498" s="1">
        <v>-7.6506049999999996E-7</v>
      </c>
      <c r="I1498">
        <v>284.83890000000002</v>
      </c>
      <c r="J1498">
        <v>-254.40549999999999</v>
      </c>
      <c r="K1498">
        <v>1.120252</v>
      </c>
      <c r="L1498">
        <v>283.64049999999997</v>
      </c>
      <c r="M1498">
        <v>-0.99996050000000003</v>
      </c>
      <c r="N1498">
        <v>-8.1033059999999994E-3</v>
      </c>
      <c r="O1498">
        <v>3.6723300000000001E-3</v>
      </c>
      <c r="P1498">
        <v>-0.9784545</v>
      </c>
      <c r="Q1498">
        <v>0.19782720000000001</v>
      </c>
      <c r="R1498">
        <v>5.9091459999999998E-2</v>
      </c>
      <c r="S1498">
        <v>-3.0720519999999998</v>
      </c>
      <c r="T1498">
        <v>-4.4453859999999998E-2</v>
      </c>
      <c r="U1498">
        <v>4.7607419999999998E-2</v>
      </c>
      <c r="V1498">
        <v>5.555616E-2</v>
      </c>
      <c r="W1498">
        <v>0.20573540000000001</v>
      </c>
      <c r="X1498">
        <v>0.97702940000000005</v>
      </c>
      <c r="Y1498">
        <v>1.1821119999999999E-2</v>
      </c>
      <c r="Z1498">
        <v>1.1004380000000001E-4</v>
      </c>
      <c r="AA1498">
        <v>0.99993010000000004</v>
      </c>
      <c r="AB1498">
        <v>36</v>
      </c>
      <c r="AC1498">
        <v>-77.063000000000002</v>
      </c>
      <c r="AD1498">
        <v>-1.1202527650605001</v>
      </c>
      <c r="AE1498">
        <v>1.1984000000000401</v>
      </c>
      <c r="AF1498">
        <v>0.91518853063334604</v>
      </c>
      <c r="AG1498">
        <v>-1.1202527650605001</v>
      </c>
      <c r="AH1498">
        <v>77.050603009837005</v>
      </c>
      <c r="AI1498">
        <v>90.832916350187205</v>
      </c>
      <c r="AJ1498">
        <v>89.319486512848698</v>
      </c>
      <c r="AK1498">
        <v>77.064180787728702</v>
      </c>
      <c r="AL1498">
        <v>78.127447895371503</v>
      </c>
      <c r="AM1498">
        <v>86.745533518316606</v>
      </c>
      <c r="AN1498">
        <v>0.99999999509573201</v>
      </c>
    </row>
    <row r="1499" spans="1:40" x14ac:dyDescent="0.25">
      <c r="A1499" t="str">
        <f>"20190303171008620"</f>
        <v>20190303171008620</v>
      </c>
      <c r="B1499" t="str">
        <f>"1551604208612540"</f>
        <v>1551604208612540</v>
      </c>
      <c r="C1499" t="s">
        <v>40</v>
      </c>
      <c r="D1499">
        <v>4.9705339999999998</v>
      </c>
      <c r="E1499">
        <v>0.49108740000000001</v>
      </c>
      <c r="F1499" t="s">
        <v>53</v>
      </c>
      <c r="G1499">
        <v>-332.24169999999998</v>
      </c>
      <c r="H1499" s="1">
        <v>-3.6575520000000002E-7</v>
      </c>
      <c r="I1499">
        <v>285.11689999999999</v>
      </c>
      <c r="J1499">
        <v>-254.76</v>
      </c>
      <c r="K1499">
        <v>1.1202110000000001</v>
      </c>
      <c r="L1499">
        <v>283.642</v>
      </c>
      <c r="M1499">
        <v>-0.99996050000000003</v>
      </c>
      <c r="N1499">
        <v>-8.0068569999999992E-3</v>
      </c>
      <c r="O1499">
        <v>3.859772E-3</v>
      </c>
      <c r="P1499">
        <v>-0.97824129999999998</v>
      </c>
      <c r="Q1499">
        <v>0.19887640000000001</v>
      </c>
      <c r="R1499">
        <v>5.909478E-2</v>
      </c>
      <c r="S1499">
        <v>-3.0714419999999998</v>
      </c>
      <c r="T1499">
        <v>-4.4205550000000003E-2</v>
      </c>
      <c r="U1499">
        <v>5.825806E-2</v>
      </c>
      <c r="V1499">
        <v>5.5391389999999999E-2</v>
      </c>
      <c r="W1499">
        <v>0.20668539999999999</v>
      </c>
      <c r="X1499">
        <v>0.97683819999999999</v>
      </c>
      <c r="Y1499">
        <v>1.5102549999999999E-2</v>
      </c>
      <c r="Z1499">
        <v>1.4449809999999999E-4</v>
      </c>
      <c r="AA1499">
        <v>0.99988589999999999</v>
      </c>
      <c r="AB1499">
        <v>36</v>
      </c>
      <c r="AC1499">
        <v>-77.481699999999904</v>
      </c>
      <c r="AD1499">
        <v>-1.1202113657552</v>
      </c>
      <c r="AE1499">
        <v>1.4748999999999901</v>
      </c>
      <c r="AF1499">
        <v>1.1755720942977901</v>
      </c>
      <c r="AG1499">
        <v>-1.1202113657552</v>
      </c>
      <c r="AH1499">
        <v>77.470628205437094</v>
      </c>
      <c r="AI1499">
        <v>90.828333595121094</v>
      </c>
      <c r="AJ1499">
        <v>89.130636320169501</v>
      </c>
      <c r="AK1499">
        <v>77.487644678348005</v>
      </c>
      <c r="AL1499">
        <v>78.071820992097599</v>
      </c>
      <c r="AM1499">
        <v>86.754531284112502</v>
      </c>
      <c r="AN1499">
        <v>0.99999996481926501</v>
      </c>
    </row>
    <row r="1500" spans="1:40" x14ac:dyDescent="0.25">
      <c r="A1500" t="str">
        <f>"20190303171008642"</f>
        <v>20190303171008642</v>
      </c>
      <c r="B1500" t="str">
        <f>"1551604208632060"</f>
        <v>1551604208632060</v>
      </c>
      <c r="C1500" t="s">
        <v>40</v>
      </c>
      <c r="D1500">
        <v>4.9693160000000001</v>
      </c>
      <c r="E1500">
        <v>0.49163259999999998</v>
      </c>
      <c r="F1500" t="s">
        <v>53</v>
      </c>
      <c r="G1500">
        <v>-337.51850000000002</v>
      </c>
      <c r="H1500" s="1">
        <v>2.431125E-6</v>
      </c>
      <c r="I1500">
        <v>285.37209999999999</v>
      </c>
      <c r="J1500">
        <v>-255.1</v>
      </c>
      <c r="K1500">
        <v>1.12018</v>
      </c>
      <c r="L1500">
        <v>283.64350000000002</v>
      </c>
      <c r="M1500">
        <v>-0.99996059999999998</v>
      </c>
      <c r="N1500">
        <v>-7.9158849999999992E-3</v>
      </c>
      <c r="O1500">
        <v>4.0583260000000001E-3</v>
      </c>
      <c r="P1500">
        <v>-0.97816250000000005</v>
      </c>
      <c r="Q1500">
        <v>0.1993355</v>
      </c>
      <c r="R1500">
        <v>5.8855079999999997E-2</v>
      </c>
      <c r="S1500">
        <v>-3.071304</v>
      </c>
      <c r="T1500">
        <v>-4.1572810000000002E-2</v>
      </c>
      <c r="U1500">
        <v>6.4208979999999999E-2</v>
      </c>
      <c r="V1500">
        <v>5.4968959999999997E-2</v>
      </c>
      <c r="W1500">
        <v>0.20705209999999999</v>
      </c>
      <c r="X1500">
        <v>0.97678449999999994</v>
      </c>
      <c r="Y1500">
        <v>1.6841410000000001E-2</v>
      </c>
      <c r="Z1500">
        <v>1.578328E-4</v>
      </c>
      <c r="AA1500">
        <v>0.99985809999999997</v>
      </c>
      <c r="AB1500">
        <v>36</v>
      </c>
      <c r="AC1500">
        <v>-82.418499999999995</v>
      </c>
      <c r="AD1500">
        <v>-1.120177568875</v>
      </c>
      <c r="AE1500">
        <v>1.7285999999999699</v>
      </c>
      <c r="AF1500">
        <v>1.39383683575997</v>
      </c>
      <c r="AG1500">
        <v>-1.120177568875</v>
      </c>
      <c r="AH1500">
        <v>82.409620302560796</v>
      </c>
      <c r="AI1500">
        <v>90.778650817143998</v>
      </c>
      <c r="AJ1500">
        <v>89.031019026277903</v>
      </c>
      <c r="AK1500">
        <v>82.429018539121103</v>
      </c>
      <c r="AL1500">
        <v>78.050347241813299</v>
      </c>
      <c r="AM1500">
        <v>86.779053122587598</v>
      </c>
      <c r="AN1500">
        <v>1.0000000590590601</v>
      </c>
    </row>
    <row r="1501" spans="1:40" x14ac:dyDescent="0.25">
      <c r="A1501" t="str">
        <f>"20190303171008662"</f>
        <v>20190303171008662</v>
      </c>
      <c r="B1501" t="str">
        <f>"1551604208652088"</f>
        <v>1551604208652088</v>
      </c>
      <c r="C1501" t="s">
        <v>40</v>
      </c>
      <c r="D1501">
        <v>4.9683409999999997</v>
      </c>
      <c r="E1501">
        <v>0.49207580000000001</v>
      </c>
      <c r="F1501" t="s">
        <v>53</v>
      </c>
      <c r="G1501">
        <v>-341.25990000000002</v>
      </c>
      <c r="H1501" s="1">
        <v>-8.6632999999999995E-7</v>
      </c>
      <c r="I1501">
        <v>285.53649999999999</v>
      </c>
      <c r="J1501">
        <v>-255.44120000000001</v>
      </c>
      <c r="K1501">
        <v>1.1201490000000001</v>
      </c>
      <c r="L1501">
        <v>283.64499999999998</v>
      </c>
      <c r="M1501">
        <v>-0.99996019999999997</v>
      </c>
      <c r="N1501">
        <v>-7.8265179999999993E-3</v>
      </c>
      <c r="O1501">
        <v>4.2709439999999996E-3</v>
      </c>
      <c r="P1501">
        <v>-0.97820600000000002</v>
      </c>
      <c r="Q1501">
        <v>0.19915679999999999</v>
      </c>
      <c r="R1501">
        <v>5.8734870000000002E-2</v>
      </c>
      <c r="S1501">
        <v>-3.071075</v>
      </c>
      <c r="T1501">
        <v>-3.9927600000000001E-2</v>
      </c>
      <c r="U1501">
        <v>6.7474370000000006E-2</v>
      </c>
      <c r="V1501">
        <v>5.4649049999999998E-2</v>
      </c>
      <c r="W1501">
        <v>0.2067843</v>
      </c>
      <c r="X1501">
        <v>0.97685909999999998</v>
      </c>
      <c r="Y1501">
        <v>1.769304E-2</v>
      </c>
      <c r="Z1501">
        <v>1.6215359999999999E-4</v>
      </c>
      <c r="AA1501">
        <v>0.9998435</v>
      </c>
      <c r="AB1501">
        <v>36</v>
      </c>
      <c r="AC1501">
        <v>-85.818700000000007</v>
      </c>
      <c r="AD1501">
        <v>-1.12014986632999</v>
      </c>
      <c r="AE1501">
        <v>1.8915</v>
      </c>
      <c r="AF1501">
        <v>1.5246850088914401</v>
      </c>
      <c r="AG1501">
        <v>-1.12014986632999</v>
      </c>
      <c r="AH1501">
        <v>85.8113835511448</v>
      </c>
      <c r="AI1501">
        <v>90.747757296908105</v>
      </c>
      <c r="AJ1501">
        <v>88.982083479665704</v>
      </c>
      <c r="AK1501">
        <v>85.832237225072205</v>
      </c>
      <c r="AL1501">
        <v>78.066029545945</v>
      </c>
      <c r="AM1501">
        <v>86.798003397583997</v>
      </c>
      <c r="AN1501">
        <v>0.99999998332260098</v>
      </c>
    </row>
    <row r="1502" spans="1:40" x14ac:dyDescent="0.25">
      <c r="A1502" t="str">
        <f>"20190303171008686"</f>
        <v>20190303171008686</v>
      </c>
      <c r="B1502" t="str">
        <f>"1551604208672583"</f>
        <v>1551604208672583</v>
      </c>
      <c r="C1502" t="s">
        <v>40</v>
      </c>
      <c r="D1502">
        <v>4.9064399999999999</v>
      </c>
      <c r="E1502">
        <v>0.4924635</v>
      </c>
      <c r="F1502" t="s">
        <v>53</v>
      </c>
      <c r="G1502">
        <v>-339.39120000000003</v>
      </c>
      <c r="H1502" s="1">
        <v>3.419086E-6</v>
      </c>
      <c r="I1502">
        <v>285.56959999999998</v>
      </c>
      <c r="J1502">
        <v>-255.81700000000001</v>
      </c>
      <c r="K1502">
        <v>1.1201190000000001</v>
      </c>
      <c r="L1502">
        <v>283.64679999999998</v>
      </c>
      <c r="M1502">
        <v>-0.99995990000000001</v>
      </c>
      <c r="N1502">
        <v>-7.7280569999999896E-3</v>
      </c>
      <c r="O1502">
        <v>4.514016E-3</v>
      </c>
      <c r="P1502">
        <v>-0.97828459999999995</v>
      </c>
      <c r="Q1502">
        <v>0.19894129999999999</v>
      </c>
      <c r="R1502">
        <v>5.8152750000000003E-2</v>
      </c>
      <c r="S1502">
        <v>-3.0709840000000002</v>
      </c>
      <c r="T1502">
        <v>-4.0976169999999999E-2</v>
      </c>
      <c r="U1502">
        <v>7.0404049999999996E-2</v>
      </c>
      <c r="V1502">
        <v>5.3835590000000003E-2</v>
      </c>
      <c r="W1502">
        <v>0.20647170000000001</v>
      </c>
      <c r="X1502">
        <v>0.97697040000000002</v>
      </c>
      <c r="Y1502">
        <v>1.8403840000000001E-2</v>
      </c>
      <c r="Z1502">
        <v>1.6854939999999999E-4</v>
      </c>
      <c r="AA1502">
        <v>0.99983060000000001</v>
      </c>
      <c r="AB1502">
        <v>36</v>
      </c>
      <c r="AC1502">
        <v>-83.574200000000005</v>
      </c>
      <c r="AD1502">
        <v>-1.120115580914</v>
      </c>
      <c r="AE1502">
        <v>1.9227999999999901</v>
      </c>
      <c r="AF1502">
        <v>1.5452364228563999</v>
      </c>
      <c r="AG1502">
        <v>-1.120115580914</v>
      </c>
      <c r="AH1502">
        <v>83.567025001824902</v>
      </c>
      <c r="AI1502">
        <v>90.767803872050806</v>
      </c>
      <c r="AJ1502">
        <v>88.940665449521902</v>
      </c>
      <c r="AK1502">
        <v>83.588815532777801</v>
      </c>
      <c r="AL1502">
        <v>78.084335430116496</v>
      </c>
      <c r="AM1502">
        <v>86.845927298173706</v>
      </c>
      <c r="AN1502">
        <v>0.99999999806384898</v>
      </c>
    </row>
    <row r="1503" spans="1:40" x14ac:dyDescent="0.25">
      <c r="A1503" t="str">
        <f>"20190303171008708"</f>
        <v>20190303171008708</v>
      </c>
      <c r="B1503" t="str">
        <f>"1551604208701863"</f>
        <v>1551604208701863</v>
      </c>
      <c r="C1503" t="s">
        <v>40</v>
      </c>
      <c r="D1503">
        <v>5.025976</v>
      </c>
      <c r="E1503">
        <v>0.4929133</v>
      </c>
      <c r="F1503" t="s">
        <v>53</v>
      </c>
      <c r="G1503">
        <v>-338.10939999999999</v>
      </c>
      <c r="H1503" s="1">
        <v>2.7368199999999999E-6</v>
      </c>
      <c r="I1503">
        <v>285.5727</v>
      </c>
      <c r="J1503">
        <v>-256.16809999999998</v>
      </c>
      <c r="K1503">
        <v>1.1200969999999999</v>
      </c>
      <c r="L1503">
        <v>283.64859999999999</v>
      </c>
      <c r="M1503">
        <v>-0.99995959999999995</v>
      </c>
      <c r="N1503">
        <v>-7.6359459999999898E-3</v>
      </c>
      <c r="O1503">
        <v>4.7455170000000003E-3</v>
      </c>
      <c r="P1503">
        <v>-0.97833130000000001</v>
      </c>
      <c r="Q1503">
        <v>0.1989426</v>
      </c>
      <c r="R1503">
        <v>5.7358779999999998E-2</v>
      </c>
      <c r="S1503">
        <v>-3.0708310000000001</v>
      </c>
      <c r="T1503">
        <v>-4.1798349999999998E-2</v>
      </c>
      <c r="U1503">
        <v>7.1868899999999999E-2</v>
      </c>
      <c r="V1503">
        <v>5.2819560000000002E-2</v>
      </c>
      <c r="W1503">
        <v>0.2063826</v>
      </c>
      <c r="X1503">
        <v>0.97704469999999999</v>
      </c>
      <c r="Y1503">
        <v>1.8650090000000001E-2</v>
      </c>
      <c r="Z1503">
        <v>1.6977689999999999E-4</v>
      </c>
      <c r="AA1503">
        <v>0.99982610000000005</v>
      </c>
      <c r="AB1503">
        <v>36</v>
      </c>
      <c r="AC1503">
        <v>-81.941299999999998</v>
      </c>
      <c r="AD1503">
        <v>-1.1200942631799999</v>
      </c>
      <c r="AE1503">
        <v>1.9241000000000099</v>
      </c>
      <c r="AF1503">
        <v>1.53492651997215</v>
      </c>
      <c r="AG1503">
        <v>-1.1200942631799999</v>
      </c>
      <c r="AH1503">
        <v>81.934207065717999</v>
      </c>
      <c r="AI1503">
        <v>90.783084653385203</v>
      </c>
      <c r="AJ1503">
        <v>88.926766625215805</v>
      </c>
      <c r="AK1503">
        <v>81.956237700788094</v>
      </c>
      <c r="AL1503">
        <v>78.089553057611198</v>
      </c>
      <c r="AM1503">
        <v>86.905571645447594</v>
      </c>
      <c r="AN1503">
        <v>1.0000000146497201</v>
      </c>
    </row>
    <row r="1504" spans="1:40" x14ac:dyDescent="0.25">
      <c r="A1504" t="str">
        <f>"20190303171008733"</f>
        <v>20190303171008733</v>
      </c>
      <c r="B1504" t="str">
        <f>"1551604208722359"</f>
        <v>1551604208722359</v>
      </c>
      <c r="C1504" t="s">
        <v>40</v>
      </c>
      <c r="D1504">
        <v>4.9657640000000001</v>
      </c>
      <c r="E1504">
        <v>0.49317230000000001</v>
      </c>
      <c r="F1504" t="s">
        <v>53</v>
      </c>
      <c r="G1504">
        <v>-337.1592</v>
      </c>
      <c r="H1504" s="1">
        <v>2.2306560000000001E-6</v>
      </c>
      <c r="I1504">
        <v>285.58519999999999</v>
      </c>
      <c r="J1504">
        <v>-256.56849999999997</v>
      </c>
      <c r="K1504">
        <v>1.1200749999999999</v>
      </c>
      <c r="L1504">
        <v>283.65069999999997</v>
      </c>
      <c r="M1504">
        <v>-0.99995919999999905</v>
      </c>
      <c r="N1504">
        <v>-7.5313369999999999E-3</v>
      </c>
      <c r="O1504">
        <v>5.0104870000000001E-3</v>
      </c>
      <c r="P1504">
        <v>-0.97824310000000003</v>
      </c>
      <c r="Q1504">
        <v>0.1995017</v>
      </c>
      <c r="R1504">
        <v>5.6921850000000003E-2</v>
      </c>
      <c r="S1504">
        <v>-3.0707399999999998</v>
      </c>
      <c r="T1504">
        <v>-4.2467829999999998E-2</v>
      </c>
      <c r="U1504">
        <v>7.3425290000000004E-2</v>
      </c>
      <c r="V1504">
        <v>5.2128599999999997E-2</v>
      </c>
      <c r="W1504">
        <v>0.20683840000000001</v>
      </c>
      <c r="X1504">
        <v>0.9769854</v>
      </c>
      <c r="Y1504">
        <v>1.8892260000000001E-2</v>
      </c>
      <c r="Z1504">
        <v>1.7022280000000001E-4</v>
      </c>
      <c r="AA1504">
        <v>0.99982150000000003</v>
      </c>
      <c r="AB1504">
        <v>36</v>
      </c>
      <c r="AC1504">
        <v>-80.590699999999998</v>
      </c>
      <c r="AD1504">
        <v>-1.120072769344</v>
      </c>
      <c r="AE1504">
        <v>1.9345000000000101</v>
      </c>
      <c r="AF1504">
        <v>1.53037021478589</v>
      </c>
      <c r="AG1504">
        <v>-1.120072769344</v>
      </c>
      <c r="AH1504">
        <v>80.583824581153195</v>
      </c>
      <c r="AI1504">
        <v>90.796186369526296</v>
      </c>
      <c r="AJ1504">
        <v>88.912024642507404</v>
      </c>
      <c r="AK1504">
        <v>80.606137360184903</v>
      </c>
      <c r="AL1504">
        <v>78.062861470532098</v>
      </c>
      <c r="AM1504">
        <v>86.945789308596005</v>
      </c>
      <c r="AN1504">
        <v>0.99999999323283995</v>
      </c>
    </row>
    <row r="1505" spans="1:40" x14ac:dyDescent="0.25">
      <c r="A1505" t="str">
        <f>"20190303171008755"</f>
        <v>20190303171008755</v>
      </c>
      <c r="B1505" t="str">
        <f>"1551604208742385"</f>
        <v>1551604208742385</v>
      </c>
      <c r="C1505" t="s">
        <v>40</v>
      </c>
      <c r="D1505">
        <v>5.0251789999999996</v>
      </c>
      <c r="E1505">
        <v>0.4933573</v>
      </c>
      <c r="F1505" t="s">
        <v>53</v>
      </c>
      <c r="G1505">
        <v>-339.1035</v>
      </c>
      <c r="H1505" s="1">
        <v>3.261875E-6</v>
      </c>
      <c r="I1505">
        <v>285.66269999999997</v>
      </c>
      <c r="J1505">
        <v>-256.928</v>
      </c>
      <c r="K1505">
        <v>1.120063</v>
      </c>
      <c r="L1505">
        <v>283.65269999999998</v>
      </c>
      <c r="M1505">
        <v>-0.99995860000000003</v>
      </c>
      <c r="N1505">
        <v>-7.4419550000000001E-3</v>
      </c>
      <c r="O1505">
        <v>5.2474849999999996E-3</v>
      </c>
      <c r="P1505">
        <v>-0.9780527</v>
      </c>
      <c r="Q1505">
        <v>0.20052900000000001</v>
      </c>
      <c r="R1505">
        <v>5.6575590000000002E-2</v>
      </c>
      <c r="S1505">
        <v>-3.070862</v>
      </c>
      <c r="T1505">
        <v>-4.1674259999999998E-2</v>
      </c>
      <c r="U1505">
        <v>7.4859620000000002E-2</v>
      </c>
      <c r="V1505">
        <v>5.1555249999999997E-2</v>
      </c>
      <c r="W1505">
        <v>0.2077765</v>
      </c>
      <c r="X1505">
        <v>0.97681680000000004</v>
      </c>
      <c r="Y1505">
        <v>1.912113E-2</v>
      </c>
      <c r="Z1505">
        <v>1.6873429999999999E-4</v>
      </c>
      <c r="AA1505">
        <v>0.99981710000000001</v>
      </c>
      <c r="AB1505">
        <v>36</v>
      </c>
      <c r="AC1505">
        <v>-82.1755</v>
      </c>
      <c r="AD1505">
        <v>-1.1200597381249999</v>
      </c>
      <c r="AE1505">
        <v>2.00999999999999</v>
      </c>
      <c r="AF1505">
        <v>1.57845263673842</v>
      </c>
      <c r="AG1505">
        <v>-1.1200597381249999</v>
      </c>
      <c r="AH1505">
        <v>82.169659963385499</v>
      </c>
      <c r="AI1505">
        <v>90.780809929828806</v>
      </c>
      <c r="AJ1505">
        <v>88.899501927602401</v>
      </c>
      <c r="AK1505">
        <v>82.192451387227706</v>
      </c>
      <c r="AL1505">
        <v>78.007919271977798</v>
      </c>
      <c r="AM1505">
        <v>86.978798876285097</v>
      </c>
      <c r="AN1505">
        <v>1.00000003925852</v>
      </c>
    </row>
    <row r="1506" spans="1:40" x14ac:dyDescent="0.25">
      <c r="A1506" t="str">
        <f>"20190303171008786"</f>
        <v>20190303171008786</v>
      </c>
      <c r="B1506" t="str">
        <f>"1551604208771665"</f>
        <v>1551604208771665</v>
      </c>
      <c r="C1506" t="s">
        <v>40</v>
      </c>
      <c r="D1506">
        <v>5.0211329999999998</v>
      </c>
      <c r="E1506">
        <v>0.49372519999999998</v>
      </c>
      <c r="F1506" t="s">
        <v>53</v>
      </c>
      <c r="G1506">
        <v>-344.59359999999998</v>
      </c>
      <c r="H1506" s="1">
        <v>9.0770940000000001E-7</v>
      </c>
      <c r="I1506">
        <v>285.78269999999998</v>
      </c>
      <c r="J1506">
        <v>-257.43369999999999</v>
      </c>
      <c r="K1506">
        <v>1.1200399999999999</v>
      </c>
      <c r="L1506">
        <v>283.65559999999999</v>
      </c>
      <c r="M1506">
        <v>-0.99995769999999995</v>
      </c>
      <c r="N1506">
        <v>-7.3239159999999998E-3</v>
      </c>
      <c r="O1506">
        <v>5.5779829999999999E-3</v>
      </c>
      <c r="P1506">
        <v>-0.97805679999999995</v>
      </c>
      <c r="Q1506">
        <v>0.20052719999999999</v>
      </c>
      <c r="R1506">
        <v>5.6517709999999999E-2</v>
      </c>
      <c r="S1506">
        <v>-3.0710139999999999</v>
      </c>
      <c r="T1506">
        <v>-3.9236899999999998E-2</v>
      </c>
      <c r="U1506">
        <v>7.4615479999999998E-2</v>
      </c>
      <c r="V1506">
        <v>5.117816E-2</v>
      </c>
      <c r="W1506">
        <v>0.2076585</v>
      </c>
      <c r="X1506">
        <v>0.97686170000000005</v>
      </c>
      <c r="Y1506">
        <v>1.8710339999999999E-2</v>
      </c>
      <c r="Z1506">
        <v>1.5763100000000001E-4</v>
      </c>
      <c r="AA1506">
        <v>0.99982490000000002</v>
      </c>
      <c r="AB1506">
        <v>36</v>
      </c>
      <c r="AC1506">
        <v>-87.159899999999993</v>
      </c>
      <c r="AD1506">
        <v>-1.1200390922905901</v>
      </c>
      <c r="AE1506">
        <v>2.12709999999998</v>
      </c>
      <c r="AF1506">
        <v>1.64060670792631</v>
      </c>
      <c r="AG1506">
        <v>-1.1200390922905901</v>
      </c>
      <c r="AH1506">
        <v>87.156025482334499</v>
      </c>
      <c r="AI1506">
        <v>90.736135173815796</v>
      </c>
      <c r="AJ1506">
        <v>88.921603646278299</v>
      </c>
      <c r="AK1506">
        <v>87.1786605530028</v>
      </c>
      <c r="AL1506">
        <v>78.014830675956006</v>
      </c>
      <c r="AM1506">
        <v>87.000993922566593</v>
      </c>
      <c r="AN1506">
        <v>1.00000001880506</v>
      </c>
    </row>
    <row r="1507" spans="1:40" x14ac:dyDescent="0.25">
      <c r="A1507" t="str">
        <f>"20190303171008810"</f>
        <v>20190303171008810</v>
      </c>
      <c r="B1507" t="str">
        <f>"1551604208801921"</f>
        <v>1551604208801921</v>
      </c>
      <c r="C1507" t="s">
        <v>40</v>
      </c>
      <c r="D1507">
        <v>4.9600939999999998</v>
      </c>
      <c r="E1507">
        <v>0.49399179999999998</v>
      </c>
      <c r="F1507" t="s">
        <v>53</v>
      </c>
      <c r="G1507">
        <v>-342.39159999999998</v>
      </c>
      <c r="H1507" s="1">
        <v>-2.6410380000000001E-7</v>
      </c>
      <c r="I1507">
        <v>285.79829999999998</v>
      </c>
      <c r="J1507">
        <v>-257.81700000000001</v>
      </c>
      <c r="K1507">
        <v>1.120015</v>
      </c>
      <c r="L1507">
        <v>283.65800000000002</v>
      </c>
      <c r="M1507">
        <v>-0.99995690000000004</v>
      </c>
      <c r="N1507">
        <v>-7.2430259999999996E-3</v>
      </c>
      <c r="O1507">
        <v>5.8270839999999997E-3</v>
      </c>
      <c r="P1507">
        <v>-0.97815319999999994</v>
      </c>
      <c r="Q1507">
        <v>0.20005780000000001</v>
      </c>
      <c r="R1507">
        <v>5.6511770000000003E-2</v>
      </c>
      <c r="S1507">
        <v>-3.0711360000000001</v>
      </c>
      <c r="T1507">
        <v>-4.0488240000000002E-2</v>
      </c>
      <c r="U1507">
        <v>7.7453610000000006E-2</v>
      </c>
      <c r="V1507">
        <v>5.0930049999999998E-2</v>
      </c>
      <c r="W1507">
        <v>0.2071104</v>
      </c>
      <c r="X1507">
        <v>0.97699100000000005</v>
      </c>
      <c r="Y1507">
        <v>1.9383520000000001E-2</v>
      </c>
      <c r="Z1507">
        <v>1.6335540000000001E-4</v>
      </c>
      <c r="AA1507">
        <v>0.99981209999999998</v>
      </c>
      <c r="AB1507">
        <v>36</v>
      </c>
      <c r="AC1507">
        <v>-84.574599999999904</v>
      </c>
      <c r="AD1507">
        <v>-1.1200152641037999</v>
      </c>
      <c r="AE1507">
        <v>2.1402999999999599</v>
      </c>
      <c r="AF1507">
        <v>1.6471388063519801</v>
      </c>
      <c r="AG1507">
        <v>-1.1200152641037999</v>
      </c>
      <c r="AH1507">
        <v>84.570813961035498</v>
      </c>
      <c r="AI1507">
        <v>90.758609591197498</v>
      </c>
      <c r="AJ1507">
        <v>88.884222970837399</v>
      </c>
      <c r="AK1507">
        <v>84.594267385392598</v>
      </c>
      <c r="AL1507">
        <v>78.046932182606099</v>
      </c>
      <c r="AM1507">
        <v>87.015900923757997</v>
      </c>
      <c r="AN1507">
        <v>1.0000000009310801</v>
      </c>
    </row>
    <row r="1508" spans="1:40" x14ac:dyDescent="0.25">
      <c r="A1508" t="str">
        <f>"20190303171008833"</f>
        <v>20190303171008833</v>
      </c>
      <c r="B1508" t="str">
        <f>"1551604208822417"</f>
        <v>1551604208822417</v>
      </c>
      <c r="C1508" t="s">
        <v>40</v>
      </c>
      <c r="D1508">
        <v>5.0165689999999996</v>
      </c>
      <c r="E1508">
        <v>0.49419099999999999</v>
      </c>
      <c r="F1508" t="s">
        <v>53</v>
      </c>
      <c r="G1508">
        <v>-337.2491</v>
      </c>
      <c r="H1508" s="1">
        <v>2.2726920000000001E-6</v>
      </c>
      <c r="I1508">
        <v>285.71800000000002</v>
      </c>
      <c r="J1508">
        <v>-258.20319999999998</v>
      </c>
      <c r="K1508">
        <v>1.1199950000000001</v>
      </c>
      <c r="L1508">
        <v>283.66039999999998</v>
      </c>
      <c r="M1508">
        <v>-0.99995590000000001</v>
      </c>
      <c r="N1508">
        <v>-7.1672139999999999E-3</v>
      </c>
      <c r="O1508">
        <v>6.0776459999999999E-3</v>
      </c>
      <c r="P1508">
        <v>-0.97808379999999995</v>
      </c>
      <c r="Q1508">
        <v>0.2001706</v>
      </c>
      <c r="R1508">
        <v>5.7305380000000003E-2</v>
      </c>
      <c r="S1508">
        <v>-3.071259</v>
      </c>
      <c r="T1508">
        <v>-4.330552E-2</v>
      </c>
      <c r="U1508">
        <v>7.9650879999999993E-2</v>
      </c>
      <c r="V1508">
        <v>5.1480980000000003E-2</v>
      </c>
      <c r="W1508">
        <v>0.20714769999999999</v>
      </c>
      <c r="X1508">
        <v>0.97695419999999999</v>
      </c>
      <c r="Y1508">
        <v>1.98465E-2</v>
      </c>
      <c r="Z1508">
        <v>1.689075E-4</v>
      </c>
      <c r="AA1508">
        <v>0.999803</v>
      </c>
      <c r="AB1508">
        <v>37</v>
      </c>
      <c r="AC1508">
        <v>-79.045900000000003</v>
      </c>
      <c r="AD1508">
        <v>-1.1199927273079999</v>
      </c>
      <c r="AE1508">
        <v>2.0576000000000301</v>
      </c>
      <c r="AF1508">
        <v>1.5768203405280801</v>
      </c>
      <c r="AG1508">
        <v>-1.1199927273079999</v>
      </c>
      <c r="AH1508">
        <v>79.041088362525002</v>
      </c>
      <c r="AI1508">
        <v>90.811651262847207</v>
      </c>
      <c r="AJ1508">
        <v>88.857136583257997</v>
      </c>
      <c r="AK1508">
        <v>79.064748122206794</v>
      </c>
      <c r="AL1508">
        <v>78.044747481614493</v>
      </c>
      <c r="AM1508">
        <v>86.983566654723205</v>
      </c>
      <c r="AN1508">
        <v>0.99999998490734499</v>
      </c>
    </row>
    <row r="1509" spans="1:40" x14ac:dyDescent="0.25">
      <c r="A1509" t="str">
        <f>"20190303171008852"</f>
        <v>20190303171008852</v>
      </c>
      <c r="B1509" t="str">
        <f>"1551604208841937"</f>
        <v>1551604208841937</v>
      </c>
      <c r="C1509" t="s">
        <v>40</v>
      </c>
      <c r="D1509">
        <v>5.0176769999999999</v>
      </c>
      <c r="E1509">
        <v>0.49434990000000001</v>
      </c>
      <c r="F1509" t="s">
        <v>53</v>
      </c>
      <c r="G1509">
        <v>-336.08199999999999</v>
      </c>
      <c r="H1509" s="1">
        <v>1.6489209999999999E-6</v>
      </c>
      <c r="I1509">
        <v>285.77910000000003</v>
      </c>
      <c r="J1509">
        <v>-258.53489999999999</v>
      </c>
      <c r="K1509">
        <v>1.1199859999999999</v>
      </c>
      <c r="L1509">
        <v>283.66269999999997</v>
      </c>
      <c r="M1509">
        <v>-0.99995500000000004</v>
      </c>
      <c r="N1509">
        <v>-7.1062460000000001E-3</v>
      </c>
      <c r="O1509">
        <v>6.2925029999999996E-3</v>
      </c>
      <c r="P1509">
        <v>-0.97804619999999998</v>
      </c>
      <c r="Q1509">
        <v>0.20005139999999999</v>
      </c>
      <c r="R1509">
        <v>5.8354129999999997E-2</v>
      </c>
      <c r="S1509">
        <v>-3.0713810000000001</v>
      </c>
      <c r="T1509">
        <v>-4.4170260000000003E-2</v>
      </c>
      <c r="U1509">
        <v>8.3557129999999993E-2</v>
      </c>
      <c r="V1509">
        <v>5.2321069999999997E-2</v>
      </c>
      <c r="W1509">
        <v>0.20696809999999999</v>
      </c>
      <c r="X1509">
        <v>0.97694769999999997</v>
      </c>
      <c r="Y1509">
        <v>2.0901079999999999E-2</v>
      </c>
      <c r="Z1509">
        <v>1.7877879999999999E-4</v>
      </c>
      <c r="AA1509">
        <v>0.99978149999999999</v>
      </c>
      <c r="AB1509">
        <v>37</v>
      </c>
      <c r="AC1509">
        <v>-77.5471</v>
      </c>
      <c r="AD1509">
        <v>-1.119984351079</v>
      </c>
      <c r="AE1509">
        <v>2.1164000000000498</v>
      </c>
      <c r="AF1509">
        <v>1.62804110045853</v>
      </c>
      <c r="AG1509">
        <v>-1.119984351079</v>
      </c>
      <c r="AH1509">
        <v>77.542719863262704</v>
      </c>
      <c r="AI1509">
        <v>90.827308857449097</v>
      </c>
      <c r="AJ1509">
        <v>88.797228397834402</v>
      </c>
      <c r="AK1509">
        <v>77.567894689516194</v>
      </c>
      <c r="AL1509">
        <v>78.055266521140993</v>
      </c>
      <c r="AM1509">
        <v>86.934415904843902</v>
      </c>
      <c r="AN1509">
        <v>1.00000004865942</v>
      </c>
    </row>
    <row r="1510" spans="1:40" x14ac:dyDescent="0.25">
      <c r="A1510" t="str">
        <f>"20190303171008875"</f>
        <v>20190303171008875</v>
      </c>
      <c r="B1510" t="str">
        <f>"1551604208862434"</f>
        <v>1551604208862434</v>
      </c>
      <c r="C1510" t="s">
        <v>40</v>
      </c>
      <c r="D1510">
        <v>5.0201840000000004</v>
      </c>
      <c r="E1510">
        <v>0.49449490000000001</v>
      </c>
      <c r="F1510" t="s">
        <v>53</v>
      </c>
      <c r="G1510">
        <v>-335.0874</v>
      </c>
      <c r="H1510" s="1">
        <v>1.117076E-6</v>
      </c>
      <c r="I1510">
        <v>285.8381</v>
      </c>
      <c r="J1510">
        <v>-258.90480000000002</v>
      </c>
      <c r="K1510">
        <v>1.1199779999999999</v>
      </c>
      <c r="L1510">
        <v>283.66520000000003</v>
      </c>
      <c r="M1510">
        <v>-0.99995389999999995</v>
      </c>
      <c r="N1510">
        <v>-7.0405869999999897E-3</v>
      </c>
      <c r="O1510">
        <v>6.5321659999999998E-3</v>
      </c>
      <c r="P1510">
        <v>-0.97795759999999998</v>
      </c>
      <c r="Q1510">
        <v>0.2004793</v>
      </c>
      <c r="R1510">
        <v>5.8371039999999999E-2</v>
      </c>
      <c r="S1510">
        <v>-3.0713200000000001</v>
      </c>
      <c r="T1510">
        <v>-4.4934269999999998E-2</v>
      </c>
      <c r="U1510">
        <v>8.7280269999999993E-2</v>
      </c>
      <c r="V1510">
        <v>5.2105579999999999E-2</v>
      </c>
      <c r="W1510">
        <v>0.2073315</v>
      </c>
      <c r="X1510">
        <v>0.97688209999999998</v>
      </c>
      <c r="Y1510">
        <v>2.1872800000000001E-2</v>
      </c>
      <c r="Z1510">
        <v>1.874244E-4</v>
      </c>
      <c r="AA1510">
        <v>0.99976069999999995</v>
      </c>
      <c r="AB1510">
        <v>37</v>
      </c>
      <c r="AC1510">
        <v>-76.182599999999894</v>
      </c>
      <c r="AD1510">
        <v>-1.119976882924</v>
      </c>
      <c r="AE1510">
        <v>2.1728999999999701</v>
      </c>
      <c r="AF1510">
        <v>1.6748422433138099</v>
      </c>
      <c r="AG1510">
        <v>-1.119976882924</v>
      </c>
      <c r="AH1510">
        <v>76.178717871787001</v>
      </c>
      <c r="AI1510">
        <v>90.842096422267304</v>
      </c>
      <c r="AJ1510">
        <v>88.740515233028901</v>
      </c>
      <c r="AK1510">
        <v>76.205357432057099</v>
      </c>
      <c r="AL1510">
        <v>78.033982878431701</v>
      </c>
      <c r="AM1510">
        <v>86.9468132836232</v>
      </c>
      <c r="AN1510">
        <v>0.99999998982989802</v>
      </c>
    </row>
    <row r="1511" spans="1:40" x14ac:dyDescent="0.25">
      <c r="A1511" t="str">
        <f>"20190303171008898"</f>
        <v>20190303171008898</v>
      </c>
      <c r="B1511" t="str">
        <f>"1551604208891713"</f>
        <v>1551604208891713</v>
      </c>
      <c r="C1511" t="s">
        <v>40</v>
      </c>
      <c r="D1511">
        <v>5.0230499999999996</v>
      </c>
      <c r="E1511">
        <v>0.49461329999999998</v>
      </c>
      <c r="F1511" t="s">
        <v>53</v>
      </c>
      <c r="G1511">
        <v>-336.12619999999998</v>
      </c>
      <c r="H1511" s="1">
        <v>1.6667320000000001E-6</v>
      </c>
      <c r="I1511">
        <v>285.91019999999997</v>
      </c>
      <c r="J1511">
        <v>-259.28930000000003</v>
      </c>
      <c r="K1511">
        <v>1.1199699999999999</v>
      </c>
      <c r="L1511">
        <v>283.66789999999997</v>
      </c>
      <c r="M1511">
        <v>-0.99995270000000003</v>
      </c>
      <c r="N1511">
        <v>-6.9775610000000002E-3</v>
      </c>
      <c r="O1511">
        <v>6.7807579999999996E-3</v>
      </c>
      <c r="P1511">
        <v>-0.97778929999999997</v>
      </c>
      <c r="Q1511">
        <v>0.20135130000000001</v>
      </c>
      <c r="R1511">
        <v>5.8187780000000001E-2</v>
      </c>
      <c r="S1511">
        <v>-3.0714419999999998</v>
      </c>
      <c r="T1511">
        <v>-4.4546479999999999E-2</v>
      </c>
      <c r="U1511">
        <v>8.9294429999999994E-2</v>
      </c>
      <c r="V1511">
        <v>5.1681909999999998E-2</v>
      </c>
      <c r="W1511">
        <v>0.2081403</v>
      </c>
      <c r="X1511">
        <v>0.97673259999999995</v>
      </c>
      <c r="Y1511">
        <v>2.2278200000000001E-2</v>
      </c>
      <c r="Z1511">
        <v>1.8824830000000001E-4</v>
      </c>
      <c r="AA1511">
        <v>0.99975179999999997</v>
      </c>
      <c r="AB1511">
        <v>37</v>
      </c>
      <c r="AC1511">
        <v>-76.836899999999901</v>
      </c>
      <c r="AD1511">
        <v>-1.1199683332679999</v>
      </c>
      <c r="AE1511">
        <v>2.2423000000000002</v>
      </c>
      <c r="AF1511">
        <v>1.72085805960511</v>
      </c>
      <c r="AG1511">
        <v>-1.1199683332679999</v>
      </c>
      <c r="AH1511">
        <v>76.8340282613878</v>
      </c>
      <c r="AI1511">
        <v>90.834901290221296</v>
      </c>
      <c r="AJ1511">
        <v>88.716956215689905</v>
      </c>
      <c r="AK1511">
        <v>76.861457053588097</v>
      </c>
      <c r="AL1511">
        <v>77.986608556164398</v>
      </c>
      <c r="AM1511">
        <v>86.971129648170503</v>
      </c>
      <c r="AN1511">
        <v>0.999999988104048</v>
      </c>
    </row>
    <row r="1512" spans="1:40" x14ac:dyDescent="0.25">
      <c r="A1512" t="str">
        <f>"20190303171008920"</f>
        <v>20190303171008920</v>
      </c>
      <c r="B1512" t="str">
        <f>"1551604208912209"</f>
        <v>1551604208912209</v>
      </c>
      <c r="C1512" t="s">
        <v>40</v>
      </c>
      <c r="D1512">
        <v>5.020645</v>
      </c>
      <c r="E1512">
        <v>0.49469540000000001</v>
      </c>
      <c r="F1512" t="s">
        <v>53</v>
      </c>
      <c r="G1512">
        <v>-338.45780000000002</v>
      </c>
      <c r="H1512" s="1">
        <v>2.9041380000000001E-6</v>
      </c>
      <c r="I1512">
        <v>285.98660000000001</v>
      </c>
      <c r="J1512">
        <v>-259.66680000000002</v>
      </c>
      <c r="K1512">
        <v>1.119964</v>
      </c>
      <c r="L1512">
        <v>283.67070000000001</v>
      </c>
      <c r="M1512">
        <v>-0.99995140000000005</v>
      </c>
      <c r="N1512">
        <v>-6.9232879999999997E-3</v>
      </c>
      <c r="O1512">
        <v>7.024845E-3</v>
      </c>
      <c r="P1512">
        <v>-0.97765579999999996</v>
      </c>
      <c r="Q1512">
        <v>0.2018904</v>
      </c>
      <c r="R1512">
        <v>5.8563190000000001E-2</v>
      </c>
      <c r="S1512">
        <v>-3.0717159999999999</v>
      </c>
      <c r="T1512">
        <v>-4.3454409999999999E-2</v>
      </c>
      <c r="U1512">
        <v>8.9965820000000002E-2</v>
      </c>
      <c r="V1512">
        <v>5.1820640000000001E-2</v>
      </c>
      <c r="W1512">
        <v>0.20862530000000001</v>
      </c>
      <c r="X1512">
        <v>0.97662179999999998</v>
      </c>
      <c r="Y1512">
        <v>2.225005E-2</v>
      </c>
      <c r="Z1512">
        <v>1.8366199999999999E-4</v>
      </c>
      <c r="AA1512">
        <v>0.99975239999999999</v>
      </c>
      <c r="AB1512">
        <v>37</v>
      </c>
      <c r="AC1512">
        <v>-78.790999999999997</v>
      </c>
      <c r="AD1512">
        <v>-1.1199610958620001</v>
      </c>
      <c r="AE1512">
        <v>2.3158999999999899</v>
      </c>
      <c r="AF1512">
        <v>1.7619793529830099</v>
      </c>
      <c r="AG1512">
        <v>-1.1199610958620001</v>
      </c>
      <c r="AH1512">
        <v>78.789419570697007</v>
      </c>
      <c r="AI1512">
        <v>90.814178939797799</v>
      </c>
      <c r="AJ1512">
        <v>88.718899609402399</v>
      </c>
      <c r="AK1512">
        <v>78.817076324765594</v>
      </c>
      <c r="AL1512">
        <v>77.958196737570205</v>
      </c>
      <c r="AM1512">
        <v>86.962670528758593</v>
      </c>
      <c r="AN1512">
        <v>1.00000001738266</v>
      </c>
    </row>
    <row r="1513" spans="1:40" x14ac:dyDescent="0.25">
      <c r="A1513" t="str">
        <f>"20190303171008945"</f>
        <v>20190303171008945</v>
      </c>
      <c r="B1513" t="str">
        <f>"1551604208931729"</f>
        <v>1551604208931729</v>
      </c>
      <c r="C1513" t="s">
        <v>40</v>
      </c>
      <c r="D1513">
        <v>5.018618</v>
      </c>
      <c r="E1513">
        <v>0.49478100000000003</v>
      </c>
      <c r="F1513" t="s">
        <v>53</v>
      </c>
      <c r="G1513">
        <v>-341.20240000000001</v>
      </c>
      <c r="H1513" s="1">
        <v>-8.9692790000000003E-7</v>
      </c>
      <c r="I1513">
        <v>286.08370000000002</v>
      </c>
      <c r="J1513">
        <v>-260.05590000000001</v>
      </c>
      <c r="K1513">
        <v>1.1199509999999999</v>
      </c>
      <c r="L1513">
        <v>283.67360000000002</v>
      </c>
      <c r="M1513">
        <v>-0.99994989999999995</v>
      </c>
      <c r="N1513">
        <v>-6.874654E-3</v>
      </c>
      <c r="O1513">
        <v>7.2761830000000003E-3</v>
      </c>
      <c r="P1513">
        <v>-0.97768089999999996</v>
      </c>
      <c r="Q1513">
        <v>0.2016907</v>
      </c>
      <c r="R1513">
        <v>5.883178E-2</v>
      </c>
      <c r="S1513">
        <v>-3.0718380000000001</v>
      </c>
      <c r="T1513">
        <v>-4.2194490000000001E-2</v>
      </c>
      <c r="U1513">
        <v>9.0911870000000006E-2</v>
      </c>
      <c r="V1513">
        <v>5.1844010000000003E-2</v>
      </c>
      <c r="W1513">
        <v>0.20837820000000001</v>
      </c>
      <c r="X1513">
        <v>0.97667329999999997</v>
      </c>
      <c r="Y1513">
        <v>2.230538E-2</v>
      </c>
      <c r="Z1513">
        <v>1.7994190000000001E-4</v>
      </c>
      <c r="AA1513">
        <v>0.99975119999999895</v>
      </c>
      <c r="AB1513">
        <v>37</v>
      </c>
      <c r="AC1513">
        <v>-81.146500000000003</v>
      </c>
      <c r="AD1513">
        <v>-1.1199518969279001</v>
      </c>
      <c r="AE1513">
        <v>2.4100999999999999</v>
      </c>
      <c r="AF1513">
        <v>1.81923923155985</v>
      </c>
      <c r="AG1513">
        <v>-1.1199518969279001</v>
      </c>
      <c r="AH1513">
        <v>81.146445050482498</v>
      </c>
      <c r="AI1513">
        <v>90.790525400476099</v>
      </c>
      <c r="AJ1513">
        <v>88.7156890043494</v>
      </c>
      <c r="AK1513">
        <v>81.174561704785603</v>
      </c>
      <c r="AL1513">
        <v>77.972672528900304</v>
      </c>
      <c r="AM1513">
        <v>86.961463254926997</v>
      </c>
      <c r="AN1513">
        <v>1.0000000052705</v>
      </c>
    </row>
    <row r="1514" spans="1:40" x14ac:dyDescent="0.25">
      <c r="A1514" t="str">
        <f>"20190303171008965"</f>
        <v>20190303171008965</v>
      </c>
      <c r="B1514" t="str">
        <f>"1551604208952225"</f>
        <v>1551604208952225</v>
      </c>
      <c r="C1514" t="s">
        <v>40</v>
      </c>
      <c r="D1514">
        <v>4.9576659999999997</v>
      </c>
      <c r="E1514">
        <v>0.494863</v>
      </c>
      <c r="F1514" t="s">
        <v>53</v>
      </c>
      <c r="G1514">
        <v>-339.12279999999998</v>
      </c>
      <c r="H1514" s="1">
        <v>3.2550729999999999E-6</v>
      </c>
      <c r="I1514">
        <v>286.05360000000002</v>
      </c>
      <c r="J1514">
        <v>-260.40530000000001</v>
      </c>
      <c r="K1514">
        <v>1.119947</v>
      </c>
      <c r="L1514">
        <v>283.67630000000003</v>
      </c>
      <c r="M1514">
        <v>-0.99994859999999997</v>
      </c>
      <c r="N1514">
        <v>-6.8364119999999896E-3</v>
      </c>
      <c r="O1514">
        <v>7.5020340000000003E-3</v>
      </c>
      <c r="P1514">
        <v>-0.97770610000000002</v>
      </c>
      <c r="Q1514">
        <v>0.20180229999999999</v>
      </c>
      <c r="R1514">
        <v>5.8024819999999998E-2</v>
      </c>
      <c r="S1514">
        <v>-3.0718990000000002</v>
      </c>
      <c r="T1514">
        <v>-4.351211E-2</v>
      </c>
      <c r="U1514">
        <v>9.2468259999999997E-2</v>
      </c>
      <c r="V1514">
        <v>5.0816699999999999E-2</v>
      </c>
      <c r="W1514">
        <v>0.20845320000000001</v>
      </c>
      <c r="X1514">
        <v>0.97671129999999995</v>
      </c>
      <c r="Y1514">
        <v>2.258489E-2</v>
      </c>
      <c r="Z1514">
        <v>1.8217879999999999E-4</v>
      </c>
      <c r="AA1514">
        <v>0.99974490000000005</v>
      </c>
      <c r="AB1514">
        <v>37</v>
      </c>
      <c r="AC1514">
        <v>-78.717499999999902</v>
      </c>
      <c r="AD1514">
        <v>-1.119943744927</v>
      </c>
      <c r="AE1514">
        <v>2.3772999999999902</v>
      </c>
      <c r="AF1514">
        <v>1.78631674741798</v>
      </c>
      <c r="AG1514">
        <v>-1.119943744927</v>
      </c>
      <c r="AH1514">
        <v>78.717200450722402</v>
      </c>
      <c r="AI1514">
        <v>90.814907135641107</v>
      </c>
      <c r="AJ1514">
        <v>88.700019224175307</v>
      </c>
      <c r="AK1514">
        <v>78.745430650375695</v>
      </c>
      <c r="AL1514">
        <v>77.968279024394803</v>
      </c>
      <c r="AM1514">
        <v>87.021679255071803</v>
      </c>
      <c r="AN1514">
        <v>1.0000000185684099</v>
      </c>
    </row>
    <row r="1515" spans="1:40" x14ac:dyDescent="0.25">
      <c r="A1515" t="str">
        <f>"20190303171008987"</f>
        <v>20190303171008987</v>
      </c>
      <c r="B1515" t="str">
        <f>"1551604208982482"</f>
        <v>1551604208982482</v>
      </c>
      <c r="C1515" t="s">
        <v>40</v>
      </c>
      <c r="D1515">
        <v>4.9626089999999996</v>
      </c>
      <c r="E1515">
        <v>0.49497279999999999</v>
      </c>
      <c r="F1515" t="s">
        <v>53</v>
      </c>
      <c r="G1515">
        <v>-339.19619999999998</v>
      </c>
      <c r="H1515" s="1">
        <v>3.2957850000000001E-6</v>
      </c>
      <c r="I1515">
        <v>286.01589999999999</v>
      </c>
      <c r="J1515">
        <v>-260.76549999999997</v>
      </c>
      <c r="K1515">
        <v>1.1199440000000001</v>
      </c>
      <c r="L1515">
        <v>283.67919999999998</v>
      </c>
      <c r="M1515">
        <v>-0.99994700000000003</v>
      </c>
      <c r="N1515">
        <v>-6.8022760000000003E-3</v>
      </c>
      <c r="O1515">
        <v>7.7349039999999999E-3</v>
      </c>
      <c r="P1515">
        <v>-0.97752300000000003</v>
      </c>
      <c r="Q1515">
        <v>0.20282520000000001</v>
      </c>
      <c r="R1515">
        <v>5.7540260000000003E-2</v>
      </c>
      <c r="S1515">
        <v>-3.0720209999999999</v>
      </c>
      <c r="T1515">
        <v>-4.3666120000000003E-2</v>
      </c>
      <c r="U1515">
        <v>9.1217039999999999E-2</v>
      </c>
      <c r="V1515">
        <v>5.0107020000000002E-2</v>
      </c>
      <c r="W1515">
        <v>0.20944180000000001</v>
      </c>
      <c r="X1515">
        <v>0.97653650000000003</v>
      </c>
      <c r="Y1515">
        <v>2.1944140000000001E-2</v>
      </c>
      <c r="Z1515">
        <v>1.7326740000000001E-4</v>
      </c>
      <c r="AA1515">
        <v>0.99975919999999896</v>
      </c>
      <c r="AB1515">
        <v>37</v>
      </c>
      <c r="AC1515">
        <v>-78.430700000000002</v>
      </c>
      <c r="AD1515">
        <v>-1.119940704215</v>
      </c>
      <c r="AE1515">
        <v>2.3367</v>
      </c>
      <c r="AF1515">
        <v>1.72960979984051</v>
      </c>
      <c r="AG1515">
        <v>-1.119940704215</v>
      </c>
      <c r="AH1515">
        <v>78.430450408665706</v>
      </c>
      <c r="AI1515">
        <v>90.817895602819306</v>
      </c>
      <c r="AJ1515">
        <v>88.736673306524594</v>
      </c>
      <c r="AK1515">
        <v>78.457513142763005</v>
      </c>
      <c r="AL1515">
        <v>77.910358403588901</v>
      </c>
      <c r="AM1515">
        <v>87.062674862574994</v>
      </c>
      <c r="AN1515">
        <v>1.00000005843638</v>
      </c>
    </row>
    <row r="1516" spans="1:40" x14ac:dyDescent="0.25">
      <c r="A1516" t="str">
        <f>"20190303171009010"</f>
        <v>20190303171009010</v>
      </c>
      <c r="B1516" t="str">
        <f>"1551604209002001"</f>
        <v>1551604209002001</v>
      </c>
      <c r="C1516" t="s">
        <v>40</v>
      </c>
      <c r="D1516">
        <v>4.9587159999999999</v>
      </c>
      <c r="E1516">
        <v>0.49502550000000001</v>
      </c>
      <c r="F1516" t="s">
        <v>53</v>
      </c>
      <c r="G1516">
        <v>-344.52159999999998</v>
      </c>
      <c r="H1516" s="1">
        <v>8.6936219999999903E-7</v>
      </c>
      <c r="I1516">
        <v>286.15690000000001</v>
      </c>
      <c r="J1516">
        <v>-261.1635</v>
      </c>
      <c r="K1516">
        <v>1.1199399999999999</v>
      </c>
      <c r="L1516">
        <v>283.6825</v>
      </c>
      <c r="M1516">
        <v>-0.99994519999999998</v>
      </c>
      <c r="N1516">
        <v>-6.7673840000000004E-3</v>
      </c>
      <c r="O1516">
        <v>7.991916E-3</v>
      </c>
      <c r="P1516">
        <v>-0.97717520000000002</v>
      </c>
      <c r="Q1516">
        <v>0.2045517</v>
      </c>
      <c r="R1516">
        <v>5.7337560000000003E-2</v>
      </c>
      <c r="S1516">
        <v>-3.0721440000000002</v>
      </c>
      <c r="T1516">
        <v>-4.1079160000000003E-2</v>
      </c>
      <c r="U1516">
        <v>9.088135E-2</v>
      </c>
      <c r="V1516">
        <v>4.9657600000000003E-2</v>
      </c>
      <c r="W1516">
        <v>0.21113170000000001</v>
      </c>
      <c r="X1516">
        <v>0.97619549999999999</v>
      </c>
      <c r="Y1516">
        <v>2.1577180000000001E-2</v>
      </c>
      <c r="Z1516">
        <v>1.6449610000000001E-4</v>
      </c>
      <c r="AA1516">
        <v>0.99976719999999997</v>
      </c>
      <c r="AB1516">
        <v>37</v>
      </c>
      <c r="AC1516">
        <v>-83.358099999999894</v>
      </c>
      <c r="AD1516">
        <v>-1.1199391306377999</v>
      </c>
      <c r="AE1516">
        <v>2.4744000000000002</v>
      </c>
      <c r="AF1516">
        <v>1.80778877877943</v>
      </c>
      <c r="AG1516">
        <v>-1.1199391306377999</v>
      </c>
      <c r="AH1516">
        <v>83.3601795933548</v>
      </c>
      <c r="AI1516">
        <v>90.769538218313102</v>
      </c>
      <c r="AJ1516">
        <v>88.757651020401696</v>
      </c>
      <c r="AK1516">
        <v>83.387300626422601</v>
      </c>
      <c r="AL1516">
        <v>77.811319786284301</v>
      </c>
      <c r="AM1516">
        <v>87.087959691406994</v>
      </c>
      <c r="AN1516">
        <v>1.0000000631014401</v>
      </c>
    </row>
    <row r="1517" spans="1:40" x14ac:dyDescent="0.25">
      <c r="A1517" t="str">
        <f>"20190303171009032"</f>
        <v>20190303171009032</v>
      </c>
      <c r="B1517" t="str">
        <f>"1551604209022497"</f>
        <v>1551604209022497</v>
      </c>
      <c r="C1517" t="s">
        <v>40</v>
      </c>
      <c r="D1517">
        <v>4.9609509999999997</v>
      </c>
      <c r="E1517">
        <v>0.49510979999999999</v>
      </c>
      <c r="F1517" t="s">
        <v>53</v>
      </c>
      <c r="G1517">
        <v>-356.50170000000003</v>
      </c>
      <c r="H1517" s="1">
        <v>1.9230909999999998E-6</v>
      </c>
      <c r="I1517">
        <v>286.47800000000001</v>
      </c>
      <c r="J1517">
        <v>-261.53149999999999</v>
      </c>
      <c r="K1517">
        <v>1.1199410000000001</v>
      </c>
      <c r="L1517">
        <v>283.6857</v>
      </c>
      <c r="M1517">
        <v>-0.99994360000000004</v>
      </c>
      <c r="N1517">
        <v>-6.736054E-3</v>
      </c>
      <c r="O1517">
        <v>8.2294840000000005E-3</v>
      </c>
      <c r="P1517">
        <v>-0.97716700000000001</v>
      </c>
      <c r="Q1517">
        <v>0.20445669999999999</v>
      </c>
      <c r="R1517">
        <v>5.7817340000000002E-2</v>
      </c>
      <c r="S1517">
        <v>-3.0723569999999998</v>
      </c>
      <c r="T1517">
        <v>-3.609097E-2</v>
      </c>
      <c r="U1517">
        <v>9.0087890000000004E-2</v>
      </c>
      <c r="V1517">
        <v>4.9905829999999998E-2</v>
      </c>
      <c r="W1517">
        <v>0.2110059</v>
      </c>
      <c r="X1517">
        <v>0.97621000000000002</v>
      </c>
      <c r="Y1517">
        <v>2.1080169999999999E-2</v>
      </c>
      <c r="Z1517">
        <v>1.5358240000000001E-4</v>
      </c>
      <c r="AA1517">
        <v>0.99977780000000005</v>
      </c>
      <c r="AB1517">
        <v>38</v>
      </c>
      <c r="AC1517">
        <v>-94.970200000000006</v>
      </c>
      <c r="AD1517">
        <v>-1.1199390769090001</v>
      </c>
      <c r="AE1517">
        <v>2.7923000000000102</v>
      </c>
      <c r="AF1517">
        <v>2.01035275960797</v>
      </c>
      <c r="AG1517">
        <v>-1.1199390769090001</v>
      </c>
      <c r="AH1517">
        <v>94.976767184186201</v>
      </c>
      <c r="AI1517">
        <v>90.675432979025999</v>
      </c>
      <c r="AJ1517">
        <v>88.7874136558044</v>
      </c>
      <c r="AK1517">
        <v>95.004642447162396</v>
      </c>
      <c r="AL1517">
        <v>77.818693223511701</v>
      </c>
      <c r="AM1517">
        <v>87.073471528088604</v>
      </c>
      <c r="AN1517">
        <v>1.0000000229013899</v>
      </c>
    </row>
    <row r="1518" spans="1:40" x14ac:dyDescent="0.25">
      <c r="A1518" t="str">
        <f>"20190303171009053"</f>
        <v>20190303171009053</v>
      </c>
      <c r="B1518" t="str">
        <f>"1551604209042018"</f>
        <v>1551604209042018</v>
      </c>
      <c r="C1518" t="s">
        <v>40</v>
      </c>
      <c r="D1518">
        <v>4.90489</v>
      </c>
      <c r="E1518">
        <v>0.49521690000000002</v>
      </c>
      <c r="F1518" t="s">
        <v>53</v>
      </c>
      <c r="G1518">
        <v>-356.11840000000001</v>
      </c>
      <c r="H1518" s="1">
        <v>1.7191369999999999E-6</v>
      </c>
      <c r="I1518">
        <v>286.49579999999997</v>
      </c>
      <c r="J1518">
        <v>-261.88920000000002</v>
      </c>
      <c r="K1518">
        <v>1.1199330000000001</v>
      </c>
      <c r="L1518">
        <v>283.68880000000001</v>
      </c>
      <c r="M1518">
        <v>-0.99994179999999999</v>
      </c>
      <c r="N1518">
        <v>-6.7084359999999999E-3</v>
      </c>
      <c r="O1518">
        <v>8.4602449999999999E-3</v>
      </c>
      <c r="P1518">
        <v>-0.97727719999999996</v>
      </c>
      <c r="Q1518">
        <v>0.2040391</v>
      </c>
      <c r="R1518">
        <v>5.7425789999999997E-2</v>
      </c>
      <c r="S1518">
        <v>-3.072327</v>
      </c>
      <c r="T1518">
        <v>-3.6377310000000003E-2</v>
      </c>
      <c r="U1518">
        <v>9.1278079999999998E-2</v>
      </c>
      <c r="V1518">
        <v>4.9288039999999998E-2</v>
      </c>
      <c r="W1518">
        <v>0.2105631</v>
      </c>
      <c r="X1518">
        <v>0.97633700000000001</v>
      </c>
      <c r="Y1518">
        <v>2.1236669999999999E-2</v>
      </c>
      <c r="Z1518">
        <v>1.5354729999999999E-4</v>
      </c>
      <c r="AA1518">
        <v>0.99977450000000001</v>
      </c>
      <c r="AB1518">
        <v>38</v>
      </c>
      <c r="AC1518">
        <v>-94.229200000000006</v>
      </c>
      <c r="AD1518">
        <v>-1.119931280863</v>
      </c>
      <c r="AE1518">
        <v>2.8069999999999502</v>
      </c>
      <c r="AF1518">
        <v>2.00939596199796</v>
      </c>
      <c r="AG1518">
        <v>-1.119931280863</v>
      </c>
      <c r="AH1518">
        <v>94.236276180164893</v>
      </c>
      <c r="AI1518">
        <v>90.680732911717598</v>
      </c>
      <c r="AJ1518">
        <v>88.778469727666803</v>
      </c>
      <c r="AK1518">
        <v>94.264349923554093</v>
      </c>
      <c r="AL1518">
        <v>77.844647041418199</v>
      </c>
      <c r="AM1518">
        <v>87.110012880147394</v>
      </c>
      <c r="AN1518">
        <v>1.00000003376882</v>
      </c>
    </row>
    <row r="1519" spans="1:40" x14ac:dyDescent="0.25">
      <c r="A1519" t="str">
        <f>"20190303171009077"</f>
        <v>20190303171009077</v>
      </c>
      <c r="B1519" t="str">
        <f>"1551604209072273"</f>
        <v>1551604209072273</v>
      </c>
      <c r="C1519" t="s">
        <v>40</v>
      </c>
      <c r="D1519">
        <v>4.8991369999999996</v>
      </c>
      <c r="E1519">
        <v>0.49535259999999998</v>
      </c>
      <c r="F1519" t="s">
        <v>53</v>
      </c>
      <c r="G1519">
        <v>-352.52699999999999</v>
      </c>
      <c r="H1519" s="1">
        <v>-1.9204620000000001E-7</v>
      </c>
      <c r="I1519">
        <v>286.37259999999998</v>
      </c>
      <c r="J1519">
        <v>-262.27910000000003</v>
      </c>
      <c r="K1519">
        <v>1.1199239999999999</v>
      </c>
      <c r="L1519">
        <v>283.69229999999999</v>
      </c>
      <c r="M1519">
        <v>-0.99993969999999999</v>
      </c>
      <c r="N1519">
        <v>-6.6786730000000004E-3</v>
      </c>
      <c r="O1519">
        <v>8.7121109999999998E-3</v>
      </c>
      <c r="P1519">
        <v>-0.97735859999999997</v>
      </c>
      <c r="Q1519">
        <v>0.20389570000000001</v>
      </c>
      <c r="R1519">
        <v>5.6541300000000003E-2</v>
      </c>
      <c r="S1519">
        <v>-3.072327</v>
      </c>
      <c r="T1519">
        <v>-3.7962080000000002E-2</v>
      </c>
      <c r="U1519">
        <v>9.0972899999999995E-2</v>
      </c>
      <c r="V1519">
        <v>4.8156890000000001E-2</v>
      </c>
      <c r="W1519">
        <v>0.21039150000000001</v>
      </c>
      <c r="X1519">
        <v>0.97643040000000003</v>
      </c>
      <c r="Y1519">
        <v>2.0885529999999999E-2</v>
      </c>
      <c r="Z1519">
        <v>1.493218E-4</v>
      </c>
      <c r="AA1519">
        <v>0.99978180000000005</v>
      </c>
      <c r="AB1519">
        <v>38</v>
      </c>
      <c r="AC1519">
        <v>-90.247899999999902</v>
      </c>
      <c r="AD1519">
        <v>-1.1199241920462</v>
      </c>
      <c r="AE1519">
        <v>2.6802999999999799</v>
      </c>
      <c r="AF1519">
        <v>1.8936396295026501</v>
      </c>
      <c r="AG1519">
        <v>-1.1199241920462</v>
      </c>
      <c r="AH1519">
        <v>90.253940134838899</v>
      </c>
      <c r="AI1519">
        <v>90.710766973202198</v>
      </c>
      <c r="AJ1519">
        <v>88.798039818848807</v>
      </c>
      <c r="AK1519">
        <v>90.280749947624201</v>
      </c>
      <c r="AL1519">
        <v>77.854703846954607</v>
      </c>
      <c r="AM1519">
        <v>87.176498533829701</v>
      </c>
      <c r="AN1519">
        <v>0.99999999768544101</v>
      </c>
    </row>
    <row r="1520" spans="1:40" x14ac:dyDescent="0.25">
      <c r="A1520" t="str">
        <f>"20190303171009099"</f>
        <v>20190303171009099</v>
      </c>
      <c r="B1520" t="str">
        <f>"1551604209091794"</f>
        <v>1551604209091794</v>
      </c>
      <c r="C1520" t="s">
        <v>40</v>
      </c>
      <c r="D1520">
        <v>4.8979749999999997</v>
      </c>
      <c r="E1520">
        <v>0.4954674</v>
      </c>
      <c r="F1520" t="s">
        <v>53</v>
      </c>
      <c r="G1520">
        <v>-350.49299999999999</v>
      </c>
      <c r="H1520" s="1">
        <v>-1.274462E-6</v>
      </c>
      <c r="I1520">
        <v>286.26130000000001</v>
      </c>
      <c r="J1520">
        <v>-262.6669</v>
      </c>
      <c r="K1520">
        <v>1.119918</v>
      </c>
      <c r="L1520">
        <v>283.69589999999999</v>
      </c>
      <c r="M1520">
        <v>-0.99993779999999999</v>
      </c>
      <c r="N1520">
        <v>-6.6500619999999896E-3</v>
      </c>
      <c r="O1520">
        <v>8.9615919999999905E-3</v>
      </c>
      <c r="P1520">
        <v>-0.97723660000000001</v>
      </c>
      <c r="Q1520">
        <v>0.20435400000000001</v>
      </c>
      <c r="R1520">
        <v>5.6994990000000002E-2</v>
      </c>
      <c r="S1520">
        <v>-3.0724490000000002</v>
      </c>
      <c r="T1520">
        <v>-3.9006470000000001E-2</v>
      </c>
      <c r="U1520">
        <v>8.9477539999999994E-2</v>
      </c>
      <c r="V1520">
        <v>4.8368769999999998E-2</v>
      </c>
      <c r="W1520">
        <v>0.21082039999999999</v>
      </c>
      <c r="X1520">
        <v>0.97632739999999996</v>
      </c>
      <c r="Y1520">
        <v>2.0148739999999998E-2</v>
      </c>
      <c r="Z1520">
        <v>1.407274E-4</v>
      </c>
      <c r="AA1520">
        <v>0.99979700000000005</v>
      </c>
      <c r="AB1520">
        <v>38</v>
      </c>
      <c r="AC1520">
        <v>-87.826099999999997</v>
      </c>
      <c r="AD1520">
        <v>-1.1199192744619999</v>
      </c>
      <c r="AE1520">
        <v>2.5654000000000101</v>
      </c>
      <c r="AF1520">
        <v>1.7779291060439899</v>
      </c>
      <c r="AG1520">
        <v>-1.1199192744619999</v>
      </c>
      <c r="AH1520">
        <v>87.8312943048401</v>
      </c>
      <c r="AI1520">
        <v>90.730377832770003</v>
      </c>
      <c r="AJ1520">
        <v>88.840345864606405</v>
      </c>
      <c r="AK1520">
        <v>87.856425549591293</v>
      </c>
      <c r="AL1520">
        <v>77.829565717225705</v>
      </c>
      <c r="AM1520">
        <v>87.163797275205098</v>
      </c>
      <c r="AN1520">
        <v>0.99999998547911595</v>
      </c>
    </row>
    <row r="1521" spans="1:40" x14ac:dyDescent="0.25">
      <c r="A1521" t="str">
        <f>"20190303171009124"</f>
        <v>20190303171009124</v>
      </c>
      <c r="B1521" t="str">
        <f>"1551604209112290"</f>
        <v>1551604209112290</v>
      </c>
      <c r="C1521" t="s">
        <v>40</v>
      </c>
      <c r="D1521">
        <v>4.8469509999999998</v>
      </c>
      <c r="E1521">
        <v>0.49545250000000002</v>
      </c>
      <c r="F1521" t="s">
        <v>53</v>
      </c>
      <c r="G1521">
        <v>-353.87360000000001</v>
      </c>
      <c r="H1521" s="1">
        <v>5.2452869999999899E-7</v>
      </c>
      <c r="I1521">
        <v>286.4119</v>
      </c>
      <c r="J1521">
        <v>-263.06920000000002</v>
      </c>
      <c r="K1521">
        <v>1.119918</v>
      </c>
      <c r="L1521">
        <v>283.69970000000001</v>
      </c>
      <c r="M1521">
        <v>-0.99993560000000004</v>
      </c>
      <c r="N1521">
        <v>-6.6239069999999897E-3</v>
      </c>
      <c r="O1521">
        <v>9.2208380000000003E-3</v>
      </c>
      <c r="P1521">
        <v>-0.97697299999999998</v>
      </c>
      <c r="Q1521">
        <v>0.20552329999999999</v>
      </c>
      <c r="R1521">
        <v>5.7308409999999997E-2</v>
      </c>
      <c r="S1521">
        <v>-3.072479</v>
      </c>
      <c r="T1521">
        <v>-3.7726639999999999E-2</v>
      </c>
      <c r="U1521">
        <v>9.1491699999999995E-2</v>
      </c>
      <c r="V1521">
        <v>4.8432500000000003E-2</v>
      </c>
      <c r="W1521">
        <v>0.2119627</v>
      </c>
      <c r="X1521">
        <v>0.97607690000000003</v>
      </c>
      <c r="Y1521">
        <v>2.0544159999999999E-2</v>
      </c>
      <c r="Z1521">
        <v>1.4203769999999999E-4</v>
      </c>
      <c r="AA1521">
        <v>0.99978889999999998</v>
      </c>
      <c r="AB1521">
        <v>38</v>
      </c>
      <c r="AC1521">
        <v>-90.804400000000001</v>
      </c>
      <c r="AD1521">
        <v>-1.1199174754712999</v>
      </c>
      <c r="AE1521">
        <v>2.71219999999999</v>
      </c>
      <c r="AF1521">
        <v>1.87448882930661</v>
      </c>
      <c r="AG1521">
        <v>-1.1199174754712999</v>
      </c>
      <c r="AH1521">
        <v>90.811747704995298</v>
      </c>
      <c r="AI1521">
        <v>90.706402315043803</v>
      </c>
      <c r="AJ1521">
        <v>88.817498265333199</v>
      </c>
      <c r="AK1521">
        <v>90.837995600732896</v>
      </c>
      <c r="AL1521">
        <v>77.762603724445199</v>
      </c>
      <c r="AM1521">
        <v>87.1593388028042</v>
      </c>
      <c r="AN1521">
        <v>1.0000000039805701</v>
      </c>
    </row>
    <row r="1522" spans="1:40" x14ac:dyDescent="0.25">
      <c r="A1522" t="str">
        <f>"20190303171009144"</f>
        <v>20190303171009144</v>
      </c>
      <c r="B1522" t="str">
        <f>"1551604209131809"</f>
        <v>1551604209131809</v>
      </c>
      <c r="C1522" t="s">
        <v>40</v>
      </c>
      <c r="D1522">
        <v>4.8271329999999999</v>
      </c>
      <c r="E1522">
        <v>0.47165269999999998</v>
      </c>
      <c r="F1522" t="s">
        <v>53</v>
      </c>
      <c r="G1522">
        <v>-364.39060000000001</v>
      </c>
      <c r="H1522" s="1">
        <v>7.996844E-7</v>
      </c>
      <c r="I1522">
        <v>286.70479999999998</v>
      </c>
      <c r="J1522">
        <v>-263.42439999999999</v>
      </c>
      <c r="K1522">
        <v>1.11992</v>
      </c>
      <c r="L1522">
        <v>283.70319999999998</v>
      </c>
      <c r="M1522">
        <v>-0.99993370000000004</v>
      </c>
      <c r="N1522">
        <v>-6.602531E-3</v>
      </c>
      <c r="O1522">
        <v>9.4490749999999995E-3</v>
      </c>
      <c r="P1522">
        <v>-0.97677009999999997</v>
      </c>
      <c r="Q1522">
        <v>0.2063692</v>
      </c>
      <c r="R1522">
        <v>5.772629E-2</v>
      </c>
      <c r="S1522">
        <v>-3.072479</v>
      </c>
      <c r="T1522">
        <v>-3.3960459999999998E-2</v>
      </c>
      <c r="U1522">
        <v>9.1125490000000003E-2</v>
      </c>
      <c r="V1522">
        <v>4.8630220000000002E-2</v>
      </c>
      <c r="W1522">
        <v>0.212786</v>
      </c>
      <c r="X1522">
        <v>0.97588790000000003</v>
      </c>
      <c r="Y1522">
        <v>2.0197260000000002E-2</v>
      </c>
      <c r="Z1522">
        <v>1.3625469999999901E-4</v>
      </c>
      <c r="AA1522">
        <v>0.99979600000000002</v>
      </c>
      <c r="AB1522">
        <v>38</v>
      </c>
      <c r="AC1522">
        <v>-100.9662</v>
      </c>
      <c r="AD1522">
        <v>-1.1199192003156</v>
      </c>
      <c r="AE1522">
        <v>3.0015999999999901</v>
      </c>
      <c r="AF1522">
        <v>2.0471564901057602</v>
      </c>
      <c r="AG1522">
        <v>-1.1199192003156</v>
      </c>
      <c r="AH1522">
        <v>100.977642672626</v>
      </c>
      <c r="AI1522">
        <v>90.635297381391396</v>
      </c>
      <c r="AJ1522">
        <v>88.838580915723995</v>
      </c>
      <c r="AK1522">
        <v>101.004600828036</v>
      </c>
      <c r="AL1522">
        <v>77.714330711957601</v>
      </c>
      <c r="AM1522">
        <v>87.1472097671179</v>
      </c>
      <c r="AN1522">
        <v>0.99999998672982904</v>
      </c>
    </row>
    <row r="1523" spans="1:40" x14ac:dyDescent="0.25">
      <c r="A1523" t="str">
        <f>"20190303171009166"</f>
        <v>20190303171009166</v>
      </c>
      <c r="B1523" t="str">
        <f>"1551604209162065"</f>
        <v>1551604209162065</v>
      </c>
      <c r="C1523" t="s">
        <v>40</v>
      </c>
      <c r="D1523">
        <v>4.802899</v>
      </c>
      <c r="E1523">
        <v>0.46516249999999998</v>
      </c>
      <c r="F1523" t="s">
        <v>60</v>
      </c>
      <c r="G1523">
        <v>-435.8331</v>
      </c>
      <c r="H1523">
        <v>8.000119E-2</v>
      </c>
      <c r="I1523">
        <v>278.27949999999998</v>
      </c>
      <c r="J1523">
        <v>-263.8107</v>
      </c>
      <c r="K1523">
        <v>1.1199159999999999</v>
      </c>
      <c r="L1523">
        <v>283.70710000000003</v>
      </c>
      <c r="M1523">
        <v>-0.99993149999999997</v>
      </c>
      <c r="N1523">
        <v>-6.5782339999999996E-3</v>
      </c>
      <c r="O1523">
        <v>9.6971699999999997E-3</v>
      </c>
      <c r="P1523">
        <v>-0.97672709999999996</v>
      </c>
      <c r="Q1523">
        <v>0.2067042</v>
      </c>
      <c r="R1523">
        <v>5.7252320000000002E-2</v>
      </c>
      <c r="S1523">
        <v>-3.080994</v>
      </c>
      <c r="T1523">
        <v>-1.8583659999999998E-2</v>
      </c>
      <c r="U1523">
        <v>-9.6923830000000002E-2</v>
      </c>
      <c r="V1523">
        <v>4.7915100000000002E-2</v>
      </c>
      <c r="W1523">
        <v>0.21309719999999999</v>
      </c>
      <c r="X1523">
        <v>0.97585540000000004</v>
      </c>
      <c r="Y1523">
        <v>-4.113261E-2</v>
      </c>
      <c r="Z1523">
        <v>-2.5404909999999999E-4</v>
      </c>
      <c r="AA1523">
        <v>0.99915370000000003</v>
      </c>
      <c r="AB1523">
        <v>38</v>
      </c>
      <c r="AC1523">
        <v>-172.0224</v>
      </c>
      <c r="AD1523">
        <v>-1.03991481</v>
      </c>
      <c r="AE1523">
        <v>-5.4276000000000399</v>
      </c>
      <c r="AF1523">
        <v>-7.0952520432859796</v>
      </c>
      <c r="AG1523">
        <v>-1.03991481</v>
      </c>
      <c r="AH1523">
        <v>171.95540007448301</v>
      </c>
      <c r="AI1523">
        <v>90.346202259614699</v>
      </c>
      <c r="AJ1523">
        <v>92.3628075551498</v>
      </c>
      <c r="AK1523">
        <v>172.10486233440699</v>
      </c>
      <c r="AL1523">
        <v>77.696082108734998</v>
      </c>
      <c r="AM1523">
        <v>87.188999541524495</v>
      </c>
      <c r="AN1523">
        <v>1.0000000175824999</v>
      </c>
    </row>
    <row r="1524" spans="1:40" x14ac:dyDescent="0.25">
      <c r="A1524" t="str">
        <f>"20190303171009188"</f>
        <v>20190303171009188</v>
      </c>
      <c r="B1524" t="str">
        <f>"1551604209182562"</f>
        <v>1551604209182562</v>
      </c>
      <c r="C1524" t="s">
        <v>40</v>
      </c>
      <c r="D1524">
        <v>4.8553879999999996</v>
      </c>
      <c r="E1524">
        <v>0.4639624</v>
      </c>
      <c r="F1524" t="s">
        <v>61</v>
      </c>
      <c r="G1524">
        <v>-512.8252</v>
      </c>
      <c r="H1524">
        <v>0.16759470000000001</v>
      </c>
      <c r="I1524">
        <v>271.58120000000002</v>
      </c>
      <c r="J1524">
        <v>-264.18819999999999</v>
      </c>
      <c r="K1524">
        <v>1.119902</v>
      </c>
      <c r="L1524">
        <v>283.71089999999998</v>
      </c>
      <c r="M1524">
        <v>-0.99992930000000002</v>
      </c>
      <c r="N1524">
        <v>-6.5555500000000003E-3</v>
      </c>
      <c r="O1524">
        <v>9.9394770000000004E-3</v>
      </c>
      <c r="P1524">
        <v>-0.97669470000000003</v>
      </c>
      <c r="Q1524">
        <v>0.20675399999999999</v>
      </c>
      <c r="R1524">
        <v>5.7624050000000003E-2</v>
      </c>
      <c r="S1524">
        <v>-3.0827640000000001</v>
      </c>
      <c r="T1524">
        <v>-1.178861E-2</v>
      </c>
      <c r="U1524">
        <v>-0.150116</v>
      </c>
      <c r="V1524">
        <v>4.8050809999999999E-2</v>
      </c>
      <c r="W1524">
        <v>0.2131247</v>
      </c>
      <c r="X1524">
        <v>0.97584269999999995</v>
      </c>
      <c r="Y1524">
        <v>-5.8561969999999998E-2</v>
      </c>
      <c r="Z1524">
        <v>-2.768456E-4</v>
      </c>
      <c r="AA1524">
        <v>0.9982837</v>
      </c>
      <c r="AB1524">
        <v>38</v>
      </c>
      <c r="AC1524">
        <v>-248.637</v>
      </c>
      <c r="AD1524">
        <v>-0.95230729999999997</v>
      </c>
      <c r="AE1524">
        <v>-12.1296999999999</v>
      </c>
      <c r="AF1524">
        <v>-14.6002615059692</v>
      </c>
      <c r="AG1524">
        <v>-0.95230729999999997</v>
      </c>
      <c r="AH1524">
        <v>248.50051512316</v>
      </c>
      <c r="AI1524">
        <v>90.219190657544502</v>
      </c>
      <c r="AJ1524">
        <v>93.362458989037094</v>
      </c>
      <c r="AK1524">
        <v>248.930875027008</v>
      </c>
      <c r="AL1524">
        <v>77.694469166315201</v>
      </c>
      <c r="AM1524">
        <v>87.181014137313994</v>
      </c>
      <c r="AN1524">
        <v>0.99999999661751804</v>
      </c>
    </row>
    <row r="1525" spans="1:40" x14ac:dyDescent="0.25">
      <c r="A1525" t="str">
        <f>"20190303171009210"</f>
        <v>20190303171009210</v>
      </c>
      <c r="B1525" t="str">
        <f>"1551604209202081"</f>
        <v>1551604209202081</v>
      </c>
      <c r="C1525" t="s">
        <v>40</v>
      </c>
      <c r="D1525">
        <v>4.8037479999999997</v>
      </c>
      <c r="E1525">
        <v>0.4630515</v>
      </c>
      <c r="F1525" t="s">
        <v>61</v>
      </c>
      <c r="G1525">
        <v>-512.8252</v>
      </c>
      <c r="H1525">
        <v>0.1940904</v>
      </c>
      <c r="I1525">
        <v>270.9119</v>
      </c>
      <c r="J1525">
        <v>-264.58150000000001</v>
      </c>
      <c r="K1525">
        <v>1.1198999999999999</v>
      </c>
      <c r="L1525">
        <v>283.71499999999997</v>
      </c>
      <c r="M1525">
        <v>-0.9999266</v>
      </c>
      <c r="N1525">
        <v>-6.5351219999999896E-3</v>
      </c>
      <c r="O1525">
        <v>1.019197E-2</v>
      </c>
      <c r="P1525">
        <v>-0.9766108</v>
      </c>
      <c r="Q1525">
        <v>0.20694109999999999</v>
      </c>
      <c r="R1525">
        <v>5.8366410000000001E-2</v>
      </c>
      <c r="S1525">
        <v>-3.0833740000000001</v>
      </c>
      <c r="T1525">
        <v>-1.148009E-2</v>
      </c>
      <c r="U1525">
        <v>-0.1587219</v>
      </c>
      <c r="V1525">
        <v>4.8548059999999997E-2</v>
      </c>
      <c r="W1525">
        <v>0.21329100000000001</v>
      </c>
      <c r="X1525">
        <v>0.97578169999999997</v>
      </c>
      <c r="Y1525">
        <v>-6.158346E-2</v>
      </c>
      <c r="Z1525">
        <v>-2.8729789999999998E-4</v>
      </c>
      <c r="AA1525">
        <v>0.99810189999999999</v>
      </c>
      <c r="AB1525">
        <v>38</v>
      </c>
      <c r="AC1525">
        <v>-248.24369999999999</v>
      </c>
      <c r="AD1525">
        <v>-0.92580960000000001</v>
      </c>
      <c r="AE1525">
        <v>-12.803099999999899</v>
      </c>
      <c r="AF1525">
        <v>-15.3323689359562</v>
      </c>
      <c r="AG1525">
        <v>-0.92580960000000001</v>
      </c>
      <c r="AH1525">
        <v>248.09687263435899</v>
      </c>
      <c r="AI1525">
        <v>90.213399431618001</v>
      </c>
      <c r="AJ1525">
        <v>93.5363775597597</v>
      </c>
      <c r="AK1525">
        <v>248.57191488893699</v>
      </c>
      <c r="AL1525">
        <v>77.684715996657701</v>
      </c>
      <c r="AM1525">
        <v>87.151712118467501</v>
      </c>
      <c r="AN1525">
        <v>0.999999945432825</v>
      </c>
    </row>
    <row r="1526" spans="1:40" x14ac:dyDescent="0.25">
      <c r="A1526" t="str">
        <f>"20190303171009234"</f>
        <v>20190303171009234</v>
      </c>
      <c r="B1526" t="str">
        <f>"1551604209222578"</f>
        <v>1551604209222578</v>
      </c>
      <c r="C1526" t="s">
        <v>40</v>
      </c>
      <c r="D1526">
        <v>4.7943179999999996</v>
      </c>
      <c r="E1526">
        <v>0.46237600000000001</v>
      </c>
      <c r="F1526" t="s">
        <v>61</v>
      </c>
      <c r="G1526">
        <v>-512.82529999999997</v>
      </c>
      <c r="H1526">
        <v>0.29050189999999998</v>
      </c>
      <c r="I1526">
        <v>270.51299999999998</v>
      </c>
      <c r="J1526">
        <v>-264.96480000000003</v>
      </c>
      <c r="K1526">
        <v>1.119902</v>
      </c>
      <c r="L1526">
        <v>283.71910000000003</v>
      </c>
      <c r="M1526">
        <v>-0.99992440000000005</v>
      </c>
      <c r="N1526">
        <v>-6.5184419999999898E-3</v>
      </c>
      <c r="O1526">
        <v>1.043724E-2</v>
      </c>
      <c r="P1526">
        <v>-0.97626210000000002</v>
      </c>
      <c r="Q1526">
        <v>0.20833660000000001</v>
      </c>
      <c r="R1526">
        <v>5.9230980000000003E-2</v>
      </c>
      <c r="S1526">
        <v>-3.0838009999999998</v>
      </c>
      <c r="T1526">
        <v>-1.0302189999999999E-2</v>
      </c>
      <c r="U1526">
        <v>-0.16400149999999999</v>
      </c>
      <c r="V1526">
        <v>4.9178230000000003E-2</v>
      </c>
      <c r="W1526">
        <v>0.21466750000000001</v>
      </c>
      <c r="X1526">
        <v>0.97544830000000005</v>
      </c>
      <c r="Y1526">
        <v>-6.3525300000000007E-2</v>
      </c>
      <c r="Z1526">
        <v>-2.8009040000000001E-4</v>
      </c>
      <c r="AA1526">
        <v>0.99798019999999998</v>
      </c>
      <c r="AB1526">
        <v>38</v>
      </c>
      <c r="AC1526">
        <v>-247.8605</v>
      </c>
      <c r="AD1526">
        <v>-0.82940009999999997</v>
      </c>
      <c r="AE1526">
        <v>-13.206099999999999</v>
      </c>
      <c r="AF1526">
        <v>-15.7922384977806</v>
      </c>
      <c r="AG1526">
        <v>-0.82940009999999997</v>
      </c>
      <c r="AH1526">
        <v>247.706394658433</v>
      </c>
      <c r="AI1526">
        <v>90.191455154477794</v>
      </c>
      <c r="AJ1526">
        <v>93.647890030595505</v>
      </c>
      <c r="AK1526">
        <v>248.21067796526401</v>
      </c>
      <c r="AL1526">
        <v>77.603979126682404</v>
      </c>
      <c r="AM1526">
        <v>87.113817993070001</v>
      </c>
      <c r="AN1526">
        <v>1.0000000099175299</v>
      </c>
    </row>
    <row r="1527" spans="1:40" x14ac:dyDescent="0.25">
      <c r="A1527" t="str">
        <f>"20190303171009254"</f>
        <v>20190303171009254</v>
      </c>
      <c r="B1527" t="str">
        <f>"1551604209242097"</f>
        <v>1551604209242097</v>
      </c>
      <c r="C1527" t="s">
        <v>40</v>
      </c>
      <c r="D1527">
        <v>4.8165199999999997</v>
      </c>
      <c r="E1527">
        <v>0.46198709999999998</v>
      </c>
      <c r="F1527" t="s">
        <v>61</v>
      </c>
      <c r="G1527">
        <v>-512.82539999999995</v>
      </c>
      <c r="H1527">
        <v>0.69412620000000003</v>
      </c>
      <c r="I1527">
        <v>270.29149999999998</v>
      </c>
      <c r="J1527">
        <v>-265.33019999999999</v>
      </c>
      <c r="K1527">
        <v>1.119909</v>
      </c>
      <c r="L1527">
        <v>283.72309999999999</v>
      </c>
      <c r="M1527">
        <v>-0.99992199999999998</v>
      </c>
      <c r="N1527">
        <v>-6.5050029999999997E-3</v>
      </c>
      <c r="O1527">
        <v>1.0671180000000001E-2</v>
      </c>
      <c r="P1527">
        <v>-0.97596170000000004</v>
      </c>
      <c r="Q1527">
        <v>0.2094762</v>
      </c>
      <c r="R1527">
        <v>6.0157139999999998E-2</v>
      </c>
      <c r="S1527">
        <v>-3.0841980000000002</v>
      </c>
      <c r="T1527">
        <v>-5.2970650000000001E-3</v>
      </c>
      <c r="U1527">
        <v>-0.1670837</v>
      </c>
      <c r="V1527">
        <v>4.9880460000000001E-2</v>
      </c>
      <c r="W1527">
        <v>0.2157916</v>
      </c>
      <c r="X1527">
        <v>0.97516460000000005</v>
      </c>
      <c r="Y1527">
        <v>-6.4746929999999994E-2</v>
      </c>
      <c r="Z1527">
        <v>-2.152601E-4</v>
      </c>
      <c r="AA1527">
        <v>0.9979017</v>
      </c>
      <c r="AB1527">
        <v>39</v>
      </c>
      <c r="AC1527">
        <v>-247.49519999999899</v>
      </c>
      <c r="AD1527">
        <v>-0.42578279999999902</v>
      </c>
      <c r="AE1527">
        <v>-13.4316</v>
      </c>
      <c r="AF1527">
        <v>-16.071909213375701</v>
      </c>
      <c r="AG1527">
        <v>-0.42578279999999902</v>
      </c>
      <c r="AH1527">
        <v>247.33704343558401</v>
      </c>
      <c r="AI1527">
        <v>90.098425177644401</v>
      </c>
      <c r="AJ1527">
        <v>93.717840912233697</v>
      </c>
      <c r="AK1527">
        <v>247.85903375146901</v>
      </c>
      <c r="AL1527">
        <v>77.538027585878496</v>
      </c>
      <c r="AM1527">
        <v>87.071826403528902</v>
      </c>
      <c r="AN1527">
        <v>1.00000003600676</v>
      </c>
    </row>
    <row r="1528" spans="1:40" x14ac:dyDescent="0.25">
      <c r="A1528" t="str">
        <f>"20190303171009278"</f>
        <v>20190303171009278</v>
      </c>
      <c r="B1528" t="str">
        <f>"1551604209272354"</f>
        <v>1551604209272354</v>
      </c>
      <c r="C1528" t="s">
        <v>40</v>
      </c>
      <c r="D1528">
        <v>4.8773299999999997</v>
      </c>
      <c r="E1528">
        <v>0.46159939999999999</v>
      </c>
      <c r="F1528" t="s">
        <v>61</v>
      </c>
      <c r="G1528">
        <v>-512.82539999999995</v>
      </c>
      <c r="H1528">
        <v>0.82997099999999902</v>
      </c>
      <c r="I1528">
        <v>270.24549999999999</v>
      </c>
      <c r="J1528">
        <v>-265.72129999999999</v>
      </c>
      <c r="K1528">
        <v>1.1198999999999999</v>
      </c>
      <c r="L1528">
        <v>283.72750000000002</v>
      </c>
      <c r="M1528">
        <v>-0.99991940000000001</v>
      </c>
      <c r="N1528">
        <v>-6.4932519999999997E-3</v>
      </c>
      <c r="O1528">
        <v>1.092191E-2</v>
      </c>
      <c r="P1528">
        <v>-0.97584720000000003</v>
      </c>
      <c r="Q1528">
        <v>0.2098072</v>
      </c>
      <c r="R1528">
        <v>6.0858599999999999E-2</v>
      </c>
      <c r="S1528">
        <v>-3.0850520000000001</v>
      </c>
      <c r="T1528">
        <v>-3.6131140000000002E-3</v>
      </c>
      <c r="U1528">
        <v>-0.16799929999999999</v>
      </c>
      <c r="V1528">
        <v>5.0339149999999999E-2</v>
      </c>
      <c r="W1528">
        <v>0.21611</v>
      </c>
      <c r="X1528">
        <v>0.97507049999999995</v>
      </c>
      <c r="Y1528">
        <v>-6.5277619999999995E-2</v>
      </c>
      <c r="Z1528">
        <v>-1.9220859999999999E-4</v>
      </c>
      <c r="AA1528">
        <v>0.99786710000000001</v>
      </c>
      <c r="AB1528">
        <v>39</v>
      </c>
      <c r="AC1528">
        <v>-247.10409999999999</v>
      </c>
      <c r="AD1528">
        <v>-0.28992899999999999</v>
      </c>
      <c r="AE1528">
        <v>-13.481999999999999</v>
      </c>
      <c r="AF1528">
        <v>-16.180078903680801</v>
      </c>
      <c r="AG1528">
        <v>-0.28992899999999999</v>
      </c>
      <c r="AH1528">
        <v>246.94176943193801</v>
      </c>
      <c r="AI1528">
        <v>90.067125772036803</v>
      </c>
      <c r="AJ1528">
        <v>93.748766354918601</v>
      </c>
      <c r="AK1528">
        <v>247.471445832304</v>
      </c>
      <c r="AL1528">
        <v>77.519343561388098</v>
      </c>
      <c r="AM1528">
        <v>87.044662381983898</v>
      </c>
      <c r="AN1528">
        <v>1.0000000210464799</v>
      </c>
    </row>
    <row r="1529" spans="1:40" x14ac:dyDescent="0.25">
      <c r="A1529" t="str">
        <f>"20190303171009300"</f>
        <v>20190303171009300</v>
      </c>
      <c r="B1529" t="str">
        <f>"1551604209291874"</f>
        <v>1551604209291874</v>
      </c>
      <c r="C1529" t="s">
        <v>40</v>
      </c>
      <c r="D1529">
        <v>4.8677869999999999</v>
      </c>
      <c r="E1529">
        <v>0.46129690000000001</v>
      </c>
      <c r="F1529" t="s">
        <v>61</v>
      </c>
      <c r="G1529">
        <v>-512.82539999999995</v>
      </c>
      <c r="H1529">
        <v>0.73873599999999995</v>
      </c>
      <c r="I1529">
        <v>270.18169999999998</v>
      </c>
      <c r="J1529">
        <v>-266.12900000000002</v>
      </c>
      <c r="K1529">
        <v>1.1198950000000001</v>
      </c>
      <c r="L1529">
        <v>283.73219999999998</v>
      </c>
      <c r="M1529">
        <v>-0.99991649999999999</v>
      </c>
      <c r="N1529">
        <v>-6.4788679999999996E-3</v>
      </c>
      <c r="O1529">
        <v>1.118297E-2</v>
      </c>
      <c r="P1529">
        <v>-0.97570089999999998</v>
      </c>
      <c r="Q1529">
        <v>0.2101837</v>
      </c>
      <c r="R1529">
        <v>6.1891509999999997E-2</v>
      </c>
      <c r="S1529">
        <v>-3.0858150000000002</v>
      </c>
      <c r="T1529">
        <v>-4.7589540000000001E-3</v>
      </c>
      <c r="U1529">
        <v>-0.1691589</v>
      </c>
      <c r="V1529">
        <v>5.1119459999999999E-2</v>
      </c>
      <c r="W1529">
        <v>0.21647130000000001</v>
      </c>
      <c r="X1529">
        <v>0.97494970000000003</v>
      </c>
      <c r="Y1529">
        <v>-6.5898520000000002E-2</v>
      </c>
      <c r="Z1529">
        <v>-2.0925269999999999E-4</v>
      </c>
      <c r="AA1529">
        <v>0.99782630000000005</v>
      </c>
      <c r="AB1529">
        <v>39</v>
      </c>
      <c r="AC1529">
        <v>-246.69639999999899</v>
      </c>
      <c r="AD1529">
        <v>-0.38115900000000003</v>
      </c>
      <c r="AE1529">
        <v>-13.5505</v>
      </c>
      <c r="AF1529">
        <v>-16.3084701050707</v>
      </c>
      <c r="AG1529">
        <v>-0.38115900000000003</v>
      </c>
      <c r="AH1529">
        <v>246.5288483377</v>
      </c>
      <c r="AI1529">
        <v>90.088391911730497</v>
      </c>
      <c r="AJ1529">
        <v>93.784737773855795</v>
      </c>
      <c r="AK1529">
        <v>247.06797554936901</v>
      </c>
      <c r="AL1529">
        <v>77.498140058478498</v>
      </c>
      <c r="AM1529">
        <v>86.998563468370193</v>
      </c>
      <c r="AN1529">
        <v>0.99999997022223497</v>
      </c>
    </row>
    <row r="1530" spans="1:40" x14ac:dyDescent="0.25">
      <c r="A1530" t="str">
        <f>"20190303171009312"</f>
        <v>20190303171009312</v>
      </c>
      <c r="B1530" t="str">
        <f>"1551604209302609"</f>
        <v>1551604209302609</v>
      </c>
      <c r="C1530" t="s">
        <v>40</v>
      </c>
      <c r="D1530">
        <v>4.9063429999999997</v>
      </c>
      <c r="E1530">
        <v>0.46119759999999999</v>
      </c>
      <c r="F1530" t="s">
        <v>61</v>
      </c>
      <c r="G1530">
        <v>-512.82539999999995</v>
      </c>
      <c r="H1530">
        <v>0.70242510000000002</v>
      </c>
      <c r="I1530">
        <v>270.23390000000001</v>
      </c>
      <c r="J1530">
        <v>-266.34840000000003</v>
      </c>
      <c r="K1530">
        <v>1.1198859999999999</v>
      </c>
      <c r="L1530">
        <v>283.73469999999998</v>
      </c>
      <c r="M1530">
        <v>-0.999915</v>
      </c>
      <c r="N1530">
        <v>-6.4707300000000001E-3</v>
      </c>
      <c r="O1530">
        <v>1.1323369999999999E-2</v>
      </c>
      <c r="P1530">
        <v>-0.97560069999999999</v>
      </c>
      <c r="Q1530">
        <v>0.21053910000000001</v>
      </c>
      <c r="R1530">
        <v>6.2263939999999997E-2</v>
      </c>
      <c r="S1530">
        <v>-3.0865480000000001</v>
      </c>
      <c r="T1530">
        <v>-5.2222010000000001E-3</v>
      </c>
      <c r="U1530">
        <v>-0.16888429999999999</v>
      </c>
      <c r="V1530">
        <v>5.1356560000000002E-2</v>
      </c>
      <c r="W1530">
        <v>0.2168176</v>
      </c>
      <c r="X1530">
        <v>0.97486030000000001</v>
      </c>
      <c r="Y1530">
        <v>-6.5937109999999993E-2</v>
      </c>
      <c r="Z1530">
        <v>-2.1516459999999999E-4</v>
      </c>
      <c r="AA1530">
        <v>0.99782380000000004</v>
      </c>
      <c r="AB1530">
        <v>39</v>
      </c>
      <c r="AC1530">
        <v>-246.47699999999901</v>
      </c>
      <c r="AD1530">
        <v>-0.41746090000000002</v>
      </c>
      <c r="AE1530">
        <v>-13.5007999999999</v>
      </c>
      <c r="AF1530">
        <v>-16.290896379293901</v>
      </c>
      <c r="AG1530">
        <v>-0.41746090000000002</v>
      </c>
      <c r="AH1530">
        <v>246.307615146361</v>
      </c>
      <c r="AI1530">
        <v>90.096897446517403</v>
      </c>
      <c r="AJ1530">
        <v>93.784057172657796</v>
      </c>
      <c r="AK1530">
        <v>246.84612384546799</v>
      </c>
      <c r="AL1530">
        <v>77.477816044363905</v>
      </c>
      <c r="AM1530">
        <v>86.984391958356497</v>
      </c>
      <c r="AN1530">
        <v>0.99999998622044095</v>
      </c>
    </row>
    <row r="1531" spans="1:40" x14ac:dyDescent="0.25">
      <c r="A1531" t="str">
        <f>"20190303171009334"</f>
        <v>20190303171009334</v>
      </c>
      <c r="B1531" t="str">
        <f>"1551604209322129"</f>
        <v>1551604209322129</v>
      </c>
      <c r="C1531" t="s">
        <v>40</v>
      </c>
      <c r="D1531">
        <v>4.8813719999999998</v>
      </c>
      <c r="E1531">
        <v>0.46093600000000001</v>
      </c>
      <c r="F1531" t="s">
        <v>61</v>
      </c>
      <c r="G1531">
        <v>-512.82539999999995</v>
      </c>
      <c r="H1531">
        <v>0.76166069999999997</v>
      </c>
      <c r="I1531">
        <v>270.26889999999997</v>
      </c>
      <c r="J1531">
        <v>-266.72449999999998</v>
      </c>
      <c r="K1531">
        <v>1.119882</v>
      </c>
      <c r="L1531">
        <v>283.73919999999998</v>
      </c>
      <c r="M1531">
        <v>-0.99991240000000003</v>
      </c>
      <c r="N1531">
        <v>-6.4581530000000003E-3</v>
      </c>
      <c r="O1531">
        <v>1.1563560000000001E-2</v>
      </c>
      <c r="P1531">
        <v>-0.97548599999999996</v>
      </c>
      <c r="Q1531">
        <v>0.2108989</v>
      </c>
      <c r="R1531">
        <v>6.2841850000000005E-2</v>
      </c>
      <c r="S1531">
        <v>-3.0867610000000001</v>
      </c>
      <c r="T1531">
        <v>-4.4852499999999997E-3</v>
      </c>
      <c r="U1531">
        <v>-0.16864009999999999</v>
      </c>
      <c r="V1531">
        <v>5.1702199999999997E-2</v>
      </c>
      <c r="W1531">
        <v>0.21716440000000001</v>
      </c>
      <c r="X1531">
        <v>0.97476479999999999</v>
      </c>
      <c r="Y1531">
        <v>-6.6094410000000006E-2</v>
      </c>
      <c r="Z1531">
        <v>-2.0374069999999999E-4</v>
      </c>
      <c r="AA1531">
        <v>0.99781330000000001</v>
      </c>
      <c r="AB1531">
        <v>39</v>
      </c>
      <c r="AC1531">
        <v>-246.1009</v>
      </c>
      <c r="AD1531">
        <v>-0.35822130000000002</v>
      </c>
      <c r="AE1531">
        <v>-13.4703</v>
      </c>
      <c r="AF1531">
        <v>-16.315226413256799</v>
      </c>
      <c r="AG1531">
        <v>-0.35822130000000002</v>
      </c>
      <c r="AH1531">
        <v>245.92815761070901</v>
      </c>
      <c r="AI1531">
        <v>90.083274468140601</v>
      </c>
      <c r="AJ1531">
        <v>93.795522376792206</v>
      </c>
      <c r="AK1531">
        <v>246.46901152318</v>
      </c>
      <c r="AL1531">
        <v>77.457460475773999</v>
      </c>
      <c r="AM1531">
        <v>86.963837272819205</v>
      </c>
      <c r="AN1531">
        <v>0.99999995471561898</v>
      </c>
    </row>
    <row r="1532" spans="1:40" x14ac:dyDescent="0.25">
      <c r="A1532" t="str">
        <f>"20190303171009357"</f>
        <v>20190303171009357</v>
      </c>
      <c r="B1532" t="str">
        <f>"1551604209352385"</f>
        <v>1551604209352385</v>
      </c>
      <c r="C1532" t="s">
        <v>40</v>
      </c>
      <c r="D1532">
        <v>4.949268</v>
      </c>
      <c r="E1532">
        <v>0.4604858</v>
      </c>
      <c r="F1532" t="s">
        <v>61</v>
      </c>
      <c r="G1532">
        <v>-512.82539999999995</v>
      </c>
      <c r="H1532">
        <v>0.78290319999999902</v>
      </c>
      <c r="I1532">
        <v>270.2568</v>
      </c>
      <c r="J1532">
        <v>-267.11</v>
      </c>
      <c r="K1532">
        <v>1.119874</v>
      </c>
      <c r="L1532">
        <v>283.74380000000002</v>
      </c>
      <c r="M1532">
        <v>-0.99990950000000001</v>
      </c>
      <c r="N1532">
        <v>-6.4473289999999999E-3</v>
      </c>
      <c r="O1532">
        <v>1.180935E-2</v>
      </c>
      <c r="P1532">
        <v>-0.97547989999999996</v>
      </c>
      <c r="Q1532">
        <v>0.21074119999999999</v>
      </c>
      <c r="R1532">
        <v>6.3462149999999995E-2</v>
      </c>
      <c r="S1532">
        <v>-3.087189</v>
      </c>
      <c r="T1532">
        <v>-4.2262080000000004E-3</v>
      </c>
      <c r="U1532">
        <v>-0.16912839999999901</v>
      </c>
      <c r="V1532">
        <v>5.2083270000000001E-2</v>
      </c>
      <c r="W1532">
        <v>0.21699550000000001</v>
      </c>
      <c r="X1532">
        <v>0.97478220000000004</v>
      </c>
      <c r="Y1532">
        <v>-6.6489519999999996E-2</v>
      </c>
      <c r="Z1532">
        <v>-2.000572E-4</v>
      </c>
      <c r="AA1532">
        <v>0.99778710000000004</v>
      </c>
      <c r="AB1532">
        <v>39</v>
      </c>
      <c r="AC1532">
        <v>-245.71539999999999</v>
      </c>
      <c r="AD1532">
        <v>-0.33697080000000001</v>
      </c>
      <c r="AE1532">
        <v>-13.487</v>
      </c>
      <c r="AF1532">
        <v>-16.3878281635874</v>
      </c>
      <c r="AG1532">
        <v>-0.33697080000000001</v>
      </c>
      <c r="AH1532">
        <v>245.538528455799</v>
      </c>
      <c r="AI1532">
        <v>90.078456663801205</v>
      </c>
      <c r="AJ1532">
        <v>93.818394227966493</v>
      </c>
      <c r="AK1532">
        <v>246.085032900171</v>
      </c>
      <c r="AL1532">
        <v>77.4673750408014</v>
      </c>
      <c r="AM1532">
        <v>86.941556120728393</v>
      </c>
      <c r="AN1532">
        <v>1.00000002573549</v>
      </c>
    </row>
    <row r="1533" spans="1:40" x14ac:dyDescent="0.25">
      <c r="A1533" t="str">
        <f>"20190303171009378"</f>
        <v>20190303171009378</v>
      </c>
      <c r="B1533" t="str">
        <f>"1551604209371906"</f>
        <v>1551604209371906</v>
      </c>
      <c r="C1533" t="s">
        <v>40</v>
      </c>
      <c r="D1533">
        <v>4.9088320000000003</v>
      </c>
      <c r="E1533">
        <v>0.46021970000000001</v>
      </c>
      <c r="F1533" t="s">
        <v>61</v>
      </c>
      <c r="G1533">
        <v>-512.82539999999995</v>
      </c>
      <c r="H1533">
        <v>0.60750190000000004</v>
      </c>
      <c r="I1533">
        <v>270.13760000000002</v>
      </c>
      <c r="J1533">
        <v>-267.4932</v>
      </c>
      <c r="K1533">
        <v>1.1198619999999999</v>
      </c>
      <c r="L1533">
        <v>283.74849999999998</v>
      </c>
      <c r="M1533">
        <v>-0.99990679999999998</v>
      </c>
      <c r="N1533">
        <v>-6.4387810000000002E-3</v>
      </c>
      <c r="O1533">
        <v>1.205298E-2</v>
      </c>
      <c r="P1533">
        <v>-0.97558339999999999</v>
      </c>
      <c r="Q1533">
        <v>0.2101692</v>
      </c>
      <c r="R1533">
        <v>6.3765489999999994E-2</v>
      </c>
      <c r="S1533">
        <v>-3.0879210000000001</v>
      </c>
      <c r="T1533">
        <v>-6.4380169999999999E-3</v>
      </c>
      <c r="U1533">
        <v>-0.17099</v>
      </c>
      <c r="V1533">
        <v>5.2147770000000003E-2</v>
      </c>
      <c r="W1533">
        <v>0.21641589999999999</v>
      </c>
      <c r="X1533">
        <v>0.97490759999999999</v>
      </c>
      <c r="Y1533">
        <v>-6.7319199999999996E-2</v>
      </c>
      <c r="Z1533">
        <v>-2.3458769999999999E-4</v>
      </c>
      <c r="AA1533">
        <v>0.99773140000000005</v>
      </c>
      <c r="AB1533">
        <v>39</v>
      </c>
      <c r="AC1533">
        <v>-245.3322</v>
      </c>
      <c r="AD1533">
        <v>-0.51236009999999998</v>
      </c>
      <c r="AE1533">
        <v>-13.6108999999999</v>
      </c>
      <c r="AF1533">
        <v>-16.566884123560101</v>
      </c>
      <c r="AG1533">
        <v>-0.51236009999999998</v>
      </c>
      <c r="AH1533">
        <v>245.149257155241</v>
      </c>
      <c r="AI1533">
        <v>90.119475069883507</v>
      </c>
      <c r="AJ1533">
        <v>93.866099838935696</v>
      </c>
      <c r="AK1533">
        <v>245.708938474371</v>
      </c>
      <c r="AL1533">
        <v>77.501392076065997</v>
      </c>
      <c r="AM1533">
        <v>86.938168880354894</v>
      </c>
      <c r="AN1533">
        <v>1.0000000301132701</v>
      </c>
    </row>
    <row r="1534" spans="1:40" x14ac:dyDescent="0.25">
      <c r="A1534" t="str">
        <f>"20190303171009401"</f>
        <v>20190303171009401</v>
      </c>
      <c r="B1534" t="str">
        <f>"1551604209392402"</f>
        <v>1551604209392402</v>
      </c>
      <c r="C1534" t="s">
        <v>40</v>
      </c>
      <c r="D1534">
        <v>4.9270829999999997</v>
      </c>
      <c r="E1534">
        <v>0.45998099999999997</v>
      </c>
      <c r="F1534" t="s">
        <v>61</v>
      </c>
      <c r="G1534">
        <v>-512.82529999999997</v>
      </c>
      <c r="H1534">
        <v>0.40800419999999998</v>
      </c>
      <c r="I1534">
        <v>270.0342</v>
      </c>
      <c r="J1534">
        <v>-267.89729999999997</v>
      </c>
      <c r="K1534">
        <v>1.119858</v>
      </c>
      <c r="L1534">
        <v>283.75360000000001</v>
      </c>
      <c r="M1534">
        <v>-0.9999036</v>
      </c>
      <c r="N1534">
        <v>-6.4317669999999997E-3</v>
      </c>
      <c r="O1534">
        <v>1.23111E-2</v>
      </c>
      <c r="P1534">
        <v>-0.97572709999999996</v>
      </c>
      <c r="Q1534">
        <v>0.2097387</v>
      </c>
      <c r="R1534">
        <v>6.2977309999999995E-2</v>
      </c>
      <c r="S1534">
        <v>-3.0882869999999998</v>
      </c>
      <c r="T1534">
        <v>-8.9600089999999997E-3</v>
      </c>
      <c r="U1534">
        <v>-0.17263789999999901</v>
      </c>
      <c r="V1534">
        <v>5.1106140000000001E-2</v>
      </c>
      <c r="W1534">
        <v>0.21598010000000001</v>
      </c>
      <c r="X1534">
        <v>0.97505929999999996</v>
      </c>
      <c r="Y1534">
        <v>-6.8100659999999993E-2</v>
      </c>
      <c r="Z1534">
        <v>-2.7446730000000002E-4</v>
      </c>
      <c r="AA1534">
        <v>0.99767839999999997</v>
      </c>
      <c r="AB1534">
        <v>39</v>
      </c>
      <c r="AC1534">
        <v>-244.928</v>
      </c>
      <c r="AD1534">
        <v>-0.71185379999999998</v>
      </c>
      <c r="AE1534">
        <v>-13.7194</v>
      </c>
      <c r="AF1534">
        <v>-16.733614592379801</v>
      </c>
      <c r="AG1534">
        <v>-0.71185379999999998</v>
      </c>
      <c r="AH1534">
        <v>244.73847226002101</v>
      </c>
      <c r="AI1534">
        <v>90.166263605424405</v>
      </c>
      <c r="AJ1534">
        <v>93.911422697576498</v>
      </c>
      <c r="AK1534">
        <v>245.310905581729</v>
      </c>
      <c r="AL1534">
        <v>77.526965276996705</v>
      </c>
      <c r="AM1534">
        <v>86.999680779356495</v>
      </c>
      <c r="AN1534">
        <v>0.99999993982909796</v>
      </c>
    </row>
    <row r="1535" spans="1:40" x14ac:dyDescent="0.25">
      <c r="A1535" t="str">
        <f>"20190303171009412"</f>
        <v>20190303171009412</v>
      </c>
      <c r="B1535" t="str">
        <f>"1551604209402162"</f>
        <v>1551604209402162</v>
      </c>
      <c r="C1535" t="s">
        <v>40</v>
      </c>
      <c r="D1535">
        <v>4.92943</v>
      </c>
      <c r="E1535">
        <v>0.45979609999999899</v>
      </c>
      <c r="F1535" t="s">
        <v>61</v>
      </c>
      <c r="G1535">
        <v>-512.8252</v>
      </c>
      <c r="H1535">
        <v>0.19738220000000001</v>
      </c>
      <c r="I1535">
        <v>269.73160000000001</v>
      </c>
      <c r="J1535">
        <v>-268.11930000000001</v>
      </c>
      <c r="K1535">
        <v>1.1198570000000001</v>
      </c>
      <c r="L1535">
        <v>283.75639999999999</v>
      </c>
      <c r="M1535">
        <v>-0.99990190000000001</v>
      </c>
      <c r="N1535">
        <v>-6.4286430000000004E-3</v>
      </c>
      <c r="O1535">
        <v>1.245214E-2</v>
      </c>
      <c r="P1535">
        <v>-0.97580140000000004</v>
      </c>
      <c r="Q1535">
        <v>0.20952709999999999</v>
      </c>
      <c r="R1535">
        <v>6.2533000000000005E-2</v>
      </c>
      <c r="S1535">
        <v>-3.088562</v>
      </c>
      <c r="T1535">
        <v>-1.163149E-2</v>
      </c>
      <c r="U1535">
        <v>-0.1768188</v>
      </c>
      <c r="V1535">
        <v>5.0523520000000002E-2</v>
      </c>
      <c r="W1535">
        <v>0.2157664</v>
      </c>
      <c r="X1535">
        <v>0.97513709999999998</v>
      </c>
      <c r="Y1535">
        <v>-6.9582210000000005E-2</v>
      </c>
      <c r="Z1535">
        <v>-3.216413E-4</v>
      </c>
      <c r="AA1535">
        <v>0.99757620000000002</v>
      </c>
      <c r="AB1535">
        <v>39</v>
      </c>
      <c r="AC1535">
        <v>-244.70590000000001</v>
      </c>
      <c r="AD1535">
        <v>-0.92247479999999904</v>
      </c>
      <c r="AE1535">
        <v>-14.0247999999999</v>
      </c>
      <c r="AF1535">
        <v>-17.070645604103401</v>
      </c>
      <c r="AG1535">
        <v>-0.92247479999999904</v>
      </c>
      <c r="AH1535">
        <v>244.508821282903</v>
      </c>
      <c r="AI1535">
        <v>90.2156377018689</v>
      </c>
      <c r="AJ1535">
        <v>93.993685925164002</v>
      </c>
      <c r="AK1535">
        <v>245.10573552296199</v>
      </c>
      <c r="AL1535">
        <v>77.539506636323296</v>
      </c>
      <c r="AM1535">
        <v>87.034059803696607</v>
      </c>
      <c r="AN1535">
        <v>1.0000000646192699</v>
      </c>
    </row>
    <row r="1536" spans="1:40" x14ac:dyDescent="0.25">
      <c r="A1536" t="str">
        <f>"20190303171009433"</f>
        <v>20190303171009433</v>
      </c>
      <c r="B1536" t="str">
        <f>"1551604209422658"</f>
        <v>1551604209422658</v>
      </c>
      <c r="C1536" t="s">
        <v>40</v>
      </c>
      <c r="D1536">
        <v>4.9342870000000003</v>
      </c>
      <c r="E1536">
        <v>0.45955509999999999</v>
      </c>
      <c r="F1536" t="s">
        <v>61</v>
      </c>
      <c r="G1536">
        <v>-512.8252</v>
      </c>
      <c r="H1536">
        <v>0.1136866</v>
      </c>
      <c r="I1536">
        <v>269.54180000000002</v>
      </c>
      <c r="J1536">
        <v>-268.46289999999999</v>
      </c>
      <c r="K1536">
        <v>1.119848</v>
      </c>
      <c r="L1536">
        <v>283.76089999999999</v>
      </c>
      <c r="M1536">
        <v>-0.99989899999999998</v>
      </c>
      <c r="N1536">
        <v>-6.4250100000000001E-3</v>
      </c>
      <c r="O1536">
        <v>1.2671139999999999E-2</v>
      </c>
      <c r="P1536">
        <v>-0.97604630000000003</v>
      </c>
      <c r="Q1536">
        <v>0.2087369</v>
      </c>
      <c r="R1536">
        <v>6.1338190000000001E-2</v>
      </c>
      <c r="S1536">
        <v>-3.0886230000000001</v>
      </c>
      <c r="T1536">
        <v>-1.2698650000000001E-2</v>
      </c>
      <c r="U1536">
        <v>-0.17941279999999901</v>
      </c>
      <c r="V1536">
        <v>4.9111660000000001E-2</v>
      </c>
      <c r="W1536">
        <v>0.21497530000000001</v>
      </c>
      <c r="X1536">
        <v>0.97538389999999997</v>
      </c>
      <c r="Y1536">
        <v>-7.0634390000000005E-2</v>
      </c>
      <c r="Z1536">
        <v>-3.4290779999999999E-4</v>
      </c>
      <c r="AA1536">
        <v>0.99750220000000001</v>
      </c>
      <c r="AB1536">
        <v>39</v>
      </c>
      <c r="AC1536">
        <v>-244.3623</v>
      </c>
      <c r="AD1536">
        <v>-1.0061614000000001</v>
      </c>
      <c r="AE1536">
        <v>-14.2190999999999</v>
      </c>
      <c r="AF1536">
        <v>-17.314078924465399</v>
      </c>
      <c r="AG1536">
        <v>-1.0061614000000001</v>
      </c>
      <c r="AH1536">
        <v>244.15837988258099</v>
      </c>
      <c r="AI1536">
        <v>90.235519555286601</v>
      </c>
      <c r="AJ1536">
        <v>94.056243271158493</v>
      </c>
      <c r="AK1536">
        <v>244.773577325356</v>
      </c>
      <c r="AL1536">
        <v>77.585922334747806</v>
      </c>
      <c r="AM1536">
        <v>87.117528291945305</v>
      </c>
      <c r="AN1536">
        <v>1.00000004356862</v>
      </c>
    </row>
    <row r="1537" spans="1:40" x14ac:dyDescent="0.25">
      <c r="A1537" t="str">
        <f>"20190303171009447"</f>
        <v>20190303171009447</v>
      </c>
      <c r="B1537" t="str">
        <f>"1551604209442178"</f>
        <v>1551604209442178</v>
      </c>
      <c r="C1537" t="s">
        <v>40</v>
      </c>
      <c r="D1537">
        <v>4.9404769999999996</v>
      </c>
      <c r="E1537">
        <v>0.4592793</v>
      </c>
      <c r="F1537" t="s">
        <v>52</v>
      </c>
      <c r="G1537">
        <v>-480.25319999999999</v>
      </c>
      <c r="H1537" s="1">
        <v>2.6328979999999999E-7</v>
      </c>
      <c r="I1537">
        <v>271.11130000000003</v>
      </c>
      <c r="J1537">
        <v>-268.7029</v>
      </c>
      <c r="K1537">
        <v>1.119848</v>
      </c>
      <c r="L1537">
        <v>283.76400000000001</v>
      </c>
      <c r="M1537">
        <v>-0.99989720000000004</v>
      </c>
      <c r="N1537">
        <v>-6.4232810000000003E-3</v>
      </c>
      <c r="O1537">
        <v>1.2823910000000001E-2</v>
      </c>
      <c r="P1537">
        <v>-0.97613450000000002</v>
      </c>
      <c r="Q1537">
        <v>0.2083981</v>
      </c>
      <c r="R1537">
        <v>6.1088509999999999E-2</v>
      </c>
      <c r="S1537">
        <v>-3.0887150000000001</v>
      </c>
      <c r="T1537">
        <v>-1.633167E-2</v>
      </c>
      <c r="U1537">
        <v>-0.1844788</v>
      </c>
      <c r="V1537">
        <v>4.8711940000000002E-2</v>
      </c>
      <c r="W1537">
        <v>0.2146353</v>
      </c>
      <c r="X1537">
        <v>0.97547879999999998</v>
      </c>
      <c r="Y1537">
        <v>-7.2414690000000004E-2</v>
      </c>
      <c r="Z1537">
        <v>-4.0951669999999998E-4</v>
      </c>
      <c r="AA1537">
        <v>0.99737450000000005</v>
      </c>
      <c r="AB1537">
        <v>40</v>
      </c>
      <c r="AC1537">
        <v>-211.55029999999999</v>
      </c>
      <c r="AD1537">
        <v>-1.1198477367102</v>
      </c>
      <c r="AE1537">
        <v>-12.6526999999999</v>
      </c>
      <c r="AF1537">
        <v>-15.3641883463697</v>
      </c>
      <c r="AG1537">
        <v>-1.1198477367102</v>
      </c>
      <c r="AH1537">
        <v>211.36474150381</v>
      </c>
      <c r="AI1537">
        <v>90.302761509222407</v>
      </c>
      <c r="AJ1537">
        <v>94.157540951711297</v>
      </c>
      <c r="AK1537">
        <v>211.925379068833</v>
      </c>
      <c r="AL1537">
        <v>77.605868298230206</v>
      </c>
      <c r="AM1537">
        <v>87.141227339617799</v>
      </c>
      <c r="AN1537">
        <v>1.00000002717704</v>
      </c>
    </row>
    <row r="1538" spans="1:40" x14ac:dyDescent="0.25">
      <c r="A1538" t="str">
        <f>"20190303171009459"</f>
        <v>20190303171009459</v>
      </c>
      <c r="B1538" t="str">
        <f>"1551604209451937"</f>
        <v>1551604209451937</v>
      </c>
      <c r="C1538" t="s">
        <v>40</v>
      </c>
      <c r="D1538">
        <v>4.931254</v>
      </c>
      <c r="E1538">
        <v>0.45919569999999998</v>
      </c>
      <c r="F1538" t="s">
        <v>41</v>
      </c>
      <c r="G1538">
        <v>-473.24259999999998</v>
      </c>
      <c r="H1538">
        <v>-0.05</v>
      </c>
      <c r="I1538">
        <v>271.3682</v>
      </c>
      <c r="J1538">
        <v>-268.94349999999997</v>
      </c>
      <c r="K1538">
        <v>1.119845</v>
      </c>
      <c r="L1538">
        <v>283.7672</v>
      </c>
      <c r="M1538">
        <v>-0.99989530000000004</v>
      </c>
      <c r="N1538">
        <v>-6.4219139999999999E-3</v>
      </c>
      <c r="O1538">
        <v>1.2977519999999999E-2</v>
      </c>
      <c r="P1538">
        <v>-0.97618749999999999</v>
      </c>
      <c r="Q1538">
        <v>0.20829220000000001</v>
      </c>
      <c r="R1538">
        <v>6.060107E-2</v>
      </c>
      <c r="S1538">
        <v>-3.0888369999999998</v>
      </c>
      <c r="T1538">
        <v>-1.7666339999999999E-2</v>
      </c>
      <c r="U1538">
        <v>-0.18719479999999999</v>
      </c>
      <c r="V1538">
        <v>4.807384E-2</v>
      </c>
      <c r="W1538">
        <v>0.21452869999999999</v>
      </c>
      <c r="X1538">
        <v>0.97553389999999995</v>
      </c>
      <c r="Y1538">
        <v>-7.3439050000000006E-2</v>
      </c>
      <c r="Z1538">
        <v>-4.3675460000000001E-4</v>
      </c>
      <c r="AA1538">
        <v>0.99729959999999995</v>
      </c>
      <c r="AB1538">
        <v>40</v>
      </c>
      <c r="AC1538">
        <v>-204.29910000000001</v>
      </c>
      <c r="AD1538">
        <v>-1.169845</v>
      </c>
      <c r="AE1538">
        <v>-12.398999999999999</v>
      </c>
      <c r="AF1538">
        <v>-15.048814172052399</v>
      </c>
      <c r="AG1538">
        <v>-1.169845</v>
      </c>
      <c r="AH1538">
        <v>204.11431530711999</v>
      </c>
      <c r="AI1538">
        <v>90.327488161404503</v>
      </c>
      <c r="AJ1538">
        <v>94.216638722088206</v>
      </c>
      <c r="AK1538">
        <v>204.671661591446</v>
      </c>
      <c r="AL1538">
        <v>77.612121650317803</v>
      </c>
      <c r="AM1538">
        <v>87.178773902807293</v>
      </c>
      <c r="AN1538">
        <v>1.0000000236326201</v>
      </c>
    </row>
    <row r="1539" spans="1:40" x14ac:dyDescent="0.25">
      <c r="A1539" t="str">
        <f>"20190303171009478"</f>
        <v>20190303171009478</v>
      </c>
      <c r="B1539" t="str">
        <f>"1551604209472434"</f>
        <v>1551604209472434</v>
      </c>
      <c r="C1539" t="s">
        <v>40</v>
      </c>
      <c r="D1539">
        <v>4.9665309999999998</v>
      </c>
      <c r="E1539">
        <v>0.45903359999999899</v>
      </c>
      <c r="F1539" t="s">
        <v>41</v>
      </c>
      <c r="G1539">
        <v>-466.1979</v>
      </c>
      <c r="H1539">
        <v>-0.05</v>
      </c>
      <c r="I1539">
        <v>271.66860000000003</v>
      </c>
      <c r="J1539">
        <v>-269.28179999999998</v>
      </c>
      <c r="K1539">
        <v>1.119839</v>
      </c>
      <c r="L1539">
        <v>283.77170000000001</v>
      </c>
      <c r="M1539">
        <v>-0.99989249999999996</v>
      </c>
      <c r="N1539">
        <v>-6.4207500000000002E-3</v>
      </c>
      <c r="O1539">
        <v>1.31927E-2</v>
      </c>
      <c r="P1539">
        <v>-0.97612480000000001</v>
      </c>
      <c r="Q1539">
        <v>0.20860980000000001</v>
      </c>
      <c r="R1539">
        <v>6.052076E-2</v>
      </c>
      <c r="S1539">
        <v>-3.0888369999999998</v>
      </c>
      <c r="T1539">
        <v>-1.8318770000000002E-2</v>
      </c>
      <c r="U1539">
        <v>-0.18945310000000001</v>
      </c>
      <c r="V1539">
        <v>4.7785029999999999E-2</v>
      </c>
      <c r="W1539">
        <v>0.21484490000000001</v>
      </c>
      <c r="X1539">
        <v>0.97547850000000003</v>
      </c>
      <c r="Y1539">
        <v>-7.4379920000000002E-2</v>
      </c>
      <c r="Z1539">
        <v>-4.5292109999999999E-4</v>
      </c>
      <c r="AA1539">
        <v>0.9972299</v>
      </c>
      <c r="AB1539">
        <v>40</v>
      </c>
      <c r="AC1539">
        <v>-196.9161</v>
      </c>
      <c r="AD1539">
        <v>-1.1698389999999901</v>
      </c>
      <c r="AE1539">
        <v>-12.1030999999999</v>
      </c>
      <c r="AF1539">
        <v>-14.6994380323484</v>
      </c>
      <c r="AG1539">
        <v>-1.1698389999999901</v>
      </c>
      <c r="AH1539">
        <v>196.732369192584</v>
      </c>
      <c r="AI1539">
        <v>90.339749560737204</v>
      </c>
      <c r="AJ1539">
        <v>94.273082735373407</v>
      </c>
      <c r="AK1539">
        <v>197.284229197065</v>
      </c>
      <c r="AL1539">
        <v>77.593572186944797</v>
      </c>
      <c r="AM1539">
        <v>87.195536648420699</v>
      </c>
      <c r="AN1539">
        <v>1.0000000220551799</v>
      </c>
    </row>
    <row r="1540" spans="1:40" x14ac:dyDescent="0.25">
      <c r="A1540" t="str">
        <f>"20190303171009501"</f>
        <v>20190303171009501</v>
      </c>
      <c r="B1540" t="str">
        <f>"1551604209491954"</f>
        <v>1551604209491954</v>
      </c>
      <c r="C1540" t="s">
        <v>40</v>
      </c>
      <c r="D1540">
        <v>5.0155900000000004</v>
      </c>
      <c r="E1540">
        <v>0.45889659999999899</v>
      </c>
      <c r="F1540" t="s">
        <v>41</v>
      </c>
      <c r="G1540">
        <v>-470.67860000000002</v>
      </c>
      <c r="H1540">
        <v>-0.05</v>
      </c>
      <c r="I1540">
        <v>271.33839999999998</v>
      </c>
      <c r="J1540">
        <v>-269.68650000000002</v>
      </c>
      <c r="K1540">
        <v>1.1198360000000001</v>
      </c>
      <c r="L1540">
        <v>283.77730000000003</v>
      </c>
      <c r="M1540">
        <v>-0.99988889999999997</v>
      </c>
      <c r="N1540">
        <v>-6.420149E-3</v>
      </c>
      <c r="O1540">
        <v>1.3450439999999999E-2</v>
      </c>
      <c r="P1540">
        <v>-0.97618079999999996</v>
      </c>
      <c r="Q1540">
        <v>0.20848710000000001</v>
      </c>
      <c r="R1540">
        <v>6.0036859999999997E-2</v>
      </c>
      <c r="S1540">
        <v>-3.0890499999999999</v>
      </c>
      <c r="T1540">
        <v>-1.794314E-2</v>
      </c>
      <c r="U1540">
        <v>-0.19070429999999999</v>
      </c>
      <c r="V1540">
        <v>4.7049340000000002E-2</v>
      </c>
      <c r="W1540">
        <v>0.21472250000000001</v>
      </c>
      <c r="X1540">
        <v>0.9755412</v>
      </c>
      <c r="Y1540">
        <v>-7.5035210000000005E-2</v>
      </c>
      <c r="Z1540">
        <v>-4.5061549999999998E-4</v>
      </c>
      <c r="AA1540">
        <v>0.99718079999999998</v>
      </c>
      <c r="AB1540">
        <v>40</v>
      </c>
      <c r="AC1540">
        <v>-200.99209999999999</v>
      </c>
      <c r="AD1540">
        <v>-1.1698360000000001</v>
      </c>
      <c r="AE1540">
        <v>-12.4389</v>
      </c>
      <c r="AF1540">
        <v>-15.140751737081899</v>
      </c>
      <c r="AG1540">
        <v>-1.1698360000000001</v>
      </c>
      <c r="AH1540">
        <v>200.79982878096499</v>
      </c>
      <c r="AI1540">
        <v>90.332849798001405</v>
      </c>
      <c r="AJ1540">
        <v>94.312068922499193</v>
      </c>
      <c r="AK1540">
        <v>201.37324081887201</v>
      </c>
      <c r="AL1540">
        <v>77.600752654813803</v>
      </c>
      <c r="AM1540">
        <v>87.238823531697804</v>
      </c>
      <c r="AN1540">
        <v>1.00000001264906</v>
      </c>
    </row>
    <row r="1541" spans="1:40" x14ac:dyDescent="0.25">
      <c r="A1541" t="str">
        <f>"20190303171009524"</f>
        <v>20190303171009524</v>
      </c>
      <c r="B1541" t="str">
        <f>"1551604209512450"</f>
        <v>1551604209512450</v>
      </c>
      <c r="C1541" t="s">
        <v>40</v>
      </c>
      <c r="D1541">
        <v>4.9532590000000001</v>
      </c>
      <c r="E1541">
        <v>0.45873639999999999</v>
      </c>
      <c r="F1541" t="s">
        <v>60</v>
      </c>
      <c r="G1541">
        <v>-434.50830000000002</v>
      </c>
      <c r="H1541">
        <v>8.0001539999999996E-2</v>
      </c>
      <c r="I1541">
        <v>273.52429999999998</v>
      </c>
      <c r="J1541">
        <v>-270.07929999999999</v>
      </c>
      <c r="K1541">
        <v>1.1198269999999999</v>
      </c>
      <c r="L1541">
        <v>283.78280000000001</v>
      </c>
      <c r="M1541">
        <v>-0.99988569999999999</v>
      </c>
      <c r="N1541">
        <v>-6.416855E-3</v>
      </c>
      <c r="O1541">
        <v>1.370014E-2</v>
      </c>
      <c r="P1541">
        <v>-0.97626999999999997</v>
      </c>
      <c r="Q1541">
        <v>0.208227</v>
      </c>
      <c r="R1541">
        <v>5.9486209999999998E-2</v>
      </c>
      <c r="S1541">
        <v>-3.0892029999999999</v>
      </c>
      <c r="T1541">
        <v>-1.9489289999999999E-2</v>
      </c>
      <c r="U1541">
        <v>-0.19216920000000001</v>
      </c>
      <c r="V1541">
        <v>4.6253879999999997E-2</v>
      </c>
      <c r="W1541">
        <v>0.21446019999999999</v>
      </c>
      <c r="X1541">
        <v>0.97563690000000003</v>
      </c>
      <c r="Y1541">
        <v>-7.5751840000000001E-2</v>
      </c>
      <c r="Z1541">
        <v>-4.8054059999999999E-4</v>
      </c>
      <c r="AA1541">
        <v>0.99712659999999997</v>
      </c>
      <c r="AB1541">
        <v>40</v>
      </c>
      <c r="AC1541">
        <v>-164.429</v>
      </c>
      <c r="AD1541">
        <v>-1.0398254600000001</v>
      </c>
      <c r="AE1541">
        <v>-10.2585</v>
      </c>
      <c r="AF1541">
        <v>-12.5097852270814</v>
      </c>
      <c r="AG1541">
        <v>-1.0398254600000001</v>
      </c>
      <c r="AH1541">
        <v>164.26647799249099</v>
      </c>
      <c r="AI1541">
        <v>90.361636807170797</v>
      </c>
      <c r="AJ1541">
        <v>94.3549789241344</v>
      </c>
      <c r="AK1541">
        <v>164.74541497556899</v>
      </c>
      <c r="AL1541">
        <v>77.616139383448001</v>
      </c>
      <c r="AM1541">
        <v>87.285702001023395</v>
      </c>
      <c r="AN1541">
        <v>0.99999997972035204</v>
      </c>
    </row>
    <row r="1542" spans="1:40" x14ac:dyDescent="0.25">
      <c r="A1542" t="str">
        <f>"20190303171009546"</f>
        <v>20190303171009546</v>
      </c>
      <c r="B1542" t="str">
        <f>"1551604209531970"</f>
        <v>1551604209531970</v>
      </c>
      <c r="C1542" t="s">
        <v>40</v>
      </c>
      <c r="D1542">
        <v>4.9699679999999997</v>
      </c>
      <c r="E1542">
        <v>0.4586577</v>
      </c>
      <c r="F1542" t="s">
        <v>60</v>
      </c>
      <c r="G1542">
        <v>-429.96390000000002</v>
      </c>
      <c r="H1542">
        <v>5.6130529999999998E-2</v>
      </c>
      <c r="I1542">
        <v>273.68520000000001</v>
      </c>
      <c r="J1542">
        <v>-270.47890000000001</v>
      </c>
      <c r="K1542">
        <v>1.11982</v>
      </c>
      <c r="L1542">
        <v>283.78840000000002</v>
      </c>
      <c r="M1542">
        <v>-0.99988220000000005</v>
      </c>
      <c r="N1542">
        <v>-6.410654E-3</v>
      </c>
      <c r="O1542">
        <v>1.39536E-2</v>
      </c>
      <c r="P1542">
        <v>-0.97644779999999998</v>
      </c>
      <c r="Q1542">
        <v>0.20733119999999999</v>
      </c>
      <c r="R1542">
        <v>5.9697470000000002E-2</v>
      </c>
      <c r="S1542">
        <v>-3.0892029999999999</v>
      </c>
      <c r="T1542">
        <v>-2.055216E-2</v>
      </c>
      <c r="U1542">
        <v>-0.19509889999999999</v>
      </c>
      <c r="V1542">
        <v>4.6215029999999997E-2</v>
      </c>
      <c r="W1542">
        <v>0.21355940000000001</v>
      </c>
      <c r="X1542">
        <v>0.97583629999999999</v>
      </c>
      <c r="Y1542">
        <v>-7.6946199999999895E-2</v>
      </c>
      <c r="Z1542">
        <v>-5.0598169999999999E-4</v>
      </c>
      <c r="AA1542">
        <v>0.99703509999999995</v>
      </c>
      <c r="AB1542">
        <v>40</v>
      </c>
      <c r="AC1542">
        <v>-159.48500000000001</v>
      </c>
      <c r="AD1542">
        <v>-1.0636894699999999</v>
      </c>
      <c r="AE1542">
        <v>-10.103199999999999</v>
      </c>
      <c r="AF1542">
        <v>-12.327105588558799</v>
      </c>
      <c r="AG1542">
        <v>-1.0636894699999999</v>
      </c>
      <c r="AH1542">
        <v>159.32143491334199</v>
      </c>
      <c r="AI1542">
        <v>90.381382525381696</v>
      </c>
      <c r="AJ1542">
        <v>94.424305860096396</v>
      </c>
      <c r="AK1542">
        <v>159.80115328221601</v>
      </c>
      <c r="AL1542">
        <v>77.668975379212</v>
      </c>
      <c r="AM1542">
        <v>87.288531755662703</v>
      </c>
      <c r="AN1542">
        <v>0.999999965361974</v>
      </c>
    </row>
    <row r="1543" spans="1:40" x14ac:dyDescent="0.25">
      <c r="A1543" t="str">
        <f>"20190303171009569"</f>
        <v>20190303171009569</v>
      </c>
      <c r="B1543" t="str">
        <f>"1551604209562732"</f>
        <v>1551604209562732</v>
      </c>
      <c r="C1543" t="s">
        <v>40</v>
      </c>
      <c r="D1543">
        <v>4.9617820000000004</v>
      </c>
      <c r="E1543">
        <v>0.45854129999999899</v>
      </c>
      <c r="F1543" t="s">
        <v>60</v>
      </c>
      <c r="G1543">
        <v>-408.28019999999998</v>
      </c>
      <c r="H1543">
        <v>8.0001639999999999E-2</v>
      </c>
      <c r="I1543">
        <v>275.08839999999998</v>
      </c>
      <c r="J1543">
        <v>-270.89280000000002</v>
      </c>
      <c r="K1543">
        <v>1.1198079999999999</v>
      </c>
      <c r="L1543">
        <v>283.7944</v>
      </c>
      <c r="M1543">
        <v>-0.9998785</v>
      </c>
      <c r="N1543">
        <v>-6.4010550000000001E-3</v>
      </c>
      <c r="O1543">
        <v>1.421614E-2</v>
      </c>
      <c r="P1543">
        <v>-0.97644359999999997</v>
      </c>
      <c r="Q1543">
        <v>0.20710039999999999</v>
      </c>
      <c r="R1543">
        <v>6.0556720000000001E-2</v>
      </c>
      <c r="S1543">
        <v>-3.0892330000000001</v>
      </c>
      <c r="T1543">
        <v>-2.331066E-2</v>
      </c>
      <c r="U1543">
        <v>-0.19503780000000001</v>
      </c>
      <c r="V1543">
        <v>4.6817989999999997E-2</v>
      </c>
      <c r="W1543">
        <v>0.21331849999999999</v>
      </c>
      <c r="X1543">
        <v>0.97586030000000001</v>
      </c>
      <c r="Y1543">
        <v>-7.718701E-2</v>
      </c>
      <c r="Z1543">
        <v>-5.5449030000000003E-4</v>
      </c>
      <c r="AA1543">
        <v>0.99701649999999997</v>
      </c>
      <c r="AB1543">
        <v>40</v>
      </c>
      <c r="AC1543">
        <v>-137.38739999999899</v>
      </c>
      <c r="AD1543">
        <v>-1.03980635999999</v>
      </c>
      <c r="AE1543">
        <v>-8.7060000000000102</v>
      </c>
      <c r="AF1543">
        <v>-10.6576705850831</v>
      </c>
      <c r="AG1543">
        <v>-1.03980635999999</v>
      </c>
      <c r="AH1543">
        <v>137.241917659899</v>
      </c>
      <c r="AI1543">
        <v>90.432787289372698</v>
      </c>
      <c r="AJ1543">
        <v>94.440454461050606</v>
      </c>
      <c r="AK1543">
        <v>137.65903930557101</v>
      </c>
      <c r="AL1543">
        <v>77.683104127552994</v>
      </c>
      <c r="AM1543">
        <v>87.253276949727095</v>
      </c>
      <c r="AN1543">
        <v>1.00000001587299</v>
      </c>
    </row>
    <row r="1544" spans="1:40" x14ac:dyDescent="0.25">
      <c r="A1544" t="str">
        <f>"20190303171009592"</f>
        <v>20190303171009592</v>
      </c>
      <c r="B1544" t="str">
        <f>"1551604209582253"</f>
        <v>1551604209582253</v>
      </c>
      <c r="C1544" t="s">
        <v>40</v>
      </c>
      <c r="D1544">
        <v>4.9470260000000001</v>
      </c>
      <c r="E1544">
        <v>0.4584723</v>
      </c>
      <c r="F1544" t="s">
        <v>60</v>
      </c>
      <c r="G1544">
        <v>-400.74169999999998</v>
      </c>
      <c r="H1544">
        <v>8.000198E-2</v>
      </c>
      <c r="I1544">
        <v>275.70499999999998</v>
      </c>
      <c r="J1544">
        <v>-271.29919999999998</v>
      </c>
      <c r="K1544">
        <v>1.1197969999999999</v>
      </c>
      <c r="L1544">
        <v>283.80040000000002</v>
      </c>
      <c r="M1544">
        <v>-0.99987479999999995</v>
      </c>
      <c r="N1544">
        <v>-6.3886419999999999E-3</v>
      </c>
      <c r="O1544">
        <v>1.447391E-2</v>
      </c>
      <c r="P1544">
        <v>-0.97641359999999999</v>
      </c>
      <c r="Q1544">
        <v>0.2069298</v>
      </c>
      <c r="R1544">
        <v>6.1617190000000002E-2</v>
      </c>
      <c r="S1544">
        <v>-3.089569</v>
      </c>
      <c r="T1544">
        <v>-2.4740700000000001E-2</v>
      </c>
      <c r="U1544">
        <v>-0.19247439999999999</v>
      </c>
      <c r="V1544">
        <v>4.7627450000000002E-2</v>
      </c>
      <c r="W1544">
        <v>0.21313550000000001</v>
      </c>
      <c r="X1544">
        <v>0.97586110000000004</v>
      </c>
      <c r="Y1544">
        <v>-7.6612840000000001E-2</v>
      </c>
      <c r="Z1544">
        <v>-5.7484989999999998E-4</v>
      </c>
      <c r="AA1544">
        <v>0.99706079999999997</v>
      </c>
      <c r="AB1544">
        <v>40</v>
      </c>
      <c r="AC1544">
        <v>-129.4425</v>
      </c>
      <c r="AD1544">
        <v>-1.0397950199999999</v>
      </c>
      <c r="AE1544">
        <v>-8.0954000000000406</v>
      </c>
      <c r="AF1544">
        <v>-9.9674886862495793</v>
      </c>
      <c r="AG1544">
        <v>-1.0397950199999999</v>
      </c>
      <c r="AH1544">
        <v>129.303454469684</v>
      </c>
      <c r="AI1544">
        <v>90.459371879786303</v>
      </c>
      <c r="AJ1544">
        <v>94.407986276456597</v>
      </c>
      <c r="AK1544">
        <v>129.69123078368801</v>
      </c>
      <c r="AL1544">
        <v>77.693835873840897</v>
      </c>
      <c r="AM1544">
        <v>87.205864366909694</v>
      </c>
      <c r="AN1544">
        <v>1.00000000092348</v>
      </c>
    </row>
    <row r="1545" spans="1:40" x14ac:dyDescent="0.25">
      <c r="A1545" t="str">
        <f>"20190303171009613"</f>
        <v>20190303171009613</v>
      </c>
      <c r="B1545" t="str">
        <f>"1551604209601772"</f>
        <v>1551604209601772</v>
      </c>
      <c r="C1545" t="s">
        <v>40</v>
      </c>
      <c r="D1545">
        <v>4.958653</v>
      </c>
      <c r="E1545">
        <v>0.47904859999999999</v>
      </c>
      <c r="F1545" t="s">
        <v>60</v>
      </c>
      <c r="G1545">
        <v>-400.34840000000003</v>
      </c>
      <c r="H1545">
        <v>8.0002019999999993E-2</v>
      </c>
      <c r="I1545">
        <v>275.86189999999999</v>
      </c>
      <c r="J1545">
        <v>-271.7011</v>
      </c>
      <c r="K1545">
        <v>1.119783</v>
      </c>
      <c r="L1545">
        <v>283.8064</v>
      </c>
      <c r="M1545">
        <v>-0.99987130000000002</v>
      </c>
      <c r="N1545">
        <v>-6.3737999999999998E-3</v>
      </c>
      <c r="O1545">
        <v>1.472799E-2</v>
      </c>
      <c r="P1545">
        <v>-0.97636599999999996</v>
      </c>
      <c r="Q1545">
        <v>0.20682249999999999</v>
      </c>
      <c r="R1545">
        <v>6.2721390000000002E-2</v>
      </c>
      <c r="S1545">
        <v>-3.0897220000000001</v>
      </c>
      <c r="T1545">
        <v>-2.4894949999999999E-2</v>
      </c>
      <c r="U1545">
        <v>-0.1900635</v>
      </c>
      <c r="V1545">
        <v>4.8484560000000003E-2</v>
      </c>
      <c r="W1545">
        <v>0.21301249999999999</v>
      </c>
      <c r="X1545">
        <v>0.97584579999999999</v>
      </c>
      <c r="Y1545">
        <v>-7.6088100000000006E-2</v>
      </c>
      <c r="Z1545">
        <v>-5.7375089999999905E-4</v>
      </c>
      <c r="AA1545">
        <v>0.99710089999999996</v>
      </c>
      <c r="AB1545">
        <v>40</v>
      </c>
      <c r="AC1545">
        <v>-128.6473</v>
      </c>
      <c r="AD1545">
        <v>-1.03978098</v>
      </c>
      <c r="AE1545">
        <v>-7.9444999999999997</v>
      </c>
      <c r="AF1545">
        <v>-9.8377525573478994</v>
      </c>
      <c r="AG1545">
        <v>-1.03978098</v>
      </c>
      <c r="AH1545">
        <v>128.50797416597501</v>
      </c>
      <c r="AI1545">
        <v>90.462227876823903</v>
      </c>
      <c r="AJ1545">
        <v>94.377661816700197</v>
      </c>
      <c r="AK1545">
        <v>128.888176122207</v>
      </c>
      <c r="AL1545">
        <v>77.701049526401306</v>
      </c>
      <c r="AM1545">
        <v>87.155618048795304</v>
      </c>
      <c r="AN1545">
        <v>1.00000005154614</v>
      </c>
    </row>
    <row r="1546" spans="1:40" x14ac:dyDescent="0.25">
      <c r="A1546" t="str">
        <f>"20190303171009634"</f>
        <v>20190303171009634</v>
      </c>
      <c r="B1546" t="str">
        <f>"1551604209622269"</f>
        <v>1551604209622269</v>
      </c>
      <c r="C1546" t="s">
        <v>40</v>
      </c>
      <c r="D1546">
        <v>4.8413810000000002</v>
      </c>
      <c r="E1546">
        <v>0.48326089999999999</v>
      </c>
      <c r="F1546" t="s">
        <v>53</v>
      </c>
      <c r="G1546">
        <v>-370.11630000000002</v>
      </c>
      <c r="H1546" s="1">
        <v>-1.4749019999999999E-6</v>
      </c>
      <c r="I1546">
        <v>283.09390000000002</v>
      </c>
      <c r="J1546">
        <v>-272.08960000000002</v>
      </c>
      <c r="K1546">
        <v>1.1197699999999999</v>
      </c>
      <c r="L1546">
        <v>283.81229999999999</v>
      </c>
      <c r="M1546">
        <v>-0.99986770000000003</v>
      </c>
      <c r="N1546">
        <v>-6.3598400000000003E-3</v>
      </c>
      <c r="O1546">
        <v>1.497355E-2</v>
      </c>
      <c r="P1546">
        <v>-0.97655800000000004</v>
      </c>
      <c r="Q1546">
        <v>0.20580760000000001</v>
      </c>
      <c r="R1546">
        <v>6.3071619999999995E-2</v>
      </c>
      <c r="S1546">
        <v>-3.0814819999999998</v>
      </c>
      <c r="T1546">
        <v>-3.5061599999999998E-2</v>
      </c>
      <c r="U1546">
        <v>-2.2308350000000001E-2</v>
      </c>
      <c r="V1546">
        <v>4.8591910000000002E-2</v>
      </c>
      <c r="W1546">
        <v>0.21198500000000001</v>
      </c>
      <c r="X1546">
        <v>0.97606409999999999</v>
      </c>
      <c r="Y1546">
        <v>-2.220952E-2</v>
      </c>
      <c r="Z1546">
        <v>-2.721078E-4</v>
      </c>
      <c r="AA1546">
        <v>0.99975329999999996</v>
      </c>
      <c r="AB1546">
        <v>40</v>
      </c>
      <c r="AC1546">
        <v>-98.026700000000005</v>
      </c>
      <c r="AD1546">
        <v>-1.119771474902</v>
      </c>
      <c r="AE1546">
        <v>-0.71839999999997395</v>
      </c>
      <c r="AF1546">
        <v>-2.1858715689390502</v>
      </c>
      <c r="AG1546">
        <v>-1.119771474902</v>
      </c>
      <c r="AH1546">
        <v>97.992166479580405</v>
      </c>
      <c r="AI1546">
        <v>90.654536331378907</v>
      </c>
      <c r="AJ1546">
        <v>91.277861827873195</v>
      </c>
      <c r="AK1546">
        <v>98.022939223600702</v>
      </c>
      <c r="AL1546">
        <v>77.761295903657398</v>
      </c>
      <c r="AM1546">
        <v>87.149967169949306</v>
      </c>
      <c r="AN1546">
        <v>0.99999997062562795</v>
      </c>
    </row>
    <row r="1547" spans="1:40" x14ac:dyDescent="0.25">
      <c r="A1547" t="str">
        <f>"20190303171009658"</f>
        <v>20190303171009658</v>
      </c>
      <c r="B1547" t="str">
        <f>"1551604209641788"</f>
        <v>1551604209641788</v>
      </c>
      <c r="C1547" t="s">
        <v>40</v>
      </c>
      <c r="D1547">
        <v>4.8356570000000003</v>
      </c>
      <c r="E1547">
        <v>0.48533720000000002</v>
      </c>
      <c r="F1547" t="s">
        <v>53</v>
      </c>
      <c r="G1547">
        <v>-361.49619999999999</v>
      </c>
      <c r="H1547" s="1">
        <v>-7.4058940000000004E-7</v>
      </c>
      <c r="I1547">
        <v>284.18259999999998</v>
      </c>
      <c r="J1547">
        <v>-272.49610000000001</v>
      </c>
      <c r="K1547">
        <v>1.119761</v>
      </c>
      <c r="L1547">
        <v>283.8186</v>
      </c>
      <c r="M1547">
        <v>-0.99986390000000003</v>
      </c>
      <c r="N1547">
        <v>-6.347091E-3</v>
      </c>
      <c r="O1547">
        <v>1.5230189999999999E-2</v>
      </c>
      <c r="P1547">
        <v>-0.97668460000000001</v>
      </c>
      <c r="Q1547">
        <v>0.20523069999999999</v>
      </c>
      <c r="R1547">
        <v>6.299051E-2</v>
      </c>
      <c r="S1547">
        <v>-3.0793149999999998</v>
      </c>
      <c r="T1547">
        <v>-3.8566830000000003E-2</v>
      </c>
      <c r="U1547">
        <v>1.275635E-2</v>
      </c>
      <c r="V1547">
        <v>4.8258219999999998E-2</v>
      </c>
      <c r="W1547">
        <v>0.2113969</v>
      </c>
      <c r="X1547">
        <v>0.97620819999999997</v>
      </c>
      <c r="Y1547">
        <v>-1.108669E-2</v>
      </c>
      <c r="Z1547">
        <v>-1.9867649999999999E-4</v>
      </c>
      <c r="AA1547">
        <v>0.99993849999999995</v>
      </c>
      <c r="AB1547">
        <v>41</v>
      </c>
      <c r="AC1547">
        <v>-89.000099999999904</v>
      </c>
      <c r="AD1547">
        <v>-1.1197617405894</v>
      </c>
      <c r="AE1547">
        <v>0.36399999999997501</v>
      </c>
      <c r="AF1547">
        <v>-0.99140098293176704</v>
      </c>
      <c r="AG1547">
        <v>-1.1197617405894</v>
      </c>
      <c r="AH1547">
        <v>88.981235565149206</v>
      </c>
      <c r="AI1547">
        <v>90.720941373790197</v>
      </c>
      <c r="AJ1547">
        <v>90.638345168878701</v>
      </c>
      <c r="AK1547">
        <v>88.993803295314905</v>
      </c>
      <c r="AL1547">
        <v>77.795773001997901</v>
      </c>
      <c r="AM1547">
        <v>87.169924091921601</v>
      </c>
      <c r="AN1547">
        <v>0.99999997743720803</v>
      </c>
    </row>
    <row r="1548" spans="1:40" x14ac:dyDescent="0.25">
      <c r="A1548" t="str">
        <f>"20190303171009680"</f>
        <v>20190303171009680</v>
      </c>
      <c r="B1548" t="str">
        <f>"1551604209672045"</f>
        <v>1551604209672045</v>
      </c>
      <c r="C1548" t="s">
        <v>40</v>
      </c>
      <c r="D1548">
        <v>4.8426689999999999</v>
      </c>
      <c r="E1548">
        <v>0.48678949999999999</v>
      </c>
      <c r="F1548" t="s">
        <v>53</v>
      </c>
      <c r="G1548">
        <v>-359.62939999999998</v>
      </c>
      <c r="H1548" s="1">
        <v>3.5875010000000002E-6</v>
      </c>
      <c r="I1548">
        <v>284.6773</v>
      </c>
      <c r="J1548">
        <v>-272.9271</v>
      </c>
      <c r="K1548">
        <v>1.1197469999999901</v>
      </c>
      <c r="L1548">
        <v>283.82530000000003</v>
      </c>
      <c r="M1548">
        <v>-0.99985990000000002</v>
      </c>
      <c r="N1548">
        <v>-6.3312209999999997E-3</v>
      </c>
      <c r="O1548">
        <v>1.5502459999999999E-2</v>
      </c>
      <c r="P1548">
        <v>-0.97673120000000002</v>
      </c>
      <c r="Q1548">
        <v>0.20507829999999999</v>
      </c>
      <c r="R1548">
        <v>6.2764159999999999E-2</v>
      </c>
      <c r="S1548">
        <v>-3.0779719999999999</v>
      </c>
      <c r="T1548">
        <v>-3.9555310000000003E-2</v>
      </c>
      <c r="U1548">
        <v>3.0334469999999999E-2</v>
      </c>
      <c r="V1548">
        <v>4.7765490000000001E-2</v>
      </c>
      <c r="W1548">
        <v>0.2112291</v>
      </c>
      <c r="X1548">
        <v>0.97626880000000005</v>
      </c>
      <c r="Y1548">
        <v>-5.6473089999999997E-3</v>
      </c>
      <c r="Z1548">
        <v>-1.5521339999999999E-4</v>
      </c>
      <c r="AA1548">
        <v>0.99998399999999998</v>
      </c>
      <c r="AB1548">
        <v>41</v>
      </c>
      <c r="AC1548">
        <v>-86.702299999999894</v>
      </c>
      <c r="AD1548">
        <v>-1.11974341249899</v>
      </c>
      <c r="AE1548">
        <v>0.851999999999975</v>
      </c>
      <c r="AF1548">
        <v>-0.49214603340658403</v>
      </c>
      <c r="AG1548">
        <v>-1.11974341249899</v>
      </c>
      <c r="AH1548">
        <v>86.690630970924403</v>
      </c>
      <c r="AI1548">
        <v>90.740010422890407</v>
      </c>
      <c r="AJ1548">
        <v>90.325266841187201</v>
      </c>
      <c r="AK1548">
        <v>86.699259115433193</v>
      </c>
      <c r="AL1548">
        <v>77.805609909504994</v>
      </c>
      <c r="AM1548">
        <v>87.198947305593506</v>
      </c>
      <c r="AN1548">
        <v>1.00000002228759</v>
      </c>
    </row>
    <row r="1549" spans="1:40" x14ac:dyDescent="0.25">
      <c r="A1549" t="str">
        <f>"20190303171009702"</f>
        <v>20190303171009702</v>
      </c>
      <c r="B1549" t="str">
        <f>"1551604209692540"</f>
        <v>1551604209692540</v>
      </c>
      <c r="C1549" t="s">
        <v>40</v>
      </c>
      <c r="D1549">
        <v>4.9612030000000003</v>
      </c>
      <c r="E1549">
        <v>0.48714970000000002</v>
      </c>
      <c r="F1549" t="s">
        <v>53</v>
      </c>
      <c r="G1549">
        <v>-357.99939999999998</v>
      </c>
      <c r="H1549" s="1">
        <v>2.7200760000000002E-6</v>
      </c>
      <c r="I1549">
        <v>284.96089999999998</v>
      </c>
      <c r="J1549">
        <v>-273.32729999999998</v>
      </c>
      <c r="K1549">
        <v>1.119734</v>
      </c>
      <c r="L1549">
        <v>283.83170000000001</v>
      </c>
      <c r="M1549">
        <v>-0.99985590000000002</v>
      </c>
      <c r="N1549">
        <v>-6.3157939999999996E-3</v>
      </c>
      <c r="O1549">
        <v>1.5754870000000001E-2</v>
      </c>
      <c r="P1549">
        <v>-0.97684219999999999</v>
      </c>
      <c r="Q1549">
        <v>0.20453640000000001</v>
      </c>
      <c r="R1549">
        <v>6.2803699999999907E-2</v>
      </c>
      <c r="S1549">
        <v>-3.0773320000000002</v>
      </c>
      <c r="T1549">
        <v>-4.0504690000000003E-2</v>
      </c>
      <c r="U1549">
        <v>4.1076660000000001E-2</v>
      </c>
      <c r="V1549">
        <v>4.7556679999999997E-2</v>
      </c>
      <c r="W1549">
        <v>0.210673</v>
      </c>
      <c r="X1549">
        <v>0.97639909999999996</v>
      </c>
      <c r="Y1549">
        <v>-2.4078110000000002E-3</v>
      </c>
      <c r="Z1549">
        <v>-1.312846E-4</v>
      </c>
      <c r="AA1549">
        <v>0.99999709999999997</v>
      </c>
      <c r="AB1549">
        <v>41</v>
      </c>
      <c r="AC1549">
        <v>-84.6721</v>
      </c>
      <c r="AD1549">
        <v>-1.119731279924</v>
      </c>
      <c r="AE1549">
        <v>1.12919999999996</v>
      </c>
      <c r="AF1549">
        <v>-0.204928909265229</v>
      </c>
      <c r="AG1549">
        <v>-1.119731279924</v>
      </c>
      <c r="AH1549">
        <v>84.664577459799403</v>
      </c>
      <c r="AI1549">
        <v>90.757718875596396</v>
      </c>
      <c r="AJ1549">
        <v>90.138683012698905</v>
      </c>
      <c r="AK1549">
        <v>84.6722296295749</v>
      </c>
      <c r="AL1549">
        <v>77.838205041359501</v>
      </c>
      <c r="AM1549">
        <v>87.211544499468403</v>
      </c>
      <c r="AN1549">
        <v>0.99999997661121598</v>
      </c>
    </row>
    <row r="1550" spans="1:40" x14ac:dyDescent="0.25">
      <c r="A1550" t="str">
        <f>"20190303171009715"</f>
        <v>20190303171009715</v>
      </c>
      <c r="B1550" t="str">
        <f>"1551604209702301"</f>
        <v>1551604209702301</v>
      </c>
      <c r="C1550" t="s">
        <v>40</v>
      </c>
      <c r="D1550">
        <v>5.0217809999999998</v>
      </c>
      <c r="E1550">
        <v>0.48729410000000001</v>
      </c>
      <c r="F1550" t="s">
        <v>53</v>
      </c>
      <c r="G1550">
        <v>-354.68290000000002</v>
      </c>
      <c r="H1550" s="1">
        <v>9.5522530000000006E-7</v>
      </c>
      <c r="I1550">
        <v>285.0016</v>
      </c>
      <c r="J1550">
        <v>-273.57029999999997</v>
      </c>
      <c r="K1550">
        <v>1.1197319999999999</v>
      </c>
      <c r="L1550">
        <v>283.8356</v>
      </c>
      <c r="M1550">
        <v>-0.99985360000000001</v>
      </c>
      <c r="N1550">
        <v>-6.306926E-3</v>
      </c>
      <c r="O1550">
        <v>1.5908149999999999E-2</v>
      </c>
      <c r="P1550">
        <v>-0.97700549999999997</v>
      </c>
      <c r="Q1550">
        <v>0.20390949999999999</v>
      </c>
      <c r="R1550">
        <v>6.2297190000000002E-2</v>
      </c>
      <c r="S1550">
        <v>-3.077118</v>
      </c>
      <c r="T1550">
        <v>-4.2351720000000002E-2</v>
      </c>
      <c r="U1550">
        <v>4.4250490000000003E-2</v>
      </c>
      <c r="V1550">
        <v>4.6897590000000003E-2</v>
      </c>
      <c r="W1550">
        <v>0.21003910000000001</v>
      </c>
      <c r="X1550">
        <v>0.97656759999999998</v>
      </c>
      <c r="Y1550">
        <v>-1.528972E-3</v>
      </c>
      <c r="Z1550">
        <v>-1.339283E-4</v>
      </c>
      <c r="AA1550">
        <v>0.99999879999999997</v>
      </c>
      <c r="AB1550">
        <v>41</v>
      </c>
      <c r="AC1550">
        <v>-81.1126</v>
      </c>
      <c r="AD1550">
        <v>-1.1197310447747</v>
      </c>
      <c r="AE1550">
        <v>1.1659999999999899</v>
      </c>
      <c r="AF1550">
        <v>-0.124500861485417</v>
      </c>
      <c r="AG1550">
        <v>-1.1197310447747</v>
      </c>
      <c r="AH1550">
        <v>81.105431726503795</v>
      </c>
      <c r="AI1550">
        <v>90.790966899541502</v>
      </c>
      <c r="AJ1550">
        <v>90.087951795015897</v>
      </c>
      <c r="AK1550">
        <v>81.113256337171705</v>
      </c>
      <c r="AL1550">
        <v>77.875356908441404</v>
      </c>
      <c r="AM1550">
        <v>87.250603829331993</v>
      </c>
      <c r="AN1550">
        <v>1.0000000424231801</v>
      </c>
    </row>
    <row r="1551" spans="1:40" x14ac:dyDescent="0.25">
      <c r="A1551" t="str">
        <f>"20190303171009735"</f>
        <v>20190303171009735</v>
      </c>
      <c r="B1551" t="str">
        <f>"1551604209721820"</f>
        <v>1551604209721820</v>
      </c>
      <c r="C1551" t="s">
        <v>40</v>
      </c>
      <c r="D1551">
        <v>4.9048420000000004</v>
      </c>
      <c r="E1551">
        <v>0.48757210000000001</v>
      </c>
      <c r="F1551" t="s">
        <v>53</v>
      </c>
      <c r="G1551">
        <v>-351.73579999999998</v>
      </c>
      <c r="H1551" s="1">
        <v>-6.1308919999999905E-7</v>
      </c>
      <c r="I1551">
        <v>284.95350000000002</v>
      </c>
      <c r="J1551">
        <v>-273.93099999999998</v>
      </c>
      <c r="K1551">
        <v>1.1197220000000001</v>
      </c>
      <c r="L1551">
        <v>283.8415</v>
      </c>
      <c r="M1551">
        <v>-0.99985009999999996</v>
      </c>
      <c r="N1551">
        <v>-6.2921660000000001E-3</v>
      </c>
      <c r="O1551">
        <v>1.6134929999999999E-2</v>
      </c>
      <c r="P1551">
        <v>-0.97731230000000002</v>
      </c>
      <c r="Q1551">
        <v>0.2028721</v>
      </c>
      <c r="R1551">
        <v>6.0858130000000003E-2</v>
      </c>
      <c r="S1551">
        <v>-3.076965</v>
      </c>
      <c r="T1551">
        <v>-4.4077989999999997E-2</v>
      </c>
      <c r="U1551">
        <v>4.400635E-2</v>
      </c>
      <c r="V1551">
        <v>4.5232000000000001E-2</v>
      </c>
      <c r="W1551">
        <v>0.20899000000000001</v>
      </c>
      <c r="X1551">
        <v>0.97687109999999999</v>
      </c>
      <c r="Y1551">
        <v>-1.834266E-3</v>
      </c>
      <c r="Z1551">
        <v>-1.484829E-4</v>
      </c>
      <c r="AA1551">
        <v>0.99999830000000001</v>
      </c>
      <c r="AB1551">
        <v>41</v>
      </c>
      <c r="AC1551">
        <v>-77.8048</v>
      </c>
      <c r="AD1551">
        <v>-1.1197226130892</v>
      </c>
      <c r="AE1551">
        <v>1.1120000000000201</v>
      </c>
      <c r="AF1551">
        <v>-0.14351480353910201</v>
      </c>
      <c r="AG1551">
        <v>-1.1197226130892</v>
      </c>
      <c r="AH1551">
        <v>77.796504238490897</v>
      </c>
      <c r="AI1551">
        <v>90.824597993231606</v>
      </c>
      <c r="AJ1551">
        <v>90.105696050141503</v>
      </c>
      <c r="AK1551">
        <v>77.804694247575</v>
      </c>
      <c r="AL1551">
        <v>77.936829148225101</v>
      </c>
      <c r="AM1551">
        <v>87.348930704716594</v>
      </c>
      <c r="AN1551">
        <v>0.99999994996960295</v>
      </c>
    </row>
    <row r="1552" spans="1:40" x14ac:dyDescent="0.25">
      <c r="A1552" t="str">
        <f>"20190303171009759"</f>
        <v>20190303171009759</v>
      </c>
      <c r="B1552" t="str">
        <f>"1551604209752076"</f>
        <v>1551604209752076</v>
      </c>
      <c r="C1552" t="s">
        <v>40</v>
      </c>
      <c r="D1552">
        <v>4.9042760000000003</v>
      </c>
      <c r="E1552">
        <v>0.4877764</v>
      </c>
      <c r="F1552" t="s">
        <v>53</v>
      </c>
      <c r="G1552">
        <v>-347.1848</v>
      </c>
      <c r="H1552" s="1">
        <v>2.286615E-6</v>
      </c>
      <c r="I1552">
        <v>284.8485</v>
      </c>
      <c r="J1552">
        <v>-274.35770000000002</v>
      </c>
      <c r="K1552">
        <v>1.1197159999999999</v>
      </c>
      <c r="L1552">
        <v>283.84859999999998</v>
      </c>
      <c r="M1552">
        <v>-0.99984600000000001</v>
      </c>
      <c r="N1552">
        <v>-6.2738280000000004E-3</v>
      </c>
      <c r="O1552">
        <v>1.6403210000000001E-2</v>
      </c>
      <c r="P1552">
        <v>-0.97725680000000004</v>
      </c>
      <c r="Q1552">
        <v>0.2033218</v>
      </c>
      <c r="R1552">
        <v>6.0246620000000001E-2</v>
      </c>
      <c r="S1552">
        <v>-3.0767519999999999</v>
      </c>
      <c r="T1552">
        <v>-4.7029609999999999E-2</v>
      </c>
      <c r="U1552">
        <v>4.2297359999999999E-2</v>
      </c>
      <c r="V1552">
        <v>4.4360150000000001E-2</v>
      </c>
      <c r="W1552">
        <v>0.2094222</v>
      </c>
      <c r="X1552">
        <v>0.97681859999999998</v>
      </c>
      <c r="Y1552">
        <v>-2.656617E-3</v>
      </c>
      <c r="Z1552">
        <v>-1.7641550000000001E-4</v>
      </c>
      <c r="AA1552">
        <v>0.99999649999999995</v>
      </c>
      <c r="AB1552">
        <v>41</v>
      </c>
      <c r="AC1552">
        <v>-72.827099999999902</v>
      </c>
      <c r="AD1552">
        <v>-1.1197137133849999</v>
      </c>
      <c r="AE1552">
        <v>0.99990000000002499</v>
      </c>
      <c r="AF1552">
        <v>-0.194809948323617</v>
      </c>
      <c r="AG1552">
        <v>-1.1197137133849999</v>
      </c>
      <c r="AH1552">
        <v>72.816493424102106</v>
      </c>
      <c r="AI1552">
        <v>90.880976020015595</v>
      </c>
      <c r="AJ1552">
        <v>90.153286167612507</v>
      </c>
      <c r="AK1552">
        <v>72.825362507152803</v>
      </c>
      <c r="AL1552">
        <v>77.911506509287705</v>
      </c>
      <c r="AM1552">
        <v>87.399819892398497</v>
      </c>
      <c r="AN1552">
        <v>1.0000000290334099</v>
      </c>
    </row>
    <row r="1553" spans="1:40" x14ac:dyDescent="0.25">
      <c r="A1553" t="str">
        <f>"20190303171009781"</f>
        <v>20190303171009781</v>
      </c>
      <c r="B1553" t="str">
        <f>"1551604209772572"</f>
        <v>1551604209772572</v>
      </c>
      <c r="C1553" t="s">
        <v>40</v>
      </c>
      <c r="D1553">
        <v>4.8998480000000004</v>
      </c>
      <c r="E1553">
        <v>0.48781590000000002</v>
      </c>
      <c r="F1553" t="s">
        <v>53</v>
      </c>
      <c r="G1553">
        <v>-349.56810000000002</v>
      </c>
      <c r="H1553" s="1">
        <v>3.5548700000000001E-6</v>
      </c>
      <c r="I1553">
        <v>284.89370000000002</v>
      </c>
      <c r="J1553">
        <v>-274.7851</v>
      </c>
      <c r="K1553">
        <v>1.119707</v>
      </c>
      <c r="L1553">
        <v>283.85579999999999</v>
      </c>
      <c r="M1553">
        <v>-0.99984150000000005</v>
      </c>
      <c r="N1553">
        <v>-6.2574869999999999E-3</v>
      </c>
      <c r="O1553">
        <v>1.6672079999999999E-2</v>
      </c>
      <c r="P1553">
        <v>-0.97716979999999998</v>
      </c>
      <c r="Q1553">
        <v>0.20389180000000001</v>
      </c>
      <c r="R1553">
        <v>5.9729959999999999E-2</v>
      </c>
      <c r="S1553">
        <v>-3.076721</v>
      </c>
      <c r="T1553">
        <v>-4.5805449999999998E-2</v>
      </c>
      <c r="U1553">
        <v>4.2755130000000002E-2</v>
      </c>
      <c r="V1553">
        <v>4.3582929999999999E-2</v>
      </c>
      <c r="W1553">
        <v>0.2099761</v>
      </c>
      <c r="X1553">
        <v>0.97673460000000001</v>
      </c>
      <c r="Y1553">
        <v>-2.776681E-3</v>
      </c>
      <c r="Z1553">
        <v>-1.7319939999999999E-4</v>
      </c>
      <c r="AA1553">
        <v>0.99999610000000005</v>
      </c>
      <c r="AB1553">
        <v>41</v>
      </c>
      <c r="AC1553">
        <v>-74.783000000000001</v>
      </c>
      <c r="AD1553">
        <v>-1.1197034451299901</v>
      </c>
      <c r="AE1553">
        <v>1.03790000000003</v>
      </c>
      <c r="AF1553">
        <v>-0.209009896992703</v>
      </c>
      <c r="AG1553">
        <v>-1.1197034451299901</v>
      </c>
      <c r="AH1553">
        <v>74.773150337823196</v>
      </c>
      <c r="AI1553">
        <v>90.857918064920895</v>
      </c>
      <c r="AJ1553">
        <v>90.160155800986402</v>
      </c>
      <c r="AK1553">
        <v>74.781825548623601</v>
      </c>
      <c r="AL1553">
        <v>77.879047818050196</v>
      </c>
      <c r="AM1553">
        <v>87.445096509661397</v>
      </c>
      <c r="AN1553">
        <v>0.99999995659787599</v>
      </c>
    </row>
    <row r="1554" spans="1:40" x14ac:dyDescent="0.25">
      <c r="A1554" t="str">
        <f>"20190303171009802"</f>
        <v>20190303171009802</v>
      </c>
      <c r="B1554" t="str">
        <f>"1551604209792093"</f>
        <v>1551604209792093</v>
      </c>
      <c r="C1554" t="s">
        <v>40</v>
      </c>
      <c r="D1554">
        <v>4.954796</v>
      </c>
      <c r="E1554">
        <v>0.48792649999999999</v>
      </c>
      <c r="F1554" t="s">
        <v>53</v>
      </c>
      <c r="G1554">
        <v>-352.5068</v>
      </c>
      <c r="H1554" s="1">
        <v>-2.02813E-7</v>
      </c>
      <c r="I1554">
        <v>284.91419999999999</v>
      </c>
      <c r="J1554">
        <v>-275.17329999999998</v>
      </c>
      <c r="K1554">
        <v>1.1196980000000001</v>
      </c>
      <c r="L1554">
        <v>283.86239999999998</v>
      </c>
      <c r="M1554">
        <v>-0.99983750000000005</v>
      </c>
      <c r="N1554">
        <v>-6.2447020000000004E-3</v>
      </c>
      <c r="O1554">
        <v>1.691602E-2</v>
      </c>
      <c r="P1554">
        <v>-0.97710819999999998</v>
      </c>
      <c r="Q1554">
        <v>0.2042332</v>
      </c>
      <c r="R1554">
        <v>5.9568169999999997E-2</v>
      </c>
      <c r="S1554">
        <v>-3.0767820000000001</v>
      </c>
      <c r="T1554">
        <v>-4.4326070000000002E-2</v>
      </c>
      <c r="U1554">
        <v>4.1900630000000001E-2</v>
      </c>
      <c r="V1554">
        <v>4.3184350000000003E-2</v>
      </c>
      <c r="W1554">
        <v>0.2103053</v>
      </c>
      <c r="X1554">
        <v>0.97668149999999998</v>
      </c>
      <c r="Y1554">
        <v>-3.2986130000000002E-3</v>
      </c>
      <c r="Z1554">
        <v>-1.7208729999999999E-4</v>
      </c>
      <c r="AA1554">
        <v>0.99999450000000001</v>
      </c>
      <c r="AB1554">
        <v>41</v>
      </c>
      <c r="AC1554">
        <v>-77.333500000000001</v>
      </c>
      <c r="AD1554">
        <v>-1.11969820281299</v>
      </c>
      <c r="AE1554">
        <v>1.0518000000000101</v>
      </c>
      <c r="AF1554">
        <v>-0.25649716892021102</v>
      </c>
      <c r="AG1554">
        <v>-1.11969820281299</v>
      </c>
      <c r="AH1554">
        <v>77.3240199076197</v>
      </c>
      <c r="AI1554">
        <v>90.829614717414898</v>
      </c>
      <c r="AJ1554">
        <v>90.1900593289147</v>
      </c>
      <c r="AK1554">
        <v>77.332551810586295</v>
      </c>
      <c r="AL1554">
        <v>77.859755552868194</v>
      </c>
      <c r="AM1554">
        <v>87.4682939341523</v>
      </c>
      <c r="AN1554">
        <v>0.99999997986763101</v>
      </c>
    </row>
    <row r="1555" spans="1:40" x14ac:dyDescent="0.25">
      <c r="A1555" t="str">
        <f>"20190303171009818"</f>
        <v>20190303171009818</v>
      </c>
      <c r="B1555" t="str">
        <f>"1551604209812588"</f>
        <v>1551604209812588</v>
      </c>
      <c r="C1555" t="s">
        <v>40</v>
      </c>
      <c r="D1555">
        <v>5.01234</v>
      </c>
      <c r="E1555">
        <v>0.4880044</v>
      </c>
      <c r="F1555" t="s">
        <v>53</v>
      </c>
      <c r="G1555">
        <v>-355.51510000000002</v>
      </c>
      <c r="H1555" s="1">
        <v>1.3980940000000001E-6</v>
      </c>
      <c r="I1555">
        <v>284.97809999999998</v>
      </c>
      <c r="J1555">
        <v>-275.4624</v>
      </c>
      <c r="K1555">
        <v>1.11969599999999</v>
      </c>
      <c r="L1555">
        <v>283.86739999999998</v>
      </c>
      <c r="M1555">
        <v>-0.99983440000000001</v>
      </c>
      <c r="N1555">
        <v>-6.2362619999999898E-3</v>
      </c>
      <c r="O1555">
        <v>1.7097250000000001E-2</v>
      </c>
      <c r="P1555">
        <v>-0.97711780000000004</v>
      </c>
      <c r="Q1555">
        <v>0.20427529999999999</v>
      </c>
      <c r="R1555">
        <v>5.9266819999999998E-2</v>
      </c>
      <c r="S1555">
        <v>-3.07666</v>
      </c>
      <c r="T1555">
        <v>-4.2878390000000002E-2</v>
      </c>
      <c r="U1555">
        <v>4.2724610000000003E-2</v>
      </c>
      <c r="V1555">
        <v>4.2706229999999998E-2</v>
      </c>
      <c r="W1555">
        <v>0.21033879999999999</v>
      </c>
      <c r="X1555">
        <v>0.97669530000000004</v>
      </c>
      <c r="Y1555">
        <v>-3.211659E-3</v>
      </c>
      <c r="Z1555">
        <v>-1.6401029999999999E-4</v>
      </c>
      <c r="AA1555">
        <v>0.99999479999999996</v>
      </c>
      <c r="AB1555">
        <v>41</v>
      </c>
      <c r="AC1555">
        <v>-80.052700000000002</v>
      </c>
      <c r="AD1555">
        <v>-1.1196946019059999</v>
      </c>
      <c r="AE1555">
        <v>1.1107</v>
      </c>
      <c r="AF1555">
        <v>-0.25811948528838302</v>
      </c>
      <c r="AG1555">
        <v>-1.1196946019059999</v>
      </c>
      <c r="AH1555">
        <v>80.044332151552695</v>
      </c>
      <c r="AI1555">
        <v>90.801421610412902</v>
      </c>
      <c r="AJ1555">
        <v>90.184761437282006</v>
      </c>
      <c r="AK1555">
        <v>80.052579291727497</v>
      </c>
      <c r="AL1555">
        <v>77.857792119013496</v>
      </c>
      <c r="AM1555">
        <v>87.496323442294397</v>
      </c>
      <c r="AN1555">
        <v>0.99999997095417104</v>
      </c>
    </row>
    <row r="1556" spans="1:40" x14ac:dyDescent="0.25">
      <c r="A1556" t="str">
        <f>"20190303171009835"</f>
        <v>20190303171009835</v>
      </c>
      <c r="B1556" t="str">
        <f>"1551604209822348"</f>
        <v>1551604209822348</v>
      </c>
      <c r="C1556" t="s">
        <v>40</v>
      </c>
      <c r="D1556">
        <v>4.9550470000000004</v>
      </c>
      <c r="E1556">
        <v>0.48811640000000001</v>
      </c>
      <c r="F1556" t="s">
        <v>53</v>
      </c>
      <c r="G1556">
        <v>-356.07499999999999</v>
      </c>
      <c r="H1556" s="1">
        <v>1.696025E-6</v>
      </c>
      <c r="I1556">
        <v>284.97969999999998</v>
      </c>
      <c r="J1556">
        <v>-275.78899999999999</v>
      </c>
      <c r="K1556">
        <v>1.119693</v>
      </c>
      <c r="L1556">
        <v>283.87310000000002</v>
      </c>
      <c r="M1556">
        <v>-0.99983109999999997</v>
      </c>
      <c r="N1556">
        <v>-6.2255059999999996E-3</v>
      </c>
      <c r="O1556">
        <v>1.7297839999999998E-2</v>
      </c>
      <c r="P1556">
        <v>-0.97724529999999998</v>
      </c>
      <c r="Q1556">
        <v>0.2038971</v>
      </c>
      <c r="R1556">
        <v>5.8464059999999998E-2</v>
      </c>
      <c r="S1556">
        <v>-3.07666</v>
      </c>
      <c r="T1556">
        <v>-4.2734269999999998E-2</v>
      </c>
      <c r="U1556">
        <v>4.244995E-2</v>
      </c>
      <c r="V1556">
        <v>4.1704529999999997E-2</v>
      </c>
      <c r="W1556">
        <v>0.2099519</v>
      </c>
      <c r="X1556">
        <v>0.97682179999999996</v>
      </c>
      <c r="Y1556">
        <v>-3.5014949999999999E-3</v>
      </c>
      <c r="Z1556">
        <v>-1.67752599999999E-4</v>
      </c>
      <c r="AA1556">
        <v>0.99999389999999999</v>
      </c>
      <c r="AB1556">
        <v>42</v>
      </c>
      <c r="AC1556">
        <v>-80.286000000000001</v>
      </c>
      <c r="AD1556">
        <v>-1.1196913039749901</v>
      </c>
      <c r="AE1556">
        <v>1.1065999999999501</v>
      </c>
      <c r="AF1556">
        <v>-0.28231183163888701</v>
      </c>
      <c r="AG1556">
        <v>-1.1196913039749901</v>
      </c>
      <c r="AH1556">
        <v>80.277518481597994</v>
      </c>
      <c r="AI1556">
        <v>90.799090841512793</v>
      </c>
      <c r="AJ1556">
        <v>90.201491153253897</v>
      </c>
      <c r="AK1556">
        <v>80.285823045851501</v>
      </c>
      <c r="AL1556">
        <v>77.880465889171504</v>
      </c>
      <c r="AM1556">
        <v>87.555292791463202</v>
      </c>
      <c r="AN1556">
        <v>0.99999994854568397</v>
      </c>
    </row>
    <row r="1557" spans="1:40" x14ac:dyDescent="0.25">
      <c r="A1557" t="str">
        <f>"20190303171009849"</f>
        <v>20190303171009849</v>
      </c>
      <c r="B1557" t="str">
        <f>"1551604209841869"</f>
        <v>1551604209841869</v>
      </c>
      <c r="C1557" t="s">
        <v>40</v>
      </c>
      <c r="D1557">
        <v>5.0137519999999904</v>
      </c>
      <c r="E1557">
        <v>0.48819570000000001</v>
      </c>
      <c r="F1557" t="s">
        <v>53</v>
      </c>
      <c r="G1557">
        <v>-355.06079999999997</v>
      </c>
      <c r="H1557" s="1">
        <v>1.156312E-6</v>
      </c>
      <c r="I1557">
        <v>284.94810000000001</v>
      </c>
      <c r="J1557">
        <v>-276.05020000000002</v>
      </c>
      <c r="K1557">
        <v>1.1196919999999999</v>
      </c>
      <c r="L1557">
        <v>283.8777</v>
      </c>
      <c r="M1557">
        <v>-0.99982850000000001</v>
      </c>
      <c r="N1557">
        <v>-6.2163369999999997E-3</v>
      </c>
      <c r="O1557">
        <v>1.745025E-2</v>
      </c>
      <c r="P1557">
        <v>-0.97725799999999996</v>
      </c>
      <c r="Q1557">
        <v>0.20389940000000001</v>
      </c>
      <c r="R1557">
        <v>5.8242019999999999E-2</v>
      </c>
      <c r="S1557">
        <v>-3.0764469999999999</v>
      </c>
      <c r="T1557">
        <v>-4.3453930000000002E-2</v>
      </c>
      <c r="U1557">
        <v>4.1717530000000003E-2</v>
      </c>
      <c r="V1557">
        <v>4.1331359999999998E-2</v>
      </c>
      <c r="W1557">
        <v>0.20994579999999999</v>
      </c>
      <c r="X1557">
        <v>0.97683900000000001</v>
      </c>
      <c r="Y1557">
        <v>-3.8908929999999999E-3</v>
      </c>
      <c r="Z1557">
        <v>-1.7753389999999999E-4</v>
      </c>
      <c r="AA1557">
        <v>0.9999924</v>
      </c>
      <c r="AB1557">
        <v>42</v>
      </c>
      <c r="AC1557">
        <v>-79.010599999999897</v>
      </c>
      <c r="AD1557">
        <v>-1.119690843688</v>
      </c>
      <c r="AE1557">
        <v>1.0704</v>
      </c>
      <c r="AF1557">
        <v>-0.30848228882024697</v>
      </c>
      <c r="AG1557">
        <v>-1.119690843688</v>
      </c>
      <c r="AH1557">
        <v>79.001385095622396</v>
      </c>
      <c r="AI1557">
        <v>90.811995581337897</v>
      </c>
      <c r="AJ1557">
        <v>90.223725740417095</v>
      </c>
      <c r="AK1557">
        <v>79.009921629721802</v>
      </c>
      <c r="AL1557">
        <v>77.880823699508596</v>
      </c>
      <c r="AM1557">
        <v>87.577184330981694</v>
      </c>
      <c r="AN1557">
        <v>0.99999997608904401</v>
      </c>
    </row>
    <row r="1558" spans="1:40" x14ac:dyDescent="0.25">
      <c r="A1558" t="str">
        <f>"20190303171009870"</f>
        <v>20190303171009870</v>
      </c>
      <c r="B1558" t="str">
        <f>"1551604209862365"</f>
        <v>1551604209862365</v>
      </c>
      <c r="C1558" t="s">
        <v>40</v>
      </c>
      <c r="D1558">
        <v>4.9579139999999997</v>
      </c>
      <c r="E1558">
        <v>0.48821409999999998</v>
      </c>
      <c r="F1558" t="s">
        <v>53</v>
      </c>
      <c r="G1558">
        <v>-355.60180000000003</v>
      </c>
      <c r="H1558" s="1">
        <v>1.444198E-6</v>
      </c>
      <c r="I1558">
        <v>284.96519999999998</v>
      </c>
      <c r="J1558">
        <v>-276.4375</v>
      </c>
      <c r="K1558">
        <v>1.119704</v>
      </c>
      <c r="L1558">
        <v>283.88470000000001</v>
      </c>
      <c r="M1558">
        <v>-0.99982499999999996</v>
      </c>
      <c r="N1558">
        <v>-6.203493E-3</v>
      </c>
      <c r="O1558">
        <v>1.7657030000000001E-2</v>
      </c>
      <c r="P1558">
        <v>-0.97735130000000003</v>
      </c>
      <c r="Q1558">
        <v>0.20359469999999999</v>
      </c>
      <c r="R1558">
        <v>5.773785E-2</v>
      </c>
      <c r="S1558">
        <v>-3.076355</v>
      </c>
      <c r="T1558">
        <v>-4.3299789999999998E-2</v>
      </c>
      <c r="U1558">
        <v>4.2053220000000002E-2</v>
      </c>
      <c r="V1558">
        <v>4.061642E-2</v>
      </c>
      <c r="W1558">
        <v>0.20963109999999999</v>
      </c>
      <c r="X1558">
        <v>0.97693660000000004</v>
      </c>
      <c r="Y1558">
        <v>-3.9881880000000001E-3</v>
      </c>
      <c r="Z1558">
        <v>-1.79382599999999E-4</v>
      </c>
      <c r="AA1558">
        <v>0.99999199999999999</v>
      </c>
      <c r="AB1558">
        <v>42</v>
      </c>
      <c r="AC1558">
        <v>-79.164299999999997</v>
      </c>
      <c r="AD1558">
        <v>-1.119702555802</v>
      </c>
      <c r="AE1558">
        <v>1.08049999999997</v>
      </c>
      <c r="AF1558">
        <v>-0.31743807882133201</v>
      </c>
      <c r="AG1558">
        <v>-1.119702555802</v>
      </c>
      <c r="AH1558">
        <v>79.155204454796902</v>
      </c>
      <c r="AI1558">
        <v>90.810426008691806</v>
      </c>
      <c r="AJ1558">
        <v>90.229773453256499</v>
      </c>
      <c r="AK1558">
        <v>79.163759972780795</v>
      </c>
      <c r="AL1558">
        <v>77.899265429074802</v>
      </c>
      <c r="AM1558">
        <v>87.619282556982796</v>
      </c>
      <c r="AN1558">
        <v>1.0000000060401899</v>
      </c>
    </row>
    <row r="1559" spans="1:40" x14ac:dyDescent="0.25">
      <c r="A1559" t="str">
        <f>"20190303171009892"</f>
        <v>20190303171009892</v>
      </c>
      <c r="B1559" t="str">
        <f>"1551604209881884"</f>
        <v>1551604209881884</v>
      </c>
      <c r="C1559" t="s">
        <v>40</v>
      </c>
      <c r="D1559">
        <v>4.9598599999999999</v>
      </c>
      <c r="E1559">
        <v>0.48822310000000002</v>
      </c>
      <c r="F1559" t="s">
        <v>53</v>
      </c>
      <c r="G1559">
        <v>-354.91109999999998</v>
      </c>
      <c r="H1559" s="1">
        <v>1.076662E-6</v>
      </c>
      <c r="I1559">
        <v>284.93020000000001</v>
      </c>
      <c r="J1559">
        <v>-276.86009999999999</v>
      </c>
      <c r="K1559">
        <v>1.1197239999999999</v>
      </c>
      <c r="L1559">
        <v>283.89229999999998</v>
      </c>
      <c r="M1559">
        <v>-0.99982170000000004</v>
      </c>
      <c r="N1559">
        <v>-6.191584E-3</v>
      </c>
      <c r="O1559">
        <v>1.784525E-2</v>
      </c>
      <c r="P1559">
        <v>-0.97734399999999999</v>
      </c>
      <c r="Q1559">
        <v>0.20368030000000001</v>
      </c>
      <c r="R1559">
        <v>5.7560790000000001E-2</v>
      </c>
      <c r="S1559">
        <v>-3.0762330000000002</v>
      </c>
      <c r="T1559">
        <v>-4.3893340000000003E-2</v>
      </c>
      <c r="U1559">
        <v>4.0985109999999998E-2</v>
      </c>
      <c r="V1559">
        <v>4.0243130000000002E-2</v>
      </c>
      <c r="W1559">
        <v>0.20970759999999999</v>
      </c>
      <c r="X1559">
        <v>0.97693560000000002</v>
      </c>
      <c r="Y1559">
        <v>-4.5229160000000001E-3</v>
      </c>
      <c r="Z1559">
        <v>-1.90361E-4</v>
      </c>
      <c r="AA1559">
        <v>0.99998969999999998</v>
      </c>
      <c r="AB1559">
        <v>42</v>
      </c>
      <c r="AC1559">
        <v>-78.050999999999902</v>
      </c>
      <c r="AD1559">
        <v>-1.1197229233379999</v>
      </c>
      <c r="AE1559">
        <v>1.03790000000003</v>
      </c>
      <c r="AF1559">
        <v>-0.35505837208718599</v>
      </c>
      <c r="AG1559">
        <v>-1.1197229233379999</v>
      </c>
      <c r="AH1559">
        <v>78.041033987768998</v>
      </c>
      <c r="AI1559">
        <v>90.822007715507795</v>
      </c>
      <c r="AJ1559">
        <v>90.260673197162802</v>
      </c>
      <c r="AK1559">
        <v>78.049874002158106</v>
      </c>
      <c r="AL1559">
        <v>77.894782300964195</v>
      </c>
      <c r="AM1559">
        <v>87.641135579522299</v>
      </c>
      <c r="AN1559">
        <v>0.99999997677865804</v>
      </c>
    </row>
    <row r="1560" spans="1:40" x14ac:dyDescent="0.25">
      <c r="A1560" t="str">
        <f>"20190303171009914"</f>
        <v>20190303171009914</v>
      </c>
      <c r="B1560" t="str">
        <f>"1551604209902381"</f>
        <v>1551604209902381</v>
      </c>
      <c r="C1560" t="s">
        <v>40</v>
      </c>
      <c r="D1560">
        <v>5.0150730000000001</v>
      </c>
      <c r="E1560">
        <v>0.48826629999999899</v>
      </c>
      <c r="F1560" t="s">
        <v>53</v>
      </c>
      <c r="G1560">
        <v>-356.62150000000003</v>
      </c>
      <c r="H1560" s="1">
        <v>1.986838E-6</v>
      </c>
      <c r="I1560">
        <v>284.9502</v>
      </c>
      <c r="J1560">
        <v>-277.26170000000002</v>
      </c>
      <c r="K1560">
        <v>1.1197459999999999</v>
      </c>
      <c r="L1560">
        <v>283.89949999999999</v>
      </c>
      <c r="M1560">
        <v>-0.99981920000000002</v>
      </c>
      <c r="N1560">
        <v>-6.1826040000000004E-3</v>
      </c>
      <c r="O1560">
        <v>1.7982020000000001E-2</v>
      </c>
      <c r="P1560">
        <v>-0.97723660000000001</v>
      </c>
      <c r="Q1560">
        <v>0.20416049999999999</v>
      </c>
      <c r="R1560">
        <v>5.768185E-2</v>
      </c>
      <c r="S1560">
        <v>-3.0761720000000001</v>
      </c>
      <c r="T1560">
        <v>-4.3184519999999997E-2</v>
      </c>
      <c r="U1560">
        <v>4.0801999999999998E-2</v>
      </c>
      <c r="V1560">
        <v>4.0216330000000002E-2</v>
      </c>
      <c r="W1560">
        <v>0.2101818</v>
      </c>
      <c r="X1560">
        <v>0.9768348</v>
      </c>
      <c r="Y1560">
        <v>-4.7189859999999997E-3</v>
      </c>
      <c r="Z1560">
        <v>-1.889309E-4</v>
      </c>
      <c r="AA1560">
        <v>0.99998889999999996</v>
      </c>
      <c r="AB1560">
        <v>42</v>
      </c>
      <c r="AC1560">
        <v>-79.359800000000007</v>
      </c>
      <c r="AD1560">
        <v>-1.119744013162</v>
      </c>
      <c r="AE1560">
        <v>1.0507</v>
      </c>
      <c r="AF1560">
        <v>-0.37647173578710702</v>
      </c>
      <c r="AG1560">
        <v>-1.119744013162</v>
      </c>
      <c r="AH1560">
        <v>79.350067364638804</v>
      </c>
      <c r="AI1560">
        <v>90.808463410911699</v>
      </c>
      <c r="AJ1560">
        <v>90.271834422306199</v>
      </c>
      <c r="AK1560">
        <v>79.358860553788006</v>
      </c>
      <c r="AL1560">
        <v>77.866993409035203</v>
      </c>
      <c r="AM1560">
        <v>87.642461721860499</v>
      </c>
      <c r="AN1560">
        <v>0.99999998437047399</v>
      </c>
    </row>
    <row r="1561" spans="1:40" x14ac:dyDescent="0.25">
      <c r="A1561" t="str">
        <f>"20190303171009927"</f>
        <v>20190303171009927</v>
      </c>
      <c r="B1561" t="str">
        <f>"1551604209921901"</f>
        <v>1551604209921901</v>
      </c>
      <c r="C1561" t="s">
        <v>40</v>
      </c>
      <c r="D1561">
        <v>5.0142699999999998</v>
      </c>
      <c r="E1561">
        <v>0.48833530000000003</v>
      </c>
      <c r="F1561" t="s">
        <v>53</v>
      </c>
      <c r="G1561">
        <v>-360.13869999999997</v>
      </c>
      <c r="H1561" s="1">
        <v>-1.46298399999999E-6</v>
      </c>
      <c r="I1561">
        <v>285.01029999999997</v>
      </c>
      <c r="J1561">
        <v>-277.51170000000002</v>
      </c>
      <c r="K1561">
        <v>1.119761</v>
      </c>
      <c r="L1561">
        <v>283.90410000000003</v>
      </c>
      <c r="M1561">
        <v>-0.99981819999999999</v>
      </c>
      <c r="N1561">
        <v>-6.1764100000000002E-3</v>
      </c>
      <c r="O1561">
        <v>1.8045019999999998E-2</v>
      </c>
      <c r="P1561">
        <v>-0.97723090000000001</v>
      </c>
      <c r="Q1561">
        <v>0.20416429999999999</v>
      </c>
      <c r="R1561">
        <v>5.7765799999999999E-2</v>
      </c>
      <c r="S1561">
        <v>-3.0761409999999998</v>
      </c>
      <c r="T1561">
        <v>-4.1561599999999997E-2</v>
      </c>
      <c r="U1561">
        <v>4.1229250000000002E-2</v>
      </c>
      <c r="V1561">
        <v>4.0227980000000003E-2</v>
      </c>
      <c r="W1561">
        <v>0.2101817</v>
      </c>
      <c r="X1561">
        <v>0.97683439999999999</v>
      </c>
      <c r="Y1561">
        <v>-4.6431149999999997E-3</v>
      </c>
      <c r="Z1561">
        <v>-1.780157E-4</v>
      </c>
      <c r="AA1561">
        <v>0.99998920000000002</v>
      </c>
      <c r="AB1561">
        <v>42</v>
      </c>
      <c r="AC1561">
        <v>-82.626999999999896</v>
      </c>
      <c r="AD1561">
        <v>-1.119762462984</v>
      </c>
      <c r="AE1561">
        <v>1.1061999999999399</v>
      </c>
      <c r="AF1561">
        <v>-0.38494359432500702</v>
      </c>
      <c r="AG1561">
        <v>-1.119762462984</v>
      </c>
      <c r="AH1561">
        <v>82.618336829512202</v>
      </c>
      <c r="AI1561">
        <v>90.776498793410198</v>
      </c>
      <c r="AJ1561">
        <v>90.266956278125903</v>
      </c>
      <c r="AK1561">
        <v>82.626821492896894</v>
      </c>
      <c r="AL1561">
        <v>77.8669999696112</v>
      </c>
      <c r="AM1561">
        <v>87.641778588688197</v>
      </c>
      <c r="AN1561">
        <v>1.0000000412065599</v>
      </c>
    </row>
    <row r="1562" spans="1:40" x14ac:dyDescent="0.25">
      <c r="A1562" t="str">
        <f>"20190303171009949"</f>
        <v>20190303171009949</v>
      </c>
      <c r="B1562" t="str">
        <f>"1551604209942397"</f>
        <v>1551604209942397</v>
      </c>
      <c r="C1562" t="s">
        <v>40</v>
      </c>
      <c r="D1562">
        <v>5.0166500000000003</v>
      </c>
      <c r="E1562">
        <v>0.48834270000000002</v>
      </c>
      <c r="F1562" t="s">
        <v>53</v>
      </c>
      <c r="G1562">
        <v>-360.49829999999997</v>
      </c>
      <c r="H1562" s="1">
        <v>-1.2716010000000001E-6</v>
      </c>
      <c r="I1562">
        <v>285.03359999999998</v>
      </c>
      <c r="J1562">
        <v>-277.91860000000003</v>
      </c>
      <c r="K1562">
        <v>1.1197839999999999</v>
      </c>
      <c r="L1562">
        <v>283.91140000000001</v>
      </c>
      <c r="M1562">
        <v>-0.9998167</v>
      </c>
      <c r="N1562">
        <v>-6.1652819999999898E-3</v>
      </c>
      <c r="O1562">
        <v>1.8125059999999998E-2</v>
      </c>
      <c r="P1562">
        <v>-0.97730260000000002</v>
      </c>
      <c r="Q1562">
        <v>0.2038218</v>
      </c>
      <c r="R1562">
        <v>5.7763340000000003E-2</v>
      </c>
      <c r="S1562">
        <v>-3.0761409999999998</v>
      </c>
      <c r="T1562">
        <v>-4.1507240000000001E-2</v>
      </c>
      <c r="U1562">
        <v>4.1870119999999997E-2</v>
      </c>
      <c r="V1562">
        <v>4.0129339999999999E-2</v>
      </c>
      <c r="W1562">
        <v>0.20983160000000001</v>
      </c>
      <c r="X1562">
        <v>0.9769137</v>
      </c>
      <c r="Y1562">
        <v>-4.5148870000000004E-3</v>
      </c>
      <c r="Z1562">
        <v>-1.771562E-4</v>
      </c>
      <c r="AA1562">
        <v>0.99998980000000004</v>
      </c>
      <c r="AB1562">
        <v>42</v>
      </c>
      <c r="AC1562">
        <v>-82.579699999999903</v>
      </c>
      <c r="AD1562">
        <v>-1.1197852716009999</v>
      </c>
      <c r="AE1562">
        <v>1.1221999999999599</v>
      </c>
      <c r="AF1562">
        <v>-0.37470596006789803</v>
      </c>
      <c r="AG1562">
        <v>-1.1197852716009999</v>
      </c>
      <c r="AH1562">
        <v>82.571294247218503</v>
      </c>
      <c r="AI1562">
        <v>90.776957383838194</v>
      </c>
      <c r="AJ1562">
        <v>90.260004677119696</v>
      </c>
      <c r="AK1562">
        <v>82.579736965382395</v>
      </c>
      <c r="AL1562">
        <v>77.887516494944293</v>
      </c>
      <c r="AM1562">
        <v>87.647745244461603</v>
      </c>
      <c r="AN1562">
        <v>1.0000000207675399</v>
      </c>
    </row>
    <row r="1563" spans="1:40" x14ac:dyDescent="0.25">
      <c r="A1563" t="str">
        <f>"20190303171009972"</f>
        <v>20190303171009972</v>
      </c>
      <c r="B1563" t="str">
        <f>"1551604209961917"</f>
        <v>1551604209961917</v>
      </c>
      <c r="C1563" t="s">
        <v>40</v>
      </c>
      <c r="D1563">
        <v>4.9591609999999999</v>
      </c>
      <c r="E1563">
        <v>0.4883769</v>
      </c>
      <c r="F1563" t="s">
        <v>53</v>
      </c>
      <c r="G1563">
        <v>-359.46210000000002</v>
      </c>
      <c r="H1563" s="1">
        <v>3.4984759999999998E-6</v>
      </c>
      <c r="I1563">
        <v>285.0206</v>
      </c>
      <c r="J1563">
        <v>-278.35320000000002</v>
      </c>
      <c r="K1563">
        <v>1.119804</v>
      </c>
      <c r="L1563">
        <v>283.91930000000002</v>
      </c>
      <c r="M1563">
        <v>-0.99981589999999998</v>
      </c>
      <c r="N1563">
        <v>-6.1535359999999898E-3</v>
      </c>
      <c r="O1563">
        <v>1.8179299999999999E-2</v>
      </c>
      <c r="P1563">
        <v>-0.97747240000000002</v>
      </c>
      <c r="Q1563">
        <v>0.2030351</v>
      </c>
      <c r="R1563">
        <v>5.7659589999999997E-2</v>
      </c>
      <c r="S1563">
        <v>-3.0760190000000001</v>
      </c>
      <c r="T1563">
        <v>-4.2240859999999998E-2</v>
      </c>
      <c r="U1563">
        <v>4.1839599999999998E-2</v>
      </c>
      <c r="V1563">
        <v>3.9953710000000003E-2</v>
      </c>
      <c r="W1563">
        <v>0.20903759999999999</v>
      </c>
      <c r="X1563">
        <v>0.97709109999999999</v>
      </c>
      <c r="Y1563">
        <v>-4.5784529999999997E-3</v>
      </c>
      <c r="Z1563">
        <v>-1.832565E-4</v>
      </c>
      <c r="AA1563">
        <v>0.99998949999999998</v>
      </c>
      <c r="AB1563">
        <v>42</v>
      </c>
      <c r="AC1563">
        <v>-81.108900000000006</v>
      </c>
      <c r="AD1563">
        <v>-1.119800501524</v>
      </c>
      <c r="AE1563">
        <v>1.10129999999998</v>
      </c>
      <c r="AF1563">
        <v>-0.37334166079751702</v>
      </c>
      <c r="AG1563">
        <v>-1.119800501524</v>
      </c>
      <c r="AH1563">
        <v>81.1000613274079</v>
      </c>
      <c r="AI1563">
        <v>90.791060881792703</v>
      </c>
      <c r="AJ1563">
        <v>90.2637575117339</v>
      </c>
      <c r="AK1563">
        <v>81.108651107438703</v>
      </c>
      <c r="AL1563">
        <v>77.934041096364595</v>
      </c>
      <c r="AM1563">
        <v>87.658453363701895</v>
      </c>
      <c r="AN1563">
        <v>1.00000001742786</v>
      </c>
    </row>
    <row r="1564" spans="1:40" x14ac:dyDescent="0.25">
      <c r="A1564" t="str">
        <f>"20190303171009994"</f>
        <v>20190303171009994</v>
      </c>
      <c r="B1564" t="str">
        <f>"1551604209982412"</f>
        <v>1551604209982412</v>
      </c>
      <c r="C1564" t="s">
        <v>40</v>
      </c>
      <c r="D1564">
        <v>5.0180720000000001</v>
      </c>
      <c r="E1564">
        <v>0.48841580000000001</v>
      </c>
      <c r="F1564" t="s">
        <v>53</v>
      </c>
      <c r="G1564">
        <v>-356.1934</v>
      </c>
      <c r="H1564" s="1">
        <v>1.7590339999999999E-6</v>
      </c>
      <c r="I1564">
        <v>284.97739999999999</v>
      </c>
      <c r="J1564">
        <v>-278.77890000000002</v>
      </c>
      <c r="K1564">
        <v>1.119828</v>
      </c>
      <c r="L1564">
        <v>283.9271</v>
      </c>
      <c r="M1564">
        <v>-0.99981540000000002</v>
      </c>
      <c r="N1564">
        <v>-6.1440289999999996E-3</v>
      </c>
      <c r="O1564">
        <v>1.8201189999999999E-2</v>
      </c>
      <c r="P1564">
        <v>-0.97749969999999997</v>
      </c>
      <c r="Q1564">
        <v>0.2027979</v>
      </c>
      <c r="R1564">
        <v>5.8027660000000002E-2</v>
      </c>
      <c r="S1564">
        <v>-3.0758670000000001</v>
      </c>
      <c r="T1564">
        <v>-4.4249179999999999E-2</v>
      </c>
      <c r="U1564">
        <v>4.1809079999999998E-2</v>
      </c>
      <c r="V1564">
        <v>4.0286339999999997E-2</v>
      </c>
      <c r="W1564">
        <v>0.2087937</v>
      </c>
      <c r="X1564">
        <v>0.97712960000000004</v>
      </c>
      <c r="Y1564">
        <v>-4.6094480000000004E-3</v>
      </c>
      <c r="Z1564">
        <v>-1.9728150000000001E-4</v>
      </c>
      <c r="AA1564">
        <v>0.99998929999999997</v>
      </c>
      <c r="AB1564">
        <v>42</v>
      </c>
      <c r="AC1564">
        <v>-77.414499999999904</v>
      </c>
      <c r="AD1564">
        <v>-1.119826240966</v>
      </c>
      <c r="AE1564">
        <v>1.05029999999999</v>
      </c>
      <c r="AF1564">
        <v>-0.35886163097498203</v>
      </c>
      <c r="AG1564">
        <v>-1.119826240966</v>
      </c>
      <c r="AH1564">
        <v>77.404598854815205</v>
      </c>
      <c r="AI1564">
        <v>90.828841609013807</v>
      </c>
      <c r="AJ1564">
        <v>90.265631627506394</v>
      </c>
      <c r="AK1564">
        <v>77.413530576734402</v>
      </c>
      <c r="AL1564">
        <v>77.948330973806904</v>
      </c>
      <c r="AM1564">
        <v>87.639073978959999</v>
      </c>
      <c r="AN1564">
        <v>1.0000000267732201</v>
      </c>
    </row>
    <row r="1565" spans="1:40" x14ac:dyDescent="0.25">
      <c r="A1565" t="str">
        <f>"20190303171010013"</f>
        <v>20190303171010013</v>
      </c>
      <c r="B1565" t="str">
        <f>"1551604210001933"</f>
        <v>1551604210001933</v>
      </c>
      <c r="C1565" t="s">
        <v>40</v>
      </c>
      <c r="D1565">
        <v>4.8446189999999998</v>
      </c>
      <c r="E1565">
        <v>0.48841319999999999</v>
      </c>
      <c r="F1565" t="s">
        <v>53</v>
      </c>
      <c r="G1565">
        <v>-356.26659999999998</v>
      </c>
      <c r="H1565" s="1">
        <v>1.7979669999999999E-6</v>
      </c>
      <c r="I1565">
        <v>285.0104</v>
      </c>
      <c r="J1565">
        <v>-279.1508</v>
      </c>
      <c r="K1565">
        <v>1.119847</v>
      </c>
      <c r="L1565">
        <v>283.93389999999999</v>
      </c>
      <c r="M1565">
        <v>-0.99981580000000003</v>
      </c>
      <c r="N1565">
        <v>-6.1378939999999996E-3</v>
      </c>
      <c r="O1565">
        <v>1.8192219999999999E-2</v>
      </c>
      <c r="P1565">
        <v>-0.97746</v>
      </c>
      <c r="Q1565">
        <v>0.20274829999999999</v>
      </c>
      <c r="R1565">
        <v>5.886798E-2</v>
      </c>
      <c r="S1565">
        <v>-3.0757140000000001</v>
      </c>
      <c r="T1565">
        <v>-4.4449210000000003E-2</v>
      </c>
      <c r="U1565">
        <v>4.2999269999999999E-2</v>
      </c>
      <c r="V1565">
        <v>4.1124420000000002E-2</v>
      </c>
      <c r="W1565">
        <v>0.20874000000000001</v>
      </c>
      <c r="X1565">
        <v>0.97710620000000004</v>
      </c>
      <c r="Y1565">
        <v>-4.2129560000000003E-3</v>
      </c>
      <c r="Z1565">
        <v>-1.9457E-4</v>
      </c>
      <c r="AA1565">
        <v>0.99999110000000002</v>
      </c>
      <c r="AB1565">
        <v>42</v>
      </c>
      <c r="AC1565">
        <v>-77.115799999999894</v>
      </c>
      <c r="AD1565">
        <v>-1.1198452020330001</v>
      </c>
      <c r="AE1565">
        <v>1.07650000000001</v>
      </c>
      <c r="AF1565">
        <v>-0.32654315255024702</v>
      </c>
      <c r="AG1565">
        <v>-1.1198452020330001</v>
      </c>
      <c r="AH1565">
        <v>77.106364963484296</v>
      </c>
      <c r="AI1565">
        <v>90.832062539973606</v>
      </c>
      <c r="AJ1565">
        <v>90.242644464284695</v>
      </c>
      <c r="AK1565">
        <v>77.115187878841496</v>
      </c>
      <c r="AL1565">
        <v>77.951477557412503</v>
      </c>
      <c r="AM1565">
        <v>87.589959116763794</v>
      </c>
      <c r="AN1565">
        <v>1.0000000657993799</v>
      </c>
    </row>
    <row r="1566" spans="1:40" x14ac:dyDescent="0.25">
      <c r="A1566" t="str">
        <f>"20190303171010026"</f>
        <v>20190303171010026</v>
      </c>
      <c r="B1566" t="str">
        <f>"1551604210022429"</f>
        <v>1551604210022429</v>
      </c>
      <c r="C1566" t="s">
        <v>40</v>
      </c>
      <c r="D1566">
        <v>4.9454849999999997</v>
      </c>
      <c r="E1566">
        <v>0.47418830000000001</v>
      </c>
      <c r="F1566" t="s">
        <v>53</v>
      </c>
      <c r="G1566">
        <v>-356.93040000000002</v>
      </c>
      <c r="H1566" s="1">
        <v>2.1512210000000002E-6</v>
      </c>
      <c r="I1566">
        <v>285.08920000000001</v>
      </c>
      <c r="J1566">
        <v>-279.38869999999997</v>
      </c>
      <c r="K1566">
        <v>1.1198600000000001</v>
      </c>
      <c r="L1566">
        <v>283.93819999999999</v>
      </c>
      <c r="M1566">
        <v>-0.99981609999999999</v>
      </c>
      <c r="N1566">
        <v>-6.134848E-3</v>
      </c>
      <c r="O1566">
        <v>1.8174059999999999E-2</v>
      </c>
      <c r="P1566">
        <v>-0.97751779999999999</v>
      </c>
      <c r="Q1566">
        <v>0.20239389999999999</v>
      </c>
      <c r="R1566">
        <v>5.9125869999999997E-2</v>
      </c>
      <c r="S1566">
        <v>-3.0755919999999999</v>
      </c>
      <c r="T1566">
        <v>-4.4281359999999999E-2</v>
      </c>
      <c r="U1566">
        <v>4.5684809999999999E-2</v>
      </c>
      <c r="V1566">
        <v>4.139106E-2</v>
      </c>
      <c r="W1566">
        <v>0.20838470000000001</v>
      </c>
      <c r="X1566">
        <v>0.97717069999999995</v>
      </c>
      <c r="Y1566">
        <v>-3.3213880000000002E-3</v>
      </c>
      <c r="Z1566">
        <v>-1.8421860000000001E-4</v>
      </c>
      <c r="AA1566">
        <v>0.99999450000000001</v>
      </c>
      <c r="AB1566">
        <v>43</v>
      </c>
      <c r="AC1566">
        <v>-77.541700000000006</v>
      </c>
      <c r="AD1566">
        <v>-1.1198578487790001</v>
      </c>
      <c r="AE1566">
        <v>1.15100000000001</v>
      </c>
      <c r="AF1566">
        <v>-0.25841013439413502</v>
      </c>
      <c r="AG1566">
        <v>-1.1198578487790001</v>
      </c>
      <c r="AH1566">
        <v>77.533643569717299</v>
      </c>
      <c r="AI1566">
        <v>90.827489950314899</v>
      </c>
      <c r="AJ1566">
        <v>90.1909591060287</v>
      </c>
      <c r="AK1566">
        <v>77.542161064771705</v>
      </c>
      <c r="AL1566">
        <v>77.972291560742804</v>
      </c>
      <c r="AM1566">
        <v>87.574511563692198</v>
      </c>
      <c r="AN1566">
        <v>0.99999998999025097</v>
      </c>
    </row>
    <row r="1567" spans="1:40" x14ac:dyDescent="0.25">
      <c r="A1567" t="str">
        <f>"20190303171010116"</f>
        <v>20190303171010116</v>
      </c>
      <c r="B1567" t="str">
        <f>"1551604210111751"</f>
        <v>1551604210111751</v>
      </c>
      <c r="C1567" t="s">
        <v>40</v>
      </c>
      <c r="D1567">
        <v>5.0255700000000001</v>
      </c>
      <c r="E1567">
        <v>0.47911979999999998</v>
      </c>
      <c r="F1567" t="s">
        <v>43</v>
      </c>
      <c r="G1567">
        <v>-281.82319999999999</v>
      </c>
      <c r="H1567">
        <v>0.97808949999999995</v>
      </c>
      <c r="I1567">
        <v>283.93470000000002</v>
      </c>
      <c r="J1567">
        <v>-281.12470000000002</v>
      </c>
      <c r="K1567">
        <v>1.1199349999999999</v>
      </c>
      <c r="L1567">
        <v>283.96940000000001</v>
      </c>
      <c r="M1567">
        <v>-0.99982139999999997</v>
      </c>
      <c r="N1567">
        <v>-6.1280220000000003E-3</v>
      </c>
      <c r="O1567">
        <v>1.7881640000000001E-2</v>
      </c>
      <c r="P1567">
        <v>-0.97767409999999999</v>
      </c>
      <c r="Q1567">
        <v>0.2019891</v>
      </c>
      <c r="R1567">
        <v>5.7913909999999999E-2</v>
      </c>
      <c r="S1567">
        <v>-3.1720579999999998</v>
      </c>
      <c r="T1567">
        <v>-0.47335430000000001</v>
      </c>
      <c r="U1567">
        <v>-0.101593</v>
      </c>
      <c r="V1567">
        <v>4.0411990000000002E-2</v>
      </c>
      <c r="W1567">
        <v>0.20798410000000001</v>
      </c>
      <c r="X1567">
        <v>0.97729710000000003</v>
      </c>
      <c r="Y1567">
        <v>-4.9130739999999999E-2</v>
      </c>
      <c r="Z1567">
        <v>-6.3402959999999996E-3</v>
      </c>
      <c r="AA1567">
        <v>0.9987722</v>
      </c>
      <c r="AB1567">
        <v>43</v>
      </c>
      <c r="AC1567">
        <v>-0.69849999999996704</v>
      </c>
      <c r="AD1567">
        <v>-0.14184550000000001</v>
      </c>
      <c r="AE1567">
        <v>-3.4699999999986603E-2</v>
      </c>
      <c r="AF1567">
        <v>-4.53206747816347E-2</v>
      </c>
      <c r="AG1567">
        <v>-0.14184550000000001</v>
      </c>
      <c r="AH1567">
        <v>0.67019817019646299</v>
      </c>
      <c r="AI1567">
        <v>101.923685610281</v>
      </c>
      <c r="AJ1567">
        <v>93.868611187781397</v>
      </c>
      <c r="AK1567">
        <v>0.68654183905105204</v>
      </c>
      <c r="AL1567">
        <v>77.995759371983794</v>
      </c>
      <c r="AM1567">
        <v>87.632124243578104</v>
      </c>
      <c r="AN1567">
        <v>1.00000006822848</v>
      </c>
    </row>
    <row r="1568" spans="1:40" x14ac:dyDescent="0.25">
      <c r="A1568" t="str">
        <f>"20190303171010139"</f>
        <v>20190303171010139</v>
      </c>
      <c r="B1568" t="str">
        <f>"1551604210132247"</f>
        <v>1551604210132247</v>
      </c>
      <c r="C1568" t="s">
        <v>40</v>
      </c>
      <c r="D1568">
        <v>4.8981649999999997</v>
      </c>
      <c r="E1568">
        <v>0.47743079999999999</v>
      </c>
      <c r="F1568" t="s">
        <v>43</v>
      </c>
      <c r="G1568">
        <v>-282.21190000000001</v>
      </c>
      <c r="H1568">
        <v>0.98309159999999995</v>
      </c>
      <c r="I1568">
        <v>283.952</v>
      </c>
      <c r="J1568">
        <v>-281.55700000000002</v>
      </c>
      <c r="K1568">
        <v>1.11995</v>
      </c>
      <c r="L1568">
        <v>283.97710000000001</v>
      </c>
      <c r="M1568">
        <v>-0.99982320000000002</v>
      </c>
      <c r="N1568">
        <v>-6.1305509999999997E-3</v>
      </c>
      <c r="O1568">
        <v>1.7782450000000002E-2</v>
      </c>
      <c r="P1568">
        <v>-0.97761180000000003</v>
      </c>
      <c r="Q1568">
        <v>0.20241870000000001</v>
      </c>
      <c r="R1568">
        <v>5.7463550000000002E-2</v>
      </c>
      <c r="S1568">
        <v>-3.1535340000000001</v>
      </c>
      <c r="T1568">
        <v>-0.39696090000000001</v>
      </c>
      <c r="U1568">
        <v>-5.1055910000000003E-2</v>
      </c>
      <c r="V1568">
        <v>4.005127E-2</v>
      </c>
      <c r="W1568">
        <v>0.20841689999999999</v>
      </c>
      <c r="X1568">
        <v>0.97721970000000002</v>
      </c>
      <c r="Y1568">
        <v>-3.3561069999999998E-2</v>
      </c>
      <c r="Z1568">
        <v>-4.3280360000000004E-3</v>
      </c>
      <c r="AA1568">
        <v>0.99942730000000002</v>
      </c>
      <c r="AB1568">
        <v>43</v>
      </c>
      <c r="AC1568">
        <v>-0.65489999999999704</v>
      </c>
      <c r="AD1568">
        <v>-0.13685839999999999</v>
      </c>
      <c r="AE1568">
        <v>-2.5100000000009001E-2</v>
      </c>
      <c r="AF1568">
        <v>-3.5206718327411797E-2</v>
      </c>
      <c r="AG1568">
        <v>-0.13685839999999999</v>
      </c>
      <c r="AH1568">
        <v>0.62700819606817404</v>
      </c>
      <c r="AI1568">
        <v>102.29417847315599</v>
      </c>
      <c r="AJ1568">
        <v>93.213802316449502</v>
      </c>
      <c r="AK1568">
        <v>0.64273556973502799</v>
      </c>
      <c r="AL1568">
        <v>77.970405649701604</v>
      </c>
      <c r="AM1568">
        <v>87.653050650803493</v>
      </c>
      <c r="AN1568">
        <v>1.0000000252511501</v>
      </c>
    </row>
    <row r="1569" spans="1:40" x14ac:dyDescent="0.25">
      <c r="A1569" t="str">
        <f>"20190303171010153"</f>
        <v>20190303171010153</v>
      </c>
      <c r="B1569" t="str">
        <f>"1551604210142007"</f>
        <v>1551604210142007</v>
      </c>
      <c r="C1569" t="s">
        <v>40</v>
      </c>
      <c r="D1569">
        <v>4.8292140000000003</v>
      </c>
      <c r="E1569">
        <v>0.4770972</v>
      </c>
      <c r="F1569" t="s">
        <v>43</v>
      </c>
      <c r="G1569">
        <v>-282.62189999999998</v>
      </c>
      <c r="H1569">
        <v>1.0232429999999999</v>
      </c>
      <c r="I1569">
        <v>283.95690000000002</v>
      </c>
      <c r="J1569">
        <v>-281.84710000000001</v>
      </c>
      <c r="K1569">
        <v>1.119964</v>
      </c>
      <c r="L1569">
        <v>283.98219999999998</v>
      </c>
      <c r="M1569">
        <v>-0.99982439999999995</v>
      </c>
      <c r="N1569">
        <v>-6.1329710000000001E-3</v>
      </c>
      <c r="O1569">
        <v>1.771406E-2</v>
      </c>
      <c r="P1569">
        <v>-0.97755029999999998</v>
      </c>
      <c r="Q1569">
        <v>0.2027998</v>
      </c>
      <c r="R1569">
        <v>5.7166979999999999E-2</v>
      </c>
      <c r="S1569">
        <v>-3.1311650000000002</v>
      </c>
      <c r="T1569">
        <v>-0.28451199999999999</v>
      </c>
      <c r="U1569">
        <v>-6.0180659999999997E-2</v>
      </c>
      <c r="V1569">
        <v>3.9817829999999999E-2</v>
      </c>
      <c r="W1569">
        <v>0.20880119999999999</v>
      </c>
      <c r="X1569">
        <v>0.97714719999999999</v>
      </c>
      <c r="Y1569">
        <v>-3.6699620000000002E-2</v>
      </c>
      <c r="Z1569">
        <v>-3.2742729999999999E-3</v>
      </c>
      <c r="AA1569">
        <v>0.99932100000000001</v>
      </c>
      <c r="AB1569">
        <v>43</v>
      </c>
      <c r="AC1569">
        <v>-0.77479999999996996</v>
      </c>
      <c r="AD1569">
        <v>-9.6720999999999793E-2</v>
      </c>
      <c r="AE1569">
        <v>-2.52999999999588E-2</v>
      </c>
      <c r="AF1569">
        <v>-3.8423016702465201E-2</v>
      </c>
      <c r="AG1569">
        <v>-9.6720999999999793E-2</v>
      </c>
      <c r="AH1569">
        <v>0.76236269826084102</v>
      </c>
      <c r="AI1569">
        <v>97.221421005871804</v>
      </c>
      <c r="AJ1569">
        <v>92.885261183199404</v>
      </c>
      <c r="AK1569">
        <v>0.769433664296714</v>
      </c>
      <c r="AL1569">
        <v>77.947891556040801</v>
      </c>
      <c r="AM1569">
        <v>87.666541822668293</v>
      </c>
      <c r="AN1569">
        <v>1.00000002558759</v>
      </c>
    </row>
    <row r="1570" spans="1:40" x14ac:dyDescent="0.25">
      <c r="A1570" t="str">
        <f>"20190303171010173"</f>
        <v>20190303171010173</v>
      </c>
      <c r="B1570" t="str">
        <f>"1551604210162504"</f>
        <v>1551604210162504</v>
      </c>
      <c r="C1570" t="s">
        <v>40</v>
      </c>
      <c r="D1570">
        <v>4.9207539999999996</v>
      </c>
      <c r="E1570">
        <v>0.47688190000000003</v>
      </c>
      <c r="F1570" t="s">
        <v>60</v>
      </c>
      <c r="G1570">
        <v>-295.67239999999998</v>
      </c>
      <c r="H1570" s="1">
        <v>3.291395E-6</v>
      </c>
      <c r="I1570">
        <v>283.70749999999998</v>
      </c>
      <c r="J1570">
        <v>-282.22280000000001</v>
      </c>
      <c r="K1570">
        <v>1.1199699999999999</v>
      </c>
      <c r="L1570">
        <v>283.98880000000003</v>
      </c>
      <c r="M1570">
        <v>-0.99982599999999999</v>
      </c>
      <c r="N1570">
        <v>-6.1369559999999998E-3</v>
      </c>
      <c r="O1570">
        <v>1.7622889999999999E-2</v>
      </c>
      <c r="P1570">
        <v>-0.97755349999999996</v>
      </c>
      <c r="Q1570">
        <v>0.20293140000000001</v>
      </c>
      <c r="R1570">
        <v>5.6643499999999902E-2</v>
      </c>
      <c r="S1570">
        <v>-3.1250610000000001</v>
      </c>
      <c r="T1570">
        <v>-0.25315539999999997</v>
      </c>
      <c r="U1570">
        <v>-6.2103270000000002E-2</v>
      </c>
      <c r="V1570">
        <v>3.9378000000000003E-2</v>
      </c>
      <c r="W1570">
        <v>0.20893729999999999</v>
      </c>
      <c r="X1570">
        <v>0.97713589999999995</v>
      </c>
      <c r="Y1570">
        <v>-3.730464E-2</v>
      </c>
      <c r="Z1570">
        <v>-2.9402040000000001E-3</v>
      </c>
      <c r="AA1570">
        <v>0.99929959999999995</v>
      </c>
      <c r="AB1570">
        <v>43</v>
      </c>
      <c r="AC1570">
        <v>-13.449599999999901</v>
      </c>
      <c r="AD1570">
        <v>-1.119966708605</v>
      </c>
      <c r="AE1570">
        <v>-0.28130000000004401</v>
      </c>
      <c r="AF1570">
        <v>-0.51471403855459796</v>
      </c>
      <c r="AG1570">
        <v>-1.119966708605</v>
      </c>
      <c r="AH1570">
        <v>13.3500236336764</v>
      </c>
      <c r="AI1570">
        <v>94.791912824732194</v>
      </c>
      <c r="AJ1570">
        <v>92.207961800622201</v>
      </c>
      <c r="AK1570">
        <v>13.406803757405701</v>
      </c>
      <c r="AL1570">
        <v>77.939917347662004</v>
      </c>
      <c r="AM1570">
        <v>87.6922626525742</v>
      </c>
      <c r="AN1570">
        <v>0.99999999464204903</v>
      </c>
    </row>
    <row r="1571" spans="1:40" x14ac:dyDescent="0.25">
      <c r="A1571" t="str">
        <f>"20190303171010193"</f>
        <v>20190303171010193</v>
      </c>
      <c r="B1571" t="str">
        <f>"1551604210182023"</f>
        <v>1551604210182023</v>
      </c>
      <c r="C1571" t="s">
        <v>40</v>
      </c>
      <c r="D1571">
        <v>4.8755509999999997</v>
      </c>
      <c r="E1571">
        <v>0.47650940000000003</v>
      </c>
      <c r="F1571" t="s">
        <v>60</v>
      </c>
      <c r="G1571">
        <v>-298.91849999999999</v>
      </c>
      <c r="H1571" s="1">
        <v>3.8719159999999997E-6</v>
      </c>
      <c r="I1571">
        <v>283.65339999999998</v>
      </c>
      <c r="J1571">
        <v>-282.61750000000001</v>
      </c>
      <c r="K1571">
        <v>1.119977</v>
      </c>
      <c r="L1571">
        <v>283.9957</v>
      </c>
      <c r="M1571">
        <v>-0.99982749999999998</v>
      </c>
      <c r="N1571">
        <v>-6.1418469999999998E-3</v>
      </c>
      <c r="O1571">
        <v>1.752606E-2</v>
      </c>
      <c r="P1571">
        <v>-0.97761200000000004</v>
      </c>
      <c r="Q1571">
        <v>0.20269019999999999</v>
      </c>
      <c r="R1571">
        <v>5.6492720000000003E-2</v>
      </c>
      <c r="S1571">
        <v>-3.1159059999999998</v>
      </c>
      <c r="T1571">
        <v>-0.20901910000000001</v>
      </c>
      <c r="U1571">
        <v>-6.2591549999999996E-2</v>
      </c>
      <c r="V1571">
        <v>3.9315870000000003E-2</v>
      </c>
      <c r="W1571">
        <v>0.20870269999999999</v>
      </c>
      <c r="X1571">
        <v>0.97718850000000002</v>
      </c>
      <c r="Y1571">
        <v>-3.747905E-2</v>
      </c>
      <c r="Z1571">
        <v>-2.4375009999999999E-3</v>
      </c>
      <c r="AA1571">
        <v>0.99929449999999997</v>
      </c>
      <c r="AB1571">
        <v>43</v>
      </c>
      <c r="AC1571">
        <v>-16.300999999999899</v>
      </c>
      <c r="AD1571">
        <v>-1.119973128084</v>
      </c>
      <c r="AE1571">
        <v>-0.34230000000002198</v>
      </c>
      <c r="AF1571">
        <v>-0.62499614275397497</v>
      </c>
      <c r="AG1571">
        <v>-1.119973128084</v>
      </c>
      <c r="AH1571">
        <v>16.215983315831899</v>
      </c>
      <c r="AI1571">
        <v>93.947994286084494</v>
      </c>
      <c r="AJ1571">
        <v>92.207200434742504</v>
      </c>
      <c r="AK1571">
        <v>16.266624569511201</v>
      </c>
      <c r="AL1571">
        <v>77.953661521127401</v>
      </c>
      <c r="AM1571">
        <v>87.696023728734502</v>
      </c>
      <c r="AN1571">
        <v>0.99999995957669696</v>
      </c>
    </row>
    <row r="1572" spans="1:40" x14ac:dyDescent="0.25">
      <c r="A1572" t="str">
        <f>"20190303171010215"</f>
        <v>20190303171010215</v>
      </c>
      <c r="B1572" t="str">
        <f>"1551604210202519"</f>
        <v>1551604210202519</v>
      </c>
      <c r="C1572" t="s">
        <v>40</v>
      </c>
      <c r="D1572">
        <v>4.882752</v>
      </c>
      <c r="E1572">
        <v>0.47612090000000001</v>
      </c>
      <c r="F1572" t="s">
        <v>60</v>
      </c>
      <c r="G1572">
        <v>-302.21899999999999</v>
      </c>
      <c r="H1572" s="1">
        <v>3.6607680000000001E-6</v>
      </c>
      <c r="I1572">
        <v>283.58940000000001</v>
      </c>
      <c r="J1572">
        <v>-283.04599999999999</v>
      </c>
      <c r="K1572">
        <v>1.119983</v>
      </c>
      <c r="L1572">
        <v>284.00319999999999</v>
      </c>
      <c r="M1572">
        <v>-0.99982950000000004</v>
      </c>
      <c r="N1572">
        <v>-6.1479560000000004E-3</v>
      </c>
      <c r="O1572">
        <v>1.7419810000000001E-2</v>
      </c>
      <c r="P1572">
        <v>-0.97755219999999998</v>
      </c>
      <c r="Q1572">
        <v>0.2029493</v>
      </c>
      <c r="R1572">
        <v>5.6598860000000001E-2</v>
      </c>
      <c r="S1572">
        <v>-3.1092529999999998</v>
      </c>
      <c r="T1572">
        <v>-0.1776537</v>
      </c>
      <c r="U1572">
        <v>-6.4453129999999997E-2</v>
      </c>
      <c r="V1572">
        <v>3.9521889999999997E-2</v>
      </c>
      <c r="W1572">
        <v>0.20896809999999999</v>
      </c>
      <c r="X1572">
        <v>0.97712350000000003</v>
      </c>
      <c r="Y1572">
        <v>-3.8046919999999998E-2</v>
      </c>
      <c r="Z1572">
        <v>-2.0904169999999998E-3</v>
      </c>
      <c r="AA1572">
        <v>0.99927379999999999</v>
      </c>
      <c r="AB1572">
        <v>43</v>
      </c>
      <c r="AC1572">
        <v>-19.172999999999998</v>
      </c>
      <c r="AD1572">
        <v>-1.1199793392320001</v>
      </c>
      <c r="AE1572">
        <v>-0.41379999999998002</v>
      </c>
      <c r="AF1572">
        <v>-0.74519190073382302</v>
      </c>
      <c r="AG1572">
        <v>-1.1199793392320001</v>
      </c>
      <c r="AH1572">
        <v>19.097746396145901</v>
      </c>
      <c r="AI1572">
        <v>93.353696648969205</v>
      </c>
      <c r="AJ1572">
        <v>92.2345412173905</v>
      </c>
      <c r="AK1572">
        <v>19.145066782352298</v>
      </c>
      <c r="AL1572">
        <v>77.938112752109802</v>
      </c>
      <c r="AM1572">
        <v>87.683809823238207</v>
      </c>
      <c r="AN1572">
        <v>0.99999999042951604</v>
      </c>
    </row>
    <row r="1573" spans="1:40" x14ac:dyDescent="0.25">
      <c r="A1573" t="str">
        <f>"20190303171010227"</f>
        <v>20190303171010227</v>
      </c>
      <c r="B1573" t="str">
        <f>"1551604210222039"</f>
        <v>1551604210222039</v>
      </c>
      <c r="C1573" t="s">
        <v>40</v>
      </c>
      <c r="D1573">
        <v>4.8819689999999998</v>
      </c>
      <c r="E1573">
        <v>0.47602460000000002</v>
      </c>
      <c r="F1573" t="s">
        <v>60</v>
      </c>
      <c r="G1573">
        <v>-305.42630000000003</v>
      </c>
      <c r="H1573" s="1">
        <v>3.096842E-6</v>
      </c>
      <c r="I1573">
        <v>283.53219999999999</v>
      </c>
      <c r="J1573">
        <v>-283.29410000000001</v>
      </c>
      <c r="K1573">
        <v>1.119991</v>
      </c>
      <c r="L1573">
        <v>284.00740000000002</v>
      </c>
      <c r="M1573">
        <v>-0.99983040000000001</v>
      </c>
      <c r="N1573">
        <v>-6.1519549999999997E-3</v>
      </c>
      <c r="O1573">
        <v>1.7356460000000001E-2</v>
      </c>
      <c r="P1573">
        <v>-0.97757760000000005</v>
      </c>
      <c r="Q1573">
        <v>0.202843</v>
      </c>
      <c r="R1573">
        <v>5.6538560000000002E-2</v>
      </c>
      <c r="S1573">
        <v>-3.1049190000000002</v>
      </c>
      <c r="T1573">
        <v>-0.15537979999999901</v>
      </c>
      <c r="U1573">
        <v>-6.5338129999999994E-2</v>
      </c>
      <c r="V1573">
        <v>3.9520529999999998E-2</v>
      </c>
      <c r="W1573">
        <v>0.20886589999999999</v>
      </c>
      <c r="X1573">
        <v>0.97714540000000005</v>
      </c>
      <c r="Y1573">
        <v>-3.8318020000000001E-2</v>
      </c>
      <c r="Z1573">
        <v>-1.8372659999999999E-3</v>
      </c>
      <c r="AA1573">
        <v>0.99926389999999998</v>
      </c>
      <c r="AB1573">
        <v>44</v>
      </c>
      <c r="AC1573">
        <v>-22.132200000000001</v>
      </c>
      <c r="AD1573">
        <v>-1.119987903158</v>
      </c>
      <c r="AE1573">
        <v>-0.47520000000002899</v>
      </c>
      <c r="AF1573">
        <v>-0.85707853937307599</v>
      </c>
      <c r="AG1573">
        <v>-1.119987903158</v>
      </c>
      <c r="AH1573">
        <v>22.0641419927708</v>
      </c>
      <c r="AI1573">
        <v>92.903684857526997</v>
      </c>
      <c r="AJ1573">
        <v>92.224528187627101</v>
      </c>
      <c r="AK1573">
        <v>22.109168197899798</v>
      </c>
      <c r="AL1573">
        <v>77.944100439210501</v>
      </c>
      <c r="AM1573">
        <v>87.683941292231395</v>
      </c>
      <c r="AN1573">
        <v>0.99999998460772499</v>
      </c>
    </row>
    <row r="1574" spans="1:40" x14ac:dyDescent="0.25">
      <c r="A1574" t="str">
        <f>"20190303171010243"</f>
        <v>20190303171010243</v>
      </c>
      <c r="B1574" t="str">
        <f>"1551604210231799"</f>
        <v>1551604210231799</v>
      </c>
      <c r="C1574" t="s">
        <v>40</v>
      </c>
      <c r="D1574">
        <v>4.9168539999999998</v>
      </c>
      <c r="E1574">
        <v>0.47597339999999999</v>
      </c>
      <c r="F1574" t="s">
        <v>60</v>
      </c>
      <c r="G1574">
        <v>-308.24340000000001</v>
      </c>
      <c r="H1574" s="1">
        <v>2.601302E-6</v>
      </c>
      <c r="I1574">
        <v>283.4846</v>
      </c>
      <c r="J1574">
        <v>-283.584</v>
      </c>
      <c r="K1574">
        <v>1.1199969999999999</v>
      </c>
      <c r="L1574">
        <v>284.01249999999999</v>
      </c>
      <c r="M1574">
        <v>-0.99983180000000005</v>
      </c>
      <c r="N1574">
        <v>-6.1568810000000003E-3</v>
      </c>
      <c r="O1574">
        <v>1.7279679999999999E-2</v>
      </c>
      <c r="P1574">
        <v>-0.97750130000000002</v>
      </c>
      <c r="Q1574">
        <v>0.20313909999999999</v>
      </c>
      <c r="R1574">
        <v>5.67982E-2</v>
      </c>
      <c r="S1574">
        <v>-3.1015009999999998</v>
      </c>
      <c r="T1574">
        <v>-0.13922799999999999</v>
      </c>
      <c r="U1574">
        <v>-6.5002439999999995E-2</v>
      </c>
      <c r="V1574">
        <v>3.9853109999999997E-2</v>
      </c>
      <c r="W1574">
        <v>0.20916770000000001</v>
      </c>
      <c r="X1574">
        <v>0.97706740000000003</v>
      </c>
      <c r="Y1574">
        <v>-3.8170200000000001E-2</v>
      </c>
      <c r="Z1574">
        <v>-1.6426940000000001E-3</v>
      </c>
      <c r="AA1574">
        <v>0.99926990000000004</v>
      </c>
      <c r="AB1574">
        <v>44</v>
      </c>
      <c r="AC1574">
        <v>-24.659400000000002</v>
      </c>
      <c r="AD1574">
        <v>-1.1199943986980001</v>
      </c>
      <c r="AE1574">
        <v>-0.52789999999998805</v>
      </c>
      <c r="AF1574">
        <v>-0.95197289691811005</v>
      </c>
      <c r="AG1574">
        <v>-1.1199943986980001</v>
      </c>
      <c r="AH1574">
        <v>24.595881717407998</v>
      </c>
      <c r="AI1574">
        <v>92.605263052440506</v>
      </c>
      <c r="AJ1574">
        <v>92.216501845532093</v>
      </c>
      <c r="AK1574">
        <v>24.639765366299802</v>
      </c>
      <c r="AL1574">
        <v>77.926418812878495</v>
      </c>
      <c r="AM1574">
        <v>87.664286047113507</v>
      </c>
      <c r="AN1574">
        <v>1.00000005062135</v>
      </c>
    </row>
    <row r="1575" spans="1:40" x14ac:dyDescent="0.25">
      <c r="A1575" t="str">
        <f>"20190303171010261"</f>
        <v>20190303171010261</v>
      </c>
      <c r="B1575" t="str">
        <f>"1551604210251826"</f>
        <v>1551604210251826</v>
      </c>
      <c r="C1575" t="s">
        <v>40</v>
      </c>
      <c r="D1575">
        <v>4.8961319999999997</v>
      </c>
      <c r="E1575">
        <v>0.475688</v>
      </c>
      <c r="F1575" t="s">
        <v>60</v>
      </c>
      <c r="G1575">
        <v>-310.19310000000002</v>
      </c>
      <c r="H1575" s="1">
        <v>2.4036219999999999E-6</v>
      </c>
      <c r="I1575">
        <v>283.46129999999999</v>
      </c>
      <c r="J1575">
        <v>-283.94450000000001</v>
      </c>
      <c r="K1575">
        <v>1.1200019999999999</v>
      </c>
      <c r="L1575">
        <v>284.01859999999999</v>
      </c>
      <c r="M1575">
        <v>-0.99983350000000004</v>
      </c>
      <c r="N1575">
        <v>-6.1634460000000004E-3</v>
      </c>
      <c r="O1575">
        <v>1.7178789999999999E-2</v>
      </c>
      <c r="P1575">
        <v>-0.97733289999999995</v>
      </c>
      <c r="Q1575">
        <v>0.2038344</v>
      </c>
      <c r="R1575">
        <v>5.719983E-2</v>
      </c>
      <c r="S1575">
        <v>-3.0998839999999999</v>
      </c>
      <c r="T1575">
        <v>-0.13047609999999901</v>
      </c>
      <c r="U1575">
        <v>-6.4208979999999999E-2</v>
      </c>
      <c r="V1575">
        <v>4.0350940000000002E-2</v>
      </c>
      <c r="W1575">
        <v>0.20986940000000001</v>
      </c>
      <c r="X1575">
        <v>0.97689649999999995</v>
      </c>
      <c r="Y1575">
        <v>-3.783181E-2</v>
      </c>
      <c r="Z1575">
        <v>-1.52925E-3</v>
      </c>
      <c r="AA1575">
        <v>0.99928300000000003</v>
      </c>
      <c r="AB1575">
        <v>44</v>
      </c>
      <c r="AC1575">
        <v>-26.2486</v>
      </c>
      <c r="AD1575">
        <v>-1.1199995963779901</v>
      </c>
      <c r="AE1575">
        <v>-0.55729999999999702</v>
      </c>
      <c r="AF1575">
        <v>-1.0063141742197499</v>
      </c>
      <c r="AG1575">
        <v>-1.1199995963779901</v>
      </c>
      <c r="AH1575">
        <v>26.1874960733576</v>
      </c>
      <c r="AI1575">
        <v>92.447157445930102</v>
      </c>
      <c r="AJ1575">
        <v>92.2006380405995</v>
      </c>
      <c r="AK1575">
        <v>26.230745660488601</v>
      </c>
      <c r="AL1575">
        <v>77.885301967424695</v>
      </c>
      <c r="AM1575">
        <v>87.634728869530804</v>
      </c>
      <c r="AN1575">
        <v>1.0000000675637399</v>
      </c>
    </row>
    <row r="1576" spans="1:40" x14ac:dyDescent="0.25">
      <c r="A1576" t="str">
        <f>"20190303171010274"</f>
        <v>20190303171010274</v>
      </c>
      <c r="B1576" t="str">
        <f>"1551604210262562"</f>
        <v>1551604210262562</v>
      </c>
      <c r="C1576" t="s">
        <v>40</v>
      </c>
      <c r="D1576">
        <v>4.9171060000000004</v>
      </c>
      <c r="E1576">
        <v>0.47567350000000003</v>
      </c>
      <c r="F1576" t="s">
        <v>60</v>
      </c>
      <c r="G1576">
        <v>-313.4735</v>
      </c>
      <c r="H1576" s="1">
        <v>3.8637960000000001E-6</v>
      </c>
      <c r="I1576">
        <v>283.39870000000002</v>
      </c>
      <c r="J1576">
        <v>-284.20819999999998</v>
      </c>
      <c r="K1576">
        <v>1.120009</v>
      </c>
      <c r="L1576">
        <v>284.02319999999997</v>
      </c>
      <c r="M1576">
        <v>-0.99983480000000002</v>
      </c>
      <c r="N1576">
        <v>-6.1684629999999999E-3</v>
      </c>
      <c r="O1576">
        <v>1.7099489999999998E-2</v>
      </c>
      <c r="P1576">
        <v>-0.97733669999999995</v>
      </c>
      <c r="Q1576">
        <v>0.203795</v>
      </c>
      <c r="R1576">
        <v>5.7278299999999997E-2</v>
      </c>
      <c r="S1576">
        <v>-3.0979000000000001</v>
      </c>
      <c r="T1576">
        <v>-0.1174994</v>
      </c>
      <c r="U1576">
        <v>-6.5032960000000001E-2</v>
      </c>
      <c r="V1576">
        <v>4.0503070000000002E-2</v>
      </c>
      <c r="W1576">
        <v>0.2098353</v>
      </c>
      <c r="X1576">
        <v>0.97689749999999997</v>
      </c>
      <c r="Y1576">
        <v>-3.8040539999999998E-2</v>
      </c>
      <c r="Z1576">
        <v>-1.38129299999999E-3</v>
      </c>
      <c r="AA1576">
        <v>0.99927529999999998</v>
      </c>
      <c r="AB1576">
        <v>44</v>
      </c>
      <c r="AC1576">
        <v>-29.2653</v>
      </c>
      <c r="AD1576">
        <v>-1.120005136204</v>
      </c>
      <c r="AE1576">
        <v>-0.62449999999995398</v>
      </c>
      <c r="AF1576">
        <v>-1.1231955578920001</v>
      </c>
      <c r="AG1576">
        <v>-1.120005136204</v>
      </c>
      <c r="AH1576">
        <v>29.2075827765571</v>
      </c>
      <c r="AI1576">
        <v>92.194389536002703</v>
      </c>
      <c r="AJ1576">
        <v>92.202259272786506</v>
      </c>
      <c r="AK1576">
        <v>29.2506217269963</v>
      </c>
      <c r="AL1576">
        <v>77.887299893462995</v>
      </c>
      <c r="AM1576">
        <v>87.625824002328301</v>
      </c>
      <c r="AN1576">
        <v>1.0000000386558801</v>
      </c>
    </row>
    <row r="1577" spans="1:40" x14ac:dyDescent="0.25">
      <c r="A1577" t="str">
        <f>"20190303171010292"</f>
        <v>20190303171010292</v>
      </c>
      <c r="B1577" t="str">
        <f>"1551604210282083"</f>
        <v>1551604210282083</v>
      </c>
      <c r="C1577" t="s">
        <v>40</v>
      </c>
      <c r="D1577">
        <v>4.9251519999999998</v>
      </c>
      <c r="E1577">
        <v>0.47562159999999898</v>
      </c>
      <c r="F1577" t="s">
        <v>60</v>
      </c>
      <c r="G1577">
        <v>-315.12150000000003</v>
      </c>
      <c r="H1577" s="1">
        <v>4.5967310000000002E-6</v>
      </c>
      <c r="I1577">
        <v>283.37459999999999</v>
      </c>
      <c r="J1577">
        <v>-284.56950000000001</v>
      </c>
      <c r="K1577">
        <v>1.120026</v>
      </c>
      <c r="L1577">
        <v>284.0292</v>
      </c>
      <c r="M1577">
        <v>-0.99983699999999998</v>
      </c>
      <c r="N1577">
        <v>-6.1758919999999997E-3</v>
      </c>
      <c r="O1577">
        <v>1.6981050000000001E-2</v>
      </c>
      <c r="P1577">
        <v>-0.97735530000000004</v>
      </c>
      <c r="Q1577">
        <v>0.20363700000000001</v>
      </c>
      <c r="R1577">
        <v>5.7524119999999998E-2</v>
      </c>
      <c r="S1577">
        <v>-3.0968019999999998</v>
      </c>
      <c r="T1577">
        <v>-0.1121986</v>
      </c>
      <c r="U1577">
        <v>-6.4971920000000002E-2</v>
      </c>
      <c r="V1577">
        <v>4.0857600000000001E-2</v>
      </c>
      <c r="W1577">
        <v>0.2096866</v>
      </c>
      <c r="X1577">
        <v>0.97691459999999997</v>
      </c>
      <c r="Y1577">
        <v>-3.7913549999999997E-2</v>
      </c>
      <c r="Z1577">
        <v>-1.3137800000000001E-3</v>
      </c>
      <c r="AA1577">
        <v>0.99928019999999995</v>
      </c>
      <c r="AB1577">
        <v>44</v>
      </c>
      <c r="AC1577">
        <v>-30.552</v>
      </c>
      <c r="AD1577">
        <v>-1.1200214032689999</v>
      </c>
      <c r="AE1577">
        <v>-0.65460000000001595</v>
      </c>
      <c r="AF1577">
        <v>-1.1717463980056699</v>
      </c>
      <c r="AG1577">
        <v>-1.1200214032689999</v>
      </c>
      <c r="AH1577">
        <v>30.495513865543298</v>
      </c>
      <c r="AI1577">
        <v>92.101830902681101</v>
      </c>
      <c r="AJ1577">
        <v>92.200425726046205</v>
      </c>
      <c r="AK1577">
        <v>30.538562564216502</v>
      </c>
      <c r="AL1577">
        <v>77.8960128468009</v>
      </c>
      <c r="AM1577">
        <v>87.605108416653394</v>
      </c>
      <c r="AN1577">
        <v>0.99999997469523905</v>
      </c>
    </row>
    <row r="1578" spans="1:40" x14ac:dyDescent="0.25">
      <c r="A1578" t="str">
        <f>"20190303171010305"</f>
        <v>20190303171010305</v>
      </c>
      <c r="B1578" t="str">
        <f>"1551604210302578"</f>
        <v>1551604210302578</v>
      </c>
      <c r="C1578" t="s">
        <v>40</v>
      </c>
      <c r="D1578">
        <v>4.8862050000000004</v>
      </c>
      <c r="E1578">
        <v>0.47551389999999999</v>
      </c>
      <c r="F1578" t="s">
        <v>60</v>
      </c>
      <c r="G1578">
        <v>-318.38069999999999</v>
      </c>
      <c r="H1578" s="1">
        <v>6.0461509999999999E-6</v>
      </c>
      <c r="I1578">
        <v>283.32769999999999</v>
      </c>
      <c r="J1578">
        <v>-284.81689999999998</v>
      </c>
      <c r="K1578">
        <v>1.1200319999999999</v>
      </c>
      <c r="L1578">
        <v>284.03339999999997</v>
      </c>
      <c r="M1578">
        <v>-0.99983820000000001</v>
      </c>
      <c r="N1578">
        <v>-6.1812309999999997E-3</v>
      </c>
      <c r="O1578">
        <v>1.6891489999999999E-2</v>
      </c>
      <c r="P1578">
        <v>-0.9774216</v>
      </c>
      <c r="Q1578">
        <v>0.20332349999999999</v>
      </c>
      <c r="R1578">
        <v>5.7501330000000003E-2</v>
      </c>
      <c r="S1578">
        <v>-3.0946349999999998</v>
      </c>
      <c r="T1578">
        <v>-0.10251200000000001</v>
      </c>
      <c r="U1578">
        <v>-6.4208979999999999E-2</v>
      </c>
      <c r="V1578">
        <v>4.0916069999999999E-2</v>
      </c>
      <c r="W1578">
        <v>0.2093798</v>
      </c>
      <c r="X1578">
        <v>0.97697800000000001</v>
      </c>
      <c r="Y1578">
        <v>-3.7598649999999997E-2</v>
      </c>
      <c r="Z1578">
        <v>-1.193716E-3</v>
      </c>
      <c r="AA1578">
        <v>0.99929219999999996</v>
      </c>
      <c r="AB1578">
        <v>44</v>
      </c>
      <c r="AC1578">
        <v>-33.563800000000001</v>
      </c>
      <c r="AD1578">
        <v>-1.1200259538489901</v>
      </c>
      <c r="AE1578">
        <v>-0.70569999999997801</v>
      </c>
      <c r="AF1578">
        <v>-1.27113788468126</v>
      </c>
      <c r="AG1578">
        <v>-1.1200259538489901</v>
      </c>
      <c r="AH1578">
        <v>33.509791969210703</v>
      </c>
      <c r="AI1578">
        <v>91.912957565950705</v>
      </c>
      <c r="AJ1578">
        <v>92.172377947488897</v>
      </c>
      <c r="AK1578">
        <v>33.552591665606698</v>
      </c>
      <c r="AL1578">
        <v>77.913990806634999</v>
      </c>
      <c r="AM1578">
        <v>87.601840617755201</v>
      </c>
      <c r="AN1578">
        <v>1.0000000189581399</v>
      </c>
    </row>
    <row r="1579" spans="1:40" x14ac:dyDescent="0.25">
      <c r="A1579" t="str">
        <f>"20190303171010327"</f>
        <v>20190303171010327</v>
      </c>
      <c r="B1579" t="str">
        <f>"1551604210322098"</f>
        <v>1551604210322098</v>
      </c>
      <c r="C1579" t="s">
        <v>40</v>
      </c>
      <c r="D1579">
        <v>4.9598940000000002</v>
      </c>
      <c r="E1579">
        <v>0.47544310000000001</v>
      </c>
      <c r="F1579" t="s">
        <v>53</v>
      </c>
      <c r="G1579">
        <v>-320.97199999999998</v>
      </c>
      <c r="H1579" s="1">
        <v>-9.6091579999999991E-7</v>
      </c>
      <c r="I1579">
        <v>283.27569999999997</v>
      </c>
      <c r="J1579">
        <v>-285.2491</v>
      </c>
      <c r="K1579">
        <v>1.120047</v>
      </c>
      <c r="L1579">
        <v>284.04059999999998</v>
      </c>
      <c r="M1579">
        <v>-0.99984099999999998</v>
      </c>
      <c r="N1579">
        <v>-6.1910239999999998E-3</v>
      </c>
      <c r="O1579">
        <v>1.6717119999999999E-2</v>
      </c>
      <c r="P1579">
        <v>-0.97749909999999995</v>
      </c>
      <c r="Q1579">
        <v>0.20288410000000001</v>
      </c>
      <c r="R1579">
        <v>5.7738999999999999E-2</v>
      </c>
      <c r="S1579">
        <v>-3.093048</v>
      </c>
      <c r="T1579">
        <v>-9.5818159999999999E-2</v>
      </c>
      <c r="U1579">
        <v>-6.4819340000000003E-2</v>
      </c>
      <c r="V1579">
        <v>4.1312590000000003E-2</v>
      </c>
      <c r="W1579">
        <v>0.20895269999999999</v>
      </c>
      <c r="X1579">
        <v>0.9770527</v>
      </c>
      <c r="Y1579">
        <v>-3.7635920000000003E-2</v>
      </c>
      <c r="Z1579">
        <v>-1.1135310000000001E-3</v>
      </c>
      <c r="AA1579">
        <v>0.99929089999999998</v>
      </c>
      <c r="AB1579">
        <v>44</v>
      </c>
      <c r="AC1579">
        <v>-35.722899999999903</v>
      </c>
      <c r="AD1579">
        <v>-1.1200479609158001</v>
      </c>
      <c r="AE1579">
        <v>-0.76490000000001102</v>
      </c>
      <c r="AF1579">
        <v>-1.3606516254841401</v>
      </c>
      <c r="AG1579">
        <v>-1.1200479609158001</v>
      </c>
      <c r="AH1579">
        <v>35.670070955025302</v>
      </c>
      <c r="AI1579">
        <v>91.797202758391805</v>
      </c>
      <c r="AJ1579">
        <v>92.18451530982</v>
      </c>
      <c r="AK1579">
        <v>35.713580641224198</v>
      </c>
      <c r="AL1579">
        <v>77.9390147724977</v>
      </c>
      <c r="AM1579">
        <v>87.578812350176804</v>
      </c>
      <c r="AN1579">
        <v>0.99999996975354299</v>
      </c>
    </row>
    <row r="1580" spans="1:40" x14ac:dyDescent="0.25">
      <c r="A1580" t="str">
        <f>"20190303171010338"</f>
        <v>20190303171010338</v>
      </c>
      <c r="B1580" t="str">
        <f>"1551604210332834"</f>
        <v>1551604210332834</v>
      </c>
      <c r="C1580" t="s">
        <v>40</v>
      </c>
      <c r="D1580">
        <v>4.9104269999999897</v>
      </c>
      <c r="E1580">
        <v>0.47540490000000002</v>
      </c>
      <c r="F1580" t="s">
        <v>53</v>
      </c>
      <c r="G1580">
        <v>-323.17939999999999</v>
      </c>
      <c r="H1580" s="1">
        <v>2.1462870000000001E-7</v>
      </c>
      <c r="I1580">
        <v>283.25439999999998</v>
      </c>
      <c r="J1580">
        <v>-285.48820000000001</v>
      </c>
      <c r="K1580">
        <v>1.120058</v>
      </c>
      <c r="L1580">
        <v>284.0446</v>
      </c>
      <c r="M1580">
        <v>-0.99984289999999998</v>
      </c>
      <c r="N1580">
        <v>-6.1966529999999999E-3</v>
      </c>
      <c r="O1580">
        <v>1.6610489999999999E-2</v>
      </c>
      <c r="P1580">
        <v>-0.97755650000000005</v>
      </c>
      <c r="Q1580">
        <v>0.202486</v>
      </c>
      <c r="R1580">
        <v>5.8161259999999999E-2</v>
      </c>
      <c r="S1580">
        <v>-3.0917970000000001</v>
      </c>
      <c r="T1580">
        <v>-9.1297980000000001E-2</v>
      </c>
      <c r="U1580">
        <v>-6.4086909999999997E-2</v>
      </c>
      <c r="V1580">
        <v>4.1831729999999998E-2</v>
      </c>
      <c r="W1580">
        <v>0.20856189999999999</v>
      </c>
      <c r="X1580">
        <v>0.97711409999999999</v>
      </c>
      <c r="Y1580">
        <v>-3.7303790000000003E-2</v>
      </c>
      <c r="Z1580">
        <v>-1.0536549999999999E-3</v>
      </c>
      <c r="AA1580">
        <v>0.99930339999999995</v>
      </c>
      <c r="AB1580">
        <v>44</v>
      </c>
      <c r="AC1580">
        <v>-37.691199999999903</v>
      </c>
      <c r="AD1580">
        <v>-1.1200577853713001</v>
      </c>
      <c r="AE1580">
        <v>-0.79020000000002699</v>
      </c>
      <c r="AF1580">
        <v>-1.4149233127621399</v>
      </c>
      <c r="AG1580">
        <v>-1.1200577853713001</v>
      </c>
      <c r="AH1580">
        <v>37.639649637110601</v>
      </c>
      <c r="AI1580">
        <v>91.703267635265604</v>
      </c>
      <c r="AJ1580">
        <v>92.152809095244805</v>
      </c>
      <c r="AK1580">
        <v>37.682884207926698</v>
      </c>
      <c r="AL1580">
        <v>77.961910319080999</v>
      </c>
      <c r="AM1580">
        <v>87.548578110924197</v>
      </c>
      <c r="AN1580">
        <v>0.999999962092605</v>
      </c>
    </row>
    <row r="1581" spans="1:40" x14ac:dyDescent="0.25">
      <c r="A1581" t="str">
        <f>"20190303171010351"</f>
        <v>20190303171010351</v>
      </c>
      <c r="B1581" t="str">
        <f>"1551604210342594"</f>
        <v>1551604210342594</v>
      </c>
      <c r="C1581" t="s">
        <v>40</v>
      </c>
      <c r="D1581">
        <v>4.9188179999999999</v>
      </c>
      <c r="E1581">
        <v>0.47539730000000002</v>
      </c>
      <c r="F1581" t="s">
        <v>53</v>
      </c>
      <c r="G1581">
        <v>-323.99299999999999</v>
      </c>
      <c r="H1581" s="1">
        <v>6.4741519999999896E-7</v>
      </c>
      <c r="I1581">
        <v>283.25880000000001</v>
      </c>
      <c r="J1581">
        <v>-285.738</v>
      </c>
      <c r="K1581">
        <v>1.120061</v>
      </c>
      <c r="L1581">
        <v>284.04860000000002</v>
      </c>
      <c r="M1581">
        <v>-0.99984490000000004</v>
      </c>
      <c r="N1581">
        <v>-6.2026219999999996E-3</v>
      </c>
      <c r="O1581">
        <v>1.6488530000000001E-2</v>
      </c>
      <c r="P1581">
        <v>-0.97755219999999998</v>
      </c>
      <c r="Q1581">
        <v>0.20245460000000001</v>
      </c>
      <c r="R1581">
        <v>5.8343779999999998E-2</v>
      </c>
      <c r="S1581">
        <v>-3.0912480000000002</v>
      </c>
      <c r="T1581">
        <v>-8.9920639999999996E-2</v>
      </c>
      <c r="U1581">
        <v>-6.3079830000000003E-2</v>
      </c>
      <c r="V1581">
        <v>4.2126419999999998E-2</v>
      </c>
      <c r="W1581">
        <v>0.2085381</v>
      </c>
      <c r="X1581">
        <v>0.97710660000000005</v>
      </c>
      <c r="Y1581">
        <v>-3.6861110000000002E-2</v>
      </c>
      <c r="Z1581">
        <v>-1.0275519999999999E-3</v>
      </c>
      <c r="AA1581">
        <v>0.99931990000000004</v>
      </c>
      <c r="AB1581">
        <v>44</v>
      </c>
      <c r="AC1581">
        <v>-38.255000000000003</v>
      </c>
      <c r="AD1581">
        <v>-1.1200603525848001</v>
      </c>
      <c r="AE1581">
        <v>-0.78980000000001305</v>
      </c>
      <c r="AF1581">
        <v>-1.4192572855910499</v>
      </c>
      <c r="AG1581">
        <v>-1.1200603525848001</v>
      </c>
      <c r="AH1581">
        <v>38.204039952578597</v>
      </c>
      <c r="AI1581">
        <v>91.678151169241005</v>
      </c>
      <c r="AJ1581">
        <v>92.127525659769901</v>
      </c>
      <c r="AK1581">
        <v>38.246797187926099</v>
      </c>
      <c r="AL1581">
        <v>77.963305582008104</v>
      </c>
      <c r="AM1581">
        <v>87.531311060845397</v>
      </c>
      <c r="AN1581">
        <v>1.0000000410885901</v>
      </c>
    </row>
    <row r="1582" spans="1:40" x14ac:dyDescent="0.25">
      <c r="A1582" t="str">
        <f>"20190303171010366"</f>
        <v>20190303171010366</v>
      </c>
      <c r="B1582" t="str">
        <f>"1551604210351886"</f>
        <v>1551604210351886</v>
      </c>
      <c r="C1582" t="s">
        <v>40</v>
      </c>
      <c r="D1582">
        <v>4.9097850000000003</v>
      </c>
      <c r="E1582">
        <v>0.47530450000000002</v>
      </c>
      <c r="F1582" t="s">
        <v>53</v>
      </c>
      <c r="G1582">
        <v>-325.30070000000001</v>
      </c>
      <c r="H1582" s="1">
        <v>1.343762E-6</v>
      </c>
      <c r="I1582">
        <v>283.2482</v>
      </c>
      <c r="J1582">
        <v>-286.01830000000001</v>
      </c>
      <c r="K1582">
        <v>1.120077</v>
      </c>
      <c r="L1582">
        <v>284.0532</v>
      </c>
      <c r="M1582">
        <v>-0.99984740000000005</v>
      </c>
      <c r="N1582">
        <v>-6.2094680000000001E-3</v>
      </c>
      <c r="O1582">
        <v>1.6340009999999999E-2</v>
      </c>
      <c r="P1582">
        <v>-0.977576</v>
      </c>
      <c r="Q1582">
        <v>0.20221349999999999</v>
      </c>
      <c r="R1582">
        <v>5.8779400000000002E-2</v>
      </c>
      <c r="S1582">
        <v>-3.0907290000000001</v>
      </c>
      <c r="T1582">
        <v>-8.7501759999999998E-2</v>
      </c>
      <c r="U1582">
        <v>-6.2530520000000006E-2</v>
      </c>
      <c r="V1582">
        <v>4.2698519999999997E-2</v>
      </c>
      <c r="W1582">
        <v>0.2083054</v>
      </c>
      <c r="X1582">
        <v>0.97713139999999998</v>
      </c>
      <c r="Y1582">
        <v>-3.6539950000000002E-2</v>
      </c>
      <c r="Z1582">
        <v>-9.9160239999999998E-4</v>
      </c>
      <c r="AA1582">
        <v>0.99933170000000004</v>
      </c>
      <c r="AB1582">
        <v>44</v>
      </c>
      <c r="AC1582">
        <v>-39.282400000000003</v>
      </c>
      <c r="AD1582">
        <v>-1.1200756562379901</v>
      </c>
      <c r="AE1582">
        <v>-0.80500000000000604</v>
      </c>
      <c r="AF1582">
        <v>-1.4456047803107901</v>
      </c>
      <c r="AG1582">
        <v>-1.1200756562379901</v>
      </c>
      <c r="AH1582">
        <v>39.232118448851203</v>
      </c>
      <c r="AI1582">
        <v>91.634239885845403</v>
      </c>
      <c r="AJ1582">
        <v>92.110250497655997</v>
      </c>
      <c r="AK1582">
        <v>39.2747178301926</v>
      </c>
      <c r="AL1582">
        <v>77.976937646520696</v>
      </c>
      <c r="AM1582">
        <v>87.497890655565101</v>
      </c>
      <c r="AN1582">
        <v>1.0000000380726499</v>
      </c>
    </row>
    <row r="1583" spans="1:40" x14ac:dyDescent="0.25">
      <c r="A1583" t="str">
        <f>"20190303171010385"</f>
        <v>20190303171010385</v>
      </c>
      <c r="B1583" t="str">
        <f>"1551604210372382"</f>
        <v>1551604210372382</v>
      </c>
      <c r="C1583" t="s">
        <v>40</v>
      </c>
      <c r="D1583">
        <v>4.9316120000000003</v>
      </c>
      <c r="E1583">
        <v>0.47510740000000001</v>
      </c>
      <c r="F1583" t="s">
        <v>53</v>
      </c>
      <c r="G1583">
        <v>-326.48129999999998</v>
      </c>
      <c r="H1583" s="1">
        <v>1.9722969999999999E-6</v>
      </c>
      <c r="I1583">
        <v>283.24200000000002</v>
      </c>
      <c r="J1583">
        <v>-286.38690000000003</v>
      </c>
      <c r="K1583">
        <v>1.1200939999999999</v>
      </c>
      <c r="L1583">
        <v>284.0591</v>
      </c>
      <c r="M1583">
        <v>-0.99985060000000003</v>
      </c>
      <c r="N1583">
        <v>-6.2186749999999999E-3</v>
      </c>
      <c r="O1583">
        <v>1.6128320000000002E-2</v>
      </c>
      <c r="P1583">
        <v>-0.97747680000000003</v>
      </c>
      <c r="Q1583">
        <v>0.202651</v>
      </c>
      <c r="R1583">
        <v>5.8922099999999998E-2</v>
      </c>
      <c r="S1583">
        <v>-3.0902400000000001</v>
      </c>
      <c r="T1583">
        <v>-8.5542439999999997E-2</v>
      </c>
      <c r="U1583">
        <v>-6.1950680000000001E-2</v>
      </c>
      <c r="V1583">
        <v>4.3038149999999997E-2</v>
      </c>
      <c r="W1583">
        <v>0.20875360000000001</v>
      </c>
      <c r="X1583">
        <v>0.97702080000000002</v>
      </c>
      <c r="Y1583">
        <v>-3.6145299999999998E-2</v>
      </c>
      <c r="Z1583">
        <v>-9.5861540000000004E-4</v>
      </c>
      <c r="AA1583">
        <v>0.99934610000000001</v>
      </c>
      <c r="AB1583">
        <v>44</v>
      </c>
      <c r="AC1583">
        <v>-40.094399999999901</v>
      </c>
      <c r="AD1583">
        <v>-1.120092027703</v>
      </c>
      <c r="AE1583">
        <v>-0.81709999999998195</v>
      </c>
      <c r="AF1583">
        <v>-1.4625205909298999</v>
      </c>
      <c r="AG1583">
        <v>-1.120092027703</v>
      </c>
      <c r="AH1583">
        <v>40.044766426550403</v>
      </c>
      <c r="AI1583">
        <v>91.601135363726797</v>
      </c>
      <c r="AJ1583">
        <v>92.091634860049396</v>
      </c>
      <c r="AK1583">
        <v>40.087116269275299</v>
      </c>
      <c r="AL1583">
        <v>77.950679924963893</v>
      </c>
      <c r="AM1583">
        <v>87.477729000223206</v>
      </c>
      <c r="AN1583">
        <v>0.99999999575051102</v>
      </c>
    </row>
    <row r="1584" spans="1:40" x14ac:dyDescent="0.25">
      <c r="A1584" t="str">
        <f>"20190303171010404"</f>
        <v>20190303171010404</v>
      </c>
      <c r="B1584" t="str">
        <f>"1551604210391902"</f>
        <v>1551604210391902</v>
      </c>
      <c r="C1584" t="s">
        <v>40</v>
      </c>
      <c r="D1584">
        <v>4.9016479999999998</v>
      </c>
      <c r="E1584">
        <v>0.4752652</v>
      </c>
      <c r="F1584" t="s">
        <v>53</v>
      </c>
      <c r="G1584">
        <v>-330.24419999999998</v>
      </c>
      <c r="H1584" s="1">
        <v>-1.3438609999999999E-6</v>
      </c>
      <c r="I1584">
        <v>283.17529999999999</v>
      </c>
      <c r="J1584">
        <v>-286.7817</v>
      </c>
      <c r="K1584">
        <v>1.120115</v>
      </c>
      <c r="L1584">
        <v>284.06529999999998</v>
      </c>
      <c r="M1584">
        <v>-0.99985460000000004</v>
      </c>
      <c r="N1584">
        <v>-6.2287710000000001E-3</v>
      </c>
      <c r="O1584">
        <v>1.588055E-2</v>
      </c>
      <c r="P1584">
        <v>-0.97745729999999997</v>
      </c>
      <c r="Q1584">
        <v>0.20287289999999999</v>
      </c>
      <c r="R1584">
        <v>5.8481249999999999E-2</v>
      </c>
      <c r="S1584">
        <v>-3.0892330000000001</v>
      </c>
      <c r="T1584">
        <v>-7.8897709999999996E-2</v>
      </c>
      <c r="U1584">
        <v>-6.2255860000000003E-2</v>
      </c>
      <c r="V1584">
        <v>4.2827490000000003E-2</v>
      </c>
      <c r="W1584">
        <v>0.20898810000000001</v>
      </c>
      <c r="X1584">
        <v>0.97697990000000001</v>
      </c>
      <c r="Y1584">
        <v>-3.6005969999999998E-2</v>
      </c>
      <c r="Z1584">
        <v>-8.7842309999999995E-4</v>
      </c>
      <c r="AA1584">
        <v>0.9993512</v>
      </c>
      <c r="AB1584">
        <v>45</v>
      </c>
      <c r="AC1584">
        <v>-43.462499999999899</v>
      </c>
      <c r="AD1584">
        <v>-1.120116343861</v>
      </c>
      <c r="AE1584">
        <v>-0.88999999999998602</v>
      </c>
      <c r="AF1584">
        <v>-1.57906111657191</v>
      </c>
      <c r="AG1584">
        <v>-1.120116343861</v>
      </c>
      <c r="AH1584">
        <v>43.414061636289397</v>
      </c>
      <c r="AI1584">
        <v>91.476971296183095</v>
      </c>
      <c r="AJ1584">
        <v>92.083050262231097</v>
      </c>
      <c r="AK1584">
        <v>43.457207024763903</v>
      </c>
      <c r="AL1584">
        <v>77.936940743312604</v>
      </c>
      <c r="AM1584">
        <v>87.489954060075206</v>
      </c>
      <c r="AN1584">
        <v>0.99999997242265903</v>
      </c>
    </row>
    <row r="1585" spans="1:40" x14ac:dyDescent="0.25">
      <c r="A1585" t="str">
        <f>"20190303171010419"</f>
        <v>20190303171010419</v>
      </c>
      <c r="B1585" t="str">
        <f>"1551604210412397"</f>
        <v>1551604210412397</v>
      </c>
      <c r="C1585" t="s">
        <v>40</v>
      </c>
      <c r="D1585">
        <v>5.0275550000000004</v>
      </c>
      <c r="E1585">
        <v>0.47594550000000002</v>
      </c>
      <c r="F1585" t="s">
        <v>53</v>
      </c>
      <c r="G1585">
        <v>-333.75459999999998</v>
      </c>
      <c r="H1585" s="1">
        <v>5.2633049999999898E-7</v>
      </c>
      <c r="I1585">
        <v>283.12670000000003</v>
      </c>
      <c r="J1585">
        <v>-287.08030000000002</v>
      </c>
      <c r="K1585">
        <v>1.120133</v>
      </c>
      <c r="L1585">
        <v>284.06990000000002</v>
      </c>
      <c r="M1585">
        <v>-0.99985749999999995</v>
      </c>
      <c r="N1585">
        <v>-6.2365179999999999E-3</v>
      </c>
      <c r="O1585">
        <v>1.568201E-2</v>
      </c>
      <c r="P1585">
        <v>-0.97747169999999906</v>
      </c>
      <c r="Q1585">
        <v>0.20292460000000001</v>
      </c>
      <c r="R1585">
        <v>5.8059609999999998E-2</v>
      </c>
      <c r="S1585">
        <v>-3.088165</v>
      </c>
      <c r="T1585">
        <v>-7.3640349999999993E-2</v>
      </c>
      <c r="U1585">
        <v>-6.1706539999999997E-2</v>
      </c>
      <c r="V1585">
        <v>4.2591070000000002E-2</v>
      </c>
      <c r="W1585">
        <v>0.20904829999999999</v>
      </c>
      <c r="X1585">
        <v>0.9769774</v>
      </c>
      <c r="Y1585">
        <v>-3.5639160000000003E-2</v>
      </c>
      <c r="Z1585">
        <v>-8.1207130000000003E-4</v>
      </c>
      <c r="AA1585">
        <v>0.99936440000000004</v>
      </c>
      <c r="AB1585">
        <v>45</v>
      </c>
      <c r="AC1585">
        <v>-46.674299999999903</v>
      </c>
      <c r="AD1585">
        <v>-1.1201324736695</v>
      </c>
      <c r="AE1585">
        <v>-0.94319999999999005</v>
      </c>
      <c r="AF1585">
        <v>-1.67408135253551</v>
      </c>
      <c r="AG1585">
        <v>-1.1201324736695</v>
      </c>
      <c r="AH1585">
        <v>46.626924949114802</v>
      </c>
      <c r="AI1585">
        <v>91.375283042124494</v>
      </c>
      <c r="AJ1585">
        <v>92.056249963000695</v>
      </c>
      <c r="AK1585">
        <v>46.670412204563398</v>
      </c>
      <c r="AL1585">
        <v>77.933414157672203</v>
      </c>
      <c r="AM1585">
        <v>87.503786277054303</v>
      </c>
      <c r="AN1585">
        <v>1.0000000155436899</v>
      </c>
    </row>
    <row r="1586" spans="1:40" x14ac:dyDescent="0.25">
      <c r="A1586" t="str">
        <f>"20190303171010431"</f>
        <v>20190303171010431</v>
      </c>
      <c r="B1586" t="str">
        <f>"1551604210422158"</f>
        <v>1551604210422158</v>
      </c>
      <c r="C1586" t="s">
        <v>40</v>
      </c>
      <c r="D1586">
        <v>5.034707</v>
      </c>
      <c r="E1586">
        <v>0.47594550000000002</v>
      </c>
      <c r="F1586" t="s">
        <v>53</v>
      </c>
      <c r="G1586">
        <v>-335.4828</v>
      </c>
      <c r="H1586" s="1">
        <v>1.444165E-6</v>
      </c>
      <c r="I1586">
        <v>283.16809999999998</v>
      </c>
      <c r="J1586">
        <v>-287.34550000000002</v>
      </c>
      <c r="K1586">
        <v>1.1201449999999999</v>
      </c>
      <c r="L1586">
        <v>284.07400000000001</v>
      </c>
      <c r="M1586">
        <v>-0.99986039999999998</v>
      </c>
      <c r="N1586">
        <v>-6.2434889999999996E-3</v>
      </c>
      <c r="O1586">
        <v>1.549655E-2</v>
      </c>
      <c r="P1586">
        <v>-0.97742030000000002</v>
      </c>
      <c r="Q1586">
        <v>0.2032841</v>
      </c>
      <c r="R1586">
        <v>5.7664130000000001E-2</v>
      </c>
      <c r="S1586">
        <v>-3.0874329999999999</v>
      </c>
      <c r="T1586">
        <v>-7.1449520000000002E-2</v>
      </c>
      <c r="U1586">
        <v>-5.7525630000000001E-2</v>
      </c>
      <c r="V1586">
        <v>4.2370020000000001E-2</v>
      </c>
      <c r="W1586">
        <v>0.2094162</v>
      </c>
      <c r="X1586">
        <v>0.9769082</v>
      </c>
      <c r="Y1586">
        <v>-3.410709E-2</v>
      </c>
      <c r="Z1586">
        <v>-7.6287869999999995E-4</v>
      </c>
      <c r="AA1586">
        <v>0.99941789999999997</v>
      </c>
      <c r="AB1586">
        <v>45</v>
      </c>
      <c r="AC1586">
        <v>-48.137299999999897</v>
      </c>
      <c r="AD1586">
        <v>-1.1201435558349999</v>
      </c>
      <c r="AE1586">
        <v>-0.90590000000003001</v>
      </c>
      <c r="AF1586">
        <v>-1.65087425140208</v>
      </c>
      <c r="AG1586">
        <v>-1.1201435558349999</v>
      </c>
      <c r="AH1586">
        <v>48.091449480864398</v>
      </c>
      <c r="AI1586">
        <v>91.333503895165506</v>
      </c>
      <c r="AJ1586">
        <v>91.966066737536593</v>
      </c>
      <c r="AK1586">
        <v>48.132812306680698</v>
      </c>
      <c r="AL1586">
        <v>77.911857690572404</v>
      </c>
      <c r="AM1586">
        <v>87.516549819041103</v>
      </c>
      <c r="AN1586">
        <v>0.99999999732223999</v>
      </c>
    </row>
    <row r="1587" spans="1:40" x14ac:dyDescent="0.25">
      <c r="A1587" t="str">
        <f>"20190303171010450"</f>
        <v>20190303171010450</v>
      </c>
      <c r="B1587" t="str">
        <f>"1551604210442654"</f>
        <v>1551604210442654</v>
      </c>
      <c r="C1587" t="s">
        <v>40</v>
      </c>
      <c r="D1587">
        <v>5.0373830000000002</v>
      </c>
      <c r="E1587">
        <v>0.4766225</v>
      </c>
      <c r="F1587" t="s">
        <v>53</v>
      </c>
      <c r="G1587">
        <v>-336.54950000000002</v>
      </c>
      <c r="H1587" s="1">
        <v>2.0132519999999998E-6</v>
      </c>
      <c r="I1587">
        <v>283.13580000000002</v>
      </c>
      <c r="J1587">
        <v>-287.71260000000001</v>
      </c>
      <c r="K1587">
        <v>1.1201669999999999</v>
      </c>
      <c r="L1587">
        <v>284.0795</v>
      </c>
      <c r="M1587">
        <v>-0.99986459999999999</v>
      </c>
      <c r="N1587">
        <v>-6.2532550000000001E-3</v>
      </c>
      <c r="O1587">
        <v>1.5229879999999999E-2</v>
      </c>
      <c r="P1587">
        <v>-0.97736829999999997</v>
      </c>
      <c r="Q1587">
        <v>0.20384859999999999</v>
      </c>
      <c r="R1587">
        <v>5.6547090000000001E-2</v>
      </c>
      <c r="S1587">
        <v>-3.0874329999999999</v>
      </c>
      <c r="T1587">
        <v>-7.0286269999999998E-2</v>
      </c>
      <c r="U1587">
        <v>-5.8868410000000003E-2</v>
      </c>
      <c r="V1587">
        <v>4.1505269999999997E-2</v>
      </c>
      <c r="W1587">
        <v>0.2099906</v>
      </c>
      <c r="X1587">
        <v>0.97682199999999997</v>
      </c>
      <c r="Y1587">
        <v>-3.4275439999999997E-2</v>
      </c>
      <c r="Z1587">
        <v>-7.4867360000000003E-4</v>
      </c>
      <c r="AA1587">
        <v>0.99941210000000003</v>
      </c>
      <c r="AB1587">
        <v>45</v>
      </c>
      <c r="AC1587">
        <v>-48.8369</v>
      </c>
      <c r="AD1587">
        <v>-1.1201649867479999</v>
      </c>
      <c r="AE1587">
        <v>-0.943699999999978</v>
      </c>
      <c r="AF1587">
        <v>-1.6864981780277399</v>
      </c>
      <c r="AG1587">
        <v>-1.1201649867479999</v>
      </c>
      <c r="AH1587">
        <v>48.791203451796598</v>
      </c>
      <c r="AI1587">
        <v>91.314400186671605</v>
      </c>
      <c r="AJ1587">
        <v>91.979675942910305</v>
      </c>
      <c r="AK1587">
        <v>48.833191376118698</v>
      </c>
      <c r="AL1587">
        <v>77.878198367490199</v>
      </c>
      <c r="AM1587">
        <v>87.566959780790199</v>
      </c>
      <c r="AN1587">
        <v>0.99999997960506604</v>
      </c>
    </row>
    <row r="1588" spans="1:40" x14ac:dyDescent="0.25">
      <c r="A1588" t="str">
        <f>"20190303171010472"</f>
        <v>20190303171010472</v>
      </c>
      <c r="B1588" t="str">
        <f>"1551604210462680"</f>
        <v>1551604210462680</v>
      </c>
      <c r="C1588" t="s">
        <v>40</v>
      </c>
      <c r="D1588">
        <v>4.9746589999999999</v>
      </c>
      <c r="E1588">
        <v>0.47726689999999999</v>
      </c>
      <c r="F1588" t="s">
        <v>53</v>
      </c>
      <c r="G1588">
        <v>-339.50020000000001</v>
      </c>
      <c r="H1588" s="1">
        <v>3.5839359999999998E-6</v>
      </c>
      <c r="I1588">
        <v>283.12520000000001</v>
      </c>
      <c r="J1588">
        <v>-288.15230000000003</v>
      </c>
      <c r="K1588">
        <v>1.120188</v>
      </c>
      <c r="L1588">
        <v>284.08600000000001</v>
      </c>
      <c r="M1588">
        <v>-0.99986929999999996</v>
      </c>
      <c r="N1588">
        <v>-6.2649709999999898E-3</v>
      </c>
      <c r="O1588">
        <v>1.4899880000000001E-2</v>
      </c>
      <c r="P1588">
        <v>-0.97733930000000002</v>
      </c>
      <c r="Q1588">
        <v>0.20424500000000001</v>
      </c>
      <c r="R1588">
        <v>5.5602730000000003E-2</v>
      </c>
      <c r="S1588">
        <v>-3.0867309999999999</v>
      </c>
      <c r="T1588">
        <v>-6.6765790000000005E-2</v>
      </c>
      <c r="U1588">
        <v>-5.6884770000000001E-2</v>
      </c>
      <c r="V1588">
        <v>4.0873619999999999E-2</v>
      </c>
      <c r="W1588">
        <v>0.2103999</v>
      </c>
      <c r="X1588">
        <v>0.97676059999999998</v>
      </c>
      <c r="Y1588">
        <v>-3.3309470000000001E-2</v>
      </c>
      <c r="Z1588">
        <v>-6.9342380000000003E-4</v>
      </c>
      <c r="AA1588">
        <v>0.99944480000000002</v>
      </c>
      <c r="AB1588">
        <v>45</v>
      </c>
      <c r="AC1588">
        <v>-51.347899999999903</v>
      </c>
      <c r="AD1588">
        <v>-1.120184416064</v>
      </c>
      <c r="AE1588">
        <v>-0.96080000000000598</v>
      </c>
      <c r="AF1588">
        <v>-1.72496529209788</v>
      </c>
      <c r="AG1588">
        <v>-1.120184416064</v>
      </c>
      <c r="AH1588">
        <v>51.303475801815601</v>
      </c>
      <c r="AI1588">
        <v>91.250118267513699</v>
      </c>
      <c r="AJ1588">
        <v>91.925717729236993</v>
      </c>
      <c r="AK1588">
        <v>51.344687629124898</v>
      </c>
      <c r="AL1588">
        <v>77.854211820723506</v>
      </c>
      <c r="AM1588">
        <v>87.603793193346107</v>
      </c>
      <c r="AN1588">
        <v>1.00000002022213</v>
      </c>
    </row>
    <row r="1589" spans="1:40" x14ac:dyDescent="0.25">
      <c r="A1589" t="str">
        <f>"20190303171010487"</f>
        <v>20190303171010487</v>
      </c>
      <c r="B1589" t="str">
        <f>"1551604210482200"</f>
        <v>1551604210482200</v>
      </c>
      <c r="C1589" t="s">
        <v>40</v>
      </c>
      <c r="D1589">
        <v>5.028702</v>
      </c>
      <c r="E1589">
        <v>0.47788419999999998</v>
      </c>
      <c r="F1589" t="s">
        <v>53</v>
      </c>
      <c r="G1589">
        <v>-342.51209999999998</v>
      </c>
      <c r="H1589" s="1">
        <v>-1.9999570000000001E-7</v>
      </c>
      <c r="I1589">
        <v>283.12049999999999</v>
      </c>
      <c r="J1589">
        <v>-288.43419999999998</v>
      </c>
      <c r="K1589">
        <v>1.1202030000000001</v>
      </c>
      <c r="L1589">
        <v>284.09010000000001</v>
      </c>
      <c r="M1589">
        <v>-0.9998726</v>
      </c>
      <c r="N1589">
        <v>-6.272639E-3</v>
      </c>
      <c r="O1589">
        <v>1.468292E-2</v>
      </c>
      <c r="P1589">
        <v>-0.97731979999999996</v>
      </c>
      <c r="Q1589">
        <v>0.20446010000000001</v>
      </c>
      <c r="R1589">
        <v>5.5157619999999997E-2</v>
      </c>
      <c r="S1589">
        <v>-3.0859679999999998</v>
      </c>
      <c r="T1589">
        <v>-6.3592309999999999E-2</v>
      </c>
      <c r="U1589">
        <v>-5.4809570000000002E-2</v>
      </c>
      <c r="V1589">
        <v>4.0635329999999997E-2</v>
      </c>
      <c r="W1589">
        <v>0.21062320000000001</v>
      </c>
      <c r="X1589">
        <v>0.97672239999999999</v>
      </c>
      <c r="Y1589">
        <v>-3.2426589999999998E-2</v>
      </c>
      <c r="Z1589">
        <v>-6.4619619999999999E-4</v>
      </c>
      <c r="AA1589">
        <v>0.99947390000000003</v>
      </c>
      <c r="AB1589">
        <v>45</v>
      </c>
      <c r="AC1589">
        <v>-54.0779</v>
      </c>
      <c r="AD1589">
        <v>-1.1202031999957001</v>
      </c>
      <c r="AE1589">
        <v>-0.96960000000001401</v>
      </c>
      <c r="AF1589">
        <v>-1.7627763577952</v>
      </c>
      <c r="AG1589">
        <v>-1.1202031999957001</v>
      </c>
      <c r="AH1589">
        <v>54.034654765065802</v>
      </c>
      <c r="AI1589">
        <v>91.187008807380806</v>
      </c>
      <c r="AJ1589">
        <v>91.868501588618997</v>
      </c>
      <c r="AK1589">
        <v>54.075004866173899</v>
      </c>
      <c r="AL1589">
        <v>77.841124208717901</v>
      </c>
      <c r="AM1589">
        <v>87.617653686085703</v>
      </c>
      <c r="AN1589">
        <v>1.0000000045421</v>
      </c>
    </row>
    <row r="1590" spans="1:40" x14ac:dyDescent="0.25">
      <c r="A1590" t="str">
        <f>"20190303171010505"</f>
        <v>20190303171010505</v>
      </c>
      <c r="B1590" t="str">
        <f>"1551604210491960"</f>
        <v>1551604210491960</v>
      </c>
      <c r="C1590" t="s">
        <v>40</v>
      </c>
      <c r="D1590">
        <v>5.1831389999999997</v>
      </c>
      <c r="E1590">
        <v>0.4784485</v>
      </c>
      <c r="F1590" t="s">
        <v>53</v>
      </c>
      <c r="G1590">
        <v>-344.70740000000001</v>
      </c>
      <c r="H1590" s="1">
        <v>9.6824349999999993E-7</v>
      </c>
      <c r="I1590">
        <v>283.15949999999998</v>
      </c>
      <c r="J1590">
        <v>-288.81909999999999</v>
      </c>
      <c r="K1590">
        <v>1.1202190000000001</v>
      </c>
      <c r="L1590">
        <v>284.09559999999999</v>
      </c>
      <c r="M1590">
        <v>-0.99987689999999996</v>
      </c>
      <c r="N1590">
        <v>-6.2831340000000001E-3</v>
      </c>
      <c r="O1590">
        <v>1.4383190000000001E-2</v>
      </c>
      <c r="P1590">
        <v>-0.97720899999999999</v>
      </c>
      <c r="Q1590">
        <v>0.205124</v>
      </c>
      <c r="R1590">
        <v>5.4650499999999998E-2</v>
      </c>
      <c r="S1590">
        <v>-3.0853579999999998</v>
      </c>
      <c r="T1590">
        <v>-6.1418649999999998E-2</v>
      </c>
      <c r="U1590">
        <v>-5.1025389999999997E-2</v>
      </c>
      <c r="V1590">
        <v>4.041521E-2</v>
      </c>
      <c r="W1590">
        <v>0.2112977</v>
      </c>
      <c r="X1590">
        <v>0.97658590000000001</v>
      </c>
      <c r="Y1590">
        <v>-3.0906059999999999E-2</v>
      </c>
      <c r="Z1590">
        <v>-6.0059019999999998E-4</v>
      </c>
      <c r="AA1590">
        <v>0.99952209999999997</v>
      </c>
      <c r="AB1590">
        <v>45</v>
      </c>
      <c r="AC1590">
        <v>-55.888300000000001</v>
      </c>
      <c r="AD1590">
        <v>-1.1202180317565</v>
      </c>
      <c r="AE1590">
        <v>-0.93610000000001004</v>
      </c>
      <c r="AF1590">
        <v>-1.7391724715981201</v>
      </c>
      <c r="AG1590">
        <v>-1.1202180317565</v>
      </c>
      <c r="AH1590">
        <v>55.846623654284798</v>
      </c>
      <c r="AI1590">
        <v>91.148575629590795</v>
      </c>
      <c r="AJ1590">
        <v>91.783725521097196</v>
      </c>
      <c r="AK1590">
        <v>55.884926258410403</v>
      </c>
      <c r="AL1590">
        <v>77.801589168421302</v>
      </c>
      <c r="AM1590">
        <v>87.630213207057196</v>
      </c>
      <c r="AN1590">
        <v>1.0000000636517199</v>
      </c>
    </row>
    <row r="1591" spans="1:40" x14ac:dyDescent="0.25">
      <c r="A1591" t="str">
        <f>"20190303171010520"</f>
        <v>20190303171010520</v>
      </c>
      <c r="B1591" t="str">
        <f>"1551604210512456"</f>
        <v>1551604210512456</v>
      </c>
      <c r="C1591" t="s">
        <v>40</v>
      </c>
      <c r="D1591">
        <v>5.3086140000000004</v>
      </c>
      <c r="E1591">
        <v>0.47903220000000002</v>
      </c>
      <c r="F1591" t="s">
        <v>53</v>
      </c>
      <c r="G1591">
        <v>-348.10550000000001</v>
      </c>
      <c r="H1591" s="1">
        <v>2.7765559999999999E-6</v>
      </c>
      <c r="I1591">
        <v>283.18119999999999</v>
      </c>
      <c r="J1591">
        <v>-289.11709999999999</v>
      </c>
      <c r="K1591">
        <v>1.120225</v>
      </c>
      <c r="L1591">
        <v>284.09969999999998</v>
      </c>
      <c r="M1591">
        <v>-0.9998802</v>
      </c>
      <c r="N1591">
        <v>-6.2912350000000001E-3</v>
      </c>
      <c r="O1591">
        <v>1.414907E-2</v>
      </c>
      <c r="P1591">
        <v>-0.97714849999999998</v>
      </c>
      <c r="Q1591">
        <v>0.20547380000000001</v>
      </c>
      <c r="R1591">
        <v>5.4421009999999999E-2</v>
      </c>
      <c r="S1591">
        <v>-3.0848390000000001</v>
      </c>
      <c r="T1591">
        <v>-5.8287980000000003E-2</v>
      </c>
      <c r="U1591">
        <v>-4.7576899999999998E-2</v>
      </c>
      <c r="V1591">
        <v>4.0410250000000002E-2</v>
      </c>
      <c r="W1591">
        <v>0.2116555</v>
      </c>
      <c r="X1591">
        <v>0.97650859999999995</v>
      </c>
      <c r="Y1591">
        <v>-2.9558950000000001E-2</v>
      </c>
      <c r="Z1591">
        <v>-5.5051709999999997E-4</v>
      </c>
      <c r="AA1591">
        <v>0.99956290000000003</v>
      </c>
      <c r="AB1591">
        <v>45</v>
      </c>
      <c r="AC1591">
        <v>-58.988399999999999</v>
      </c>
      <c r="AD1591">
        <v>-1.120222223444</v>
      </c>
      <c r="AE1591">
        <v>-0.91849999999999399</v>
      </c>
      <c r="AF1591">
        <v>-1.7524236481090301</v>
      </c>
      <c r="AG1591">
        <v>-1.120222223444</v>
      </c>
      <c r="AH1591">
        <v>58.948244666226898</v>
      </c>
      <c r="AI1591">
        <v>91.088207943970403</v>
      </c>
      <c r="AJ1591">
        <v>91.7027973715646</v>
      </c>
      <c r="AK1591">
        <v>58.984925495432201</v>
      </c>
      <c r="AL1591">
        <v>77.780614090312199</v>
      </c>
      <c r="AM1591">
        <v>87.630316355680705</v>
      </c>
      <c r="AN1591">
        <v>1.00000004242963</v>
      </c>
    </row>
    <row r="1592" spans="1:40" x14ac:dyDescent="0.25">
      <c r="A1592" t="str">
        <f>"20190303171010532"</f>
        <v>20190303171010532</v>
      </c>
      <c r="B1592" t="str">
        <f>"1551604210522216"</f>
        <v>1551604210522216</v>
      </c>
      <c r="C1592" t="s">
        <v>40</v>
      </c>
      <c r="D1592">
        <v>5.0781650000000003</v>
      </c>
      <c r="E1592">
        <v>0.47903220000000002</v>
      </c>
      <c r="F1592" t="s">
        <v>53</v>
      </c>
      <c r="G1592">
        <v>-350.66070000000002</v>
      </c>
      <c r="H1592" s="1">
        <v>-1.1851709999999999E-6</v>
      </c>
      <c r="I1592">
        <v>283.22410000000002</v>
      </c>
      <c r="J1592">
        <v>-289.38780000000003</v>
      </c>
      <c r="K1592">
        <v>1.1202319999999999</v>
      </c>
      <c r="L1592">
        <v>284.1035</v>
      </c>
      <c r="M1592">
        <v>-0.99988319999999997</v>
      </c>
      <c r="N1592">
        <v>-6.2986489999999999E-3</v>
      </c>
      <c r="O1592">
        <v>1.393523E-2</v>
      </c>
      <c r="P1592">
        <v>-0.97712980000000005</v>
      </c>
      <c r="Q1592">
        <v>0.20559649999999999</v>
      </c>
      <c r="R1592">
        <v>5.429353E-2</v>
      </c>
      <c r="S1592">
        <v>-3.084381</v>
      </c>
      <c r="T1592">
        <v>-5.6142329999999997E-2</v>
      </c>
      <c r="U1592">
        <v>-4.3884279999999998E-2</v>
      </c>
      <c r="V1592">
        <v>4.0487830000000002E-2</v>
      </c>
      <c r="W1592">
        <v>0.21178649999999999</v>
      </c>
      <c r="X1592">
        <v>0.97647689999999998</v>
      </c>
      <c r="Y1592">
        <v>-2.815192E-2</v>
      </c>
      <c r="Z1592">
        <v>-5.1070559999999996E-4</v>
      </c>
      <c r="AA1592">
        <v>0.99960349999999998</v>
      </c>
      <c r="AB1592">
        <v>45</v>
      </c>
      <c r="AC1592">
        <v>-61.2728999999999</v>
      </c>
      <c r="AD1592">
        <v>-1.1202331851709999</v>
      </c>
      <c r="AE1592">
        <v>-0.87939999999997498</v>
      </c>
      <c r="AF1592">
        <v>-1.73260436550653</v>
      </c>
      <c r="AG1592">
        <v>-1.1202331851709999</v>
      </c>
      <c r="AH1592">
        <v>61.234231551339498</v>
      </c>
      <c r="AI1592">
        <v>91.047646131733003</v>
      </c>
      <c r="AJ1592">
        <v>91.620734614267406</v>
      </c>
      <c r="AK1592">
        <v>61.268980356780801</v>
      </c>
      <c r="AL1592">
        <v>77.772933232673793</v>
      </c>
      <c r="AM1592">
        <v>87.6256952266246</v>
      </c>
      <c r="AN1592">
        <v>0.99999996109698297</v>
      </c>
    </row>
    <row r="1593" spans="1:40" x14ac:dyDescent="0.25">
      <c r="A1593" t="str">
        <f>"20190303171010551"</f>
        <v>20190303171010551</v>
      </c>
      <c r="B1593" t="str">
        <f>"1551604210542711"</f>
        <v>1551604210542711</v>
      </c>
      <c r="C1593" t="s">
        <v>40</v>
      </c>
      <c r="D1593">
        <v>5.3008739999999896</v>
      </c>
      <c r="E1593">
        <v>0.48006959999999999</v>
      </c>
      <c r="F1593" t="s">
        <v>53</v>
      </c>
      <c r="G1593">
        <v>-351.3372</v>
      </c>
      <c r="H1593" s="1">
        <v>-8.2521990000000003E-7</v>
      </c>
      <c r="I1593">
        <v>283.21910000000003</v>
      </c>
      <c r="J1593">
        <v>-289.74610000000001</v>
      </c>
      <c r="K1593">
        <v>1.1202399999999999</v>
      </c>
      <c r="L1593">
        <v>284.10829999999999</v>
      </c>
      <c r="M1593">
        <v>-0.99988690000000002</v>
      </c>
      <c r="N1593">
        <v>-6.3085449999999996E-3</v>
      </c>
      <c r="O1593">
        <v>1.365151E-2</v>
      </c>
      <c r="P1593">
        <v>-0.97703810000000002</v>
      </c>
      <c r="Q1593">
        <v>0.20607880000000001</v>
      </c>
      <c r="R1593">
        <v>5.4114170000000003E-2</v>
      </c>
      <c r="S1593">
        <v>-3.0844119999999999</v>
      </c>
      <c r="T1593">
        <v>-5.5775520000000002E-2</v>
      </c>
      <c r="U1593">
        <v>-4.4036869999999999E-2</v>
      </c>
      <c r="V1593">
        <v>4.0581659999999999E-2</v>
      </c>
      <c r="W1593">
        <v>0.21227860000000001</v>
      </c>
      <c r="X1593">
        <v>0.97636619999999996</v>
      </c>
      <c r="Y1593">
        <v>-2.791774E-2</v>
      </c>
      <c r="Z1593">
        <v>-5.0117580000000003E-4</v>
      </c>
      <c r="AA1593">
        <v>0.99961009999999995</v>
      </c>
      <c r="AB1593">
        <v>45</v>
      </c>
      <c r="AC1593">
        <v>-61.591099999999898</v>
      </c>
      <c r="AD1593">
        <v>-1.1202408252199001</v>
      </c>
      <c r="AE1593">
        <v>-0.88919999999995902</v>
      </c>
      <c r="AF1593">
        <v>-1.7293734099554701</v>
      </c>
      <c r="AG1593">
        <v>-1.1202408252199001</v>
      </c>
      <c r="AH1593">
        <v>61.552862720597801</v>
      </c>
      <c r="AI1593">
        <v>91.042237090779494</v>
      </c>
      <c r="AJ1593">
        <v>91.609344127057199</v>
      </c>
      <c r="AK1593">
        <v>61.587341077516101</v>
      </c>
      <c r="AL1593">
        <v>77.744082656794205</v>
      </c>
      <c r="AM1593">
        <v>87.619929615738798</v>
      </c>
      <c r="AN1593">
        <v>1.00000001582437</v>
      </c>
    </row>
    <row r="1594" spans="1:40" x14ac:dyDescent="0.25">
      <c r="A1594" t="str">
        <f>"20190303171010575"</f>
        <v>20190303171010575</v>
      </c>
      <c r="B1594" t="str">
        <f>"1551604210562739"</f>
        <v>1551604210562739</v>
      </c>
      <c r="C1594" t="s">
        <v>40</v>
      </c>
      <c r="D1594">
        <v>5.2383689999999996</v>
      </c>
      <c r="E1594">
        <v>0.48106379999999999</v>
      </c>
      <c r="F1594" t="s">
        <v>53</v>
      </c>
      <c r="G1594">
        <v>-355.80709999999999</v>
      </c>
      <c r="H1594" s="1">
        <v>1.553451E-6</v>
      </c>
      <c r="I1594">
        <v>283.33359999999999</v>
      </c>
      <c r="J1594">
        <v>-290.22989999999999</v>
      </c>
      <c r="K1594">
        <v>1.1202490000000001</v>
      </c>
      <c r="L1594">
        <v>284.11470000000003</v>
      </c>
      <c r="M1594">
        <v>-0.999892</v>
      </c>
      <c r="N1594">
        <v>-6.3219909999999999E-3</v>
      </c>
      <c r="O1594">
        <v>1.3267559999999999E-2</v>
      </c>
      <c r="P1594">
        <v>-0.97693859999999999</v>
      </c>
      <c r="Q1594">
        <v>0.20661589999999999</v>
      </c>
      <c r="R1594">
        <v>5.3859209999999998E-2</v>
      </c>
      <c r="S1594">
        <v>-3.083466</v>
      </c>
      <c r="T1594">
        <v>-5.2288290000000001E-2</v>
      </c>
      <c r="U1594">
        <v>-3.616333E-2</v>
      </c>
      <c r="V1594">
        <v>4.0696490000000002E-2</v>
      </c>
      <c r="W1594">
        <v>0.2128293</v>
      </c>
      <c r="X1594">
        <v>0.97624149999999998</v>
      </c>
      <c r="Y1594">
        <v>-2.4987539999999999E-2</v>
      </c>
      <c r="Z1594">
        <v>-4.319293E-4</v>
      </c>
      <c r="AA1594">
        <v>0.99968769999999996</v>
      </c>
      <c r="AB1594">
        <v>45</v>
      </c>
      <c r="AC1594">
        <v>-65.577200000000005</v>
      </c>
      <c r="AD1594">
        <v>-1.120247446549</v>
      </c>
      <c r="AE1594">
        <v>-0.78110000000003699</v>
      </c>
      <c r="AF1594">
        <v>-1.6506164437836801</v>
      </c>
      <c r="AG1594">
        <v>-1.120247446549</v>
      </c>
      <c r="AH1594">
        <v>65.541940250650299</v>
      </c>
      <c r="AI1594">
        <v>90.978897821974201</v>
      </c>
      <c r="AJ1594">
        <v>91.442639155835394</v>
      </c>
      <c r="AK1594">
        <v>65.572291562868202</v>
      </c>
      <c r="AL1594">
        <v>77.711791695629998</v>
      </c>
      <c r="AM1594">
        <v>87.612898213914306</v>
      </c>
      <c r="AN1594">
        <v>0.99999999077952995</v>
      </c>
    </row>
    <row r="1595" spans="1:40" x14ac:dyDescent="0.25">
      <c r="A1595" t="str">
        <f>"20190303171010621"</f>
        <v>20190303171010621</v>
      </c>
      <c r="B1595" t="str">
        <f>"1551604210612515"</f>
        <v>1551604210612515</v>
      </c>
      <c r="C1595" t="s">
        <v>40</v>
      </c>
      <c r="D1595">
        <v>5.2459309999999997</v>
      </c>
      <c r="E1595">
        <v>0.48237400000000002</v>
      </c>
      <c r="F1595" t="s">
        <v>53</v>
      </c>
      <c r="G1595">
        <v>-360.42230000000001</v>
      </c>
      <c r="H1595" s="1">
        <v>-1.312065E-6</v>
      </c>
      <c r="I1595">
        <v>283.45249999999999</v>
      </c>
      <c r="J1595">
        <v>-291.14690000000002</v>
      </c>
      <c r="K1595">
        <v>1.12026</v>
      </c>
      <c r="L1595">
        <v>284.12630000000001</v>
      </c>
      <c r="M1595">
        <v>-0.99990129999999999</v>
      </c>
      <c r="N1595">
        <v>-6.3434900000000002E-3</v>
      </c>
      <c r="O1595">
        <v>1.253955E-2</v>
      </c>
      <c r="P1595">
        <v>-0.97694499999999995</v>
      </c>
      <c r="Q1595">
        <v>0.20678969999999999</v>
      </c>
      <c r="R1595">
        <v>5.3072340000000003E-2</v>
      </c>
      <c r="S1595">
        <v>-3.0828250000000001</v>
      </c>
      <c r="T1595">
        <v>-4.9201010000000003E-2</v>
      </c>
      <c r="U1595">
        <v>-2.9083250000000001E-2</v>
      </c>
      <c r="V1595">
        <v>4.0611069999999999E-2</v>
      </c>
      <c r="W1595">
        <v>0.21302589999999999</v>
      </c>
      <c r="X1595">
        <v>0.97620220000000002</v>
      </c>
      <c r="Y1595">
        <v>-2.1967549999999999E-2</v>
      </c>
      <c r="Z1595">
        <v>-3.6553539999999998E-4</v>
      </c>
      <c r="AA1595">
        <v>0.99975860000000005</v>
      </c>
      <c r="AB1595">
        <v>46</v>
      </c>
      <c r="AC1595">
        <v>-69.275399999999905</v>
      </c>
      <c r="AD1595">
        <v>-1.120261312065</v>
      </c>
      <c r="AE1595">
        <v>-0.67380000000002804</v>
      </c>
      <c r="AF1595">
        <v>-1.5420435883817201</v>
      </c>
      <c r="AG1595">
        <v>-1.120261312065</v>
      </c>
      <c r="AH1595">
        <v>69.243397999209193</v>
      </c>
      <c r="AI1595">
        <v>90.926654976838407</v>
      </c>
      <c r="AJ1595">
        <v>91.275760436752705</v>
      </c>
      <c r="AK1595">
        <v>69.269625741104306</v>
      </c>
      <c r="AL1595">
        <v>77.700263260575497</v>
      </c>
      <c r="AM1595">
        <v>87.617807061306294</v>
      </c>
      <c r="AN1595">
        <v>1.0000000141810901</v>
      </c>
    </row>
    <row r="1596" spans="1:40" x14ac:dyDescent="0.25">
      <c r="A1596" t="str">
        <f>"20190303171010640"</f>
        <v>20190303171010640</v>
      </c>
      <c r="B1596" t="str">
        <f>"1551604210632035"</f>
        <v>1551604210632035</v>
      </c>
      <c r="C1596" t="s">
        <v>40</v>
      </c>
      <c r="D1596">
        <v>5.2417579999999999</v>
      </c>
      <c r="E1596">
        <v>0.48319109999999998</v>
      </c>
      <c r="F1596" t="s">
        <v>53</v>
      </c>
      <c r="G1596">
        <v>-364.28989999999999</v>
      </c>
      <c r="H1596" s="1">
        <v>7.4605379999999995E-7</v>
      </c>
      <c r="I1596">
        <v>283.64030000000002</v>
      </c>
      <c r="J1596">
        <v>-291.56959999999998</v>
      </c>
      <c r="K1596">
        <v>1.1202650000000001</v>
      </c>
      <c r="L1596">
        <v>284.13139999999999</v>
      </c>
      <c r="M1596">
        <v>-0.99990540000000006</v>
      </c>
      <c r="N1596">
        <v>-6.349174E-3</v>
      </c>
      <c r="O1596">
        <v>1.220419E-2</v>
      </c>
      <c r="P1596">
        <v>-0.97698600000000002</v>
      </c>
      <c r="Q1596">
        <v>0.2067348</v>
      </c>
      <c r="R1596">
        <v>5.2527259999999999E-2</v>
      </c>
      <c r="S1596">
        <v>-3.081909</v>
      </c>
      <c r="T1596">
        <v>-4.7202590000000003E-2</v>
      </c>
      <c r="U1596">
        <v>-2.0477289999999999E-2</v>
      </c>
      <c r="V1596">
        <v>4.038957E-2</v>
      </c>
      <c r="W1596">
        <v>0.212977</v>
      </c>
      <c r="X1596">
        <v>0.97622200000000003</v>
      </c>
      <c r="Y1596">
        <v>-1.8844260000000002E-2</v>
      </c>
      <c r="Z1596">
        <v>-3.1354910000000002E-4</v>
      </c>
      <c r="AA1596">
        <v>0.9998224</v>
      </c>
      <c r="AB1596">
        <v>46</v>
      </c>
      <c r="AC1596">
        <v>-72.720299999999995</v>
      </c>
      <c r="AD1596">
        <v>-1.1202642539462</v>
      </c>
      <c r="AE1596">
        <v>-0.49109999999996001</v>
      </c>
      <c r="AF1596">
        <v>-1.37824657622524</v>
      </c>
      <c r="AG1596">
        <v>-1.1202642539462</v>
      </c>
      <c r="AH1596">
        <v>72.691640212949096</v>
      </c>
      <c r="AI1596">
        <v>90.882767281290597</v>
      </c>
      <c r="AJ1596">
        <v>91.086208140246498</v>
      </c>
      <c r="AK1596">
        <v>72.713335176378706</v>
      </c>
      <c r="AL1596">
        <v>77.703130110176502</v>
      </c>
      <c r="AM1596">
        <v>87.630833117398893</v>
      </c>
      <c r="AN1596">
        <v>0.99999995658889096</v>
      </c>
    </row>
    <row r="1597" spans="1:40" x14ac:dyDescent="0.25">
      <c r="A1597" t="str">
        <f>"20190303171010662"</f>
        <v>20190303171010662</v>
      </c>
      <c r="B1597" t="str">
        <f>"1551604210652057"</f>
        <v>1551604210652057</v>
      </c>
      <c r="C1597" t="s">
        <v>40</v>
      </c>
      <c r="D1597">
        <v>5.306235</v>
      </c>
      <c r="E1597">
        <v>0.48394779999999998</v>
      </c>
      <c r="F1597" t="s">
        <v>53</v>
      </c>
      <c r="G1597">
        <v>-365.10649999999998</v>
      </c>
      <c r="H1597" s="1">
        <v>1.1806200000000001E-6</v>
      </c>
      <c r="I1597">
        <v>283.75850000000003</v>
      </c>
      <c r="J1597">
        <v>-292.01659999999998</v>
      </c>
      <c r="K1597">
        <v>1.120266</v>
      </c>
      <c r="L1597">
        <v>284.13670000000002</v>
      </c>
      <c r="M1597">
        <v>-0.99990959999999995</v>
      </c>
      <c r="N1597">
        <v>-6.3545650000000004E-3</v>
      </c>
      <c r="O1597">
        <v>1.184988E-2</v>
      </c>
      <c r="P1597">
        <v>-0.97708740000000005</v>
      </c>
      <c r="Q1597">
        <v>0.20630229999999999</v>
      </c>
      <c r="R1597">
        <v>5.2339940000000001E-2</v>
      </c>
      <c r="S1597">
        <v>-3.0814509999999999</v>
      </c>
      <c r="T1597">
        <v>-4.6942949999999997E-2</v>
      </c>
      <c r="U1597">
        <v>-1.5625E-2</v>
      </c>
      <c r="V1597">
        <v>4.0544440000000001E-2</v>
      </c>
      <c r="W1597">
        <v>0.21255170000000001</v>
      </c>
      <c r="X1597">
        <v>0.97630830000000002</v>
      </c>
      <c r="Y1597">
        <v>-1.6916960000000002E-2</v>
      </c>
      <c r="Z1597">
        <v>-2.8781260000000002E-4</v>
      </c>
      <c r="AA1597">
        <v>0.99985679999999999</v>
      </c>
      <c r="AB1597">
        <v>46</v>
      </c>
      <c r="AC1597">
        <v>-73.0899</v>
      </c>
      <c r="AD1597">
        <v>-1.12026481938</v>
      </c>
      <c r="AE1597">
        <v>-0.37819999999999199</v>
      </c>
      <c r="AF1597">
        <v>-1.24400523430934</v>
      </c>
      <c r="AG1597">
        <v>-1.12026481938</v>
      </c>
      <c r="AH1597">
        <v>73.063122475554806</v>
      </c>
      <c r="AI1597">
        <v>90.878310630894504</v>
      </c>
      <c r="AJ1597">
        <v>90.975449183440404</v>
      </c>
      <c r="AK1597">
        <v>73.082298870290401</v>
      </c>
      <c r="AL1597">
        <v>77.728069394726404</v>
      </c>
      <c r="AM1597">
        <v>87.621969162568107</v>
      </c>
      <c r="AN1597">
        <v>0.999999986718346</v>
      </c>
    </row>
    <row r="1598" spans="1:40" x14ac:dyDescent="0.25">
      <c r="A1598" t="str">
        <f>"20190303171010695"</f>
        <v>20190303171010695</v>
      </c>
      <c r="B1598" t="str">
        <f>"1551604210682313"</f>
        <v>1551604210682313</v>
      </c>
      <c r="C1598" t="s">
        <v>40</v>
      </c>
      <c r="D1598">
        <v>5.2499370000000001</v>
      </c>
      <c r="E1598">
        <v>0.48430469999999998</v>
      </c>
      <c r="F1598" t="s">
        <v>53</v>
      </c>
      <c r="G1598">
        <v>-364.17809999999997</v>
      </c>
      <c r="H1598" s="1">
        <v>6.8661209999999997E-7</v>
      </c>
      <c r="I1598">
        <v>283.90870000000001</v>
      </c>
      <c r="J1598">
        <v>-292.68520000000001</v>
      </c>
      <c r="K1598">
        <v>1.1202669999999999</v>
      </c>
      <c r="L1598">
        <v>284.14420000000001</v>
      </c>
      <c r="M1598">
        <v>-0.99991580000000002</v>
      </c>
      <c r="N1598">
        <v>-6.3637320000000004E-3</v>
      </c>
      <c r="O1598">
        <v>1.1318999999999999E-2</v>
      </c>
      <c r="P1598">
        <v>-0.977101</v>
      </c>
      <c r="Q1598">
        <v>0.20636470000000001</v>
      </c>
      <c r="R1598">
        <v>5.1839900000000001E-2</v>
      </c>
      <c r="S1598">
        <v>-3.080994</v>
      </c>
      <c r="T1598">
        <v>-4.7830579999999998E-2</v>
      </c>
      <c r="U1598">
        <v>-9.7351069999999998E-3</v>
      </c>
      <c r="V1598">
        <v>4.0559339999999999E-2</v>
      </c>
      <c r="W1598">
        <v>0.21262339999999999</v>
      </c>
      <c r="X1598">
        <v>0.9762921</v>
      </c>
      <c r="Y1598">
        <v>-1.4475750000000001E-2</v>
      </c>
      <c r="Z1598">
        <v>-2.6209889999999998E-4</v>
      </c>
      <c r="AA1598">
        <v>0.99989519999999998</v>
      </c>
      <c r="AB1598">
        <v>46</v>
      </c>
      <c r="AC1598">
        <v>-71.492899999999906</v>
      </c>
      <c r="AD1598">
        <v>-1.1202663133878901</v>
      </c>
      <c r="AE1598">
        <v>-0.23550000000000099</v>
      </c>
      <c r="AF1598">
        <v>-1.0444728896546001</v>
      </c>
      <c r="AG1598">
        <v>-1.1202663133878901</v>
      </c>
      <c r="AH1598">
        <v>71.468106298881395</v>
      </c>
      <c r="AI1598">
        <v>90.897944928300305</v>
      </c>
      <c r="AJ1598">
        <v>90.837291366199494</v>
      </c>
      <c r="AK1598">
        <v>71.484516772363705</v>
      </c>
      <c r="AL1598">
        <v>77.723865570201895</v>
      </c>
      <c r="AM1598">
        <v>87.621056816120301</v>
      </c>
      <c r="AN1598">
        <v>1.0000000174056001</v>
      </c>
    </row>
    <row r="1599" spans="1:40" x14ac:dyDescent="0.25">
      <c r="A1599" t="str">
        <f>"20190303171010708"</f>
        <v>20190303171010708</v>
      </c>
      <c r="B1599" t="str">
        <f>"1551604210702809"</f>
        <v>1551604210702809</v>
      </c>
      <c r="C1599" t="s">
        <v>40</v>
      </c>
      <c r="D1599">
        <v>5.3118059999999998</v>
      </c>
      <c r="E1599">
        <v>0.48500140000000003</v>
      </c>
      <c r="F1599" t="s">
        <v>53</v>
      </c>
      <c r="G1599">
        <v>-365.45519999999999</v>
      </c>
      <c r="H1599" s="1">
        <v>1.3662139999999999E-6</v>
      </c>
      <c r="I1599">
        <v>283.95100000000002</v>
      </c>
      <c r="J1599">
        <v>-292.96530000000001</v>
      </c>
      <c r="K1599">
        <v>1.120268</v>
      </c>
      <c r="L1599">
        <v>284.14729999999997</v>
      </c>
      <c r="M1599">
        <v>-0.99991819999999998</v>
      </c>
      <c r="N1599">
        <v>-6.3680100000000003E-3</v>
      </c>
      <c r="O1599">
        <v>1.109682E-2</v>
      </c>
      <c r="P1599">
        <v>-0.97708539999999999</v>
      </c>
      <c r="Q1599">
        <v>0.20652889999999999</v>
      </c>
      <c r="R1599">
        <v>5.1479619999999997E-2</v>
      </c>
      <c r="S1599">
        <v>-3.0807500000000001</v>
      </c>
      <c r="T1599">
        <v>-4.7426940000000001E-2</v>
      </c>
      <c r="U1599">
        <v>-8.178711E-3</v>
      </c>
      <c r="V1599">
        <v>4.0414930000000002E-2</v>
      </c>
      <c r="W1599">
        <v>0.21279210000000001</v>
      </c>
      <c r="X1599">
        <v>0.9762613</v>
      </c>
      <c r="Y1599">
        <v>-1.374885E-2</v>
      </c>
      <c r="Z1599">
        <v>-2.4975840000000002E-4</v>
      </c>
      <c r="AA1599">
        <v>0.9999055</v>
      </c>
      <c r="AB1599">
        <v>46</v>
      </c>
      <c r="AC1599">
        <v>-72.489899999999906</v>
      </c>
      <c r="AD1599">
        <v>-1.1202666337860001</v>
      </c>
      <c r="AE1599">
        <v>-0.196300000000007</v>
      </c>
      <c r="AF1599">
        <v>-1.00047261579298</v>
      </c>
      <c r="AG1599">
        <v>-1.1202666337860001</v>
      </c>
      <c r="AH1599">
        <v>72.465951277006297</v>
      </c>
      <c r="AI1599">
        <v>90.885592771133204</v>
      </c>
      <c r="AJ1599">
        <v>90.790981360677193</v>
      </c>
      <c r="AK1599">
        <v>72.4815151419118</v>
      </c>
      <c r="AL1599">
        <v>77.7139729958798</v>
      </c>
      <c r="AM1599">
        <v>87.6294425732099</v>
      </c>
      <c r="AN1599">
        <v>0.99999998513350197</v>
      </c>
    </row>
    <row r="1600" spans="1:40" x14ac:dyDescent="0.25">
      <c r="A1600" t="str">
        <f>"20190303171010721"</f>
        <v>20190303171010721</v>
      </c>
      <c r="B1600" t="str">
        <f>"1551604210712569"</f>
        <v>1551604210712569</v>
      </c>
      <c r="C1600" t="s">
        <v>40</v>
      </c>
      <c r="D1600">
        <v>5.3723660000000004</v>
      </c>
      <c r="E1600">
        <v>0.48529339999999999</v>
      </c>
      <c r="F1600" t="s">
        <v>53</v>
      </c>
      <c r="G1600">
        <v>-367.0992</v>
      </c>
      <c r="H1600" s="1">
        <v>2.2410779999999998E-6</v>
      </c>
      <c r="I1600">
        <v>284.06209999999999</v>
      </c>
      <c r="J1600">
        <v>-293.23559999999998</v>
      </c>
      <c r="K1600">
        <v>1.1202620000000001</v>
      </c>
      <c r="L1600">
        <v>284.15019999999998</v>
      </c>
      <c r="M1600">
        <v>-0.99992049999999999</v>
      </c>
      <c r="N1600">
        <v>-6.3722819999999999E-3</v>
      </c>
      <c r="O1600">
        <v>1.08825E-2</v>
      </c>
      <c r="P1600">
        <v>-0.97712279999999996</v>
      </c>
      <c r="Q1600">
        <v>0.20640339999999999</v>
      </c>
      <c r="R1600">
        <v>5.1273930000000002E-2</v>
      </c>
      <c r="S1600">
        <v>-3.0803829999999999</v>
      </c>
      <c r="T1600">
        <v>-4.6548840000000001E-2</v>
      </c>
      <c r="U1600">
        <v>-3.540039E-3</v>
      </c>
      <c r="V1600">
        <v>4.0417179999999997E-2</v>
      </c>
      <c r="W1600">
        <v>0.21267050000000001</v>
      </c>
      <c r="X1600">
        <v>0.97628769999999998</v>
      </c>
      <c r="Y1600">
        <v>-1.20295E-2</v>
      </c>
      <c r="Z1600">
        <v>-2.2430949999999999E-4</v>
      </c>
      <c r="AA1600">
        <v>0.99992760000000003</v>
      </c>
      <c r="AB1600">
        <v>46</v>
      </c>
      <c r="AC1600">
        <v>-73.863600000000005</v>
      </c>
      <c r="AD1600">
        <v>-1.120259758922</v>
      </c>
      <c r="AE1600">
        <v>-8.8099999999997097E-2</v>
      </c>
      <c r="AF1600">
        <v>-0.89172659395985698</v>
      </c>
      <c r="AG1600">
        <v>-1.120259758922</v>
      </c>
      <c r="AH1600">
        <v>73.841281761387094</v>
      </c>
      <c r="AI1600">
        <v>90.869114837767498</v>
      </c>
      <c r="AJ1600">
        <v>90.691885157166098</v>
      </c>
      <c r="AK1600">
        <v>73.855162652386099</v>
      </c>
      <c r="AL1600">
        <v>77.721103327641998</v>
      </c>
      <c r="AM1600">
        <v>87.629374782099802</v>
      </c>
      <c r="AN1600">
        <v>0.99999998159034598</v>
      </c>
    </row>
    <row r="1601" spans="1:40" x14ac:dyDescent="0.25">
      <c r="A1601" t="str">
        <f>"20190303171010740"</f>
        <v>20190303171010740</v>
      </c>
      <c r="B1601" t="str">
        <f>"1551604210732090"</f>
        <v>1551604210732090</v>
      </c>
      <c r="C1601" t="s">
        <v>40</v>
      </c>
      <c r="D1601">
        <v>5.3128849999999996</v>
      </c>
      <c r="E1601">
        <v>0.48587019999999997</v>
      </c>
      <c r="F1601" t="s">
        <v>53</v>
      </c>
      <c r="G1601">
        <v>-367.1241</v>
      </c>
      <c r="H1601" s="1">
        <v>2.254324E-6</v>
      </c>
      <c r="I1601">
        <v>284.10919999999999</v>
      </c>
      <c r="J1601">
        <v>-293.63099999999997</v>
      </c>
      <c r="K1601">
        <v>1.1202620000000001</v>
      </c>
      <c r="L1601">
        <v>284.15440000000001</v>
      </c>
      <c r="M1601">
        <v>-0.99992380000000003</v>
      </c>
      <c r="N1601">
        <v>-6.3788789999999996E-3</v>
      </c>
      <c r="O1601">
        <v>1.056875E-2</v>
      </c>
      <c r="P1601">
        <v>-0.97714080000000003</v>
      </c>
      <c r="Q1601">
        <v>0.2063942</v>
      </c>
      <c r="R1601">
        <v>5.0966089999999999E-2</v>
      </c>
      <c r="S1601">
        <v>-3.0802</v>
      </c>
      <c r="T1601">
        <v>-4.6700360000000003E-2</v>
      </c>
      <c r="U1601">
        <v>-1.708984E-3</v>
      </c>
      <c r="V1601">
        <v>4.0414270000000002E-2</v>
      </c>
      <c r="W1601">
        <v>0.21266860000000001</v>
      </c>
      <c r="X1601">
        <v>0.9762883</v>
      </c>
      <c r="Y1601">
        <v>-1.1121539999999999E-2</v>
      </c>
      <c r="Z1601">
        <v>-2.125897E-4</v>
      </c>
      <c r="AA1601">
        <v>0.99993810000000005</v>
      </c>
      <c r="AB1601">
        <v>46</v>
      </c>
      <c r="AC1601">
        <v>-73.493099999999998</v>
      </c>
      <c r="AD1601">
        <v>-1.120259745676</v>
      </c>
      <c r="AE1601">
        <v>-4.52000000000225E-2</v>
      </c>
      <c r="AF1601">
        <v>-0.821752546486888</v>
      </c>
      <c r="AG1601">
        <v>-1.120259745676</v>
      </c>
      <c r="AH1601">
        <v>73.471446318443796</v>
      </c>
      <c r="AI1601">
        <v>90.873498096306193</v>
      </c>
      <c r="AJ1601">
        <v>90.640806625173894</v>
      </c>
      <c r="AK1601">
        <v>73.484581262122006</v>
      </c>
      <c r="AL1601">
        <v>77.721215537465099</v>
      </c>
      <c r="AM1601">
        <v>87.629546725394405</v>
      </c>
      <c r="AN1601">
        <v>1.0000000456812399</v>
      </c>
    </row>
    <row r="1602" spans="1:40" x14ac:dyDescent="0.25">
      <c r="A1602" t="str">
        <f>"20190303171010754"</f>
        <v>20190303171010754</v>
      </c>
      <c r="B1602" t="str">
        <f>"1551604210741850"</f>
        <v>1551604210741850</v>
      </c>
      <c r="C1602" t="s">
        <v>40</v>
      </c>
      <c r="D1602">
        <v>5.1995089999999999</v>
      </c>
      <c r="E1602">
        <v>0.48587019999999997</v>
      </c>
      <c r="F1602" t="s">
        <v>53</v>
      </c>
      <c r="G1602">
        <v>-368.10829999999999</v>
      </c>
      <c r="H1602" s="1">
        <v>2.7780619999999999E-6</v>
      </c>
      <c r="I1602">
        <v>284.19639999999998</v>
      </c>
      <c r="J1602">
        <v>-293.9196</v>
      </c>
      <c r="K1602">
        <v>1.1202589999999999</v>
      </c>
      <c r="L1602">
        <v>284.15730000000002</v>
      </c>
      <c r="M1602">
        <v>-0.99992619999999999</v>
      </c>
      <c r="N1602">
        <v>-6.3839350000000003E-3</v>
      </c>
      <c r="O1602">
        <v>1.033948E-2</v>
      </c>
      <c r="P1602">
        <v>-0.97715620000000003</v>
      </c>
      <c r="Q1602">
        <v>0.2063808</v>
      </c>
      <c r="R1602">
        <v>5.072513E-2</v>
      </c>
      <c r="S1602">
        <v>-3.0798649999999999</v>
      </c>
      <c r="T1602">
        <v>-4.6326159999999998E-2</v>
      </c>
      <c r="U1602">
        <v>1.739502E-3</v>
      </c>
      <c r="V1602">
        <v>4.0396330000000001E-2</v>
      </c>
      <c r="W1602">
        <v>0.21266019999999999</v>
      </c>
      <c r="X1602">
        <v>0.97629080000000001</v>
      </c>
      <c r="Y1602">
        <v>-9.7729570000000005E-3</v>
      </c>
      <c r="Z1602">
        <v>-1.9419970000000001E-4</v>
      </c>
      <c r="AA1602">
        <v>0.99995219999999996</v>
      </c>
      <c r="AB1602">
        <v>46</v>
      </c>
      <c r="AC1602">
        <v>-74.188699999999898</v>
      </c>
      <c r="AD1602">
        <v>-1.1202562219379999</v>
      </c>
      <c r="AE1602">
        <v>3.9099999999962103E-2</v>
      </c>
      <c r="AF1602">
        <v>-0.72782432325427004</v>
      </c>
      <c r="AG1602">
        <v>-1.1202562219379999</v>
      </c>
      <c r="AH1602">
        <v>74.168227149083904</v>
      </c>
      <c r="AI1602">
        <v>90.865302919641493</v>
      </c>
      <c r="AJ1602">
        <v>90.562234329263902</v>
      </c>
      <c r="AK1602">
        <v>74.1802576207877</v>
      </c>
      <c r="AL1602">
        <v>77.721707209487903</v>
      </c>
      <c r="AM1602">
        <v>87.630603836715494</v>
      </c>
      <c r="AN1602">
        <v>0.99999997515307404</v>
      </c>
    </row>
    <row r="1603" spans="1:40" x14ac:dyDescent="0.25">
      <c r="A1603" t="str">
        <f>"20190303171010768"</f>
        <v>20190303171010768</v>
      </c>
      <c r="B1603" t="str">
        <f>"1551604210761878"</f>
        <v>1551604210761878</v>
      </c>
      <c r="C1603" t="s">
        <v>40</v>
      </c>
      <c r="D1603">
        <v>5.2560820000000001</v>
      </c>
      <c r="E1603">
        <v>0.48642360000000001</v>
      </c>
      <c r="F1603" t="s">
        <v>53</v>
      </c>
      <c r="G1603">
        <v>-368.30540000000002</v>
      </c>
      <c r="H1603" s="1">
        <v>2.8829259999999998E-6</v>
      </c>
      <c r="I1603">
        <v>284.18680000000001</v>
      </c>
      <c r="J1603">
        <v>-294.21370000000002</v>
      </c>
      <c r="K1603">
        <v>1.1202570000000001</v>
      </c>
      <c r="L1603">
        <v>284.16019999999997</v>
      </c>
      <c r="M1603">
        <v>-0.9999285</v>
      </c>
      <c r="N1603">
        <v>-6.3893689999999998E-3</v>
      </c>
      <c r="O1603">
        <v>1.0106449999999999E-2</v>
      </c>
      <c r="P1603">
        <v>-0.9772033</v>
      </c>
      <c r="Q1603">
        <v>0.2061849</v>
      </c>
      <c r="R1603">
        <v>5.0611330000000003E-2</v>
      </c>
      <c r="S1603">
        <v>-3.0798649999999999</v>
      </c>
      <c r="T1603">
        <v>-4.6383019999999997E-2</v>
      </c>
      <c r="U1603">
        <v>1.2207030000000001E-3</v>
      </c>
      <c r="V1603">
        <v>4.0508849999999999E-2</v>
      </c>
      <c r="W1603">
        <v>0.2124701</v>
      </c>
      <c r="X1603">
        <v>0.97632750000000001</v>
      </c>
      <c r="Y1603">
        <v>-9.7083740000000005E-3</v>
      </c>
      <c r="Z1603">
        <v>-1.917384E-4</v>
      </c>
      <c r="AA1603">
        <v>0.99995290000000003</v>
      </c>
      <c r="AB1603">
        <v>46</v>
      </c>
      <c r="AC1603">
        <v>-74.091700000000003</v>
      </c>
      <c r="AD1603">
        <v>-1.1202541170739999</v>
      </c>
      <c r="AE1603">
        <v>2.6600000000030301E-2</v>
      </c>
      <c r="AF1603">
        <v>-0.722055647872062</v>
      </c>
      <c r="AG1603">
        <v>-1.1202541170739999</v>
      </c>
      <c r="AH1603">
        <v>74.071251332406007</v>
      </c>
      <c r="AI1603">
        <v>90.866434545153894</v>
      </c>
      <c r="AJ1603">
        <v>90.558508599444593</v>
      </c>
      <c r="AK1603">
        <v>74.083241071067505</v>
      </c>
      <c r="AL1603">
        <v>77.732853544898603</v>
      </c>
      <c r="AM1603">
        <v>87.624100880773099</v>
      </c>
      <c r="AN1603">
        <v>0.99999994878928899</v>
      </c>
    </row>
    <row r="1604" spans="1:40" x14ac:dyDescent="0.25">
      <c r="A1604" t="str">
        <f>"20190303171010786"</f>
        <v>20190303171010786</v>
      </c>
      <c r="B1604" t="str">
        <f>"1551604210772613"</f>
        <v>1551604210772613</v>
      </c>
      <c r="C1604" t="s">
        <v>40</v>
      </c>
      <c r="D1604">
        <v>5.0546350000000002</v>
      </c>
      <c r="E1604">
        <v>0.48667840000000001</v>
      </c>
      <c r="F1604" t="s">
        <v>53</v>
      </c>
      <c r="G1604">
        <v>-369.04320000000001</v>
      </c>
      <c r="H1604" s="1">
        <v>3.2755639999999999E-6</v>
      </c>
      <c r="I1604">
        <v>284.29300000000001</v>
      </c>
      <c r="J1604">
        <v>-294.56849999999997</v>
      </c>
      <c r="K1604">
        <v>1.12026</v>
      </c>
      <c r="L1604">
        <v>284.16359999999997</v>
      </c>
      <c r="M1604">
        <v>-0.99993129999999997</v>
      </c>
      <c r="N1604">
        <v>-6.3962059999999998E-3</v>
      </c>
      <c r="O1604">
        <v>9.8250679999999993E-3</v>
      </c>
      <c r="P1604">
        <v>-0.97730600000000001</v>
      </c>
      <c r="Q1604">
        <v>0.20569419999999999</v>
      </c>
      <c r="R1604">
        <v>5.0626200000000003E-2</v>
      </c>
      <c r="S1604">
        <v>-3.0794679999999999</v>
      </c>
      <c r="T1604">
        <v>-4.6101929999999999E-2</v>
      </c>
      <c r="U1604">
        <v>5.4626459999999998E-3</v>
      </c>
      <c r="V1604">
        <v>4.0797010000000002E-2</v>
      </c>
      <c r="W1604">
        <v>0.21198729999999999</v>
      </c>
      <c r="X1604">
        <v>0.97642050000000002</v>
      </c>
      <c r="Y1604">
        <v>-8.0497989999999998E-3</v>
      </c>
      <c r="Z1604">
        <v>-1.702343E-4</v>
      </c>
      <c r="AA1604">
        <v>0.99996759999999996</v>
      </c>
      <c r="AB1604">
        <v>46</v>
      </c>
      <c r="AC1604">
        <v>-74.474699999999999</v>
      </c>
      <c r="AD1604">
        <v>-1.120256724436</v>
      </c>
      <c r="AE1604">
        <v>0.12940000000003199</v>
      </c>
      <c r="AF1604">
        <v>-0.60220393116664594</v>
      </c>
      <c r="AG1604">
        <v>-1.120256724436</v>
      </c>
      <c r="AH1604">
        <v>74.455529923772403</v>
      </c>
      <c r="AI1604">
        <v>90.861978158421906</v>
      </c>
      <c r="AJ1604">
        <v>90.463404012370802</v>
      </c>
      <c r="AK1604">
        <v>74.466392157355997</v>
      </c>
      <c r="AL1604">
        <v>77.761161449912294</v>
      </c>
      <c r="AM1604">
        <v>87.607447117349295</v>
      </c>
      <c r="AN1604">
        <v>1.00000000210324</v>
      </c>
    </row>
    <row r="1605" spans="1:40" x14ac:dyDescent="0.25">
      <c r="A1605" t="str">
        <f>"20190303171010806"</f>
        <v>20190303171010806</v>
      </c>
      <c r="B1605" t="str">
        <f>"1551604210801895"</f>
        <v>1551604210801895</v>
      </c>
      <c r="C1605" t="s">
        <v>40</v>
      </c>
      <c r="D1605">
        <v>5.1336529999999998</v>
      </c>
      <c r="E1605">
        <v>0.48735050000000002</v>
      </c>
      <c r="F1605" t="s">
        <v>53</v>
      </c>
      <c r="G1605">
        <v>-367.09739999999999</v>
      </c>
      <c r="H1605" s="1">
        <v>2.2400799999999998E-6</v>
      </c>
      <c r="I1605">
        <v>284.34690000000001</v>
      </c>
      <c r="J1605">
        <v>-295.01260000000002</v>
      </c>
      <c r="K1605">
        <v>1.12026</v>
      </c>
      <c r="L1605">
        <v>284.1678</v>
      </c>
      <c r="M1605">
        <v>-0.99993469999999995</v>
      </c>
      <c r="N1605">
        <v>-6.4052290000000001E-3</v>
      </c>
      <c r="O1605">
        <v>9.4725739999999992E-3</v>
      </c>
      <c r="P1605">
        <v>-0.97727359999999996</v>
      </c>
      <c r="Q1605">
        <v>0.20586109999999999</v>
      </c>
      <c r="R1605">
        <v>5.0573119999999999E-2</v>
      </c>
      <c r="S1605">
        <v>-3.079224</v>
      </c>
      <c r="T1605">
        <v>-4.7560690000000003E-2</v>
      </c>
      <c r="U1605">
        <v>7.7819819999999998E-3</v>
      </c>
      <c r="V1605">
        <v>4.1087779999999997E-2</v>
      </c>
      <c r="W1605">
        <v>0.21216299999999999</v>
      </c>
      <c r="X1605">
        <v>0.97637019999999997</v>
      </c>
      <c r="Y1605">
        <v>-6.9440450000000003E-3</v>
      </c>
      <c r="Z1605">
        <v>-1.6149170000000001E-4</v>
      </c>
      <c r="AA1605">
        <v>0.99997590000000003</v>
      </c>
      <c r="AB1605">
        <v>47</v>
      </c>
      <c r="AC1605">
        <v>-72.084799999999902</v>
      </c>
      <c r="AD1605">
        <v>-1.1202577599200001</v>
      </c>
      <c r="AE1605">
        <v>0.17910000000000501</v>
      </c>
      <c r="AF1605">
        <v>-0.50362895633211802</v>
      </c>
      <c r="AG1605">
        <v>-1.1202577599200001</v>
      </c>
      <c r="AH1605">
        <v>72.065857240621</v>
      </c>
      <c r="AI1605">
        <v>90.890564655879601</v>
      </c>
      <c r="AJ1605">
        <v>90.400402423545202</v>
      </c>
      <c r="AK1605">
        <v>72.0763234314839</v>
      </c>
      <c r="AL1605">
        <v>77.750860932557899</v>
      </c>
      <c r="AM1605">
        <v>87.590290862565396</v>
      </c>
      <c r="AN1605">
        <v>1.0000000558411799</v>
      </c>
    </row>
    <row r="1606" spans="1:40" x14ac:dyDescent="0.25">
      <c r="A1606" t="str">
        <f>"20190303171010830"</f>
        <v>20190303171010830</v>
      </c>
      <c r="B1606" t="str">
        <f>"1551604210812631"</f>
        <v>1551604210812631</v>
      </c>
      <c r="C1606" t="s">
        <v>40</v>
      </c>
      <c r="D1606">
        <v>5.1921860000000004</v>
      </c>
      <c r="E1606">
        <v>0.48755979999999999</v>
      </c>
      <c r="F1606" t="s">
        <v>53</v>
      </c>
      <c r="G1606">
        <v>-368.94439999999997</v>
      </c>
      <c r="H1606" s="1">
        <v>3.2229780000000001E-6</v>
      </c>
      <c r="I1606">
        <v>284.488</v>
      </c>
      <c r="J1606">
        <v>-295.50040000000001</v>
      </c>
      <c r="K1606">
        <v>1.120258</v>
      </c>
      <c r="L1606">
        <v>284.17219999999998</v>
      </c>
      <c r="M1606">
        <v>-0.9999382</v>
      </c>
      <c r="N1606">
        <v>-6.4156819999999998E-3</v>
      </c>
      <c r="O1606">
        <v>9.0853840000000002E-3</v>
      </c>
      <c r="P1606">
        <v>-0.97727109999999995</v>
      </c>
      <c r="Q1606">
        <v>0.2058942</v>
      </c>
      <c r="R1606">
        <v>5.0487379999999998E-2</v>
      </c>
      <c r="S1606">
        <v>-3.0788880000000001</v>
      </c>
      <c r="T1606">
        <v>-4.6653029999999998E-2</v>
      </c>
      <c r="U1606">
        <v>1.333618E-2</v>
      </c>
      <c r="V1606">
        <v>4.1379249999999999E-2</v>
      </c>
      <c r="W1606">
        <v>0.2122069</v>
      </c>
      <c r="X1606">
        <v>0.97634829999999995</v>
      </c>
      <c r="Y1606">
        <v>-4.7530890000000003E-3</v>
      </c>
      <c r="Z1606">
        <v>-1.306251E-4</v>
      </c>
      <c r="AA1606">
        <v>0.99998869999999895</v>
      </c>
      <c r="AB1606">
        <v>47</v>
      </c>
      <c r="AC1606">
        <v>-73.443999999999903</v>
      </c>
      <c r="AD1606">
        <v>-1.1202547770219999</v>
      </c>
      <c r="AE1606">
        <v>0.31580000000002401</v>
      </c>
      <c r="AF1606">
        <v>-0.35141191592342602</v>
      </c>
      <c r="AG1606">
        <v>-1.1202547770219999</v>
      </c>
      <c r="AH1606">
        <v>73.426754724892902</v>
      </c>
      <c r="AI1606">
        <v>90.874070447287707</v>
      </c>
      <c r="AJ1606">
        <v>90.274208849436306</v>
      </c>
      <c r="AK1606">
        <v>73.436140765495495</v>
      </c>
      <c r="AL1606">
        <v>77.7482864293642</v>
      </c>
      <c r="AM1606">
        <v>87.573162775700894</v>
      </c>
      <c r="AN1606">
        <v>1.0000000068255299</v>
      </c>
    </row>
    <row r="1607" spans="1:40" x14ac:dyDescent="0.25">
      <c r="A1607" t="str">
        <f>"20190303171010851"</f>
        <v>20190303171010851</v>
      </c>
      <c r="B1607" t="str">
        <f>"1551604210841910"</f>
        <v>1551604210841910</v>
      </c>
      <c r="C1607" t="s">
        <v>40</v>
      </c>
      <c r="D1607">
        <v>5.2526339999999996</v>
      </c>
      <c r="E1607">
        <v>0.48800480000000002</v>
      </c>
      <c r="F1607" t="s">
        <v>53</v>
      </c>
      <c r="G1607">
        <v>-369.66019999999997</v>
      </c>
      <c r="H1607" s="1">
        <v>3.6038589999999998E-6</v>
      </c>
      <c r="I1607">
        <v>284.53089999999997</v>
      </c>
      <c r="J1607">
        <v>-295.95440000000002</v>
      </c>
      <c r="K1607">
        <v>1.1202540000000001</v>
      </c>
      <c r="L1607">
        <v>284.17610000000002</v>
      </c>
      <c r="M1607">
        <v>-0.99994130000000003</v>
      </c>
      <c r="N1607">
        <v>-6.4257769999999997E-3</v>
      </c>
      <c r="O1607">
        <v>8.7254949999999998E-3</v>
      </c>
      <c r="P1607">
        <v>-0.97734180000000004</v>
      </c>
      <c r="Q1607">
        <v>0.2057013</v>
      </c>
      <c r="R1607">
        <v>4.9899949999999998E-2</v>
      </c>
      <c r="S1607">
        <v>-3.0787960000000001</v>
      </c>
      <c r="T1607">
        <v>-4.6508189999999998E-2</v>
      </c>
      <c r="U1607">
        <v>1.4892580000000001E-2</v>
      </c>
      <c r="V1607">
        <v>4.1142070000000003E-2</v>
      </c>
      <c r="W1607">
        <v>0.2120242</v>
      </c>
      <c r="X1607">
        <v>0.97639799999999999</v>
      </c>
      <c r="Y1607">
        <v>-3.8877109999999999E-3</v>
      </c>
      <c r="Z1607">
        <v>-1.175834E-4</v>
      </c>
      <c r="AA1607">
        <v>0.9999924</v>
      </c>
      <c r="AB1607">
        <v>47</v>
      </c>
      <c r="AC1607">
        <v>-73.705799999999897</v>
      </c>
      <c r="AD1607">
        <v>-1.120250396141</v>
      </c>
      <c r="AE1607">
        <v>0.35479999999995399</v>
      </c>
      <c r="AF1607">
        <v>-0.28827977173880298</v>
      </c>
      <c r="AG1607">
        <v>-1.120250396141</v>
      </c>
      <c r="AH1607">
        <v>73.689067567604098</v>
      </c>
      <c r="AI1607">
        <v>90.870959380338505</v>
      </c>
      <c r="AJ1607">
        <v>90.224146274643502</v>
      </c>
      <c r="AK1607">
        <v>73.698146144660697</v>
      </c>
      <c r="AL1607">
        <v>77.7589979434009</v>
      </c>
      <c r="AM1607">
        <v>87.587179251167399</v>
      </c>
      <c r="AN1607">
        <v>0.999999992856762</v>
      </c>
    </row>
    <row r="1608" spans="1:40" x14ac:dyDescent="0.25">
      <c r="A1608" t="str">
        <f>"20190303171010864"</f>
        <v>20190303171010864</v>
      </c>
      <c r="B1608" t="str">
        <f>"1551604210852177"</f>
        <v>1551604210852177</v>
      </c>
      <c r="C1608" t="s">
        <v>40</v>
      </c>
      <c r="D1608">
        <v>5.2519269999999896</v>
      </c>
      <c r="E1608">
        <v>0.48823800000000001</v>
      </c>
      <c r="F1608" t="s">
        <v>53</v>
      </c>
      <c r="G1608">
        <v>-369.25740000000002</v>
      </c>
      <c r="H1608" s="1">
        <v>3.3895599999999901E-6</v>
      </c>
      <c r="I1608">
        <v>284.57940000000002</v>
      </c>
      <c r="J1608">
        <v>-296.22239999999999</v>
      </c>
      <c r="K1608">
        <v>1.1202510000000001</v>
      </c>
      <c r="L1608">
        <v>284.17840000000001</v>
      </c>
      <c r="M1608">
        <v>-0.99994309999999997</v>
      </c>
      <c r="N1608">
        <v>-6.4319779999999997E-3</v>
      </c>
      <c r="O1608">
        <v>8.5132679999999992E-3</v>
      </c>
      <c r="P1608">
        <v>-0.97733720000000002</v>
      </c>
      <c r="Q1608">
        <v>0.20575579999999999</v>
      </c>
      <c r="R1608">
        <v>4.9765320000000002E-2</v>
      </c>
      <c r="S1608">
        <v>-3.0785830000000001</v>
      </c>
      <c r="T1608">
        <v>-4.7048329999999999E-2</v>
      </c>
      <c r="U1608">
        <v>1.6937259999999999E-2</v>
      </c>
      <c r="V1608">
        <v>4.1214149999999998E-2</v>
      </c>
      <c r="W1608">
        <v>0.2120852</v>
      </c>
      <c r="X1608">
        <v>0.97638170000000002</v>
      </c>
      <c r="Y1608">
        <v>-3.0111249999999999E-3</v>
      </c>
      <c r="Z1608">
        <v>-1.080288E-4</v>
      </c>
      <c r="AA1608">
        <v>0.99999550000000004</v>
      </c>
      <c r="AB1608">
        <v>47</v>
      </c>
      <c r="AC1608">
        <v>-73.034999999999997</v>
      </c>
      <c r="AD1608">
        <v>-1.1202476104400001</v>
      </c>
      <c r="AE1608">
        <v>0.40100000000001002</v>
      </c>
      <c r="AF1608">
        <v>-0.22074197471196699</v>
      </c>
      <c r="AG1608">
        <v>-1.1202476104400001</v>
      </c>
      <c r="AH1608">
        <v>73.018588558100504</v>
      </c>
      <c r="AI1608">
        <v>90.878956070568194</v>
      </c>
      <c r="AJ1608">
        <v>90.173209935075505</v>
      </c>
      <c r="AK1608">
        <v>73.027515066208196</v>
      </c>
      <c r="AL1608">
        <v>77.755421420651103</v>
      </c>
      <c r="AM1608">
        <v>87.582916748437597</v>
      </c>
      <c r="AN1608">
        <v>0.999999981157076</v>
      </c>
    </row>
    <row r="1609" spans="1:40" x14ac:dyDescent="0.25">
      <c r="A1609" t="str">
        <f>"20190303171010884"</f>
        <v>20190303171010884</v>
      </c>
      <c r="B1609" t="str">
        <f>"1551604210872674"</f>
        <v>1551604210872674</v>
      </c>
      <c r="C1609" t="s">
        <v>40</v>
      </c>
      <c r="D1609">
        <v>5.2495940000000001</v>
      </c>
      <c r="E1609">
        <v>0.48865039999999998</v>
      </c>
      <c r="F1609" t="s">
        <v>53</v>
      </c>
      <c r="G1609">
        <v>-369.74869999999999</v>
      </c>
      <c r="H1609" s="1">
        <v>3.6510109999999999E-6</v>
      </c>
      <c r="I1609">
        <v>284.61720000000003</v>
      </c>
      <c r="J1609">
        <v>-296.6456</v>
      </c>
      <c r="K1609">
        <v>1.1202430000000001</v>
      </c>
      <c r="L1609">
        <v>284.18180000000001</v>
      </c>
      <c r="M1609">
        <v>-0.99994590000000005</v>
      </c>
      <c r="N1609">
        <v>-6.4420839999999998E-3</v>
      </c>
      <c r="O1609">
        <v>8.1782959999999998E-3</v>
      </c>
      <c r="P1609">
        <v>-0.97748559999999995</v>
      </c>
      <c r="Q1609">
        <v>0.2051481</v>
      </c>
      <c r="R1609">
        <v>4.9360540000000001E-2</v>
      </c>
      <c r="S1609">
        <v>-3.0784609999999999</v>
      </c>
      <c r="T1609">
        <v>-4.690337E-2</v>
      </c>
      <c r="U1609">
        <v>1.8371579999999998E-2</v>
      </c>
      <c r="V1609">
        <v>4.113522E-2</v>
      </c>
      <c r="W1609">
        <v>0.2114878</v>
      </c>
      <c r="X1609">
        <v>0.97651460000000001</v>
      </c>
      <c r="Y1609">
        <v>-2.210161E-3</v>
      </c>
      <c r="Z1609" s="1">
        <v>-9.586551E-5</v>
      </c>
      <c r="AA1609">
        <v>0.99999760000000004</v>
      </c>
      <c r="AB1609">
        <v>47</v>
      </c>
      <c r="AC1609">
        <v>-73.103099999999898</v>
      </c>
      <c r="AD1609">
        <v>-1.1202393489889999</v>
      </c>
      <c r="AE1609">
        <v>0.435400000000015</v>
      </c>
      <c r="AF1609">
        <v>-0.16244755594413601</v>
      </c>
      <c r="AG1609">
        <v>-1.1202393489889999</v>
      </c>
      <c r="AH1609">
        <v>73.087053743725903</v>
      </c>
      <c r="AI1609">
        <v>90.878128195134096</v>
      </c>
      <c r="AJ1609">
        <v>90.127348737484894</v>
      </c>
      <c r="AK1609">
        <v>73.095818966242803</v>
      </c>
      <c r="AL1609">
        <v>77.790444367975695</v>
      </c>
      <c r="AM1609">
        <v>87.587868214992</v>
      </c>
      <c r="AN1609">
        <v>0.99999997994322398</v>
      </c>
    </row>
    <row r="1610" spans="1:40" x14ac:dyDescent="0.25">
      <c r="A1610" t="str">
        <f>"20190303171010907"</f>
        <v>20190303171010907</v>
      </c>
      <c r="B1610" t="str">
        <f>"1551604210901954"</f>
        <v>1551604210901954</v>
      </c>
      <c r="C1610" t="s">
        <v>40</v>
      </c>
      <c r="D1610">
        <v>5.2493280000000002</v>
      </c>
      <c r="E1610">
        <v>0.48921009999999998</v>
      </c>
      <c r="F1610" t="s">
        <v>53</v>
      </c>
      <c r="G1610">
        <v>-366.99</v>
      </c>
      <c r="H1610" s="1">
        <v>2.1829389999999999E-6</v>
      </c>
      <c r="I1610">
        <v>284.63580000000002</v>
      </c>
      <c r="J1610">
        <v>-297.12549999999999</v>
      </c>
      <c r="K1610">
        <v>1.1202369999999999</v>
      </c>
      <c r="L1610">
        <v>284.18549999999999</v>
      </c>
      <c r="M1610">
        <v>-0.99994890000000003</v>
      </c>
      <c r="N1610">
        <v>-6.4539269999999999E-3</v>
      </c>
      <c r="O1610">
        <v>7.7984339999999999E-3</v>
      </c>
      <c r="P1610">
        <v>-0.97757070000000001</v>
      </c>
      <c r="Q1610">
        <v>0.20488219999999999</v>
      </c>
      <c r="R1610">
        <v>4.8776559999999997E-2</v>
      </c>
      <c r="S1610">
        <v>-3.0783999999999998</v>
      </c>
      <c r="T1610">
        <v>-4.9023749999999998E-2</v>
      </c>
      <c r="U1610">
        <v>1.986694E-2</v>
      </c>
      <c r="V1610">
        <v>4.0921449999999998E-2</v>
      </c>
      <c r="W1610">
        <v>0.2112338</v>
      </c>
      <c r="X1610">
        <v>0.97657859999999996</v>
      </c>
      <c r="Y1610">
        <v>-1.3445149999999999E-3</v>
      </c>
      <c r="Z1610" s="1">
        <v>-8.8894570000000006E-5</v>
      </c>
      <c r="AA1610">
        <v>0.99999910000000003</v>
      </c>
      <c r="AB1610">
        <v>47</v>
      </c>
      <c r="AC1610">
        <v>-69.864500000000007</v>
      </c>
      <c r="AD1610">
        <v>-1.1202348170609999</v>
      </c>
      <c r="AE1610">
        <v>0.45030000000002701</v>
      </c>
      <c r="AF1610">
        <v>-9.4534355109813506E-2</v>
      </c>
      <c r="AG1610">
        <v>-1.1202348170609999</v>
      </c>
      <c r="AH1610">
        <v>69.847929883885101</v>
      </c>
      <c r="AI1610">
        <v>90.918841345587197</v>
      </c>
      <c r="AJ1610">
        <v>90.077545838059393</v>
      </c>
      <c r="AK1610">
        <v>69.856976543891307</v>
      </c>
      <c r="AL1610">
        <v>77.805334407387207</v>
      </c>
      <c r="AM1610">
        <v>87.600545876139293</v>
      </c>
      <c r="AN1610">
        <v>1.0000000226552499</v>
      </c>
    </row>
    <row r="1611" spans="1:40" x14ac:dyDescent="0.25">
      <c r="A1611" t="str">
        <f>"20190303171010931"</f>
        <v>20190303171010931</v>
      </c>
      <c r="B1611" t="str">
        <f>"1551604210922448"</f>
        <v>1551604210922448</v>
      </c>
      <c r="C1611" t="s">
        <v>40</v>
      </c>
      <c r="D1611">
        <v>5.1867900000000002</v>
      </c>
      <c r="E1611">
        <v>0.4895601</v>
      </c>
      <c r="F1611" t="s">
        <v>53</v>
      </c>
      <c r="G1611">
        <v>-365.97649999999999</v>
      </c>
      <c r="H1611" s="1">
        <v>1.643631E-6</v>
      </c>
      <c r="I1611">
        <v>284.7002</v>
      </c>
      <c r="J1611">
        <v>-297.63440000000003</v>
      </c>
      <c r="K1611">
        <v>1.120234</v>
      </c>
      <c r="L1611">
        <v>284.1893</v>
      </c>
      <c r="M1611">
        <v>-0.9999517</v>
      </c>
      <c r="N1611">
        <v>-6.4668919999999897E-3</v>
      </c>
      <c r="O1611">
        <v>7.3962749999999999E-3</v>
      </c>
      <c r="P1611">
        <v>-0.97766819999999999</v>
      </c>
      <c r="Q1611">
        <v>0.20456050000000001</v>
      </c>
      <c r="R1611">
        <v>4.8167769999999999E-2</v>
      </c>
      <c r="S1611">
        <v>-3.0781860000000001</v>
      </c>
      <c r="T1611">
        <v>-5.00834E-2</v>
      </c>
      <c r="U1611">
        <v>2.3010249999999999E-2</v>
      </c>
      <c r="V1611">
        <v>4.070431E-2</v>
      </c>
      <c r="W1611">
        <v>0.21092569999999999</v>
      </c>
      <c r="X1611">
        <v>0.97665420000000003</v>
      </c>
      <c r="Y1611" s="1">
        <v>7.8968999999999996E-5</v>
      </c>
      <c r="Z1611" s="1">
        <v>-7.1602009999999997E-5</v>
      </c>
      <c r="AA1611">
        <v>1</v>
      </c>
      <c r="AB1611">
        <v>47</v>
      </c>
      <c r="AC1611">
        <v>-68.342099999999903</v>
      </c>
      <c r="AD1611">
        <v>-1.120232356369</v>
      </c>
      <c r="AE1611">
        <v>0.51089999999999203</v>
      </c>
      <c r="AF1611">
        <v>5.3970209274359898E-3</v>
      </c>
      <c r="AG1611">
        <v>-1.120232356369</v>
      </c>
      <c r="AH1611">
        <v>68.3256525189108</v>
      </c>
      <c r="AI1611">
        <v>90.939308052825297</v>
      </c>
      <c r="AJ1611">
        <v>89.995474225140299</v>
      </c>
      <c r="AK1611">
        <v>68.334835492558497</v>
      </c>
      <c r="AL1611">
        <v>77.823393357410495</v>
      </c>
      <c r="AM1611">
        <v>87.613447785892902</v>
      </c>
      <c r="AN1611">
        <v>0.999999959075352</v>
      </c>
    </row>
    <row r="1612" spans="1:40" x14ac:dyDescent="0.25">
      <c r="A1612" t="str">
        <f>"20190303171010944"</f>
        <v>20190303171010944</v>
      </c>
      <c r="B1612" t="str">
        <f>"1551604210932209"</f>
        <v>1551604210932209</v>
      </c>
      <c r="C1612" t="s">
        <v>40</v>
      </c>
      <c r="D1612">
        <v>5.2461830000000003</v>
      </c>
      <c r="E1612">
        <v>0.48976619999999998</v>
      </c>
      <c r="F1612" t="s">
        <v>53</v>
      </c>
      <c r="G1612">
        <v>-364.83569999999997</v>
      </c>
      <c r="H1612" s="1">
        <v>1.036531E-6</v>
      </c>
      <c r="I1612">
        <v>284.71690000000001</v>
      </c>
      <c r="J1612">
        <v>-297.90989999999999</v>
      </c>
      <c r="K1612">
        <v>1.120239</v>
      </c>
      <c r="L1612">
        <v>284.19119999999998</v>
      </c>
      <c r="M1612">
        <v>-0.99995339999999999</v>
      </c>
      <c r="N1612">
        <v>-6.4740900000000001E-3</v>
      </c>
      <c r="O1612">
        <v>7.1785620000000003E-3</v>
      </c>
      <c r="P1612">
        <v>-0.97766489999999995</v>
      </c>
      <c r="Q1612">
        <v>0.2046017</v>
      </c>
      <c r="R1612">
        <v>4.805914E-2</v>
      </c>
      <c r="S1612">
        <v>-3.0780639999999999</v>
      </c>
      <c r="T1612">
        <v>-5.131078E-2</v>
      </c>
      <c r="U1612">
        <v>2.4169920000000001E-2</v>
      </c>
      <c r="V1612">
        <v>4.0808009999999999E-2</v>
      </c>
      <c r="W1612">
        <v>0.2109742</v>
      </c>
      <c r="X1612">
        <v>0.97663940000000005</v>
      </c>
      <c r="Y1612">
        <v>6.7362209999999995E-4</v>
      </c>
      <c r="Z1612" s="1">
        <v>-6.5385579999999998E-5</v>
      </c>
      <c r="AA1612">
        <v>0.99999979999999999</v>
      </c>
      <c r="AB1612">
        <v>47</v>
      </c>
      <c r="AC1612">
        <v>-66.925799999999896</v>
      </c>
      <c r="AD1612">
        <v>-1.1202379634690001</v>
      </c>
      <c r="AE1612">
        <v>0.52570000000002803</v>
      </c>
      <c r="AF1612">
        <v>4.5232767863217602E-2</v>
      </c>
      <c r="AG1612">
        <v>-1.1202379634690001</v>
      </c>
      <c r="AH1612">
        <v>66.909104076281295</v>
      </c>
      <c r="AI1612">
        <v>90.959195272534402</v>
      </c>
      <c r="AJ1612">
        <v>89.961266163473198</v>
      </c>
      <c r="AK1612">
        <v>66.918496601378706</v>
      </c>
      <c r="AL1612">
        <v>77.820550578175002</v>
      </c>
      <c r="AM1612">
        <v>87.607338547077504</v>
      </c>
      <c r="AN1612">
        <v>0.99999996218907905</v>
      </c>
    </row>
    <row r="1613" spans="1:40" x14ac:dyDescent="0.25">
      <c r="A1613" t="str">
        <f>"20190303171010957"</f>
        <v>20190303171010957</v>
      </c>
      <c r="B1613" t="str">
        <f>"1551604210952235"</f>
        <v>1551604210952235</v>
      </c>
      <c r="C1613" t="s">
        <v>40</v>
      </c>
      <c r="D1613">
        <v>5.2467050000000004</v>
      </c>
      <c r="E1613">
        <v>0.4901239</v>
      </c>
      <c r="F1613" t="s">
        <v>53</v>
      </c>
      <c r="G1613">
        <v>-365.16059999999999</v>
      </c>
      <c r="H1613" s="1">
        <v>1.2094269999999999E-6</v>
      </c>
      <c r="I1613">
        <v>284.75</v>
      </c>
      <c r="J1613">
        <v>-298.17070000000001</v>
      </c>
      <c r="K1613">
        <v>1.1202379999999901</v>
      </c>
      <c r="L1613">
        <v>284.19299999999998</v>
      </c>
      <c r="M1613">
        <v>-0.99995480000000003</v>
      </c>
      <c r="N1613">
        <v>-6.4809630000000002E-3</v>
      </c>
      <c r="O1613">
        <v>6.9724139999999997E-3</v>
      </c>
      <c r="P1613">
        <v>-0.97770480000000004</v>
      </c>
      <c r="Q1613">
        <v>0.2045093</v>
      </c>
      <c r="R1613">
        <v>4.7641620000000003E-2</v>
      </c>
      <c r="S1613">
        <v>-3.0780029999999998</v>
      </c>
      <c r="T1613">
        <v>-5.1272270000000002E-2</v>
      </c>
      <c r="U1613">
        <v>2.5573729999999999E-2</v>
      </c>
      <c r="V1613">
        <v>4.0591240000000001E-2</v>
      </c>
      <c r="W1613">
        <v>0.2108884</v>
      </c>
      <c r="X1613">
        <v>0.97666699999999995</v>
      </c>
      <c r="Y1613">
        <v>1.3358409999999999E-3</v>
      </c>
      <c r="Z1613" s="1">
        <v>-5.5491709999999997E-5</v>
      </c>
      <c r="AA1613">
        <v>0.99999910000000003</v>
      </c>
      <c r="AB1613">
        <v>47</v>
      </c>
      <c r="AC1613">
        <v>-66.989899999999906</v>
      </c>
      <c r="AD1613">
        <v>-1.12023679057299</v>
      </c>
      <c r="AE1613">
        <v>0.55700000000001604</v>
      </c>
      <c r="AF1613">
        <v>8.9870255388555295E-2</v>
      </c>
      <c r="AG1613">
        <v>-1.12023679057299</v>
      </c>
      <c r="AH1613">
        <v>66.973428057242003</v>
      </c>
      <c r="AI1613">
        <v>90.958272547799695</v>
      </c>
      <c r="AJ1613">
        <v>89.9231160268141</v>
      </c>
      <c r="AK1613">
        <v>66.982856559483395</v>
      </c>
      <c r="AL1613">
        <v>77.825580143100893</v>
      </c>
      <c r="AM1613">
        <v>87.6201007640759</v>
      </c>
      <c r="AN1613">
        <v>0.99999999745414803</v>
      </c>
    </row>
    <row r="1614" spans="1:40" x14ac:dyDescent="0.25">
      <c r="A1614" t="str">
        <f>"20190303171010973"</f>
        <v>20190303171010973</v>
      </c>
      <c r="B1614" t="str">
        <f>"1551604210961995"</f>
        <v>1551604210961995</v>
      </c>
      <c r="C1614" t="s">
        <v>40</v>
      </c>
      <c r="D1614">
        <v>5.1910020000000001</v>
      </c>
      <c r="E1614">
        <v>0.49030899999999999</v>
      </c>
      <c r="F1614" t="s">
        <v>53</v>
      </c>
      <c r="G1614">
        <v>-365.2484</v>
      </c>
      <c r="H1614" s="1">
        <v>1.2561670000000001E-6</v>
      </c>
      <c r="I1614">
        <v>284.7869</v>
      </c>
      <c r="J1614">
        <v>-298.54719999999998</v>
      </c>
      <c r="K1614">
        <v>1.120242</v>
      </c>
      <c r="L1614">
        <v>284.19549999999998</v>
      </c>
      <c r="M1614">
        <v>-0.99995659999999997</v>
      </c>
      <c r="N1614">
        <v>-6.4910310000000004E-3</v>
      </c>
      <c r="O1614">
        <v>6.6756519999999998E-3</v>
      </c>
      <c r="P1614">
        <v>-0.97767440000000005</v>
      </c>
      <c r="Q1614">
        <v>0.2047727</v>
      </c>
      <c r="R1614">
        <v>4.7127910000000002E-2</v>
      </c>
      <c r="S1614">
        <v>-3.07782</v>
      </c>
      <c r="T1614">
        <v>-5.1401380000000003E-2</v>
      </c>
      <c r="U1614">
        <v>2.7252200000000001E-2</v>
      </c>
      <c r="V1614">
        <v>4.0366869999999999E-2</v>
      </c>
      <c r="W1614">
        <v>0.21116109999999999</v>
      </c>
      <c r="X1614">
        <v>0.97661739999999997</v>
      </c>
      <c r="Y1614">
        <v>2.1782339999999998E-3</v>
      </c>
      <c r="Z1614" s="1">
        <v>-4.2888020000000001E-5</v>
      </c>
      <c r="AA1614">
        <v>0.99999760000000004</v>
      </c>
      <c r="AB1614">
        <v>47</v>
      </c>
      <c r="AC1614">
        <v>-66.7012</v>
      </c>
      <c r="AD1614">
        <v>-1.120240743833</v>
      </c>
      <c r="AE1614">
        <v>0.59140000000002102</v>
      </c>
      <c r="AF1614">
        <v>0.14606222294682999</v>
      </c>
      <c r="AG1614">
        <v>-1.120240743833</v>
      </c>
      <c r="AH1614">
        <v>66.684853482891498</v>
      </c>
      <c r="AI1614">
        <v>90.9624205884178</v>
      </c>
      <c r="AJ1614">
        <v>89.874503202738296</v>
      </c>
      <c r="AK1614">
        <v>66.694422237034303</v>
      </c>
      <c r="AL1614">
        <v>77.809595905149095</v>
      </c>
      <c r="AM1614">
        <v>87.633120703627498</v>
      </c>
      <c r="AN1614">
        <v>1.0000000201647801</v>
      </c>
    </row>
    <row r="1615" spans="1:40" x14ac:dyDescent="0.25">
      <c r="A1615" t="str">
        <f>"20190303171010998"</f>
        <v>20190303171010998</v>
      </c>
      <c r="B1615" t="str">
        <f>"1551604210992251"</f>
        <v>1551604210992251</v>
      </c>
      <c r="C1615" t="s">
        <v>40</v>
      </c>
      <c r="D1615">
        <v>5.1853389999999999</v>
      </c>
      <c r="E1615">
        <v>0.49065209999999998</v>
      </c>
      <c r="F1615" t="s">
        <v>53</v>
      </c>
      <c r="G1615">
        <v>-366.64879999999999</v>
      </c>
      <c r="H1615" s="1">
        <v>2.00137E-6</v>
      </c>
      <c r="I1615">
        <v>284.8039</v>
      </c>
      <c r="J1615">
        <v>-299.03769999999997</v>
      </c>
      <c r="K1615">
        <v>1.1202399999999999</v>
      </c>
      <c r="L1615">
        <v>284.19850000000002</v>
      </c>
      <c r="M1615">
        <v>-0.99995919999999905</v>
      </c>
      <c r="N1615">
        <v>-6.5043879999999998E-3</v>
      </c>
      <c r="O1615">
        <v>6.2886319999999997E-3</v>
      </c>
      <c r="P1615">
        <v>-0.9776492</v>
      </c>
      <c r="Q1615">
        <v>0.20505580000000001</v>
      </c>
      <c r="R1615">
        <v>4.6417779999999999E-2</v>
      </c>
      <c r="S1615">
        <v>-3.0777890000000001</v>
      </c>
      <c r="T1615">
        <v>-5.0628190000000003E-2</v>
      </c>
      <c r="U1615">
        <v>2.7496340000000001E-2</v>
      </c>
      <c r="V1615">
        <v>4.0034149999999998E-2</v>
      </c>
      <c r="W1615">
        <v>0.21145659999999999</v>
      </c>
      <c r="X1615">
        <v>0.97656710000000002</v>
      </c>
      <c r="Y1615">
        <v>2.6445599999999998E-3</v>
      </c>
      <c r="Z1615" s="1">
        <v>-3.218193E-5</v>
      </c>
      <c r="AA1615">
        <v>0.99999649999999995</v>
      </c>
      <c r="AB1615">
        <v>47</v>
      </c>
      <c r="AC1615">
        <v>-67.611099999999993</v>
      </c>
      <c r="AD1615">
        <v>-1.12023799863</v>
      </c>
      <c r="AE1615">
        <v>0.60539999999997396</v>
      </c>
      <c r="AF1615">
        <v>0.18014830993561201</v>
      </c>
      <c r="AG1615">
        <v>-1.12023799863</v>
      </c>
      <c r="AH1615">
        <v>67.595015094948394</v>
      </c>
      <c r="AI1615">
        <v>90.949460638188796</v>
      </c>
      <c r="AJ1615">
        <v>89.847300671602696</v>
      </c>
      <c r="AK1615">
        <v>67.604537216620699</v>
      </c>
      <c r="AL1615">
        <v>77.7922731610266</v>
      </c>
      <c r="AM1615">
        <v>87.652486790499196</v>
      </c>
      <c r="AN1615">
        <v>0.99999996382609502</v>
      </c>
    </row>
    <row r="1616" spans="1:40" x14ac:dyDescent="0.25">
      <c r="A1616" t="str">
        <f>"20190303171011010"</f>
        <v>20190303171011010</v>
      </c>
      <c r="B1616" t="str">
        <f>"1551604211002012"</f>
        <v>1551604211002012</v>
      </c>
      <c r="C1616" t="s">
        <v>40</v>
      </c>
      <c r="D1616">
        <v>4.8836430000000002</v>
      </c>
      <c r="E1616">
        <v>0.49043120000000001</v>
      </c>
      <c r="F1616" t="s">
        <v>53</v>
      </c>
      <c r="G1616">
        <v>-369.11</v>
      </c>
      <c r="H1616" s="1">
        <v>3.311118E-6</v>
      </c>
      <c r="I1616">
        <v>284.82740000000001</v>
      </c>
      <c r="J1616">
        <v>-299.33589999999998</v>
      </c>
      <c r="K1616">
        <v>1.1202369999999999</v>
      </c>
      <c r="L1616">
        <v>284.20030000000003</v>
      </c>
      <c r="M1616">
        <v>-0.99996050000000003</v>
      </c>
      <c r="N1616">
        <v>-6.5126359999999996E-3</v>
      </c>
      <c r="O1616">
        <v>6.053274E-3</v>
      </c>
      <c r="P1616">
        <v>-0.97769470000000003</v>
      </c>
      <c r="Q1616">
        <v>0.2049088</v>
      </c>
      <c r="R1616">
        <v>4.6103449999999997E-2</v>
      </c>
      <c r="S1616">
        <v>-3.0776059999999998</v>
      </c>
      <c r="T1616">
        <v>-4.9201250000000002E-2</v>
      </c>
      <c r="U1616">
        <v>2.7618409999999999E-2</v>
      </c>
      <c r="V1616">
        <v>3.9949169999999999E-2</v>
      </c>
      <c r="W1616">
        <v>0.21131810000000001</v>
      </c>
      <c r="X1616">
        <v>0.97660060000000004</v>
      </c>
      <c r="Y1616">
        <v>2.9200530000000001E-3</v>
      </c>
      <c r="Z1616" s="1">
        <v>-2.4493209999999999E-5</v>
      </c>
      <c r="AA1616">
        <v>0.99999570000000004</v>
      </c>
      <c r="AB1616">
        <v>48</v>
      </c>
      <c r="AC1616">
        <v>-69.774100000000004</v>
      </c>
      <c r="AD1616">
        <v>-1.1202336888819999</v>
      </c>
      <c r="AE1616">
        <v>0.627099999999984</v>
      </c>
      <c r="AF1616">
        <v>0.20466506792244599</v>
      </c>
      <c r="AG1616">
        <v>-1.1202336888819999</v>
      </c>
      <c r="AH1616">
        <v>69.758637604383196</v>
      </c>
      <c r="AI1616">
        <v>90.920013233749998</v>
      </c>
      <c r="AJ1616">
        <v>89.831900229672598</v>
      </c>
      <c r="AK1616">
        <v>69.767931972557406</v>
      </c>
      <c r="AL1616">
        <v>77.800392589994303</v>
      </c>
      <c r="AM1616">
        <v>87.657544536674493</v>
      </c>
      <c r="AN1616">
        <v>1.0000000037458201</v>
      </c>
    </row>
    <row r="1617" spans="1:40" x14ac:dyDescent="0.25">
      <c r="A1617" t="str">
        <f>"20190303171011022"</f>
        <v>20190303171011022</v>
      </c>
      <c r="B1617" t="str">
        <f>"1551604211012747"</f>
        <v>1551604211012747</v>
      </c>
      <c r="C1617" t="s">
        <v>40</v>
      </c>
      <c r="D1617">
        <v>5.0445570000000002</v>
      </c>
      <c r="E1617">
        <v>0.49008819999999997</v>
      </c>
      <c r="F1617" t="s">
        <v>53</v>
      </c>
      <c r="G1617">
        <v>-368.75389999999999</v>
      </c>
      <c r="H1617" s="1">
        <v>3.1216069999999999E-6</v>
      </c>
      <c r="I1617">
        <v>284.75029999999998</v>
      </c>
      <c r="J1617">
        <v>-299.57859999999999</v>
      </c>
      <c r="K1617">
        <v>1.1202350000000001</v>
      </c>
      <c r="L1617">
        <v>284.20170000000002</v>
      </c>
      <c r="M1617">
        <v>-0.99996160000000001</v>
      </c>
      <c r="N1617">
        <v>-6.5193959999999898E-3</v>
      </c>
      <c r="O1617">
        <v>5.8621480000000002E-3</v>
      </c>
      <c r="P1617">
        <v>-0.97776160000000001</v>
      </c>
      <c r="Q1617">
        <v>0.204653</v>
      </c>
      <c r="R1617">
        <v>4.5818980000000002E-2</v>
      </c>
      <c r="S1617">
        <v>-3.0776979999999998</v>
      </c>
      <c r="T1617">
        <v>-4.9666399999999999E-2</v>
      </c>
      <c r="U1617">
        <v>2.4383539999999999E-2</v>
      </c>
      <c r="V1617">
        <v>3.9850919999999998E-2</v>
      </c>
      <c r="W1617">
        <v>0.21106920000000001</v>
      </c>
      <c r="X1617">
        <v>0.97665840000000004</v>
      </c>
      <c r="Y1617">
        <v>2.0600779999999999E-3</v>
      </c>
      <c r="Z1617" s="1">
        <v>-3.303861E-5</v>
      </c>
      <c r="AA1617">
        <v>0.9999979</v>
      </c>
      <c r="AB1617">
        <v>48</v>
      </c>
      <c r="AC1617">
        <v>-69.175299999999993</v>
      </c>
      <c r="AD1617">
        <v>-1.1202318783930001</v>
      </c>
      <c r="AE1617">
        <v>0.54859999999996401</v>
      </c>
      <c r="AF1617">
        <v>0.14302861591867799</v>
      </c>
      <c r="AG1617">
        <v>-1.1202318783930001</v>
      </c>
      <c r="AH1617">
        <v>69.159191600531599</v>
      </c>
      <c r="AI1617">
        <v>90.927986685357993</v>
      </c>
      <c r="AJ1617">
        <v>89.881506359911299</v>
      </c>
      <c r="AK1617">
        <v>69.168411572663601</v>
      </c>
      <c r="AL1617">
        <v>77.814982139299602</v>
      </c>
      <c r="AM1617">
        <v>87.663437255846205</v>
      </c>
      <c r="AN1617">
        <v>0.99999996665202195</v>
      </c>
    </row>
    <row r="1618" spans="1:40" x14ac:dyDescent="0.25">
      <c r="A1618" t="str">
        <f>"20190303171011035"</f>
        <v>20190303171011035</v>
      </c>
      <c r="B1618" t="str">
        <f>"1551604211022508"</f>
        <v>1551604211022508</v>
      </c>
      <c r="C1618" t="s">
        <v>40</v>
      </c>
      <c r="D1618">
        <v>5.0329420000000002</v>
      </c>
      <c r="E1618">
        <v>0.48967889999999997</v>
      </c>
      <c r="F1618" t="s">
        <v>53</v>
      </c>
      <c r="G1618">
        <v>-367.94569999999999</v>
      </c>
      <c r="H1618" s="1">
        <v>2.6915340000000001E-6</v>
      </c>
      <c r="I1618">
        <v>284.66059999999999</v>
      </c>
      <c r="J1618">
        <v>-299.84379999999999</v>
      </c>
      <c r="K1618">
        <v>1.1202319999999999</v>
      </c>
      <c r="L1618">
        <v>284.20319999999998</v>
      </c>
      <c r="M1618">
        <v>-0.99996289999999999</v>
      </c>
      <c r="N1618">
        <v>-6.52683E-3</v>
      </c>
      <c r="O1618">
        <v>5.6533149999999999E-3</v>
      </c>
      <c r="P1618">
        <v>-0.97780900000000004</v>
      </c>
      <c r="Q1618">
        <v>0.20452039999999999</v>
      </c>
      <c r="R1618">
        <v>4.540172E-2</v>
      </c>
      <c r="S1618">
        <v>-3.0778500000000002</v>
      </c>
      <c r="T1618">
        <v>-5.0432209999999998E-2</v>
      </c>
      <c r="U1618">
        <v>2.0660399999999999E-2</v>
      </c>
      <c r="V1618">
        <v>3.9637230000000002E-2</v>
      </c>
      <c r="W1618">
        <v>0.21094389999999999</v>
      </c>
      <c r="X1618">
        <v>0.97669419999999996</v>
      </c>
      <c r="Y1618">
        <v>1.059117E-3</v>
      </c>
      <c r="Z1618" s="1">
        <v>-4.3594290000000003E-5</v>
      </c>
      <c r="AA1618">
        <v>0.99999950000000004</v>
      </c>
      <c r="AB1618">
        <v>48</v>
      </c>
      <c r="AC1618">
        <v>-68.101900000000001</v>
      </c>
      <c r="AD1618">
        <v>-1.120229308466</v>
      </c>
      <c r="AE1618">
        <v>0.45740000000000602</v>
      </c>
      <c r="AF1618">
        <v>7.2363487143114399E-2</v>
      </c>
      <c r="AG1618">
        <v>-1.120229308466</v>
      </c>
      <c r="AH1618">
        <v>68.084975969286404</v>
      </c>
      <c r="AI1618">
        <v>90.942624762157493</v>
      </c>
      <c r="AJ1618">
        <v>89.939103733475207</v>
      </c>
      <c r="AK1618">
        <v>68.094229586038495</v>
      </c>
      <c r="AL1618">
        <v>77.822327073093504</v>
      </c>
      <c r="AM1618">
        <v>87.676037772022198</v>
      </c>
      <c r="AN1618">
        <v>0.99999999963146102</v>
      </c>
    </row>
    <row r="1619" spans="1:40" x14ac:dyDescent="0.25">
      <c r="A1619" t="str">
        <f>"20190303171011052"</f>
        <v>20190303171011052</v>
      </c>
      <c r="B1619" t="str">
        <f>"1551604211042027"</f>
        <v>1551604211042027</v>
      </c>
      <c r="C1619" t="s">
        <v>40</v>
      </c>
      <c r="D1619">
        <v>5.0168010000000001</v>
      </c>
      <c r="E1619">
        <v>0.48888359999999897</v>
      </c>
      <c r="F1619" t="s">
        <v>53</v>
      </c>
      <c r="G1619">
        <v>-368.19920000000002</v>
      </c>
      <c r="H1619" s="1">
        <v>2.826426E-6</v>
      </c>
      <c r="I1619">
        <v>284.55970000000002</v>
      </c>
      <c r="J1619">
        <v>-300.22230000000002</v>
      </c>
      <c r="K1619">
        <v>1.120233</v>
      </c>
      <c r="L1619">
        <v>284.20519999999999</v>
      </c>
      <c r="M1619">
        <v>-0.99996439999999998</v>
      </c>
      <c r="N1619">
        <v>-6.5375540000000001E-3</v>
      </c>
      <c r="O1619">
        <v>5.3556560000000003E-3</v>
      </c>
      <c r="P1619">
        <v>-0.97784479999999996</v>
      </c>
      <c r="Q1619">
        <v>0.20441190000000001</v>
      </c>
      <c r="R1619">
        <v>4.5115780000000001E-2</v>
      </c>
      <c r="S1619">
        <v>-3.0779109999999998</v>
      </c>
      <c r="T1619">
        <v>-5.0441739999999999E-2</v>
      </c>
      <c r="U1619">
        <v>1.6052250000000001E-2</v>
      </c>
      <c r="V1619">
        <v>3.9641410000000002E-2</v>
      </c>
      <c r="W1619">
        <v>0.21084649999999999</v>
      </c>
      <c r="X1619">
        <v>0.97671509999999995</v>
      </c>
      <c r="Y1619">
        <v>-1.4025180000000001E-4</v>
      </c>
      <c r="Z1619" s="1">
        <v>-5.4358809999999898E-5</v>
      </c>
      <c r="AA1619">
        <v>1</v>
      </c>
      <c r="AB1619">
        <v>48</v>
      </c>
      <c r="AC1619">
        <v>-67.976900000000001</v>
      </c>
      <c r="AD1619">
        <v>-1.1202301735739999</v>
      </c>
      <c r="AE1619">
        <v>0.35450000000003001</v>
      </c>
      <c r="AF1619">
        <v>-9.5711168475230406E-3</v>
      </c>
      <c r="AG1619">
        <v>-1.1202301735739999</v>
      </c>
      <c r="AH1619">
        <v>67.959368029641098</v>
      </c>
      <c r="AI1619">
        <v>90.944367934504598</v>
      </c>
      <c r="AJ1619">
        <v>90.008069301008305</v>
      </c>
      <c r="AK1619">
        <v>67.9686009142182</v>
      </c>
      <c r="AL1619">
        <v>77.828036550268394</v>
      </c>
      <c r="AM1619">
        <v>87.675842643496395</v>
      </c>
      <c r="AN1619">
        <v>1.00000003725852</v>
      </c>
    </row>
    <row r="1620" spans="1:40" x14ac:dyDescent="0.25">
      <c r="A1620" t="str">
        <f>"20190303171011074"</f>
        <v>20190303171011074</v>
      </c>
      <c r="B1620" t="str">
        <f>"1551604211062524"</f>
        <v>1551604211062524</v>
      </c>
      <c r="C1620" t="s">
        <v>40</v>
      </c>
      <c r="D1620">
        <v>4.9545329999999996</v>
      </c>
      <c r="E1620">
        <v>0.48810730000000002</v>
      </c>
      <c r="F1620" t="s">
        <v>53</v>
      </c>
      <c r="G1620">
        <v>-368.89460000000003</v>
      </c>
      <c r="H1620" s="1">
        <v>3.1964890000000001E-6</v>
      </c>
      <c r="I1620">
        <v>284.404</v>
      </c>
      <c r="J1620">
        <v>-300.67750000000001</v>
      </c>
      <c r="K1620">
        <v>1.120231</v>
      </c>
      <c r="L1620">
        <v>284.20749999999998</v>
      </c>
      <c r="M1620">
        <v>-0.99996609999999997</v>
      </c>
      <c r="N1620">
        <v>-6.5478119999999897E-3</v>
      </c>
      <c r="O1620">
        <v>4.9977959999999997E-3</v>
      </c>
      <c r="P1620">
        <v>-0.9777941</v>
      </c>
      <c r="Q1620">
        <v>0.20458319999999999</v>
      </c>
      <c r="R1620">
        <v>4.5439170000000001E-2</v>
      </c>
      <c r="S1620">
        <v>-3.0780639999999999</v>
      </c>
      <c r="T1620">
        <v>-5.0211430000000001E-2</v>
      </c>
      <c r="U1620">
        <v>8.9111329999999999E-3</v>
      </c>
      <c r="V1620">
        <v>4.031411E-2</v>
      </c>
      <c r="W1620">
        <v>0.2110282</v>
      </c>
      <c r="X1620">
        <v>0.97664830000000002</v>
      </c>
      <c r="Y1620">
        <v>-2.1022559999999998E-3</v>
      </c>
      <c r="Z1620" s="1">
        <v>-7.2826460000000002E-5</v>
      </c>
      <c r="AA1620">
        <v>0.99999780000000005</v>
      </c>
      <c r="AB1620">
        <v>48</v>
      </c>
      <c r="AC1620">
        <v>-68.217100000000002</v>
      </c>
      <c r="AD1620">
        <v>-1.120227803511</v>
      </c>
      <c r="AE1620">
        <v>0.196500000000014</v>
      </c>
      <c r="AF1620">
        <v>-0.144405962469287</v>
      </c>
      <c r="AG1620">
        <v>-1.120227803511</v>
      </c>
      <c r="AH1620">
        <v>68.198839328547905</v>
      </c>
      <c r="AI1620">
        <v>90.941048416975505</v>
      </c>
      <c r="AJ1620">
        <v>90.121319364116204</v>
      </c>
      <c r="AK1620">
        <v>68.208191950636305</v>
      </c>
      <c r="AL1620">
        <v>77.817385999903905</v>
      </c>
      <c r="AM1620">
        <v>87.636285435576298</v>
      </c>
      <c r="AN1620">
        <v>1.00000001527661</v>
      </c>
    </row>
    <row r="1621" spans="1:40" x14ac:dyDescent="0.25">
      <c r="A1621" t="str">
        <f>"20190303171011086"</f>
        <v>20190303171011086</v>
      </c>
      <c r="B1621" t="str">
        <f>"1551604211072284"</f>
        <v>1551604211072284</v>
      </c>
      <c r="C1621" t="s">
        <v>40</v>
      </c>
      <c r="D1621">
        <v>4.9703339999999896</v>
      </c>
      <c r="E1621">
        <v>0.48775010000000002</v>
      </c>
      <c r="F1621" t="s">
        <v>53</v>
      </c>
      <c r="G1621">
        <v>-371.49470000000002</v>
      </c>
      <c r="H1621" s="1">
        <v>-7.413805E-7</v>
      </c>
      <c r="I1621">
        <v>284.2903</v>
      </c>
      <c r="J1621">
        <v>-300.94569999999999</v>
      </c>
      <c r="K1621">
        <v>1.120228</v>
      </c>
      <c r="L1621">
        <v>284.20870000000002</v>
      </c>
      <c r="M1621">
        <v>-0.99996719999999895</v>
      </c>
      <c r="N1621">
        <v>-6.5523129999999997E-3</v>
      </c>
      <c r="O1621">
        <v>4.7870689999999997E-3</v>
      </c>
      <c r="P1621">
        <v>-0.97783909999999996</v>
      </c>
      <c r="Q1621">
        <v>0.2043316</v>
      </c>
      <c r="R1621">
        <v>4.559962E-2</v>
      </c>
      <c r="S1621">
        <v>-3.0781559999999999</v>
      </c>
      <c r="T1621">
        <v>-4.8692230000000003E-2</v>
      </c>
      <c r="U1621">
        <v>3.6010740000000001E-3</v>
      </c>
      <c r="V1621">
        <v>4.068008E-2</v>
      </c>
      <c r="W1621">
        <v>0.21078169999999999</v>
      </c>
      <c r="X1621">
        <v>0.97668639999999995</v>
      </c>
      <c r="Y1621">
        <v>-3.616457E-3</v>
      </c>
      <c r="Z1621" s="1">
        <v>-8.48054E-5</v>
      </c>
      <c r="AA1621">
        <v>0.99999340000000003</v>
      </c>
      <c r="AB1621">
        <v>48</v>
      </c>
      <c r="AC1621">
        <v>-70.549000000000007</v>
      </c>
      <c r="AD1621">
        <v>-1.1202287413805001</v>
      </c>
      <c r="AE1621">
        <v>8.1599999999980299E-2</v>
      </c>
      <c r="AF1621">
        <v>-0.256066510597738</v>
      </c>
      <c r="AG1621">
        <v>-1.1202287413805001</v>
      </c>
      <c r="AH1621">
        <v>70.530799042225098</v>
      </c>
      <c r="AI1621">
        <v>90.909936660579504</v>
      </c>
      <c r="AJ1621">
        <v>90.208015024214603</v>
      </c>
      <c r="AK1621">
        <v>70.540159455629293</v>
      </c>
      <c r="AL1621">
        <v>77.831834943083095</v>
      </c>
      <c r="AM1621">
        <v>87.614945328200605</v>
      </c>
      <c r="AN1621">
        <v>1.0000000589543201</v>
      </c>
    </row>
    <row r="1622" spans="1:40" x14ac:dyDescent="0.25">
      <c r="A1622" t="str">
        <f>"20190303171011098"</f>
        <v>20190303171011098</v>
      </c>
      <c r="B1622" t="str">
        <f>"1551604211091804"</f>
        <v>1551604211091804</v>
      </c>
      <c r="C1622" t="s">
        <v>40</v>
      </c>
      <c r="D1622">
        <v>4.9611419999999997</v>
      </c>
      <c r="E1622">
        <v>0.4870196</v>
      </c>
      <c r="F1622" t="s">
        <v>53</v>
      </c>
      <c r="G1622">
        <v>-370.93549999999999</v>
      </c>
      <c r="H1622" s="1">
        <v>-1.038966E-6</v>
      </c>
      <c r="I1622">
        <v>284.23649999999998</v>
      </c>
      <c r="J1622">
        <v>-301.20030000000003</v>
      </c>
      <c r="K1622">
        <v>1.120225</v>
      </c>
      <c r="L1622">
        <v>284.20979999999997</v>
      </c>
      <c r="M1622">
        <v>-0.99996799999999997</v>
      </c>
      <c r="N1622">
        <v>-6.5562229999999999E-3</v>
      </c>
      <c r="O1622">
        <v>4.587252E-3</v>
      </c>
      <c r="P1622">
        <v>-0.97789470000000001</v>
      </c>
      <c r="Q1622">
        <v>0.204009</v>
      </c>
      <c r="R1622">
        <v>4.5851169999999997E-2</v>
      </c>
      <c r="S1622">
        <v>-3.078217</v>
      </c>
      <c r="T1622">
        <v>-4.9268720000000002E-2</v>
      </c>
      <c r="U1622">
        <v>1.2207030000000001E-3</v>
      </c>
      <c r="V1622">
        <v>4.1126679999999999E-2</v>
      </c>
      <c r="W1622">
        <v>0.21046380000000001</v>
      </c>
      <c r="X1622">
        <v>0.97673620000000005</v>
      </c>
      <c r="Y1622">
        <v>-4.1898320000000001E-3</v>
      </c>
      <c r="Z1622" s="1">
        <v>-9.060688E-5</v>
      </c>
      <c r="AA1622">
        <v>0.99999119999999997</v>
      </c>
      <c r="AB1622">
        <v>48</v>
      </c>
      <c r="AC1622">
        <v>-69.735199999999907</v>
      </c>
      <c r="AD1622">
        <v>-1.1202260389659999</v>
      </c>
      <c r="AE1622">
        <v>2.6700000000005199E-2</v>
      </c>
      <c r="AF1622">
        <v>-0.293124446165687</v>
      </c>
      <c r="AG1622">
        <v>-1.1202260389659999</v>
      </c>
      <c r="AH1622">
        <v>69.716598227332398</v>
      </c>
      <c r="AI1622">
        <v>90.920557450448499</v>
      </c>
      <c r="AJ1622">
        <v>90.240899514601793</v>
      </c>
      <c r="AK1622">
        <v>69.726213841787001</v>
      </c>
      <c r="AL1622">
        <v>77.850466632788795</v>
      </c>
      <c r="AM1622">
        <v>87.588914901964102</v>
      </c>
      <c r="AN1622">
        <v>1.00000000965435</v>
      </c>
    </row>
    <row r="1623" spans="1:40" x14ac:dyDescent="0.25">
      <c r="A1623" t="str">
        <f>"20190303171011109"</f>
        <v>20190303171011109</v>
      </c>
      <c r="B1623" t="str">
        <f>"1551604211102540"</f>
        <v>1551604211102540</v>
      </c>
      <c r="C1623" t="s">
        <v>40</v>
      </c>
      <c r="D1623">
        <v>4.926825</v>
      </c>
      <c r="E1623">
        <v>0.48666769999999998</v>
      </c>
      <c r="F1623" t="s">
        <v>53</v>
      </c>
      <c r="G1623">
        <v>-370.78899999999999</v>
      </c>
      <c r="H1623" s="1">
        <v>-1.1169390000000001E-6</v>
      </c>
      <c r="I1623">
        <v>284.12569999999999</v>
      </c>
      <c r="J1623">
        <v>-301.4513</v>
      </c>
      <c r="K1623">
        <v>1.120223</v>
      </c>
      <c r="L1623">
        <v>284.21089999999998</v>
      </c>
      <c r="M1623">
        <v>-0.99996890000000005</v>
      </c>
      <c r="N1623">
        <v>-6.559662E-3</v>
      </c>
      <c r="O1623">
        <v>4.3900600000000003E-3</v>
      </c>
      <c r="P1623">
        <v>-0.97789110000000001</v>
      </c>
      <c r="Q1623">
        <v>0.2040371</v>
      </c>
      <c r="R1623">
        <v>4.5806260000000001E-2</v>
      </c>
      <c r="S1623">
        <v>-3.0783390000000002</v>
      </c>
      <c r="T1623">
        <v>-4.9554590000000003E-2</v>
      </c>
      <c r="U1623">
        <v>-3.7231450000000002E-3</v>
      </c>
      <c r="V1623">
        <v>4.127434E-2</v>
      </c>
      <c r="W1623">
        <v>0.2104955</v>
      </c>
      <c r="X1623">
        <v>0.97672309999999996</v>
      </c>
      <c r="Y1623">
        <v>-5.598385E-3</v>
      </c>
      <c r="Z1623">
        <v>-1.0529080000000001E-4</v>
      </c>
      <c r="AA1623">
        <v>0.99998430000000005</v>
      </c>
      <c r="AB1623">
        <v>48</v>
      </c>
      <c r="AC1623">
        <v>-69.337699999999899</v>
      </c>
      <c r="AD1623">
        <v>-1.1202241169389999</v>
      </c>
      <c r="AE1623">
        <v>-8.5199999999986106E-2</v>
      </c>
      <c r="AF1623">
        <v>-0.38950070908331902</v>
      </c>
      <c r="AG1623">
        <v>-1.1202241169389999</v>
      </c>
      <c r="AH1623">
        <v>69.318564379949294</v>
      </c>
      <c r="AI1623">
        <v>90.925834442879605</v>
      </c>
      <c r="AJ1623">
        <v>90.321941345470407</v>
      </c>
      <c r="AK1623">
        <v>69.328709641617607</v>
      </c>
      <c r="AL1623">
        <v>77.848608251776199</v>
      </c>
      <c r="AM1623">
        <v>87.580236070053203</v>
      </c>
      <c r="AN1623">
        <v>0.99999997036814703</v>
      </c>
    </row>
    <row r="1624" spans="1:40" x14ac:dyDescent="0.25">
      <c r="A1624" t="str">
        <f>"20190303171011121"</f>
        <v>20190303171011121</v>
      </c>
      <c r="B1624" t="str">
        <f>"1551604211112300"</f>
        <v>1551604211112300</v>
      </c>
      <c r="C1624" t="s">
        <v>40</v>
      </c>
      <c r="D1624">
        <v>4.9498670000000002</v>
      </c>
      <c r="E1624">
        <v>0.48632120000000001</v>
      </c>
      <c r="F1624" t="s">
        <v>53</v>
      </c>
      <c r="G1624">
        <v>-371.57209999999998</v>
      </c>
      <c r="H1624" s="1">
        <v>-7.0017389999999996E-7</v>
      </c>
      <c r="I1624">
        <v>284.06220000000002</v>
      </c>
      <c r="J1624">
        <v>-301.69720000000001</v>
      </c>
      <c r="K1624">
        <v>1.12022</v>
      </c>
      <c r="L1624">
        <v>284.21190000000001</v>
      </c>
      <c r="M1624">
        <v>-0.99996969999999996</v>
      </c>
      <c r="N1624">
        <v>-6.5630910000000001E-3</v>
      </c>
      <c r="O1624">
        <v>4.1969219999999996E-3</v>
      </c>
      <c r="P1624">
        <v>-0.97792539999999994</v>
      </c>
      <c r="Q1624">
        <v>0.20391889999999999</v>
      </c>
      <c r="R1624">
        <v>4.5597369999999998E-2</v>
      </c>
      <c r="S1624">
        <v>-3.0783999999999998</v>
      </c>
      <c r="T1624">
        <v>-4.9179319999999999E-2</v>
      </c>
      <c r="U1624">
        <v>-6.5307619999999999E-3</v>
      </c>
      <c r="V1624">
        <v>4.1253810000000002E-2</v>
      </c>
      <c r="W1624">
        <v>0.21038129999999999</v>
      </c>
      <c r="X1624">
        <v>0.97674859999999997</v>
      </c>
      <c r="Y1624">
        <v>-6.3171360000000001E-3</v>
      </c>
      <c r="Z1624">
        <v>-1.106888E-4</v>
      </c>
      <c r="AA1624">
        <v>0.99997999999999998</v>
      </c>
      <c r="AB1624">
        <v>48</v>
      </c>
      <c r="AC1624">
        <v>-69.874899999999897</v>
      </c>
      <c r="AD1624">
        <v>-1.12022070017389</v>
      </c>
      <c r="AE1624">
        <v>-0.149699999999995</v>
      </c>
      <c r="AF1624">
        <v>-0.44285066925023198</v>
      </c>
      <c r="AG1624">
        <v>-1.12022070017389</v>
      </c>
      <c r="AH1624">
        <v>69.855702142407495</v>
      </c>
      <c r="AI1624">
        <v>90.918709939108197</v>
      </c>
      <c r="AJ1624">
        <v>90.363222093804794</v>
      </c>
      <c r="AK1624">
        <v>69.866087144916804</v>
      </c>
      <c r="AL1624">
        <v>77.855301646443195</v>
      </c>
      <c r="AM1624">
        <v>87.5815013059145</v>
      </c>
      <c r="AN1624">
        <v>0.99999999791558303</v>
      </c>
    </row>
    <row r="1625" spans="1:40" x14ac:dyDescent="0.25">
      <c r="A1625" t="str">
        <f>"20190303171011132"</f>
        <v>20190303171011132</v>
      </c>
      <c r="B1625" t="str">
        <f>"1551604211122060"</f>
        <v>1551604211122060</v>
      </c>
      <c r="C1625" t="s">
        <v>40</v>
      </c>
      <c r="D1625">
        <v>4.9187500000000002</v>
      </c>
      <c r="E1625">
        <v>0.48598439999999998</v>
      </c>
      <c r="F1625" t="s">
        <v>53</v>
      </c>
      <c r="G1625">
        <v>-371.6549</v>
      </c>
      <c r="H1625" s="1">
        <v>-6.5610639999999998E-7</v>
      </c>
      <c r="I1625">
        <v>283.9948</v>
      </c>
      <c r="J1625">
        <v>-301.94830000000002</v>
      </c>
      <c r="K1625">
        <v>1.1202190000000001</v>
      </c>
      <c r="L1625">
        <v>284.21289999999999</v>
      </c>
      <c r="M1625">
        <v>-0.99997040000000004</v>
      </c>
      <c r="N1625">
        <v>-6.5666669999999896E-3</v>
      </c>
      <c r="O1625">
        <v>3.9999079999999999E-3</v>
      </c>
      <c r="P1625">
        <v>-0.97795869999999996</v>
      </c>
      <c r="Q1625">
        <v>0.20383699999999999</v>
      </c>
      <c r="R1625">
        <v>4.525059E-2</v>
      </c>
      <c r="S1625">
        <v>-3.07843</v>
      </c>
      <c r="T1625">
        <v>-4.9294350000000001E-2</v>
      </c>
      <c r="U1625">
        <v>-9.5520020000000004E-3</v>
      </c>
      <c r="V1625">
        <v>4.1099289999999997E-2</v>
      </c>
      <c r="W1625">
        <v>0.2103025</v>
      </c>
      <c r="X1625">
        <v>0.97677210000000003</v>
      </c>
      <c r="Y1625">
        <v>-7.1013550000000002E-3</v>
      </c>
      <c r="Z1625">
        <v>-1.179513E-4</v>
      </c>
      <c r="AA1625">
        <v>0.99997480000000005</v>
      </c>
      <c r="AB1625">
        <v>48</v>
      </c>
      <c r="AC1625">
        <v>-69.706599999999895</v>
      </c>
      <c r="AD1625">
        <v>-1.1202196561064</v>
      </c>
      <c r="AE1625">
        <v>-0.21809999999999199</v>
      </c>
      <c r="AF1625">
        <v>-0.496795963185933</v>
      </c>
      <c r="AG1625">
        <v>-1.1202196561064</v>
      </c>
      <c r="AH1625">
        <v>69.687172655441998</v>
      </c>
      <c r="AI1625">
        <v>90.9209255860535</v>
      </c>
      <c r="AJ1625">
        <v>90.408451493966794</v>
      </c>
      <c r="AK1625">
        <v>69.697946390236993</v>
      </c>
      <c r="AL1625">
        <v>77.859920074594797</v>
      </c>
      <c r="AM1625">
        <v>87.590607222887698</v>
      </c>
      <c r="AN1625">
        <v>1.0000000142415799</v>
      </c>
    </row>
    <row r="1626" spans="1:40" x14ac:dyDescent="0.25">
      <c r="A1626" t="str">
        <f>"20190303171011144"</f>
        <v>20190303171011144</v>
      </c>
      <c r="B1626" t="str">
        <f>"1551604211131820"</f>
        <v>1551604211131820</v>
      </c>
      <c r="C1626" t="s">
        <v>40</v>
      </c>
      <c r="D1626">
        <v>4.9299400000000002</v>
      </c>
      <c r="E1626">
        <v>0.48566949999999998</v>
      </c>
      <c r="F1626" t="s">
        <v>53</v>
      </c>
      <c r="G1626">
        <v>-371.93290000000002</v>
      </c>
      <c r="H1626" s="1">
        <v>-5.0817670000000003E-7</v>
      </c>
      <c r="I1626">
        <v>283.91320000000002</v>
      </c>
      <c r="J1626">
        <v>-302.19779999999997</v>
      </c>
      <c r="K1626">
        <v>1.120214</v>
      </c>
      <c r="L1626">
        <v>284.21379999999999</v>
      </c>
      <c r="M1626">
        <v>-0.99997130000000001</v>
      </c>
      <c r="N1626">
        <v>-6.5692249999999997E-3</v>
      </c>
      <c r="O1626">
        <v>3.8042100000000001E-3</v>
      </c>
      <c r="P1626">
        <v>-0.97791709999999998</v>
      </c>
      <c r="Q1626">
        <v>0.2040949</v>
      </c>
      <c r="R1626">
        <v>4.4987050000000001E-2</v>
      </c>
      <c r="S1626">
        <v>-3.0784910000000001</v>
      </c>
      <c r="T1626">
        <v>-4.9276349999999997E-2</v>
      </c>
      <c r="U1626">
        <v>-1.318359E-2</v>
      </c>
      <c r="V1626">
        <v>4.102658E-2</v>
      </c>
      <c r="W1626">
        <v>0.210563</v>
      </c>
      <c r="X1626">
        <v>0.976719</v>
      </c>
      <c r="Y1626">
        <v>-8.0850419999999902E-3</v>
      </c>
      <c r="Z1626">
        <v>-1.271605E-4</v>
      </c>
      <c r="AA1626">
        <v>0.9999673</v>
      </c>
      <c r="AB1626">
        <v>48</v>
      </c>
      <c r="AC1626">
        <v>-69.735100000000003</v>
      </c>
      <c r="AD1626">
        <v>-1.1202145081766901</v>
      </c>
      <c r="AE1626">
        <v>-0.300599999999974</v>
      </c>
      <c r="AF1626">
        <v>-0.56574449751943201</v>
      </c>
      <c r="AG1626">
        <v>-1.1202145081766901</v>
      </c>
      <c r="AH1626">
        <v>69.715462241519802</v>
      </c>
      <c r="AI1626">
        <v>90.920540804355994</v>
      </c>
      <c r="AJ1626">
        <v>90.464947938787006</v>
      </c>
      <c r="AK1626">
        <v>69.726756865134504</v>
      </c>
      <c r="AL1626">
        <v>77.844652252386993</v>
      </c>
      <c r="AM1626">
        <v>87.594734139394802</v>
      </c>
      <c r="AN1626">
        <v>0.99999998109824795</v>
      </c>
    </row>
    <row r="1627" spans="1:40" x14ac:dyDescent="0.25">
      <c r="A1627" t="str">
        <f>"20190303171011156"</f>
        <v>20190303171011156</v>
      </c>
      <c r="B1627" t="str">
        <f>"1551604211142556"</f>
        <v>1551604211142556</v>
      </c>
      <c r="C1627" t="s">
        <v>40</v>
      </c>
      <c r="D1627">
        <v>4.9441319999999997</v>
      </c>
      <c r="E1627">
        <v>0.48536790000000002</v>
      </c>
      <c r="F1627" t="s">
        <v>53</v>
      </c>
      <c r="G1627">
        <v>-373.70319999999998</v>
      </c>
      <c r="H1627" s="1">
        <v>4.339012E-7</v>
      </c>
      <c r="I1627">
        <v>283.83249999999998</v>
      </c>
      <c r="J1627">
        <v>-302.45440000000002</v>
      </c>
      <c r="K1627">
        <v>1.1202110000000001</v>
      </c>
      <c r="L1627">
        <v>284.21480000000003</v>
      </c>
      <c r="M1627">
        <v>-0.99997190000000002</v>
      </c>
      <c r="N1627">
        <v>-6.5713949999999998E-3</v>
      </c>
      <c r="O1627">
        <v>3.6029109999999999E-3</v>
      </c>
      <c r="P1627">
        <v>-0.97788129999999995</v>
      </c>
      <c r="Q1627">
        <v>0.2042958</v>
      </c>
      <c r="R1627">
        <v>4.4850059999999997E-2</v>
      </c>
      <c r="S1627">
        <v>-3.0785830000000001</v>
      </c>
      <c r="T1627">
        <v>-4.8229460000000002E-2</v>
      </c>
      <c r="U1627">
        <v>-1.6418459999999999E-2</v>
      </c>
      <c r="V1627">
        <v>4.1085730000000001E-2</v>
      </c>
      <c r="W1627">
        <v>0.21076539999999999</v>
      </c>
      <c r="X1627">
        <v>0.97667289999999995</v>
      </c>
      <c r="Y1627">
        <v>-8.9342450000000004E-3</v>
      </c>
      <c r="Z1627">
        <v>-1.3210049999999999E-4</v>
      </c>
      <c r="AA1627">
        <v>0.99996010000000002</v>
      </c>
      <c r="AB1627">
        <v>48</v>
      </c>
      <c r="AC1627">
        <v>-71.248799999999903</v>
      </c>
      <c r="AD1627">
        <v>-1.1202105660988</v>
      </c>
      <c r="AE1627">
        <v>-0.38230000000004299</v>
      </c>
      <c r="AF1627">
        <v>-0.63884823394436996</v>
      </c>
      <c r="AG1627">
        <v>-1.1202105660988</v>
      </c>
      <c r="AH1627">
        <v>71.229352899696707</v>
      </c>
      <c r="AI1627">
        <v>90.900969383279502</v>
      </c>
      <c r="AJ1627">
        <v>90.513865768014995</v>
      </c>
      <c r="AK1627">
        <v>71.241025492955501</v>
      </c>
      <c r="AL1627">
        <v>77.832789874458996</v>
      </c>
      <c r="AM1627">
        <v>87.591156872432194</v>
      </c>
      <c r="AN1627">
        <v>1.0000000223206</v>
      </c>
    </row>
    <row r="1628" spans="1:40" x14ac:dyDescent="0.25">
      <c r="A1628" t="str">
        <f>"20190303171011168"</f>
        <v>20190303171011168</v>
      </c>
      <c r="B1628" t="str">
        <f>"1551604211162076"</f>
        <v>1551604211162076</v>
      </c>
      <c r="C1628" t="s">
        <v>40</v>
      </c>
      <c r="D1628">
        <v>4.9129389999999997</v>
      </c>
      <c r="E1628">
        <v>0.48475370000000001</v>
      </c>
      <c r="F1628" t="s">
        <v>53</v>
      </c>
      <c r="G1628">
        <v>-375.21370000000002</v>
      </c>
      <c r="H1628" s="1">
        <v>1.2376790000000001E-6</v>
      </c>
      <c r="I1628">
        <v>283.75889999999998</v>
      </c>
      <c r="J1628">
        <v>-302.72280000000001</v>
      </c>
      <c r="K1628">
        <v>1.1202129999999999</v>
      </c>
      <c r="L1628">
        <v>284.21559999999999</v>
      </c>
      <c r="M1628">
        <v>-0.9999728</v>
      </c>
      <c r="N1628">
        <v>-6.5723209999999999E-3</v>
      </c>
      <c r="O1628">
        <v>3.3921989999999998E-3</v>
      </c>
      <c r="P1628">
        <v>-0.97789800000000004</v>
      </c>
      <c r="Q1628">
        <v>0.20428769999999999</v>
      </c>
      <c r="R1628">
        <v>4.4524840000000003E-2</v>
      </c>
      <c r="S1628">
        <v>-3.0786739999999999</v>
      </c>
      <c r="T1628">
        <v>-4.739964E-2</v>
      </c>
      <c r="U1628">
        <v>-1.928711E-2</v>
      </c>
      <c r="V1628">
        <v>4.096619E-2</v>
      </c>
      <c r="W1628">
        <v>0.2107588</v>
      </c>
      <c r="X1628">
        <v>0.97667930000000003</v>
      </c>
      <c r="Y1628">
        <v>-9.6550270000000001E-3</v>
      </c>
      <c r="Z1628">
        <v>-1.3598049999999999E-4</v>
      </c>
      <c r="AA1628">
        <v>0.99995339999999999</v>
      </c>
      <c r="AB1628">
        <v>48</v>
      </c>
      <c r="AC1628">
        <v>-72.490899999999996</v>
      </c>
      <c r="AD1628">
        <v>-1.1202117623209999</v>
      </c>
      <c r="AE1628">
        <v>-0.45670000000001199</v>
      </c>
      <c r="AF1628">
        <v>-0.702438469346084</v>
      </c>
      <c r="AG1628">
        <v>-1.1202117623209999</v>
      </c>
      <c r="AH1628">
        <v>72.471628157368798</v>
      </c>
      <c r="AI1628">
        <v>90.885522829163506</v>
      </c>
      <c r="AJ1628">
        <v>90.555327655915207</v>
      </c>
      <c r="AK1628">
        <v>72.483689075374699</v>
      </c>
      <c r="AL1628">
        <v>77.833176165788899</v>
      </c>
      <c r="AM1628">
        <v>87.598172964735795</v>
      </c>
      <c r="AN1628">
        <v>0.99999997777452199</v>
      </c>
    </row>
    <row r="1629" spans="1:40" x14ac:dyDescent="0.25">
      <c r="A1629" t="str">
        <f>"20190303171011186"</f>
        <v>20190303171011186</v>
      </c>
      <c r="B1629" t="str">
        <f>"1551604211171836"</f>
        <v>1551604211171836</v>
      </c>
      <c r="C1629" t="s">
        <v>40</v>
      </c>
      <c r="D1629">
        <v>4.9207619999999999</v>
      </c>
      <c r="E1629">
        <v>0.4844656</v>
      </c>
      <c r="F1629" t="s">
        <v>53</v>
      </c>
      <c r="G1629">
        <v>-376.2176</v>
      </c>
      <c r="H1629" s="1">
        <v>1.7718799999999901E-6</v>
      </c>
      <c r="I1629">
        <v>283.6037</v>
      </c>
      <c r="J1629">
        <v>-303.10410000000002</v>
      </c>
      <c r="K1629">
        <v>1.1202110000000001</v>
      </c>
      <c r="L1629">
        <v>284.21679999999998</v>
      </c>
      <c r="M1629">
        <v>-0.99997360000000002</v>
      </c>
      <c r="N1629">
        <v>-6.5733519999999898E-3</v>
      </c>
      <c r="O1629">
        <v>3.0938039999999999E-3</v>
      </c>
      <c r="P1629">
        <v>-0.97786479999999998</v>
      </c>
      <c r="Q1629">
        <v>0.20453769999999999</v>
      </c>
      <c r="R1629">
        <v>4.4101389999999997E-2</v>
      </c>
      <c r="S1629">
        <v>-3.0787659999999999</v>
      </c>
      <c r="T1629">
        <v>-4.6926740000000002E-2</v>
      </c>
      <c r="U1629">
        <v>-2.5634770000000001E-2</v>
      </c>
      <c r="V1629">
        <v>4.0833849999999998E-2</v>
      </c>
      <c r="W1629">
        <v>0.2110091</v>
      </c>
      <c r="X1629">
        <v>0.97663080000000002</v>
      </c>
      <c r="Y1629">
        <v>-1.1417729999999999E-2</v>
      </c>
      <c r="Z1629">
        <v>-1.513556E-4</v>
      </c>
      <c r="AA1629">
        <v>0.99993480000000001</v>
      </c>
      <c r="AB1629">
        <v>48</v>
      </c>
      <c r="AC1629">
        <v>-73.113499999999902</v>
      </c>
      <c r="AD1629">
        <v>-1.12020922812</v>
      </c>
      <c r="AE1629">
        <v>-0.613099999999974</v>
      </c>
      <c r="AF1629">
        <v>-0.83910382896411295</v>
      </c>
      <c r="AG1629">
        <v>-1.12020922812</v>
      </c>
      <c r="AH1629">
        <v>73.094095688997697</v>
      </c>
      <c r="AI1629">
        <v>90.877964331792199</v>
      </c>
      <c r="AJ1629">
        <v>90.657713810335295</v>
      </c>
      <c r="AK1629">
        <v>73.107494749463896</v>
      </c>
      <c r="AL1629">
        <v>77.818505142316496</v>
      </c>
      <c r="AM1629">
        <v>87.605804196653395</v>
      </c>
      <c r="AN1629">
        <v>0.99999998154863601</v>
      </c>
    </row>
    <row r="1630" spans="1:40" x14ac:dyDescent="0.25">
      <c r="A1630" t="str">
        <f>"20190303171011208"</f>
        <v>20190303171011208</v>
      </c>
      <c r="B1630" t="str">
        <f>"1551604211202092"</f>
        <v>1551604211202092</v>
      </c>
      <c r="C1630" t="s">
        <v>40</v>
      </c>
      <c r="D1630">
        <v>4.8926129999999999</v>
      </c>
      <c r="E1630">
        <v>0.4836009</v>
      </c>
      <c r="F1630" t="s">
        <v>53</v>
      </c>
      <c r="G1630">
        <v>-378.66370000000001</v>
      </c>
      <c r="H1630" s="1">
        <v>3.0735969999999998E-6</v>
      </c>
      <c r="I1630">
        <v>283.4828</v>
      </c>
      <c r="J1630">
        <v>-303.60050000000001</v>
      </c>
      <c r="K1630">
        <v>1.1202080000000001</v>
      </c>
      <c r="L1630">
        <v>284.21809999999999</v>
      </c>
      <c r="M1630">
        <v>-0.99997480000000005</v>
      </c>
      <c r="N1630">
        <v>-6.5748150000000003E-3</v>
      </c>
      <c r="O1630">
        <v>2.7050440000000002E-3</v>
      </c>
      <c r="P1630">
        <v>-0.97796740000000004</v>
      </c>
      <c r="Q1630">
        <v>0.20419119999999999</v>
      </c>
      <c r="R1630">
        <v>4.342617E-2</v>
      </c>
      <c r="S1630">
        <v>-3.078827</v>
      </c>
      <c r="T1630">
        <v>-4.5645119999999997E-2</v>
      </c>
      <c r="U1630">
        <v>-2.990723E-2</v>
      </c>
      <c r="V1630">
        <v>4.0537780000000002E-2</v>
      </c>
      <c r="W1630">
        <v>0.2106642</v>
      </c>
      <c r="X1630">
        <v>0.97671759999999996</v>
      </c>
      <c r="Y1630">
        <v>-1.241626E-2</v>
      </c>
      <c r="Z1630">
        <v>-1.5516950000000001E-4</v>
      </c>
      <c r="AA1630">
        <v>0.99992289999999995</v>
      </c>
      <c r="AB1630">
        <v>49</v>
      </c>
      <c r="AC1630">
        <v>-75.063199999999995</v>
      </c>
      <c r="AD1630">
        <v>-1.1202049264030001</v>
      </c>
      <c r="AE1630">
        <v>-0.73529999999999496</v>
      </c>
      <c r="AF1630">
        <v>-0.93814202841557903</v>
      </c>
      <c r="AG1630">
        <v>-1.1202049264030001</v>
      </c>
      <c r="AH1630">
        <v>75.044224759751202</v>
      </c>
      <c r="AI1630">
        <v>90.855138881284901</v>
      </c>
      <c r="AJ1630">
        <v>90.716228052894095</v>
      </c>
      <c r="AK1630">
        <v>75.058448154319507</v>
      </c>
      <c r="AL1630">
        <v>77.838721027592598</v>
      </c>
      <c r="AM1630">
        <v>87.623354562929507</v>
      </c>
      <c r="AN1630">
        <v>0.99999999345936397</v>
      </c>
    </row>
    <row r="1631" spans="1:40" x14ac:dyDescent="0.25">
      <c r="A1631" t="str">
        <f>"20190303171011219"</f>
        <v>20190303171011219</v>
      </c>
      <c r="B1631" t="str">
        <f>"1551604211211851"</f>
        <v>1551604211211851</v>
      </c>
      <c r="C1631" t="s">
        <v>40</v>
      </c>
      <c r="D1631">
        <v>4.8902619999999999</v>
      </c>
      <c r="E1631">
        <v>0.48333470000000001</v>
      </c>
      <c r="F1631" t="s">
        <v>53</v>
      </c>
      <c r="G1631">
        <v>-378.55290000000002</v>
      </c>
      <c r="H1631" s="1">
        <v>3.0146579999999998E-6</v>
      </c>
      <c r="I1631">
        <v>283.27319999999997</v>
      </c>
      <c r="J1631">
        <v>-303.84789999999998</v>
      </c>
      <c r="K1631">
        <v>1.1202049999999999</v>
      </c>
      <c r="L1631">
        <v>284.21879999999999</v>
      </c>
      <c r="M1631">
        <v>-0.99997530000000001</v>
      </c>
      <c r="N1631">
        <v>-6.5758739999999998E-3</v>
      </c>
      <c r="O1631">
        <v>2.511438E-3</v>
      </c>
      <c r="P1631">
        <v>-0.97796450000000001</v>
      </c>
      <c r="Q1631">
        <v>0.20429410000000001</v>
      </c>
      <c r="R1631">
        <v>4.3006219999999998E-2</v>
      </c>
      <c r="S1631">
        <v>-3.0789179999999998</v>
      </c>
      <c r="T1631">
        <v>-4.6016099999999997E-2</v>
      </c>
      <c r="U1631">
        <v>-3.8818360000000003E-2</v>
      </c>
      <c r="V1631">
        <v>4.0306849999999998E-2</v>
      </c>
      <c r="W1631">
        <v>0.21076819999999999</v>
      </c>
      <c r="X1631">
        <v>0.97670469999999998</v>
      </c>
      <c r="Y1631">
        <v>-1.511552E-2</v>
      </c>
      <c r="Z1631">
        <v>-1.8366690000000001E-4</v>
      </c>
      <c r="AA1631">
        <v>0.99988569999999999</v>
      </c>
      <c r="AB1631">
        <v>49</v>
      </c>
      <c r="AC1631">
        <v>-74.704999999999998</v>
      </c>
      <c r="AD1631">
        <v>-1.120201985342</v>
      </c>
      <c r="AE1631">
        <v>-0.94560000000001299</v>
      </c>
      <c r="AF1631">
        <v>-1.1329633298317801</v>
      </c>
      <c r="AG1631">
        <v>-1.120201985342</v>
      </c>
      <c r="AH1631">
        <v>74.685599144344593</v>
      </c>
      <c r="AI1631">
        <v>90.859210508231499</v>
      </c>
      <c r="AJ1631">
        <v>90.869097111013602</v>
      </c>
      <c r="AK1631">
        <v>74.702591507553706</v>
      </c>
      <c r="AL1631">
        <v>77.8326251583469</v>
      </c>
      <c r="AM1631">
        <v>87.636846938272001</v>
      </c>
      <c r="AN1631">
        <v>0.99999997364512505</v>
      </c>
    </row>
    <row r="1632" spans="1:40" x14ac:dyDescent="0.25">
      <c r="A1632" t="str">
        <f>"20190303171011231"</f>
        <v>20190303171011231</v>
      </c>
      <c r="B1632" t="str">
        <f>"1551604211222588"</f>
        <v>1551604211222588</v>
      </c>
      <c r="C1632" t="s">
        <v>40</v>
      </c>
      <c r="D1632">
        <v>4.9184320000000001</v>
      </c>
      <c r="E1632">
        <v>0.48305090000000001</v>
      </c>
      <c r="F1632" t="s">
        <v>53</v>
      </c>
      <c r="G1632">
        <v>-379.71710000000002</v>
      </c>
      <c r="H1632" s="1">
        <v>3.6341909999999998E-6</v>
      </c>
      <c r="I1632">
        <v>283.17869999999999</v>
      </c>
      <c r="J1632">
        <v>-304.1044</v>
      </c>
      <c r="K1632">
        <v>1.1202030000000001</v>
      </c>
      <c r="L1632">
        <v>284.21929999999998</v>
      </c>
      <c r="M1632">
        <v>-0.99997570000000002</v>
      </c>
      <c r="N1632">
        <v>-6.5773250000000002E-3</v>
      </c>
      <c r="O1632">
        <v>2.310856E-3</v>
      </c>
      <c r="P1632">
        <v>-0.97795310000000002</v>
      </c>
      <c r="Q1632">
        <v>0.20443510000000001</v>
      </c>
      <c r="R1632">
        <v>4.2595090000000002E-2</v>
      </c>
      <c r="S1632">
        <v>-3.0789490000000002</v>
      </c>
      <c r="T1632">
        <v>-4.5460340000000002E-2</v>
      </c>
      <c r="U1632">
        <v>-4.2205810000000003E-2</v>
      </c>
      <c r="V1632">
        <v>4.0091189999999999E-2</v>
      </c>
      <c r="W1632">
        <v>0.2109103</v>
      </c>
      <c r="X1632">
        <v>0.97668290000000002</v>
      </c>
      <c r="Y1632">
        <v>-1.6014629999999998E-2</v>
      </c>
      <c r="Z1632">
        <v>-1.8980700000000001E-4</v>
      </c>
      <c r="AA1632">
        <v>0.99987170000000003</v>
      </c>
      <c r="AB1632">
        <v>49</v>
      </c>
      <c r="AC1632">
        <v>-75.612700000000004</v>
      </c>
      <c r="AD1632">
        <v>-1.1201993658089999</v>
      </c>
      <c r="AE1632">
        <v>-1.04059999999998</v>
      </c>
      <c r="AF1632">
        <v>-1.2150644267463</v>
      </c>
      <c r="AG1632">
        <v>-1.1201993658089999</v>
      </c>
      <c r="AH1632">
        <v>75.593505016670804</v>
      </c>
      <c r="AI1632">
        <v>90.848878625784494</v>
      </c>
      <c r="AJ1632">
        <v>90.9208736760514</v>
      </c>
      <c r="AK1632">
        <v>75.6115680890546</v>
      </c>
      <c r="AL1632">
        <v>77.824296186846894</v>
      </c>
      <c r="AM1632">
        <v>87.649424257457198</v>
      </c>
      <c r="AN1632">
        <v>0.99999997265705698</v>
      </c>
    </row>
    <row r="1633" spans="1:40" x14ac:dyDescent="0.25">
      <c r="A1633" t="str">
        <f>"20190303171011242"</f>
        <v>20190303171011242</v>
      </c>
      <c r="B1633" t="str">
        <f>"1551604211232348"</f>
        <v>1551604211232348</v>
      </c>
      <c r="C1633" t="s">
        <v>40</v>
      </c>
      <c r="D1633">
        <v>4.9168989999999999</v>
      </c>
      <c r="E1633">
        <v>0.48280139999999999</v>
      </c>
      <c r="F1633" t="s">
        <v>53</v>
      </c>
      <c r="G1633">
        <v>-381.28840000000002</v>
      </c>
      <c r="H1633" s="1">
        <v>-8.5117280000000001E-7</v>
      </c>
      <c r="I1633">
        <v>283.07479999999998</v>
      </c>
      <c r="J1633">
        <v>-304.33390000000003</v>
      </c>
      <c r="K1633">
        <v>1.120204</v>
      </c>
      <c r="L1633">
        <v>284.21980000000002</v>
      </c>
      <c r="M1633">
        <v>-0.99997599999999998</v>
      </c>
      <c r="N1633">
        <v>-6.5789050000000003E-3</v>
      </c>
      <c r="O1633">
        <v>2.1318499999999998E-3</v>
      </c>
      <c r="P1633">
        <v>-0.97785440000000001</v>
      </c>
      <c r="Q1633">
        <v>0.20488719999999999</v>
      </c>
      <c r="R1633">
        <v>4.2686229999999999E-2</v>
      </c>
      <c r="S1633">
        <v>-3.0789490000000002</v>
      </c>
      <c r="T1633">
        <v>-4.4686080000000003E-2</v>
      </c>
      <c r="U1633">
        <v>-4.5654300000000002E-2</v>
      </c>
      <c r="V1633">
        <v>4.0356690000000001E-2</v>
      </c>
      <c r="W1633">
        <v>0.21136389999999999</v>
      </c>
      <c r="X1633">
        <v>0.97657389999999999</v>
      </c>
      <c r="Y1633">
        <v>-1.695522E-2</v>
      </c>
      <c r="Z1633">
        <v>-1.9572019999999999E-4</v>
      </c>
      <c r="AA1633">
        <v>0.99985619999999997</v>
      </c>
      <c r="AB1633">
        <v>49</v>
      </c>
      <c r="AC1633">
        <v>-76.954499999999996</v>
      </c>
      <c r="AD1633">
        <v>-1.1202048511728</v>
      </c>
      <c r="AE1633">
        <v>-1.14500000000003</v>
      </c>
      <c r="AF1633">
        <v>-1.3087791471201</v>
      </c>
      <c r="AG1633">
        <v>-1.1202048511728</v>
      </c>
      <c r="AH1633">
        <v>76.935585211795001</v>
      </c>
      <c r="AI1633">
        <v>90.834063873715493</v>
      </c>
      <c r="AJ1633">
        <v>90.974585285029704</v>
      </c>
      <c r="AK1633">
        <v>76.954870109993095</v>
      </c>
      <c r="AL1633">
        <v>77.797707399627299</v>
      </c>
      <c r="AM1633">
        <v>87.633611638580703</v>
      </c>
      <c r="AN1633">
        <v>0.99999997140608698</v>
      </c>
    </row>
    <row r="1634" spans="1:40" x14ac:dyDescent="0.25">
      <c r="A1634" t="str">
        <f>"20190303171011254"</f>
        <v>20190303171011254</v>
      </c>
      <c r="B1634" t="str">
        <f>"1551604211242108"</f>
        <v>1551604211242108</v>
      </c>
      <c r="C1634" t="s">
        <v>40</v>
      </c>
      <c r="D1634">
        <v>4.8671239999999996</v>
      </c>
      <c r="E1634">
        <v>0.48255350000000002</v>
      </c>
      <c r="F1634" t="s">
        <v>53</v>
      </c>
      <c r="G1634">
        <v>-384.44779999999997</v>
      </c>
      <c r="H1634" s="1">
        <v>8.3008200000000003E-7</v>
      </c>
      <c r="I1634">
        <v>282.98430000000002</v>
      </c>
      <c r="J1634">
        <v>-304.61680000000001</v>
      </c>
      <c r="K1634">
        <v>1.120204</v>
      </c>
      <c r="L1634">
        <v>284.22030000000001</v>
      </c>
      <c r="M1634">
        <v>-0.99997659999999999</v>
      </c>
      <c r="N1634">
        <v>-6.5811009999999998E-3</v>
      </c>
      <c r="O1634">
        <v>1.911056E-3</v>
      </c>
      <c r="P1634">
        <v>-0.9778213</v>
      </c>
      <c r="Q1634">
        <v>0.20508570000000001</v>
      </c>
      <c r="R1634">
        <v>4.2495680000000001E-2</v>
      </c>
      <c r="S1634">
        <v>-3.0790410000000001</v>
      </c>
      <c r="T1634">
        <v>-4.3053149999999998E-2</v>
      </c>
      <c r="U1634">
        <v>-4.7485350000000003E-2</v>
      </c>
      <c r="V1634">
        <v>4.0381229999999997E-2</v>
      </c>
      <c r="W1634">
        <v>0.21156420000000001</v>
      </c>
      <c r="X1634">
        <v>0.97652950000000005</v>
      </c>
      <c r="Y1634">
        <v>-1.7328590000000001E-2</v>
      </c>
      <c r="Z1634">
        <v>-1.923084E-4</v>
      </c>
      <c r="AA1634">
        <v>0.99984989999999996</v>
      </c>
      <c r="AB1634">
        <v>49</v>
      </c>
      <c r="AC1634">
        <v>-79.830999999999904</v>
      </c>
      <c r="AD1634">
        <v>-1.120203169918</v>
      </c>
      <c r="AE1634">
        <v>-1.23599999999999</v>
      </c>
      <c r="AF1634">
        <v>-1.38828925420817</v>
      </c>
      <c r="AG1634">
        <v>-1.120203169918</v>
      </c>
      <c r="AH1634">
        <v>79.812780558891404</v>
      </c>
      <c r="AI1634">
        <v>90.803993969617807</v>
      </c>
      <c r="AJ1634">
        <v>90.9965207784401</v>
      </c>
      <c r="AK1634">
        <v>79.832713487247801</v>
      </c>
      <c r="AL1634">
        <v>77.785965372426801</v>
      </c>
      <c r="AM1634">
        <v>87.632066792367795</v>
      </c>
      <c r="AN1634">
        <v>0.99999995941410003</v>
      </c>
    </row>
    <row r="1635" spans="1:40" x14ac:dyDescent="0.25">
      <c r="A1635" t="str">
        <f>"20190303171011266"</f>
        <v>20190303171011266</v>
      </c>
      <c r="B1635" t="str">
        <f>"1551604211251868"</f>
        <v>1551604211251868</v>
      </c>
      <c r="C1635" t="s">
        <v>40</v>
      </c>
      <c r="D1635">
        <v>4.8592529999999998</v>
      </c>
      <c r="E1635">
        <v>0.48230830000000002</v>
      </c>
      <c r="F1635" t="s">
        <v>53</v>
      </c>
      <c r="G1635">
        <v>-386.0462</v>
      </c>
      <c r="H1635" s="1">
        <v>1.6807010000000001E-6</v>
      </c>
      <c r="I1635">
        <v>282.89269999999999</v>
      </c>
      <c r="J1635">
        <v>-304.8612</v>
      </c>
      <c r="K1635">
        <v>1.1202049999999999</v>
      </c>
      <c r="L1635">
        <v>284.22070000000002</v>
      </c>
      <c r="M1635">
        <v>-0.99997689999999995</v>
      </c>
      <c r="N1635">
        <v>-6.5834300000000004E-3</v>
      </c>
      <c r="O1635">
        <v>1.7205429999999999E-3</v>
      </c>
      <c r="P1635">
        <v>-0.97775579999999995</v>
      </c>
      <c r="Q1635">
        <v>0.20541899999999999</v>
      </c>
      <c r="R1635">
        <v>4.2384720000000001E-2</v>
      </c>
      <c r="S1635">
        <v>-3.0790709999999999</v>
      </c>
      <c r="T1635">
        <v>-4.235792E-2</v>
      </c>
      <c r="U1635">
        <v>-5.0201419999999997E-2</v>
      </c>
      <c r="V1635">
        <v>4.0455600000000001E-2</v>
      </c>
      <c r="W1635">
        <v>0.21189930000000001</v>
      </c>
      <c r="X1635">
        <v>0.97645380000000004</v>
      </c>
      <c r="Y1635">
        <v>-1.801968E-2</v>
      </c>
      <c r="Z1635">
        <v>-1.955964E-4</v>
      </c>
      <c r="AA1635">
        <v>0.99983759999999999</v>
      </c>
      <c r="AB1635">
        <v>49</v>
      </c>
      <c r="AC1635">
        <v>-81.185000000000002</v>
      </c>
      <c r="AD1635">
        <v>-1.120203319299</v>
      </c>
      <c r="AE1635">
        <v>-1.32800000000003</v>
      </c>
      <c r="AF1635">
        <v>-1.46740403469883</v>
      </c>
      <c r="AG1635">
        <v>-1.120203319299</v>
      </c>
      <c r="AH1635">
        <v>81.167145692113394</v>
      </c>
      <c r="AI1635">
        <v>90.790570654920899</v>
      </c>
      <c r="AJ1635">
        <v>91.035725714192907</v>
      </c>
      <c r="AK1635">
        <v>81.188137494848206</v>
      </c>
      <c r="AL1635">
        <v>77.766320613166599</v>
      </c>
      <c r="AM1635">
        <v>87.627527051521497</v>
      </c>
      <c r="AN1635">
        <v>0.99999999622314495</v>
      </c>
    </row>
    <row r="1636" spans="1:40" x14ac:dyDescent="0.25">
      <c r="A1636" t="str">
        <f>"20190303171011278"</f>
        <v>20190303171011278</v>
      </c>
      <c r="B1636" t="str">
        <f>"1551604211272364"</f>
        <v>1551604211272364</v>
      </c>
      <c r="C1636" t="s">
        <v>40</v>
      </c>
      <c r="D1636">
        <v>4.8601530000000004</v>
      </c>
      <c r="E1636">
        <v>0.48182900000000001</v>
      </c>
      <c r="F1636" t="s">
        <v>53</v>
      </c>
      <c r="G1636">
        <v>-388.39210000000003</v>
      </c>
      <c r="H1636" s="1">
        <v>2.9290529999999998E-6</v>
      </c>
      <c r="I1636">
        <v>282.79520000000002</v>
      </c>
      <c r="J1636">
        <v>-305.11649999999997</v>
      </c>
      <c r="K1636">
        <v>1.1202019999999999</v>
      </c>
      <c r="L1636">
        <v>284.22109999999998</v>
      </c>
      <c r="M1636">
        <v>-0.99997729999999996</v>
      </c>
      <c r="N1636">
        <v>-6.58598E-3</v>
      </c>
      <c r="O1636">
        <v>1.521267E-3</v>
      </c>
      <c r="P1636">
        <v>-0.97767999999999999</v>
      </c>
      <c r="Q1636">
        <v>0.2058093</v>
      </c>
      <c r="R1636">
        <v>4.224501E-2</v>
      </c>
      <c r="S1636">
        <v>-3.079224</v>
      </c>
      <c r="T1636">
        <v>-4.1294339999999999E-2</v>
      </c>
      <c r="U1636">
        <v>-5.2551269999999997E-2</v>
      </c>
      <c r="V1636">
        <v>4.0509990000000003E-2</v>
      </c>
      <c r="W1636">
        <v>0.2122917</v>
      </c>
      <c r="X1636">
        <v>0.97636630000000002</v>
      </c>
      <c r="Y1636">
        <v>-1.858245E-2</v>
      </c>
      <c r="Z1636">
        <v>-1.961682E-4</v>
      </c>
      <c r="AA1636">
        <v>0.99982729999999997</v>
      </c>
      <c r="AB1636">
        <v>49</v>
      </c>
      <c r="AC1636">
        <v>-83.275599999999997</v>
      </c>
      <c r="AD1636">
        <v>-1.120199070947</v>
      </c>
      <c r="AE1636">
        <v>-1.42589999999995</v>
      </c>
      <c r="AF1636">
        <v>-1.5523046965621801</v>
      </c>
      <c r="AG1636">
        <v>-1.120199070947</v>
      </c>
      <c r="AH1636">
        <v>83.258273373913795</v>
      </c>
      <c r="AI1636">
        <v>90.770706062170703</v>
      </c>
      <c r="AJ1636">
        <v>91.068124529570497</v>
      </c>
      <c r="AK1636">
        <v>83.280277263196496</v>
      </c>
      <c r="AL1636">
        <v>77.743314235418296</v>
      </c>
      <c r="AM1636">
        <v>87.624128405594604</v>
      </c>
      <c r="AN1636">
        <v>0.99999998847718996</v>
      </c>
    </row>
    <row r="1637" spans="1:40" x14ac:dyDescent="0.25">
      <c r="A1637" t="str">
        <f>"20190303171011290"</f>
        <v>20190303171011290</v>
      </c>
      <c r="B1637" t="str">
        <f>"1551604211282631"</f>
        <v>1551604211282631</v>
      </c>
      <c r="C1637" t="s">
        <v>40</v>
      </c>
      <c r="D1637">
        <v>4.8666</v>
      </c>
      <c r="E1637">
        <v>0.481595</v>
      </c>
      <c r="F1637" t="s">
        <v>53</v>
      </c>
      <c r="G1637">
        <v>-391.36950000000002</v>
      </c>
      <c r="H1637" s="1">
        <v>-8.0798879999999996E-7</v>
      </c>
      <c r="I1637">
        <v>282.62689999999998</v>
      </c>
      <c r="J1637">
        <v>-305.40449999999998</v>
      </c>
      <c r="K1637">
        <v>1.1202019999999999</v>
      </c>
      <c r="L1637">
        <v>284.22140000000002</v>
      </c>
      <c r="M1637">
        <v>-0.99997760000000002</v>
      </c>
      <c r="N1637">
        <v>-6.5893389999999996E-3</v>
      </c>
      <c r="O1637">
        <v>1.296834E-3</v>
      </c>
      <c r="P1637">
        <v>-0.97762680000000002</v>
      </c>
      <c r="Q1637">
        <v>0.20606910000000001</v>
      </c>
      <c r="R1637">
        <v>4.2211100000000001E-2</v>
      </c>
      <c r="S1637">
        <v>-3.0793460000000001</v>
      </c>
      <c r="T1637">
        <v>-3.9992689999999997E-2</v>
      </c>
      <c r="U1637">
        <v>-5.6915279999999999E-2</v>
      </c>
      <c r="V1637">
        <v>4.0694689999999999E-2</v>
      </c>
      <c r="W1637">
        <v>0.21255450000000001</v>
      </c>
      <c r="X1637">
        <v>0.97630139999999999</v>
      </c>
      <c r="Y1637">
        <v>-1.9773840000000001E-2</v>
      </c>
      <c r="Z1637">
        <v>-2.0184360000000001E-4</v>
      </c>
      <c r="AA1637">
        <v>0.99980440000000004</v>
      </c>
      <c r="AB1637">
        <v>49</v>
      </c>
      <c r="AC1637">
        <v>-85.965000000000003</v>
      </c>
      <c r="AD1637">
        <v>-1.1202028079888</v>
      </c>
      <c r="AE1637">
        <v>-1.59450000000003</v>
      </c>
      <c r="AF1637">
        <v>-1.70569386205861</v>
      </c>
      <c r="AG1637">
        <v>-1.1202028079888</v>
      </c>
      <c r="AH1637">
        <v>85.948270453298406</v>
      </c>
      <c r="AI1637">
        <v>90.746572625686994</v>
      </c>
      <c r="AJ1637">
        <v>91.136919124070005</v>
      </c>
      <c r="AK1637">
        <v>85.972492343745699</v>
      </c>
      <c r="AL1637">
        <v>77.727904738045595</v>
      </c>
      <c r="AM1637">
        <v>87.613149955360399</v>
      </c>
      <c r="AN1637">
        <v>0.99999994845320095</v>
      </c>
    </row>
    <row r="1638" spans="1:40" x14ac:dyDescent="0.25">
      <c r="A1638" t="str">
        <f>"20190303171011303"</f>
        <v>20190303171011303</v>
      </c>
      <c r="B1638" t="str">
        <f>"1551604211292391"</f>
        <v>1551604211292391</v>
      </c>
      <c r="C1638" t="s">
        <v>40</v>
      </c>
      <c r="D1638">
        <v>4.8336829999999997</v>
      </c>
      <c r="E1638">
        <v>0.4813654</v>
      </c>
      <c r="F1638" t="s">
        <v>53</v>
      </c>
      <c r="G1638">
        <v>-393.38630000000001</v>
      </c>
      <c r="H1638" s="1">
        <v>2.6522539999999999E-7</v>
      </c>
      <c r="I1638">
        <v>282.54390000000001</v>
      </c>
      <c r="J1638">
        <v>-305.6617</v>
      </c>
      <c r="K1638">
        <v>1.120201</v>
      </c>
      <c r="L1638">
        <v>284.2217</v>
      </c>
      <c r="M1638">
        <v>-0.99997760000000002</v>
      </c>
      <c r="N1638">
        <v>-6.5926090000000001E-3</v>
      </c>
      <c r="O1638">
        <v>1.0966630000000001E-3</v>
      </c>
      <c r="P1638">
        <v>-0.97757640000000001</v>
      </c>
      <c r="Q1638">
        <v>0.20637040000000001</v>
      </c>
      <c r="R1638">
        <v>4.189698E-2</v>
      </c>
      <c r="S1638">
        <v>-3.0794679999999999</v>
      </c>
      <c r="T1638">
        <v>-3.9208409999999999E-2</v>
      </c>
      <c r="U1638">
        <v>-5.8715820000000002E-2</v>
      </c>
      <c r="V1638">
        <v>4.0575470000000002E-2</v>
      </c>
      <c r="W1638">
        <v>0.2128592</v>
      </c>
      <c r="X1638">
        <v>0.97624</v>
      </c>
      <c r="Y1638">
        <v>-2.0157390000000001E-2</v>
      </c>
      <c r="Z1638">
        <v>-2.0149489999999999E-4</v>
      </c>
      <c r="AA1638">
        <v>0.99979680000000004</v>
      </c>
      <c r="AB1638">
        <v>49</v>
      </c>
      <c r="AC1638">
        <v>-87.724599999999995</v>
      </c>
      <c r="AD1638">
        <v>-1.1202007347745999</v>
      </c>
      <c r="AE1638">
        <v>-1.67779999999999</v>
      </c>
      <c r="AF1638">
        <v>-1.7737162938125099</v>
      </c>
      <c r="AG1638">
        <v>-1.1202007347745999</v>
      </c>
      <c r="AH1638">
        <v>87.708410672114795</v>
      </c>
      <c r="AI1638">
        <v>90.731585103767898</v>
      </c>
      <c r="AJ1638">
        <v>91.158527516697006</v>
      </c>
      <c r="AK1638">
        <v>87.733495438204599</v>
      </c>
      <c r="AL1638">
        <v>77.710038150768398</v>
      </c>
      <c r="AM1638">
        <v>87.6199849604984</v>
      </c>
      <c r="AN1638">
        <v>0.99999997269518004</v>
      </c>
    </row>
    <row r="1639" spans="1:40" x14ac:dyDescent="0.25">
      <c r="A1639" t="str">
        <f>"20190303171011320"</f>
        <v>20190303171011320</v>
      </c>
      <c r="B1639" t="str">
        <f>"1551604211311911"</f>
        <v>1551604211311911</v>
      </c>
      <c r="C1639" t="s">
        <v>40</v>
      </c>
      <c r="D1639">
        <v>4.8386430000000002</v>
      </c>
      <c r="E1639">
        <v>0.48091289999999998</v>
      </c>
      <c r="F1639" t="s">
        <v>53</v>
      </c>
      <c r="G1639">
        <v>-396.1103</v>
      </c>
      <c r="H1639" s="1">
        <v>1.7147930000000001E-6</v>
      </c>
      <c r="I1639">
        <v>282.41379999999998</v>
      </c>
      <c r="J1639">
        <v>-306.04790000000003</v>
      </c>
      <c r="K1639">
        <v>1.1201970000000001</v>
      </c>
      <c r="L1639">
        <v>284.22199999999998</v>
      </c>
      <c r="M1639">
        <v>-0.99997809999999998</v>
      </c>
      <c r="N1639">
        <v>-6.5980029999999999E-3</v>
      </c>
      <c r="O1639">
        <v>7.9550949999999997E-4</v>
      </c>
      <c r="P1639">
        <v>-0.97752760000000005</v>
      </c>
      <c r="Q1639">
        <v>0.20672960000000001</v>
      </c>
      <c r="R1639">
        <v>4.1268050000000001E-2</v>
      </c>
      <c r="S1639">
        <v>-3.0794679999999999</v>
      </c>
      <c r="T1639">
        <v>-3.8138989999999998E-2</v>
      </c>
      <c r="U1639">
        <v>-6.1553959999999998E-2</v>
      </c>
      <c r="V1639">
        <v>4.0239909999999997E-2</v>
      </c>
      <c r="W1639">
        <v>0.21322250000000001</v>
      </c>
      <c r="X1639">
        <v>0.97617469999999995</v>
      </c>
      <c r="Y1639">
        <v>-2.0777420000000001E-2</v>
      </c>
      <c r="Z1639">
        <v>-2.0180480000000001E-4</v>
      </c>
      <c r="AA1639">
        <v>0.99978409999999995</v>
      </c>
      <c r="AB1639">
        <v>49</v>
      </c>
      <c r="AC1639">
        <v>-90.062399999999897</v>
      </c>
      <c r="AD1639">
        <v>-1.1201952852069901</v>
      </c>
      <c r="AE1639">
        <v>-1.8082</v>
      </c>
      <c r="AF1639">
        <v>-1.8795558121128599</v>
      </c>
      <c r="AG1639">
        <v>-1.1201952852069901</v>
      </c>
      <c r="AH1639">
        <v>90.047008045932003</v>
      </c>
      <c r="AI1639">
        <v>90.712574220653707</v>
      </c>
      <c r="AJ1639">
        <v>91.195764102714406</v>
      </c>
      <c r="AK1639">
        <v>90.073587835458099</v>
      </c>
      <c r="AL1639">
        <v>77.688734661767896</v>
      </c>
      <c r="AM1639">
        <v>87.639487666817203</v>
      </c>
      <c r="AN1639">
        <v>1.0000000648915699</v>
      </c>
    </row>
    <row r="1640" spans="1:40" x14ac:dyDescent="0.25">
      <c r="A1640" t="str">
        <f>"20190303171011331"</f>
        <v>20190303171011331</v>
      </c>
      <c r="B1640" t="str">
        <f>"1551604211322647"</f>
        <v>1551604211322647</v>
      </c>
      <c r="C1640" t="s">
        <v>40</v>
      </c>
      <c r="D1640">
        <v>4.8646330000000004</v>
      </c>
      <c r="E1640">
        <v>0.48069099999999998</v>
      </c>
      <c r="F1640" t="s">
        <v>60</v>
      </c>
      <c r="G1640">
        <v>-400.29390000000001</v>
      </c>
      <c r="H1640" s="1">
        <v>8.7779650000000006E-6</v>
      </c>
      <c r="I1640">
        <v>282.16730000000001</v>
      </c>
      <c r="J1640">
        <v>-306.30220000000003</v>
      </c>
      <c r="K1640">
        <v>1.1201989999999999</v>
      </c>
      <c r="L1640">
        <v>284.22210000000001</v>
      </c>
      <c r="M1640">
        <v>-0.99997820000000004</v>
      </c>
      <c r="N1640">
        <v>-6.6018980000000001E-3</v>
      </c>
      <c r="O1640">
        <v>5.9748020000000002E-4</v>
      </c>
      <c r="P1640">
        <v>-0.97758650000000002</v>
      </c>
      <c r="Q1640">
        <v>0.20650450000000001</v>
      </c>
      <c r="R1640">
        <v>4.0998630000000001E-2</v>
      </c>
      <c r="S1640">
        <v>-3.0795590000000002</v>
      </c>
      <c r="T1640">
        <v>-3.6602969999999999E-2</v>
      </c>
      <c r="U1640">
        <v>-6.7138669999999998E-2</v>
      </c>
      <c r="V1640">
        <v>4.016376E-2</v>
      </c>
      <c r="W1640">
        <v>0.21300169999999999</v>
      </c>
      <c r="X1640">
        <v>0.97622600000000004</v>
      </c>
      <c r="Y1640">
        <v>-2.2391100000000001E-2</v>
      </c>
      <c r="Z1640">
        <v>-2.101293E-4</v>
      </c>
      <c r="AA1640">
        <v>0.9997492</v>
      </c>
      <c r="AB1640">
        <v>49</v>
      </c>
      <c r="AC1640">
        <v>-93.991699999999895</v>
      </c>
      <c r="AD1640">
        <v>-1.120190222035</v>
      </c>
      <c r="AE1640">
        <v>-2.0548000000000002</v>
      </c>
      <c r="AF1640">
        <v>-2.1106593765612001</v>
      </c>
      <c r="AG1640">
        <v>-1.120190222035</v>
      </c>
      <c r="AH1640">
        <v>93.977113548999</v>
      </c>
      <c r="AI1640">
        <v>90.682750843681902</v>
      </c>
      <c r="AJ1640">
        <v>91.286606306325098</v>
      </c>
      <c r="AK1640">
        <v>94.007486830245895</v>
      </c>
      <c r="AL1640">
        <v>77.701682554269595</v>
      </c>
      <c r="AM1640">
        <v>87.644073330659594</v>
      </c>
      <c r="AN1640">
        <v>1.00000002744811</v>
      </c>
    </row>
    <row r="1641" spans="1:40" x14ac:dyDescent="0.25">
      <c r="A1641" t="str">
        <f>"20190303171011343"</f>
        <v>20190303171011343</v>
      </c>
      <c r="B1641" t="str">
        <f>"1551604211332407"</f>
        <v>1551604211332407</v>
      </c>
      <c r="C1641" t="s">
        <v>40</v>
      </c>
      <c r="D1641">
        <v>4.8298509999999997</v>
      </c>
      <c r="E1641">
        <v>0.48047580000000001</v>
      </c>
      <c r="F1641" t="s">
        <v>53</v>
      </c>
      <c r="G1641">
        <v>-399.4314</v>
      </c>
      <c r="H1641" s="1">
        <v>3.4821460000000001E-6</v>
      </c>
      <c r="I1641">
        <v>282.11610000000002</v>
      </c>
      <c r="J1641">
        <v>-306.54930000000002</v>
      </c>
      <c r="K1641">
        <v>1.120201</v>
      </c>
      <c r="L1641">
        <v>284.22219999999999</v>
      </c>
      <c r="M1641">
        <v>-0.99997820000000004</v>
      </c>
      <c r="N1641">
        <v>-6.605929E-3</v>
      </c>
      <c r="O1641">
        <v>4.0529200000000002E-4</v>
      </c>
      <c r="P1641">
        <v>-0.97757870000000002</v>
      </c>
      <c r="Q1641">
        <v>0.20656360000000001</v>
      </c>
      <c r="R1641">
        <v>4.0882670000000003E-2</v>
      </c>
      <c r="S1641">
        <v>-3.079529</v>
      </c>
      <c r="T1641">
        <v>-3.7041780000000003E-2</v>
      </c>
      <c r="U1641">
        <v>-6.9641110000000006E-2</v>
      </c>
      <c r="V1641">
        <v>4.023496E-2</v>
      </c>
      <c r="W1641">
        <v>0.21306459999999999</v>
      </c>
      <c r="X1641">
        <v>0.97620929999999995</v>
      </c>
      <c r="Y1641">
        <v>-2.3011050000000002E-2</v>
      </c>
      <c r="Z1641">
        <v>-2.1658699999999999E-4</v>
      </c>
      <c r="AA1641">
        <v>0.99973520000000005</v>
      </c>
      <c r="AB1641">
        <v>49</v>
      </c>
      <c r="AC1641">
        <v>-92.882099999999895</v>
      </c>
      <c r="AD1641">
        <v>-1.120197517854</v>
      </c>
      <c r="AE1641">
        <v>-2.1060999999999601</v>
      </c>
      <c r="AF1641">
        <v>-2.14343340628171</v>
      </c>
      <c r="AG1641">
        <v>-1.120197517854</v>
      </c>
      <c r="AH1641">
        <v>92.867737740683097</v>
      </c>
      <c r="AI1641">
        <v>90.690900768967595</v>
      </c>
      <c r="AJ1641">
        <v>91.322180237351205</v>
      </c>
      <c r="AK1641">
        <v>92.899224228830207</v>
      </c>
      <c r="AL1641">
        <v>77.697993468010694</v>
      </c>
      <c r="AM1641">
        <v>87.639861269517795</v>
      </c>
      <c r="AN1641">
        <v>0.99999998659292499</v>
      </c>
    </row>
    <row r="1642" spans="1:40" x14ac:dyDescent="0.25">
      <c r="A1642" t="str">
        <f>"20190303171011354"</f>
        <v>20190303171011354</v>
      </c>
      <c r="B1642" t="str">
        <f>"1551604211342167"</f>
        <v>1551604211342167</v>
      </c>
      <c r="C1642" t="s">
        <v>40</v>
      </c>
      <c r="D1642">
        <v>4.8095650000000001</v>
      </c>
      <c r="E1642">
        <v>0.4802593</v>
      </c>
      <c r="F1642" t="s">
        <v>60</v>
      </c>
      <c r="G1642">
        <v>-400.63639999999998</v>
      </c>
      <c r="H1642" s="1">
        <v>8.6544109999999998E-6</v>
      </c>
      <c r="I1642">
        <v>282.03019999999998</v>
      </c>
      <c r="J1642">
        <v>-306.81189999999998</v>
      </c>
      <c r="K1642">
        <v>1.1202000000000001</v>
      </c>
      <c r="L1642">
        <v>284.22230000000002</v>
      </c>
      <c r="M1642">
        <v>-0.99997809999999998</v>
      </c>
      <c r="N1642">
        <v>-6.6103799999999999E-3</v>
      </c>
      <c r="O1642">
        <v>2.0112109999999999E-4</v>
      </c>
      <c r="P1642">
        <v>-0.97759499999999999</v>
      </c>
      <c r="Q1642">
        <v>0.20649580000000001</v>
      </c>
      <c r="R1642">
        <v>4.0832430000000003E-2</v>
      </c>
      <c r="S1642">
        <v>-3.0795590000000002</v>
      </c>
      <c r="T1642">
        <v>-3.6664960000000003E-2</v>
      </c>
      <c r="U1642">
        <v>-7.1746829999999998E-2</v>
      </c>
      <c r="V1642">
        <v>4.0383860000000001E-2</v>
      </c>
      <c r="W1642">
        <v>0.21300169999999999</v>
      </c>
      <c r="X1642">
        <v>0.97621690000000005</v>
      </c>
      <c r="Y1642">
        <v>-2.3489920000000001E-2</v>
      </c>
      <c r="Z1642">
        <v>-2.1852969999999999E-4</v>
      </c>
      <c r="AA1642">
        <v>0.99972399999999995</v>
      </c>
      <c r="AB1642">
        <v>49</v>
      </c>
      <c r="AC1642">
        <v>-93.8245</v>
      </c>
      <c r="AD1642">
        <v>-1.120191345589</v>
      </c>
      <c r="AE1642">
        <v>-2.1921000000000301</v>
      </c>
      <c r="AF1642">
        <v>-2.21065550927973</v>
      </c>
      <c r="AG1642">
        <v>-1.120191345589</v>
      </c>
      <c r="AH1642">
        <v>93.810692267948596</v>
      </c>
      <c r="AI1642">
        <v>90.683945229492096</v>
      </c>
      <c r="AJ1642">
        <v>91.349929201715</v>
      </c>
      <c r="AK1642">
        <v>93.843421773841996</v>
      </c>
      <c r="AL1642">
        <v>77.701682312578697</v>
      </c>
      <c r="AM1642">
        <v>87.631155311096506</v>
      </c>
      <c r="AN1642">
        <v>1.0000000080984901</v>
      </c>
    </row>
    <row r="1643" spans="1:40" x14ac:dyDescent="0.25">
      <c r="A1643" t="str">
        <f>"20190303171011365"</f>
        <v>20190303171011365</v>
      </c>
      <c r="B1643" t="str">
        <f>"1551604211351927"</f>
        <v>1551604211351927</v>
      </c>
      <c r="C1643" t="s">
        <v>40</v>
      </c>
      <c r="D1643">
        <v>4.7896219999999996</v>
      </c>
      <c r="E1643">
        <v>0.48004580000000002</v>
      </c>
      <c r="F1643" t="s">
        <v>60</v>
      </c>
      <c r="G1643">
        <v>-401.01409999999998</v>
      </c>
      <c r="H1643" s="1">
        <v>8.5002080000000006E-6</v>
      </c>
      <c r="I1643">
        <v>281.96589999999998</v>
      </c>
      <c r="J1643">
        <v>-307.03739999999999</v>
      </c>
      <c r="K1643">
        <v>1.1202000000000001</v>
      </c>
      <c r="L1643">
        <v>284.22219999999999</v>
      </c>
      <c r="M1643">
        <v>-0.99997809999999998</v>
      </c>
      <c r="N1643">
        <v>-6.614516E-3</v>
      </c>
      <c r="O1643" s="1">
        <v>2.562365E-5</v>
      </c>
      <c r="P1643">
        <v>-0.97759370000000001</v>
      </c>
      <c r="Q1643">
        <v>0.20651340000000001</v>
      </c>
      <c r="R1643">
        <v>4.0775600000000002E-2</v>
      </c>
      <c r="S1643">
        <v>-3.0795590000000002</v>
      </c>
      <c r="T1643">
        <v>-3.6620140000000002E-2</v>
      </c>
      <c r="U1643">
        <v>-7.3760989999999999E-2</v>
      </c>
      <c r="V1643">
        <v>4.0498199999999998E-2</v>
      </c>
      <c r="W1643">
        <v>0.21302360000000001</v>
      </c>
      <c r="X1643">
        <v>0.97620739999999995</v>
      </c>
      <c r="Y1643">
        <v>-2.3967909999999999E-2</v>
      </c>
      <c r="Z1643">
        <v>-2.2189989999999999E-4</v>
      </c>
      <c r="AA1643">
        <v>0.99971270000000001</v>
      </c>
      <c r="AB1643">
        <v>49</v>
      </c>
      <c r="AC1643">
        <v>-93.976699999999994</v>
      </c>
      <c r="AD1643">
        <v>-1.1201914997919999</v>
      </c>
      <c r="AE1643">
        <v>-2.2563</v>
      </c>
      <c r="AF1643">
        <v>-2.25838738295931</v>
      </c>
      <c r="AG1643">
        <v>-1.1201914997919999</v>
      </c>
      <c r="AH1643">
        <v>93.963299194306998</v>
      </c>
      <c r="AI1643">
        <v>90.682826996659301</v>
      </c>
      <c r="AJ1643">
        <v>91.376826475701606</v>
      </c>
      <c r="AK1643">
        <v>93.997110264340407</v>
      </c>
      <c r="AL1643">
        <v>77.700398247964003</v>
      </c>
      <c r="AM1643">
        <v>87.624432913681403</v>
      </c>
      <c r="AN1643">
        <v>1.0000000230874699</v>
      </c>
    </row>
    <row r="1644" spans="1:40" x14ac:dyDescent="0.25">
      <c r="A1644" t="str">
        <f>"20190303171011376"</f>
        <v>20190303171011376</v>
      </c>
      <c r="B1644" t="str">
        <f>"1551604211362663"</f>
        <v>1551604211362663</v>
      </c>
      <c r="C1644" t="s">
        <v>40</v>
      </c>
      <c r="D1644">
        <v>4.7968289999999998</v>
      </c>
      <c r="E1644">
        <v>0.47983979999999998</v>
      </c>
      <c r="F1644" t="s">
        <v>60</v>
      </c>
      <c r="G1644">
        <v>-401.93239999999997</v>
      </c>
      <c r="H1644" s="1">
        <v>8.1101819999999998E-6</v>
      </c>
      <c r="I1644">
        <v>281.88260000000002</v>
      </c>
      <c r="J1644">
        <v>-307.2747</v>
      </c>
      <c r="K1644">
        <v>1.120201</v>
      </c>
      <c r="L1644">
        <v>284.22219999999999</v>
      </c>
      <c r="M1644">
        <v>-0.99997820000000004</v>
      </c>
      <c r="N1644">
        <v>-6.6189200000000004E-3</v>
      </c>
      <c r="O1644">
        <v>-1.5911359999999999E-4</v>
      </c>
      <c r="P1644">
        <v>-0.97760990000000003</v>
      </c>
      <c r="Q1644">
        <v>0.20646639999999999</v>
      </c>
      <c r="R1644">
        <v>4.0630279999999998E-2</v>
      </c>
      <c r="S1644">
        <v>-3.07959</v>
      </c>
      <c r="T1644">
        <v>-3.6353110000000001E-2</v>
      </c>
      <c r="U1644">
        <v>-7.5927729999999999E-2</v>
      </c>
      <c r="V1644">
        <v>4.053329E-2</v>
      </c>
      <c r="W1644">
        <v>0.2129807</v>
      </c>
      <c r="X1644">
        <v>0.97621519999999995</v>
      </c>
      <c r="Y1644">
        <v>-2.448593E-2</v>
      </c>
      <c r="Z1644">
        <v>-2.2472329999999999E-4</v>
      </c>
      <c r="AA1644">
        <v>0.99970009999999998</v>
      </c>
      <c r="AB1644">
        <v>49</v>
      </c>
      <c r="AC1644">
        <v>-94.657699999999906</v>
      </c>
      <c r="AD1644">
        <v>-1.120192889818</v>
      </c>
      <c r="AE1644">
        <v>-2.3395999999999599</v>
      </c>
      <c r="AF1644">
        <v>-2.3242130145424702</v>
      </c>
      <c r="AG1644">
        <v>-1.120192889818</v>
      </c>
      <c r="AH1644">
        <v>94.644824443169398</v>
      </c>
      <c r="AI1644">
        <v>90.677902749878299</v>
      </c>
      <c r="AJ1644">
        <v>91.406741865557606</v>
      </c>
      <c r="AK1644">
        <v>94.679985171765395</v>
      </c>
      <c r="AL1644">
        <v>77.702912698763399</v>
      </c>
      <c r="AM1644">
        <v>87.622395920626701</v>
      </c>
      <c r="AN1644">
        <v>0.99999992144087302</v>
      </c>
    </row>
    <row r="1645" spans="1:40" x14ac:dyDescent="0.25">
      <c r="A1645" t="str">
        <f>"20190303171011389"</f>
        <v>20190303171011389</v>
      </c>
      <c r="B1645" t="str">
        <f>"1551604211382183"</f>
        <v>1551604211382183</v>
      </c>
      <c r="C1645" t="s">
        <v>40</v>
      </c>
      <c r="D1645">
        <v>4.7859959999999999</v>
      </c>
      <c r="E1645">
        <v>0.4794274</v>
      </c>
      <c r="F1645" t="s">
        <v>60</v>
      </c>
      <c r="G1645">
        <v>-401.82420000000002</v>
      </c>
      <c r="H1645" s="1">
        <v>8.1668899999999905E-6</v>
      </c>
      <c r="I1645">
        <v>281.84050000000002</v>
      </c>
      <c r="J1645">
        <v>-307.548</v>
      </c>
      <c r="K1645">
        <v>1.1202000000000001</v>
      </c>
      <c r="L1645">
        <v>284.22210000000001</v>
      </c>
      <c r="M1645">
        <v>-0.99997800000000003</v>
      </c>
      <c r="N1645">
        <v>-6.6243500000000002E-3</v>
      </c>
      <c r="O1645">
        <v>-3.7133499999999998E-4</v>
      </c>
      <c r="P1645">
        <v>-0.97755650000000005</v>
      </c>
      <c r="Q1645">
        <v>0.20671729999999999</v>
      </c>
      <c r="R1645">
        <v>4.0637359999999997E-2</v>
      </c>
      <c r="S1645">
        <v>-3.07959</v>
      </c>
      <c r="T1645">
        <v>-3.6486030000000003E-2</v>
      </c>
      <c r="U1645">
        <v>-7.7575679999999994E-2</v>
      </c>
      <c r="V1645">
        <v>4.0746909999999997E-2</v>
      </c>
      <c r="W1645">
        <v>0.21323700000000001</v>
      </c>
      <c r="X1645">
        <v>0.97615050000000003</v>
      </c>
      <c r="Y1645">
        <v>-2.4808340000000002E-2</v>
      </c>
      <c r="Z1645">
        <v>-2.2718120000000001E-4</v>
      </c>
      <c r="AA1645">
        <v>0.99969220000000003</v>
      </c>
      <c r="AB1645">
        <v>49</v>
      </c>
      <c r="AC1645">
        <v>-94.276200000000003</v>
      </c>
      <c r="AD1645">
        <v>-1.12019183311</v>
      </c>
      <c r="AE1645">
        <v>-2.3815999999999899</v>
      </c>
      <c r="AF1645">
        <v>-2.3462599758494198</v>
      </c>
      <c r="AG1645">
        <v>-1.12019183311</v>
      </c>
      <c r="AH1645">
        <v>94.263777988582007</v>
      </c>
      <c r="AI1645">
        <v>90.6806365631614</v>
      </c>
      <c r="AJ1645">
        <v>91.425818550038599</v>
      </c>
      <c r="AK1645">
        <v>94.299626755878094</v>
      </c>
      <c r="AL1645">
        <v>77.687884302547005</v>
      </c>
      <c r="AM1645">
        <v>87.609721644855099</v>
      </c>
      <c r="AN1645">
        <v>1.00000006374689</v>
      </c>
    </row>
    <row r="1646" spans="1:40" x14ac:dyDescent="0.25">
      <c r="A1646" t="str">
        <f>"20190303171011403"</f>
        <v>20190303171011403</v>
      </c>
      <c r="B1646" t="str">
        <f>"1551604211391943"</f>
        <v>1551604211391943</v>
      </c>
      <c r="C1646" t="s">
        <v>40</v>
      </c>
      <c r="D1646">
        <v>4.7639690000000003</v>
      </c>
      <c r="E1646">
        <v>0.47922969999999998</v>
      </c>
      <c r="F1646" t="s">
        <v>60</v>
      </c>
      <c r="G1646">
        <v>-405.55590000000001</v>
      </c>
      <c r="H1646" s="1">
        <v>6.5541350000000004E-6</v>
      </c>
      <c r="I1646">
        <v>281.63670000000002</v>
      </c>
      <c r="J1646">
        <v>-307.87119999999999</v>
      </c>
      <c r="K1646">
        <v>1.1201989999999999</v>
      </c>
      <c r="L1646">
        <v>284.22179999999997</v>
      </c>
      <c r="M1646">
        <v>-0.99997780000000003</v>
      </c>
      <c r="N1646">
        <v>-6.6309699999999999E-3</v>
      </c>
      <c r="O1646">
        <v>-6.2230580000000003E-4</v>
      </c>
      <c r="P1646">
        <v>-0.9775566</v>
      </c>
      <c r="Q1646">
        <v>0.20673939999999999</v>
      </c>
      <c r="R1646">
        <v>4.0518699999999998E-2</v>
      </c>
      <c r="S1646">
        <v>-3.0796510000000001</v>
      </c>
      <c r="T1646">
        <v>-3.5199279999999999E-2</v>
      </c>
      <c r="U1646">
        <v>-8.1237790000000004E-2</v>
      </c>
      <c r="V1646">
        <v>4.087292E-2</v>
      </c>
      <c r="W1646">
        <v>0.21326590000000001</v>
      </c>
      <c r="X1646">
        <v>0.97613890000000003</v>
      </c>
      <c r="Y1646">
        <v>-2.5744969999999999E-2</v>
      </c>
      <c r="Z1646">
        <v>-2.294892E-4</v>
      </c>
      <c r="AA1646">
        <v>0.99966849999999996</v>
      </c>
      <c r="AB1646">
        <v>50</v>
      </c>
      <c r="AC1646">
        <v>-97.684700000000007</v>
      </c>
      <c r="AD1646">
        <v>-1.1201924458650001</v>
      </c>
      <c r="AE1646">
        <v>-2.58509999999995</v>
      </c>
      <c r="AF1646">
        <v>-2.52397673067283</v>
      </c>
      <c r="AG1646">
        <v>-1.1201924458650001</v>
      </c>
      <c r="AH1646">
        <v>97.673454581767302</v>
      </c>
      <c r="AI1646">
        <v>90.656862914983506</v>
      </c>
      <c r="AJ1646">
        <v>91.480249050274296</v>
      </c>
      <c r="AK1646">
        <v>97.712481391014293</v>
      </c>
      <c r="AL1646">
        <v>77.686189245661197</v>
      </c>
      <c r="AM1646">
        <v>87.602309852395905</v>
      </c>
      <c r="AN1646">
        <v>1.0000000458926701</v>
      </c>
    </row>
    <row r="1647" spans="1:40" x14ac:dyDescent="0.25">
      <c r="A1647" t="str">
        <f>"20190303171011422"</f>
        <v>20190303171011422</v>
      </c>
      <c r="B1647" t="str">
        <f>"1551604211412438"</f>
        <v>1551604211412438</v>
      </c>
      <c r="C1647" t="s">
        <v>40</v>
      </c>
      <c r="D1647">
        <v>4.7780959999999997</v>
      </c>
      <c r="E1647">
        <v>0.47885840000000002</v>
      </c>
      <c r="F1647" t="s">
        <v>60</v>
      </c>
      <c r="G1647">
        <v>-406.5487</v>
      </c>
      <c r="H1647" s="1">
        <v>6.1274500000000001E-6</v>
      </c>
      <c r="I1647">
        <v>281.57100000000003</v>
      </c>
      <c r="J1647">
        <v>-308.31240000000003</v>
      </c>
      <c r="K1647">
        <v>1.120196</v>
      </c>
      <c r="L1647">
        <v>284.22140000000002</v>
      </c>
      <c r="M1647">
        <v>-0.99997760000000002</v>
      </c>
      <c r="N1647">
        <v>-6.6413740000000002E-3</v>
      </c>
      <c r="O1647">
        <v>-9.6484719999999997E-4</v>
      </c>
      <c r="P1647">
        <v>-0.97749459999999999</v>
      </c>
      <c r="Q1647">
        <v>0.20705799999999999</v>
      </c>
      <c r="R1647">
        <v>4.0392379999999999E-2</v>
      </c>
      <c r="S1647">
        <v>-3.0797119999999998</v>
      </c>
      <c r="T1647">
        <v>-3.4961100000000002E-2</v>
      </c>
      <c r="U1647">
        <v>-8.2733150000000005E-2</v>
      </c>
      <c r="V1647">
        <v>4.1080079999999998E-2</v>
      </c>
      <c r="W1647">
        <v>0.21359429999999999</v>
      </c>
      <c r="X1647">
        <v>0.97605839999999999</v>
      </c>
      <c r="Y1647">
        <v>-2.588708E-2</v>
      </c>
      <c r="Z1647">
        <v>-2.283446E-4</v>
      </c>
      <c r="AA1647">
        <v>0.99966480000000002</v>
      </c>
      <c r="AB1647">
        <v>50</v>
      </c>
      <c r="AC1647">
        <v>-98.2362999999999</v>
      </c>
      <c r="AD1647">
        <v>-1.1201898725499999</v>
      </c>
      <c r="AE1647">
        <v>-2.6504000000000398</v>
      </c>
      <c r="AF1647">
        <v>-2.5552816498931601</v>
      </c>
      <c r="AG1647">
        <v>-1.1201898725499999</v>
      </c>
      <c r="AH1647">
        <v>98.226048642342406</v>
      </c>
      <c r="AI1647">
        <v>90.653163463646095</v>
      </c>
      <c r="AJ1647">
        <v>91.490173358245698</v>
      </c>
      <c r="AK1647">
        <v>98.265665018604807</v>
      </c>
      <c r="AL1647">
        <v>77.666929576779594</v>
      </c>
      <c r="AM1647">
        <v>87.589973193097507</v>
      </c>
      <c r="AN1647">
        <v>1.00000004908792</v>
      </c>
    </row>
    <row r="1648" spans="1:40" x14ac:dyDescent="0.25">
      <c r="A1648" t="str">
        <f>"20190303171011434"</f>
        <v>20190303171011434</v>
      </c>
      <c r="B1648" t="str">
        <f>"1551604211422199"</f>
        <v>1551604211422199</v>
      </c>
      <c r="C1648" t="s">
        <v>40</v>
      </c>
      <c r="D1648">
        <v>4.7273009999999998</v>
      </c>
      <c r="E1648">
        <v>0.47868080000000002</v>
      </c>
      <c r="F1648" t="s">
        <v>60</v>
      </c>
      <c r="G1648">
        <v>-411.42570000000001</v>
      </c>
      <c r="H1648" s="1">
        <v>2.746304E-6</v>
      </c>
      <c r="I1648">
        <v>281.32580000000002</v>
      </c>
      <c r="J1648">
        <v>-308.58510000000001</v>
      </c>
      <c r="K1648">
        <v>1.120193</v>
      </c>
      <c r="L1648">
        <v>284.22109999999998</v>
      </c>
      <c r="M1648">
        <v>-0.99997720000000001</v>
      </c>
      <c r="N1648">
        <v>-6.6492340000000004E-3</v>
      </c>
      <c r="O1648">
        <v>-1.1766000000000001E-3</v>
      </c>
      <c r="P1648">
        <v>-0.97740360000000004</v>
      </c>
      <c r="Q1648">
        <v>0.20749490000000001</v>
      </c>
      <c r="R1648">
        <v>4.035209E-2</v>
      </c>
      <c r="S1648">
        <v>-3.0798030000000001</v>
      </c>
      <c r="T1648">
        <v>-3.3458109999999999E-2</v>
      </c>
      <c r="U1648">
        <v>-8.6486820000000006E-2</v>
      </c>
      <c r="V1648">
        <v>4.124568E-2</v>
      </c>
      <c r="W1648">
        <v>0.2140387</v>
      </c>
      <c r="X1648">
        <v>0.97595399999999999</v>
      </c>
      <c r="Y1648">
        <v>-2.689213E-2</v>
      </c>
      <c r="Z1648">
        <v>-2.3051279999999999E-4</v>
      </c>
      <c r="AA1648">
        <v>0.99963829999999998</v>
      </c>
      <c r="AB1648">
        <v>50</v>
      </c>
      <c r="AC1648">
        <v>-102.84059999999999</v>
      </c>
      <c r="AD1648">
        <v>-1.120190253696</v>
      </c>
      <c r="AE1648">
        <v>-2.8952999999999598</v>
      </c>
      <c r="AF1648">
        <v>-2.7739642106234301</v>
      </c>
      <c r="AG1648">
        <v>-1.120190253696</v>
      </c>
      <c r="AH1648">
        <v>102.831744548153</v>
      </c>
      <c r="AI1648">
        <v>90.623895846381203</v>
      </c>
      <c r="AJ1648">
        <v>91.545222315138503</v>
      </c>
      <c r="AK1648">
        <v>102.875251593679</v>
      </c>
      <c r="AL1648">
        <v>77.640863816045098</v>
      </c>
      <c r="AM1648">
        <v>87.580010999652302</v>
      </c>
      <c r="AN1648">
        <v>0.99999999066617595</v>
      </c>
    </row>
    <row r="1649" spans="1:40" x14ac:dyDescent="0.25">
      <c r="A1649" t="str">
        <f>"20190303171011446"</f>
        <v>20190303171011446</v>
      </c>
      <c r="B1649" t="str">
        <f>"1551604211431960"</f>
        <v>1551604211431960</v>
      </c>
      <c r="C1649" t="s">
        <v>40</v>
      </c>
      <c r="D1649">
        <v>4.7377269999999996</v>
      </c>
      <c r="E1649">
        <v>0.47850920000000002</v>
      </c>
      <c r="F1649" t="s">
        <v>60</v>
      </c>
      <c r="G1649">
        <v>-416.995</v>
      </c>
      <c r="H1649" s="1">
        <v>3.751953E-6</v>
      </c>
      <c r="I1649">
        <v>281.12299999999999</v>
      </c>
      <c r="J1649">
        <v>-308.84500000000003</v>
      </c>
      <c r="K1649">
        <v>1.120198</v>
      </c>
      <c r="L1649">
        <v>284.22070000000002</v>
      </c>
      <c r="M1649">
        <v>-0.99997689999999995</v>
      </c>
      <c r="N1649">
        <v>-6.6582769999999998E-3</v>
      </c>
      <c r="O1649">
        <v>-1.3778690000000001E-3</v>
      </c>
      <c r="P1649">
        <v>-0.97750090000000001</v>
      </c>
      <c r="Q1649">
        <v>0.20704230000000001</v>
      </c>
      <c r="R1649">
        <v>4.0317110000000003E-2</v>
      </c>
      <c r="S1649">
        <v>-3.079742</v>
      </c>
      <c r="T1649">
        <v>-3.1822679999999999E-2</v>
      </c>
      <c r="U1649">
        <v>-8.8012699999999999E-2</v>
      </c>
      <c r="V1649">
        <v>4.1407510000000002E-2</v>
      </c>
      <c r="W1649">
        <v>0.2135957</v>
      </c>
      <c r="X1649">
        <v>0.97604420000000003</v>
      </c>
      <c r="Y1649">
        <v>-2.7186539999999999E-2</v>
      </c>
      <c r="Z1649">
        <v>-2.258951E-4</v>
      </c>
      <c r="AA1649">
        <v>0.99963029999999997</v>
      </c>
      <c r="AB1649">
        <v>50</v>
      </c>
      <c r="AC1649">
        <v>-108.149999999999</v>
      </c>
      <c r="AD1649">
        <v>-1.120194248047</v>
      </c>
      <c r="AE1649">
        <v>-3.0977000000000299</v>
      </c>
      <c r="AF1649">
        <v>-2.9483611743709801</v>
      </c>
      <c r="AG1649">
        <v>-1.120194248047</v>
      </c>
      <c r="AH1649">
        <v>108.142573230203</v>
      </c>
      <c r="AI1649">
        <v>90.593256361196794</v>
      </c>
      <c r="AJ1649">
        <v>91.561705164999495</v>
      </c>
      <c r="AK1649">
        <v>108.188556759104</v>
      </c>
      <c r="AL1649">
        <v>77.666846760773197</v>
      </c>
      <c r="AM1649">
        <v>87.570751624434294</v>
      </c>
      <c r="AN1649">
        <v>0.999999992648265</v>
      </c>
    </row>
    <row r="1650" spans="1:40" x14ac:dyDescent="0.25">
      <c r="A1650" t="str">
        <f>"20190303171011458"</f>
        <v>20190303171011458</v>
      </c>
      <c r="B1650" t="str">
        <f>"1551604211452455"</f>
        <v>1551604211452455</v>
      </c>
      <c r="C1650" t="s">
        <v>40</v>
      </c>
      <c r="D1650">
        <v>4.7219939999999996</v>
      </c>
      <c r="E1650">
        <v>0.47816249999999999</v>
      </c>
      <c r="F1650" t="s">
        <v>60</v>
      </c>
      <c r="G1650">
        <v>-413.32240000000002</v>
      </c>
      <c r="H1650" s="1">
        <v>3.096228E-6</v>
      </c>
      <c r="I1650">
        <v>281.17180000000002</v>
      </c>
      <c r="J1650">
        <v>-309.11849999999998</v>
      </c>
      <c r="K1650">
        <v>1.120196</v>
      </c>
      <c r="L1650">
        <v>284.22030000000001</v>
      </c>
      <c r="M1650">
        <v>-0.99997659999999999</v>
      </c>
      <c r="N1650">
        <v>-6.6685329999999999E-3</v>
      </c>
      <c r="O1650">
        <v>-1.589872E-3</v>
      </c>
      <c r="P1650">
        <v>-0.9775488</v>
      </c>
      <c r="Q1650">
        <v>0.20686769999999999</v>
      </c>
      <c r="R1650">
        <v>4.0051789999999997E-2</v>
      </c>
      <c r="S1650">
        <v>-3.079742</v>
      </c>
      <c r="T1650">
        <v>-3.3020620000000001E-2</v>
      </c>
      <c r="U1650">
        <v>-8.9874270000000006E-2</v>
      </c>
      <c r="V1650">
        <v>4.1349089999999998E-2</v>
      </c>
      <c r="W1650">
        <v>0.21343129999999999</v>
      </c>
      <c r="X1650">
        <v>0.97608269999999997</v>
      </c>
      <c r="Y1650">
        <v>-2.7578149999999999E-2</v>
      </c>
      <c r="Z1650">
        <v>-2.3334460000000001E-4</v>
      </c>
      <c r="AA1650">
        <v>0.99961960000000005</v>
      </c>
      <c r="AB1650">
        <v>50</v>
      </c>
      <c r="AC1650">
        <v>-104.2039</v>
      </c>
      <c r="AD1650">
        <v>-1.120192903772</v>
      </c>
      <c r="AE1650">
        <v>-3.04849999999999</v>
      </c>
      <c r="AF1650">
        <v>-2.8824887933561101</v>
      </c>
      <c r="AG1650">
        <v>-1.120192903772</v>
      </c>
      <c r="AH1650">
        <v>104.19658418647499</v>
      </c>
      <c r="AI1650">
        <v>90.615714145911696</v>
      </c>
      <c r="AJ1650">
        <v>91.584623261988199</v>
      </c>
      <c r="AK1650">
        <v>104.24246605829499</v>
      </c>
      <c r="AL1650">
        <v>77.676489269807902</v>
      </c>
      <c r="AM1650">
        <v>87.574270413333707</v>
      </c>
      <c r="AN1650">
        <v>1.0000000521514001</v>
      </c>
    </row>
    <row r="1651" spans="1:40" x14ac:dyDescent="0.25">
      <c r="A1651" t="str">
        <f>"20190303171011470"</f>
        <v>20190303171011470</v>
      </c>
      <c r="B1651" t="str">
        <f>"1551604211462215"</f>
        <v>1551604211462215</v>
      </c>
      <c r="C1651" t="s">
        <v>40</v>
      </c>
      <c r="D1651">
        <v>4.7295829999999999</v>
      </c>
      <c r="E1651">
        <v>0.47799170000000002</v>
      </c>
      <c r="F1651" t="s">
        <v>60</v>
      </c>
      <c r="G1651">
        <v>-413.40679999999998</v>
      </c>
      <c r="H1651" s="1">
        <v>3.1217600000000001E-6</v>
      </c>
      <c r="I1651">
        <v>281.05079999999998</v>
      </c>
      <c r="J1651">
        <v>-309.39010000000002</v>
      </c>
      <c r="K1651">
        <v>1.120196</v>
      </c>
      <c r="L1651">
        <v>284.21969999999999</v>
      </c>
      <c r="M1651">
        <v>-0.99997619999999998</v>
      </c>
      <c r="N1651">
        <v>-6.6808079999999999E-3</v>
      </c>
      <c r="O1651">
        <v>-1.799976E-3</v>
      </c>
      <c r="P1651">
        <v>-0.97757950000000005</v>
      </c>
      <c r="Q1651">
        <v>0.20671709999999999</v>
      </c>
      <c r="R1651">
        <v>4.0084410000000001E-2</v>
      </c>
      <c r="S1651">
        <v>-3.0797729999999999</v>
      </c>
      <c r="T1651">
        <v>-3.3080819999999997E-2</v>
      </c>
      <c r="U1651">
        <v>-9.3597410000000006E-2</v>
      </c>
      <c r="V1651">
        <v>4.1586890000000001E-2</v>
      </c>
      <c r="W1651">
        <v>0.21329339999999999</v>
      </c>
      <c r="X1651">
        <v>0.97610269999999999</v>
      </c>
      <c r="Y1651">
        <v>-2.8575090000000001E-2</v>
      </c>
      <c r="Z1651">
        <v>-2.4160079999999999E-4</v>
      </c>
      <c r="AA1651">
        <v>0.99959160000000002</v>
      </c>
      <c r="AB1651">
        <v>50</v>
      </c>
      <c r="AC1651">
        <v>-104.01669999999901</v>
      </c>
      <c r="AD1651">
        <v>-1.1201928782399999</v>
      </c>
      <c r="AE1651">
        <v>-3.1688999999999998</v>
      </c>
      <c r="AF1651">
        <v>-2.98131770017635</v>
      </c>
      <c r="AG1651">
        <v>-1.1201928782399999</v>
      </c>
      <c r="AH1651">
        <v>104.010183745785</v>
      </c>
      <c r="AI1651">
        <v>90.616800137973598</v>
      </c>
      <c r="AJ1651">
        <v>91.641860027310102</v>
      </c>
      <c r="AK1651">
        <v>104.058932389996</v>
      </c>
      <c r="AL1651">
        <v>77.6845760859199</v>
      </c>
      <c r="AM1651">
        <v>87.560386696646503</v>
      </c>
      <c r="AN1651">
        <v>1.0000000124253601</v>
      </c>
    </row>
    <row r="1652" spans="1:40" x14ac:dyDescent="0.25">
      <c r="A1652" t="str">
        <f>"20190303171011488"</f>
        <v>20190303171011488</v>
      </c>
      <c r="B1652" t="str">
        <f>"1551604211482711"</f>
        <v>1551604211482711</v>
      </c>
      <c r="C1652" t="s">
        <v>40</v>
      </c>
      <c r="D1652">
        <v>4.7410019999999999</v>
      </c>
      <c r="E1652">
        <v>0.4776939</v>
      </c>
      <c r="F1652" t="s">
        <v>60</v>
      </c>
      <c r="G1652">
        <v>-412.84629999999999</v>
      </c>
      <c r="H1652" s="1">
        <v>3.023493E-6</v>
      </c>
      <c r="I1652">
        <v>281.0376</v>
      </c>
      <c r="J1652">
        <v>-309.77870000000001</v>
      </c>
      <c r="K1652">
        <v>1.120201</v>
      </c>
      <c r="L1652">
        <v>284.21890000000002</v>
      </c>
      <c r="M1652">
        <v>-0.99997539999999996</v>
      </c>
      <c r="N1652">
        <v>-6.7000660000000002E-3</v>
      </c>
      <c r="O1652">
        <v>-2.1007080000000002E-3</v>
      </c>
      <c r="P1652">
        <v>-0.97765639999999998</v>
      </c>
      <c r="Q1652">
        <v>0.2063208</v>
      </c>
      <c r="R1652">
        <v>4.024784E-2</v>
      </c>
      <c r="S1652">
        <v>-3.079742</v>
      </c>
      <c r="T1652">
        <v>-3.3346529999999999E-2</v>
      </c>
      <c r="U1652">
        <v>-9.4726560000000001E-2</v>
      </c>
      <c r="V1652">
        <v>4.2044049999999999E-2</v>
      </c>
      <c r="W1652">
        <v>0.21291689999999999</v>
      </c>
      <c r="X1652">
        <v>0.97616530000000001</v>
      </c>
      <c r="Y1652">
        <v>-2.8640889999999999E-2</v>
      </c>
      <c r="Z1652">
        <v>-2.4232459999999999E-4</v>
      </c>
      <c r="AA1652">
        <v>0.99958970000000003</v>
      </c>
      <c r="AB1652">
        <v>50</v>
      </c>
      <c r="AC1652">
        <v>-103.067599999999</v>
      </c>
      <c r="AD1652">
        <v>-1.120197976507</v>
      </c>
      <c r="AE1652">
        <v>-3.1813000000000198</v>
      </c>
      <c r="AF1652">
        <v>-2.9644233577274002</v>
      </c>
      <c r="AG1652">
        <v>-1.120197976507</v>
      </c>
      <c r="AH1652">
        <v>103.06189300992099</v>
      </c>
      <c r="AI1652">
        <v>90.622476031143904</v>
      </c>
      <c r="AJ1652">
        <v>91.647574330363497</v>
      </c>
      <c r="AK1652">
        <v>103.110602947218</v>
      </c>
      <c r="AL1652">
        <v>77.706654971678105</v>
      </c>
      <c r="AM1652">
        <v>87.533759211492793</v>
      </c>
      <c r="AN1652">
        <v>1.00000000068505</v>
      </c>
    </row>
    <row r="1653" spans="1:40" x14ac:dyDescent="0.25">
      <c r="A1653" t="str">
        <f>"20190303171011500"</f>
        <v>20190303171011500</v>
      </c>
      <c r="B1653" t="str">
        <f>"1551604211492473"</f>
        <v>1551604211492473</v>
      </c>
      <c r="C1653" t="s">
        <v>40</v>
      </c>
      <c r="D1653">
        <v>4.7491430000000001</v>
      </c>
      <c r="E1653">
        <v>0.4775355</v>
      </c>
      <c r="F1653" t="s">
        <v>60</v>
      </c>
      <c r="G1653">
        <v>-410.10320000000002</v>
      </c>
      <c r="H1653" s="1">
        <v>2.5336869999999998E-6</v>
      </c>
      <c r="I1653">
        <v>281.07459999999998</v>
      </c>
      <c r="J1653">
        <v>-310.06020000000001</v>
      </c>
      <c r="K1653">
        <v>1.1202049999999999</v>
      </c>
      <c r="L1653">
        <v>284.2183</v>
      </c>
      <c r="M1653">
        <v>-0.99997480000000005</v>
      </c>
      <c r="N1653">
        <v>-6.7153619999999999E-3</v>
      </c>
      <c r="O1653">
        <v>-2.3185720000000001E-3</v>
      </c>
      <c r="P1653">
        <v>-0.97766580000000003</v>
      </c>
      <c r="Q1653">
        <v>0.20629049999999999</v>
      </c>
      <c r="R1653">
        <v>4.0172409999999999E-2</v>
      </c>
      <c r="S1653">
        <v>-3.079834</v>
      </c>
      <c r="T1653">
        <v>-3.4388660000000001E-2</v>
      </c>
      <c r="U1653">
        <v>-9.6527100000000005E-2</v>
      </c>
      <c r="V1653">
        <v>4.218102E-2</v>
      </c>
      <c r="W1653">
        <v>0.21290149999999999</v>
      </c>
      <c r="X1653">
        <v>0.97616270000000005</v>
      </c>
      <c r="Y1653">
        <v>-2.900583E-2</v>
      </c>
      <c r="Z1653">
        <v>-2.4899859999999999E-4</v>
      </c>
      <c r="AA1653">
        <v>0.9995792</v>
      </c>
      <c r="AB1653">
        <v>50</v>
      </c>
      <c r="AC1653">
        <v>-100.042999999999</v>
      </c>
      <c r="AD1653">
        <v>-1.1202024663129999</v>
      </c>
      <c r="AE1653">
        <v>-3.1437000000000199</v>
      </c>
      <c r="AF1653">
        <v>-2.91136476957224</v>
      </c>
      <c r="AG1653">
        <v>-1.1202024663129999</v>
      </c>
      <c r="AH1653">
        <v>100.037490063397</v>
      </c>
      <c r="AI1653">
        <v>90.641289892604206</v>
      </c>
      <c r="AJ1653">
        <v>91.6669934813617</v>
      </c>
      <c r="AK1653">
        <v>100.086114504317</v>
      </c>
      <c r="AL1653">
        <v>77.707557424383296</v>
      </c>
      <c r="AM1653">
        <v>87.525728144015901</v>
      </c>
      <c r="AN1653">
        <v>0.99999995201088898</v>
      </c>
    </row>
    <row r="1654" spans="1:40" x14ac:dyDescent="0.25">
      <c r="A1654" t="str">
        <f>"20190303171011511"</f>
        <v>20190303171011511</v>
      </c>
      <c r="B1654" t="str">
        <f>"1551604211502231"</f>
        <v>1551604211502231</v>
      </c>
      <c r="C1654" t="s">
        <v>40</v>
      </c>
      <c r="D1654">
        <v>4.7142400000000002</v>
      </c>
      <c r="E1654">
        <v>0.47738560000000002</v>
      </c>
      <c r="F1654" t="s">
        <v>60</v>
      </c>
      <c r="G1654">
        <v>-410.80560000000003</v>
      </c>
      <c r="H1654" s="1">
        <v>2.6648080000000001E-6</v>
      </c>
      <c r="I1654">
        <v>280.99990000000003</v>
      </c>
      <c r="J1654">
        <v>-310.32279999999997</v>
      </c>
      <c r="K1654">
        <v>1.120207</v>
      </c>
      <c r="L1654">
        <v>284.2176</v>
      </c>
      <c r="M1654">
        <v>-0.99997420000000004</v>
      </c>
      <c r="N1654">
        <v>-6.7310209999999898E-3</v>
      </c>
      <c r="O1654">
        <v>-2.5215369999999999E-3</v>
      </c>
      <c r="P1654">
        <v>-0.97763120000000003</v>
      </c>
      <c r="Q1654">
        <v>0.2064655</v>
      </c>
      <c r="R1654">
        <v>4.0114599999999903E-2</v>
      </c>
      <c r="S1654">
        <v>-3.0798030000000001</v>
      </c>
      <c r="T1654">
        <v>-3.4244780000000002E-2</v>
      </c>
      <c r="U1654">
        <v>-9.8388669999999998E-2</v>
      </c>
      <c r="V1654">
        <v>4.2320589999999998E-2</v>
      </c>
      <c r="W1654">
        <v>0.21309210000000001</v>
      </c>
      <c r="X1654">
        <v>0.97611510000000001</v>
      </c>
      <c r="Y1654">
        <v>-2.9406829999999998E-2</v>
      </c>
      <c r="Z1654">
        <v>-2.5138219999999999E-4</v>
      </c>
      <c r="AA1654">
        <v>0.99956750000000005</v>
      </c>
      <c r="AB1654">
        <v>50</v>
      </c>
      <c r="AC1654">
        <v>-100.4828</v>
      </c>
      <c r="AD1654">
        <v>-1.1202043351919999</v>
      </c>
      <c r="AE1654">
        <v>-3.2176999999999798</v>
      </c>
      <c r="AF1654">
        <v>-2.9639449505121198</v>
      </c>
      <c r="AG1654">
        <v>-1.1202043351919999</v>
      </c>
      <c r="AH1654">
        <v>100.478119365711</v>
      </c>
      <c r="AI1654">
        <v>90.638471530641098</v>
      </c>
      <c r="AJ1654">
        <v>91.689644532088806</v>
      </c>
      <c r="AK1654">
        <v>100.528067218526</v>
      </c>
      <c r="AL1654">
        <v>77.696380741084099</v>
      </c>
      <c r="AM1654">
        <v>87.517430509373597</v>
      </c>
      <c r="AN1654">
        <v>0.99999998193418305</v>
      </c>
    </row>
    <row r="1655" spans="1:40" x14ac:dyDescent="0.25">
      <c r="A1655" t="str">
        <f>"20190303171011523"</f>
        <v>20190303171011523</v>
      </c>
      <c r="B1655" t="str">
        <f>"1551604211511991"</f>
        <v>1551604211511991</v>
      </c>
      <c r="C1655" t="s">
        <v>40</v>
      </c>
      <c r="D1655">
        <v>4.7245679999999997</v>
      </c>
      <c r="E1655">
        <v>0.47722720000000002</v>
      </c>
      <c r="F1655" t="s">
        <v>60</v>
      </c>
      <c r="G1655">
        <v>-413.10930000000002</v>
      </c>
      <c r="H1655" s="1">
        <v>3.0827749999999999E-6</v>
      </c>
      <c r="I1655">
        <v>280.89319999999998</v>
      </c>
      <c r="J1655">
        <v>-310.57780000000002</v>
      </c>
      <c r="K1655">
        <v>1.1202080000000001</v>
      </c>
      <c r="L1655">
        <v>284.21690000000001</v>
      </c>
      <c r="M1655">
        <v>-0.99997360000000002</v>
      </c>
      <c r="N1655">
        <v>-6.7481759999999998E-3</v>
      </c>
      <c r="O1655">
        <v>-2.7184280000000002E-3</v>
      </c>
      <c r="P1655">
        <v>-0.97756799999999999</v>
      </c>
      <c r="Q1655">
        <v>0.206757</v>
      </c>
      <c r="R1655">
        <v>4.0156030000000002E-2</v>
      </c>
      <c r="S1655">
        <v>-3.0798030000000001</v>
      </c>
      <c r="T1655">
        <v>-3.356481E-2</v>
      </c>
      <c r="U1655">
        <v>-9.9609379999999997E-2</v>
      </c>
      <c r="V1655">
        <v>4.2553540000000001E-2</v>
      </c>
      <c r="W1655">
        <v>0.21340010000000001</v>
      </c>
      <c r="X1655">
        <v>0.97603770000000001</v>
      </c>
      <c r="Y1655">
        <v>-2.9605860000000001E-2</v>
      </c>
      <c r="Z1655">
        <v>-2.4992800000000001E-4</v>
      </c>
      <c r="AA1655">
        <v>0.99956160000000005</v>
      </c>
      <c r="AB1655">
        <v>50</v>
      </c>
      <c r="AC1655">
        <v>-102.53149999999999</v>
      </c>
      <c r="AD1655">
        <v>-1.1202049172249999</v>
      </c>
      <c r="AE1655">
        <v>-3.3237000000000299</v>
      </c>
      <c r="AF1655">
        <v>-3.0445938502972698</v>
      </c>
      <c r="AG1655">
        <v>-1.1202049172249999</v>
      </c>
      <c r="AH1655">
        <v>102.527931086766</v>
      </c>
      <c r="AI1655">
        <v>90.625704459508299</v>
      </c>
      <c r="AJ1655">
        <v>91.700913383167006</v>
      </c>
      <c r="AK1655">
        <v>102.579242850113</v>
      </c>
      <c r="AL1655">
        <v>77.678318390009693</v>
      </c>
      <c r="AM1655">
        <v>87.503584959821495</v>
      </c>
      <c r="AN1655">
        <v>0.99999999913391502</v>
      </c>
    </row>
    <row r="1656" spans="1:40" x14ac:dyDescent="0.25">
      <c r="A1656" t="str">
        <f>"20190303171011535"</f>
        <v>20190303171011535</v>
      </c>
      <c r="B1656" t="str">
        <f>"1551604211522727"</f>
        <v>1551604211522727</v>
      </c>
      <c r="C1656" t="s">
        <v>40</v>
      </c>
      <c r="D1656">
        <v>4.7363249999999999</v>
      </c>
      <c r="E1656">
        <v>0.47709109999999999</v>
      </c>
      <c r="F1656" t="s">
        <v>60</v>
      </c>
      <c r="G1656">
        <v>-417.27480000000003</v>
      </c>
      <c r="H1656" s="1">
        <v>3.8370230000000003E-6</v>
      </c>
      <c r="I1656">
        <v>280.71749999999997</v>
      </c>
      <c r="J1656">
        <v>-310.8501</v>
      </c>
      <c r="K1656">
        <v>1.120209</v>
      </c>
      <c r="L1656">
        <v>284.21609999999998</v>
      </c>
      <c r="M1656">
        <v>-0.99997290000000005</v>
      </c>
      <c r="N1656">
        <v>-6.7676450000000001E-3</v>
      </c>
      <c r="O1656">
        <v>-2.9286809999999998E-3</v>
      </c>
      <c r="P1656">
        <v>-0.97760060000000004</v>
      </c>
      <c r="Q1656">
        <v>0.20667260000000001</v>
      </c>
      <c r="R1656">
        <v>3.9795070000000002E-2</v>
      </c>
      <c r="S1656">
        <v>-3.0798649999999999</v>
      </c>
      <c r="T1656">
        <v>-3.2335280000000001E-2</v>
      </c>
      <c r="U1656">
        <v>-0.1010132</v>
      </c>
      <c r="V1656">
        <v>4.2397749999999998E-2</v>
      </c>
      <c r="W1656">
        <v>0.21333530000000001</v>
      </c>
      <c r="X1656">
        <v>0.97605869999999995</v>
      </c>
      <c r="Y1656">
        <v>-2.9850310000000001E-2</v>
      </c>
      <c r="Z1656">
        <v>-2.4676949999999999E-4</v>
      </c>
      <c r="AA1656">
        <v>0.99955430000000001</v>
      </c>
      <c r="AB1656">
        <v>50</v>
      </c>
      <c r="AC1656">
        <v>-106.4247</v>
      </c>
      <c r="AD1656">
        <v>-1.120205162977</v>
      </c>
      <c r="AE1656">
        <v>-3.4986000000000099</v>
      </c>
      <c r="AF1656">
        <v>-3.1865412246615499</v>
      </c>
      <c r="AG1656">
        <v>-1.120205162977</v>
      </c>
      <c r="AH1656">
        <v>106.42271197650599</v>
      </c>
      <c r="AI1656">
        <v>90.602802801312706</v>
      </c>
      <c r="AJ1656">
        <v>91.715055247362102</v>
      </c>
      <c r="AK1656">
        <v>106.476300316164</v>
      </c>
      <c r="AL1656">
        <v>77.682119338894196</v>
      </c>
      <c r="AM1656">
        <v>87.512766370515394</v>
      </c>
      <c r="AN1656">
        <v>1.0000000526384101</v>
      </c>
    </row>
    <row r="1657" spans="1:40" x14ac:dyDescent="0.25">
      <c r="A1657" t="str">
        <f>"20190303171011548"</f>
        <v>20190303171011548</v>
      </c>
      <c r="B1657" t="str">
        <f>"1551604211542247"</f>
        <v>1551604211542247</v>
      </c>
      <c r="C1657" t="s">
        <v>40</v>
      </c>
      <c r="D1657">
        <v>4.7062089999999897</v>
      </c>
      <c r="E1657">
        <v>0.47680990000000001</v>
      </c>
      <c r="F1657" t="s">
        <v>60</v>
      </c>
      <c r="G1657">
        <v>-417.14060000000001</v>
      </c>
      <c r="H1657" s="1">
        <v>3.8190320000000002E-6</v>
      </c>
      <c r="I1657">
        <v>280.65100000000001</v>
      </c>
      <c r="J1657">
        <v>-311.11290000000002</v>
      </c>
      <c r="K1657">
        <v>1.120207</v>
      </c>
      <c r="L1657">
        <v>284.21530000000001</v>
      </c>
      <c r="M1657">
        <v>-0.99997219999999998</v>
      </c>
      <c r="N1657">
        <v>-6.7896839999999998E-3</v>
      </c>
      <c r="O1657">
        <v>-3.131553E-3</v>
      </c>
      <c r="P1657">
        <v>-0.97764320000000005</v>
      </c>
      <c r="Q1657">
        <v>0.20643249999999999</v>
      </c>
      <c r="R1657">
        <v>3.999842E-2</v>
      </c>
      <c r="S1657">
        <v>-3.079834</v>
      </c>
      <c r="T1657">
        <v>-3.245866E-2</v>
      </c>
      <c r="U1657">
        <v>-0.103302</v>
      </c>
      <c r="V1657">
        <v>4.2799150000000001E-2</v>
      </c>
      <c r="W1657">
        <v>0.21311730000000001</v>
      </c>
      <c r="X1657">
        <v>0.97608879999999998</v>
      </c>
      <c r="Y1657">
        <v>-3.038979E-2</v>
      </c>
      <c r="Z1657">
        <v>-2.5155799999999998E-4</v>
      </c>
      <c r="AA1657">
        <v>0.99953809999999998</v>
      </c>
      <c r="AB1657">
        <v>50</v>
      </c>
      <c r="AC1657">
        <v>-106.027699999999</v>
      </c>
      <c r="AD1657">
        <v>-1.120203180968</v>
      </c>
      <c r="AE1657">
        <v>-3.5642999999999998</v>
      </c>
      <c r="AF1657">
        <v>-3.23188321141025</v>
      </c>
      <c r="AG1657">
        <v>-1.120203180968</v>
      </c>
      <c r="AH1657">
        <v>106.02652046554699</v>
      </c>
      <c r="AI1657">
        <v>90.605044216674699</v>
      </c>
      <c r="AJ1657">
        <v>91.745940055849999</v>
      </c>
      <c r="AK1657">
        <v>106.081680634734</v>
      </c>
      <c r="AL1657">
        <v>77.694903768885197</v>
      </c>
      <c r="AM1657">
        <v>87.489325845824595</v>
      </c>
      <c r="AN1657">
        <v>1.00000004814272</v>
      </c>
    </row>
    <row r="1658" spans="1:40" x14ac:dyDescent="0.25">
      <c r="A1658" t="str">
        <f>"20190303171011560"</f>
        <v>20190303171011560</v>
      </c>
      <c r="B1658" t="str">
        <f>"1551604211552008"</f>
        <v>1551604211552008</v>
      </c>
      <c r="C1658" t="s">
        <v>40</v>
      </c>
      <c r="D1658">
        <v>4.723166</v>
      </c>
      <c r="E1658">
        <v>0.47667110000000001</v>
      </c>
      <c r="F1658" t="s">
        <v>60</v>
      </c>
      <c r="G1658">
        <v>-416.06729999999999</v>
      </c>
      <c r="H1658" s="1">
        <v>3.6291749999999999E-6</v>
      </c>
      <c r="I1658">
        <v>280.64499999999998</v>
      </c>
      <c r="J1658">
        <v>-311.41829999999999</v>
      </c>
      <c r="K1658">
        <v>1.120209</v>
      </c>
      <c r="L1658">
        <v>284.21429999999998</v>
      </c>
      <c r="M1658">
        <v>-0.99997119999999995</v>
      </c>
      <c r="N1658">
        <v>-6.8168359999999997E-3</v>
      </c>
      <c r="O1658">
        <v>-3.3668729999999998E-3</v>
      </c>
      <c r="P1658">
        <v>-0.97770760000000001</v>
      </c>
      <c r="Q1658">
        <v>0.20618649999999999</v>
      </c>
      <c r="R1658">
        <v>3.9690080000000003E-2</v>
      </c>
      <c r="S1658">
        <v>-3.0798030000000001</v>
      </c>
      <c r="T1658">
        <v>-3.2871480000000002E-2</v>
      </c>
      <c r="U1658">
        <v>-0.10476679999999999</v>
      </c>
      <c r="V1658">
        <v>4.2720719999999997E-2</v>
      </c>
      <c r="W1658">
        <v>0.2128979</v>
      </c>
      <c r="X1658">
        <v>0.97614009999999996</v>
      </c>
      <c r="Y1658">
        <v>-3.0629690000000001E-2</v>
      </c>
      <c r="Z1658">
        <v>-2.5486379999999998E-4</v>
      </c>
      <c r="AA1658">
        <v>0.99953080000000005</v>
      </c>
      <c r="AB1658">
        <v>50</v>
      </c>
      <c r="AC1658">
        <v>-104.649</v>
      </c>
      <c r="AD1658">
        <v>-1.1202053708249999</v>
      </c>
      <c r="AE1658">
        <v>-3.5692999999999899</v>
      </c>
      <c r="AF1658">
        <v>-3.2165635859986001</v>
      </c>
      <c r="AG1658">
        <v>-1.1202053708249999</v>
      </c>
      <c r="AH1658">
        <v>104.64844735033699</v>
      </c>
      <c r="AI1658">
        <v>90.6130076135167</v>
      </c>
      <c r="AJ1658">
        <v>91.760537471731297</v>
      </c>
      <c r="AK1658">
        <v>104.70386179225601</v>
      </c>
      <c r="AL1658">
        <v>77.707769568593704</v>
      </c>
      <c r="AM1658">
        <v>87.494052354202793</v>
      </c>
      <c r="AN1658">
        <v>1.0000000352848599</v>
      </c>
    </row>
    <row r="1659" spans="1:40" x14ac:dyDescent="0.25">
      <c r="A1659" t="str">
        <f>"20190303171011578"</f>
        <v>20190303171011578</v>
      </c>
      <c r="B1659" t="str">
        <f>"1551604211572503"</f>
        <v>1551604211572503</v>
      </c>
      <c r="C1659" t="s">
        <v>40</v>
      </c>
      <c r="D1659">
        <v>4.7130380000000001</v>
      </c>
      <c r="E1659">
        <v>0.4763925</v>
      </c>
      <c r="F1659" t="s">
        <v>60</v>
      </c>
      <c r="G1659">
        <v>-414.27769999999998</v>
      </c>
      <c r="H1659" s="1">
        <v>3.3112920000000002E-6</v>
      </c>
      <c r="I1659">
        <v>280.64999999999998</v>
      </c>
      <c r="J1659">
        <v>-311.79509999999999</v>
      </c>
      <c r="K1659">
        <v>1.120209</v>
      </c>
      <c r="L1659">
        <v>284.21289999999999</v>
      </c>
      <c r="M1659">
        <v>-0.99996980000000002</v>
      </c>
      <c r="N1659">
        <v>-6.8537019999999997E-3</v>
      </c>
      <c r="O1659">
        <v>-3.6567150000000001E-3</v>
      </c>
      <c r="P1659">
        <v>-0.97781589999999996</v>
      </c>
      <c r="Q1659">
        <v>0.20578469999999999</v>
      </c>
      <c r="R1659">
        <v>3.909849E-2</v>
      </c>
      <c r="S1659">
        <v>-3.0798030000000001</v>
      </c>
      <c r="T1659">
        <v>-3.3541080000000001E-2</v>
      </c>
      <c r="U1659">
        <v>-0.10672</v>
      </c>
      <c r="V1659">
        <v>4.2412180000000001E-2</v>
      </c>
      <c r="W1659">
        <v>0.212533</v>
      </c>
      <c r="X1659">
        <v>0.97623300000000002</v>
      </c>
      <c r="Y1659">
        <v>-3.0972969999999999E-2</v>
      </c>
      <c r="Z1659">
        <v>-2.6002510000000003E-4</v>
      </c>
      <c r="AA1659">
        <v>0.99952019999999997</v>
      </c>
      <c r="AB1659">
        <v>50</v>
      </c>
      <c r="AC1659">
        <v>-102.48260000000001</v>
      </c>
      <c r="AD1659">
        <v>-1.1202056887080001</v>
      </c>
      <c r="AE1659">
        <v>-3.5629000000000102</v>
      </c>
      <c r="AF1659">
        <v>-3.18773729416528</v>
      </c>
      <c r="AG1659">
        <v>-1.1202056887080001</v>
      </c>
      <c r="AH1659">
        <v>102.482713750765</v>
      </c>
      <c r="AI1659">
        <v>90.625954139369895</v>
      </c>
      <c r="AJ1659">
        <v>91.781617760148904</v>
      </c>
      <c r="AK1659">
        <v>102.538398405489</v>
      </c>
      <c r="AL1659">
        <v>77.729165666294094</v>
      </c>
      <c r="AM1659">
        <v>87.512364580637296</v>
      </c>
      <c r="AN1659">
        <v>0.99999996969517502</v>
      </c>
    </row>
    <row r="1660" spans="1:40" x14ac:dyDescent="0.25">
      <c r="A1660" t="str">
        <f>"20190303171011592"</f>
        <v>20190303171011592</v>
      </c>
      <c r="B1660" t="str">
        <f>"1551604211582263"</f>
        <v>1551604211582263</v>
      </c>
      <c r="C1660" t="s">
        <v>40</v>
      </c>
      <c r="D1660">
        <v>4.6883869999999996</v>
      </c>
      <c r="E1660">
        <v>0.47626689999999999</v>
      </c>
      <c r="F1660" t="s">
        <v>60</v>
      </c>
      <c r="G1660">
        <v>-412.0222</v>
      </c>
      <c r="H1660" s="1">
        <v>2.914377E-6</v>
      </c>
      <c r="I1660">
        <v>280.61360000000002</v>
      </c>
      <c r="J1660">
        <v>-312.12</v>
      </c>
      <c r="K1660">
        <v>1.1202129999999999</v>
      </c>
      <c r="L1660">
        <v>284.21159999999998</v>
      </c>
      <c r="M1660">
        <v>-0.99996870000000004</v>
      </c>
      <c r="N1660">
        <v>-6.8871000000000002E-3</v>
      </c>
      <c r="O1660">
        <v>-3.9068419999999998E-3</v>
      </c>
      <c r="P1660">
        <v>-0.97789060000000005</v>
      </c>
      <c r="Q1660">
        <v>0.20547399999999999</v>
      </c>
      <c r="R1660">
        <v>3.8869470000000003E-2</v>
      </c>
      <c r="S1660">
        <v>-3.0797119999999998</v>
      </c>
      <c r="T1660">
        <v>-3.4420970000000002E-2</v>
      </c>
      <c r="U1660">
        <v>-0.11059570000000001</v>
      </c>
      <c r="V1660">
        <v>4.2427739999999999E-2</v>
      </c>
      <c r="W1660">
        <v>0.21225530000000001</v>
      </c>
      <c r="X1660">
        <v>0.97629279999999996</v>
      </c>
      <c r="Y1660">
        <v>-3.1980040000000001E-2</v>
      </c>
      <c r="Z1660">
        <v>-2.7206890000000002E-4</v>
      </c>
      <c r="AA1660">
        <v>0.9994885</v>
      </c>
      <c r="AB1660">
        <v>51</v>
      </c>
      <c r="AC1660">
        <v>-99.902199999999993</v>
      </c>
      <c r="AD1660">
        <v>-1.120210085623</v>
      </c>
      <c r="AE1660">
        <v>-3.5979999999999501</v>
      </c>
      <c r="AF1660">
        <v>-3.2072584554932502</v>
      </c>
      <c r="AG1660">
        <v>-1.120210085623</v>
      </c>
      <c r="AH1660">
        <v>99.902949873419502</v>
      </c>
      <c r="AI1660">
        <v>90.642098905401895</v>
      </c>
      <c r="AJ1660">
        <v>91.838777343166996</v>
      </c>
      <c r="AK1660">
        <v>99.960696130265305</v>
      </c>
      <c r="AL1660">
        <v>77.745448936734306</v>
      </c>
      <c r="AM1660">
        <v>87.511605311845599</v>
      </c>
      <c r="AN1660">
        <v>1.00000002841571</v>
      </c>
    </row>
    <row r="1661" spans="1:40" x14ac:dyDescent="0.25">
      <c r="A1661" t="str">
        <f>"20190303171011608"</f>
        <v>20190303171011608</v>
      </c>
      <c r="B1661" t="str">
        <f>"1551604211602760"</f>
        <v>1551604211602760</v>
      </c>
      <c r="C1661" t="s">
        <v>40</v>
      </c>
      <c r="D1661">
        <v>4.6891910000000001</v>
      </c>
      <c r="E1661">
        <v>0.47601539999999998</v>
      </c>
      <c r="F1661" t="s">
        <v>60</v>
      </c>
      <c r="G1661">
        <v>-410.13679999999999</v>
      </c>
      <c r="H1661" s="1">
        <v>2.5782940000000002E-6</v>
      </c>
      <c r="I1661">
        <v>280.63249999999999</v>
      </c>
      <c r="J1661">
        <v>-312.47129999999999</v>
      </c>
      <c r="K1661">
        <v>1.120215</v>
      </c>
      <c r="L1661">
        <v>284.21010000000001</v>
      </c>
      <c r="M1661">
        <v>-0.9999673</v>
      </c>
      <c r="N1661">
        <v>-6.9243630000000002E-3</v>
      </c>
      <c r="O1661">
        <v>-4.1773690000000002E-3</v>
      </c>
      <c r="P1661">
        <v>-0.9778926</v>
      </c>
      <c r="Q1661">
        <v>0.20551030000000001</v>
      </c>
      <c r="R1661">
        <v>3.8621990000000002E-2</v>
      </c>
      <c r="S1661">
        <v>-3.079742</v>
      </c>
      <c r="T1661">
        <v>-3.5197619999999999E-2</v>
      </c>
      <c r="U1661">
        <v>-0.1124573</v>
      </c>
      <c r="V1661">
        <v>4.2444120000000002E-2</v>
      </c>
      <c r="W1661">
        <v>0.21232799999999999</v>
      </c>
      <c r="X1661">
        <v>0.97627620000000004</v>
      </c>
      <c r="Y1661">
        <v>-3.2312489999999999E-2</v>
      </c>
      <c r="Z1661">
        <v>-2.7768729999999998E-4</v>
      </c>
      <c r="AA1661">
        <v>0.99947779999999997</v>
      </c>
      <c r="AB1661">
        <v>51</v>
      </c>
      <c r="AC1661">
        <v>-97.665499999999994</v>
      </c>
      <c r="AD1661">
        <v>-1.1202124217060001</v>
      </c>
      <c r="AE1661">
        <v>-3.5776000000000101</v>
      </c>
      <c r="AF1661">
        <v>-3.1691577990522499</v>
      </c>
      <c r="AG1661">
        <v>-1.1202124217060001</v>
      </c>
      <c r="AH1661">
        <v>97.666761457688807</v>
      </c>
      <c r="AI1661">
        <v>90.656793261235606</v>
      </c>
      <c r="AJ1661">
        <v>91.858520490307399</v>
      </c>
      <c r="AK1661">
        <v>97.724586111470003</v>
      </c>
      <c r="AL1661">
        <v>77.741185408032095</v>
      </c>
      <c r="AM1661">
        <v>87.510603555953494</v>
      </c>
      <c r="AN1661">
        <v>0.99999995079650605</v>
      </c>
    </row>
    <row r="1662" spans="1:40" x14ac:dyDescent="0.25">
      <c r="A1662" t="str">
        <f>"20190303171011624"</f>
        <v>20190303171011624</v>
      </c>
      <c r="B1662" t="str">
        <f>"1551604211612519"</f>
        <v>1551604211612519</v>
      </c>
      <c r="C1662" t="s">
        <v>40</v>
      </c>
      <c r="D1662">
        <v>4.6385860000000001</v>
      </c>
      <c r="E1662">
        <v>0.47586289999999998</v>
      </c>
      <c r="F1662" t="s">
        <v>60</v>
      </c>
      <c r="G1662">
        <v>-411.95949999999999</v>
      </c>
      <c r="H1662" s="1">
        <v>2.9139530000000002E-6</v>
      </c>
      <c r="I1662">
        <v>280.4914</v>
      </c>
      <c r="J1662">
        <v>-312.83479999999997</v>
      </c>
      <c r="K1662">
        <v>1.1202219999999901</v>
      </c>
      <c r="L1662">
        <v>284.20850000000002</v>
      </c>
      <c r="M1662">
        <v>-0.99996580000000002</v>
      </c>
      <c r="N1662">
        <v>-6.9645469999999998E-3</v>
      </c>
      <c r="O1662">
        <v>-4.457684E-3</v>
      </c>
      <c r="P1662">
        <v>-0.97785659999999996</v>
      </c>
      <c r="Q1662">
        <v>0.205678</v>
      </c>
      <c r="R1662">
        <v>3.8637419999999999E-2</v>
      </c>
      <c r="S1662">
        <v>-3.0796199999999998</v>
      </c>
      <c r="T1662">
        <v>-3.467572E-2</v>
      </c>
      <c r="U1662">
        <v>-0.1151123</v>
      </c>
      <c r="V1662">
        <v>4.2732279999999997E-2</v>
      </c>
      <c r="W1662">
        <v>0.21253540000000001</v>
      </c>
      <c r="X1662">
        <v>0.97621860000000005</v>
      </c>
      <c r="Y1662">
        <v>-3.2894270000000003E-2</v>
      </c>
      <c r="Z1662">
        <v>-2.805776E-4</v>
      </c>
      <c r="AA1662">
        <v>0.99945879999999998</v>
      </c>
      <c r="AB1662">
        <v>51</v>
      </c>
      <c r="AC1662">
        <v>-99.124700000000004</v>
      </c>
      <c r="AD1662">
        <v>-1.1202190860469901</v>
      </c>
      <c r="AE1662">
        <v>-3.7171000000000101</v>
      </c>
      <c r="AF1662">
        <v>-3.2747681059070599</v>
      </c>
      <c r="AG1662">
        <v>-1.1202190860469901</v>
      </c>
      <c r="AH1662">
        <v>99.127642838915904</v>
      </c>
      <c r="AI1662">
        <v>90.647106103563601</v>
      </c>
      <c r="AJ1662">
        <v>91.892127893451899</v>
      </c>
      <c r="AK1662">
        <v>99.1880465164421</v>
      </c>
      <c r="AL1662">
        <v>77.729025935857507</v>
      </c>
      <c r="AM1662">
        <v>87.493576429316207</v>
      </c>
      <c r="AN1662">
        <v>1.00000004949655</v>
      </c>
    </row>
    <row r="1663" spans="1:40" x14ac:dyDescent="0.25">
      <c r="A1663" t="str">
        <f>"20190303171011643"</f>
        <v>20190303171011643</v>
      </c>
      <c r="B1663" t="str">
        <f>"1551604211632039"</f>
        <v>1551604211632039</v>
      </c>
      <c r="C1663" t="s">
        <v>40</v>
      </c>
      <c r="D1663">
        <v>4.701022</v>
      </c>
      <c r="E1663">
        <v>0.47562890000000002</v>
      </c>
      <c r="F1663" t="s">
        <v>60</v>
      </c>
      <c r="G1663">
        <v>-414.93799999999999</v>
      </c>
      <c r="H1663" s="1">
        <v>3.4558220000000002E-6</v>
      </c>
      <c r="I1663">
        <v>280.33640000000003</v>
      </c>
      <c r="J1663">
        <v>-313.28379999999999</v>
      </c>
      <c r="K1663">
        <v>1.1202209999999999</v>
      </c>
      <c r="L1663">
        <v>284.20639999999997</v>
      </c>
      <c r="M1663">
        <v>-0.99996399999999996</v>
      </c>
      <c r="N1663">
        <v>-7.0173960000000004E-3</v>
      </c>
      <c r="O1663">
        <v>-4.803501E-3</v>
      </c>
      <c r="P1663">
        <v>-0.97794029999999998</v>
      </c>
      <c r="Q1663">
        <v>0.20530760000000001</v>
      </c>
      <c r="R1663">
        <v>3.849901E-2</v>
      </c>
      <c r="S1663">
        <v>-3.0796510000000001</v>
      </c>
      <c r="T1663">
        <v>-3.3788199999999997E-2</v>
      </c>
      <c r="U1663">
        <v>-0.1167908</v>
      </c>
      <c r="V1663">
        <v>4.2932110000000002E-2</v>
      </c>
      <c r="W1663">
        <v>0.21221709999999999</v>
      </c>
      <c r="X1663">
        <v>0.97627900000000001</v>
      </c>
      <c r="Y1663">
        <v>-3.309231E-2</v>
      </c>
      <c r="Z1663">
        <v>-2.7864159999999998E-4</v>
      </c>
      <c r="AA1663">
        <v>0.99945220000000001</v>
      </c>
      <c r="AB1663">
        <v>51</v>
      </c>
      <c r="AC1663">
        <v>-101.6542</v>
      </c>
      <c r="AD1663">
        <v>-1.120217544178</v>
      </c>
      <c r="AE1663">
        <v>-3.8699999999999402</v>
      </c>
      <c r="AF1663">
        <v>-3.3812373373903899</v>
      </c>
      <c r="AG1663">
        <v>-1.120217544178</v>
      </c>
      <c r="AH1663">
        <v>101.659289754811</v>
      </c>
      <c r="AI1663">
        <v>90.630986815821998</v>
      </c>
      <c r="AJ1663">
        <v>91.904983184551398</v>
      </c>
      <c r="AK1663">
        <v>101.721673436543</v>
      </c>
      <c r="AL1663">
        <v>77.747687991834894</v>
      </c>
      <c r="AM1663">
        <v>87.482026222068797</v>
      </c>
      <c r="AN1663">
        <v>0.99999997472123003</v>
      </c>
    </row>
    <row r="1664" spans="1:40" x14ac:dyDescent="0.25">
      <c r="A1664" t="str">
        <f>"20190303171011657"</f>
        <v>20190303171011657</v>
      </c>
      <c r="B1664" t="str">
        <f>"1551604211642776"</f>
        <v>1551604211642776</v>
      </c>
      <c r="C1664" t="s">
        <v>40</v>
      </c>
      <c r="D1664">
        <v>4.6996769999999897</v>
      </c>
      <c r="E1664">
        <v>0.47550819999999999</v>
      </c>
      <c r="F1664" t="s">
        <v>60</v>
      </c>
      <c r="G1664">
        <v>-412.97129999999999</v>
      </c>
      <c r="H1664" s="1">
        <v>3.1058800000000001E-6</v>
      </c>
      <c r="I1664">
        <v>280.34879999999998</v>
      </c>
      <c r="J1664">
        <v>-313.58749999999998</v>
      </c>
      <c r="K1664">
        <v>1.1202240000000001</v>
      </c>
      <c r="L1664">
        <v>284.20479999999998</v>
      </c>
      <c r="M1664">
        <v>-0.99996249999999998</v>
      </c>
      <c r="N1664">
        <v>-7.0550109999999999E-3</v>
      </c>
      <c r="O1664">
        <v>-5.037077E-3</v>
      </c>
      <c r="P1664">
        <v>-0.97803059999999997</v>
      </c>
      <c r="Q1664">
        <v>0.2049079</v>
      </c>
      <c r="R1664">
        <v>3.8328210000000001E-2</v>
      </c>
      <c r="S1664">
        <v>-3.0796809999999999</v>
      </c>
      <c r="T1664">
        <v>-3.4607289999999999E-2</v>
      </c>
      <c r="U1664">
        <v>-0.1191711</v>
      </c>
      <c r="V1664">
        <v>4.2990069999999998E-2</v>
      </c>
      <c r="W1664">
        <v>0.21185499999999999</v>
      </c>
      <c r="X1664">
        <v>0.97635510000000003</v>
      </c>
      <c r="Y1664">
        <v>-3.3629659999999999E-2</v>
      </c>
      <c r="Z1664">
        <v>-2.865031E-4</v>
      </c>
      <c r="AA1664">
        <v>0.9994343</v>
      </c>
      <c r="AB1664">
        <v>51</v>
      </c>
      <c r="AC1664">
        <v>-99.383799999999994</v>
      </c>
      <c r="AD1664">
        <v>-1.12022089411999</v>
      </c>
      <c r="AE1664">
        <v>-3.8559999999999901</v>
      </c>
      <c r="AF1664">
        <v>-3.3549092025854601</v>
      </c>
      <c r="AG1664">
        <v>-1.12022089411999</v>
      </c>
      <c r="AH1664">
        <v>99.389354110408803</v>
      </c>
      <c r="AI1664">
        <v>90.645387849060697</v>
      </c>
      <c r="AJ1664">
        <v>91.933297410375403</v>
      </c>
      <c r="AK1664">
        <v>99.452270065059096</v>
      </c>
      <c r="AL1664">
        <v>77.768917632434693</v>
      </c>
      <c r="AM1664">
        <v>87.478827513971794</v>
      </c>
      <c r="AN1664">
        <v>0.99999998421980696</v>
      </c>
    </row>
    <row r="1665" spans="1:40" x14ac:dyDescent="0.25">
      <c r="A1665" t="str">
        <f>"20190303171011669"</f>
        <v>20190303171011669</v>
      </c>
      <c r="B1665" t="str">
        <f>"1551604211662295"</f>
        <v>1551604211662295</v>
      </c>
      <c r="C1665" t="s">
        <v>40</v>
      </c>
      <c r="D1665">
        <v>4.6981869999999999</v>
      </c>
      <c r="E1665">
        <v>0.47528930000000003</v>
      </c>
      <c r="F1665" t="s">
        <v>60</v>
      </c>
      <c r="G1665">
        <v>-410.1198</v>
      </c>
      <c r="H1665" s="1">
        <v>2.5933030000000001E-6</v>
      </c>
      <c r="I1665">
        <v>280.42630000000003</v>
      </c>
      <c r="J1665">
        <v>-313.89280000000002</v>
      </c>
      <c r="K1665">
        <v>1.120225</v>
      </c>
      <c r="L1665">
        <v>284.20319999999998</v>
      </c>
      <c r="M1665">
        <v>-0.99996099999999999</v>
      </c>
      <c r="N1665">
        <v>-7.0935360000000001E-3</v>
      </c>
      <c r="O1665">
        <v>-5.2723229999999998E-3</v>
      </c>
      <c r="P1665">
        <v>-0.97814250000000003</v>
      </c>
      <c r="Q1665">
        <v>0.2044562</v>
      </c>
      <c r="R1665">
        <v>3.7883140000000003E-2</v>
      </c>
      <c r="S1665">
        <v>-3.07959</v>
      </c>
      <c r="T1665">
        <v>-3.573751E-2</v>
      </c>
      <c r="U1665">
        <v>-0.1205444</v>
      </c>
      <c r="V1665">
        <v>4.277566E-2</v>
      </c>
      <c r="W1665">
        <v>0.21144170000000001</v>
      </c>
      <c r="X1665">
        <v>0.97645409999999999</v>
      </c>
      <c r="Y1665">
        <v>-3.3840490000000001E-2</v>
      </c>
      <c r="Z1665">
        <v>-2.9257989999999999E-4</v>
      </c>
      <c r="AA1665">
        <v>0.99942719999999896</v>
      </c>
      <c r="AB1665">
        <v>51</v>
      </c>
      <c r="AC1665">
        <v>-96.226999999999904</v>
      </c>
      <c r="AD1665">
        <v>-1.1202224066969999</v>
      </c>
      <c r="AE1665">
        <v>-3.7768999999999502</v>
      </c>
      <c r="AF1665">
        <v>-3.26905259072235</v>
      </c>
      <c r="AG1665">
        <v>-1.1202224066969999</v>
      </c>
      <c r="AH1665">
        <v>96.232554318255893</v>
      </c>
      <c r="AI1665">
        <v>90.666553235874105</v>
      </c>
      <c r="AJ1665">
        <v>91.945608941130899</v>
      </c>
      <c r="AK1665">
        <v>96.294579877049401</v>
      </c>
      <c r="AL1665">
        <v>77.793146812148507</v>
      </c>
      <c r="AM1665">
        <v>87.491639600152993</v>
      </c>
      <c r="AN1665">
        <v>0.99999997949706698</v>
      </c>
    </row>
    <row r="1666" spans="1:40" x14ac:dyDescent="0.25">
      <c r="A1666" t="str">
        <f>"20190303171011682"</f>
        <v>20190303171011682</v>
      </c>
      <c r="B1666" t="str">
        <f>"1551604211672055"</f>
        <v>1551604211672055</v>
      </c>
      <c r="C1666" t="s">
        <v>40</v>
      </c>
      <c r="D1666">
        <v>4.72262</v>
      </c>
      <c r="E1666">
        <v>0.47517900000000002</v>
      </c>
      <c r="F1666" t="s">
        <v>60</v>
      </c>
      <c r="G1666">
        <v>-407.25760000000002</v>
      </c>
      <c r="H1666" s="1">
        <v>6.0430880000000003E-6</v>
      </c>
      <c r="I1666">
        <v>280.4579</v>
      </c>
      <c r="J1666">
        <v>-314.17570000000001</v>
      </c>
      <c r="K1666">
        <v>1.1202319999999999</v>
      </c>
      <c r="L1666">
        <v>284.20170000000002</v>
      </c>
      <c r="M1666">
        <v>-0.9999595</v>
      </c>
      <c r="N1666">
        <v>-7.1295339999999999E-3</v>
      </c>
      <c r="O1666">
        <v>-5.4895580000000003E-3</v>
      </c>
      <c r="P1666">
        <v>-0.97824690000000003</v>
      </c>
      <c r="Q1666">
        <v>0.20400489999999999</v>
      </c>
      <c r="R1666">
        <v>3.7619109999999997E-2</v>
      </c>
      <c r="S1666">
        <v>-3.0795590000000002</v>
      </c>
      <c r="T1666">
        <v>-3.694952E-2</v>
      </c>
      <c r="U1666">
        <v>-0.123535199999999</v>
      </c>
      <c r="V1666">
        <v>4.2724739999999997E-2</v>
      </c>
      <c r="W1666">
        <v>0.2110264</v>
      </c>
      <c r="X1666">
        <v>0.97654620000000003</v>
      </c>
      <c r="Y1666">
        <v>-3.4592530000000003E-2</v>
      </c>
      <c r="Z1666">
        <v>-3.0409650000000002E-4</v>
      </c>
      <c r="AA1666">
        <v>0.99940150000000005</v>
      </c>
      <c r="AB1666">
        <v>51</v>
      </c>
      <c r="AC1666">
        <v>-93.081900000000005</v>
      </c>
      <c r="AD1666">
        <v>-1.1202259569120001</v>
      </c>
      <c r="AE1666">
        <v>-3.7438000000000198</v>
      </c>
      <c r="AF1666">
        <v>-3.2322847025882799</v>
      </c>
      <c r="AG1666">
        <v>-1.1202259569120001</v>
      </c>
      <c r="AH1666">
        <v>93.087588934018797</v>
      </c>
      <c r="AI1666">
        <v>90.689055001517403</v>
      </c>
      <c r="AJ1666">
        <v>91.988685041661896</v>
      </c>
      <c r="AK1666">
        <v>93.150425571448594</v>
      </c>
      <c r="AL1666">
        <v>77.8174914779473</v>
      </c>
      <c r="AM1666">
        <v>87.494857722954094</v>
      </c>
      <c r="AN1666">
        <v>1.0000000128197299</v>
      </c>
    </row>
    <row r="1667" spans="1:40" x14ac:dyDescent="0.25">
      <c r="A1667" t="str">
        <f>"20190303171011700"</f>
        <v>20190303171011700</v>
      </c>
      <c r="B1667" t="str">
        <f>"1551604211692551"</f>
        <v>1551604211692551</v>
      </c>
      <c r="C1667" t="s">
        <v>40</v>
      </c>
      <c r="D1667">
        <v>4.7172980000000004</v>
      </c>
      <c r="E1667">
        <v>0.4749604</v>
      </c>
      <c r="F1667" t="s">
        <v>60</v>
      </c>
      <c r="G1667">
        <v>-404.15260000000001</v>
      </c>
      <c r="H1667" s="1">
        <v>7.4009359999999999E-6</v>
      </c>
      <c r="I1667">
        <v>280.55029999999999</v>
      </c>
      <c r="J1667">
        <v>-314.58929999999998</v>
      </c>
      <c r="K1667">
        <v>1.1202369999999999</v>
      </c>
      <c r="L1667">
        <v>284.19929999999999</v>
      </c>
      <c r="M1667">
        <v>-0.9999574</v>
      </c>
      <c r="N1667">
        <v>-7.1830110000000004E-3</v>
      </c>
      <c r="O1667">
        <v>-5.805691E-3</v>
      </c>
      <c r="P1667">
        <v>-0.97829909999999998</v>
      </c>
      <c r="Q1667">
        <v>0.20383109999999999</v>
      </c>
      <c r="R1667">
        <v>3.7201310000000001E-2</v>
      </c>
      <c r="S1667">
        <v>-3.0794980000000001</v>
      </c>
      <c r="T1667">
        <v>-3.834021E-2</v>
      </c>
      <c r="U1667">
        <v>-0.1249695</v>
      </c>
      <c r="V1667">
        <v>4.2616130000000002E-2</v>
      </c>
      <c r="W1667">
        <v>0.2109047</v>
      </c>
      <c r="X1667">
        <v>0.97657720000000003</v>
      </c>
      <c r="Y1667">
        <v>-3.4741840000000003E-2</v>
      </c>
      <c r="Z1667">
        <v>-3.1044889999999999E-4</v>
      </c>
      <c r="AA1667">
        <v>0.99939630000000002</v>
      </c>
      <c r="AB1667">
        <v>51</v>
      </c>
      <c r="AC1667">
        <v>-89.563299999999998</v>
      </c>
      <c r="AD1667">
        <v>-1.1202295990639899</v>
      </c>
      <c r="AE1667">
        <v>-3.649</v>
      </c>
      <c r="AF1667">
        <v>-3.1284596549619001</v>
      </c>
      <c r="AG1667">
        <v>-1.1202295990639899</v>
      </c>
      <c r="AH1667">
        <v>89.568986860599694</v>
      </c>
      <c r="AI1667">
        <v>90.716118097482095</v>
      </c>
      <c r="AJ1667">
        <v>92.000409991822593</v>
      </c>
      <c r="AK1667">
        <v>89.630606275990502</v>
      </c>
      <c r="AL1667">
        <v>77.824624483900195</v>
      </c>
      <c r="AM1667">
        <v>87.501297149616093</v>
      </c>
      <c r="AN1667">
        <v>0.99999997728905299</v>
      </c>
    </row>
    <row r="1668" spans="1:40" x14ac:dyDescent="0.25">
      <c r="A1668" t="str">
        <f>"20190303171011712"</f>
        <v>20190303171011712</v>
      </c>
      <c r="B1668" t="str">
        <f>"1551604211702312"</f>
        <v>1551604211702312</v>
      </c>
      <c r="C1668" t="s">
        <v>40</v>
      </c>
      <c r="D1668">
        <v>4.7085879999999998</v>
      </c>
      <c r="E1668">
        <v>0.474858</v>
      </c>
      <c r="F1668" t="s">
        <v>60</v>
      </c>
      <c r="G1668">
        <v>-404.1053</v>
      </c>
      <c r="H1668" s="1">
        <v>7.4357539999999899E-6</v>
      </c>
      <c r="I1668">
        <v>280.48329999999999</v>
      </c>
      <c r="J1668">
        <v>-314.8657</v>
      </c>
      <c r="K1668">
        <v>1.120244</v>
      </c>
      <c r="L1668">
        <v>284.19760000000002</v>
      </c>
      <c r="M1668">
        <v>-0.99995590000000001</v>
      </c>
      <c r="N1668">
        <v>-7.2196589999999998E-3</v>
      </c>
      <c r="O1668">
        <v>-6.0156539999999996E-3</v>
      </c>
      <c r="P1668">
        <v>-0.97826120000000005</v>
      </c>
      <c r="Q1668">
        <v>0.2040564</v>
      </c>
      <c r="R1668">
        <v>3.6959409999999998E-2</v>
      </c>
      <c r="S1668">
        <v>-3.0794980000000001</v>
      </c>
      <c r="T1668">
        <v>-3.8537740000000001E-2</v>
      </c>
      <c r="U1668">
        <v>-0.12783810000000001</v>
      </c>
      <c r="V1668">
        <v>4.2579039999999999E-2</v>
      </c>
      <c r="W1668">
        <v>0.21116579999999999</v>
      </c>
      <c r="X1668">
        <v>0.97652240000000001</v>
      </c>
      <c r="Y1668">
        <v>-3.5461260000000001E-2</v>
      </c>
      <c r="Z1668">
        <v>-3.1802589999999997E-4</v>
      </c>
      <c r="AA1668">
        <v>0.99937100000000001</v>
      </c>
      <c r="AB1668">
        <v>51</v>
      </c>
      <c r="AC1668">
        <v>-89.239599999999996</v>
      </c>
      <c r="AD1668">
        <v>-1.1202365642459999</v>
      </c>
      <c r="AE1668">
        <v>-3.7143000000000299</v>
      </c>
      <c r="AF1668">
        <v>-3.17688452020721</v>
      </c>
      <c r="AG1668">
        <v>-1.1202365642459999</v>
      </c>
      <c r="AH1668">
        <v>89.246290508823193</v>
      </c>
      <c r="AI1668">
        <v>90.718694702299004</v>
      </c>
      <c r="AJ1668">
        <v>92.038686989187596</v>
      </c>
      <c r="AK1668">
        <v>89.309842093690094</v>
      </c>
      <c r="AL1668">
        <v>77.809319951497102</v>
      </c>
      <c r="AM1668">
        <v>87.503329165505406</v>
      </c>
      <c r="AN1668">
        <v>0.99999998371936005</v>
      </c>
    </row>
    <row r="1669" spans="1:40" x14ac:dyDescent="0.25">
      <c r="A1669" t="str">
        <f>"20190303171011723"</f>
        <v>20190303171011723</v>
      </c>
      <c r="B1669" t="str">
        <f>"1551604211712071"</f>
        <v>1551604211712071</v>
      </c>
      <c r="C1669" t="s">
        <v>40</v>
      </c>
      <c r="D1669">
        <v>4.7247760000000003</v>
      </c>
      <c r="E1669">
        <v>0.47475260000000002</v>
      </c>
      <c r="F1669" t="s">
        <v>60</v>
      </c>
      <c r="G1669">
        <v>-406.5582</v>
      </c>
      <c r="H1669" s="1">
        <v>6.3771719999999998E-6</v>
      </c>
      <c r="I1669">
        <v>280.34199999999998</v>
      </c>
      <c r="J1669">
        <v>-315.1232</v>
      </c>
      <c r="K1669">
        <v>1.1202479999999999</v>
      </c>
      <c r="L1669">
        <v>284.19600000000003</v>
      </c>
      <c r="M1669">
        <v>-0.99995449999999997</v>
      </c>
      <c r="N1669">
        <v>-7.2549950000000002E-3</v>
      </c>
      <c r="O1669">
        <v>-6.210709E-3</v>
      </c>
      <c r="P1669">
        <v>-0.97823850000000001</v>
      </c>
      <c r="Q1669">
        <v>0.20419480000000001</v>
      </c>
      <c r="R1669">
        <v>3.6799650000000003E-2</v>
      </c>
      <c r="S1669">
        <v>-3.0793759999999999</v>
      </c>
      <c r="T1669">
        <v>-3.7621740000000001E-2</v>
      </c>
      <c r="U1669">
        <v>-0.12948609999999999</v>
      </c>
      <c r="V1669">
        <v>4.2609479999999998E-2</v>
      </c>
      <c r="W1669">
        <v>0.21133859999999999</v>
      </c>
      <c r="X1669">
        <v>0.97648369999999995</v>
      </c>
      <c r="Y1669">
        <v>-3.5801960000000001E-2</v>
      </c>
      <c r="Z1669">
        <v>-3.1773689999999998E-4</v>
      </c>
      <c r="AA1669">
        <v>0.99935879999999999</v>
      </c>
      <c r="AB1669">
        <v>51</v>
      </c>
      <c r="AC1669">
        <v>-91.435000000000002</v>
      </c>
      <c r="AD1669">
        <v>-1.1202416228280001</v>
      </c>
      <c r="AE1669">
        <v>-3.8539999999999801</v>
      </c>
      <c r="AF1669">
        <v>-3.28554229649396</v>
      </c>
      <c r="AG1669">
        <v>-1.1202416228280001</v>
      </c>
      <c r="AH1669">
        <v>91.443471249943201</v>
      </c>
      <c r="AI1669">
        <v>90.701422659909298</v>
      </c>
      <c r="AJ1669">
        <v>92.057738634823195</v>
      </c>
      <c r="AK1669">
        <v>91.509333751889798</v>
      </c>
      <c r="AL1669">
        <v>77.799190765461702</v>
      </c>
      <c r="AM1669">
        <v>87.501447648957694</v>
      </c>
      <c r="AN1669">
        <v>0.99999999400076001</v>
      </c>
    </row>
    <row r="1670" spans="1:40" x14ac:dyDescent="0.25">
      <c r="A1670" t="str">
        <f>"20190303171011737"</f>
        <v>20190303171011737</v>
      </c>
      <c r="B1670" t="str">
        <f>"1551604211732567"</f>
        <v>1551604211732567</v>
      </c>
      <c r="C1670" t="s">
        <v>40</v>
      </c>
      <c r="D1670">
        <v>4.7158249999999997</v>
      </c>
      <c r="E1670">
        <v>0.47457539999999998</v>
      </c>
      <c r="F1670" t="s">
        <v>60</v>
      </c>
      <c r="G1670">
        <v>-408.25119999999998</v>
      </c>
      <c r="H1670" s="1">
        <v>5.6472389999999999E-6</v>
      </c>
      <c r="I1670">
        <v>280.24130000000002</v>
      </c>
      <c r="J1670">
        <v>-315.43630000000002</v>
      </c>
      <c r="K1670">
        <v>1.12025</v>
      </c>
      <c r="L1670">
        <v>284.19400000000002</v>
      </c>
      <c r="M1670">
        <v>-0.99995270000000003</v>
      </c>
      <c r="N1670">
        <v>-7.2990379999999999E-3</v>
      </c>
      <c r="O1670">
        <v>-6.4469239999999997E-3</v>
      </c>
      <c r="P1670">
        <v>-0.97818780000000005</v>
      </c>
      <c r="Q1670">
        <v>0.20449320000000001</v>
      </c>
      <c r="R1670">
        <v>3.6490170000000002E-2</v>
      </c>
      <c r="S1670">
        <v>-3.0793759999999999</v>
      </c>
      <c r="T1670">
        <v>-3.7042020000000002E-2</v>
      </c>
      <c r="U1670">
        <v>-0.13076779999999999</v>
      </c>
      <c r="V1670">
        <v>4.2530529999999997E-2</v>
      </c>
      <c r="W1670">
        <v>0.2116789</v>
      </c>
      <c r="X1670">
        <v>0.97641339999999999</v>
      </c>
      <c r="Y1670">
        <v>-3.598117E-2</v>
      </c>
      <c r="Z1670">
        <v>-3.1721439999999999E-4</v>
      </c>
      <c r="AA1670">
        <v>0.99935240000000003</v>
      </c>
      <c r="AB1670">
        <v>51</v>
      </c>
      <c r="AC1670">
        <v>-92.814899999999895</v>
      </c>
      <c r="AD1670">
        <v>-1.120244352761</v>
      </c>
      <c r="AE1670">
        <v>-3.9526999999999899</v>
      </c>
      <c r="AF1670">
        <v>-3.3537436999475498</v>
      </c>
      <c r="AG1670">
        <v>-1.120244352761</v>
      </c>
      <c r="AH1670">
        <v>92.824956531237206</v>
      </c>
      <c r="AI1670">
        <v>90.690981333431694</v>
      </c>
      <c r="AJ1670">
        <v>92.0691829175111</v>
      </c>
      <c r="AK1670">
        <v>92.892276854649793</v>
      </c>
      <c r="AL1670">
        <v>77.779241328064302</v>
      </c>
      <c r="AM1670">
        <v>87.505891969520803</v>
      </c>
      <c r="AN1670">
        <v>0.99999996519342405</v>
      </c>
    </row>
    <row r="1671" spans="1:40" x14ac:dyDescent="0.25">
      <c r="A1671" t="str">
        <f>"20190303171011749"</f>
        <v>20190303171011749</v>
      </c>
      <c r="B1671" t="str">
        <f>"1551604211742327"</f>
        <v>1551604211742327</v>
      </c>
      <c r="C1671" t="s">
        <v>40</v>
      </c>
      <c r="D1671">
        <v>4.6987740000000002</v>
      </c>
      <c r="E1671">
        <v>0.4744776</v>
      </c>
      <c r="F1671" t="s">
        <v>60</v>
      </c>
      <c r="G1671">
        <v>-411.3861</v>
      </c>
      <c r="H1671" s="1">
        <v>2.8509009999999999E-6</v>
      </c>
      <c r="I1671">
        <v>280.04910000000001</v>
      </c>
      <c r="J1671">
        <v>-315.7201</v>
      </c>
      <c r="K1671">
        <v>1.1202479999999999</v>
      </c>
      <c r="L1671">
        <v>284.19209999999998</v>
      </c>
      <c r="M1671">
        <v>-0.99995100000000003</v>
      </c>
      <c r="N1671">
        <v>-7.3423269999999896E-3</v>
      </c>
      <c r="O1671">
        <v>-6.6588119999999897E-3</v>
      </c>
      <c r="P1671">
        <v>-0.97814480000000004</v>
      </c>
      <c r="Q1671">
        <v>0.20472679999999999</v>
      </c>
      <c r="R1671">
        <v>3.6334770000000002E-2</v>
      </c>
      <c r="S1671">
        <v>-3.0793759999999999</v>
      </c>
      <c r="T1671">
        <v>-3.5952810000000002E-2</v>
      </c>
      <c r="U1671">
        <v>-0.13302610000000001</v>
      </c>
      <c r="V1671">
        <v>4.2582389999999998E-2</v>
      </c>
      <c r="W1671">
        <v>0.2119548</v>
      </c>
      <c r="X1671">
        <v>0.97635130000000003</v>
      </c>
      <c r="Y1671">
        <v>-3.6501079999999998E-2</v>
      </c>
      <c r="Z1671">
        <v>-3.1821660000000001E-4</v>
      </c>
      <c r="AA1671">
        <v>0.99933360000000004</v>
      </c>
      <c r="AB1671">
        <v>51</v>
      </c>
      <c r="AC1671">
        <v>-95.665999999999997</v>
      </c>
      <c r="AD1671">
        <v>-1.120245149099</v>
      </c>
      <c r="AE1671">
        <v>-4.1429999999999696</v>
      </c>
      <c r="AF1671">
        <v>-3.5053893737463402</v>
      </c>
      <c r="AG1671">
        <v>-1.120245149099</v>
      </c>
      <c r="AH1671">
        <v>95.678371992513306</v>
      </c>
      <c r="AI1671">
        <v>90.670364228152394</v>
      </c>
      <c r="AJ1671">
        <v>92.098219497631206</v>
      </c>
      <c r="AK1671">
        <v>95.749117860131804</v>
      </c>
      <c r="AL1671">
        <v>77.763066575523894</v>
      </c>
      <c r="AM1671">
        <v>87.502695975205498</v>
      </c>
      <c r="AN1671">
        <v>0.99999997909642002</v>
      </c>
    </row>
    <row r="1672" spans="1:40" x14ac:dyDescent="0.25">
      <c r="A1672" t="str">
        <f>"20190303171011766"</f>
        <v>20190303171011766</v>
      </c>
      <c r="B1672" t="str">
        <f>"1551604211752087"</f>
        <v>1551604211752087</v>
      </c>
      <c r="C1672" t="s">
        <v>40</v>
      </c>
      <c r="D1672">
        <v>4.7244400000000004</v>
      </c>
      <c r="E1672">
        <v>0.47438530000000001</v>
      </c>
      <c r="F1672" t="s">
        <v>60</v>
      </c>
      <c r="G1672">
        <v>-414.37119999999999</v>
      </c>
      <c r="H1672" s="1">
        <v>3.3951439999999998E-6</v>
      </c>
      <c r="I1672">
        <v>279.88049999999998</v>
      </c>
      <c r="J1672">
        <v>-316.10000000000002</v>
      </c>
      <c r="K1672">
        <v>1.1202490000000001</v>
      </c>
      <c r="L1672">
        <v>284.18950000000001</v>
      </c>
      <c r="M1672">
        <v>-0.99994859999999997</v>
      </c>
      <c r="N1672">
        <v>-7.403059E-3</v>
      </c>
      <c r="O1672">
        <v>-6.9397900000000004E-3</v>
      </c>
      <c r="P1672">
        <v>-0.97808309999999998</v>
      </c>
      <c r="Q1672">
        <v>0.20505619999999999</v>
      </c>
      <c r="R1672">
        <v>3.613947E-2</v>
      </c>
      <c r="S1672">
        <v>-3.0793149999999998</v>
      </c>
      <c r="T1672">
        <v>-3.4967539999999998E-2</v>
      </c>
      <c r="U1672">
        <v>-0.13458249999999999</v>
      </c>
      <c r="V1672">
        <v>4.2661629999999999E-2</v>
      </c>
      <c r="W1672">
        <v>0.2123429</v>
      </c>
      <c r="X1672">
        <v>0.97626349999999995</v>
      </c>
      <c r="Y1672">
        <v>-3.6725399999999998E-2</v>
      </c>
      <c r="Z1672">
        <v>-3.1701929999999998E-4</v>
      </c>
      <c r="AA1672">
        <v>0.99932529999999997</v>
      </c>
      <c r="AB1672">
        <v>51</v>
      </c>
      <c r="AC1672">
        <v>-98.271199999999894</v>
      </c>
      <c r="AD1672">
        <v>-1.1202456048559899</v>
      </c>
      <c r="AE1672">
        <v>-4.3090000000000197</v>
      </c>
      <c r="AF1672">
        <v>-3.6264257612605002</v>
      </c>
      <c r="AG1672">
        <v>-1.1202456048559899</v>
      </c>
      <c r="AH1672">
        <v>98.285990122825496</v>
      </c>
      <c r="AI1672">
        <v>90.652574454145295</v>
      </c>
      <c r="AJ1672">
        <v>92.113064943774603</v>
      </c>
      <c r="AK1672">
        <v>98.359248515029194</v>
      </c>
      <c r="AL1672">
        <v>77.740312038926405</v>
      </c>
      <c r="AM1672">
        <v>87.497830008166304</v>
      </c>
      <c r="AN1672">
        <v>0.999999971643458</v>
      </c>
    </row>
    <row r="1673" spans="1:40" x14ac:dyDescent="0.25">
      <c r="A1673" t="str">
        <f>"20190303171011778"</f>
        <v>20190303171011778</v>
      </c>
      <c r="B1673" t="str">
        <f>"1551604211772583"</f>
        <v>1551604211772583</v>
      </c>
      <c r="C1673" t="s">
        <v>40</v>
      </c>
      <c r="D1673">
        <v>4.7242860000000002</v>
      </c>
      <c r="E1673">
        <v>0.47419800000000001</v>
      </c>
      <c r="F1673" t="s">
        <v>60</v>
      </c>
      <c r="G1673">
        <v>-418.57049999999998</v>
      </c>
      <c r="H1673" s="1">
        <v>4.1589379999999999E-6</v>
      </c>
      <c r="I1673">
        <v>279.66419999999999</v>
      </c>
      <c r="J1673">
        <v>-316.3639</v>
      </c>
      <c r="K1673">
        <v>1.120252</v>
      </c>
      <c r="L1673">
        <v>284.18759999999997</v>
      </c>
      <c r="M1673">
        <v>-0.99994700000000003</v>
      </c>
      <c r="N1673">
        <v>-7.4467209999999999E-3</v>
      </c>
      <c r="O1673">
        <v>-7.132724E-3</v>
      </c>
      <c r="P1673">
        <v>-0.97814639999999997</v>
      </c>
      <c r="Q1673">
        <v>0.20477519999999999</v>
      </c>
      <c r="R1673">
        <v>3.6009579999999999E-2</v>
      </c>
      <c r="S1673">
        <v>-3.079285</v>
      </c>
      <c r="T1673">
        <v>-3.3663869999999999E-2</v>
      </c>
      <c r="U1673">
        <v>-0.13598629999999901</v>
      </c>
      <c r="V1673">
        <v>4.2721719999999998E-2</v>
      </c>
      <c r="W1673">
        <v>0.21210480000000001</v>
      </c>
      <c r="X1673">
        <v>0.97631259999999997</v>
      </c>
      <c r="Y1673">
        <v>-3.6987899999999997E-2</v>
      </c>
      <c r="Z1673">
        <v>-3.1503180000000002E-4</v>
      </c>
      <c r="AA1673">
        <v>0.99931570000000003</v>
      </c>
      <c r="AB1673">
        <v>51</v>
      </c>
      <c r="AC1673">
        <v>-102.206599999999</v>
      </c>
      <c r="AD1673">
        <v>-1.120247841062</v>
      </c>
      <c r="AE1673">
        <v>-4.5233999999999801</v>
      </c>
      <c r="AF1673">
        <v>-3.7937984869773298</v>
      </c>
      <c r="AG1673">
        <v>-1.120247841062</v>
      </c>
      <c r="AH1673">
        <v>102.22400826149401</v>
      </c>
      <c r="AI1673">
        <v>90.627433352318704</v>
      </c>
      <c r="AJ1673">
        <v>92.125419757228698</v>
      </c>
      <c r="AK1673">
        <v>102.30051674958</v>
      </c>
      <c r="AL1673">
        <v>77.754271795221797</v>
      </c>
      <c r="AM1673">
        <v>87.494435980069696</v>
      </c>
      <c r="AN1673">
        <v>0.99999994223077704</v>
      </c>
    </row>
    <row r="1674" spans="1:40" x14ac:dyDescent="0.25">
      <c r="A1674" t="str">
        <f>"20190303171011790"</f>
        <v>20190303171011790</v>
      </c>
      <c r="B1674" t="str">
        <f>"1551604211782343"</f>
        <v>1551604211782343</v>
      </c>
      <c r="C1674" t="s">
        <v>40</v>
      </c>
      <c r="D1674">
        <v>4.7398689999999997</v>
      </c>
      <c r="E1674">
        <v>0.47409859999999998</v>
      </c>
      <c r="F1674" t="s">
        <v>60</v>
      </c>
      <c r="G1674">
        <v>-417.76</v>
      </c>
      <c r="H1674" s="1">
        <v>4.01848E-6</v>
      </c>
      <c r="I1674">
        <v>279.62639999999999</v>
      </c>
      <c r="J1674">
        <v>-316.65159999999997</v>
      </c>
      <c r="K1674">
        <v>1.120252</v>
      </c>
      <c r="L1674">
        <v>284.18549999999999</v>
      </c>
      <c r="M1674">
        <v>-0.99994499999999997</v>
      </c>
      <c r="N1674">
        <v>-7.4961159999999997E-3</v>
      </c>
      <c r="O1674">
        <v>-7.3398600000000001E-3</v>
      </c>
      <c r="P1674">
        <v>-0.97817619999999905</v>
      </c>
      <c r="Q1674">
        <v>0.2046036</v>
      </c>
      <c r="R1674">
        <v>3.6180339999999998E-2</v>
      </c>
      <c r="S1674">
        <v>-3.079285</v>
      </c>
      <c r="T1674">
        <v>-3.4020660000000001E-2</v>
      </c>
      <c r="U1674">
        <v>-0.13851930000000001</v>
      </c>
      <c r="V1674">
        <v>4.3096410000000002E-2</v>
      </c>
      <c r="W1674">
        <v>0.21198220000000001</v>
      </c>
      <c r="X1674">
        <v>0.97632280000000005</v>
      </c>
      <c r="Y1674">
        <v>-3.7601139999999998E-2</v>
      </c>
      <c r="Z1674">
        <v>-3.225638E-4</v>
      </c>
      <c r="AA1674">
        <v>0.99929279999999998</v>
      </c>
      <c r="AB1674">
        <v>51</v>
      </c>
      <c r="AC1674">
        <v>-101.1084</v>
      </c>
      <c r="AD1674">
        <v>-1.1202479815199999</v>
      </c>
      <c r="AE1674">
        <v>-4.5590999999999999</v>
      </c>
      <c r="AF1674">
        <v>-3.8163673137298399</v>
      </c>
      <c r="AG1674">
        <v>-1.1202479815199999</v>
      </c>
      <c r="AH1674">
        <v>101.12675132711</v>
      </c>
      <c r="AI1674">
        <v>90.634225893468198</v>
      </c>
      <c r="AJ1674">
        <v>92.161228562528805</v>
      </c>
      <c r="AK1674">
        <v>101.204937868607</v>
      </c>
      <c r="AL1674">
        <v>77.761460200728195</v>
      </c>
      <c r="AM1674">
        <v>87.472515726026998</v>
      </c>
      <c r="AN1674">
        <v>0.99999998173578297</v>
      </c>
    </row>
    <row r="1675" spans="1:40" x14ac:dyDescent="0.25">
      <c r="A1675" t="str">
        <f>"20190303171011813"</f>
        <v>20190303171011813</v>
      </c>
      <c r="B1675" t="str">
        <f>"1551604211801864"</f>
        <v>1551604211801864</v>
      </c>
      <c r="C1675" t="s">
        <v>40</v>
      </c>
      <c r="D1675">
        <v>4.8531139999999997</v>
      </c>
      <c r="E1675">
        <v>0.4739834</v>
      </c>
      <c r="F1675" t="s">
        <v>60</v>
      </c>
      <c r="G1675">
        <v>-417.1617</v>
      </c>
      <c r="H1675" s="1">
        <v>3.9099189999999999E-6</v>
      </c>
      <c r="I1675">
        <v>279.6542</v>
      </c>
      <c r="J1675">
        <v>-317.17529999999999</v>
      </c>
      <c r="K1675">
        <v>1.120258</v>
      </c>
      <c r="L1675">
        <v>284.18150000000003</v>
      </c>
      <c r="M1675">
        <v>-0.99994150000000004</v>
      </c>
      <c r="N1675">
        <v>-7.5852979999999999E-3</v>
      </c>
      <c r="O1675">
        <v>-7.710331E-3</v>
      </c>
      <c r="P1675">
        <v>-0.97824800000000001</v>
      </c>
      <c r="Q1675">
        <v>0.20422870000000001</v>
      </c>
      <c r="R1675">
        <v>3.6356800000000002E-2</v>
      </c>
      <c r="S1675">
        <v>-3.0792540000000002</v>
      </c>
      <c r="T1675">
        <v>-3.4320240000000002E-2</v>
      </c>
      <c r="U1675">
        <v>-0.13882449999999999</v>
      </c>
      <c r="V1675">
        <v>4.3638990000000003E-2</v>
      </c>
      <c r="W1675">
        <v>0.21169470000000001</v>
      </c>
      <c r="X1675">
        <v>0.97636109999999998</v>
      </c>
      <c r="Y1675">
        <v>-3.7330139999999998E-2</v>
      </c>
      <c r="Z1675">
        <v>-3.221562E-4</v>
      </c>
      <c r="AA1675">
        <v>0.99930289999999999</v>
      </c>
      <c r="AB1675">
        <v>51</v>
      </c>
      <c r="AC1675">
        <v>-99.986400000000003</v>
      </c>
      <c r="AD1675">
        <v>-1.1202540900810001</v>
      </c>
      <c r="AE1675">
        <v>-4.5273000000000199</v>
      </c>
      <c r="AF1675">
        <v>-3.7557444971707401</v>
      </c>
      <c r="AG1675">
        <v>-1.1202540900810001</v>
      </c>
      <c r="AH1675">
        <v>100.00580756454301</v>
      </c>
      <c r="AI1675">
        <v>90.641342118943101</v>
      </c>
      <c r="AJ1675">
        <v>92.150747364960395</v>
      </c>
      <c r="AK1675">
        <v>100.082576568505</v>
      </c>
      <c r="AL1675">
        <v>77.778315526591697</v>
      </c>
      <c r="AM1675">
        <v>87.4408372278439</v>
      </c>
      <c r="AN1675">
        <v>1.00000000252476</v>
      </c>
    </row>
    <row r="1676" spans="1:40" x14ac:dyDescent="0.25">
      <c r="A1676" t="str">
        <f>"20190303171011834"</f>
        <v>20190303171011834</v>
      </c>
      <c r="B1676" t="str">
        <f>"1551604211822359"</f>
        <v>1551604211822359</v>
      </c>
      <c r="C1676" t="s">
        <v>40</v>
      </c>
      <c r="D1676">
        <v>4.7773000000000003</v>
      </c>
      <c r="E1676">
        <v>0.47409010000000001</v>
      </c>
      <c r="F1676" t="s">
        <v>60</v>
      </c>
      <c r="G1676">
        <v>-415.37979999999999</v>
      </c>
      <c r="H1676" s="1">
        <v>3.5868959999999998E-6</v>
      </c>
      <c r="I1676">
        <v>279.73360000000002</v>
      </c>
      <c r="J1676">
        <v>-317.65449999999998</v>
      </c>
      <c r="K1676">
        <v>1.120255</v>
      </c>
      <c r="L1676">
        <v>284.17770000000002</v>
      </c>
      <c r="M1676">
        <v>-0.99993840000000001</v>
      </c>
      <c r="N1676">
        <v>-7.6657230000000002E-3</v>
      </c>
      <c r="O1676">
        <v>-8.0380680000000006E-3</v>
      </c>
      <c r="P1676">
        <v>-0.97830890000000004</v>
      </c>
      <c r="Q1676">
        <v>0.20386950000000001</v>
      </c>
      <c r="R1676">
        <v>3.6730190000000003E-2</v>
      </c>
      <c r="S1676">
        <v>-3.0791930000000001</v>
      </c>
      <c r="T1676">
        <v>-3.5125490000000002E-2</v>
      </c>
      <c r="U1676">
        <v>-0.13946529999999999</v>
      </c>
      <c r="V1676">
        <v>4.4337340000000003E-2</v>
      </c>
      <c r="W1676">
        <v>0.21141409999999999</v>
      </c>
      <c r="X1676">
        <v>0.97639039999999999</v>
      </c>
      <c r="Y1676">
        <v>-3.7210920000000001E-2</v>
      </c>
      <c r="Z1676">
        <v>-3.247821E-4</v>
      </c>
      <c r="AA1676">
        <v>0.99930739999999996</v>
      </c>
      <c r="AB1676">
        <v>51</v>
      </c>
      <c r="AC1676">
        <v>-97.725300000000004</v>
      </c>
      <c r="AD1676">
        <v>-1.120251413104</v>
      </c>
      <c r="AE1676">
        <v>-4.4440999999999899</v>
      </c>
      <c r="AF1676">
        <v>-3.6579311194363302</v>
      </c>
      <c r="AG1676">
        <v>-1.120251413104</v>
      </c>
      <c r="AH1676">
        <v>97.745047915442498</v>
      </c>
      <c r="AI1676">
        <v>90.656176209522201</v>
      </c>
      <c r="AJ1676">
        <v>92.143190484312399</v>
      </c>
      <c r="AK1676">
        <v>97.819884559813502</v>
      </c>
      <c r="AL1676">
        <v>77.794764600381797</v>
      </c>
      <c r="AM1676">
        <v>87.400016901664699</v>
      </c>
      <c r="AN1676">
        <v>0.99999996730462204</v>
      </c>
    </row>
    <row r="1677" spans="1:40" x14ac:dyDescent="0.25">
      <c r="A1677" t="str">
        <f>"20190303171011846"</f>
        <v>20190303171011846</v>
      </c>
      <c r="B1677" t="str">
        <f>"1551604211832119"</f>
        <v>1551604211832119</v>
      </c>
      <c r="C1677" t="s">
        <v>40</v>
      </c>
      <c r="D1677">
        <v>4.7857050000000001</v>
      </c>
      <c r="E1677">
        <v>0.50234840000000003</v>
      </c>
      <c r="F1677" t="s">
        <v>60</v>
      </c>
      <c r="G1677">
        <v>-412.98509999999999</v>
      </c>
      <c r="H1677" s="1">
        <v>3.1448789999999998E-6</v>
      </c>
      <c r="I1677">
        <v>279.93079999999998</v>
      </c>
      <c r="J1677">
        <v>-317.94959999999998</v>
      </c>
      <c r="K1677">
        <v>1.1202510000000001</v>
      </c>
      <c r="L1677">
        <v>284.17529999999999</v>
      </c>
      <c r="M1677">
        <v>-0.99993650000000001</v>
      </c>
      <c r="N1677">
        <v>-7.7166830000000002E-3</v>
      </c>
      <c r="O1677">
        <v>-8.2309840000000002E-3</v>
      </c>
      <c r="P1677">
        <v>-0.97833360000000003</v>
      </c>
      <c r="Q1677">
        <v>0.20374249999999999</v>
      </c>
      <c r="R1677">
        <v>3.6780390000000003E-2</v>
      </c>
      <c r="S1677">
        <v>-3.0791930000000001</v>
      </c>
      <c r="T1677">
        <v>-3.6184309999999997E-2</v>
      </c>
      <c r="U1677">
        <v>-0.13717650000000001</v>
      </c>
      <c r="V1677">
        <v>4.4579969999999997E-2</v>
      </c>
      <c r="W1677">
        <v>0.2113363</v>
      </c>
      <c r="X1677">
        <v>0.97639620000000005</v>
      </c>
      <c r="Y1677">
        <v>-3.6276700000000002E-2</v>
      </c>
      <c r="Z1677">
        <v>-3.1990270000000002E-4</v>
      </c>
      <c r="AA1677">
        <v>0.9993417</v>
      </c>
      <c r="AB1677">
        <v>52</v>
      </c>
      <c r="AC1677">
        <v>-95.035499999999999</v>
      </c>
      <c r="AD1677">
        <v>-1.120247855121</v>
      </c>
      <c r="AE1677">
        <v>-4.2445000000000102</v>
      </c>
      <c r="AF1677">
        <v>-3.4616173231102301</v>
      </c>
      <c r="AG1677">
        <v>-1.120247855121</v>
      </c>
      <c r="AH1677">
        <v>95.054036513355101</v>
      </c>
      <c r="AI1677">
        <v>90.674773960634298</v>
      </c>
      <c r="AJ1677">
        <v>92.0856395005395</v>
      </c>
      <c r="AK1677">
        <v>95.123643786551895</v>
      </c>
      <c r="AL1677">
        <v>77.799325323421996</v>
      </c>
      <c r="AM1677">
        <v>87.385824043166494</v>
      </c>
      <c r="AN1677">
        <v>0.999999972398665</v>
      </c>
    </row>
    <row r="1678" spans="1:40" x14ac:dyDescent="0.25">
      <c r="A1678" t="str">
        <f>"20190303171011859"</f>
        <v>20190303171011859</v>
      </c>
      <c r="B1678" t="str">
        <f>"1551604211852615"</f>
        <v>1551604211852615</v>
      </c>
      <c r="C1678" t="s">
        <v>40</v>
      </c>
      <c r="D1678">
        <v>4.9032970000000002</v>
      </c>
      <c r="E1678">
        <v>0.50430940000000002</v>
      </c>
      <c r="F1678" t="s">
        <v>53</v>
      </c>
      <c r="G1678">
        <v>-458.13290000000001</v>
      </c>
      <c r="H1678" s="1">
        <v>2.631917E-6</v>
      </c>
      <c r="I1678">
        <v>288.2593</v>
      </c>
      <c r="J1678">
        <v>-318.24689999999998</v>
      </c>
      <c r="K1678">
        <v>1.1202479999999999</v>
      </c>
      <c r="L1678">
        <v>284.1728</v>
      </c>
      <c r="M1678">
        <v>-0.9999344</v>
      </c>
      <c r="N1678">
        <v>-7.7690850000000002E-3</v>
      </c>
      <c r="O1678">
        <v>-8.4207969999999903E-3</v>
      </c>
      <c r="P1678">
        <v>-0.97834949999999998</v>
      </c>
      <c r="Q1678">
        <v>0.2036068</v>
      </c>
      <c r="R1678">
        <v>3.7104730000000002E-2</v>
      </c>
      <c r="S1678">
        <v>-3.0681759999999998</v>
      </c>
      <c r="T1678">
        <v>-2.4518729999999999E-2</v>
      </c>
      <c r="U1678">
        <v>8.9385989999999999E-2</v>
      </c>
      <c r="V1678">
        <v>4.509382E-2</v>
      </c>
      <c r="W1678">
        <v>0.211252</v>
      </c>
      <c r="X1678">
        <v>0.97639089999999995</v>
      </c>
      <c r="Y1678">
        <v>3.7534989999999997E-2</v>
      </c>
      <c r="Z1678">
        <v>2.9765830000000001E-4</v>
      </c>
      <c r="AA1678">
        <v>0.9992953</v>
      </c>
      <c r="AB1678">
        <v>52</v>
      </c>
      <c r="AC1678">
        <v>-139.886</v>
      </c>
      <c r="AD1678">
        <v>-1.120245368083</v>
      </c>
      <c r="AE1678">
        <v>4.0865</v>
      </c>
      <c r="AF1678">
        <v>5.2640049142132304</v>
      </c>
      <c r="AG1678">
        <v>-1.120245368083</v>
      </c>
      <c r="AH1678">
        <v>139.83766685827601</v>
      </c>
      <c r="AI1678">
        <v>90.458664209789603</v>
      </c>
      <c r="AJ1678">
        <v>87.844193701462501</v>
      </c>
      <c r="AK1678">
        <v>139.94119397013799</v>
      </c>
      <c r="AL1678">
        <v>77.804267576304397</v>
      </c>
      <c r="AM1678">
        <v>87.355719995933399</v>
      </c>
      <c r="AN1678">
        <v>1.0000000248545</v>
      </c>
    </row>
    <row r="1679" spans="1:40" x14ac:dyDescent="0.25">
      <c r="A1679" t="str">
        <f>"20190303171011871"</f>
        <v>20190303171011871</v>
      </c>
      <c r="B1679" t="str">
        <f>"1551604211862376"</f>
        <v>1551604211862376</v>
      </c>
      <c r="C1679" t="s">
        <v>40</v>
      </c>
      <c r="D1679">
        <v>4.9037739999999896</v>
      </c>
      <c r="E1679">
        <v>0.50481529999999997</v>
      </c>
      <c r="F1679" t="s">
        <v>53</v>
      </c>
      <c r="G1679">
        <v>-458.74619999999999</v>
      </c>
      <c r="H1679" s="1">
        <v>2.9246820000000001E-6</v>
      </c>
      <c r="I1679">
        <v>289.02730000000003</v>
      </c>
      <c r="J1679">
        <v>-318.52809999999999</v>
      </c>
      <c r="K1679">
        <v>1.1202430000000001</v>
      </c>
      <c r="L1679">
        <v>284.17039999999997</v>
      </c>
      <c r="M1679">
        <v>-0.9999325</v>
      </c>
      <c r="N1679">
        <v>-7.8205840000000002E-3</v>
      </c>
      <c r="O1679">
        <v>-8.5922299999999993E-3</v>
      </c>
      <c r="P1679">
        <v>-0.97840800000000006</v>
      </c>
      <c r="Q1679">
        <v>0.2033305</v>
      </c>
      <c r="R1679">
        <v>3.7073509999999997E-2</v>
      </c>
      <c r="S1679">
        <v>-3.0674739999999998</v>
      </c>
      <c r="T1679">
        <v>-2.4457929999999999E-2</v>
      </c>
      <c r="U1679">
        <v>0.1059875</v>
      </c>
      <c r="V1679">
        <v>4.5235450000000003E-2</v>
      </c>
      <c r="W1679">
        <v>0.21102589999999999</v>
      </c>
      <c r="X1679">
        <v>0.9764332</v>
      </c>
      <c r="Y1679">
        <v>4.311483E-2</v>
      </c>
      <c r="Z1679">
        <v>3.4179339999999999E-4</v>
      </c>
      <c r="AA1679">
        <v>0.99907000000000001</v>
      </c>
      <c r="AB1679">
        <v>52</v>
      </c>
      <c r="AC1679">
        <v>-140.21809999999999</v>
      </c>
      <c r="AD1679">
        <v>-1.120240075318</v>
      </c>
      <c r="AE1679">
        <v>4.8569000000000502</v>
      </c>
      <c r="AF1679">
        <v>6.0611573063730297</v>
      </c>
      <c r="AG1679">
        <v>-1.120240075318</v>
      </c>
      <c r="AH1679">
        <v>140.16225519614099</v>
      </c>
      <c r="AI1679">
        <v>90.457496459864302</v>
      </c>
      <c r="AJ1679">
        <v>87.523851905605497</v>
      </c>
      <c r="AK1679">
        <v>140.29772039269599</v>
      </c>
      <c r="AL1679">
        <v>77.817520444628798</v>
      </c>
      <c r="AM1679">
        <v>87.347541471886203</v>
      </c>
      <c r="AN1679">
        <v>0.99999998523487599</v>
      </c>
    </row>
    <row r="1680" spans="1:40" x14ac:dyDescent="0.25">
      <c r="A1680" t="str">
        <f>"20190303171011882"</f>
        <v>20190303171011882</v>
      </c>
      <c r="B1680" t="str">
        <f>"1551604211872135"</f>
        <v>1551604211872135</v>
      </c>
      <c r="C1680" t="s">
        <v>40</v>
      </c>
      <c r="D1680">
        <v>4.8438759999999998</v>
      </c>
      <c r="E1680">
        <v>0.50510109999999997</v>
      </c>
      <c r="F1680" t="s">
        <v>53</v>
      </c>
      <c r="G1680">
        <v>-463.9479</v>
      </c>
      <c r="H1680" s="1">
        <v>3.55135099999999E-7</v>
      </c>
      <c r="I1680">
        <v>289.39690000000002</v>
      </c>
      <c r="J1680">
        <v>-318.78829999999999</v>
      </c>
      <c r="K1680">
        <v>1.120234</v>
      </c>
      <c r="L1680">
        <v>284.16820000000001</v>
      </c>
      <c r="M1680">
        <v>-0.99993089999999996</v>
      </c>
      <c r="N1680">
        <v>-7.8678480000000002E-3</v>
      </c>
      <c r="O1680">
        <v>-8.7443299999999998E-3</v>
      </c>
      <c r="P1680">
        <v>-0.97838060000000004</v>
      </c>
      <c r="Q1680">
        <v>0.20345730000000001</v>
      </c>
      <c r="R1680">
        <v>3.7108500000000003E-2</v>
      </c>
      <c r="S1680">
        <v>-3.0669559999999998</v>
      </c>
      <c r="T1680">
        <v>-2.3626330000000001E-2</v>
      </c>
      <c r="U1680">
        <v>0.11022949999999999</v>
      </c>
      <c r="V1680">
        <v>4.5423789999999999E-2</v>
      </c>
      <c r="W1680">
        <v>0.21119740000000001</v>
      </c>
      <c r="X1680">
        <v>0.97638740000000002</v>
      </c>
      <c r="Y1680">
        <v>4.4652740000000003E-2</v>
      </c>
      <c r="Z1680">
        <v>3.4622389999999998E-4</v>
      </c>
      <c r="AA1680">
        <v>0.99900250000000002</v>
      </c>
      <c r="AB1680">
        <v>52</v>
      </c>
      <c r="AC1680">
        <v>-145.15960000000001</v>
      </c>
      <c r="AD1680">
        <v>-1.1202336448649</v>
      </c>
      <c r="AE1680">
        <v>5.2286999999999999</v>
      </c>
      <c r="AF1680">
        <v>6.4974762453260304</v>
      </c>
      <c r="AG1680">
        <v>-1.1202336448649</v>
      </c>
      <c r="AH1680">
        <v>145.09969660671101</v>
      </c>
      <c r="AI1680">
        <v>90.441897090848499</v>
      </c>
      <c r="AJ1680">
        <v>87.436042637293994</v>
      </c>
      <c r="AK1680">
        <v>145.24942022719799</v>
      </c>
      <c r="AL1680">
        <v>77.807467938026704</v>
      </c>
      <c r="AM1680">
        <v>87.336388944192294</v>
      </c>
      <c r="AN1680">
        <v>1.00000000867174</v>
      </c>
    </row>
    <row r="1681" spans="1:40" x14ac:dyDescent="0.25">
      <c r="A1681" t="str">
        <f>"20190303171011894"</f>
        <v>20190303171011894</v>
      </c>
      <c r="B1681" t="str">
        <f>"1551604211881895"</f>
        <v>1551604211881895</v>
      </c>
      <c r="C1681" t="s">
        <v>40</v>
      </c>
      <c r="D1681">
        <v>4.9034849999999999</v>
      </c>
      <c r="E1681">
        <v>0.50533589999999995</v>
      </c>
      <c r="F1681" t="s">
        <v>53</v>
      </c>
      <c r="G1681">
        <v>-463.37380000000002</v>
      </c>
      <c r="H1681" s="1">
        <v>4.5722869999999997E-8</v>
      </c>
      <c r="I1681">
        <v>289.48559999999998</v>
      </c>
      <c r="J1681">
        <v>-319.06950000000001</v>
      </c>
      <c r="K1681">
        <v>1.1202259999999999</v>
      </c>
      <c r="L1681">
        <v>284.16559999999998</v>
      </c>
      <c r="M1681">
        <v>-0.99992910000000002</v>
      </c>
      <c r="N1681">
        <v>-7.9186989999999995E-3</v>
      </c>
      <c r="O1681">
        <v>-8.9038209999999993E-3</v>
      </c>
      <c r="P1681">
        <v>-0.97840190000000005</v>
      </c>
      <c r="Q1681">
        <v>0.2034106</v>
      </c>
      <c r="R1681">
        <v>3.6801649999999998E-2</v>
      </c>
      <c r="S1681">
        <v>-3.0669249999999999</v>
      </c>
      <c r="T1681">
        <v>-2.3762229999999999E-2</v>
      </c>
      <c r="U1681">
        <v>0.112793</v>
      </c>
      <c r="V1681">
        <v>4.527842E-2</v>
      </c>
      <c r="W1681">
        <v>0.21119930000000001</v>
      </c>
      <c r="X1681">
        <v>0.97639379999999998</v>
      </c>
      <c r="Y1681">
        <v>4.5646239999999998E-2</v>
      </c>
      <c r="Z1681">
        <v>3.5604949999999902E-4</v>
      </c>
      <c r="AA1681">
        <v>0.9989576</v>
      </c>
      <c r="AB1681">
        <v>52</v>
      </c>
      <c r="AC1681">
        <v>-144.30430000000001</v>
      </c>
      <c r="AD1681">
        <v>-1.12022595427713</v>
      </c>
      <c r="AE1681">
        <v>5.3199999999999896</v>
      </c>
      <c r="AF1681">
        <v>6.6042914684219802</v>
      </c>
      <c r="AG1681">
        <v>-1.12022595427713</v>
      </c>
      <c r="AH1681">
        <v>144.242528911763</v>
      </c>
      <c r="AI1681">
        <v>90.444499707702207</v>
      </c>
      <c r="AJ1681">
        <v>87.378485088277998</v>
      </c>
      <c r="AK1681">
        <v>144.39798723960601</v>
      </c>
      <c r="AL1681">
        <v>77.807357275491896</v>
      </c>
      <c r="AM1681">
        <v>87.344918473698499</v>
      </c>
      <c r="AN1681">
        <v>1.0000000661583099</v>
      </c>
    </row>
    <row r="1682" spans="1:40" x14ac:dyDescent="0.25">
      <c r="A1682" t="str">
        <f>"20190303171011912"</f>
        <v>20190303171011912</v>
      </c>
      <c r="B1682" t="str">
        <f>"1551604211902395"</f>
        <v>1551604211902395</v>
      </c>
      <c r="C1682" t="s">
        <v>40</v>
      </c>
      <c r="D1682">
        <v>4.8992459999999998</v>
      </c>
      <c r="E1682">
        <v>0.50561299999999998</v>
      </c>
      <c r="F1682" t="s">
        <v>53</v>
      </c>
      <c r="G1682">
        <v>-466.1481</v>
      </c>
      <c r="H1682">
        <v>4.1590769999999999E-2</v>
      </c>
      <c r="I1682">
        <v>289.61630000000002</v>
      </c>
      <c r="J1682">
        <v>-319.4579</v>
      </c>
      <c r="K1682">
        <v>1.120215</v>
      </c>
      <c r="L1682">
        <v>284.16210000000001</v>
      </c>
      <c r="M1682">
        <v>-0.99992669999999995</v>
      </c>
      <c r="N1682">
        <v>-7.9921850000000006E-3</v>
      </c>
      <c r="O1682">
        <v>-9.1060110000000007E-3</v>
      </c>
      <c r="P1682">
        <v>-0.97847150000000005</v>
      </c>
      <c r="Q1682">
        <v>0.20321049999999999</v>
      </c>
      <c r="R1682">
        <v>3.604487E-2</v>
      </c>
      <c r="S1682">
        <v>-3.066589</v>
      </c>
      <c r="T1682">
        <v>-2.2489550000000001E-2</v>
      </c>
      <c r="U1682">
        <v>0.113647499999999</v>
      </c>
      <c r="V1682">
        <v>4.4729270000000002E-2</v>
      </c>
      <c r="W1682">
        <v>0.2110688</v>
      </c>
      <c r="X1682">
        <v>0.97644730000000002</v>
      </c>
      <c r="Y1682">
        <v>4.613039E-2</v>
      </c>
      <c r="Z1682">
        <v>3.475148E-4</v>
      </c>
      <c r="AA1682">
        <v>0.99893529999999997</v>
      </c>
      <c r="AB1682">
        <v>52</v>
      </c>
      <c r="AC1682">
        <v>-146.6902</v>
      </c>
      <c r="AD1682">
        <v>-1.07862423</v>
      </c>
      <c r="AE1682">
        <v>5.4542000000000099</v>
      </c>
      <c r="AF1682">
        <v>6.7894123742809303</v>
      </c>
      <c r="AG1682">
        <v>-1.07862423</v>
      </c>
      <c r="AH1682">
        <v>146.62653334669901</v>
      </c>
      <c r="AI1682">
        <v>90.421024471966106</v>
      </c>
      <c r="AJ1682">
        <v>87.348863096439203</v>
      </c>
      <c r="AK1682">
        <v>146.787601083635</v>
      </c>
      <c r="AL1682">
        <v>77.815006466117495</v>
      </c>
      <c r="AM1682">
        <v>87.377218347999303</v>
      </c>
      <c r="AN1682">
        <v>1.0000000378027301</v>
      </c>
    </row>
    <row r="1683" spans="1:40" x14ac:dyDescent="0.25">
      <c r="A1683" t="str">
        <f>"20190303171011923"</f>
        <v>20190303171011923</v>
      </c>
      <c r="B1683" t="str">
        <f>"1551604211912152"</f>
        <v>1551604211912152</v>
      </c>
      <c r="C1683" t="s">
        <v>40</v>
      </c>
      <c r="D1683">
        <v>4.9000180000000002</v>
      </c>
      <c r="E1683">
        <v>0.50578059999999903</v>
      </c>
      <c r="F1683" t="s">
        <v>53</v>
      </c>
      <c r="G1683">
        <v>-465.887</v>
      </c>
      <c r="H1683" s="1">
        <v>1.378461E-6</v>
      </c>
      <c r="I1683">
        <v>289.59289999999999</v>
      </c>
      <c r="J1683">
        <v>-319.73149999999998</v>
      </c>
      <c r="K1683">
        <v>1.120209</v>
      </c>
      <c r="L1683">
        <v>284.15960000000001</v>
      </c>
      <c r="M1683">
        <v>-0.99992499999999995</v>
      </c>
      <c r="N1683">
        <v>-8.0483499999999993E-3</v>
      </c>
      <c r="O1683">
        <v>-9.2381919999999992E-3</v>
      </c>
      <c r="P1683">
        <v>-0.97850919999999997</v>
      </c>
      <c r="Q1683">
        <v>0.2031009</v>
      </c>
      <c r="R1683">
        <v>3.56338E-2</v>
      </c>
      <c r="S1683">
        <v>-3.0667110000000002</v>
      </c>
      <c r="T1683">
        <v>-2.3460979999999999E-2</v>
      </c>
      <c r="U1683">
        <v>0.11373900000000001</v>
      </c>
      <c r="V1683">
        <v>4.4455040000000001E-2</v>
      </c>
      <c r="W1683">
        <v>0.2110129</v>
      </c>
      <c r="X1683">
        <v>0.97647189999999995</v>
      </c>
      <c r="Y1683">
        <v>4.6290570000000003E-2</v>
      </c>
      <c r="Z1683">
        <v>3.596823E-4</v>
      </c>
      <c r="AA1683">
        <v>0.99892800000000004</v>
      </c>
      <c r="AB1683">
        <v>52</v>
      </c>
      <c r="AC1683">
        <v>-146.15549999999899</v>
      </c>
      <c r="AD1683">
        <v>-1.120207621539</v>
      </c>
      <c r="AE1683">
        <v>5.4332999999999698</v>
      </c>
      <c r="AF1683">
        <v>6.7829264392075803</v>
      </c>
      <c r="AG1683">
        <v>-1.120207621539</v>
      </c>
      <c r="AH1683">
        <v>146.090497051163</v>
      </c>
      <c r="AI1683">
        <v>90.438857063775401</v>
      </c>
      <c r="AJ1683">
        <v>87.341687747119394</v>
      </c>
      <c r="AK1683">
        <v>146.25216676976501</v>
      </c>
      <c r="AL1683">
        <v>77.818283039699097</v>
      </c>
      <c r="AM1683">
        <v>87.393341651872205</v>
      </c>
      <c r="AN1683">
        <v>1.00000003301871</v>
      </c>
    </row>
    <row r="1684" spans="1:40" x14ac:dyDescent="0.25">
      <c r="A1684" t="str">
        <f>"20190303171011937"</f>
        <v>20190303171011937</v>
      </c>
      <c r="B1684" t="str">
        <f>"1551604211932648"</f>
        <v>1551604211932648</v>
      </c>
      <c r="C1684" t="s">
        <v>40</v>
      </c>
      <c r="D1684">
        <v>4.9006550000000004</v>
      </c>
      <c r="E1684">
        <v>0.50587369999999998</v>
      </c>
      <c r="F1684" t="s">
        <v>53</v>
      </c>
      <c r="G1684">
        <v>-466.4178</v>
      </c>
      <c r="H1684" s="1">
        <v>1.6603800000000001E-6</v>
      </c>
      <c r="I1684">
        <v>289.60449999999997</v>
      </c>
      <c r="J1684">
        <v>-320.0376</v>
      </c>
      <c r="K1684">
        <v>1.1202000000000001</v>
      </c>
      <c r="L1684">
        <v>284.1567</v>
      </c>
      <c r="M1684">
        <v>-0.99992309999999995</v>
      </c>
      <c r="N1684">
        <v>-8.1142550000000008E-3</v>
      </c>
      <c r="O1684">
        <v>-9.3795679999999996E-3</v>
      </c>
      <c r="P1684">
        <v>-0.97852870000000003</v>
      </c>
      <c r="Q1684">
        <v>0.20304929999999999</v>
      </c>
      <c r="R1684">
        <v>3.5398390000000002E-2</v>
      </c>
      <c r="S1684">
        <v>-3.0666199999999999</v>
      </c>
      <c r="T1684">
        <v>-2.3419019999999999E-2</v>
      </c>
      <c r="U1684">
        <v>0.1138306</v>
      </c>
      <c r="V1684">
        <v>4.4366740000000002E-2</v>
      </c>
      <c r="W1684">
        <v>0.21102360000000001</v>
      </c>
      <c r="X1684">
        <v>0.97647360000000005</v>
      </c>
      <c r="Y1684">
        <v>4.6462679999999999E-2</v>
      </c>
      <c r="Z1684">
        <v>3.614523E-4</v>
      </c>
      <c r="AA1684">
        <v>0.99892000000000003</v>
      </c>
      <c r="AB1684">
        <v>52</v>
      </c>
      <c r="AC1684">
        <v>-146.3802</v>
      </c>
      <c r="AD1684">
        <v>-1.1201983396199999</v>
      </c>
      <c r="AE1684">
        <v>5.4477999999999698</v>
      </c>
      <c r="AF1684">
        <v>6.8201897056374001</v>
      </c>
      <c r="AG1684">
        <v>-1.1201983396199999</v>
      </c>
      <c r="AH1684">
        <v>146.31410397073799</v>
      </c>
      <c r="AI1684">
        <v>90.438179031916903</v>
      </c>
      <c r="AJ1684">
        <v>87.331183921376194</v>
      </c>
      <c r="AK1684">
        <v>146.47725711761899</v>
      </c>
      <c r="AL1684">
        <v>77.817655807627105</v>
      </c>
      <c r="AM1684">
        <v>87.398516598832302</v>
      </c>
      <c r="AN1684">
        <v>1.00000002943607</v>
      </c>
    </row>
    <row r="1685" spans="1:40" x14ac:dyDescent="0.25">
      <c r="A1685" t="str">
        <f>"20190303171011947"</f>
        <v>20190303171011947</v>
      </c>
      <c r="B1685" t="str">
        <f>"1551604211942409"</f>
        <v>1551604211942409</v>
      </c>
      <c r="C1685" t="s">
        <v>40</v>
      </c>
      <c r="D1685">
        <v>4.8360940000000001</v>
      </c>
      <c r="E1685">
        <v>0.50591339999999996</v>
      </c>
      <c r="F1685" t="s">
        <v>53</v>
      </c>
      <c r="G1685">
        <v>-466.8784</v>
      </c>
      <c r="H1685">
        <v>2.4342180000000001E-2</v>
      </c>
      <c r="I1685">
        <v>289.61630000000002</v>
      </c>
      <c r="J1685">
        <v>-320.28969999999998</v>
      </c>
      <c r="K1685">
        <v>1.120193</v>
      </c>
      <c r="L1685">
        <v>284.15429999999998</v>
      </c>
      <c r="M1685">
        <v>-0.99992170000000002</v>
      </c>
      <c r="N1685">
        <v>-8.1726719999999902E-3</v>
      </c>
      <c r="O1685">
        <v>-9.4820689999999992E-3</v>
      </c>
      <c r="P1685">
        <v>-0.9785277</v>
      </c>
      <c r="Q1685">
        <v>0.2031511</v>
      </c>
      <c r="R1685">
        <v>3.4834410000000003E-2</v>
      </c>
      <c r="S1685">
        <v>-3.0664669999999998</v>
      </c>
      <c r="T1685">
        <v>-2.2884729999999999E-2</v>
      </c>
      <c r="U1685">
        <v>0.1140137</v>
      </c>
      <c r="V1685">
        <v>4.3910419999999999E-2</v>
      </c>
      <c r="W1685">
        <v>0.21118020000000001</v>
      </c>
      <c r="X1685">
        <v>0.97646029999999995</v>
      </c>
      <c r="Y1685">
        <v>4.6626569999999999E-2</v>
      </c>
      <c r="Z1685">
        <v>3.578031E-4</v>
      </c>
      <c r="AA1685">
        <v>0.99891229999999998</v>
      </c>
      <c r="AB1685">
        <v>52</v>
      </c>
      <c r="AC1685">
        <v>-146.58869999999999</v>
      </c>
      <c r="AD1685">
        <v>-1.0958508199999999</v>
      </c>
      <c r="AE1685">
        <v>5.4620000000000397</v>
      </c>
      <c r="AF1685">
        <v>6.85138258508377</v>
      </c>
      <c r="AG1685">
        <v>-1.0958508199999999</v>
      </c>
      <c r="AH1685">
        <v>146.52213959455901</v>
      </c>
      <c r="AI1685">
        <v>90.428044048565098</v>
      </c>
      <c r="AJ1685">
        <v>87.322796581396503</v>
      </c>
      <c r="AK1685">
        <v>146.68633107319201</v>
      </c>
      <c r="AL1685">
        <v>77.808475559077095</v>
      </c>
      <c r="AM1685">
        <v>87.425202112246694</v>
      </c>
      <c r="AN1685">
        <v>0.99999995966635202</v>
      </c>
    </row>
    <row r="1686" spans="1:40" x14ac:dyDescent="0.25">
      <c r="A1686" t="str">
        <f>"20190303171011960"</f>
        <v>20190303171011960</v>
      </c>
      <c r="B1686" t="str">
        <f>"1551604211952168"</f>
        <v>1551604211952168</v>
      </c>
      <c r="C1686" t="s">
        <v>40</v>
      </c>
      <c r="D1686">
        <v>4.8956650000000002</v>
      </c>
      <c r="E1686">
        <v>0.50591309999999901</v>
      </c>
      <c r="F1686" t="s">
        <v>53</v>
      </c>
      <c r="G1686">
        <v>-469.34829999999999</v>
      </c>
      <c r="H1686">
        <v>3.6009680000000002E-2</v>
      </c>
      <c r="I1686">
        <v>289.61630000000002</v>
      </c>
      <c r="J1686">
        <v>-320.57679999999999</v>
      </c>
      <c r="K1686">
        <v>1.1201840000000001</v>
      </c>
      <c r="L1686">
        <v>284.15159999999997</v>
      </c>
      <c r="M1686">
        <v>-0.99992000000000003</v>
      </c>
      <c r="N1686">
        <v>-8.2396769999999904E-3</v>
      </c>
      <c r="O1686">
        <v>-9.5944800000000007E-3</v>
      </c>
      <c r="P1686">
        <v>-0.97850110000000001</v>
      </c>
      <c r="Q1686">
        <v>0.2033045</v>
      </c>
      <c r="R1686">
        <v>3.468479E-2</v>
      </c>
      <c r="S1686">
        <v>-3.0664669999999998</v>
      </c>
      <c r="T1686">
        <v>-2.2304060000000001E-2</v>
      </c>
      <c r="U1686">
        <v>0.1123657</v>
      </c>
      <c r="V1686">
        <v>4.38787E-2</v>
      </c>
      <c r="W1686">
        <v>0.21139740000000001</v>
      </c>
      <c r="X1686">
        <v>0.97641469999999997</v>
      </c>
      <c r="Y1686">
        <v>4.6202880000000002E-2</v>
      </c>
      <c r="Z1686">
        <v>3.4912730000000001E-4</v>
      </c>
      <c r="AA1686">
        <v>0.99893200000000004</v>
      </c>
      <c r="AB1686">
        <v>52</v>
      </c>
      <c r="AC1686">
        <v>-148.7715</v>
      </c>
      <c r="AD1686">
        <v>-1.08417432</v>
      </c>
      <c r="AE1686">
        <v>5.4647000000000503</v>
      </c>
      <c r="AF1686">
        <v>6.89151662449075</v>
      </c>
      <c r="AG1686">
        <v>-1.08417432</v>
      </c>
      <c r="AH1686">
        <v>148.704332405114</v>
      </c>
      <c r="AI1686">
        <v>90.417277119960701</v>
      </c>
      <c r="AJ1686">
        <v>87.346597156232207</v>
      </c>
      <c r="AK1686">
        <v>148.86788408314399</v>
      </c>
      <c r="AL1686">
        <v>77.795743149802405</v>
      </c>
      <c r="AM1686">
        <v>87.426939595177402</v>
      </c>
      <c r="AN1686">
        <v>0.99999993370826701</v>
      </c>
    </row>
    <row r="1687" spans="1:40" x14ac:dyDescent="0.25">
      <c r="A1687" t="str">
        <f>"20190303171011972"</f>
        <v>20190303171011972</v>
      </c>
      <c r="B1687" t="str">
        <f>"1551604211961927"</f>
        <v>1551604211961927</v>
      </c>
      <c r="C1687" t="s">
        <v>40</v>
      </c>
      <c r="D1687">
        <v>4.839378</v>
      </c>
      <c r="E1687">
        <v>0.50599320000000003</v>
      </c>
      <c r="F1687" t="s">
        <v>52</v>
      </c>
      <c r="G1687">
        <v>-470.44499999999999</v>
      </c>
      <c r="H1687">
        <v>3.230206E-2</v>
      </c>
      <c r="I1687">
        <v>289.61630000000002</v>
      </c>
      <c r="J1687">
        <v>-320.8809</v>
      </c>
      <c r="K1687">
        <v>1.1201749999999999</v>
      </c>
      <c r="L1687">
        <v>284.14870000000002</v>
      </c>
      <c r="M1687">
        <v>-0.99991839999999999</v>
      </c>
      <c r="N1687">
        <v>-8.3117119999999902E-3</v>
      </c>
      <c r="O1687">
        <v>-9.7026109999999999E-3</v>
      </c>
      <c r="P1687">
        <v>-0.97843999999999998</v>
      </c>
      <c r="Q1687">
        <v>0.20364930000000001</v>
      </c>
      <c r="R1687">
        <v>3.4377789999999998E-2</v>
      </c>
      <c r="S1687">
        <v>-3.0665279999999999</v>
      </c>
      <c r="T1687">
        <v>-2.2259709999999999E-2</v>
      </c>
      <c r="U1687">
        <v>0.1118164</v>
      </c>
      <c r="V1687">
        <v>4.3685559999999998E-2</v>
      </c>
      <c r="W1687">
        <v>0.21180979999999999</v>
      </c>
      <c r="X1687">
        <v>0.97633400000000004</v>
      </c>
      <c r="Y1687">
        <v>4.6131480000000002E-2</v>
      </c>
      <c r="Z1687">
        <v>3.4895409999999999E-4</v>
      </c>
      <c r="AA1687">
        <v>0.99893529999999997</v>
      </c>
      <c r="AB1687">
        <v>52</v>
      </c>
      <c r="AC1687">
        <v>-149.5641</v>
      </c>
      <c r="AD1687">
        <v>-1.08787294</v>
      </c>
      <c r="AE1687">
        <v>5.4676</v>
      </c>
      <c r="AF1687">
        <v>6.9181894797535097</v>
      </c>
      <c r="AG1687">
        <v>-1.08787294</v>
      </c>
      <c r="AH1687">
        <v>149.49610886373301</v>
      </c>
      <c r="AI1687">
        <v>90.416484398421403</v>
      </c>
      <c r="AJ1687">
        <v>87.350429592713596</v>
      </c>
      <c r="AK1687">
        <v>149.66005271483999</v>
      </c>
      <c r="AL1687">
        <v>77.771567108051002</v>
      </c>
      <c r="AM1687">
        <v>87.438038800410894</v>
      </c>
      <c r="AN1687">
        <v>0.999999949542275</v>
      </c>
    </row>
    <row r="1688" spans="1:40" x14ac:dyDescent="0.25">
      <c r="A1688" t="str">
        <f>"20190303171011991"</f>
        <v>20190303171011991</v>
      </c>
      <c r="B1688" t="str">
        <f>"1551604211982424"</f>
        <v>1551604211982424</v>
      </c>
      <c r="C1688" t="s">
        <v>40</v>
      </c>
      <c r="D1688">
        <v>4.9580440000000001</v>
      </c>
      <c r="E1688">
        <v>0.50608850000000005</v>
      </c>
      <c r="F1688" t="s">
        <v>52</v>
      </c>
      <c r="G1688">
        <v>-473.30180000000001</v>
      </c>
      <c r="H1688">
        <v>8.0001279999999994E-2</v>
      </c>
      <c r="I1688">
        <v>289.6943</v>
      </c>
      <c r="J1688">
        <v>-321.2928</v>
      </c>
      <c r="K1688">
        <v>1.1201669999999999</v>
      </c>
      <c r="L1688">
        <v>284.14460000000003</v>
      </c>
      <c r="M1688">
        <v>-0.99991629999999998</v>
      </c>
      <c r="N1688">
        <v>-8.4109630000000005E-3</v>
      </c>
      <c r="O1688">
        <v>-9.83237E-3</v>
      </c>
      <c r="P1688">
        <v>-0.97831420000000002</v>
      </c>
      <c r="Q1688">
        <v>0.2042901</v>
      </c>
      <c r="R1688">
        <v>3.41628E-2</v>
      </c>
      <c r="S1688">
        <v>-3.0665279999999999</v>
      </c>
      <c r="T1688">
        <v>-2.0927069999999999E-2</v>
      </c>
      <c r="U1688">
        <v>0.1115723</v>
      </c>
      <c r="V1688">
        <v>4.3608429999999997E-2</v>
      </c>
      <c r="W1688">
        <v>0.2125437</v>
      </c>
      <c r="X1688">
        <v>0.97617799999999999</v>
      </c>
      <c r="Y1688">
        <v>4.6181890000000003E-2</v>
      </c>
      <c r="Z1688">
        <v>3.3622410000000002E-4</v>
      </c>
      <c r="AA1688">
        <v>0.99893299999999996</v>
      </c>
      <c r="AB1688">
        <v>52</v>
      </c>
      <c r="AC1688">
        <v>-152.00899999999999</v>
      </c>
      <c r="AD1688">
        <v>-1.0401657199999901</v>
      </c>
      <c r="AE1688">
        <v>5.5496999999999703</v>
      </c>
      <c r="AF1688">
        <v>7.0437639195353299</v>
      </c>
      <c r="AG1688">
        <v>-1.0401657199999901</v>
      </c>
      <c r="AH1688">
        <v>151.93997796253601</v>
      </c>
      <c r="AI1688">
        <v>90.391814190068402</v>
      </c>
      <c r="AJ1688">
        <v>87.345733450465602</v>
      </c>
      <c r="AK1688">
        <v>152.106717334032</v>
      </c>
      <c r="AL1688">
        <v>77.728538689993002</v>
      </c>
      <c r="AM1688">
        <v>87.442147961850793</v>
      </c>
      <c r="AN1688">
        <v>1.00000000363037</v>
      </c>
    </row>
    <row r="1689" spans="1:40" x14ac:dyDescent="0.25">
      <c r="A1689" t="str">
        <f>"20190303171012005"</f>
        <v>20190303171012005</v>
      </c>
      <c r="B1689" t="str">
        <f>"1551604211992184"</f>
        <v>1551604211992184</v>
      </c>
      <c r="C1689" t="s">
        <v>40</v>
      </c>
      <c r="D1689">
        <v>4.9016289999999998</v>
      </c>
      <c r="E1689">
        <v>0.50619879999999995</v>
      </c>
      <c r="F1689" t="s">
        <v>52</v>
      </c>
      <c r="G1689">
        <v>-499.95780000000002</v>
      </c>
      <c r="H1689">
        <v>1.9940340000000001E-2</v>
      </c>
      <c r="I1689">
        <v>290.64690000000002</v>
      </c>
      <c r="J1689">
        <v>-321.62979999999999</v>
      </c>
      <c r="K1689">
        <v>1.120158</v>
      </c>
      <c r="L1689">
        <v>284.1413</v>
      </c>
      <c r="M1689">
        <v>-0.99991459999999999</v>
      </c>
      <c r="N1689">
        <v>-8.4957160000000004E-3</v>
      </c>
      <c r="O1689">
        <v>-9.9263519999999994E-3</v>
      </c>
      <c r="P1689">
        <v>-0.97819540000000005</v>
      </c>
      <c r="Q1689">
        <v>0.20485390000000001</v>
      </c>
      <c r="R1689">
        <v>3.4179180000000003E-2</v>
      </c>
      <c r="S1689">
        <v>-3.0665279999999999</v>
      </c>
      <c r="T1689">
        <v>-1.8883819999999999E-2</v>
      </c>
      <c r="U1689">
        <v>0.1116028</v>
      </c>
      <c r="V1689">
        <v>4.3725119999999999E-2</v>
      </c>
      <c r="W1689">
        <v>0.2131876</v>
      </c>
      <c r="X1689">
        <v>0.97603240000000002</v>
      </c>
      <c r="Y1689">
        <v>4.6286019999999997E-2</v>
      </c>
      <c r="Z1689">
        <v>3.159622E-4</v>
      </c>
      <c r="AA1689">
        <v>0.99892820000000004</v>
      </c>
      <c r="AB1689">
        <v>52</v>
      </c>
      <c r="AC1689">
        <v>-178.328</v>
      </c>
      <c r="AD1689">
        <v>-1.10021766</v>
      </c>
      <c r="AE1689">
        <v>6.50560000000001</v>
      </c>
      <c r="AF1689">
        <v>8.2751753507519901</v>
      </c>
      <c r="AG1689">
        <v>-1.10021766</v>
      </c>
      <c r="AH1689">
        <v>178.24785852433899</v>
      </c>
      <c r="AI1689">
        <v>90.353267681523405</v>
      </c>
      <c r="AJ1689">
        <v>87.341946013114594</v>
      </c>
      <c r="AK1689">
        <v>178.44323488016599</v>
      </c>
      <c r="AL1689">
        <v>77.690781061271693</v>
      </c>
      <c r="AM1689">
        <v>87.434930560587205</v>
      </c>
      <c r="AN1689">
        <v>1.0000000423812601</v>
      </c>
    </row>
    <row r="1690" spans="1:40" x14ac:dyDescent="0.25">
      <c r="A1690" t="str">
        <f>"20190303171012024"</f>
        <v>20190303171012024</v>
      </c>
      <c r="B1690" t="str">
        <f>"1551604212012680"</f>
        <v>1551604212012680</v>
      </c>
      <c r="C1690" t="s">
        <v>40</v>
      </c>
      <c r="D1690">
        <v>4.9575950000000004</v>
      </c>
      <c r="E1690">
        <v>0.50631680000000001</v>
      </c>
      <c r="F1690" t="s">
        <v>41</v>
      </c>
      <c r="G1690">
        <v>-534.3777</v>
      </c>
      <c r="H1690">
        <v>-0.05</v>
      </c>
      <c r="I1690">
        <v>291.9307</v>
      </c>
      <c r="J1690">
        <v>-322.06</v>
      </c>
      <c r="K1690">
        <v>1.120147</v>
      </c>
      <c r="L1690">
        <v>284.137</v>
      </c>
      <c r="M1690">
        <v>-0.99991260000000004</v>
      </c>
      <c r="N1690">
        <v>-8.6104459999999904E-3</v>
      </c>
      <c r="O1690">
        <v>-1.0031979999999999E-2</v>
      </c>
      <c r="P1690">
        <v>-0.97819730000000005</v>
      </c>
      <c r="Q1690">
        <v>0.20480719999999999</v>
      </c>
      <c r="R1690">
        <v>3.441085E-2</v>
      </c>
      <c r="S1690">
        <v>-3.0664669999999998</v>
      </c>
      <c r="T1690">
        <v>-1.686621E-2</v>
      </c>
      <c r="U1690">
        <v>0.1122742</v>
      </c>
      <c r="V1690">
        <v>4.4072979999999998E-2</v>
      </c>
      <c r="W1690">
        <v>0.21325</v>
      </c>
      <c r="X1690">
        <v>0.97600310000000001</v>
      </c>
      <c r="Y1690">
        <v>4.661096E-2</v>
      </c>
      <c r="Z1690">
        <v>2.9769740000000001E-4</v>
      </c>
      <c r="AA1690">
        <v>0.99891300000000005</v>
      </c>
      <c r="AB1690">
        <v>52</v>
      </c>
      <c r="AC1690">
        <v>-212.3177</v>
      </c>
      <c r="AD1690">
        <v>-1.1701469999999901</v>
      </c>
      <c r="AE1690">
        <v>7.7937000000000003</v>
      </c>
      <c r="AF1690">
        <v>9.9230526727541708</v>
      </c>
      <c r="AG1690">
        <v>-1.1701469999999901</v>
      </c>
      <c r="AH1690">
        <v>212.22238844011599</v>
      </c>
      <c r="AI1690">
        <v>90.315568203494493</v>
      </c>
      <c r="AJ1690">
        <v>87.322925037360804</v>
      </c>
      <c r="AK1690">
        <v>212.457474270912</v>
      </c>
      <c r="AL1690">
        <v>77.687121382890894</v>
      </c>
      <c r="AM1690">
        <v>87.414473939222702</v>
      </c>
      <c r="AN1690">
        <v>1.0000000206378401</v>
      </c>
    </row>
    <row r="1691" spans="1:40" x14ac:dyDescent="0.25">
      <c r="A1691" t="str">
        <f>"20190303171012040"</f>
        <v>20190303171012040</v>
      </c>
      <c r="B1691" t="str">
        <f>"1551604212032199"</f>
        <v>1551604212032199</v>
      </c>
      <c r="C1691" t="s">
        <v>40</v>
      </c>
      <c r="D1691">
        <v>4.8381569999999998</v>
      </c>
      <c r="E1691">
        <v>0.50633379999999995</v>
      </c>
      <c r="F1691" t="s">
        <v>41</v>
      </c>
      <c r="G1691">
        <v>-528.2473</v>
      </c>
      <c r="H1691">
        <v>-0.05</v>
      </c>
      <c r="I1691">
        <v>291.78879999999998</v>
      </c>
      <c r="J1691">
        <v>-322.44529999999997</v>
      </c>
      <c r="K1691">
        <v>1.120139</v>
      </c>
      <c r="L1691">
        <v>284.13310000000001</v>
      </c>
      <c r="M1691">
        <v>-0.99991079999999999</v>
      </c>
      <c r="N1691">
        <v>-8.7203790000000003E-3</v>
      </c>
      <c r="O1691">
        <v>-1.0114140000000001E-2</v>
      </c>
      <c r="P1691">
        <v>-0.97822620000000005</v>
      </c>
      <c r="Q1691">
        <v>0.20466760000000001</v>
      </c>
      <c r="R1691">
        <v>3.4421840000000002E-2</v>
      </c>
      <c r="S1691">
        <v>-3.0664980000000002</v>
      </c>
      <c r="T1691">
        <v>-1.7402890000000001E-2</v>
      </c>
      <c r="U1691">
        <v>0.1138</v>
      </c>
      <c r="V1691">
        <v>4.4175480000000003E-2</v>
      </c>
      <c r="W1691">
        <v>0.21321560000000001</v>
      </c>
      <c r="X1691">
        <v>0.97600600000000004</v>
      </c>
      <c r="Y1691">
        <v>4.7188929999999997E-2</v>
      </c>
      <c r="Z1691">
        <v>3.0890030000000002E-4</v>
      </c>
      <c r="AA1691">
        <v>0.99888589999999999</v>
      </c>
      <c r="AB1691">
        <v>52</v>
      </c>
      <c r="AC1691">
        <v>-205.80199999999999</v>
      </c>
      <c r="AD1691">
        <v>-1.170139</v>
      </c>
      <c r="AE1691">
        <v>7.6556999999999604</v>
      </c>
      <c r="AF1691">
        <v>9.7365835023715697</v>
      </c>
      <c r="AG1691">
        <v>-1.170139</v>
      </c>
      <c r="AH1691">
        <v>205.707397947267</v>
      </c>
      <c r="AI1691">
        <v>90.325551397119199</v>
      </c>
      <c r="AJ1691">
        <v>87.290087258682107</v>
      </c>
      <c r="AK1691">
        <v>205.94102032818299</v>
      </c>
      <c r="AL1691">
        <v>77.689138978644294</v>
      </c>
      <c r="AM1691">
        <v>87.408476690372794</v>
      </c>
      <c r="AN1691">
        <v>1.0000000385762899</v>
      </c>
    </row>
    <row r="1692" spans="1:40" x14ac:dyDescent="0.25">
      <c r="A1692" t="str">
        <f>"20190303171012057"</f>
        <v>20190303171012057</v>
      </c>
      <c r="B1692" t="str">
        <f>"1551604212052695"</f>
        <v>1551604212052695</v>
      </c>
      <c r="C1692" t="s">
        <v>40</v>
      </c>
      <c r="D1692">
        <v>4.8416860000000002</v>
      </c>
      <c r="E1692">
        <v>0.5064514</v>
      </c>
      <c r="F1692" t="s">
        <v>52</v>
      </c>
      <c r="G1692">
        <v>-499.964</v>
      </c>
      <c r="H1692">
        <v>5.6241770000000003E-2</v>
      </c>
      <c r="I1692">
        <v>290.72250000000003</v>
      </c>
      <c r="J1692">
        <v>-322.8347</v>
      </c>
      <c r="K1692">
        <v>1.120136</v>
      </c>
      <c r="L1692">
        <v>284.12920000000003</v>
      </c>
      <c r="M1692">
        <v>-0.9999091</v>
      </c>
      <c r="N1692">
        <v>-8.8376359999999994E-3</v>
      </c>
      <c r="O1692">
        <v>-1.0187770000000001E-2</v>
      </c>
      <c r="P1692">
        <v>-0.97822880000000001</v>
      </c>
      <c r="Q1692">
        <v>0.2046133</v>
      </c>
      <c r="R1692">
        <v>3.4667650000000001E-2</v>
      </c>
      <c r="S1692">
        <v>-3.0666199999999999</v>
      </c>
      <c r="T1692">
        <v>-1.8378729999999999E-2</v>
      </c>
      <c r="U1692">
        <v>0.1138306</v>
      </c>
      <c r="V1692">
        <v>4.450407E-2</v>
      </c>
      <c r="W1692">
        <v>0.21327380000000001</v>
      </c>
      <c r="X1692">
        <v>0.97597829999999997</v>
      </c>
      <c r="Y1692">
        <v>4.7270769999999997E-2</v>
      </c>
      <c r="Z1692">
        <v>3.2159570000000001E-4</v>
      </c>
      <c r="AA1692">
        <v>0.99888209999999999</v>
      </c>
      <c r="AB1692">
        <v>52</v>
      </c>
      <c r="AC1692">
        <v>-177.1293</v>
      </c>
      <c r="AD1692">
        <v>-1.0638942300000001</v>
      </c>
      <c r="AE1692">
        <v>6.5932999999999904</v>
      </c>
      <c r="AF1692">
        <v>8.3972782348022097</v>
      </c>
      <c r="AG1692">
        <v>-1.0638942300000001</v>
      </c>
      <c r="AH1692">
        <v>177.04655495684199</v>
      </c>
      <c r="AI1692">
        <v>90.343906550156007</v>
      </c>
      <c r="AJ1692">
        <v>87.284509100511201</v>
      </c>
      <c r="AK1692">
        <v>177.24877651135199</v>
      </c>
      <c r="AL1692">
        <v>77.6857251765435</v>
      </c>
      <c r="AM1692">
        <v>87.389152767808397</v>
      </c>
      <c r="AN1692">
        <v>0.99999998404194701</v>
      </c>
    </row>
    <row r="1693" spans="1:40" x14ac:dyDescent="0.25">
      <c r="A1693" t="str">
        <f>"20190303171012069"</f>
        <v>20190303171012069</v>
      </c>
      <c r="B1693" t="str">
        <f>"1551604212062456"</f>
        <v>1551604212062456</v>
      </c>
      <c r="C1693" t="s">
        <v>40</v>
      </c>
      <c r="D1693">
        <v>4.9562019999999896</v>
      </c>
      <c r="E1693">
        <v>0.50647880000000001</v>
      </c>
      <c r="F1693" t="s">
        <v>52</v>
      </c>
      <c r="G1693">
        <v>-499.95780000000002</v>
      </c>
      <c r="H1693">
        <v>4.4032059999999998E-2</v>
      </c>
      <c r="I1693">
        <v>290.81849999999997</v>
      </c>
      <c r="J1693">
        <v>-323.12329999999997</v>
      </c>
      <c r="K1693">
        <v>1.120133</v>
      </c>
      <c r="L1693">
        <v>284.12619999999998</v>
      </c>
      <c r="M1693">
        <v>-0.99990789999999996</v>
      </c>
      <c r="N1693">
        <v>-8.9314489999999993E-3</v>
      </c>
      <c r="O1693">
        <v>-1.0235599999999999E-2</v>
      </c>
      <c r="P1693">
        <v>-0.97820870000000004</v>
      </c>
      <c r="Q1693">
        <v>0.2046695</v>
      </c>
      <c r="R1693">
        <v>3.4906529999999998E-2</v>
      </c>
      <c r="S1693">
        <v>-3.0665589999999998</v>
      </c>
      <c r="T1693">
        <v>-1.863074E-2</v>
      </c>
      <c r="U1693">
        <v>0.11581420000000001</v>
      </c>
      <c r="V1693">
        <v>4.4796910000000002E-2</v>
      </c>
      <c r="W1693">
        <v>0.2134201</v>
      </c>
      <c r="X1693">
        <v>0.97593300000000005</v>
      </c>
      <c r="Y1693">
        <v>4.7964449999999999E-2</v>
      </c>
      <c r="Z1693">
        <v>3.307114E-4</v>
      </c>
      <c r="AA1693">
        <v>0.99884899999999999</v>
      </c>
      <c r="AB1693">
        <v>52</v>
      </c>
      <c r="AC1693">
        <v>-176.83449999999999</v>
      </c>
      <c r="AD1693">
        <v>-1.0761009399999999</v>
      </c>
      <c r="AE1693">
        <v>6.6922999999999799</v>
      </c>
      <c r="AF1693">
        <v>8.5017141051959797</v>
      </c>
      <c r="AG1693">
        <v>-1.0761009399999999</v>
      </c>
      <c r="AH1693">
        <v>176.750197365671</v>
      </c>
      <c r="AI1693">
        <v>90.348424403335201</v>
      </c>
      <c r="AJ1693">
        <v>87.246185863080498</v>
      </c>
      <c r="AK1693">
        <v>176.95781815100301</v>
      </c>
      <c r="AL1693">
        <v>77.677146231966901</v>
      </c>
      <c r="AM1693">
        <v>87.371875397192596</v>
      </c>
      <c r="AN1693">
        <v>1.0000000613592701</v>
      </c>
    </row>
    <row r="1694" spans="1:40" x14ac:dyDescent="0.25">
      <c r="A1694" t="str">
        <f>"20190303171012081"</f>
        <v>20190303171012081</v>
      </c>
      <c r="B1694" t="str">
        <f>"1551604212072216"</f>
        <v>1551604212072216</v>
      </c>
      <c r="C1694" t="s">
        <v>40</v>
      </c>
      <c r="D1694">
        <v>4.9020710000000003</v>
      </c>
      <c r="E1694">
        <v>0.50651089999999999</v>
      </c>
      <c r="F1694" t="s">
        <v>52</v>
      </c>
      <c r="G1694">
        <v>-499.95780000000002</v>
      </c>
      <c r="H1694">
        <v>4.4842630000000001E-2</v>
      </c>
      <c r="I1694">
        <v>290.85559999999998</v>
      </c>
      <c r="J1694">
        <v>-323.38850000000002</v>
      </c>
      <c r="K1694">
        <v>1.1201289999999999</v>
      </c>
      <c r="L1694">
        <v>284.12349999999998</v>
      </c>
      <c r="M1694">
        <v>-0.99990650000000003</v>
      </c>
      <c r="N1694">
        <v>-9.0202779999999996E-3</v>
      </c>
      <c r="O1694">
        <v>-1.027784E-2</v>
      </c>
      <c r="P1694">
        <v>-0.97822339999999997</v>
      </c>
      <c r="Q1694">
        <v>0.2045759</v>
      </c>
      <c r="R1694">
        <v>3.5040389999999998E-2</v>
      </c>
      <c r="S1694">
        <v>-3.0666199999999999</v>
      </c>
      <c r="T1694">
        <v>-1.864743E-2</v>
      </c>
      <c r="U1694">
        <v>0.1166992</v>
      </c>
      <c r="V1694">
        <v>4.4978659999999997E-2</v>
      </c>
      <c r="W1694">
        <v>0.21341170000000001</v>
      </c>
      <c r="X1694">
        <v>0.97592639999999997</v>
      </c>
      <c r="Y1694">
        <v>4.8293700000000002E-2</v>
      </c>
      <c r="Z1694">
        <v>3.3447849999999999E-4</v>
      </c>
      <c r="AA1694">
        <v>0.99883310000000003</v>
      </c>
      <c r="AB1694">
        <v>52</v>
      </c>
      <c r="AC1694">
        <v>-176.5693</v>
      </c>
      <c r="AD1694">
        <v>-1.0752863699999999</v>
      </c>
      <c r="AE1694">
        <v>6.7321</v>
      </c>
      <c r="AF1694">
        <v>8.5462527407601794</v>
      </c>
      <c r="AG1694">
        <v>-1.0752863699999999</v>
      </c>
      <c r="AH1694">
        <v>176.48424316036301</v>
      </c>
      <c r="AI1694">
        <v>90.348679861419697</v>
      </c>
      <c r="AJ1694">
        <v>87.227616526894394</v>
      </c>
      <c r="AK1694">
        <v>176.69432011406801</v>
      </c>
      <c r="AL1694">
        <v>77.677637921429195</v>
      </c>
      <c r="AM1694">
        <v>87.361209792220393</v>
      </c>
      <c r="AN1694">
        <v>0.99999998588462202</v>
      </c>
    </row>
    <row r="1695" spans="1:40" x14ac:dyDescent="0.25">
      <c r="A1695" t="str">
        <f>"20190303171012091"</f>
        <v>20190303171012091</v>
      </c>
      <c r="B1695" t="str">
        <f>"1551604212081976"</f>
        <v>1551604212081976</v>
      </c>
      <c r="C1695" t="s">
        <v>40</v>
      </c>
      <c r="D1695">
        <v>4.8395769999999896</v>
      </c>
      <c r="E1695">
        <v>0.5065539</v>
      </c>
      <c r="F1695" t="s">
        <v>52</v>
      </c>
      <c r="G1695">
        <v>-499.95780000000002</v>
      </c>
      <c r="H1695">
        <v>1.5133580000000001E-2</v>
      </c>
      <c r="I1695">
        <v>290.88150000000002</v>
      </c>
      <c r="J1695">
        <v>-323.64699999999999</v>
      </c>
      <c r="K1695">
        <v>1.1201289999999999</v>
      </c>
      <c r="L1695">
        <v>284.12079999999997</v>
      </c>
      <c r="M1695">
        <v>-0.99990540000000006</v>
      </c>
      <c r="N1695">
        <v>-9.1110879999999998E-3</v>
      </c>
      <c r="O1695">
        <v>-1.031604E-2</v>
      </c>
      <c r="P1695">
        <v>-0.97817370000000003</v>
      </c>
      <c r="Q1695">
        <v>0.20479829999999999</v>
      </c>
      <c r="R1695">
        <v>3.512701E-2</v>
      </c>
      <c r="S1695">
        <v>-3.066589</v>
      </c>
      <c r="T1695">
        <v>-1.9191150000000001E-2</v>
      </c>
      <c r="U1695">
        <v>0.11737060000000001</v>
      </c>
      <c r="V1695">
        <v>4.5107920000000003E-2</v>
      </c>
      <c r="W1695">
        <v>0.21372150000000001</v>
      </c>
      <c r="X1695">
        <v>0.97585270000000002</v>
      </c>
      <c r="Y1695">
        <v>4.8550509999999998E-2</v>
      </c>
      <c r="Z1695">
        <v>3.4370789999999999E-4</v>
      </c>
      <c r="AA1695">
        <v>0.99882070000000001</v>
      </c>
      <c r="AB1695">
        <v>52</v>
      </c>
      <c r="AC1695">
        <v>-176.3108</v>
      </c>
      <c r="AD1695">
        <v>-1.1049954200000001</v>
      </c>
      <c r="AE1695">
        <v>6.7607000000000399</v>
      </c>
      <c r="AF1695">
        <v>8.5789082857009493</v>
      </c>
      <c r="AG1695">
        <v>-1.1049954200000001</v>
      </c>
      <c r="AH1695">
        <v>176.22475906541001</v>
      </c>
      <c r="AI1695">
        <v>90.358836405798499</v>
      </c>
      <c r="AJ1695">
        <v>87.212948425665701</v>
      </c>
      <c r="AK1695">
        <v>176.436913342743</v>
      </c>
      <c r="AL1695">
        <v>77.659469272017802</v>
      </c>
      <c r="AM1695">
        <v>87.3534376039092</v>
      </c>
      <c r="AN1695">
        <v>1.0000000480531299</v>
      </c>
    </row>
    <row r="1696" spans="1:40" x14ac:dyDescent="0.25">
      <c r="A1696" t="str">
        <f>"20190303171012103"</f>
        <v>20190303171012103</v>
      </c>
      <c r="B1696" t="str">
        <f>"1551604212092712"</f>
        <v>1551604212092712</v>
      </c>
      <c r="C1696" t="s">
        <v>40</v>
      </c>
      <c r="D1696">
        <v>4.8994109999999997</v>
      </c>
      <c r="E1696">
        <v>0.50655729999999999</v>
      </c>
      <c r="F1696" t="s">
        <v>52</v>
      </c>
      <c r="G1696">
        <v>-499.9633</v>
      </c>
      <c r="H1696">
        <v>5.5473340000000003E-2</v>
      </c>
      <c r="I1696">
        <v>290.92009999999999</v>
      </c>
      <c r="J1696">
        <v>-323.91919999999999</v>
      </c>
      <c r="K1696">
        <v>1.120131</v>
      </c>
      <c r="L1696">
        <v>284.11799999999999</v>
      </c>
      <c r="M1696">
        <v>-0.99990400000000002</v>
      </c>
      <c r="N1696">
        <v>-9.211449E-3</v>
      </c>
      <c r="O1696">
        <v>-1.03543E-2</v>
      </c>
      <c r="P1696">
        <v>-0.97816700000000001</v>
      </c>
      <c r="Q1696">
        <v>0.2048307</v>
      </c>
      <c r="R1696">
        <v>3.5129670000000002E-2</v>
      </c>
      <c r="S1696">
        <v>-3.0665589999999998</v>
      </c>
      <c r="T1696">
        <v>-1.8516899999999999E-2</v>
      </c>
      <c r="U1696">
        <v>0.1182556</v>
      </c>
      <c r="V1696">
        <v>4.5154060000000003E-2</v>
      </c>
      <c r="W1696">
        <v>0.2138505</v>
      </c>
      <c r="X1696">
        <v>0.97582230000000003</v>
      </c>
      <c r="Y1696">
        <v>4.8877009999999999E-2</v>
      </c>
      <c r="Z1696">
        <v>3.3987879999999903E-4</v>
      </c>
      <c r="AA1696">
        <v>0.99880469999999999</v>
      </c>
      <c r="AB1696">
        <v>52</v>
      </c>
      <c r="AC1696">
        <v>-176.04409999999999</v>
      </c>
      <c r="AD1696">
        <v>-1.06465766</v>
      </c>
      <c r="AE1696">
        <v>6.8020999999999896</v>
      </c>
      <c r="AF1696">
        <v>8.6243110668185601</v>
      </c>
      <c r="AG1696">
        <v>-1.06465766</v>
      </c>
      <c r="AH1696">
        <v>175.957802044001</v>
      </c>
      <c r="AI1696">
        <v>90.346256366488703</v>
      </c>
      <c r="AJ1696">
        <v>87.193977779272799</v>
      </c>
      <c r="AK1696">
        <v>176.17224621791601</v>
      </c>
      <c r="AL1696">
        <v>77.651903133768897</v>
      </c>
      <c r="AM1696">
        <v>87.3506519268972</v>
      </c>
      <c r="AN1696">
        <v>1.0000000433310099</v>
      </c>
    </row>
    <row r="1697" spans="1:40" x14ac:dyDescent="0.25">
      <c r="A1697" t="str">
        <f>"20190303171012117"</f>
        <v>20190303171012117</v>
      </c>
      <c r="B1697" t="str">
        <f>"1551604212112232"</f>
        <v>1551604212112232</v>
      </c>
      <c r="C1697" t="s">
        <v>40</v>
      </c>
      <c r="D1697">
        <v>4.7824580000000001</v>
      </c>
      <c r="E1697">
        <v>0.50660419999999995</v>
      </c>
      <c r="F1697" t="s">
        <v>52</v>
      </c>
      <c r="G1697">
        <v>-499.96199999999999</v>
      </c>
      <c r="H1697">
        <v>5.4283339999999999E-2</v>
      </c>
      <c r="I1697">
        <v>290.89429999999999</v>
      </c>
      <c r="J1697">
        <v>-324.2337</v>
      </c>
      <c r="K1697">
        <v>1.1201289999999999</v>
      </c>
      <c r="L1697">
        <v>284.11470000000003</v>
      </c>
      <c r="M1697">
        <v>-0.99990250000000003</v>
      </c>
      <c r="N1697">
        <v>-9.3314420000000006E-3</v>
      </c>
      <c r="O1697">
        <v>-1.039692E-2</v>
      </c>
      <c r="P1697">
        <v>-0.97815439999999998</v>
      </c>
      <c r="Q1697">
        <v>0.20489640000000001</v>
      </c>
      <c r="R1697">
        <v>3.5097160000000002E-2</v>
      </c>
      <c r="S1697">
        <v>-3.0666500000000001</v>
      </c>
      <c r="T1697">
        <v>-1.8566969999999999E-2</v>
      </c>
      <c r="U1697">
        <v>0.11804199999999999</v>
      </c>
      <c r="V1697">
        <v>4.5169500000000001E-2</v>
      </c>
      <c r="W1697">
        <v>0.21403130000000001</v>
      </c>
      <c r="X1697">
        <v>0.97578189999999998</v>
      </c>
      <c r="Y1697">
        <v>4.8848950000000002E-2</v>
      </c>
      <c r="Z1697">
        <v>3.4177650000000002E-4</v>
      </c>
      <c r="AA1697">
        <v>0.99880610000000003</v>
      </c>
      <c r="AB1697">
        <v>52</v>
      </c>
      <c r="AC1697">
        <v>-175.72829999999999</v>
      </c>
      <c r="AD1697">
        <v>-1.0658456599999999</v>
      </c>
      <c r="AE1697">
        <v>6.7795999999999497</v>
      </c>
      <c r="AF1697">
        <v>8.6060298688289194</v>
      </c>
      <c r="AG1697">
        <v>-1.0658456599999999</v>
      </c>
      <c r="AH1697">
        <v>175.64185924257501</v>
      </c>
      <c r="AI1697">
        <v>90.347266520203902</v>
      </c>
      <c r="AJ1697">
        <v>87.194887583664197</v>
      </c>
      <c r="AK1697">
        <v>175.85580028893699</v>
      </c>
      <c r="AL1697">
        <v>77.641297964778801</v>
      </c>
      <c r="AM1697">
        <v>87.349637727875404</v>
      </c>
      <c r="AN1697">
        <v>0.99999999873877499</v>
      </c>
    </row>
    <row r="1698" spans="1:40" x14ac:dyDescent="0.25">
      <c r="A1698" t="str">
        <f>"20190303171012130"</f>
        <v>20190303171012130</v>
      </c>
      <c r="B1698" t="str">
        <f>"1551604212121992"</f>
        <v>1551604212121992</v>
      </c>
      <c r="C1698" t="s">
        <v>40</v>
      </c>
      <c r="D1698">
        <v>4.8400349999999897</v>
      </c>
      <c r="E1698">
        <v>0.50663219999999998</v>
      </c>
      <c r="F1698" t="s">
        <v>52</v>
      </c>
      <c r="G1698">
        <v>-499.95780000000002</v>
      </c>
      <c r="H1698">
        <v>4.271821E-2</v>
      </c>
      <c r="I1698">
        <v>290.8997</v>
      </c>
      <c r="J1698">
        <v>-324.56240000000003</v>
      </c>
      <c r="K1698">
        <v>1.1201380000000001</v>
      </c>
      <c r="L1698">
        <v>284.11130000000003</v>
      </c>
      <c r="M1698">
        <v>-0.99990080000000003</v>
      </c>
      <c r="N1698">
        <v>-9.4667880000000003E-3</v>
      </c>
      <c r="O1698">
        <v>-1.0438329999999999E-2</v>
      </c>
      <c r="P1698">
        <v>-0.97820030000000002</v>
      </c>
      <c r="Q1698">
        <v>0.20467050000000001</v>
      </c>
      <c r="R1698">
        <v>3.5133879999999999E-2</v>
      </c>
      <c r="S1698">
        <v>-3.066681</v>
      </c>
      <c r="T1698">
        <v>-1.8802639999999999E-2</v>
      </c>
      <c r="U1698">
        <v>0.11840820000000001</v>
      </c>
      <c r="V1698">
        <v>4.525324E-2</v>
      </c>
      <c r="W1698">
        <v>0.21393670000000001</v>
      </c>
      <c r="X1698">
        <v>0.97579879999999997</v>
      </c>
      <c r="Y1698">
        <v>4.9008969999999999E-2</v>
      </c>
      <c r="Z1698">
        <v>3.4746039999999998E-4</v>
      </c>
      <c r="AA1698">
        <v>0.99879830000000003</v>
      </c>
      <c r="AB1698">
        <v>52</v>
      </c>
      <c r="AC1698">
        <v>-175.3954</v>
      </c>
      <c r="AD1698">
        <v>-1.07741978999999</v>
      </c>
      <c r="AE1698">
        <v>6.7883999999999602</v>
      </c>
      <c r="AF1698">
        <v>8.6186223382280591</v>
      </c>
      <c r="AG1698">
        <v>-1.07741978999999</v>
      </c>
      <c r="AH1698">
        <v>175.30837552469899</v>
      </c>
      <c r="AI1698">
        <v>90.351702338995594</v>
      </c>
      <c r="AJ1698">
        <v>87.1854543822473</v>
      </c>
      <c r="AK1698">
        <v>175.52341158239199</v>
      </c>
      <c r="AL1698">
        <v>77.646847095524294</v>
      </c>
      <c r="AM1698">
        <v>87.344777152577294</v>
      </c>
      <c r="AN1698">
        <v>1.0000000327094101</v>
      </c>
    </row>
    <row r="1699" spans="1:40" x14ac:dyDescent="0.25">
      <c r="A1699" t="str">
        <f>"20190303171012147"</f>
        <v>20190303171012147</v>
      </c>
      <c r="B1699" t="str">
        <f>"1551604212142488"</f>
        <v>1551604212142488</v>
      </c>
      <c r="C1699" t="s">
        <v>40</v>
      </c>
      <c r="D1699">
        <v>4.5354929999999998</v>
      </c>
      <c r="E1699">
        <v>0.50674699999999995</v>
      </c>
      <c r="F1699" t="s">
        <v>52</v>
      </c>
      <c r="G1699">
        <v>-498.9939</v>
      </c>
      <c r="H1699" s="1">
        <v>3.176599E-6</v>
      </c>
      <c r="I1699">
        <v>290.85309999999998</v>
      </c>
      <c r="J1699">
        <v>-324.92680000000001</v>
      </c>
      <c r="K1699">
        <v>1.12015</v>
      </c>
      <c r="L1699">
        <v>284.10739999999998</v>
      </c>
      <c r="M1699">
        <v>-0.99989879999999998</v>
      </c>
      <c r="N1699">
        <v>-9.6210170000000008E-3</v>
      </c>
      <c r="O1699">
        <v>-1.048317E-2</v>
      </c>
      <c r="P1699">
        <v>-0.97828300000000001</v>
      </c>
      <c r="Q1699">
        <v>0.20435639999999999</v>
      </c>
      <c r="R1699">
        <v>3.4654989999999997E-2</v>
      </c>
      <c r="S1699">
        <v>-3.0667420000000001</v>
      </c>
      <c r="T1699">
        <v>-1.9693490000000001E-2</v>
      </c>
      <c r="U1699">
        <v>0.11853030000000001</v>
      </c>
      <c r="V1699">
        <v>4.4825719999999999E-2</v>
      </c>
      <c r="W1699">
        <v>0.21377270000000001</v>
      </c>
      <c r="X1699">
        <v>0.97585449999999996</v>
      </c>
      <c r="Y1699">
        <v>4.9092520000000001E-2</v>
      </c>
      <c r="Z1699">
        <v>3.6030179999999999E-4</v>
      </c>
      <c r="AA1699">
        <v>0.99879419999999997</v>
      </c>
      <c r="AB1699">
        <v>52</v>
      </c>
      <c r="AC1699">
        <v>-174.06709999999899</v>
      </c>
      <c r="AD1699">
        <v>-1.1201468234009999</v>
      </c>
      <c r="AE1699">
        <v>6.7456999999999896</v>
      </c>
      <c r="AF1699">
        <v>8.5698343319754997</v>
      </c>
      <c r="AG1699">
        <v>-1.1201468234009999</v>
      </c>
      <c r="AH1699">
        <v>173.979620669339</v>
      </c>
      <c r="AI1699">
        <v>90.368440181503701</v>
      </c>
      <c r="AJ1699">
        <v>87.180021467691802</v>
      </c>
      <c r="AK1699">
        <v>174.19415948197201</v>
      </c>
      <c r="AL1699">
        <v>77.656466462091103</v>
      </c>
      <c r="AM1699">
        <v>87.369976306209196</v>
      </c>
      <c r="AN1699">
        <v>1.0000000588045199</v>
      </c>
    </row>
    <row r="1700" spans="1:40" x14ac:dyDescent="0.25">
      <c r="A1700" t="str">
        <f>"20190303171012159"</f>
        <v>20190303171012159</v>
      </c>
      <c r="B1700" t="str">
        <f>"1551604212152248"</f>
        <v>1551604212152248</v>
      </c>
      <c r="C1700" t="s">
        <v>40</v>
      </c>
      <c r="D1700">
        <v>4.8480309999999998</v>
      </c>
      <c r="E1700">
        <v>0.50674699999999995</v>
      </c>
      <c r="F1700" t="s">
        <v>52</v>
      </c>
      <c r="G1700">
        <v>-477.66660000000002</v>
      </c>
      <c r="H1700">
        <v>8.0001069999999994E-2</v>
      </c>
      <c r="I1700">
        <v>289.97269999999997</v>
      </c>
      <c r="J1700">
        <v>-325.22070000000002</v>
      </c>
      <c r="K1700">
        <v>1.1201570000000001</v>
      </c>
      <c r="L1700">
        <v>284.10430000000002</v>
      </c>
      <c r="M1700">
        <v>-0.99989720000000004</v>
      </c>
      <c r="N1700">
        <v>-9.7486710000000004E-3</v>
      </c>
      <c r="O1700">
        <v>-1.051873E-2</v>
      </c>
      <c r="P1700">
        <v>-0.97833619999999999</v>
      </c>
      <c r="Q1700">
        <v>0.20411270000000001</v>
      </c>
      <c r="R1700">
        <v>3.4589499999999898E-2</v>
      </c>
      <c r="S1700">
        <v>-3.0668030000000002</v>
      </c>
      <c r="T1700">
        <v>-2.0884750000000001E-2</v>
      </c>
      <c r="U1700">
        <v>0.11776730000000001</v>
      </c>
      <c r="V1700">
        <v>4.4800329999999999E-2</v>
      </c>
      <c r="W1700">
        <v>0.21365300000000001</v>
      </c>
      <c r="X1700">
        <v>0.97588180000000002</v>
      </c>
      <c r="Y1700">
        <v>4.8878970000000001E-2</v>
      </c>
      <c r="Z1700">
        <v>3.7382319999999998E-4</v>
      </c>
      <c r="AA1700">
        <v>0.99880460000000004</v>
      </c>
      <c r="AB1700">
        <v>52</v>
      </c>
      <c r="AC1700">
        <v>-152.44589999999999</v>
      </c>
      <c r="AD1700">
        <v>-1.0401559300000001</v>
      </c>
      <c r="AE1700">
        <v>5.8683999999999497</v>
      </c>
      <c r="AF1700">
        <v>7.47134138827154</v>
      </c>
      <c r="AG1700">
        <v>-1.0401559300000001</v>
      </c>
      <c r="AH1700">
        <v>152.36865132101801</v>
      </c>
      <c r="AI1700">
        <v>90.390658472045203</v>
      </c>
      <c r="AJ1700">
        <v>87.192770750602193</v>
      </c>
      <c r="AK1700">
        <v>152.55526464820801</v>
      </c>
      <c r="AL1700">
        <v>77.663485986713795</v>
      </c>
      <c r="AM1700">
        <v>87.371537332891606</v>
      </c>
      <c r="AN1700">
        <v>0.99999998077417396</v>
      </c>
    </row>
    <row r="1701" spans="1:40" x14ac:dyDescent="0.25">
      <c r="A1701" t="str">
        <f>"20190303171012169"</f>
        <v>20190303171012169</v>
      </c>
      <c r="B1701" t="str">
        <f>"1551604212162008"</f>
        <v>1551604212162008</v>
      </c>
      <c r="C1701" t="s">
        <v>40</v>
      </c>
      <c r="D1701">
        <v>4.8454090000000001</v>
      </c>
      <c r="E1701">
        <v>0.51850669999999999</v>
      </c>
      <c r="F1701" t="s">
        <v>52</v>
      </c>
      <c r="G1701">
        <v>-472.65789999999998</v>
      </c>
      <c r="H1701">
        <v>8.0001089999999997E-2</v>
      </c>
      <c r="I1701">
        <v>289.75279999999998</v>
      </c>
      <c r="J1701">
        <v>-325.49770000000001</v>
      </c>
      <c r="K1701">
        <v>1.1201650000000001</v>
      </c>
      <c r="L1701">
        <v>284.10140000000001</v>
      </c>
      <c r="M1701">
        <v>-0.99989570000000005</v>
      </c>
      <c r="N1701">
        <v>-9.8742299999999995E-3</v>
      </c>
      <c r="O1701">
        <v>-1.055145E-2</v>
      </c>
      <c r="P1701">
        <v>-0.97836860000000003</v>
      </c>
      <c r="Q1701">
        <v>0.2039464</v>
      </c>
      <c r="R1701">
        <v>3.4658090000000003E-2</v>
      </c>
      <c r="S1701">
        <v>-3.0668030000000002</v>
      </c>
      <c r="T1701">
        <v>-2.1636010000000001E-2</v>
      </c>
      <c r="U1701">
        <v>0.11749270000000001</v>
      </c>
      <c r="V1701">
        <v>4.4905609999999999E-2</v>
      </c>
      <c r="W1701">
        <v>0.2136082</v>
      </c>
      <c r="X1701">
        <v>0.97588680000000005</v>
      </c>
      <c r="Y1701">
        <v>4.882218E-2</v>
      </c>
      <c r="Z1701">
        <v>3.8356039999999999E-4</v>
      </c>
      <c r="AA1701">
        <v>0.99880740000000001</v>
      </c>
      <c r="AB1701">
        <v>52</v>
      </c>
      <c r="AC1701">
        <v>-147.16019999999901</v>
      </c>
      <c r="AD1701">
        <v>-1.04016391</v>
      </c>
      <c r="AE1701">
        <v>5.6513999999999598</v>
      </c>
      <c r="AF1701">
        <v>7.2035550118708898</v>
      </c>
      <c r="AG1701">
        <v>-1.04016391</v>
      </c>
      <c r="AH1701">
        <v>147.08503615658299</v>
      </c>
      <c r="AI1701">
        <v>90.404695593116301</v>
      </c>
      <c r="AJ1701">
        <v>87.196154066247203</v>
      </c>
      <c r="AK1701">
        <v>147.26500265491501</v>
      </c>
      <c r="AL1701">
        <v>77.666113882001099</v>
      </c>
      <c r="AM1701">
        <v>87.365382663911006</v>
      </c>
      <c r="AN1701">
        <v>1.0000000116654699</v>
      </c>
    </row>
    <row r="1702" spans="1:40" x14ac:dyDescent="0.25">
      <c r="A1702" t="str">
        <f>"20190303171012181"</f>
        <v>20190303171012181</v>
      </c>
      <c r="B1702" t="str">
        <f>"1551604212172744"</f>
        <v>1551604212172744</v>
      </c>
      <c r="C1702" t="s">
        <v>40</v>
      </c>
      <c r="D1702">
        <v>4.7794589999999904</v>
      </c>
      <c r="E1702">
        <v>0.51919749999999998</v>
      </c>
      <c r="F1702" t="s">
        <v>60</v>
      </c>
      <c r="G1702">
        <v>-431.01979999999998</v>
      </c>
      <c r="H1702">
        <v>8.0000150000000006E-2</v>
      </c>
      <c r="I1702">
        <v>291.37689999999998</v>
      </c>
      <c r="J1702">
        <v>-325.75889999999998</v>
      </c>
      <c r="K1702">
        <v>1.1201749999999999</v>
      </c>
      <c r="L1702">
        <v>284.09859999999998</v>
      </c>
      <c r="M1702">
        <v>-0.99989410000000001</v>
      </c>
      <c r="N1702">
        <v>-9.9954740000000007E-3</v>
      </c>
      <c r="O1702">
        <v>-1.05819E-2</v>
      </c>
      <c r="P1702">
        <v>-0.97843069999999999</v>
      </c>
      <c r="Q1702">
        <v>0.2037245</v>
      </c>
      <c r="R1702">
        <v>3.4204610000000003E-2</v>
      </c>
      <c r="S1702">
        <v>-3.0651549999999999</v>
      </c>
      <c r="T1702">
        <v>-3.0214189999999998E-2</v>
      </c>
      <c r="U1702">
        <v>0.2113342</v>
      </c>
      <c r="V1702">
        <v>4.4486110000000002E-2</v>
      </c>
      <c r="W1702">
        <v>0.2135049</v>
      </c>
      <c r="X1702">
        <v>0.97592860000000003</v>
      </c>
      <c r="Y1702">
        <v>7.9329800000000006E-2</v>
      </c>
      <c r="Z1702">
        <v>7.8603570000000005E-4</v>
      </c>
      <c r="AA1702">
        <v>0.99684810000000001</v>
      </c>
      <c r="AB1702">
        <v>52</v>
      </c>
      <c r="AC1702">
        <v>-105.26090000000001</v>
      </c>
      <c r="AD1702">
        <v>-1.0401748500000001</v>
      </c>
      <c r="AE1702">
        <v>7.2782999999999998</v>
      </c>
      <c r="AF1702">
        <v>8.3909928651358499</v>
      </c>
      <c r="AG1702">
        <v>-1.0401748500000001</v>
      </c>
      <c r="AH1702">
        <v>105.167762866844</v>
      </c>
      <c r="AI1702">
        <v>90.564877547399902</v>
      </c>
      <c r="AJ1702">
        <v>85.438220187191206</v>
      </c>
      <c r="AK1702">
        <v>105.50710436457901</v>
      </c>
      <c r="AL1702">
        <v>77.672172081967105</v>
      </c>
      <c r="AM1702">
        <v>87.390072218331596</v>
      </c>
      <c r="AN1702">
        <v>0.99999999430245101</v>
      </c>
    </row>
    <row r="1703" spans="1:40" x14ac:dyDescent="0.25">
      <c r="A1703" t="str">
        <f>"20190303171012194"</f>
        <v>20190303171012194</v>
      </c>
      <c r="B1703" t="str">
        <f>"1551604212182504"</f>
        <v>1551604212182504</v>
      </c>
      <c r="C1703" t="s">
        <v>40</v>
      </c>
      <c r="D1703">
        <v>4.8502660000000004</v>
      </c>
      <c r="E1703">
        <v>0.51959709999999903</v>
      </c>
      <c r="F1703" t="s">
        <v>60</v>
      </c>
      <c r="G1703">
        <v>-435.67129999999997</v>
      </c>
      <c r="H1703">
        <v>7.9999979999999998E-2</v>
      </c>
      <c r="I1703">
        <v>291.82240000000002</v>
      </c>
      <c r="J1703">
        <v>-326.04000000000002</v>
      </c>
      <c r="K1703">
        <v>1.1201859999999999</v>
      </c>
      <c r="L1703">
        <v>284.09559999999999</v>
      </c>
      <c r="M1703">
        <v>-0.99989249999999996</v>
      </c>
      <c r="N1703">
        <v>-1.012891E-2</v>
      </c>
      <c r="O1703">
        <v>-1.061433E-2</v>
      </c>
      <c r="P1703">
        <v>-0.97841959999999994</v>
      </c>
      <c r="Q1703">
        <v>0.20379340000000001</v>
      </c>
      <c r="R1703">
        <v>3.4110019999999998E-2</v>
      </c>
      <c r="S1703">
        <v>-3.064667</v>
      </c>
      <c r="T1703">
        <v>-2.9003020000000001E-2</v>
      </c>
      <c r="U1703">
        <v>0.21536250000000001</v>
      </c>
      <c r="V1703">
        <v>4.4426779999999999E-2</v>
      </c>
      <c r="W1703">
        <v>0.2137029</v>
      </c>
      <c r="X1703">
        <v>0.97588799999999998</v>
      </c>
      <c r="Y1703">
        <v>8.0677219999999994E-2</v>
      </c>
      <c r="Z1703">
        <v>7.8335079999999999E-4</v>
      </c>
      <c r="AA1703">
        <v>0.99673999999999996</v>
      </c>
      <c r="AB1703">
        <v>52</v>
      </c>
      <c r="AC1703">
        <v>-109.631299999999</v>
      </c>
      <c r="AD1703">
        <v>-1.0401860199999999</v>
      </c>
      <c r="AE1703">
        <v>7.7268000000000203</v>
      </c>
      <c r="AF1703">
        <v>8.8892907296918899</v>
      </c>
      <c r="AG1703">
        <v>-1.0401860199999999</v>
      </c>
      <c r="AH1703">
        <v>109.53329267885699</v>
      </c>
      <c r="AI1703">
        <v>90.542311761366093</v>
      </c>
      <c r="AJ1703">
        <v>85.360268547591204</v>
      </c>
      <c r="AK1703">
        <v>109.898333389116</v>
      </c>
      <c r="AL1703">
        <v>77.660559930636495</v>
      </c>
      <c r="AM1703">
        <v>87.393439922579901</v>
      </c>
      <c r="AN1703">
        <v>1.00000002839678</v>
      </c>
    </row>
    <row r="1704" spans="1:40" x14ac:dyDescent="0.25">
      <c r="A1704" t="str">
        <f>"20190303171012208"</f>
        <v>20190303171012208</v>
      </c>
      <c r="B1704" t="str">
        <f>"1551604212202024"</f>
        <v>1551604212202024</v>
      </c>
      <c r="C1704" t="s">
        <v>40</v>
      </c>
      <c r="D1704">
        <v>4.7304969999999997</v>
      </c>
      <c r="E1704">
        <v>0.51989180000000002</v>
      </c>
      <c r="F1704" t="s">
        <v>60</v>
      </c>
      <c r="G1704">
        <v>-437.2099</v>
      </c>
      <c r="H1704">
        <v>8.0000249999999995E-2</v>
      </c>
      <c r="I1704">
        <v>292.00880000000001</v>
      </c>
      <c r="J1704">
        <v>-326.37470000000002</v>
      </c>
      <c r="K1704">
        <v>1.1202000000000001</v>
      </c>
      <c r="L1704">
        <v>284.09199999999998</v>
      </c>
      <c r="M1704">
        <v>-0.99989039999999996</v>
      </c>
      <c r="N1704">
        <v>-1.0293739999999999E-2</v>
      </c>
      <c r="O1704">
        <v>-1.0652160000000001E-2</v>
      </c>
      <c r="P1704">
        <v>-0.97845260000000001</v>
      </c>
      <c r="Q1704">
        <v>0.20367579999999999</v>
      </c>
      <c r="R1704">
        <v>3.3865520000000003E-2</v>
      </c>
      <c r="S1704">
        <v>-3.064575</v>
      </c>
      <c r="T1704">
        <v>-2.8674359999999999E-2</v>
      </c>
      <c r="U1704">
        <v>0.21813959999999999</v>
      </c>
      <c r="V1704">
        <v>4.4223369999999998E-2</v>
      </c>
      <c r="W1704">
        <v>0.21374570000000001</v>
      </c>
      <c r="X1704">
        <v>0.97588779999999997</v>
      </c>
      <c r="Y1704">
        <v>8.1615720000000003E-2</v>
      </c>
      <c r="Z1704">
        <v>7.9200639999999997E-4</v>
      </c>
      <c r="AA1704">
        <v>0.99666359999999998</v>
      </c>
      <c r="AB1704">
        <v>52</v>
      </c>
      <c r="AC1704">
        <v>-110.8352</v>
      </c>
      <c r="AD1704">
        <v>-1.04019975</v>
      </c>
      <c r="AE1704">
        <v>7.9168000000000198</v>
      </c>
      <c r="AF1704">
        <v>9.0962503508621904</v>
      </c>
      <c r="AG1704">
        <v>-1.04019975</v>
      </c>
      <c r="AH1704">
        <v>110.734871491424</v>
      </c>
      <c r="AI1704">
        <v>90.536391589673798</v>
      </c>
      <c r="AJ1704">
        <v>85.304015600702996</v>
      </c>
      <c r="AK1704">
        <v>111.112715519817</v>
      </c>
      <c r="AL1704">
        <v>77.658048867700401</v>
      </c>
      <c r="AM1704">
        <v>87.405357296762801</v>
      </c>
      <c r="AN1704">
        <v>0.99999996445574202</v>
      </c>
    </row>
    <row r="1705" spans="1:40" x14ac:dyDescent="0.25">
      <c r="A1705" t="str">
        <f>"20190303171012225"</f>
        <v>20190303171012225</v>
      </c>
      <c r="B1705" t="str">
        <f>"1551604212212760"</f>
        <v>1551604212212760</v>
      </c>
      <c r="C1705" t="s">
        <v>40</v>
      </c>
      <c r="D1705">
        <v>4.6591820000000004</v>
      </c>
      <c r="E1705">
        <v>0.51989180000000002</v>
      </c>
      <c r="F1705" t="s">
        <v>53</v>
      </c>
      <c r="G1705">
        <v>-443.91789999999997</v>
      </c>
      <c r="H1705">
        <v>8.0000829999999995E-2</v>
      </c>
      <c r="I1705">
        <v>292.5385</v>
      </c>
      <c r="J1705">
        <v>-326.75670000000002</v>
      </c>
      <c r="K1705">
        <v>1.1202240000000001</v>
      </c>
      <c r="L1705">
        <v>284.08800000000002</v>
      </c>
      <c r="M1705">
        <v>-0.99988779999999999</v>
      </c>
      <c r="N1705">
        <v>-1.048865E-2</v>
      </c>
      <c r="O1705">
        <v>-1.069494E-2</v>
      </c>
      <c r="P1705">
        <v>-0.97850389999999998</v>
      </c>
      <c r="Q1705">
        <v>0.20347570000000001</v>
      </c>
      <c r="R1705">
        <v>3.358688E-2</v>
      </c>
      <c r="S1705">
        <v>-3.0641479999999999</v>
      </c>
      <c r="T1705">
        <v>-2.711618E-2</v>
      </c>
      <c r="U1705">
        <v>0.2201843</v>
      </c>
      <c r="V1705">
        <v>4.3991179999999998E-2</v>
      </c>
      <c r="W1705">
        <v>0.21373590000000001</v>
      </c>
      <c r="X1705">
        <v>0.97590049999999995</v>
      </c>
      <c r="Y1705">
        <v>8.2330340000000002E-2</v>
      </c>
      <c r="Z1705">
        <v>7.7867189999999997E-4</v>
      </c>
      <c r="AA1705">
        <v>0.99660479999999996</v>
      </c>
      <c r="AB1705">
        <v>52</v>
      </c>
      <c r="AC1705">
        <v>-117.161199999999</v>
      </c>
      <c r="AD1705">
        <v>-1.04022317</v>
      </c>
      <c r="AE1705">
        <v>8.4505000000000301</v>
      </c>
      <c r="AF1705">
        <v>9.7023567041263608</v>
      </c>
      <c r="AG1705">
        <v>-1.04022317</v>
      </c>
      <c r="AH1705">
        <v>117.054936402237</v>
      </c>
      <c r="AI1705">
        <v>90.507412667625999</v>
      </c>
      <c r="AJ1705">
        <v>85.261744136428902</v>
      </c>
      <c r="AK1705">
        <v>117.46095489987</v>
      </c>
      <c r="AL1705">
        <v>77.658624375501901</v>
      </c>
      <c r="AM1705">
        <v>87.418995258767794</v>
      </c>
      <c r="AN1705">
        <v>1.00000002238342</v>
      </c>
    </row>
    <row r="1706" spans="1:40" x14ac:dyDescent="0.25">
      <c r="A1706" t="str">
        <f>"20190303171012242"</f>
        <v>20190303171012242</v>
      </c>
      <c r="B1706" t="str">
        <f>"1551604212232279"</f>
        <v>1551604212232279</v>
      </c>
      <c r="C1706" t="s">
        <v>40</v>
      </c>
      <c r="D1706">
        <v>4.6199019999999997</v>
      </c>
      <c r="E1706">
        <v>0.52470899999999998</v>
      </c>
      <c r="F1706" t="s">
        <v>53</v>
      </c>
      <c r="G1706">
        <v>-441.47039999999998</v>
      </c>
      <c r="H1706">
        <v>8.0000109999999999E-2</v>
      </c>
      <c r="I1706">
        <v>292.291</v>
      </c>
      <c r="J1706">
        <v>-327.14080000000001</v>
      </c>
      <c r="K1706">
        <v>1.120244</v>
      </c>
      <c r="L1706">
        <v>284.08390000000003</v>
      </c>
      <c r="M1706">
        <v>-0.99988520000000003</v>
      </c>
      <c r="N1706">
        <v>-1.0692220000000001E-2</v>
      </c>
      <c r="O1706">
        <v>-1.073876E-2</v>
      </c>
      <c r="P1706">
        <v>-0.97852850000000002</v>
      </c>
      <c r="Q1706">
        <v>0.20336009999999999</v>
      </c>
      <c r="R1706">
        <v>3.3563580000000003E-2</v>
      </c>
      <c r="S1706">
        <v>-3.064209</v>
      </c>
      <c r="T1706">
        <v>-2.7786249999999998E-2</v>
      </c>
      <c r="U1706">
        <v>0.21911620000000001</v>
      </c>
      <c r="V1706">
        <v>4.4013440000000001E-2</v>
      </c>
      <c r="W1706">
        <v>0.21381839999999999</v>
      </c>
      <c r="X1706">
        <v>0.97588140000000001</v>
      </c>
      <c r="Y1706">
        <v>8.2026680000000005E-2</v>
      </c>
      <c r="Z1706">
        <v>7.9313389999999999E-4</v>
      </c>
      <c r="AA1706">
        <v>0.99662980000000001</v>
      </c>
      <c r="AB1706">
        <v>52</v>
      </c>
      <c r="AC1706">
        <v>-114.329599999999</v>
      </c>
      <c r="AD1706">
        <v>-1.0402438899999999</v>
      </c>
      <c r="AE1706">
        <v>8.2070999999999596</v>
      </c>
      <c r="AF1706">
        <v>9.4336780279482202</v>
      </c>
      <c r="AG1706">
        <v>-1.0402438899999999</v>
      </c>
      <c r="AH1706">
        <v>114.22545993811499</v>
      </c>
      <c r="AI1706">
        <v>90.520004226214397</v>
      </c>
      <c r="AJ1706">
        <v>85.278758033437299</v>
      </c>
      <c r="AK1706">
        <v>114.61907383398101</v>
      </c>
      <c r="AL1706">
        <v>77.653785319907598</v>
      </c>
      <c r="AM1706">
        <v>87.417640537973298</v>
      </c>
      <c r="AN1706">
        <v>0.99999999897257597</v>
      </c>
    </row>
    <row r="1707" spans="1:40" x14ac:dyDescent="0.25">
      <c r="A1707" t="str">
        <f>"20190303171012255"</f>
        <v>20190303171012255</v>
      </c>
      <c r="B1707" t="str">
        <f>"1551604212242040"</f>
        <v>1551604212242040</v>
      </c>
      <c r="C1707" t="s">
        <v>40</v>
      </c>
      <c r="D1707">
        <v>4.5498070000000004</v>
      </c>
      <c r="E1707">
        <v>0.52408580000000005</v>
      </c>
      <c r="F1707" t="s">
        <v>53</v>
      </c>
      <c r="G1707">
        <v>-393.46050000000002</v>
      </c>
      <c r="H1707" s="1">
        <v>9.6546859999999999E-5</v>
      </c>
      <c r="I1707">
        <v>289.61630000000002</v>
      </c>
      <c r="J1707">
        <v>-327.49700000000001</v>
      </c>
      <c r="K1707">
        <v>1.1202719999999999</v>
      </c>
      <c r="L1707">
        <v>284.08</v>
      </c>
      <c r="M1707">
        <v>-0.99988270000000001</v>
      </c>
      <c r="N1707">
        <v>-1.0886420000000001E-2</v>
      </c>
      <c r="O1707">
        <v>-1.078055E-2</v>
      </c>
      <c r="P1707">
        <v>-0.97854779999999997</v>
      </c>
      <c r="Q1707">
        <v>0.2032486</v>
      </c>
      <c r="R1707">
        <v>3.3678550000000002E-2</v>
      </c>
      <c r="S1707">
        <v>-3.0678100000000001</v>
      </c>
      <c r="T1707">
        <v>-5.1815630000000001E-2</v>
      </c>
      <c r="U1707">
        <v>0.25592039999999999</v>
      </c>
      <c r="V1707">
        <v>4.4171120000000001E-2</v>
      </c>
      <c r="W1707">
        <v>0.21389659999999999</v>
      </c>
      <c r="X1707">
        <v>0.97585710000000003</v>
      </c>
      <c r="Y1707">
        <v>9.3849370000000001E-2</v>
      </c>
      <c r="Z1707">
        <v>1.367561E-3</v>
      </c>
      <c r="AA1707">
        <v>0.99558539999999995</v>
      </c>
      <c r="AB1707">
        <v>52</v>
      </c>
      <c r="AC1707">
        <v>-65.963499999999996</v>
      </c>
      <c r="AD1707">
        <v>-1.1201754531400001</v>
      </c>
      <c r="AE1707">
        <v>5.5363000000000397</v>
      </c>
      <c r="AF1707">
        <v>6.2453547019349802</v>
      </c>
      <c r="AG1707">
        <v>-1.1201754531400001</v>
      </c>
      <c r="AH1707">
        <v>65.881112513838602</v>
      </c>
      <c r="AI1707">
        <v>90.969758511517199</v>
      </c>
      <c r="AJ1707">
        <v>84.584695013283905</v>
      </c>
      <c r="AK1707">
        <v>66.185951941932998</v>
      </c>
      <c r="AL1707">
        <v>77.649198206952093</v>
      </c>
      <c r="AM1707">
        <v>87.408337271549499</v>
      </c>
      <c r="AN1707">
        <v>0.99999996147701098</v>
      </c>
    </row>
    <row r="1708" spans="1:40" x14ac:dyDescent="0.25">
      <c r="A1708" t="str">
        <f>"20190303171012270"</f>
        <v>20190303171012270</v>
      </c>
      <c r="B1708" t="str">
        <f>"1551604212262535"</f>
        <v>1551604212262535</v>
      </c>
      <c r="C1708" t="s">
        <v>40</v>
      </c>
      <c r="D1708">
        <v>4.7300319999999996</v>
      </c>
      <c r="E1708">
        <v>0.52249309999999904</v>
      </c>
      <c r="F1708" t="s">
        <v>53</v>
      </c>
      <c r="G1708">
        <v>-392.39049999999997</v>
      </c>
      <c r="H1708" s="1">
        <v>-2.6467390000000001E-7</v>
      </c>
      <c r="I1708">
        <v>289.3922</v>
      </c>
      <c r="J1708">
        <v>-327.82810000000001</v>
      </c>
      <c r="K1708">
        <v>1.1202939999999999</v>
      </c>
      <c r="L1708">
        <v>284.07639999999998</v>
      </c>
      <c r="M1708">
        <v>-0.9998804</v>
      </c>
      <c r="N1708">
        <v>-1.1069509999999999E-2</v>
      </c>
      <c r="O1708">
        <v>-1.0810760000000001E-2</v>
      </c>
      <c r="P1708">
        <v>-0.97857340000000004</v>
      </c>
      <c r="Q1708">
        <v>0.20313149999999999</v>
      </c>
      <c r="R1708">
        <v>3.3647089999999998E-2</v>
      </c>
      <c r="S1708">
        <v>-3.0681150000000001</v>
      </c>
      <c r="T1708">
        <v>-5.2965640000000001E-2</v>
      </c>
      <c r="U1708">
        <v>0.25115969999999999</v>
      </c>
      <c r="V1708">
        <v>4.417008E-2</v>
      </c>
      <c r="W1708">
        <v>0.21395810000000001</v>
      </c>
      <c r="X1708">
        <v>0.97584369999999998</v>
      </c>
      <c r="Y1708">
        <v>9.233624E-2</v>
      </c>
      <c r="Z1708">
        <v>1.3744740000000001E-3</v>
      </c>
      <c r="AA1708">
        <v>0.99572689999999997</v>
      </c>
      <c r="AB1708">
        <v>52</v>
      </c>
      <c r="AC1708">
        <v>-64.562399999999897</v>
      </c>
      <c r="AD1708">
        <v>-1.12029426467389</v>
      </c>
      <c r="AE1708">
        <v>5.3158000000000198</v>
      </c>
      <c r="AF1708">
        <v>6.0117027072671698</v>
      </c>
      <c r="AG1708">
        <v>-1.12029426467389</v>
      </c>
      <c r="AH1708">
        <v>64.481870793872602</v>
      </c>
      <c r="AI1708">
        <v>90.991047596988494</v>
      </c>
      <c r="AJ1708">
        <v>84.673659610962702</v>
      </c>
      <c r="AK1708">
        <v>64.771191819802894</v>
      </c>
      <c r="AL1708">
        <v>77.645591437362</v>
      </c>
      <c r="AM1708">
        <v>87.408362669926802</v>
      </c>
      <c r="AN1708">
        <v>0.99999999567625297</v>
      </c>
    </row>
    <row r="1709" spans="1:40" x14ac:dyDescent="0.25">
      <c r="A1709" t="str">
        <f>"20190303171012284"</f>
        <v>20190303171012284</v>
      </c>
      <c r="B1709" t="str">
        <f>"1551604212272296"</f>
        <v>1551604212272296</v>
      </c>
      <c r="C1709" t="s">
        <v>40</v>
      </c>
      <c r="D1709">
        <v>4.7274960000000004</v>
      </c>
      <c r="E1709">
        <v>0.52211419999999997</v>
      </c>
      <c r="F1709" t="s">
        <v>53</v>
      </c>
      <c r="G1709">
        <v>-398.98410000000001</v>
      </c>
      <c r="H1709">
        <v>3.4767630000000001E-2</v>
      </c>
      <c r="I1709">
        <v>289.61630000000002</v>
      </c>
      <c r="J1709">
        <v>-328.15750000000003</v>
      </c>
      <c r="K1709">
        <v>1.1203099999999999</v>
      </c>
      <c r="L1709">
        <v>284.07279999999997</v>
      </c>
      <c r="M1709">
        <v>-0.99987789999999999</v>
      </c>
      <c r="N1709">
        <v>-1.125483E-2</v>
      </c>
      <c r="O1709">
        <v>-1.0839440000000001E-2</v>
      </c>
      <c r="P1709">
        <v>-0.97861849999999995</v>
      </c>
      <c r="Q1709">
        <v>0.20289499999999999</v>
      </c>
      <c r="R1709">
        <v>3.3757080000000002E-2</v>
      </c>
      <c r="S1709">
        <v>-3.0671689999999998</v>
      </c>
      <c r="T1709">
        <v>-4.6791430000000002E-2</v>
      </c>
      <c r="U1709">
        <v>0.23880000000000001</v>
      </c>
      <c r="V1709">
        <v>4.4309729999999999E-2</v>
      </c>
      <c r="W1709">
        <v>0.2139027</v>
      </c>
      <c r="X1709">
        <v>0.97584950000000004</v>
      </c>
      <c r="Y1709">
        <v>8.8406879999999993E-2</v>
      </c>
      <c r="Z1709">
        <v>1.2149260000000001E-3</v>
      </c>
      <c r="AA1709">
        <v>0.99608370000000002</v>
      </c>
      <c r="AB1709">
        <v>52</v>
      </c>
      <c r="AC1709">
        <v>-70.8265999999999</v>
      </c>
      <c r="AD1709">
        <v>-1.08554237</v>
      </c>
      <c r="AE1709">
        <v>5.5435000000000496</v>
      </c>
      <c r="AF1709">
        <v>6.30947047345329</v>
      </c>
      <c r="AG1709">
        <v>-1.08554237</v>
      </c>
      <c r="AH1709">
        <v>70.745828589544701</v>
      </c>
      <c r="AI1709">
        <v>90.8756174570468</v>
      </c>
      <c r="AJ1709">
        <v>84.903556650278901</v>
      </c>
      <c r="AK1709">
        <v>71.034921571813499</v>
      </c>
      <c r="AL1709">
        <v>77.648840678773198</v>
      </c>
      <c r="AM1709">
        <v>87.400195494957302</v>
      </c>
      <c r="AN1709">
        <v>0.99999998194510598</v>
      </c>
    </row>
    <row r="1710" spans="1:40" x14ac:dyDescent="0.25">
      <c r="A1710" t="str">
        <f>"20190303171012302"</f>
        <v>20190303171012302</v>
      </c>
      <c r="B1710" t="str">
        <f>"1551604212292793"</f>
        <v>1551604212292793</v>
      </c>
      <c r="C1710" t="s">
        <v>40</v>
      </c>
      <c r="D1710">
        <v>4.7834059999999896</v>
      </c>
      <c r="E1710">
        <v>0.52171219999999996</v>
      </c>
      <c r="F1710" t="s">
        <v>60</v>
      </c>
      <c r="G1710">
        <v>-400.0804</v>
      </c>
      <c r="H1710">
        <v>5.3812560000000002E-2</v>
      </c>
      <c r="I1710">
        <v>289.62009999999998</v>
      </c>
      <c r="J1710">
        <v>-328.57990000000001</v>
      </c>
      <c r="K1710">
        <v>1.120336</v>
      </c>
      <c r="L1710">
        <v>284.06810000000002</v>
      </c>
      <c r="M1710">
        <v>-0.99987479999999995</v>
      </c>
      <c r="N1710">
        <v>-1.1497220000000001E-2</v>
      </c>
      <c r="O1710">
        <v>-1.0876510000000001E-2</v>
      </c>
      <c r="P1710">
        <v>-0.97868250000000001</v>
      </c>
      <c r="Q1710">
        <v>0.2026038</v>
      </c>
      <c r="R1710">
        <v>3.3650899999999997E-2</v>
      </c>
      <c r="S1710">
        <v>-3.0668030000000002</v>
      </c>
      <c r="T1710">
        <v>-4.5475599999999998E-2</v>
      </c>
      <c r="U1710">
        <v>0.23654169999999999</v>
      </c>
      <c r="V1710">
        <v>4.4243539999999998E-2</v>
      </c>
      <c r="W1710">
        <v>0.21384819999999999</v>
      </c>
      <c r="X1710">
        <v>0.97586450000000002</v>
      </c>
      <c r="Y1710">
        <v>8.7724699999999906E-2</v>
      </c>
      <c r="Z1710">
        <v>1.1907059999999999E-3</v>
      </c>
      <c r="AA1710">
        <v>0.99614409999999998</v>
      </c>
      <c r="AB1710">
        <v>52</v>
      </c>
      <c r="AC1710">
        <v>-71.500499999999903</v>
      </c>
      <c r="AD1710">
        <v>-1.0665234400000001</v>
      </c>
      <c r="AE1710">
        <v>5.5519999999999596</v>
      </c>
      <c r="AF1710">
        <v>6.3279993010951596</v>
      </c>
      <c r="AG1710">
        <v>-1.0665234400000001</v>
      </c>
      <c r="AH1710">
        <v>71.420084283597006</v>
      </c>
      <c r="AI1710">
        <v>90.852202126506498</v>
      </c>
      <c r="AJ1710">
        <v>84.936671769847393</v>
      </c>
      <c r="AK1710">
        <v>71.707806314785799</v>
      </c>
      <c r="AL1710">
        <v>77.652037904154895</v>
      </c>
      <c r="AM1710">
        <v>87.404113621119507</v>
      </c>
      <c r="AN1710">
        <v>1.00000003291761</v>
      </c>
    </row>
    <row r="1711" spans="1:40" x14ac:dyDescent="0.25">
      <c r="A1711" t="str">
        <f>"20190303171012315"</f>
        <v>20190303171012315</v>
      </c>
      <c r="B1711" t="str">
        <f>"1551604212302552"</f>
        <v>1551604212302552</v>
      </c>
      <c r="C1711" t="s">
        <v>40</v>
      </c>
      <c r="D1711">
        <v>4.5881610000000004</v>
      </c>
      <c r="E1711">
        <v>0.52145240000000004</v>
      </c>
      <c r="F1711" t="s">
        <v>60</v>
      </c>
      <c r="G1711">
        <v>-401.73110000000003</v>
      </c>
      <c r="H1711">
        <v>6.3669030000000001E-2</v>
      </c>
      <c r="I1711">
        <v>289.63</v>
      </c>
      <c r="J1711">
        <v>-328.89210000000003</v>
      </c>
      <c r="K1711">
        <v>1.1203559999999999</v>
      </c>
      <c r="L1711">
        <v>284.06470000000002</v>
      </c>
      <c r="M1711">
        <v>-0.99987250000000005</v>
      </c>
      <c r="N1711">
        <v>-1.167904E-2</v>
      </c>
      <c r="O1711">
        <v>-1.090609E-2</v>
      </c>
      <c r="P1711">
        <v>-0.97872910000000002</v>
      </c>
      <c r="Q1711">
        <v>0.20238490000000001</v>
      </c>
      <c r="R1711">
        <v>3.361331E-2</v>
      </c>
      <c r="S1711">
        <v>-3.0664980000000002</v>
      </c>
      <c r="T1711">
        <v>-4.4295429999999997E-2</v>
      </c>
      <c r="U1711">
        <v>0.23315429999999901</v>
      </c>
      <c r="V1711">
        <v>4.4238600000000003E-2</v>
      </c>
      <c r="W1711">
        <v>0.21380669999999999</v>
      </c>
      <c r="X1711">
        <v>0.97587380000000001</v>
      </c>
      <c r="Y1711">
        <v>8.6668540000000002E-2</v>
      </c>
      <c r="Z1711">
        <v>1.1620599999999999E-3</v>
      </c>
      <c r="AA1711">
        <v>0.99623649999999997</v>
      </c>
      <c r="AB1711">
        <v>52</v>
      </c>
      <c r="AC1711">
        <v>-72.838999999999999</v>
      </c>
      <c r="AD1711">
        <v>-1.0566869699999999</v>
      </c>
      <c r="AE1711">
        <v>5.5652999999999704</v>
      </c>
      <c r="AF1711">
        <v>6.3580813579447799</v>
      </c>
      <c r="AG1711">
        <v>-1.0566869699999999</v>
      </c>
      <c r="AH1711">
        <v>72.758743890521998</v>
      </c>
      <c r="AI1711">
        <v>90.828898958857494</v>
      </c>
      <c r="AJ1711">
        <v>85.005848682239403</v>
      </c>
      <c r="AK1711">
        <v>73.0436622742411</v>
      </c>
      <c r="AL1711">
        <v>77.654471764710493</v>
      </c>
      <c r="AM1711">
        <v>87.404427769675095</v>
      </c>
      <c r="AN1711">
        <v>1.0000000161106399</v>
      </c>
    </row>
    <row r="1712" spans="1:40" x14ac:dyDescent="0.25">
      <c r="A1712" t="str">
        <f>"20190303171012326"</f>
        <v>20190303171012326</v>
      </c>
      <c r="B1712" t="str">
        <f>"1551604212322072"</f>
        <v>1551604212322072</v>
      </c>
      <c r="C1712" t="s">
        <v>40</v>
      </c>
      <c r="D1712">
        <v>4.5674519999999896</v>
      </c>
      <c r="E1712">
        <v>0.52130159999999903</v>
      </c>
      <c r="F1712" t="s">
        <v>60</v>
      </c>
      <c r="G1712">
        <v>-402.7475</v>
      </c>
      <c r="H1712">
        <v>6.187786E-2</v>
      </c>
      <c r="I1712">
        <v>289.62819999999999</v>
      </c>
      <c r="J1712">
        <v>-329.15359999999998</v>
      </c>
      <c r="K1712">
        <v>1.120368</v>
      </c>
      <c r="L1712">
        <v>284.06180000000001</v>
      </c>
      <c r="M1712">
        <v>-0.99987029999999999</v>
      </c>
      <c r="N1712">
        <v>-1.183059E-2</v>
      </c>
      <c r="O1712">
        <v>-1.0933729999999999E-2</v>
      </c>
      <c r="P1712">
        <v>-0.97875480000000004</v>
      </c>
      <c r="Q1712">
        <v>0.20226469999999999</v>
      </c>
      <c r="R1712">
        <v>3.3589090000000002E-2</v>
      </c>
      <c r="S1712">
        <v>-3.0663450000000001</v>
      </c>
      <c r="T1712">
        <v>-4.3946150000000003E-2</v>
      </c>
      <c r="U1712">
        <v>0.23098750000000001</v>
      </c>
      <c r="V1712">
        <v>4.424471E-2</v>
      </c>
      <c r="W1712">
        <v>0.2138342</v>
      </c>
      <c r="X1712">
        <v>0.9758675</v>
      </c>
      <c r="Y1712">
        <v>8.6000080000000007E-2</v>
      </c>
      <c r="Z1712">
        <v>1.152187E-3</v>
      </c>
      <c r="AA1712">
        <v>0.99629440000000002</v>
      </c>
      <c r="AB1712">
        <v>52</v>
      </c>
      <c r="AC1712">
        <v>-73.593900000000005</v>
      </c>
      <c r="AD1712">
        <v>-1.05849014</v>
      </c>
      <c r="AE1712">
        <v>5.5663999999999803</v>
      </c>
      <c r="AF1712">
        <v>6.36946918607957</v>
      </c>
      <c r="AG1712">
        <v>-1.05849014</v>
      </c>
      <c r="AH1712">
        <v>73.513513566419107</v>
      </c>
      <c r="AI1712">
        <v>90.821842176738102</v>
      </c>
      <c r="AJ1712">
        <v>85.048059151090001</v>
      </c>
      <c r="AK1712">
        <v>73.796525771671597</v>
      </c>
      <c r="AL1712">
        <v>77.652858858409303</v>
      </c>
      <c r="AM1712">
        <v>87.4040530375445</v>
      </c>
      <c r="AN1712">
        <v>1.00000001850443</v>
      </c>
    </row>
    <row r="1713" spans="1:40" x14ac:dyDescent="0.25">
      <c r="A1713" t="str">
        <f>"20190303171012339"</f>
        <v>20190303171012339</v>
      </c>
      <c r="B1713" t="str">
        <f>"1551604212331832"</f>
        <v>1551604212331832</v>
      </c>
      <c r="C1713" t="s">
        <v>40</v>
      </c>
      <c r="D1713">
        <v>4.6143710000000002</v>
      </c>
      <c r="E1713">
        <v>0.52128599999999903</v>
      </c>
      <c r="F1713" t="s">
        <v>60</v>
      </c>
      <c r="G1713">
        <v>-403.55959999999999</v>
      </c>
      <c r="H1713">
        <v>6.8295880000000003E-2</v>
      </c>
      <c r="I1713">
        <v>289.63459999999998</v>
      </c>
      <c r="J1713">
        <v>-329.4443</v>
      </c>
      <c r="K1713">
        <v>1.1203829999999999</v>
      </c>
      <c r="L1713">
        <v>284.05860000000001</v>
      </c>
      <c r="M1713">
        <v>-0.99986799999999998</v>
      </c>
      <c r="N1713">
        <v>-1.199951E-2</v>
      </c>
      <c r="O1713">
        <v>-1.0965280000000001E-2</v>
      </c>
      <c r="P1713">
        <v>-0.9787669</v>
      </c>
      <c r="Q1713">
        <v>0.20221349999999999</v>
      </c>
      <c r="R1713">
        <v>3.354563E-2</v>
      </c>
      <c r="S1713">
        <v>-3.0661320000000001</v>
      </c>
      <c r="T1713">
        <v>-4.3353919999999997E-2</v>
      </c>
      <c r="U1713">
        <v>0.22964480000000001</v>
      </c>
      <c r="V1713">
        <v>4.4235459999999997E-2</v>
      </c>
      <c r="W1713">
        <v>0.2139469</v>
      </c>
      <c r="X1713">
        <v>0.97584320000000002</v>
      </c>
      <c r="Y1713">
        <v>8.5603209999999999E-2</v>
      </c>
      <c r="Z1713">
        <v>1.142152E-3</v>
      </c>
      <c r="AA1713">
        <v>0.99632869999999996</v>
      </c>
      <c r="AB1713">
        <v>52</v>
      </c>
      <c r="AC1713">
        <v>-74.115299999999905</v>
      </c>
      <c r="AD1713">
        <v>-1.0520871199999999</v>
      </c>
      <c r="AE1713">
        <v>5.5759999999999597</v>
      </c>
      <c r="AF1713">
        <v>6.38713835167911</v>
      </c>
      <c r="AG1713">
        <v>-1.0520871199999999</v>
      </c>
      <c r="AH1713">
        <v>74.0348622227351</v>
      </c>
      <c r="AI1713">
        <v>90.811145634712204</v>
      </c>
      <c r="AJ1713">
        <v>85.069185348857104</v>
      </c>
      <c r="AK1713">
        <v>74.317314590685598</v>
      </c>
      <c r="AL1713">
        <v>77.646248434419604</v>
      </c>
      <c r="AM1713">
        <v>87.404530474604798</v>
      </c>
      <c r="AN1713">
        <v>1.0000000014636301</v>
      </c>
    </row>
    <row r="1714" spans="1:40" x14ac:dyDescent="0.25">
      <c r="A1714" t="str">
        <f>"20190303171012350"</f>
        <v>20190303171012350</v>
      </c>
      <c r="B1714" t="str">
        <f>"1551604212342569"</f>
        <v>1551604212342569</v>
      </c>
      <c r="C1714" t="s">
        <v>40</v>
      </c>
      <c r="D1714">
        <v>4.8483580000000002</v>
      </c>
      <c r="E1714">
        <v>0.52124929999999903</v>
      </c>
      <c r="F1714" t="s">
        <v>60</v>
      </c>
      <c r="G1714">
        <v>-404.06610000000001</v>
      </c>
      <c r="H1714">
        <v>7.2365070000000004E-2</v>
      </c>
      <c r="I1714">
        <v>289.63869999999997</v>
      </c>
      <c r="J1714">
        <v>-329.72379999999998</v>
      </c>
      <c r="K1714">
        <v>1.1203920000000001</v>
      </c>
      <c r="L1714">
        <v>284.05549999999999</v>
      </c>
      <c r="M1714">
        <v>-0.99986549999999996</v>
      </c>
      <c r="N1714">
        <v>-1.2163200000000001E-2</v>
      </c>
      <c r="O1714">
        <v>-1.099719E-2</v>
      </c>
      <c r="P1714">
        <v>-0.97880489999999998</v>
      </c>
      <c r="Q1714">
        <v>0.2020701</v>
      </c>
      <c r="R1714">
        <v>3.3297899999999998E-2</v>
      </c>
      <c r="S1714">
        <v>-3.0661010000000002</v>
      </c>
      <c r="T1714">
        <v>-4.3061490000000001E-2</v>
      </c>
      <c r="U1714">
        <v>0.2292786</v>
      </c>
      <c r="V1714">
        <v>4.4022550000000001E-2</v>
      </c>
      <c r="W1714">
        <v>0.21396319999999999</v>
      </c>
      <c r="X1714">
        <v>0.97584930000000003</v>
      </c>
      <c r="Y1714">
        <v>8.5517499999999996E-2</v>
      </c>
      <c r="Z1714">
        <v>1.1412010000000001E-3</v>
      </c>
      <c r="AA1714">
        <v>0.996336</v>
      </c>
      <c r="AB1714">
        <v>52</v>
      </c>
      <c r="AC1714">
        <v>-74.342299999999994</v>
      </c>
      <c r="AD1714">
        <v>-1.04802693</v>
      </c>
      <c r="AE1714">
        <v>5.5831999999999704</v>
      </c>
      <c r="AF1714">
        <v>6.3992146396709897</v>
      </c>
      <c r="AG1714">
        <v>-1.04802693</v>
      </c>
      <c r="AH1714">
        <v>74.261724149355103</v>
      </c>
      <c r="AI1714">
        <v>90.805554575069905</v>
      </c>
      <c r="AJ1714">
        <v>85.074925780902703</v>
      </c>
      <c r="AK1714">
        <v>74.544295436240404</v>
      </c>
      <c r="AL1714">
        <v>77.645292934223605</v>
      </c>
      <c r="AM1714">
        <v>87.417021911511</v>
      </c>
      <c r="AN1714">
        <v>1.0000000460866101</v>
      </c>
    </row>
    <row r="1715" spans="1:40" x14ac:dyDescent="0.25">
      <c r="A1715" t="str">
        <f>"20190303171012364"</f>
        <v>20190303171012364</v>
      </c>
      <c r="B1715" t="str">
        <f>"1551604212352328"</f>
        <v>1551604212352328</v>
      </c>
      <c r="C1715" t="s">
        <v>40</v>
      </c>
      <c r="D1715">
        <v>4.593915</v>
      </c>
      <c r="E1715">
        <v>0.52122559999999996</v>
      </c>
      <c r="F1715" t="s">
        <v>60</v>
      </c>
      <c r="G1715">
        <v>-404.7593</v>
      </c>
      <c r="H1715">
        <v>7.1979080000000001E-2</v>
      </c>
      <c r="I1715">
        <v>289.63830000000002</v>
      </c>
      <c r="J1715">
        <v>-330.01319999999998</v>
      </c>
      <c r="K1715">
        <v>1.1204080000000001</v>
      </c>
      <c r="L1715">
        <v>284.0523</v>
      </c>
      <c r="M1715">
        <v>-0.9998631</v>
      </c>
      <c r="N1715">
        <v>-1.2331760000000001E-2</v>
      </c>
      <c r="O1715">
        <v>-1.103057E-2</v>
      </c>
      <c r="P1715">
        <v>-0.97882919999999995</v>
      </c>
      <c r="Q1715">
        <v>0.20197519999999999</v>
      </c>
      <c r="R1715">
        <v>3.3161900000000001E-2</v>
      </c>
      <c r="S1715">
        <v>-3.0660400000000001</v>
      </c>
      <c r="T1715">
        <v>-4.2839410000000001E-2</v>
      </c>
      <c r="U1715">
        <v>0.22811890000000001</v>
      </c>
      <c r="V1715">
        <v>4.3921950000000001E-2</v>
      </c>
      <c r="W1715">
        <v>0.21403259999999999</v>
      </c>
      <c r="X1715">
        <v>0.97583850000000005</v>
      </c>
      <c r="Y1715">
        <v>8.5177589999999997E-2</v>
      </c>
      <c r="Z1715">
        <v>1.138282E-3</v>
      </c>
      <c r="AA1715">
        <v>0.9963651</v>
      </c>
      <c r="AB1715">
        <v>52</v>
      </c>
      <c r="AC1715">
        <v>-74.746099999999998</v>
      </c>
      <c r="AD1715">
        <v>-1.0484289200000001</v>
      </c>
      <c r="AE1715">
        <v>5.5860000000000101</v>
      </c>
      <c r="AF1715">
        <v>6.4089609854631497</v>
      </c>
      <c r="AG1715">
        <v>-1.0484289200000001</v>
      </c>
      <c r="AH1715">
        <v>74.665322063918197</v>
      </c>
      <c r="AI1715">
        <v>90.8015309911478</v>
      </c>
      <c r="AJ1715">
        <v>85.093993600608698</v>
      </c>
      <c r="AK1715">
        <v>74.947210108329699</v>
      </c>
      <c r="AL1715">
        <v>77.641220910801195</v>
      </c>
      <c r="AM1715">
        <v>87.422888063622807</v>
      </c>
      <c r="AN1715">
        <v>0.99999993481840399</v>
      </c>
    </row>
    <row r="1716" spans="1:40" x14ac:dyDescent="0.25">
      <c r="A1716" t="str">
        <f>"20190303171012374"</f>
        <v>20190303171012374</v>
      </c>
      <c r="B1716" t="str">
        <f>"1551604212362088"</f>
        <v>1551604212362088</v>
      </c>
      <c r="C1716" t="s">
        <v>40</v>
      </c>
      <c r="D1716">
        <v>4.6066370000000001</v>
      </c>
      <c r="E1716">
        <v>0.52130350000000003</v>
      </c>
      <c r="F1716" t="s">
        <v>60</v>
      </c>
      <c r="G1716">
        <v>-405.36840000000001</v>
      </c>
      <c r="H1716">
        <v>7.6641340000000002E-2</v>
      </c>
      <c r="I1716">
        <v>289.64319999999998</v>
      </c>
      <c r="J1716">
        <v>-330.28230000000002</v>
      </c>
      <c r="K1716">
        <v>1.120422</v>
      </c>
      <c r="L1716">
        <v>284.04930000000002</v>
      </c>
      <c r="M1716">
        <v>-0.99986090000000005</v>
      </c>
      <c r="N1716">
        <v>-1.248793E-2</v>
      </c>
      <c r="O1716">
        <v>-1.1061639999999999E-2</v>
      </c>
      <c r="P1716">
        <v>-0.97882899999999995</v>
      </c>
      <c r="Q1716">
        <v>0.20196520000000001</v>
      </c>
      <c r="R1716">
        <v>3.3231730000000001E-2</v>
      </c>
      <c r="S1716">
        <v>-3.065979</v>
      </c>
      <c r="T1716">
        <v>-4.2467709999999999E-2</v>
      </c>
      <c r="U1716">
        <v>0.22747800000000001</v>
      </c>
      <c r="V1716">
        <v>4.4024149999999998E-2</v>
      </c>
      <c r="W1716">
        <v>0.21417430000000001</v>
      </c>
      <c r="X1716">
        <v>0.97580290000000003</v>
      </c>
      <c r="Y1716">
        <v>8.500307E-2</v>
      </c>
      <c r="Z1716">
        <v>1.1344910000000001E-3</v>
      </c>
      <c r="AA1716">
        <v>0.99638000000000004</v>
      </c>
      <c r="AB1716">
        <v>52</v>
      </c>
      <c r="AC1716">
        <v>-75.086099999999902</v>
      </c>
      <c r="AD1716">
        <v>-1.0437806599999999</v>
      </c>
      <c r="AE1716">
        <v>5.5938999999999597</v>
      </c>
      <c r="AF1716">
        <v>6.4229634975137202</v>
      </c>
      <c r="AG1716">
        <v>-1.0437806599999999</v>
      </c>
      <c r="AH1716">
        <v>75.0052087667639</v>
      </c>
      <c r="AI1716">
        <v>90.794375920950003</v>
      </c>
      <c r="AJ1716">
        <v>85.105498743959203</v>
      </c>
      <c r="AK1716">
        <v>75.286952922152594</v>
      </c>
      <c r="AL1716">
        <v>77.632910533650701</v>
      </c>
      <c r="AM1716">
        <v>87.416805500090803</v>
      </c>
      <c r="AN1716">
        <v>1.0000000281060599</v>
      </c>
    </row>
    <row r="1717" spans="1:40" x14ac:dyDescent="0.25">
      <c r="A1717" t="str">
        <f>"20190303171012391"</f>
        <v>20190303171012391</v>
      </c>
      <c r="B1717" t="str">
        <f>"1551604212382587"</f>
        <v>1551604212382587</v>
      </c>
      <c r="C1717" t="s">
        <v>40</v>
      </c>
      <c r="D1717">
        <v>4.6050630000000004</v>
      </c>
      <c r="E1717">
        <v>0.52149639999999997</v>
      </c>
      <c r="F1717" t="s">
        <v>60</v>
      </c>
      <c r="G1717">
        <v>-405.81950000000001</v>
      </c>
      <c r="H1717">
        <v>8.0000600000000005E-2</v>
      </c>
      <c r="I1717">
        <v>289.6773</v>
      </c>
      <c r="J1717">
        <v>-330.6592</v>
      </c>
      <c r="K1717">
        <v>1.1204459999999901</v>
      </c>
      <c r="L1717">
        <v>284.04520000000002</v>
      </c>
      <c r="M1717">
        <v>-0.99985780000000002</v>
      </c>
      <c r="N1717">
        <v>-1.270286E-2</v>
      </c>
      <c r="O1717">
        <v>-1.1102880000000001E-2</v>
      </c>
      <c r="P1717">
        <v>-0.97884110000000002</v>
      </c>
      <c r="Q1717">
        <v>0.20193720000000001</v>
      </c>
      <c r="R1717">
        <v>3.3042160000000001E-2</v>
      </c>
      <c r="S1717">
        <v>-3.0658569999999998</v>
      </c>
      <c r="T1717">
        <v>-4.2227979999999998E-2</v>
      </c>
      <c r="U1717">
        <v>0.22842409999999999</v>
      </c>
      <c r="V1717">
        <v>4.387688E-2</v>
      </c>
      <c r="W1717">
        <v>0.21435589999999999</v>
      </c>
      <c r="X1717">
        <v>0.97576960000000001</v>
      </c>
      <c r="Y1717">
        <v>8.5352819999999996E-2</v>
      </c>
      <c r="Z1717">
        <v>1.141787E-3</v>
      </c>
      <c r="AA1717">
        <v>0.99635010000000002</v>
      </c>
      <c r="AB1717">
        <v>52</v>
      </c>
      <c r="AC1717">
        <v>-75.160300000000007</v>
      </c>
      <c r="AD1717">
        <v>-1.0404454000000001</v>
      </c>
      <c r="AE1717">
        <v>5.6320999999999799</v>
      </c>
      <c r="AF1717">
        <v>6.4650838278869696</v>
      </c>
      <c r="AG1717">
        <v>-1.0404454000000001</v>
      </c>
      <c r="AH1717">
        <v>75.078821934260702</v>
      </c>
      <c r="AI1717">
        <v>90.791029478171794</v>
      </c>
      <c r="AJ1717">
        <v>85.078365704175795</v>
      </c>
      <c r="AK1717">
        <v>75.363846362618801</v>
      </c>
      <c r="AL1717">
        <v>77.622257525582</v>
      </c>
      <c r="AM1717">
        <v>87.4253474361808</v>
      </c>
      <c r="AN1717">
        <v>0.99999997237375104</v>
      </c>
    </row>
    <row r="1718" spans="1:40" x14ac:dyDescent="0.25">
      <c r="A1718" t="str">
        <f>"20190303171012406"</f>
        <v>20190303171012406</v>
      </c>
      <c r="B1718" t="str">
        <f>"1551604212392344"</f>
        <v>1551604212392344</v>
      </c>
      <c r="C1718" t="s">
        <v>40</v>
      </c>
      <c r="D1718">
        <v>4.4970080000000001</v>
      </c>
      <c r="E1718">
        <v>0.52154920000000005</v>
      </c>
      <c r="F1718" t="s">
        <v>60</v>
      </c>
      <c r="G1718">
        <v>-413.72</v>
      </c>
      <c r="H1718" s="1">
        <v>2.3146010000000001E-6</v>
      </c>
      <c r="I1718">
        <v>290.26299999999998</v>
      </c>
      <c r="J1718">
        <v>-330.97820000000002</v>
      </c>
      <c r="K1718">
        <v>1.120463</v>
      </c>
      <c r="L1718">
        <v>284.04160000000002</v>
      </c>
      <c r="M1718">
        <v>-0.99985520000000006</v>
      </c>
      <c r="N1718">
        <v>-1.287926E-2</v>
      </c>
      <c r="O1718">
        <v>-1.1134730000000001E-2</v>
      </c>
      <c r="P1718">
        <v>-0.97890719999999998</v>
      </c>
      <c r="Q1718">
        <v>0.20163919999999999</v>
      </c>
      <c r="R1718">
        <v>3.290593E-2</v>
      </c>
      <c r="S1718">
        <v>-3.0656430000000001</v>
      </c>
      <c r="T1718">
        <v>-4.1353819999999999E-2</v>
      </c>
      <c r="U1718">
        <v>0.22949220000000001</v>
      </c>
      <c r="V1718">
        <v>4.3773680000000002E-2</v>
      </c>
      <c r="W1718">
        <v>0.21423110000000001</v>
      </c>
      <c r="X1718">
        <v>0.97580169999999999</v>
      </c>
      <c r="Y1718">
        <v>8.5735259999999994E-2</v>
      </c>
      <c r="Z1718">
        <v>1.137171E-3</v>
      </c>
      <c r="AA1718">
        <v>0.99631729999999996</v>
      </c>
      <c r="AB1718">
        <v>52</v>
      </c>
      <c r="AC1718">
        <v>-82.741799999999998</v>
      </c>
      <c r="AD1718">
        <v>-1.120460685399</v>
      </c>
      <c r="AE1718">
        <v>6.2213999999999503</v>
      </c>
      <c r="AF1718">
        <v>7.1410960014304301</v>
      </c>
      <c r="AG1718">
        <v>-1.120460685399</v>
      </c>
      <c r="AH1718">
        <v>82.652319116908799</v>
      </c>
      <c r="AI1718">
        <v>90.773789550252602</v>
      </c>
      <c r="AJ1718">
        <v>85.061952130216</v>
      </c>
      <c r="AK1718">
        <v>82.967804235453301</v>
      </c>
      <c r="AL1718">
        <v>77.629578806297602</v>
      </c>
      <c r="AM1718">
        <v>87.431479375347607</v>
      </c>
      <c r="AN1718">
        <v>1.00000002849542</v>
      </c>
    </row>
    <row r="1719" spans="1:40" x14ac:dyDescent="0.25">
      <c r="A1719" t="str">
        <f>"20190303171012419"</f>
        <v>20190303171012419</v>
      </c>
      <c r="B1719" t="str">
        <f>"1551604212412840"</f>
        <v>1551604212412840</v>
      </c>
      <c r="C1719" t="s">
        <v>40</v>
      </c>
      <c r="D1719">
        <v>4.6162289999999997</v>
      </c>
      <c r="E1719">
        <v>0.52161880000000005</v>
      </c>
      <c r="F1719" t="s">
        <v>60</v>
      </c>
      <c r="G1719">
        <v>-407.07709999999997</v>
      </c>
      <c r="H1719">
        <v>8.0000299999999996E-2</v>
      </c>
      <c r="I1719">
        <v>289.73770000000002</v>
      </c>
      <c r="J1719">
        <v>-331.30599999999998</v>
      </c>
      <c r="K1719">
        <v>1.120482</v>
      </c>
      <c r="L1719">
        <v>284.03789999999998</v>
      </c>
      <c r="M1719">
        <v>-0.99985239999999997</v>
      </c>
      <c r="N1719">
        <v>-1.305483E-2</v>
      </c>
      <c r="O1719">
        <v>-1.116516E-2</v>
      </c>
      <c r="P1719">
        <v>-0.97893810000000003</v>
      </c>
      <c r="Q1719">
        <v>0.20151169999999999</v>
      </c>
      <c r="R1719">
        <v>3.2762430000000002E-2</v>
      </c>
      <c r="S1719">
        <v>-3.0655519999999998</v>
      </c>
      <c r="T1719">
        <v>-4.191375E-2</v>
      </c>
      <c r="U1719">
        <v>0.22946169999999999</v>
      </c>
      <c r="V1719">
        <v>4.366126E-2</v>
      </c>
      <c r="W1719">
        <v>0.21427489999999999</v>
      </c>
      <c r="X1719">
        <v>0.97579709999999997</v>
      </c>
      <c r="Y1719">
        <v>8.5757550000000002E-2</v>
      </c>
      <c r="Z1719">
        <v>1.152946E-3</v>
      </c>
      <c r="AA1719">
        <v>0.99631539999999996</v>
      </c>
      <c r="AB1719">
        <v>52</v>
      </c>
      <c r="AC1719">
        <v>-75.771099999999905</v>
      </c>
      <c r="AD1719">
        <v>-1.0404817</v>
      </c>
      <c r="AE1719">
        <v>5.6998000000000397</v>
      </c>
      <c r="AF1719">
        <v>6.5442861687132297</v>
      </c>
      <c r="AG1719">
        <v>-1.0404817</v>
      </c>
      <c r="AH1719">
        <v>75.688539675972294</v>
      </c>
      <c r="AI1719">
        <v>90.784661717312304</v>
      </c>
      <c r="AJ1719">
        <v>85.058303959283705</v>
      </c>
      <c r="AK1719">
        <v>75.978058160940606</v>
      </c>
      <c r="AL1719">
        <v>77.627009349147201</v>
      </c>
      <c r="AM1719">
        <v>87.438055014159204</v>
      </c>
      <c r="AN1719">
        <v>1.0000000093815999</v>
      </c>
    </row>
    <row r="1720" spans="1:40" x14ac:dyDescent="0.25">
      <c r="A1720" t="str">
        <f>"20190303171012432"</f>
        <v>20190303171012432</v>
      </c>
      <c r="B1720" t="str">
        <f>"1551604212422599"</f>
        <v>1551604212422599</v>
      </c>
      <c r="C1720" t="s">
        <v>40</v>
      </c>
      <c r="D1720">
        <v>4.846349</v>
      </c>
      <c r="E1720">
        <v>0.52171979999999996</v>
      </c>
      <c r="F1720" t="s">
        <v>60</v>
      </c>
      <c r="G1720">
        <v>-414.06889999999999</v>
      </c>
      <c r="H1720" s="1">
        <v>2.3810339999999998E-6</v>
      </c>
      <c r="I1720">
        <v>290.2373</v>
      </c>
      <c r="J1720">
        <v>-331.61939999999998</v>
      </c>
      <c r="K1720">
        <v>1.1204940000000001</v>
      </c>
      <c r="L1720">
        <v>284.03440000000001</v>
      </c>
      <c r="M1720">
        <v>-0.99985020000000002</v>
      </c>
      <c r="N1720">
        <v>-1.321233E-2</v>
      </c>
      <c r="O1720">
        <v>-1.1191080000000001E-2</v>
      </c>
      <c r="P1720">
        <v>-0.97897619999999996</v>
      </c>
      <c r="Q1720">
        <v>0.20130980000000001</v>
      </c>
      <c r="R1720">
        <v>3.2865520000000002E-2</v>
      </c>
      <c r="S1720">
        <v>-3.0653990000000002</v>
      </c>
      <c r="T1720">
        <v>-4.150069E-2</v>
      </c>
      <c r="U1720">
        <v>0.22961429999999999</v>
      </c>
      <c r="V1720">
        <v>4.3790879999999997E-2</v>
      </c>
      <c r="W1720">
        <v>0.2142268</v>
      </c>
      <c r="X1720">
        <v>0.97580180000000005</v>
      </c>
      <c r="Y1720">
        <v>8.5836540000000003E-2</v>
      </c>
      <c r="Z1720">
        <v>1.1517840000000001E-3</v>
      </c>
      <c r="AA1720">
        <v>0.99630859999999999</v>
      </c>
      <c r="AB1720">
        <v>52</v>
      </c>
      <c r="AC1720">
        <v>-82.4495</v>
      </c>
      <c r="AD1720">
        <v>-1.1204916189659999</v>
      </c>
      <c r="AE1720">
        <v>6.2028999999999996</v>
      </c>
      <c r="AF1720">
        <v>7.1239825684325098</v>
      </c>
      <c r="AG1720">
        <v>-1.1204916189659999</v>
      </c>
      <c r="AH1720">
        <v>82.359787394310601</v>
      </c>
      <c r="AI1720">
        <v>90.776552452473695</v>
      </c>
      <c r="AJ1720">
        <v>85.056316772785493</v>
      </c>
      <c r="AK1720">
        <v>82.674912813619301</v>
      </c>
      <c r="AL1720">
        <v>77.629830147471097</v>
      </c>
      <c r="AM1720">
        <v>87.430471741457893</v>
      </c>
      <c r="AN1720">
        <v>0.99999995794632601</v>
      </c>
    </row>
    <row r="1721" spans="1:40" x14ac:dyDescent="0.25">
      <c r="A1721" t="str">
        <f>"20190303171012448"</f>
        <v>20190303171012448</v>
      </c>
      <c r="B1721" t="str">
        <f>"1551604212442120"</f>
        <v>1551604212442120</v>
      </c>
      <c r="C1721" t="s">
        <v>40</v>
      </c>
      <c r="D1721">
        <v>4.6967679999999996</v>
      </c>
      <c r="E1721">
        <v>0.52175899999999997</v>
      </c>
      <c r="F1721" t="s">
        <v>60</v>
      </c>
      <c r="G1721">
        <v>-413.57810000000001</v>
      </c>
      <c r="H1721" s="1">
        <v>2.2988470000000002E-6</v>
      </c>
      <c r="I1721">
        <v>290.2097</v>
      </c>
      <c r="J1721">
        <v>-331.96449999999999</v>
      </c>
      <c r="K1721">
        <v>1.1205080000000001</v>
      </c>
      <c r="L1721">
        <v>284.03050000000002</v>
      </c>
      <c r="M1721">
        <v>-0.99984779999999995</v>
      </c>
      <c r="N1721">
        <v>-1.3373609999999999E-2</v>
      </c>
      <c r="O1721">
        <v>-1.1215960000000001E-2</v>
      </c>
      <c r="P1721">
        <v>-0.97906919999999997</v>
      </c>
      <c r="Q1721">
        <v>0.20083599999999999</v>
      </c>
      <c r="R1721">
        <v>3.299382E-2</v>
      </c>
      <c r="S1721">
        <v>-3.0653079999999999</v>
      </c>
      <c r="T1721">
        <v>-4.1907069999999998E-2</v>
      </c>
      <c r="U1721">
        <v>0.230957</v>
      </c>
      <c r="V1721">
        <v>4.3945650000000003E-2</v>
      </c>
      <c r="W1721">
        <v>0.2139115</v>
      </c>
      <c r="X1721">
        <v>0.97586410000000001</v>
      </c>
      <c r="Y1721">
        <v>8.6297150000000003E-2</v>
      </c>
      <c r="Z1721">
        <v>1.1703359999999999E-3</v>
      </c>
      <c r="AA1721">
        <v>0.99626870000000001</v>
      </c>
      <c r="AB1721">
        <v>52</v>
      </c>
      <c r="AC1721">
        <v>-81.613600000000005</v>
      </c>
      <c r="AD1721">
        <v>-1.120505701153</v>
      </c>
      <c r="AE1721">
        <v>6.1791999999999803</v>
      </c>
      <c r="AF1721">
        <v>7.09293849814427</v>
      </c>
      <c r="AG1721">
        <v>-1.120505701153</v>
      </c>
      <c r="AH1721">
        <v>81.523874299349501</v>
      </c>
      <c r="AI1721">
        <v>90.784489594464702</v>
      </c>
      <c r="AJ1721">
        <v>85.027534744301406</v>
      </c>
      <c r="AK1721">
        <v>81.839522178107302</v>
      </c>
      <c r="AL1721">
        <v>77.648325330617197</v>
      </c>
      <c r="AM1721">
        <v>87.421566897943904</v>
      </c>
      <c r="AN1721">
        <v>1.00000004582749</v>
      </c>
    </row>
    <row r="1722" spans="1:40" x14ac:dyDescent="0.25">
      <c r="A1722" t="str">
        <f>"20190303171012460"</f>
        <v>20190303171012460</v>
      </c>
      <c r="B1722" t="str">
        <f>"1551604212451879"</f>
        <v>1551604212451879</v>
      </c>
      <c r="C1722" t="s">
        <v>40</v>
      </c>
      <c r="D1722">
        <v>4.6379289999999997</v>
      </c>
      <c r="E1722">
        <v>0.52189700000000006</v>
      </c>
      <c r="F1722" t="s">
        <v>60</v>
      </c>
      <c r="G1722">
        <v>-406.15870000000001</v>
      </c>
      <c r="H1722">
        <v>7.6903089999999993E-2</v>
      </c>
      <c r="I1722">
        <v>289.64400000000001</v>
      </c>
      <c r="J1722">
        <v>-332.27280000000002</v>
      </c>
      <c r="K1722">
        <v>1.120519</v>
      </c>
      <c r="L1722">
        <v>284.02710000000002</v>
      </c>
      <c r="M1722">
        <v>-0.9998456</v>
      </c>
      <c r="N1722">
        <v>-1.3509419999999999E-2</v>
      </c>
      <c r="O1722">
        <v>-1.123591E-2</v>
      </c>
      <c r="P1722">
        <v>-0.97913890000000003</v>
      </c>
      <c r="Q1722">
        <v>0.20051959999999999</v>
      </c>
      <c r="R1722">
        <v>3.2846760000000003E-2</v>
      </c>
      <c r="S1722">
        <v>-3.0651250000000001</v>
      </c>
      <c r="T1722">
        <v>-4.311359E-2</v>
      </c>
      <c r="U1722">
        <v>0.2319031</v>
      </c>
      <c r="V1722">
        <v>4.3820150000000002E-2</v>
      </c>
      <c r="W1722">
        <v>0.21372849999999999</v>
      </c>
      <c r="X1722">
        <v>0.97590980000000005</v>
      </c>
      <c r="Y1722">
        <v>8.6626399999999895E-2</v>
      </c>
      <c r="Z1722">
        <v>1.200649E-3</v>
      </c>
      <c r="AA1722">
        <v>0.99624009999999996</v>
      </c>
      <c r="AB1722">
        <v>52</v>
      </c>
      <c r="AC1722">
        <v>-73.885899999999907</v>
      </c>
      <c r="AD1722">
        <v>-1.04361591</v>
      </c>
      <c r="AE1722">
        <v>5.6168999999999798</v>
      </c>
      <c r="AF1722">
        <v>6.4455179313074797</v>
      </c>
      <c r="AG1722">
        <v>-1.04361591</v>
      </c>
      <c r="AH1722">
        <v>73.803478662152301</v>
      </c>
      <c r="AI1722">
        <v>90.8070637435263</v>
      </c>
      <c r="AJ1722">
        <v>85.008821394734596</v>
      </c>
      <c r="AK1722">
        <v>74.091749191156097</v>
      </c>
      <c r="AL1722">
        <v>77.659058206815203</v>
      </c>
      <c r="AM1722">
        <v>87.429040729982404</v>
      </c>
      <c r="AN1722">
        <v>1.00000000749715</v>
      </c>
    </row>
    <row r="1723" spans="1:40" x14ac:dyDescent="0.25">
      <c r="A1723" t="str">
        <f>"20190303171012471"</f>
        <v>20190303171012471</v>
      </c>
      <c r="B1723" t="str">
        <f>"1551604212462616"</f>
        <v>1551604212462616</v>
      </c>
      <c r="C1723" t="s">
        <v>40</v>
      </c>
      <c r="D1723">
        <v>4.8523969999999998</v>
      </c>
      <c r="E1723">
        <v>0.52207460000000006</v>
      </c>
      <c r="F1723" t="s">
        <v>60</v>
      </c>
      <c r="G1723">
        <v>-405.9787</v>
      </c>
      <c r="H1723">
        <v>5.4906480000000001E-2</v>
      </c>
      <c r="I1723">
        <v>289.62189999999998</v>
      </c>
      <c r="J1723">
        <v>-332.53969999999998</v>
      </c>
      <c r="K1723">
        <v>1.120525</v>
      </c>
      <c r="L1723">
        <v>284.024</v>
      </c>
      <c r="M1723">
        <v>-0.99984410000000001</v>
      </c>
      <c r="N1723">
        <v>-1.3618740000000001E-2</v>
      </c>
      <c r="O1723">
        <v>-1.1251499999999999E-2</v>
      </c>
      <c r="P1723">
        <v>-0.97915079999999999</v>
      </c>
      <c r="Q1723">
        <v>0.2004927</v>
      </c>
      <c r="R1723">
        <v>3.2661929999999999E-2</v>
      </c>
      <c r="S1723">
        <v>-3.0651549999999999</v>
      </c>
      <c r="T1723">
        <v>-4.4314859999999998E-2</v>
      </c>
      <c r="U1723">
        <v>0.23266600000000001</v>
      </c>
      <c r="V1723">
        <v>4.3652280000000002E-2</v>
      </c>
      <c r="W1723">
        <v>0.2138081</v>
      </c>
      <c r="X1723">
        <v>0.97589990000000004</v>
      </c>
      <c r="Y1723">
        <v>8.6886930000000001E-2</v>
      </c>
      <c r="Z1723">
        <v>1.229176E-3</v>
      </c>
      <c r="AA1723">
        <v>0.99621740000000003</v>
      </c>
      <c r="AB1723">
        <v>52</v>
      </c>
      <c r="AC1723">
        <v>-73.438999999999993</v>
      </c>
      <c r="AD1723">
        <v>-1.0656185199999999</v>
      </c>
      <c r="AE1723">
        <v>5.5978999999999797</v>
      </c>
      <c r="AF1723">
        <v>6.42257656689074</v>
      </c>
      <c r="AG1723">
        <v>-1.0656185199999999</v>
      </c>
      <c r="AH1723">
        <v>73.356004136721495</v>
      </c>
      <c r="AI1723">
        <v>90.829087164292403</v>
      </c>
      <c r="AJ1723">
        <v>84.996312097241599</v>
      </c>
      <c r="AK1723">
        <v>73.644337022573893</v>
      </c>
      <c r="AL1723">
        <v>77.654389700569794</v>
      </c>
      <c r="AM1723">
        <v>87.438850695759797</v>
      </c>
      <c r="AN1723">
        <v>1.0000000199974</v>
      </c>
    </row>
    <row r="1724" spans="1:40" x14ac:dyDescent="0.25">
      <c r="A1724" t="str">
        <f>"20190303171012484"</f>
        <v>20190303171012484</v>
      </c>
      <c r="B1724" t="str">
        <f>"1551604212472377"</f>
        <v>1551604212472377</v>
      </c>
      <c r="C1724" t="s">
        <v>40</v>
      </c>
      <c r="D1724">
        <v>4.5334070000000004</v>
      </c>
      <c r="E1724">
        <v>0.52211169999999996</v>
      </c>
      <c r="F1724" t="s">
        <v>60</v>
      </c>
      <c r="G1724">
        <v>-405.98820000000001</v>
      </c>
      <c r="H1724">
        <v>5.711161E-2</v>
      </c>
      <c r="I1724">
        <v>289.6241</v>
      </c>
      <c r="J1724">
        <v>-332.80919999999998</v>
      </c>
      <c r="K1724">
        <v>1.120528</v>
      </c>
      <c r="L1724">
        <v>284.02100000000002</v>
      </c>
      <c r="M1724">
        <v>-0.99984240000000002</v>
      </c>
      <c r="N1724">
        <v>-1.372175E-2</v>
      </c>
      <c r="O1724">
        <v>-1.126479E-2</v>
      </c>
      <c r="P1724">
        <v>-0.97917410000000005</v>
      </c>
      <c r="Q1724">
        <v>0.20042699999999999</v>
      </c>
      <c r="R1724">
        <v>3.2362729999999999E-2</v>
      </c>
      <c r="S1724">
        <v>-3.0651860000000002</v>
      </c>
      <c r="T1724">
        <v>-4.4378880000000002E-2</v>
      </c>
      <c r="U1724">
        <v>0.23370360000000001</v>
      </c>
      <c r="V1724">
        <v>4.33681E-2</v>
      </c>
      <c r="W1724">
        <v>0.21384310000000001</v>
      </c>
      <c r="X1724">
        <v>0.97590489999999996</v>
      </c>
      <c r="Y1724">
        <v>8.7234560000000003E-2</v>
      </c>
      <c r="Z1724">
        <v>1.238545E-3</v>
      </c>
      <c r="AA1724">
        <v>0.99618700000000004</v>
      </c>
      <c r="AB1724">
        <v>52</v>
      </c>
      <c r="AC1724">
        <v>-73.179000000000002</v>
      </c>
      <c r="AD1724">
        <v>-1.06341639</v>
      </c>
      <c r="AE1724">
        <v>5.6031000000000404</v>
      </c>
      <c r="AF1724">
        <v>6.4258190635964203</v>
      </c>
      <c r="AG1724">
        <v>-1.06341639</v>
      </c>
      <c r="AH1724">
        <v>73.095886499653304</v>
      </c>
      <c r="AI1724">
        <v>90.830292212101995</v>
      </c>
      <c r="AJ1724">
        <v>84.976074813694794</v>
      </c>
      <c r="AK1724">
        <v>73.385493309146597</v>
      </c>
      <c r="AL1724">
        <v>77.652336853632306</v>
      </c>
      <c r="AM1724">
        <v>87.455515026323894</v>
      </c>
      <c r="AN1724">
        <v>1.0000000186796101</v>
      </c>
    </row>
    <row r="1725" spans="1:40" x14ac:dyDescent="0.25">
      <c r="A1725" t="str">
        <f>"20190303171012496"</f>
        <v>20190303171012496</v>
      </c>
      <c r="B1725" t="str">
        <f>"1551604212491896"</f>
        <v>1551604212491896</v>
      </c>
      <c r="C1725" t="s">
        <v>40</v>
      </c>
      <c r="D1725">
        <v>4.9107629999999904</v>
      </c>
      <c r="E1725">
        <v>0.52225149999999998</v>
      </c>
      <c r="F1725" t="s">
        <v>60</v>
      </c>
      <c r="G1725">
        <v>-409.5951</v>
      </c>
      <c r="H1725" s="1">
        <v>3.085693E-6</v>
      </c>
      <c r="I1725">
        <v>289.85700000000003</v>
      </c>
      <c r="J1725">
        <v>-333.11059999999998</v>
      </c>
      <c r="K1725">
        <v>1.1205320000000001</v>
      </c>
      <c r="L1725">
        <v>284.01760000000002</v>
      </c>
      <c r="M1725">
        <v>-0.99984070000000003</v>
      </c>
      <c r="N1725">
        <v>-1.3832000000000001E-2</v>
      </c>
      <c r="O1725">
        <v>-1.127823E-2</v>
      </c>
      <c r="P1725">
        <v>-0.97914109999999999</v>
      </c>
      <c r="Q1725">
        <v>0.20058419999999999</v>
      </c>
      <c r="R1725">
        <v>3.2385570000000002E-2</v>
      </c>
      <c r="S1725">
        <v>-3.065277</v>
      </c>
      <c r="T1725">
        <v>-4.4731140000000003E-2</v>
      </c>
      <c r="U1725">
        <v>0.23297119999999999</v>
      </c>
      <c r="V1725">
        <v>4.3405819999999998E-2</v>
      </c>
      <c r="W1725">
        <v>0.21410670000000001</v>
      </c>
      <c r="X1725">
        <v>0.97584539999999997</v>
      </c>
      <c r="Y1725">
        <v>8.7008799999999997E-2</v>
      </c>
      <c r="Z1725">
        <v>1.2451980000000001E-3</v>
      </c>
      <c r="AA1725">
        <v>0.99620679999999995</v>
      </c>
      <c r="AB1725">
        <v>52</v>
      </c>
      <c r="AC1725">
        <v>-76.484499999999997</v>
      </c>
      <c r="AD1725">
        <v>-1.1205289143070001</v>
      </c>
      <c r="AE1725">
        <v>5.8394000000000101</v>
      </c>
      <c r="AF1725">
        <v>6.7002910927991799</v>
      </c>
      <c r="AG1725">
        <v>-1.1205289143070001</v>
      </c>
      <c r="AH1725">
        <v>76.397467663184997</v>
      </c>
      <c r="AI1725">
        <v>90.837089640325104</v>
      </c>
      <c r="AJ1725">
        <v>84.987809969576602</v>
      </c>
      <c r="AK1725">
        <v>76.698908408943097</v>
      </c>
      <c r="AL1725">
        <v>77.636875286220004</v>
      </c>
      <c r="AM1725">
        <v>87.4531497634473</v>
      </c>
      <c r="AN1725">
        <v>0.99999999444796095</v>
      </c>
    </row>
    <row r="1726" spans="1:40" x14ac:dyDescent="0.25">
      <c r="A1726" t="str">
        <f>"20190303171012509"</f>
        <v>20190303171012509</v>
      </c>
      <c r="B1726" t="str">
        <f>"1551604212502632"</f>
        <v>1551604212502632</v>
      </c>
      <c r="C1726" t="s">
        <v>40</v>
      </c>
      <c r="D1726">
        <v>4.8811410000000004</v>
      </c>
      <c r="E1726">
        <v>0.52225149999999998</v>
      </c>
      <c r="F1726" t="s">
        <v>60</v>
      </c>
      <c r="G1726">
        <v>-410.11200000000002</v>
      </c>
      <c r="H1726" s="1">
        <v>1.7391340000000001E-6</v>
      </c>
      <c r="I1726">
        <v>289.89670000000001</v>
      </c>
      <c r="J1726">
        <v>-333.399</v>
      </c>
      <c r="K1726">
        <v>1.1205339999999999</v>
      </c>
      <c r="L1726">
        <v>284.01429999999999</v>
      </c>
      <c r="M1726">
        <v>-0.99983940000000004</v>
      </c>
      <c r="N1726">
        <v>-1.392669E-2</v>
      </c>
      <c r="O1726">
        <v>-1.128882E-2</v>
      </c>
      <c r="P1726">
        <v>-0.97910079999999999</v>
      </c>
      <c r="Q1726">
        <v>0.20079839999999999</v>
      </c>
      <c r="R1726">
        <v>3.2282270000000002E-2</v>
      </c>
      <c r="S1726">
        <v>-3.0653380000000001</v>
      </c>
      <c r="T1726">
        <v>-4.4607040000000001E-2</v>
      </c>
      <c r="U1726">
        <v>0.23403930000000001</v>
      </c>
      <c r="V1726">
        <v>4.3314850000000002E-2</v>
      </c>
      <c r="W1726">
        <v>0.21441270000000001</v>
      </c>
      <c r="X1726">
        <v>0.97578229999999999</v>
      </c>
      <c r="Y1726">
        <v>8.736294E-2</v>
      </c>
      <c r="Z1726">
        <v>1.251077E-3</v>
      </c>
      <c r="AA1726">
        <v>0.99617579999999994</v>
      </c>
      <c r="AB1726">
        <v>52</v>
      </c>
      <c r="AC1726">
        <v>-76.712999999999894</v>
      </c>
      <c r="AD1726">
        <v>-1.120532260866</v>
      </c>
      <c r="AE1726">
        <v>5.8824000000000103</v>
      </c>
      <c r="AF1726">
        <v>6.7466771958855096</v>
      </c>
      <c r="AG1726">
        <v>-1.120532260866</v>
      </c>
      <c r="AH1726">
        <v>76.625445899067998</v>
      </c>
      <c r="AI1726">
        <v>90.8345768892206</v>
      </c>
      <c r="AJ1726">
        <v>84.968227093510095</v>
      </c>
      <c r="AK1726">
        <v>76.930047477979102</v>
      </c>
      <c r="AL1726">
        <v>77.618926502431194</v>
      </c>
      <c r="AM1726">
        <v>87.4583163161805</v>
      </c>
      <c r="AN1726">
        <v>1.0000000395725499</v>
      </c>
    </row>
    <row r="1727" spans="1:40" x14ac:dyDescent="0.25">
      <c r="A1727" t="str">
        <f>"20190303171012526"</f>
        <v>20190303171012526</v>
      </c>
      <c r="B1727" t="str">
        <f>"1551604212512392"</f>
        <v>1551604212512392</v>
      </c>
      <c r="C1727" t="s">
        <v>40</v>
      </c>
      <c r="D1727">
        <v>4.8473119999999996</v>
      </c>
      <c r="E1727">
        <v>0.52165499999999998</v>
      </c>
      <c r="F1727" t="s">
        <v>60</v>
      </c>
      <c r="G1727">
        <v>-411.57479999999998</v>
      </c>
      <c r="H1727" s="1">
        <v>1.9853240000000001E-6</v>
      </c>
      <c r="I1727">
        <v>289.97210000000001</v>
      </c>
      <c r="J1727">
        <v>-333.78480000000002</v>
      </c>
      <c r="K1727">
        <v>1.1205309999999999</v>
      </c>
      <c r="L1727">
        <v>284.01</v>
      </c>
      <c r="M1727">
        <v>-0.99983759999999999</v>
      </c>
      <c r="N1727">
        <v>-1.404536E-2</v>
      </c>
      <c r="O1727">
        <v>-1.1301220000000001E-2</v>
      </c>
      <c r="P1727">
        <v>-0.97911720000000002</v>
      </c>
      <c r="Q1727">
        <v>0.20078779999999999</v>
      </c>
      <c r="R1727">
        <v>3.1848090000000003E-2</v>
      </c>
      <c r="S1727">
        <v>-3.065369</v>
      </c>
      <c r="T1727">
        <v>-4.3937440000000001E-2</v>
      </c>
      <c r="U1727">
        <v>0.23361209999999999</v>
      </c>
      <c r="V1727">
        <v>4.2896299999999998E-2</v>
      </c>
      <c r="W1727">
        <v>0.2145175</v>
      </c>
      <c r="X1727">
        <v>0.97577769999999997</v>
      </c>
      <c r="Y1727">
        <v>8.7236869999999994E-2</v>
      </c>
      <c r="Z1727">
        <v>1.2411480000000001E-3</v>
      </c>
      <c r="AA1727">
        <v>0.99618689999999999</v>
      </c>
      <c r="AB1727">
        <v>52</v>
      </c>
      <c r="AC1727">
        <v>-77.789999999999907</v>
      </c>
      <c r="AD1727">
        <v>-1.1205290146760001</v>
      </c>
      <c r="AE1727">
        <v>5.9621000000000199</v>
      </c>
      <c r="AF1727">
        <v>6.8395168664702402</v>
      </c>
      <c r="AG1727">
        <v>-1.1205290146760001</v>
      </c>
      <c r="AH1727">
        <v>77.701617432886906</v>
      </c>
      <c r="AI1727">
        <v>90.823018943327398</v>
      </c>
      <c r="AJ1727">
        <v>84.969627967668302</v>
      </c>
      <c r="AK1727">
        <v>78.010101447993094</v>
      </c>
      <c r="AL1727">
        <v>77.612778173871106</v>
      </c>
      <c r="AM1727">
        <v>87.482832928979803</v>
      </c>
      <c r="AN1727">
        <v>0.99999998508861399</v>
      </c>
    </row>
    <row r="1728" spans="1:40" x14ac:dyDescent="0.25">
      <c r="A1728" t="str">
        <f>"20190303171012537"</f>
        <v>20190303171012537</v>
      </c>
      <c r="B1728" t="str">
        <f>"1551604212531912"</f>
        <v>1551604212531912</v>
      </c>
      <c r="C1728" t="s">
        <v>40</v>
      </c>
      <c r="D1728">
        <v>4.7455679999999996</v>
      </c>
      <c r="E1728">
        <v>0.5191055</v>
      </c>
      <c r="F1728" t="s">
        <v>60</v>
      </c>
      <c r="G1728">
        <v>-417.09429999999998</v>
      </c>
      <c r="H1728" s="1">
        <v>2.9246159999999999E-6</v>
      </c>
      <c r="I1728">
        <v>290.1979</v>
      </c>
      <c r="J1728">
        <v>-334.06450000000001</v>
      </c>
      <c r="K1728">
        <v>1.1205320000000001</v>
      </c>
      <c r="L1728">
        <v>284.0068</v>
      </c>
      <c r="M1728">
        <v>-0.99983630000000001</v>
      </c>
      <c r="N1728">
        <v>-1.412591E-2</v>
      </c>
      <c r="O1728">
        <v>-1.130898E-2</v>
      </c>
      <c r="P1728">
        <v>-0.97916250000000005</v>
      </c>
      <c r="Q1728">
        <v>0.20063420000000001</v>
      </c>
      <c r="R1728">
        <v>3.1413950000000003E-2</v>
      </c>
      <c r="S1728">
        <v>-3.0650629999999999</v>
      </c>
      <c r="T1728">
        <v>-4.1225669999999999E-2</v>
      </c>
      <c r="U1728">
        <v>0.22766110000000001</v>
      </c>
      <c r="V1728">
        <v>4.2472349999999999E-2</v>
      </c>
      <c r="W1728">
        <v>0.21444299999999999</v>
      </c>
      <c r="X1728">
        <v>0.97581260000000003</v>
      </c>
      <c r="Y1728">
        <v>8.5330630000000005E-2</v>
      </c>
      <c r="Z1728">
        <v>1.1690239999999901E-3</v>
      </c>
      <c r="AA1728">
        <v>0.99635200000000002</v>
      </c>
      <c r="AB1728">
        <v>52</v>
      </c>
      <c r="AC1728">
        <v>-83.029799999999895</v>
      </c>
      <c r="AD1728">
        <v>-1.12052907538399</v>
      </c>
      <c r="AE1728">
        <v>6.1910999999999996</v>
      </c>
      <c r="AF1728">
        <v>7.1284889013250403</v>
      </c>
      <c r="AG1728">
        <v>-1.12052907538399</v>
      </c>
      <c r="AH1728">
        <v>82.939445166292401</v>
      </c>
      <c r="AI1728">
        <v>90.771187925614797</v>
      </c>
      <c r="AJ1728">
        <v>85.087608139993407</v>
      </c>
      <c r="AK1728">
        <v>83.252762740449199</v>
      </c>
      <c r="AL1728">
        <v>77.617148166383302</v>
      </c>
      <c r="AM1728">
        <v>87.507767934849397</v>
      </c>
      <c r="AN1728">
        <v>0.99999996554114001</v>
      </c>
    </row>
    <row r="1729" spans="1:40" x14ac:dyDescent="0.25">
      <c r="A1729" t="str">
        <f>"20190303171012549"</f>
        <v>20190303171012549</v>
      </c>
      <c r="B1729" t="str">
        <f>"1551604212542648"</f>
        <v>1551604212542648</v>
      </c>
      <c r="C1729" t="s">
        <v>40</v>
      </c>
      <c r="D1729">
        <v>4.803966</v>
      </c>
      <c r="E1729">
        <v>0.51770099999999997</v>
      </c>
      <c r="F1729" t="s">
        <v>60</v>
      </c>
      <c r="G1729">
        <v>-418.24990000000003</v>
      </c>
      <c r="H1729" s="1">
        <v>3.221624E-6</v>
      </c>
      <c r="I1729">
        <v>289.67540000000002</v>
      </c>
      <c r="J1729">
        <v>-334.34</v>
      </c>
      <c r="K1729">
        <v>1.1205400000000001</v>
      </c>
      <c r="L1729">
        <v>284.00369999999998</v>
      </c>
      <c r="M1729">
        <v>-0.99983540000000004</v>
      </c>
      <c r="N1729">
        <v>-1.419726E-2</v>
      </c>
      <c r="O1729">
        <v>-1.1314670000000001E-2</v>
      </c>
      <c r="P1729">
        <v>-0.97917949999999998</v>
      </c>
      <c r="Q1729">
        <v>0.20062530000000001</v>
      </c>
      <c r="R1729">
        <v>3.0942540000000001E-2</v>
      </c>
      <c r="S1729">
        <v>-3.065582</v>
      </c>
      <c r="T1729">
        <v>-4.080367E-2</v>
      </c>
      <c r="U1729">
        <v>0.20642089999999999</v>
      </c>
      <c r="V1729">
        <v>4.2008709999999998E-2</v>
      </c>
      <c r="W1729">
        <v>0.2145031</v>
      </c>
      <c r="X1729">
        <v>0.97581949999999995</v>
      </c>
      <c r="Y1729">
        <v>7.845444E-2</v>
      </c>
      <c r="Z1729">
        <v>1.0691229999999999E-3</v>
      </c>
      <c r="AA1729">
        <v>0.9969171</v>
      </c>
      <c r="AB1729">
        <v>52</v>
      </c>
      <c r="AC1729">
        <v>-83.909899999999993</v>
      </c>
      <c r="AD1729">
        <v>-1.1205367783760001</v>
      </c>
      <c r="AE1729">
        <v>5.6717000000000404</v>
      </c>
      <c r="AF1729">
        <v>6.6196700744710801</v>
      </c>
      <c r="AG1729">
        <v>-1.1205367783760001</v>
      </c>
      <c r="AH1729">
        <v>83.825467074067205</v>
      </c>
      <c r="AI1729">
        <v>90.763478988517605</v>
      </c>
      <c r="AJ1729">
        <v>85.484741263634007</v>
      </c>
      <c r="AK1729">
        <v>84.093903255539701</v>
      </c>
      <c r="AL1729">
        <v>77.613623136056802</v>
      </c>
      <c r="AM1729">
        <v>87.534957498246399</v>
      </c>
      <c r="AN1729">
        <v>1.0000000041028601</v>
      </c>
    </row>
    <row r="1730" spans="1:40" x14ac:dyDescent="0.25">
      <c r="A1730" t="str">
        <f>"20190303171012563"</f>
        <v>20190303171012563</v>
      </c>
      <c r="B1730" t="str">
        <f>"1551604212552408"</f>
        <v>1551604212552408</v>
      </c>
      <c r="C1730" t="s">
        <v>40</v>
      </c>
      <c r="D1730">
        <v>4.7417119999999997</v>
      </c>
      <c r="E1730">
        <v>0.51641579999999998</v>
      </c>
      <c r="F1730" t="s">
        <v>60</v>
      </c>
      <c r="G1730">
        <v>-419.16739999999999</v>
      </c>
      <c r="H1730" s="1">
        <v>3.4178440000000001E-6</v>
      </c>
      <c r="I1730">
        <v>289.35270000000003</v>
      </c>
      <c r="J1730">
        <v>-334.64859999999999</v>
      </c>
      <c r="K1730">
        <v>1.120544</v>
      </c>
      <c r="L1730">
        <v>284.00020000000001</v>
      </c>
      <c r="M1730">
        <v>-0.99983420000000001</v>
      </c>
      <c r="N1730">
        <v>-1.427252E-2</v>
      </c>
      <c r="O1730">
        <v>-1.1320139999999999E-2</v>
      </c>
      <c r="P1730">
        <v>-0.97923859999999996</v>
      </c>
      <c r="Q1730">
        <v>0.20037340000000001</v>
      </c>
      <c r="R1730">
        <v>3.0699199999999999E-2</v>
      </c>
      <c r="S1730">
        <v>-3.0659480000000001</v>
      </c>
      <c r="T1730">
        <v>-4.0499930000000003E-2</v>
      </c>
      <c r="U1730">
        <v>0.1933289</v>
      </c>
      <c r="V1730">
        <v>4.1773419999999999E-2</v>
      </c>
      <c r="W1730">
        <v>0.21432519999999999</v>
      </c>
      <c r="X1730">
        <v>0.97586870000000003</v>
      </c>
      <c r="Y1730">
        <v>7.4213169999999995E-2</v>
      </c>
      <c r="Z1730">
        <v>1.0078470000000001E-3</v>
      </c>
      <c r="AA1730">
        <v>0.99724190000000001</v>
      </c>
      <c r="AB1730">
        <v>52</v>
      </c>
      <c r="AC1730">
        <v>-84.518799999999999</v>
      </c>
      <c r="AD1730">
        <v>-1.1205405821559999</v>
      </c>
      <c r="AE1730">
        <v>5.3525000000000196</v>
      </c>
      <c r="AF1730">
        <v>6.3079146261428702</v>
      </c>
      <c r="AG1730">
        <v>-1.1205405821559999</v>
      </c>
      <c r="AH1730">
        <v>84.438003645693598</v>
      </c>
      <c r="AI1730">
        <v>90.758190660462802</v>
      </c>
      <c r="AJ1730">
        <v>85.727672590926801</v>
      </c>
      <c r="AK1730">
        <v>84.680705345415802</v>
      </c>
      <c r="AL1730">
        <v>77.6240588927228</v>
      </c>
      <c r="AM1730">
        <v>87.548870700005395</v>
      </c>
      <c r="AN1730">
        <v>1.0000000148066099</v>
      </c>
    </row>
    <row r="1731" spans="1:40" x14ac:dyDescent="0.25">
      <c r="A1731" t="str">
        <f>"20190303171012575"</f>
        <v>20190303171012575</v>
      </c>
      <c r="B1731" t="str">
        <f>"1551604212562168"</f>
        <v>1551604212562168</v>
      </c>
      <c r="C1731" t="s">
        <v>40</v>
      </c>
      <c r="D1731">
        <v>4.7731620000000001</v>
      </c>
      <c r="E1731">
        <v>0.51520059999999901</v>
      </c>
      <c r="F1731" t="s">
        <v>60</v>
      </c>
      <c r="G1731">
        <v>-418.26249999999999</v>
      </c>
      <c r="H1731" s="1">
        <v>3.290774E-6</v>
      </c>
      <c r="I1731">
        <v>288.9699</v>
      </c>
      <c r="J1731">
        <v>-334.95440000000002</v>
      </c>
      <c r="K1731">
        <v>1.1205459999999901</v>
      </c>
      <c r="L1731">
        <v>283.99669999999998</v>
      </c>
      <c r="M1731">
        <v>-0.99983310000000003</v>
      </c>
      <c r="N1731">
        <v>-1.4342519999999999E-2</v>
      </c>
      <c r="O1731">
        <v>-1.132475E-2</v>
      </c>
      <c r="P1731">
        <v>-0.97926679999999999</v>
      </c>
      <c r="Q1731">
        <v>0.20024800000000001</v>
      </c>
      <c r="R1731">
        <v>3.0621760000000001E-2</v>
      </c>
      <c r="S1731">
        <v>-3.0663450000000001</v>
      </c>
      <c r="T1731">
        <v>-4.1093230000000001E-2</v>
      </c>
      <c r="U1731">
        <v>0.182251</v>
      </c>
      <c r="V1731">
        <v>4.1702700000000002E-2</v>
      </c>
      <c r="W1731">
        <v>0.21426829999999999</v>
      </c>
      <c r="X1731">
        <v>0.97588419999999998</v>
      </c>
      <c r="Y1731">
        <v>7.0620230000000006E-2</v>
      </c>
      <c r="Z1731">
        <v>9.6907820000000002E-4</v>
      </c>
      <c r="AA1731">
        <v>0.99750280000000002</v>
      </c>
      <c r="AB1731">
        <v>52</v>
      </c>
      <c r="AC1731">
        <v>-83.308099999999897</v>
      </c>
      <c r="AD1731">
        <v>-1.1205427092260001</v>
      </c>
      <c r="AE1731">
        <v>4.9732000000000198</v>
      </c>
      <c r="AF1731">
        <v>5.9153549921820998</v>
      </c>
      <c r="AG1731">
        <v>-1.1205427092260001</v>
      </c>
      <c r="AH1731">
        <v>83.231425952871902</v>
      </c>
      <c r="AI1731">
        <v>90.769384676436104</v>
      </c>
      <c r="AJ1731">
        <v>85.934757267211197</v>
      </c>
      <c r="AK1731">
        <v>83.448890386841796</v>
      </c>
      <c r="AL1731">
        <v>77.627396320973503</v>
      </c>
      <c r="AM1731">
        <v>87.553054091098701</v>
      </c>
      <c r="AN1731">
        <v>0.99999999569090903</v>
      </c>
    </row>
    <row r="1732" spans="1:40" x14ac:dyDescent="0.25">
      <c r="A1732" t="str">
        <f>"20190303171012593"</f>
        <v>20190303171012593</v>
      </c>
      <c r="B1732" t="str">
        <f>"1551604212582664"</f>
        <v>1551604212582664</v>
      </c>
      <c r="C1732" t="s">
        <v>40</v>
      </c>
      <c r="D1732">
        <v>4.7404989999999998</v>
      </c>
      <c r="E1732">
        <v>0.51302060000000005</v>
      </c>
      <c r="F1732" t="s">
        <v>60</v>
      </c>
      <c r="G1732">
        <v>-417.86489999999998</v>
      </c>
      <c r="H1732" s="1">
        <v>3.248129E-6</v>
      </c>
      <c r="I1732">
        <v>288.65109999999999</v>
      </c>
      <c r="J1732">
        <v>-335.32909999999998</v>
      </c>
      <c r="K1732">
        <v>1.1205529999999999</v>
      </c>
      <c r="L1732">
        <v>283.99250000000001</v>
      </c>
      <c r="M1732">
        <v>-0.99983200000000005</v>
      </c>
      <c r="N1732">
        <v>-1.441811E-2</v>
      </c>
      <c r="O1732">
        <v>-1.1328319999999999E-2</v>
      </c>
      <c r="P1732">
        <v>-0.97925499999999999</v>
      </c>
      <c r="Q1732">
        <v>0.20022490000000001</v>
      </c>
      <c r="R1732">
        <v>3.1143420000000002E-2</v>
      </c>
      <c r="S1732">
        <v>-3.0666199999999999</v>
      </c>
      <c r="T1732">
        <v>-4.1445610000000001E-2</v>
      </c>
      <c r="U1732">
        <v>0.17214969999999999</v>
      </c>
      <c r="V1732">
        <v>4.2229549999999998E-2</v>
      </c>
      <c r="W1732">
        <v>0.2143186</v>
      </c>
      <c r="X1732">
        <v>0.97585049999999995</v>
      </c>
      <c r="Y1732">
        <v>6.7343760000000003E-2</v>
      </c>
      <c r="Z1732">
        <v>9.3041969999999995E-4</v>
      </c>
      <c r="AA1732">
        <v>0.99772939999999999</v>
      </c>
      <c r="AB1732">
        <v>52</v>
      </c>
      <c r="AC1732">
        <v>-82.535799999999995</v>
      </c>
      <c r="AD1732">
        <v>-1.1205497518709999</v>
      </c>
      <c r="AE1732">
        <v>4.6585999999999697</v>
      </c>
      <c r="AF1732">
        <v>5.5923625247779096</v>
      </c>
      <c r="AG1732">
        <v>-1.1205497518709999</v>
      </c>
      <c r="AH1732">
        <v>82.462571785303894</v>
      </c>
      <c r="AI1732">
        <v>90.776736820795605</v>
      </c>
      <c r="AJ1732">
        <v>86.120313772586897</v>
      </c>
      <c r="AK1732">
        <v>82.659578366946405</v>
      </c>
      <c r="AL1732">
        <v>77.624445826873895</v>
      </c>
      <c r="AM1732">
        <v>87.522093488980403</v>
      </c>
      <c r="AN1732">
        <v>0.99999999777470605</v>
      </c>
    </row>
    <row r="1733" spans="1:40" x14ac:dyDescent="0.25">
      <c r="A1733" t="str">
        <f>"20190303171012616"</f>
        <v>20190303171012616</v>
      </c>
      <c r="B1733" t="str">
        <f>"1551604212602194"</f>
        <v>1551604212602194</v>
      </c>
      <c r="C1733" t="s">
        <v>40</v>
      </c>
      <c r="D1733">
        <v>4.6580760000000003</v>
      </c>
      <c r="E1733">
        <v>0.51199949999999905</v>
      </c>
      <c r="F1733" t="s">
        <v>60</v>
      </c>
      <c r="G1733">
        <v>-419.1189</v>
      </c>
      <c r="H1733" s="1">
        <v>3.5044899999999998E-6</v>
      </c>
      <c r="I1733">
        <v>288.26299999999998</v>
      </c>
      <c r="J1733">
        <v>-335.86869999999999</v>
      </c>
      <c r="K1733">
        <v>1.1205540000000001</v>
      </c>
      <c r="L1733">
        <v>283.9864</v>
      </c>
      <c r="M1733">
        <v>-0.99983049999999996</v>
      </c>
      <c r="N1733">
        <v>-1.451612E-2</v>
      </c>
      <c r="O1733">
        <v>-1.133168E-2</v>
      </c>
      <c r="P1733">
        <v>-0.97918000000000005</v>
      </c>
      <c r="Q1733">
        <v>0.20051330000000001</v>
      </c>
      <c r="R1733">
        <v>3.1643659999999997E-2</v>
      </c>
      <c r="S1733">
        <v>-3.0669249999999999</v>
      </c>
      <c r="T1733">
        <v>-4.1015030000000001E-2</v>
      </c>
      <c r="U1733">
        <v>0.15631099999999901</v>
      </c>
      <c r="V1733">
        <v>4.273457E-2</v>
      </c>
      <c r="W1733">
        <v>0.214701</v>
      </c>
      <c r="X1733">
        <v>0.97574439999999996</v>
      </c>
      <c r="Y1733">
        <v>6.2203960000000003E-2</v>
      </c>
      <c r="Z1733">
        <v>8.5454809999999895E-4</v>
      </c>
      <c r="AA1733">
        <v>0.99806309999999998</v>
      </c>
      <c r="AB1733">
        <v>52</v>
      </c>
      <c r="AC1733">
        <v>-83.250200000000007</v>
      </c>
      <c r="AD1733">
        <v>-1.1205504955100001</v>
      </c>
      <c r="AE1733">
        <v>4.27659999999997</v>
      </c>
      <c r="AF1733">
        <v>5.2188462993047704</v>
      </c>
      <c r="AG1733">
        <v>-1.1205504955100001</v>
      </c>
      <c r="AH1733">
        <v>83.181357073426199</v>
      </c>
      <c r="AI1733">
        <v>90.770280318092404</v>
      </c>
      <c r="AJ1733">
        <v>86.409935445429497</v>
      </c>
      <c r="AK1733">
        <v>83.352445403152998</v>
      </c>
      <c r="AL1733">
        <v>77.602013122265404</v>
      </c>
      <c r="AM1733">
        <v>87.492225680723394</v>
      </c>
      <c r="AN1733">
        <v>0.999999948502721</v>
      </c>
    </row>
    <row r="1734" spans="1:40" x14ac:dyDescent="0.25">
      <c r="A1734" t="str">
        <f>"20190303171012639"</f>
        <v>20190303171012639</v>
      </c>
      <c r="B1734" t="str">
        <f>"1551604212632440"</f>
        <v>1551604212632440</v>
      </c>
      <c r="C1734" t="s">
        <v>40</v>
      </c>
      <c r="D1734">
        <v>4.7445839999999997</v>
      </c>
      <c r="E1734">
        <v>0.50906799999999996</v>
      </c>
      <c r="F1734" t="s">
        <v>60</v>
      </c>
      <c r="G1734">
        <v>-421.42250000000001</v>
      </c>
      <c r="H1734" s="1">
        <v>3.4026989999999998E-6</v>
      </c>
      <c r="I1734">
        <v>288.15750000000003</v>
      </c>
      <c r="J1734">
        <v>-336.38659999999999</v>
      </c>
      <c r="K1734">
        <v>1.1205590000000001</v>
      </c>
      <c r="L1734">
        <v>283.98039999999997</v>
      </c>
      <c r="M1734">
        <v>-0.99982919999999997</v>
      </c>
      <c r="N1734">
        <v>-1.45962E-2</v>
      </c>
      <c r="O1734">
        <v>-1.1333269999999999E-2</v>
      </c>
      <c r="P1734">
        <v>-0.97917969999999999</v>
      </c>
      <c r="Q1734">
        <v>0.20037479999999999</v>
      </c>
      <c r="R1734">
        <v>3.2513519999999997E-2</v>
      </c>
      <c r="S1734">
        <v>-3.0671689999999998</v>
      </c>
      <c r="T1734">
        <v>-4.0172579999999999E-2</v>
      </c>
      <c r="U1734">
        <v>0.14953610000000001</v>
      </c>
      <c r="V1734">
        <v>4.3607960000000001E-2</v>
      </c>
      <c r="W1734">
        <v>0.21464</v>
      </c>
      <c r="X1734">
        <v>0.97571920000000001</v>
      </c>
      <c r="Y1734">
        <v>6.0002979999999997E-2</v>
      </c>
      <c r="Z1734">
        <v>8.1395509999999905E-4</v>
      </c>
      <c r="AA1734">
        <v>0.99819789999999997</v>
      </c>
      <c r="AB1734">
        <v>52</v>
      </c>
      <c r="AC1734">
        <v>-85.035899999999998</v>
      </c>
      <c r="AD1734">
        <v>-1.120555597301</v>
      </c>
      <c r="AE1734">
        <v>4.17710000000005</v>
      </c>
      <c r="AF1734">
        <v>5.1397788563448898</v>
      </c>
      <c r="AG1734">
        <v>-1.120555597301</v>
      </c>
      <c r="AH1734">
        <v>84.968373464593199</v>
      </c>
      <c r="AI1734">
        <v>90.754189600678998</v>
      </c>
      <c r="AJ1734">
        <v>86.538368052981895</v>
      </c>
      <c r="AK1734">
        <v>85.131060493555196</v>
      </c>
      <c r="AL1734">
        <v>77.605591868672306</v>
      </c>
      <c r="AM1734">
        <v>87.440974358353799</v>
      </c>
      <c r="AN1734">
        <v>0.99999997051199996</v>
      </c>
    </row>
    <row r="1735" spans="1:40" x14ac:dyDescent="0.25">
      <c r="A1735" t="str">
        <f>"20190303171012650"</f>
        <v>20190303171012650</v>
      </c>
      <c r="B1735" t="str">
        <f>"1551604212642200"</f>
        <v>1551604212642200</v>
      </c>
      <c r="C1735" t="s">
        <v>40</v>
      </c>
      <c r="D1735">
        <v>4.6485149999999997</v>
      </c>
      <c r="E1735">
        <v>0.50906799999999996</v>
      </c>
      <c r="F1735" t="s">
        <v>60</v>
      </c>
      <c r="G1735">
        <v>-421.73689999999999</v>
      </c>
      <c r="H1735" s="1">
        <v>3.3994489999999999E-6</v>
      </c>
      <c r="I1735">
        <v>287.55669999999998</v>
      </c>
      <c r="J1735">
        <v>-336.70710000000003</v>
      </c>
      <c r="K1735">
        <v>1.1205609999999999</v>
      </c>
      <c r="L1735">
        <v>283.97680000000003</v>
      </c>
      <c r="M1735">
        <v>-0.99982870000000001</v>
      </c>
      <c r="N1735">
        <v>-1.4639950000000001E-2</v>
      </c>
      <c r="O1735">
        <v>-1.1334260000000001E-2</v>
      </c>
      <c r="P1735">
        <v>-0.97918959999999999</v>
      </c>
      <c r="Q1735">
        <v>0.20028589999999999</v>
      </c>
      <c r="R1735">
        <v>3.2767520000000001E-2</v>
      </c>
      <c r="S1735">
        <v>-3.0677490000000001</v>
      </c>
      <c r="T1735">
        <v>-4.027617E-2</v>
      </c>
      <c r="U1735">
        <v>0.12853999999999999</v>
      </c>
      <c r="V1735">
        <v>4.3864010000000002E-2</v>
      </c>
      <c r="W1735">
        <v>0.2145939</v>
      </c>
      <c r="X1735">
        <v>0.97571790000000003</v>
      </c>
      <c r="Y1735">
        <v>5.3176859999999999E-2</v>
      </c>
      <c r="Z1735">
        <v>7.212675E-4</v>
      </c>
      <c r="AA1735">
        <v>0.9985849</v>
      </c>
      <c r="AB1735">
        <v>52</v>
      </c>
      <c r="AC1735">
        <v>-85.029799999999895</v>
      </c>
      <c r="AD1735">
        <v>-1.1205576005509901</v>
      </c>
      <c r="AE1735">
        <v>3.5798999999999501</v>
      </c>
      <c r="AF1735">
        <v>4.5427355028995997</v>
      </c>
      <c r="AG1735">
        <v>-1.1205576005509901</v>
      </c>
      <c r="AH1735">
        <v>84.969026594563502</v>
      </c>
      <c r="AI1735">
        <v>90.7544861579876</v>
      </c>
      <c r="AJ1735">
        <v>86.939684758060807</v>
      </c>
      <c r="AK1735">
        <v>85.097753058544896</v>
      </c>
      <c r="AL1735">
        <v>77.608296677444798</v>
      </c>
      <c r="AM1735">
        <v>87.425965420703093</v>
      </c>
      <c r="AN1735">
        <v>1.00000000683545</v>
      </c>
    </row>
    <row r="1736" spans="1:40" x14ac:dyDescent="0.25">
      <c r="A1736" t="str">
        <f>"20190303171012664"</f>
        <v>20190303171012664</v>
      </c>
      <c r="B1736" t="str">
        <f>"1551604212651960"</f>
        <v>1551604212651960</v>
      </c>
      <c r="C1736" t="s">
        <v>40</v>
      </c>
      <c r="D1736">
        <v>4.7982909999999999</v>
      </c>
      <c r="E1736">
        <v>0.50821689999999997</v>
      </c>
      <c r="F1736" t="s">
        <v>60</v>
      </c>
      <c r="G1736">
        <v>-421.46120000000002</v>
      </c>
      <c r="H1736" s="1">
        <v>3.4492270000000001E-6</v>
      </c>
      <c r="I1736">
        <v>287.54660000000001</v>
      </c>
      <c r="J1736">
        <v>-336.98140000000001</v>
      </c>
      <c r="K1736">
        <v>1.1205639999999999</v>
      </c>
      <c r="L1736">
        <v>283.97370000000001</v>
      </c>
      <c r="M1736">
        <v>-0.9998281</v>
      </c>
      <c r="N1736">
        <v>-1.467447E-2</v>
      </c>
      <c r="O1736">
        <v>-1.1334840000000001E-2</v>
      </c>
      <c r="P1736">
        <v>-0.97926990000000003</v>
      </c>
      <c r="Q1736">
        <v>0.19986760000000001</v>
      </c>
      <c r="R1736">
        <v>3.2915979999999997E-2</v>
      </c>
      <c r="S1736">
        <v>-3.0677490000000001</v>
      </c>
      <c r="T1736">
        <v>-4.0559530000000003E-2</v>
      </c>
      <c r="U1736">
        <v>0.1292114</v>
      </c>
      <c r="V1736">
        <v>4.4014699999999997E-2</v>
      </c>
      <c r="W1736">
        <v>0.2142096</v>
      </c>
      <c r="X1736">
        <v>0.97579559999999999</v>
      </c>
      <c r="Y1736">
        <v>5.3395459999999999E-2</v>
      </c>
      <c r="Z1736">
        <v>7.2834470000000004E-4</v>
      </c>
      <c r="AA1736">
        <v>0.99857320000000005</v>
      </c>
      <c r="AB1736">
        <v>52</v>
      </c>
      <c r="AC1736">
        <v>-84.479799999999997</v>
      </c>
      <c r="AD1736">
        <v>-1.1205605507730001</v>
      </c>
      <c r="AE1736">
        <v>3.5729000000000002</v>
      </c>
      <c r="AF1736">
        <v>4.5295430279950404</v>
      </c>
      <c r="AG1736">
        <v>-1.1205605507730001</v>
      </c>
      <c r="AH1736">
        <v>84.419042946092404</v>
      </c>
      <c r="AI1736">
        <v>90.759395215867499</v>
      </c>
      <c r="AJ1736">
        <v>86.928713350424601</v>
      </c>
      <c r="AK1736">
        <v>84.547899015437395</v>
      </c>
      <c r="AL1736">
        <v>77.6308402095747</v>
      </c>
      <c r="AM1736">
        <v>87.417339949847005</v>
      </c>
      <c r="AN1736">
        <v>1.0000000497638</v>
      </c>
    </row>
    <row r="1737" spans="1:40" x14ac:dyDescent="0.25">
      <c r="A1737" t="str">
        <f>"20190303171012675"</f>
        <v>20190303171012675</v>
      </c>
      <c r="B1737" t="str">
        <f>"1551604212662228"</f>
        <v>1551604212662228</v>
      </c>
      <c r="C1737" t="s">
        <v>40</v>
      </c>
      <c r="D1737">
        <v>4.7458619999999998</v>
      </c>
      <c r="E1737">
        <v>0.5074014</v>
      </c>
      <c r="F1737" t="s">
        <v>60</v>
      </c>
      <c r="G1737">
        <v>-418.9778</v>
      </c>
      <c r="H1737" s="1">
        <v>3.5677939999999998E-6</v>
      </c>
      <c r="I1737">
        <v>287.25259999999997</v>
      </c>
      <c r="J1737">
        <v>-337.26560000000001</v>
      </c>
      <c r="K1737">
        <v>1.120565</v>
      </c>
      <c r="L1737">
        <v>283.97050000000002</v>
      </c>
      <c r="M1737">
        <v>-0.99982760000000004</v>
      </c>
      <c r="N1737">
        <v>-1.4708479999999999E-2</v>
      </c>
      <c r="O1737">
        <v>-1.133554E-2</v>
      </c>
      <c r="P1737">
        <v>-0.97926349999999995</v>
      </c>
      <c r="Q1737">
        <v>0.19986760000000001</v>
      </c>
      <c r="R1737">
        <v>3.3102769999999997E-2</v>
      </c>
      <c r="S1737">
        <v>-3.0679319999999999</v>
      </c>
      <c r="T1737">
        <v>-4.192626E-2</v>
      </c>
      <c r="U1737">
        <v>0.1226807</v>
      </c>
      <c r="V1737">
        <v>4.4202900000000003E-2</v>
      </c>
      <c r="W1737">
        <v>0.21424319999999999</v>
      </c>
      <c r="X1737">
        <v>0.97577970000000003</v>
      </c>
      <c r="Y1737">
        <v>5.1271339999999999E-2</v>
      </c>
      <c r="Z1737">
        <v>7.1563270000000003E-4</v>
      </c>
      <c r="AA1737">
        <v>0.99868449999999998</v>
      </c>
      <c r="AB1737">
        <v>52</v>
      </c>
      <c r="AC1737">
        <v>-81.712199999999996</v>
      </c>
      <c r="AD1737">
        <v>-1.120561432206</v>
      </c>
      <c r="AE1737">
        <v>3.2820999999999501</v>
      </c>
      <c r="AF1737">
        <v>4.20745119178126</v>
      </c>
      <c r="AG1737">
        <v>-1.120561432206</v>
      </c>
      <c r="AH1737">
        <v>81.654409280655798</v>
      </c>
      <c r="AI1737">
        <v>90.785191685561898</v>
      </c>
      <c r="AJ1737">
        <v>87.0502979096578</v>
      </c>
      <c r="AK1737">
        <v>81.770415545155601</v>
      </c>
      <c r="AL1737">
        <v>77.628869117458095</v>
      </c>
      <c r="AM1737">
        <v>87.406269740550798</v>
      </c>
      <c r="AN1737">
        <v>1.0000000340233599</v>
      </c>
    </row>
    <row r="1738" spans="1:40" x14ac:dyDescent="0.25">
      <c r="A1738" t="str">
        <f>"20190303171012688"</f>
        <v>20190303171012688</v>
      </c>
      <c r="B1738" t="str">
        <f>"1551604212682723"</f>
        <v>1551604212682723</v>
      </c>
      <c r="C1738" t="s">
        <v>40</v>
      </c>
      <c r="D1738">
        <v>4.7285019999999998</v>
      </c>
      <c r="E1738">
        <v>0.50575630000000005</v>
      </c>
      <c r="F1738" t="s">
        <v>60</v>
      </c>
      <c r="G1738">
        <v>-419.13139999999999</v>
      </c>
      <c r="H1738" s="1">
        <v>3.6095439999999999E-6</v>
      </c>
      <c r="I1738">
        <v>287.08670000000001</v>
      </c>
      <c r="J1738">
        <v>-337.53559999999999</v>
      </c>
      <c r="K1738">
        <v>1.1205700000000001</v>
      </c>
      <c r="L1738">
        <v>283.9674</v>
      </c>
      <c r="M1738">
        <v>-0.99982709999999997</v>
      </c>
      <c r="N1738">
        <v>-1.473675E-2</v>
      </c>
      <c r="O1738">
        <v>-1.133608E-2</v>
      </c>
      <c r="P1738">
        <v>-0.97935939999999999</v>
      </c>
      <c r="Q1738">
        <v>0.19940430000000001</v>
      </c>
      <c r="R1738">
        <v>3.3064370000000003E-2</v>
      </c>
      <c r="S1738">
        <v>-3.068146</v>
      </c>
      <c r="T1738">
        <v>-4.1996119999999998E-2</v>
      </c>
      <c r="U1738">
        <v>0.1167908</v>
      </c>
      <c r="V1738">
        <v>4.4166900000000002E-2</v>
      </c>
      <c r="W1738">
        <v>0.21380859999999999</v>
      </c>
      <c r="X1738">
        <v>0.97587659999999998</v>
      </c>
      <c r="Y1738">
        <v>4.9355099999999999E-2</v>
      </c>
      <c r="Z1738">
        <v>6.8960509999999996E-4</v>
      </c>
      <c r="AA1738">
        <v>0.99878109999999998</v>
      </c>
      <c r="AB1738">
        <v>52</v>
      </c>
      <c r="AC1738">
        <v>-81.595799999999997</v>
      </c>
      <c r="AD1738">
        <v>-1.1205663904559999</v>
      </c>
      <c r="AE1738">
        <v>3.1193</v>
      </c>
      <c r="AF1738">
        <v>4.0434150675909803</v>
      </c>
      <c r="AG1738">
        <v>-1.1205663904559999</v>
      </c>
      <c r="AH1738">
        <v>81.5398355154679</v>
      </c>
      <c r="AI1738">
        <v>90.786375212023501</v>
      </c>
      <c r="AJ1738">
        <v>87.161129840476505</v>
      </c>
      <c r="AK1738">
        <v>81.647716749054297</v>
      </c>
      <c r="AL1738">
        <v>77.654359941406398</v>
      </c>
      <c r="AM1738">
        <v>87.408636246243304</v>
      </c>
      <c r="AN1738">
        <v>0.99999998545856394</v>
      </c>
    </row>
    <row r="1739" spans="1:40" x14ac:dyDescent="0.25">
      <c r="A1739" t="str">
        <f>"20190303171012704"</f>
        <v>20190303171012704</v>
      </c>
      <c r="B1739" t="str">
        <f>"1551604212692484"</f>
        <v>1551604212692484</v>
      </c>
      <c r="C1739" t="s">
        <v>40</v>
      </c>
      <c r="D1739">
        <v>4.789771</v>
      </c>
      <c r="E1739">
        <v>0.50503299999999995</v>
      </c>
      <c r="F1739" t="s">
        <v>60</v>
      </c>
      <c r="G1739">
        <v>-417.12169999999998</v>
      </c>
      <c r="H1739" s="1">
        <v>3.2900740000000002E-6</v>
      </c>
      <c r="I1739">
        <v>286.66329999999999</v>
      </c>
      <c r="J1739">
        <v>-337.90660000000003</v>
      </c>
      <c r="K1739">
        <v>1.120571</v>
      </c>
      <c r="L1739">
        <v>283.9633</v>
      </c>
      <c r="M1739">
        <v>-0.99982660000000001</v>
      </c>
      <c r="N1739">
        <v>-1.4773049999999999E-2</v>
      </c>
      <c r="O1739">
        <v>-1.133703E-2</v>
      </c>
      <c r="P1739">
        <v>-0.97927850000000005</v>
      </c>
      <c r="Q1739">
        <v>0.19975770000000001</v>
      </c>
      <c r="R1739">
        <v>3.3322169999999998E-2</v>
      </c>
      <c r="S1739">
        <v>-3.0685120000000001</v>
      </c>
      <c r="T1739">
        <v>-4.3204430000000002E-2</v>
      </c>
      <c r="U1739">
        <v>0.1039429</v>
      </c>
      <c r="V1739">
        <v>4.442567E-2</v>
      </c>
      <c r="W1739">
        <v>0.21419569999999999</v>
      </c>
      <c r="X1739">
        <v>0.97577999999999998</v>
      </c>
      <c r="Y1739">
        <v>4.517504E-2</v>
      </c>
      <c r="Z1739">
        <v>6.4389519999999997E-4</v>
      </c>
      <c r="AA1739">
        <v>0.9989789</v>
      </c>
      <c r="AB1739">
        <v>52</v>
      </c>
      <c r="AC1739">
        <v>-79.215099999999893</v>
      </c>
      <c r="AD1739">
        <v>-1.1205677099259901</v>
      </c>
      <c r="AE1739">
        <v>2.6999999999999802</v>
      </c>
      <c r="AF1739">
        <v>3.5972694219587198</v>
      </c>
      <c r="AG1739">
        <v>-1.1205677099259901</v>
      </c>
      <c r="AH1739">
        <v>79.163571985214304</v>
      </c>
      <c r="AI1739">
        <v>90.810137040852794</v>
      </c>
      <c r="AJ1739">
        <v>87.398214066614599</v>
      </c>
      <c r="AK1739">
        <v>79.253183839798496</v>
      </c>
      <c r="AL1739">
        <v>77.631655212016099</v>
      </c>
      <c r="AM1739">
        <v>87.393216866749</v>
      </c>
      <c r="AN1739">
        <v>1.0000000232267101</v>
      </c>
    </row>
    <row r="1740" spans="1:40" x14ac:dyDescent="0.25">
      <c r="A1740" t="str">
        <f>"20190303171012714"</f>
        <v>20190303171012714</v>
      </c>
      <c r="B1740" t="str">
        <f>"1551604212702243"</f>
        <v>1551604212702243</v>
      </c>
      <c r="C1740" t="s">
        <v>40</v>
      </c>
      <c r="D1740">
        <v>4.7414489999999896</v>
      </c>
      <c r="E1740">
        <v>0.50428209999999996</v>
      </c>
      <c r="F1740" t="s">
        <v>60</v>
      </c>
      <c r="G1740">
        <v>-419.68349999999998</v>
      </c>
      <c r="H1740" s="1">
        <v>3.7502620000000001E-6</v>
      </c>
      <c r="I1740">
        <v>286.59739999999999</v>
      </c>
      <c r="J1740">
        <v>-338.1651</v>
      </c>
      <c r="K1740">
        <v>1.1205769999999999</v>
      </c>
      <c r="L1740">
        <v>283.96030000000002</v>
      </c>
      <c r="M1740">
        <v>-0.99982629999999995</v>
      </c>
      <c r="N1740">
        <v>-1.4796439999999999E-2</v>
      </c>
      <c r="O1740">
        <v>-1.133789E-2</v>
      </c>
      <c r="P1740">
        <v>-0.97922410000000004</v>
      </c>
      <c r="Q1740">
        <v>0.19999510000000001</v>
      </c>
      <c r="R1740">
        <v>3.3499389999999997E-2</v>
      </c>
      <c r="S1740">
        <v>-3.068695</v>
      </c>
      <c r="T1740">
        <v>-4.2049530000000002E-2</v>
      </c>
      <c r="U1740">
        <v>9.8846439999999994E-2</v>
      </c>
      <c r="V1740">
        <v>4.460368E-2</v>
      </c>
      <c r="W1740">
        <v>0.21445510000000001</v>
      </c>
      <c r="X1740">
        <v>0.97571490000000005</v>
      </c>
      <c r="Y1740">
        <v>4.3517210000000001E-2</v>
      </c>
      <c r="Z1740">
        <v>6.0773900000000004E-4</v>
      </c>
      <c r="AA1740">
        <v>0.99905250000000001</v>
      </c>
      <c r="AB1740">
        <v>52</v>
      </c>
      <c r="AC1740">
        <v>-81.5183999999999</v>
      </c>
      <c r="AD1740">
        <v>-1.1205732497380001</v>
      </c>
      <c r="AE1740">
        <v>2.63709999999997</v>
      </c>
      <c r="AF1740">
        <v>3.5606061446488799</v>
      </c>
      <c r="AG1740">
        <v>-1.1205732497380001</v>
      </c>
      <c r="AH1740">
        <v>81.467878706486701</v>
      </c>
      <c r="AI1740">
        <v>90.787290018749204</v>
      </c>
      <c r="AJ1740">
        <v>87.497443665731794</v>
      </c>
      <c r="AK1740">
        <v>81.553349786873696</v>
      </c>
      <c r="AL1740">
        <v>77.616439086176001</v>
      </c>
      <c r="AM1740">
        <v>87.382611817728701</v>
      </c>
      <c r="AN1740">
        <v>1.0000000221337799</v>
      </c>
    </row>
    <row r="1741" spans="1:40" x14ac:dyDescent="0.25">
      <c r="A1741" t="str">
        <f>"20190303171012726"</f>
        <v>20190303171012726</v>
      </c>
      <c r="B1741" t="str">
        <f>"1551604212722741"</f>
        <v>1551604212722741</v>
      </c>
      <c r="C1741" t="s">
        <v>40</v>
      </c>
      <c r="D1741">
        <v>4.7514519999999996</v>
      </c>
      <c r="E1741">
        <v>0.50361559999999905</v>
      </c>
      <c r="F1741" t="s">
        <v>60</v>
      </c>
      <c r="G1741">
        <v>-422.13350000000003</v>
      </c>
      <c r="H1741" s="1">
        <v>3.4207129999999999E-6</v>
      </c>
      <c r="I1741">
        <v>286.50880000000001</v>
      </c>
      <c r="J1741">
        <v>-338.42750000000001</v>
      </c>
      <c r="K1741">
        <v>1.1205799999999999</v>
      </c>
      <c r="L1741">
        <v>283.95729999999998</v>
      </c>
      <c r="M1741">
        <v>-0.99982599999999999</v>
      </c>
      <c r="N1741">
        <v>-1.4817449999999999E-2</v>
      </c>
      <c r="O1741">
        <v>-1.1338620000000001E-2</v>
      </c>
      <c r="P1741">
        <v>-0.97916550000000002</v>
      </c>
      <c r="Q1741">
        <v>0.2002746</v>
      </c>
      <c r="R1741">
        <v>3.3548290000000001E-2</v>
      </c>
      <c r="S1741">
        <v>-3.0687869999999999</v>
      </c>
      <c r="T1741">
        <v>-4.095352E-2</v>
      </c>
      <c r="U1741">
        <v>9.3139650000000004E-2</v>
      </c>
      <c r="V1741">
        <v>4.4653230000000002E-2</v>
      </c>
      <c r="W1741">
        <v>0.2147541</v>
      </c>
      <c r="X1741">
        <v>0.97564689999999998</v>
      </c>
      <c r="Y1741">
        <v>4.1661530000000002E-2</v>
      </c>
      <c r="Z1741">
        <v>5.6999199999999996E-4</v>
      </c>
      <c r="AA1741">
        <v>0.99913160000000001</v>
      </c>
      <c r="AB1741">
        <v>52</v>
      </c>
      <c r="AC1741">
        <v>-83.706000000000003</v>
      </c>
      <c r="AD1741">
        <v>-1.1205765792869999</v>
      </c>
      <c r="AE1741">
        <v>2.5515000000000301</v>
      </c>
      <c r="AF1741">
        <v>3.4999239554753201</v>
      </c>
      <c r="AG1741">
        <v>-1.1205765792869999</v>
      </c>
      <c r="AH1741">
        <v>83.656705715308107</v>
      </c>
      <c r="AI1741">
        <v>90.766756991381499</v>
      </c>
      <c r="AJ1741">
        <v>87.604328367833403</v>
      </c>
      <c r="AK1741">
        <v>83.737384546580003</v>
      </c>
      <c r="AL1741">
        <v>77.598899382537695</v>
      </c>
      <c r="AM1741">
        <v>87.379525852009607</v>
      </c>
      <c r="AN1741">
        <v>1.0000000539479199</v>
      </c>
    </row>
    <row r="1742" spans="1:40" x14ac:dyDescent="0.25">
      <c r="A1742" t="str">
        <f>"20190303171012738"</f>
        <v>20190303171012738</v>
      </c>
      <c r="B1742" t="str">
        <f>"1551604212732499"</f>
        <v>1551604212732499</v>
      </c>
      <c r="C1742" t="s">
        <v>40</v>
      </c>
      <c r="D1742">
        <v>4.7265470000000001</v>
      </c>
      <c r="E1742">
        <v>0.50298149999999997</v>
      </c>
      <c r="F1742" t="s">
        <v>60</v>
      </c>
      <c r="G1742">
        <v>-424.19049999999999</v>
      </c>
      <c r="H1742" s="1">
        <v>3.0650599999999998E-6</v>
      </c>
      <c r="I1742">
        <v>286.40320000000003</v>
      </c>
      <c r="J1742">
        <v>-338.6934</v>
      </c>
      <c r="K1742">
        <v>1.1205849999999999</v>
      </c>
      <c r="L1742">
        <v>283.95429999999999</v>
      </c>
      <c r="M1742">
        <v>-0.99982570000000004</v>
      </c>
      <c r="N1742">
        <v>-1.4837950000000001E-2</v>
      </c>
      <c r="O1742">
        <v>-1.1339109999999999E-2</v>
      </c>
      <c r="P1742">
        <v>-0.97913249999999996</v>
      </c>
      <c r="Q1742">
        <v>0.20038739999999999</v>
      </c>
      <c r="R1742">
        <v>3.3833429999999998E-2</v>
      </c>
      <c r="S1742">
        <v>-3.0690309999999998</v>
      </c>
      <c r="T1742">
        <v>-4.0099860000000001E-2</v>
      </c>
      <c r="U1742">
        <v>8.7524409999999997E-2</v>
      </c>
      <c r="V1742">
        <v>4.4939010000000001E-2</v>
      </c>
      <c r="W1742">
        <v>0.2148863</v>
      </c>
      <c r="X1742">
        <v>0.97560460000000004</v>
      </c>
      <c r="Y1742">
        <v>3.9833639999999997E-2</v>
      </c>
      <c r="Z1742">
        <v>5.3569909999999997E-4</v>
      </c>
      <c r="AA1742">
        <v>0.99920620000000004</v>
      </c>
      <c r="AB1742">
        <v>52</v>
      </c>
      <c r="AC1742">
        <v>-85.497099999999904</v>
      </c>
      <c r="AD1742">
        <v>-1.1205819349399999</v>
      </c>
      <c r="AE1742">
        <v>2.4489000000000298</v>
      </c>
      <c r="AF1742">
        <v>3.4177235718983701</v>
      </c>
      <c r="AG1742">
        <v>-1.1205819349399999</v>
      </c>
      <c r="AH1742">
        <v>85.449163974341701</v>
      </c>
      <c r="AI1742">
        <v>90.750734661922493</v>
      </c>
      <c r="AJ1742">
        <v>87.709552625958693</v>
      </c>
      <c r="AK1742">
        <v>85.524827753119496</v>
      </c>
      <c r="AL1742">
        <v>77.591142960436301</v>
      </c>
      <c r="AM1742">
        <v>87.362664276550305</v>
      </c>
      <c r="AN1742">
        <v>0.99999998604431495</v>
      </c>
    </row>
    <row r="1743" spans="1:40" x14ac:dyDescent="0.25">
      <c r="A1743" t="str">
        <f>"20190303171012750"</f>
        <v>20190303171012750</v>
      </c>
      <c r="B1743" t="str">
        <f>"1551604212742259"</f>
        <v>1551604212742259</v>
      </c>
      <c r="C1743" t="s">
        <v>40</v>
      </c>
      <c r="D1743">
        <v>4.6781410000000001</v>
      </c>
      <c r="E1743">
        <v>0.50298149999999997</v>
      </c>
      <c r="F1743" t="s">
        <v>60</v>
      </c>
      <c r="G1743">
        <v>-425.3623</v>
      </c>
      <c r="H1743" s="1">
        <v>2.8657700000000002E-6</v>
      </c>
      <c r="I1743">
        <v>286.30520000000001</v>
      </c>
      <c r="J1743">
        <v>-338.97109999999998</v>
      </c>
      <c r="K1743">
        <v>1.120579</v>
      </c>
      <c r="L1743">
        <v>283.95119999999997</v>
      </c>
      <c r="M1743">
        <v>-0.99982539999999998</v>
      </c>
      <c r="N1743">
        <v>-1.485676E-2</v>
      </c>
      <c r="O1743">
        <v>-1.1339109999999999E-2</v>
      </c>
      <c r="P1743">
        <v>-0.97912670000000002</v>
      </c>
      <c r="Q1743">
        <v>0.20045170000000001</v>
      </c>
      <c r="R1743">
        <v>3.3614150000000002E-2</v>
      </c>
      <c r="S1743">
        <v>-3.0691830000000002</v>
      </c>
      <c r="T1743">
        <v>-3.9682870000000002E-2</v>
      </c>
      <c r="U1743">
        <v>8.3251950000000005E-2</v>
      </c>
      <c r="V1743">
        <v>4.4720169999999997E-2</v>
      </c>
      <c r="W1743">
        <v>0.21496879999999999</v>
      </c>
      <c r="X1743">
        <v>0.97559649999999998</v>
      </c>
      <c r="Y1743">
        <v>3.8442659999999997E-2</v>
      </c>
      <c r="Z1743">
        <v>5.122665E-4</v>
      </c>
      <c r="AA1743">
        <v>0.9992607</v>
      </c>
      <c r="AB1743">
        <v>52</v>
      </c>
      <c r="AC1743">
        <v>-86.391199999999998</v>
      </c>
      <c r="AD1743">
        <v>-1.12057613423</v>
      </c>
      <c r="AE1743">
        <v>2.3540000000000401</v>
      </c>
      <c r="AF1743">
        <v>3.3329956672719101</v>
      </c>
      <c r="AG1743">
        <v>-1.12057613423</v>
      </c>
      <c r="AH1743">
        <v>86.344433200745399</v>
      </c>
      <c r="AI1743">
        <v>90.742988333354006</v>
      </c>
      <c r="AJ1743">
        <v>87.789413716789994</v>
      </c>
      <c r="AK1743">
        <v>86.416003701563596</v>
      </c>
      <c r="AL1743">
        <v>77.586303182649502</v>
      </c>
      <c r="AM1743">
        <v>87.375467578648497</v>
      </c>
      <c r="AN1743">
        <v>1.00000000469525</v>
      </c>
    </row>
    <row r="1744" spans="1:40" x14ac:dyDescent="0.25">
      <c r="A1744" t="str">
        <f>"20190303171012762"</f>
        <v>20190303171012762</v>
      </c>
      <c r="B1744" t="str">
        <f>"1551604212752020"</f>
        <v>1551604212752020</v>
      </c>
      <c r="C1744" t="s">
        <v>40</v>
      </c>
      <c r="D1744">
        <v>4.8151039999999998</v>
      </c>
      <c r="E1744">
        <v>0.50198779999999998</v>
      </c>
      <c r="F1744" t="s">
        <v>60</v>
      </c>
      <c r="G1744">
        <v>-426.10739999999998</v>
      </c>
      <c r="H1744" s="1">
        <v>2.7351279999999998E-6</v>
      </c>
      <c r="I1744">
        <v>286.2878</v>
      </c>
      <c r="J1744">
        <v>-339.24090000000001</v>
      </c>
      <c r="K1744">
        <v>1.1205799999999999</v>
      </c>
      <c r="L1744">
        <v>283.94810000000001</v>
      </c>
      <c r="M1744">
        <v>-0.99982510000000002</v>
      </c>
      <c r="N1744">
        <v>-1.4873880000000001E-2</v>
      </c>
      <c r="O1744">
        <v>-1.133837E-2</v>
      </c>
      <c r="P1744">
        <v>-0.97916539999999996</v>
      </c>
      <c r="Q1744">
        <v>0.20028000000000001</v>
      </c>
      <c r="R1744">
        <v>3.3513710000000002E-2</v>
      </c>
      <c r="S1744">
        <v>-3.0692750000000002</v>
      </c>
      <c r="T1744">
        <v>-3.9471029999999997E-2</v>
      </c>
      <c r="U1744">
        <v>8.2305909999999996E-2</v>
      </c>
      <c r="V1744">
        <v>4.4620199999999999E-2</v>
      </c>
      <c r="W1744">
        <v>0.21481420000000001</v>
      </c>
      <c r="X1744">
        <v>0.97563509999999998</v>
      </c>
      <c r="Y1744">
        <v>3.8133449999999999E-2</v>
      </c>
      <c r="Z1744">
        <v>5.0599399999999995E-4</v>
      </c>
      <c r="AA1744">
        <v>0.99927250000000001</v>
      </c>
      <c r="AB1744">
        <v>52</v>
      </c>
      <c r="AC1744">
        <v>-86.866499999999903</v>
      </c>
      <c r="AD1744">
        <v>-1.1205772648719901</v>
      </c>
      <c r="AE1744">
        <v>2.3396999999999899</v>
      </c>
      <c r="AF1744">
        <v>3.3240302909069901</v>
      </c>
      <c r="AG1744">
        <v>-1.1205772648719901</v>
      </c>
      <c r="AH1744">
        <v>86.819946328236597</v>
      </c>
      <c r="AI1744">
        <v>90.738929106797002</v>
      </c>
      <c r="AJ1744">
        <v>87.807417100652401</v>
      </c>
      <c r="AK1744">
        <v>86.890781739027403</v>
      </c>
      <c r="AL1744">
        <v>77.595372632691706</v>
      </c>
      <c r="AM1744">
        <v>87.381429891800593</v>
      </c>
      <c r="AN1744">
        <v>0.99999997556084397</v>
      </c>
    </row>
    <row r="1745" spans="1:40" x14ac:dyDescent="0.25">
      <c r="A1745" t="str">
        <f>"20190303171012773"</f>
        <v>20190303171012773</v>
      </c>
      <c r="B1745" t="str">
        <f>"1551604212762286"</f>
        <v>1551604212762286</v>
      </c>
      <c r="C1745" t="s">
        <v>40</v>
      </c>
      <c r="D1745">
        <v>4.7639430000000003</v>
      </c>
      <c r="E1745">
        <v>0.5010135</v>
      </c>
      <c r="F1745" t="s">
        <v>60</v>
      </c>
      <c r="G1745">
        <v>-426.1893</v>
      </c>
      <c r="H1745" s="1">
        <v>2.7418670000000001E-6</v>
      </c>
      <c r="I1745">
        <v>286.04450000000003</v>
      </c>
      <c r="J1745">
        <v>-339.51190000000003</v>
      </c>
      <c r="K1745">
        <v>1.1205830000000001</v>
      </c>
      <c r="L1745">
        <v>283.94499999999999</v>
      </c>
      <c r="M1745">
        <v>-0.99982499999999996</v>
      </c>
      <c r="N1745">
        <v>-1.488981E-2</v>
      </c>
      <c r="O1745">
        <v>-1.133703E-2</v>
      </c>
      <c r="P1745">
        <v>-0.97918360000000004</v>
      </c>
      <c r="Q1745">
        <v>0.20025219999999999</v>
      </c>
      <c r="R1745">
        <v>3.3148270000000001E-2</v>
      </c>
      <c r="S1745">
        <v>-3.0693969999999999</v>
      </c>
      <c r="T1745">
        <v>-3.9557929999999998E-2</v>
      </c>
      <c r="U1745">
        <v>7.4005130000000002E-2</v>
      </c>
      <c r="V1745">
        <v>4.4254439999999999E-2</v>
      </c>
      <c r="W1745">
        <v>0.21480250000000001</v>
      </c>
      <c r="X1745">
        <v>0.97565440000000003</v>
      </c>
      <c r="Y1745">
        <v>3.5430730000000001E-2</v>
      </c>
      <c r="Z1745">
        <v>4.6942149999999998E-4</v>
      </c>
      <c r="AA1745">
        <v>0.99937200000000004</v>
      </c>
      <c r="AB1745">
        <v>51</v>
      </c>
      <c r="AC1745">
        <v>-86.677399999999906</v>
      </c>
      <c r="AD1745">
        <v>-1.120580258133</v>
      </c>
      <c r="AE1745">
        <v>2.0995000000000301</v>
      </c>
      <c r="AF1745">
        <v>3.0816233934319399</v>
      </c>
      <c r="AG1745">
        <v>-1.120580258133</v>
      </c>
      <c r="AH1745">
        <v>86.633552375254894</v>
      </c>
      <c r="AI1745">
        <v>90.740594888446196</v>
      </c>
      <c r="AJ1745">
        <v>87.962803111994305</v>
      </c>
      <c r="AK1745">
        <v>86.695585239445194</v>
      </c>
      <c r="AL1745">
        <v>77.596059813679602</v>
      </c>
      <c r="AM1745">
        <v>87.4029165871261</v>
      </c>
      <c r="AN1745">
        <v>1.00000003885266</v>
      </c>
    </row>
    <row r="1746" spans="1:40" x14ac:dyDescent="0.25">
      <c r="A1746" t="str">
        <f>"20190303171012786"</f>
        <v>20190303171012786</v>
      </c>
      <c r="B1746" t="str">
        <f>"1551604212782782"</f>
        <v>1551604212782782</v>
      </c>
      <c r="C1746" t="s">
        <v>40</v>
      </c>
      <c r="D1746">
        <v>4.7907769999999896</v>
      </c>
      <c r="E1746">
        <v>0.49921209999999999</v>
      </c>
      <c r="F1746" t="s">
        <v>60</v>
      </c>
      <c r="G1746">
        <v>-427.27170000000001</v>
      </c>
      <c r="H1746" s="1">
        <v>2.5700279999999999E-6</v>
      </c>
      <c r="I1746">
        <v>285.81400000000002</v>
      </c>
      <c r="J1746">
        <v>-339.78840000000002</v>
      </c>
      <c r="K1746">
        <v>1.1205860000000001</v>
      </c>
      <c r="L1746">
        <v>283.94189999999998</v>
      </c>
      <c r="M1746">
        <v>-0.99982470000000001</v>
      </c>
      <c r="N1746">
        <v>-1.490445E-2</v>
      </c>
      <c r="O1746">
        <v>-1.133353E-2</v>
      </c>
      <c r="P1746">
        <v>-0.97917109999999996</v>
      </c>
      <c r="Q1746">
        <v>0.20030490000000001</v>
      </c>
      <c r="R1746">
        <v>3.320058E-2</v>
      </c>
      <c r="S1746">
        <v>-3.06955</v>
      </c>
      <c r="T1746">
        <v>-3.9194229999999997E-2</v>
      </c>
      <c r="U1746">
        <v>6.536865E-2</v>
      </c>
      <c r="V1746">
        <v>4.430444E-2</v>
      </c>
      <c r="W1746">
        <v>0.21486859999999999</v>
      </c>
      <c r="X1746">
        <v>0.97563759999999999</v>
      </c>
      <c r="Y1746">
        <v>3.2616079999999999E-2</v>
      </c>
      <c r="Z1746">
        <v>4.2711110000000002E-4</v>
      </c>
      <c r="AA1746">
        <v>0.99946780000000002</v>
      </c>
      <c r="AB1746">
        <v>51</v>
      </c>
      <c r="AC1746">
        <v>-87.4832999999999</v>
      </c>
      <c r="AD1746">
        <v>-1.1205834299719999</v>
      </c>
      <c r="AE1746">
        <v>1.8721000000000401</v>
      </c>
      <c r="AF1746">
        <v>2.8631149279291002</v>
      </c>
      <c r="AG1746">
        <v>-1.1205834299719999</v>
      </c>
      <c r="AH1746">
        <v>87.442119790343298</v>
      </c>
      <c r="AI1746">
        <v>90.733820305194499</v>
      </c>
      <c r="AJ1746">
        <v>88.124635866764194</v>
      </c>
      <c r="AK1746">
        <v>87.496156759841796</v>
      </c>
      <c r="AL1746">
        <v>77.592182316548502</v>
      </c>
      <c r="AM1746">
        <v>87.399941638799802</v>
      </c>
      <c r="AN1746">
        <v>1.00000006260171</v>
      </c>
    </row>
    <row r="1747" spans="1:40" x14ac:dyDescent="0.25">
      <c r="A1747" t="str">
        <f>"20190303171012798"</f>
        <v>20190303171012798</v>
      </c>
      <c r="B1747" t="str">
        <f>"1551604212792542"</f>
        <v>1551604212792542</v>
      </c>
      <c r="C1747" t="s">
        <v>40</v>
      </c>
      <c r="D1747">
        <v>4.7830069999999996</v>
      </c>
      <c r="E1747">
        <v>0.49838110000000002</v>
      </c>
      <c r="F1747" t="s">
        <v>60</v>
      </c>
      <c r="G1747">
        <v>-428.8904</v>
      </c>
      <c r="H1747" s="1">
        <v>2.3160680000000001E-6</v>
      </c>
      <c r="I1747">
        <v>285.43439999999998</v>
      </c>
      <c r="J1747">
        <v>-340.0797</v>
      </c>
      <c r="K1747">
        <v>1.1205889999999901</v>
      </c>
      <c r="L1747">
        <v>283.93860000000001</v>
      </c>
      <c r="M1747">
        <v>-0.99982470000000001</v>
      </c>
      <c r="N1747">
        <v>-1.4919079999999999E-2</v>
      </c>
      <c r="O1747">
        <v>-1.1328700000000001E-2</v>
      </c>
      <c r="P1747">
        <v>-0.97913839999999996</v>
      </c>
      <c r="Q1747">
        <v>0.2004862</v>
      </c>
      <c r="R1747">
        <v>3.3070719999999998E-2</v>
      </c>
      <c r="S1747">
        <v>-3.0699770000000002</v>
      </c>
      <c r="T1747">
        <v>-3.8609270000000001E-2</v>
      </c>
      <c r="U1747">
        <v>5.1422120000000002E-2</v>
      </c>
      <c r="V1747">
        <v>4.417074E-2</v>
      </c>
      <c r="W1747">
        <v>0.21506330000000001</v>
      </c>
      <c r="X1747">
        <v>0.97560069999999999</v>
      </c>
      <c r="Y1747">
        <v>2.8070069999999999E-2</v>
      </c>
      <c r="Z1747">
        <v>3.593736E-4</v>
      </c>
      <c r="AA1747">
        <v>0.99960590000000005</v>
      </c>
      <c r="AB1747">
        <v>51</v>
      </c>
      <c r="AC1747">
        <v>-88.810699999999997</v>
      </c>
      <c r="AD1747">
        <v>-1.12058668393199</v>
      </c>
      <c r="AE1747">
        <v>1.49579999999997</v>
      </c>
      <c r="AF1747">
        <v>2.5015274339833802</v>
      </c>
      <c r="AG1747">
        <v>-1.12058668393199</v>
      </c>
      <c r="AH1747">
        <v>88.773922877444207</v>
      </c>
      <c r="AI1747">
        <v>90.722915068684401</v>
      </c>
      <c r="AJ1747">
        <v>88.385910612330804</v>
      </c>
      <c r="AK1747">
        <v>88.816230144436901</v>
      </c>
      <c r="AL1747">
        <v>77.580759017711102</v>
      </c>
      <c r="AM1747">
        <v>87.407679350652899</v>
      </c>
      <c r="AN1747">
        <v>1.0000000015597601</v>
      </c>
    </row>
    <row r="1748" spans="1:40" x14ac:dyDescent="0.25">
      <c r="A1748" t="str">
        <f>"20190303171012812"</f>
        <v>20190303171012812</v>
      </c>
      <c r="B1748" t="str">
        <f>"1551604212802302"</f>
        <v>1551604212802302</v>
      </c>
      <c r="C1748" t="s">
        <v>40</v>
      </c>
      <c r="D1748">
        <v>4.7879559999999897</v>
      </c>
      <c r="E1748">
        <v>0.49752809999999997</v>
      </c>
      <c r="F1748" t="s">
        <v>60</v>
      </c>
      <c r="G1748">
        <v>-430.4325</v>
      </c>
      <c r="H1748" s="1">
        <v>2.3541040000000002E-6</v>
      </c>
      <c r="I1748">
        <v>285.24180000000001</v>
      </c>
      <c r="J1748">
        <v>-340.3861</v>
      </c>
      <c r="K1748">
        <v>1.1205889999999901</v>
      </c>
      <c r="L1748">
        <v>283.93520000000001</v>
      </c>
      <c r="M1748">
        <v>-0.9998245</v>
      </c>
      <c r="N1748">
        <v>-1.493268E-2</v>
      </c>
      <c r="O1748">
        <v>-1.1319559999999999E-2</v>
      </c>
      <c r="P1748">
        <v>-0.97904400000000003</v>
      </c>
      <c r="Q1748">
        <v>0.20089029999999999</v>
      </c>
      <c r="R1748">
        <v>3.3406459999999999E-2</v>
      </c>
      <c r="S1748">
        <v>-3.0702210000000001</v>
      </c>
      <c r="T1748">
        <v>-3.8077949999999999E-2</v>
      </c>
      <c r="U1748">
        <v>4.4281010000000003E-2</v>
      </c>
      <c r="V1748">
        <v>4.4498240000000001E-2</v>
      </c>
      <c r="W1748">
        <v>0.21547910000000001</v>
      </c>
      <c r="X1748">
        <v>0.97549399999999997</v>
      </c>
      <c r="Y1748">
        <v>2.5735560000000001E-2</v>
      </c>
      <c r="Z1748">
        <v>3.231083E-4</v>
      </c>
      <c r="AA1748">
        <v>0.99966869999999997</v>
      </c>
      <c r="AB1748">
        <v>51</v>
      </c>
      <c r="AC1748">
        <v>-90.046400000000006</v>
      </c>
      <c r="AD1748">
        <v>-1.1205866458960001</v>
      </c>
      <c r="AE1748">
        <v>1.3066</v>
      </c>
      <c r="AF1748">
        <v>2.3255554080716201</v>
      </c>
      <c r="AG1748">
        <v>-1.1205866458960001</v>
      </c>
      <c r="AH1748">
        <v>90.011900895737597</v>
      </c>
      <c r="AI1748">
        <v>90.713018541601997</v>
      </c>
      <c r="AJ1748">
        <v>88.520030424955607</v>
      </c>
      <c r="AK1748">
        <v>90.048910183583303</v>
      </c>
      <c r="AL1748">
        <v>77.556362682945306</v>
      </c>
      <c r="AM1748">
        <v>87.388200079506802</v>
      </c>
      <c r="AN1748">
        <v>0.999999939967951</v>
      </c>
    </row>
    <row r="1749" spans="1:40" x14ac:dyDescent="0.25">
      <c r="A1749" t="str">
        <f>"20190303171012828"</f>
        <v>20190303171012828</v>
      </c>
      <c r="B1749" t="str">
        <f>"1551604212822798"</f>
        <v>1551604212822798</v>
      </c>
      <c r="C1749" t="s">
        <v>40</v>
      </c>
      <c r="D1749">
        <v>4.7790489999999997</v>
      </c>
      <c r="E1749">
        <v>0.49595040000000001</v>
      </c>
      <c r="F1749" t="s">
        <v>60</v>
      </c>
      <c r="G1749">
        <v>-434.07499999999999</v>
      </c>
      <c r="H1749" s="1">
        <v>3.9812049999999996E-6</v>
      </c>
      <c r="I1749">
        <v>285.10660000000001</v>
      </c>
      <c r="J1749">
        <v>-340.76679999999999</v>
      </c>
      <c r="K1749">
        <v>1.1205909999999999</v>
      </c>
      <c r="L1749">
        <v>283.93090000000001</v>
      </c>
      <c r="M1749">
        <v>-0.9998243</v>
      </c>
      <c r="N1749">
        <v>-1.4947759999999999E-2</v>
      </c>
      <c r="O1749">
        <v>-1.1304669999999999E-2</v>
      </c>
      <c r="P1749">
        <v>-0.97890290000000002</v>
      </c>
      <c r="Q1749">
        <v>0.20155090000000001</v>
      </c>
      <c r="R1749">
        <v>3.3563349999999999E-2</v>
      </c>
      <c r="S1749">
        <v>-3.0704349999999998</v>
      </c>
      <c r="T1749">
        <v>-3.6724569999999998E-2</v>
      </c>
      <c r="U1749">
        <v>3.8391109999999999E-2</v>
      </c>
      <c r="V1749">
        <v>4.4642139999999997E-2</v>
      </c>
      <c r="W1749">
        <v>0.2161515</v>
      </c>
      <c r="X1749">
        <v>0.9753387</v>
      </c>
      <c r="Y1749">
        <v>2.380287E-2</v>
      </c>
      <c r="Z1749">
        <v>2.8648840000000003E-4</v>
      </c>
      <c r="AA1749">
        <v>0.99971659999999996</v>
      </c>
      <c r="AB1749">
        <v>51</v>
      </c>
      <c r="AC1749">
        <v>-93.308199999999999</v>
      </c>
      <c r="AD1749">
        <v>-1.120587018795</v>
      </c>
      <c r="AE1749">
        <v>1.1757</v>
      </c>
      <c r="AF1749">
        <v>2.2302395866095499</v>
      </c>
      <c r="AG1749">
        <v>-1.120587018795</v>
      </c>
      <c r="AH1749">
        <v>93.275493039289898</v>
      </c>
      <c r="AI1749">
        <v>90.688106528161697</v>
      </c>
      <c r="AJ1749">
        <v>88.630305039658893</v>
      </c>
      <c r="AK1749">
        <v>93.308881065003604</v>
      </c>
      <c r="AL1749">
        <v>77.516907777279698</v>
      </c>
      <c r="AM1749">
        <v>87.379349069996195</v>
      </c>
      <c r="AN1749">
        <v>0.99999998566685899</v>
      </c>
    </row>
    <row r="1750" spans="1:40" x14ac:dyDescent="0.25">
      <c r="A1750" t="str">
        <f>"20190303171012851"</f>
        <v>20190303171012851</v>
      </c>
      <c r="B1750" t="str">
        <f>"1551604212842318"</f>
        <v>1551604212842318</v>
      </c>
      <c r="C1750" t="s">
        <v>40</v>
      </c>
      <c r="D1750">
        <v>4.7897869999999996</v>
      </c>
      <c r="E1750">
        <v>0.49447629999999998</v>
      </c>
      <c r="F1750" t="s">
        <v>53</v>
      </c>
      <c r="G1750">
        <v>-440.68599999999998</v>
      </c>
      <c r="H1750" s="1">
        <v>-1.1787560000000001E-6</v>
      </c>
      <c r="I1750">
        <v>284.77690000000001</v>
      </c>
      <c r="J1750">
        <v>-341.27710000000002</v>
      </c>
      <c r="K1750">
        <v>1.120595</v>
      </c>
      <c r="L1750">
        <v>283.92509999999999</v>
      </c>
      <c r="M1750">
        <v>-0.9998245</v>
      </c>
      <c r="N1750">
        <v>-1.4965350000000001E-2</v>
      </c>
      <c r="O1750">
        <v>-1.127567E-2</v>
      </c>
      <c r="P1750">
        <v>-0.97877919999999996</v>
      </c>
      <c r="Q1750">
        <v>0.2021762</v>
      </c>
      <c r="R1750">
        <v>3.3411440000000001E-2</v>
      </c>
      <c r="S1750">
        <v>-3.0708310000000001</v>
      </c>
      <c r="T1750">
        <v>-3.4439329999999997E-2</v>
      </c>
      <c r="U1750">
        <v>2.600098E-2</v>
      </c>
      <c r="V1750">
        <v>4.4465240000000003E-2</v>
      </c>
      <c r="W1750">
        <v>0.21679109999999999</v>
      </c>
      <c r="X1750">
        <v>0.97520479999999998</v>
      </c>
      <c r="Y1750">
        <v>1.973979E-2</v>
      </c>
      <c r="Z1750">
        <v>2.1610999999999999E-4</v>
      </c>
      <c r="AA1750">
        <v>0.99980519999999995</v>
      </c>
      <c r="AB1750">
        <v>51</v>
      </c>
      <c r="AC1750">
        <v>-99.408899999999903</v>
      </c>
      <c r="AD1750">
        <v>-1.1205961787559999</v>
      </c>
      <c r="AE1750">
        <v>0.85180000000002498</v>
      </c>
      <c r="AF1750">
        <v>1.9725226215592699</v>
      </c>
      <c r="AG1750">
        <v>-1.1205961787559999</v>
      </c>
      <c r="AH1750">
        <v>99.380345762901001</v>
      </c>
      <c r="AI1750">
        <v>90.645903056570006</v>
      </c>
      <c r="AJ1750">
        <v>88.862930263120006</v>
      </c>
      <c r="AK1750">
        <v>99.406235746265693</v>
      </c>
      <c r="AL1750">
        <v>77.479371173104596</v>
      </c>
      <c r="AM1750">
        <v>87.389361424261594</v>
      </c>
      <c r="AN1750">
        <v>0.999999970275253</v>
      </c>
    </row>
    <row r="1751" spans="1:40" x14ac:dyDescent="0.25">
      <c r="A1751" t="str">
        <f>"20190303171012862"</f>
        <v>20190303171012862</v>
      </c>
      <c r="B1751" t="str">
        <f>"1551604212852078"</f>
        <v>1551604212852078</v>
      </c>
      <c r="C1751" t="s">
        <v>40</v>
      </c>
      <c r="D1751">
        <v>4.7619939999999996</v>
      </c>
      <c r="E1751">
        <v>0.49374630000000003</v>
      </c>
      <c r="F1751" t="s">
        <v>53</v>
      </c>
      <c r="G1751">
        <v>-447.11349999999999</v>
      </c>
      <c r="H1751" s="1">
        <v>2.2580440000000002E-6</v>
      </c>
      <c r="I1751">
        <v>284.4015</v>
      </c>
      <c r="J1751">
        <v>-341.54239999999999</v>
      </c>
      <c r="K1751">
        <v>1.120592</v>
      </c>
      <c r="L1751">
        <v>283.9221</v>
      </c>
      <c r="M1751">
        <v>-0.9998245</v>
      </c>
      <c r="N1751">
        <v>-1.49733E-2</v>
      </c>
      <c r="O1751">
        <v>-1.125524E-2</v>
      </c>
      <c r="P1751">
        <v>-0.97875330000000005</v>
      </c>
      <c r="Q1751">
        <v>0.2023026</v>
      </c>
      <c r="R1751">
        <v>3.3399209999999999E-2</v>
      </c>
      <c r="S1751">
        <v>-3.071259</v>
      </c>
      <c r="T1751">
        <v>-3.2518390000000001E-2</v>
      </c>
      <c r="U1751">
        <v>1.382446E-2</v>
      </c>
      <c r="V1751">
        <v>4.4435669999999997E-2</v>
      </c>
      <c r="W1751">
        <v>0.21692429999999999</v>
      </c>
      <c r="X1751">
        <v>0.97517659999999995</v>
      </c>
      <c r="Y1751">
        <v>1.5755060000000001E-2</v>
      </c>
      <c r="Z1751">
        <v>1.5199690000000001E-4</v>
      </c>
      <c r="AA1751">
        <v>0.99987579999999998</v>
      </c>
      <c r="AB1751">
        <v>51</v>
      </c>
      <c r="AC1751">
        <v>-105.5711</v>
      </c>
      <c r="AD1751">
        <v>-1.120589741956</v>
      </c>
      <c r="AE1751">
        <v>0.47939999999999799</v>
      </c>
      <c r="AF1751">
        <v>1.6675430940192699</v>
      </c>
      <c r="AG1751">
        <v>-1.120589741956</v>
      </c>
      <c r="AH1751">
        <v>105.547123415225</v>
      </c>
      <c r="AI1751">
        <v>90.6082083317105</v>
      </c>
      <c r="AJ1751">
        <v>89.094857064377294</v>
      </c>
      <c r="AK1751">
        <v>105.56624310151901</v>
      </c>
      <c r="AL1751">
        <v>77.471554235462506</v>
      </c>
      <c r="AM1751">
        <v>87.391019795892802</v>
      </c>
      <c r="AN1751">
        <v>1.0000000409431899</v>
      </c>
    </row>
    <row r="1752" spans="1:40" x14ac:dyDescent="0.25">
      <c r="A1752" t="str">
        <f>"20190303171012873"</f>
        <v>20190303171012873</v>
      </c>
      <c r="B1752" t="str">
        <f>"1551604212862346"</f>
        <v>1551604212862346</v>
      </c>
      <c r="C1752" t="s">
        <v>40</v>
      </c>
      <c r="D1752">
        <v>4.7706379999999999</v>
      </c>
      <c r="E1752">
        <v>0.49305009999999999</v>
      </c>
      <c r="F1752" t="s">
        <v>53</v>
      </c>
      <c r="G1752">
        <v>-449.34809999999999</v>
      </c>
      <c r="H1752" s="1">
        <v>3.4561670000000002E-6</v>
      </c>
      <c r="I1752">
        <v>284.19639999999998</v>
      </c>
      <c r="J1752">
        <v>-341.79750000000001</v>
      </c>
      <c r="K1752">
        <v>1.12059</v>
      </c>
      <c r="L1752">
        <v>283.91930000000002</v>
      </c>
      <c r="M1752">
        <v>-0.99982479999999996</v>
      </c>
      <c r="N1752">
        <v>-1.498029E-2</v>
      </c>
      <c r="O1752">
        <v>-1.1233379999999999E-2</v>
      </c>
      <c r="P1752">
        <v>-0.97876249999999998</v>
      </c>
      <c r="Q1752">
        <v>0.20225879999999999</v>
      </c>
      <c r="R1752">
        <v>3.339893E-2</v>
      </c>
      <c r="S1752">
        <v>-3.0714419999999998</v>
      </c>
      <c r="T1752">
        <v>-3.1926160000000002E-2</v>
      </c>
      <c r="U1752">
        <v>7.8125E-3</v>
      </c>
      <c r="V1752">
        <v>4.4416999999999998E-2</v>
      </c>
      <c r="W1752">
        <v>0.216887</v>
      </c>
      <c r="X1752">
        <v>0.97518570000000004</v>
      </c>
      <c r="Y1752">
        <v>1.377609E-2</v>
      </c>
      <c r="Z1752">
        <v>1.232618E-4</v>
      </c>
      <c r="AA1752">
        <v>0.99990509999999999</v>
      </c>
      <c r="AB1752">
        <v>51</v>
      </c>
      <c r="AC1752">
        <v>-107.55059999999899</v>
      </c>
      <c r="AD1752">
        <v>-1.120586543833</v>
      </c>
      <c r="AE1752">
        <v>0.27709999999996099</v>
      </c>
      <c r="AF1752">
        <v>1.4852134844884499</v>
      </c>
      <c r="AG1752">
        <v>-1.120586543833</v>
      </c>
      <c r="AH1752">
        <v>107.529026156502</v>
      </c>
      <c r="AI1752">
        <v>90.597014916328703</v>
      </c>
      <c r="AJ1752">
        <v>89.208668984448707</v>
      </c>
      <c r="AK1752">
        <v>107.545120946802</v>
      </c>
      <c r="AL1752">
        <v>77.473742904490393</v>
      </c>
      <c r="AM1752">
        <v>87.392138768016096</v>
      </c>
      <c r="AN1752">
        <v>0.99999999507124504</v>
      </c>
    </row>
    <row r="1753" spans="1:40" x14ac:dyDescent="0.25">
      <c r="A1753" t="str">
        <f>"20190303171012884"</f>
        <v>20190303171012884</v>
      </c>
      <c r="B1753" t="str">
        <f>"1551604212872106"</f>
        <v>1551604212872106</v>
      </c>
      <c r="C1753" t="s">
        <v>40</v>
      </c>
      <c r="D1753">
        <v>4.7847710000000001</v>
      </c>
      <c r="E1753">
        <v>0.49235190000000001</v>
      </c>
      <c r="F1753" t="s">
        <v>53</v>
      </c>
      <c r="G1753">
        <v>-449.61779999999999</v>
      </c>
      <c r="H1753" s="1">
        <v>3.608674E-6</v>
      </c>
      <c r="I1753">
        <v>283.99110000000002</v>
      </c>
      <c r="J1753">
        <v>-342.05540000000002</v>
      </c>
      <c r="K1753">
        <v>1.120587</v>
      </c>
      <c r="L1753">
        <v>283.91640000000001</v>
      </c>
      <c r="M1753">
        <v>-0.99982499999999996</v>
      </c>
      <c r="N1753">
        <v>-1.498655E-2</v>
      </c>
      <c r="O1753">
        <v>-1.120672E-2</v>
      </c>
      <c r="P1753">
        <v>-0.97873600000000005</v>
      </c>
      <c r="Q1753">
        <v>0.20240089999999999</v>
      </c>
      <c r="R1753">
        <v>3.3318470000000003E-2</v>
      </c>
      <c r="S1753">
        <v>-3.0716549999999998</v>
      </c>
      <c r="T1753">
        <v>-3.1924010000000003E-2</v>
      </c>
      <c r="U1753">
        <v>2.0446779999999999E-3</v>
      </c>
      <c r="V1753">
        <v>4.4313480000000002E-2</v>
      </c>
      <c r="W1753">
        <v>0.21703410000000001</v>
      </c>
      <c r="X1753">
        <v>0.97515770000000002</v>
      </c>
      <c r="Y1753">
        <v>1.1871909999999999E-2</v>
      </c>
      <c r="Z1753" s="1">
        <v>9.916534E-5</v>
      </c>
      <c r="AA1753">
        <v>0.99992950000000003</v>
      </c>
      <c r="AB1753">
        <v>51</v>
      </c>
      <c r="AC1753">
        <v>-107.562399999999</v>
      </c>
      <c r="AD1753">
        <v>-1.1205833913259999</v>
      </c>
      <c r="AE1753">
        <v>7.4700000000007094E-2</v>
      </c>
      <c r="AF1753">
        <v>1.2801133293601901</v>
      </c>
      <c r="AG1753">
        <v>-1.1205833913259999</v>
      </c>
      <c r="AH1753">
        <v>107.543134500734</v>
      </c>
      <c r="AI1753">
        <v>90.596949570073704</v>
      </c>
      <c r="AJ1753">
        <v>89.318025946715906</v>
      </c>
      <c r="AK1753">
        <v>107.55659057219999</v>
      </c>
      <c r="AL1753">
        <v>77.465109261482098</v>
      </c>
      <c r="AM1753">
        <v>87.398133786474702</v>
      </c>
      <c r="AN1753">
        <v>1.0000000124709001</v>
      </c>
    </row>
    <row r="1754" spans="1:40" x14ac:dyDescent="0.25">
      <c r="A1754" t="str">
        <f>"20190303171012895"</f>
        <v>20190303171012895</v>
      </c>
      <c r="B1754" t="str">
        <f>"1551604212892602"</f>
        <v>1551604212892602</v>
      </c>
      <c r="C1754" t="s">
        <v>40</v>
      </c>
      <c r="D1754">
        <v>4.7588299999999997</v>
      </c>
      <c r="E1754">
        <v>0.4910292</v>
      </c>
      <c r="F1754" t="s">
        <v>53</v>
      </c>
      <c r="G1754">
        <v>-451.7473</v>
      </c>
      <c r="H1754" s="1">
        <v>-5.7048480000000001E-7</v>
      </c>
      <c r="I1754">
        <v>283.7824</v>
      </c>
      <c r="J1754">
        <v>-342.31279999999998</v>
      </c>
      <c r="K1754">
        <v>1.1205849999999999</v>
      </c>
      <c r="L1754">
        <v>283.91359999999997</v>
      </c>
      <c r="M1754">
        <v>-0.99982519999999997</v>
      </c>
      <c r="N1754">
        <v>-1.4992500000000001E-2</v>
      </c>
      <c r="O1754">
        <v>-1.11784E-2</v>
      </c>
      <c r="P1754">
        <v>-0.97879879999999997</v>
      </c>
      <c r="Q1754">
        <v>0.2020912</v>
      </c>
      <c r="R1754">
        <v>3.3351819999999997E-2</v>
      </c>
      <c r="S1754">
        <v>-3.0718079999999999</v>
      </c>
      <c r="T1754">
        <v>-3.1380890000000002E-2</v>
      </c>
      <c r="U1754">
        <v>-3.7536620000000001E-3</v>
      </c>
      <c r="V1754">
        <v>4.432345E-2</v>
      </c>
      <c r="W1754">
        <v>0.21673010000000001</v>
      </c>
      <c r="X1754">
        <v>0.97522489999999995</v>
      </c>
      <c r="Y1754">
        <v>9.9563410000000005E-3</v>
      </c>
      <c r="Z1754" s="1">
        <v>7.2083300000000002E-5</v>
      </c>
      <c r="AA1754">
        <v>0.99995040000000002</v>
      </c>
      <c r="AB1754">
        <v>51</v>
      </c>
      <c r="AC1754">
        <v>-109.4345</v>
      </c>
      <c r="AD1754">
        <v>-1.1205855704848</v>
      </c>
      <c r="AE1754">
        <v>-0.131199999999978</v>
      </c>
      <c r="AF1754">
        <v>1.09213370841556</v>
      </c>
      <c r="AG1754">
        <v>-1.1205855704848</v>
      </c>
      <c r="AH1754">
        <v>109.417654967339</v>
      </c>
      <c r="AI1754">
        <v>90.586736953229703</v>
      </c>
      <c r="AJ1754">
        <v>89.428130914900606</v>
      </c>
      <c r="AK1754">
        <v>109.428843028744</v>
      </c>
      <c r="AL1754">
        <v>77.482952412854502</v>
      </c>
      <c r="AM1754">
        <v>87.397728283623806</v>
      </c>
      <c r="AN1754">
        <v>1.00000005502295</v>
      </c>
    </row>
    <row r="1755" spans="1:40" x14ac:dyDescent="0.25">
      <c r="A1755" t="str">
        <f>"20190303171012906"</f>
        <v>20190303171012906</v>
      </c>
      <c r="B1755" t="str">
        <f>"1551604212902361"</f>
        <v>1551604212902361</v>
      </c>
      <c r="C1755" t="s">
        <v>40</v>
      </c>
      <c r="D1755">
        <v>4.8018999999999998</v>
      </c>
      <c r="E1755">
        <v>0.49039650000000001</v>
      </c>
      <c r="F1755" t="s">
        <v>53</v>
      </c>
      <c r="G1755">
        <v>-449.08969999999999</v>
      </c>
      <c r="H1755" s="1">
        <v>3.3529180000000002E-6</v>
      </c>
      <c r="I1755">
        <v>283.4119</v>
      </c>
      <c r="J1755">
        <v>-342.5419</v>
      </c>
      <c r="K1755">
        <v>1.120581</v>
      </c>
      <c r="L1755">
        <v>283.911</v>
      </c>
      <c r="M1755">
        <v>-0.99982539999999998</v>
      </c>
      <c r="N1755">
        <v>-1.499705E-2</v>
      </c>
      <c r="O1755">
        <v>-1.114805E-2</v>
      </c>
      <c r="P1755">
        <v>-0.97881940000000001</v>
      </c>
      <c r="Q1755">
        <v>0.2019707</v>
      </c>
      <c r="R1755">
        <v>3.3474499999999997E-2</v>
      </c>
      <c r="S1755">
        <v>-3.0721129999999999</v>
      </c>
      <c r="T1755">
        <v>-3.2240629999999999E-2</v>
      </c>
      <c r="U1755">
        <v>-1.4434809999999999E-2</v>
      </c>
      <c r="V1755">
        <v>4.4419529999999999E-2</v>
      </c>
      <c r="W1755">
        <v>0.2166138</v>
      </c>
      <c r="X1755">
        <v>0.97524630000000001</v>
      </c>
      <c r="Y1755">
        <v>6.449888E-3</v>
      </c>
      <c r="Z1755" s="1">
        <v>3.2000279999999998E-5</v>
      </c>
      <c r="AA1755">
        <v>0.99997919999999996</v>
      </c>
      <c r="AB1755">
        <v>51</v>
      </c>
      <c r="AC1755">
        <v>-106.5478</v>
      </c>
      <c r="AD1755">
        <v>-1.1205776470819999</v>
      </c>
      <c r="AE1755">
        <v>-0.49909999999999799</v>
      </c>
      <c r="AF1755">
        <v>0.68878862324634804</v>
      </c>
      <c r="AG1755">
        <v>-1.1205776470819999</v>
      </c>
      <c r="AH1755">
        <v>106.53495850641301</v>
      </c>
      <c r="AI1755">
        <v>90.602625291707099</v>
      </c>
      <c r="AJ1755">
        <v>89.629566371764099</v>
      </c>
      <c r="AK1755">
        <v>106.543078179644</v>
      </c>
      <c r="AL1755">
        <v>77.489777223307101</v>
      </c>
      <c r="AM1755">
        <v>87.392152262034898</v>
      </c>
      <c r="AN1755">
        <v>0.99999998932977496</v>
      </c>
    </row>
    <row r="1756" spans="1:40" x14ac:dyDescent="0.25">
      <c r="A1756" t="str">
        <f>"20190303171012917"</f>
        <v>20190303171012917</v>
      </c>
      <c r="B1756" t="str">
        <f>"1551604212912122"</f>
        <v>1551604212912122</v>
      </c>
      <c r="C1756" t="s">
        <v>40</v>
      </c>
      <c r="D1756">
        <v>4.7718740000000004</v>
      </c>
      <c r="E1756">
        <v>0.48978919999999998</v>
      </c>
      <c r="F1756" t="s">
        <v>53</v>
      </c>
      <c r="G1756">
        <v>-448.20350000000002</v>
      </c>
      <c r="H1756" s="1">
        <v>2.8879759999999999E-6</v>
      </c>
      <c r="I1756">
        <v>283.26029999999997</v>
      </c>
      <c r="J1756">
        <v>-342.8</v>
      </c>
      <c r="K1756">
        <v>1.120584</v>
      </c>
      <c r="L1756">
        <v>283.90809999999999</v>
      </c>
      <c r="M1756">
        <v>-0.99982570000000004</v>
      </c>
      <c r="N1756">
        <v>-1.5002079999999999E-2</v>
      </c>
      <c r="O1756">
        <v>-1.1113039999999999E-2</v>
      </c>
      <c r="P1756">
        <v>-0.97880330000000004</v>
      </c>
      <c r="Q1756">
        <v>0.20202030000000001</v>
      </c>
      <c r="R1756">
        <v>3.3646099999999998E-2</v>
      </c>
      <c r="S1756">
        <v>-3.072327</v>
      </c>
      <c r="T1756">
        <v>-3.258312E-2</v>
      </c>
      <c r="U1756">
        <v>-1.8920900000000001E-2</v>
      </c>
      <c r="V1756">
        <v>4.4560370000000002E-2</v>
      </c>
      <c r="W1756">
        <v>0.21666730000000001</v>
      </c>
      <c r="X1756">
        <v>0.97522799999999998</v>
      </c>
      <c r="Y1756">
        <v>4.9553089999999998E-3</v>
      </c>
      <c r="Z1756" s="1">
        <v>1.456839E-5</v>
      </c>
      <c r="AA1756">
        <v>0.99998770000000003</v>
      </c>
      <c r="AB1756">
        <v>51</v>
      </c>
      <c r="AC1756">
        <v>-105.40349999999999</v>
      </c>
      <c r="AD1756">
        <v>-1.1205811120239999</v>
      </c>
      <c r="AE1756">
        <v>-0.64780000000001703</v>
      </c>
      <c r="AF1756">
        <v>0.52366597851146002</v>
      </c>
      <c r="AG1756">
        <v>-1.1205811120239999</v>
      </c>
      <c r="AH1756">
        <v>105.39227795561899</v>
      </c>
      <c r="AI1756">
        <v>90.609165660431103</v>
      </c>
      <c r="AJ1756">
        <v>89.715314972649793</v>
      </c>
      <c r="AK1756">
        <v>105.399535960839</v>
      </c>
      <c r="AL1756">
        <v>77.4866374506054</v>
      </c>
      <c r="AM1756">
        <v>87.383846064974094</v>
      </c>
      <c r="AN1756">
        <v>0.99999999872391299</v>
      </c>
    </row>
    <row r="1757" spans="1:40" x14ac:dyDescent="0.25">
      <c r="A1757" t="str">
        <f>"20190303171012927"</f>
        <v>20190303171012927</v>
      </c>
      <c r="B1757" t="str">
        <f>"1551604212922857"</f>
        <v>1551604212922857</v>
      </c>
      <c r="C1757" t="s">
        <v>40</v>
      </c>
      <c r="D1757">
        <v>4.803496</v>
      </c>
      <c r="E1757">
        <v>0.48919820000000003</v>
      </c>
      <c r="F1757" t="s">
        <v>53</v>
      </c>
      <c r="G1757">
        <v>-449.09710000000001</v>
      </c>
      <c r="H1757" s="1">
        <v>3.3702489999999998E-6</v>
      </c>
      <c r="I1757">
        <v>283.10570000000001</v>
      </c>
      <c r="J1757">
        <v>-343.05810000000002</v>
      </c>
      <c r="K1757">
        <v>1.120579</v>
      </c>
      <c r="L1757">
        <v>283.90530000000001</v>
      </c>
      <c r="M1757">
        <v>-0.99982610000000005</v>
      </c>
      <c r="N1757">
        <v>-1.500635E-2</v>
      </c>
      <c r="O1757">
        <v>-1.107326E-2</v>
      </c>
      <c r="P1757">
        <v>-0.97880049999999996</v>
      </c>
      <c r="Q1757">
        <v>0.2020412</v>
      </c>
      <c r="R1757">
        <v>3.3604479999999999E-2</v>
      </c>
      <c r="S1757">
        <v>-3.072479</v>
      </c>
      <c r="T1757">
        <v>-3.2389999999999898E-2</v>
      </c>
      <c r="U1757">
        <v>-2.319336E-2</v>
      </c>
      <c r="V1757">
        <v>4.4483300000000003E-2</v>
      </c>
      <c r="W1757">
        <v>0.216692</v>
      </c>
      <c r="X1757">
        <v>0.97522600000000004</v>
      </c>
      <c r="Y1757">
        <v>3.5255360000000001E-3</v>
      </c>
      <c r="Z1757" s="1">
        <v>-4.4176699999999997E-6</v>
      </c>
      <c r="AA1757">
        <v>0.99999380000000004</v>
      </c>
      <c r="AB1757">
        <v>51</v>
      </c>
      <c r="AC1757">
        <v>-106.039</v>
      </c>
      <c r="AD1757">
        <v>-1.1205756297509999</v>
      </c>
      <c r="AE1757">
        <v>-0.79959999999999798</v>
      </c>
      <c r="AF1757">
        <v>0.374736815277596</v>
      </c>
      <c r="AG1757">
        <v>-1.1205756297509999</v>
      </c>
      <c r="AH1757">
        <v>106.02951237552401</v>
      </c>
      <c r="AI1757">
        <v>90.605505595436796</v>
      </c>
      <c r="AJ1757">
        <v>89.797502147605996</v>
      </c>
      <c r="AK1757">
        <v>106.03609579767701</v>
      </c>
      <c r="AL1757">
        <v>77.485187426743806</v>
      </c>
      <c r="AM1757">
        <v>87.388359251177405</v>
      </c>
      <c r="AN1757">
        <v>0.99999996895944399</v>
      </c>
    </row>
    <row r="1758" spans="1:40" x14ac:dyDescent="0.25">
      <c r="A1758" t="str">
        <f>"20190303171012940"</f>
        <v>20190303171012940</v>
      </c>
      <c r="B1758" t="str">
        <f>"1551604212932617"</f>
        <v>1551604212932617</v>
      </c>
      <c r="C1758" t="s">
        <v>40</v>
      </c>
      <c r="D1758">
        <v>4.7859600000000002</v>
      </c>
      <c r="E1758">
        <v>0.48861909999999997</v>
      </c>
      <c r="F1758" t="s">
        <v>53</v>
      </c>
      <c r="G1758">
        <v>-449.72390000000001</v>
      </c>
      <c r="H1758" s="1">
        <v>3.7115820000000001E-6</v>
      </c>
      <c r="I1758">
        <v>282.92860000000002</v>
      </c>
      <c r="J1758">
        <v>-343.31740000000002</v>
      </c>
      <c r="K1758">
        <v>1.1205750000000001</v>
      </c>
      <c r="L1758">
        <v>283.90249999999997</v>
      </c>
      <c r="M1758">
        <v>-0.99982660000000001</v>
      </c>
      <c r="N1758">
        <v>-1.501043E-2</v>
      </c>
      <c r="O1758">
        <v>-1.10318E-2</v>
      </c>
      <c r="P1758">
        <v>-0.97873370000000004</v>
      </c>
      <c r="Q1758">
        <v>0.20233290000000001</v>
      </c>
      <c r="R1758">
        <v>3.3793820000000002E-2</v>
      </c>
      <c r="S1758">
        <v>-3.0726010000000001</v>
      </c>
      <c r="T1758">
        <v>-3.2279130000000003E-2</v>
      </c>
      <c r="U1758">
        <v>-2.8137209999999999E-2</v>
      </c>
      <c r="V1758">
        <v>4.463491E-2</v>
      </c>
      <c r="W1758">
        <v>0.2169857</v>
      </c>
      <c r="X1758">
        <v>0.97515379999999996</v>
      </c>
      <c r="Y1758">
        <v>1.8757019999999999E-3</v>
      </c>
      <c r="Z1758" s="1">
        <v>-2.5787389999999999E-5</v>
      </c>
      <c r="AA1758">
        <v>0.99999819999999995</v>
      </c>
      <c r="AB1758">
        <v>51</v>
      </c>
      <c r="AC1758">
        <v>-106.40649999999999</v>
      </c>
      <c r="AD1758">
        <v>-1.1205712884179999</v>
      </c>
      <c r="AE1758">
        <v>-0.97389999999995702</v>
      </c>
      <c r="AF1758">
        <v>0.200124433151352</v>
      </c>
      <c r="AG1758">
        <v>-1.1205712884179999</v>
      </c>
      <c r="AH1758">
        <v>106.398969597102</v>
      </c>
      <c r="AI1758">
        <v>90.603403571582007</v>
      </c>
      <c r="AJ1758">
        <v>89.892233243245599</v>
      </c>
      <c r="AK1758">
        <v>106.40505843768</v>
      </c>
      <c r="AL1758">
        <v>77.4679499347871</v>
      </c>
      <c r="AM1758">
        <v>87.379276773338006</v>
      </c>
      <c r="AN1758">
        <v>1.00000000142481</v>
      </c>
    </row>
    <row r="1759" spans="1:40" x14ac:dyDescent="0.25">
      <c r="A1759" t="str">
        <f>"20190303171012960"</f>
        <v>20190303171012960</v>
      </c>
      <c r="B1759" t="str">
        <f>"1551604212952141"</f>
        <v>1551604212952141</v>
      </c>
      <c r="C1759" t="s">
        <v>40</v>
      </c>
      <c r="D1759">
        <v>4.8022239999999998</v>
      </c>
      <c r="E1759">
        <v>0.48747800000000002</v>
      </c>
      <c r="F1759" t="s">
        <v>53</v>
      </c>
      <c r="G1759">
        <v>-453.74860000000001</v>
      </c>
      <c r="H1759" s="1">
        <v>5.3975499999999897E-7</v>
      </c>
      <c r="I1759">
        <v>282.74650000000003</v>
      </c>
      <c r="J1759">
        <v>-343.79930000000002</v>
      </c>
      <c r="K1759">
        <v>1.1205689999999999</v>
      </c>
      <c r="L1759">
        <v>283.8972</v>
      </c>
      <c r="M1759">
        <v>-0.99982740000000003</v>
      </c>
      <c r="N1759">
        <v>-1.501683E-2</v>
      </c>
      <c r="O1759">
        <v>-1.094652E-2</v>
      </c>
      <c r="P1759">
        <v>-0.97863319999999998</v>
      </c>
      <c r="Q1759">
        <v>0.20275170000000001</v>
      </c>
      <c r="R1759">
        <v>3.4191859999999998E-2</v>
      </c>
      <c r="S1759">
        <v>-3.0727540000000002</v>
      </c>
      <c r="T1759">
        <v>-3.1180019999999999E-2</v>
      </c>
      <c r="U1759">
        <v>-3.2165529999999998E-2</v>
      </c>
      <c r="V1759">
        <v>4.4955040000000002E-2</v>
      </c>
      <c r="W1759">
        <v>0.21740789999999999</v>
      </c>
      <c r="X1759">
        <v>0.9750451</v>
      </c>
      <c r="Y1759">
        <v>4.8018099999999999E-4</v>
      </c>
      <c r="Z1759" s="1">
        <v>-4.7283590000000002E-5</v>
      </c>
      <c r="AA1759">
        <v>0.99999990000000005</v>
      </c>
      <c r="AB1759">
        <v>51</v>
      </c>
      <c r="AC1759">
        <v>-109.94929999999999</v>
      </c>
      <c r="AD1759">
        <v>-1.1205684602449999</v>
      </c>
      <c r="AE1759">
        <v>-1.1506999999999701</v>
      </c>
      <c r="AF1759">
        <v>5.3061290838689601E-2</v>
      </c>
      <c r="AG1759">
        <v>-1.1205684602449999</v>
      </c>
      <c r="AH1759">
        <v>109.943889822564</v>
      </c>
      <c r="AI1759">
        <v>90.583948894426996</v>
      </c>
      <c r="AJ1759">
        <v>89.972347824063405</v>
      </c>
      <c r="AK1759">
        <v>109.949612998368</v>
      </c>
      <c r="AL1759">
        <v>77.443168664311699</v>
      </c>
      <c r="AM1759">
        <v>87.360213099742495</v>
      </c>
      <c r="AN1759">
        <v>1.0000000488189</v>
      </c>
    </row>
    <row r="1760" spans="1:40" x14ac:dyDescent="0.25">
      <c r="A1760" t="str">
        <f>"20190303171012971"</f>
        <v>20190303171012971</v>
      </c>
      <c r="B1760" t="str">
        <f>"1551604212962874"</f>
        <v>1551604212962874</v>
      </c>
      <c r="C1760" t="s">
        <v>40</v>
      </c>
      <c r="D1760">
        <v>4.7972809999999999</v>
      </c>
      <c r="E1760">
        <v>0.48690480000000003</v>
      </c>
      <c r="F1760" t="s">
        <v>53</v>
      </c>
      <c r="G1760">
        <v>-460.67869999999999</v>
      </c>
      <c r="H1760" s="1">
        <v>-1.0770790000000001E-6</v>
      </c>
      <c r="I1760">
        <v>282.36160000000001</v>
      </c>
      <c r="J1760">
        <v>-344.06560000000002</v>
      </c>
      <c r="K1760">
        <v>1.1205609999999999</v>
      </c>
      <c r="L1760">
        <v>283.89429999999999</v>
      </c>
      <c r="M1760">
        <v>-0.99982780000000004</v>
      </c>
      <c r="N1760">
        <v>-1.501982E-2</v>
      </c>
      <c r="O1760">
        <v>-1.0895999999999999E-2</v>
      </c>
      <c r="P1760">
        <v>-0.97863869999999997</v>
      </c>
      <c r="Q1760">
        <v>0.20269100000000001</v>
      </c>
      <c r="R1760">
        <v>3.4392689999999997E-2</v>
      </c>
      <c r="S1760">
        <v>-3.0729980000000001</v>
      </c>
      <c r="T1760">
        <v>-2.9462100000000001E-2</v>
      </c>
      <c r="U1760">
        <v>-4.0374760000000003E-2</v>
      </c>
      <c r="V1760">
        <v>4.5109639999999999E-2</v>
      </c>
      <c r="W1760">
        <v>0.2173496</v>
      </c>
      <c r="X1760">
        <v>0.97505090000000005</v>
      </c>
      <c r="Y1760">
        <v>-2.2402450000000001E-3</v>
      </c>
      <c r="Z1760" s="1">
        <v>-8.6776650000000002E-5</v>
      </c>
      <c r="AA1760">
        <v>0.99999749999999998</v>
      </c>
      <c r="AB1760">
        <v>51</v>
      </c>
      <c r="AC1760">
        <v>-116.61309999999899</v>
      </c>
      <c r="AD1760">
        <v>-1.1205620770789999</v>
      </c>
      <c r="AE1760">
        <v>-1.53269999999997</v>
      </c>
      <c r="AF1760">
        <v>-0.26182510390125802</v>
      </c>
      <c r="AG1760">
        <v>-1.1205620770789999</v>
      </c>
      <c r="AH1760">
        <v>116.61211231046001</v>
      </c>
      <c r="AI1760">
        <v>90.550554642751706</v>
      </c>
      <c r="AJ1760">
        <v>90.128643996909204</v>
      </c>
      <c r="AK1760">
        <v>116.617790020481</v>
      </c>
      <c r="AL1760">
        <v>77.446590128252197</v>
      </c>
      <c r="AM1760">
        <v>87.351163536804094</v>
      </c>
      <c r="AN1760">
        <v>0.99999999291594899</v>
      </c>
    </row>
    <row r="1761" spans="1:40" x14ac:dyDescent="0.25">
      <c r="A1761" t="str">
        <f>"20190303171012984"</f>
        <v>20190303171012984</v>
      </c>
      <c r="B1761" t="str">
        <f>"1551604212972633"</f>
        <v>1551604212972633</v>
      </c>
      <c r="C1761" t="s">
        <v>40</v>
      </c>
      <c r="D1761">
        <v>4.804379</v>
      </c>
      <c r="E1761">
        <v>0.48635050000000002</v>
      </c>
      <c r="F1761" t="s">
        <v>53</v>
      </c>
      <c r="G1761">
        <v>-461.19450000000001</v>
      </c>
      <c r="H1761" s="1">
        <v>-7.9542810000000001E-7</v>
      </c>
      <c r="I1761">
        <v>282.19850000000002</v>
      </c>
      <c r="J1761">
        <v>-344.33429999999998</v>
      </c>
      <c r="K1761">
        <v>1.120557</v>
      </c>
      <c r="L1761">
        <v>283.89139999999998</v>
      </c>
      <c r="M1761">
        <v>-0.99982850000000001</v>
      </c>
      <c r="N1761">
        <v>-1.502244E-2</v>
      </c>
      <c r="O1761">
        <v>-1.0843469999999999E-2</v>
      </c>
      <c r="P1761">
        <v>-0.97865069999999998</v>
      </c>
      <c r="Q1761">
        <v>0.2025798</v>
      </c>
      <c r="R1761">
        <v>3.4703749999999998E-2</v>
      </c>
      <c r="S1761">
        <v>-3.0731809999999999</v>
      </c>
      <c r="T1761">
        <v>-2.9400829999999999E-2</v>
      </c>
      <c r="U1761">
        <v>-4.449463E-2</v>
      </c>
      <c r="V1761">
        <v>4.5372660000000002E-2</v>
      </c>
      <c r="W1761">
        <v>0.2172403</v>
      </c>
      <c r="X1761">
        <v>0.97506309999999996</v>
      </c>
      <c r="Y1761">
        <v>-3.632176E-3</v>
      </c>
      <c r="Z1761">
        <v>-1.038364E-4</v>
      </c>
      <c r="AA1761">
        <v>0.99999340000000003</v>
      </c>
      <c r="AB1761">
        <v>51</v>
      </c>
      <c r="AC1761">
        <v>-116.86020000000001</v>
      </c>
      <c r="AD1761">
        <v>-1.1205577954281001</v>
      </c>
      <c r="AE1761">
        <v>-1.6928999999999499</v>
      </c>
      <c r="AF1761">
        <v>-0.42544843742995397</v>
      </c>
      <c r="AG1761">
        <v>-1.1205577954281001</v>
      </c>
      <c r="AH1761">
        <v>116.86094426614</v>
      </c>
      <c r="AI1761">
        <v>90.549378064000507</v>
      </c>
      <c r="AJ1761">
        <v>90.208592291651897</v>
      </c>
      <c r="AK1761">
        <v>116.867090966276</v>
      </c>
      <c r="AL1761">
        <v>77.453006424220703</v>
      </c>
      <c r="AM1761">
        <v>87.335774488310904</v>
      </c>
      <c r="AN1761">
        <v>1.00000003760058</v>
      </c>
    </row>
    <row r="1762" spans="1:40" x14ac:dyDescent="0.25">
      <c r="A1762" t="str">
        <f>"20190303171012995"</f>
        <v>20190303171012995</v>
      </c>
      <c r="B1762" t="str">
        <f>"1551604212982393"</f>
        <v>1551604212982393</v>
      </c>
      <c r="C1762" t="s">
        <v>40</v>
      </c>
      <c r="D1762">
        <v>4.8276379999999897</v>
      </c>
      <c r="E1762">
        <v>0.48584509999999997</v>
      </c>
      <c r="F1762" t="s">
        <v>53</v>
      </c>
      <c r="G1762">
        <v>-460.98759999999999</v>
      </c>
      <c r="H1762" s="1">
        <v>-8.9953559999999999E-7</v>
      </c>
      <c r="I1762">
        <v>282.06119999999999</v>
      </c>
      <c r="J1762">
        <v>-344.58269999999999</v>
      </c>
      <c r="K1762">
        <v>1.1205529999999999</v>
      </c>
      <c r="L1762">
        <v>283.8888</v>
      </c>
      <c r="M1762">
        <v>-0.99982890000000002</v>
      </c>
      <c r="N1762">
        <v>-1.502469E-2</v>
      </c>
      <c r="O1762">
        <v>-1.0794150000000001E-2</v>
      </c>
      <c r="P1762">
        <v>-0.97874439999999996</v>
      </c>
      <c r="Q1762">
        <v>0.2021231</v>
      </c>
      <c r="R1762">
        <v>3.472488E-2</v>
      </c>
      <c r="S1762">
        <v>-3.0732729999999999</v>
      </c>
      <c r="T1762">
        <v>-2.9521470000000001E-2</v>
      </c>
      <c r="U1762">
        <v>-4.821777E-2</v>
      </c>
      <c r="V1762">
        <v>4.5349189999999998E-2</v>
      </c>
      <c r="W1762">
        <v>0.21678649999999999</v>
      </c>
      <c r="X1762">
        <v>0.97516510000000001</v>
      </c>
      <c r="Y1762">
        <v>-4.8920819999999999E-3</v>
      </c>
      <c r="Z1762">
        <v>-1.18763E-4</v>
      </c>
      <c r="AA1762">
        <v>0.99998799999999999</v>
      </c>
      <c r="AB1762">
        <v>51</v>
      </c>
      <c r="AC1762">
        <v>-116.4049</v>
      </c>
      <c r="AD1762">
        <v>-1.1205538995355999</v>
      </c>
      <c r="AE1762">
        <v>-1.8276000000000101</v>
      </c>
      <c r="AF1762">
        <v>-0.57080687753711401</v>
      </c>
      <c r="AG1762">
        <v>-1.1205538995355999</v>
      </c>
      <c r="AH1762">
        <v>116.40706212310999</v>
      </c>
      <c r="AI1762">
        <v>90.551515116265094</v>
      </c>
      <c r="AJ1762">
        <v>90.280949989468695</v>
      </c>
      <c r="AK1762">
        <v>116.413854732445</v>
      </c>
      <c r="AL1762">
        <v>77.479640946366501</v>
      </c>
      <c r="AM1762">
        <v>87.337428760057094</v>
      </c>
      <c r="AN1762">
        <v>0.99999995393695695</v>
      </c>
    </row>
    <row r="1763" spans="1:40" x14ac:dyDescent="0.25">
      <c r="A1763" t="str">
        <f>"20190303171013006"</f>
        <v>20190303171013006</v>
      </c>
      <c r="B1763" t="str">
        <f>"1551604213002890"</f>
        <v>1551604213002890</v>
      </c>
      <c r="C1763" t="s">
        <v>40</v>
      </c>
      <c r="D1763">
        <v>4.844252</v>
      </c>
      <c r="E1763">
        <v>0.48484050000000001</v>
      </c>
      <c r="F1763" t="s">
        <v>53</v>
      </c>
      <c r="G1763">
        <v>-455.67809999999997</v>
      </c>
      <c r="H1763" s="1">
        <v>1.599297E-6</v>
      </c>
      <c r="I1763">
        <v>281.99689999999998</v>
      </c>
      <c r="J1763">
        <v>-344.83109999999999</v>
      </c>
      <c r="K1763">
        <v>1.1205529999999999</v>
      </c>
      <c r="L1763">
        <v>283.8861</v>
      </c>
      <c r="M1763">
        <v>-0.99982950000000004</v>
      </c>
      <c r="N1763">
        <v>-1.502648E-2</v>
      </c>
      <c r="O1763">
        <v>-1.0742710000000001E-2</v>
      </c>
      <c r="P1763">
        <v>-0.97880129999999999</v>
      </c>
      <c r="Q1763">
        <v>0.20183580000000001</v>
      </c>
      <c r="R1763">
        <v>3.479575E-2</v>
      </c>
      <c r="S1763">
        <v>-3.0734249999999999</v>
      </c>
      <c r="T1763">
        <v>-3.0999780000000001E-2</v>
      </c>
      <c r="U1763">
        <v>-5.2337649999999999E-2</v>
      </c>
      <c r="V1763">
        <v>4.5372740000000002E-2</v>
      </c>
      <c r="W1763">
        <v>0.21650150000000001</v>
      </c>
      <c r="X1763">
        <v>0.97522739999999997</v>
      </c>
      <c r="Y1763">
        <v>-6.2826189999999997E-3</v>
      </c>
      <c r="Z1763">
        <v>-1.3198330000000001E-4</v>
      </c>
      <c r="AA1763">
        <v>0.99998030000000004</v>
      </c>
      <c r="AB1763">
        <v>51</v>
      </c>
      <c r="AC1763">
        <v>-110.846999999999</v>
      </c>
      <c r="AD1763">
        <v>-1.120551400703</v>
      </c>
      <c r="AE1763">
        <v>-1.88920000000001</v>
      </c>
      <c r="AF1763">
        <v>-0.69808814257224205</v>
      </c>
      <c r="AG1763">
        <v>-1.120551400703</v>
      </c>
      <c r="AH1763">
        <v>110.849574976561</v>
      </c>
      <c r="AI1763">
        <v>90.579157892689906</v>
      </c>
      <c r="AJ1763">
        <v>90.360822092027405</v>
      </c>
      <c r="AK1763">
        <v>110.85743653441</v>
      </c>
      <c r="AL1763">
        <v>77.496368497822004</v>
      </c>
      <c r="AM1763">
        <v>87.336218003273402</v>
      </c>
      <c r="AN1763">
        <v>1.00000003337405</v>
      </c>
    </row>
    <row r="1764" spans="1:40" x14ac:dyDescent="0.25">
      <c r="A1764" t="str">
        <f>"20190303171013021"</f>
        <v>20190303171013021</v>
      </c>
      <c r="B1764" t="str">
        <f>"1551604213012649"</f>
        <v>1551604213012649</v>
      </c>
      <c r="C1764" t="s">
        <v>40</v>
      </c>
      <c r="D1764">
        <v>4.8112620000000001</v>
      </c>
      <c r="E1764">
        <v>0.48435060000000002</v>
      </c>
      <c r="F1764" t="s">
        <v>53</v>
      </c>
      <c r="G1764">
        <v>-452.86930000000001</v>
      </c>
      <c r="H1764" s="1">
        <v>1.1404070000000001E-7</v>
      </c>
      <c r="I1764">
        <v>281.78160000000003</v>
      </c>
      <c r="J1764">
        <v>-345.15190000000001</v>
      </c>
      <c r="K1764">
        <v>1.1205499999999999</v>
      </c>
      <c r="L1764">
        <v>283.8827</v>
      </c>
      <c r="M1764">
        <v>-0.99983010000000005</v>
      </c>
      <c r="N1764">
        <v>-1.50286E-2</v>
      </c>
      <c r="O1764">
        <v>-1.0675509999999999E-2</v>
      </c>
      <c r="P1764">
        <v>-0.97888330000000001</v>
      </c>
      <c r="Q1764">
        <v>0.20142940000000001</v>
      </c>
      <c r="R1764">
        <v>3.48423E-2</v>
      </c>
      <c r="S1764">
        <v>-3.0736690000000002</v>
      </c>
      <c r="T1764">
        <v>-3.1879539999999998E-2</v>
      </c>
      <c r="U1764">
        <v>-5.9875490000000003E-2</v>
      </c>
      <c r="V1764">
        <v>4.5357439999999999E-2</v>
      </c>
      <c r="W1764">
        <v>0.2160975</v>
      </c>
      <c r="X1764">
        <v>0.97531769999999995</v>
      </c>
      <c r="Y1764">
        <v>-8.799599E-3</v>
      </c>
      <c r="Z1764">
        <v>-1.6149919999999999E-4</v>
      </c>
      <c r="AA1764">
        <v>0.99996130000000005</v>
      </c>
      <c r="AB1764">
        <v>51</v>
      </c>
      <c r="AC1764">
        <v>-107.7174</v>
      </c>
      <c r="AD1764">
        <v>-1.1205498859592999</v>
      </c>
      <c r="AE1764">
        <v>-2.10109999999997</v>
      </c>
      <c r="AF1764">
        <v>-0.95080935502182096</v>
      </c>
      <c r="AG1764">
        <v>-1.1205498859592999</v>
      </c>
      <c r="AH1764">
        <v>107.722040404322</v>
      </c>
      <c r="AI1764">
        <v>90.595959405116204</v>
      </c>
      <c r="AJ1764">
        <v>90.505708472464704</v>
      </c>
      <c r="AK1764">
        <v>107.732064211853</v>
      </c>
      <c r="AL1764">
        <v>77.520077096139701</v>
      </c>
      <c r="AM1764">
        <v>87.337361144696203</v>
      </c>
      <c r="AN1764">
        <v>1.00000002140144</v>
      </c>
    </row>
    <row r="1765" spans="1:40" x14ac:dyDescent="0.25">
      <c r="A1765" t="str">
        <f>"20190303171013040"</f>
        <v>20190303171013040</v>
      </c>
      <c r="B1765" t="str">
        <f>"1551604213032170"</f>
        <v>1551604213032170</v>
      </c>
      <c r="C1765" t="s">
        <v>40</v>
      </c>
      <c r="D1765">
        <v>4.8223159999999998</v>
      </c>
      <c r="E1765">
        <v>0.48341509999999999</v>
      </c>
      <c r="F1765" t="s">
        <v>53</v>
      </c>
      <c r="G1765">
        <v>-449.69420000000002</v>
      </c>
      <c r="H1765" s="1">
        <v>3.7485350000000001E-6</v>
      </c>
      <c r="I1765">
        <v>281.7217</v>
      </c>
      <c r="J1765">
        <v>-345.6223</v>
      </c>
      <c r="K1765">
        <v>1.120539</v>
      </c>
      <c r="L1765">
        <v>283.8777</v>
      </c>
      <c r="M1765">
        <v>-0.99983109999999997</v>
      </c>
      <c r="N1765">
        <v>-1.5030989999999999E-2</v>
      </c>
      <c r="O1765">
        <v>-1.057526E-2</v>
      </c>
      <c r="P1765">
        <v>-0.97890250000000001</v>
      </c>
      <c r="Q1765">
        <v>0.20131930000000001</v>
      </c>
      <c r="R1765">
        <v>3.4939379999999999E-2</v>
      </c>
      <c r="S1765">
        <v>-3.0737920000000001</v>
      </c>
      <c r="T1765">
        <v>-3.2946709999999997E-2</v>
      </c>
      <c r="U1765">
        <v>-6.35376E-2</v>
      </c>
      <c r="V1765">
        <v>4.5360379999999999E-2</v>
      </c>
      <c r="W1765">
        <v>0.2159894</v>
      </c>
      <c r="X1765">
        <v>0.97534149999999997</v>
      </c>
      <c r="Y1765">
        <v>-1.00897E-2</v>
      </c>
      <c r="Z1765">
        <v>-1.7553830000000001E-4</v>
      </c>
      <c r="AA1765">
        <v>0.99994910000000004</v>
      </c>
      <c r="AB1765">
        <v>51</v>
      </c>
      <c r="AC1765">
        <v>-104.0719</v>
      </c>
      <c r="AD1765">
        <v>-1.120535251465</v>
      </c>
      <c r="AE1765">
        <v>-2.1560000000000001</v>
      </c>
      <c r="AF1765">
        <v>-1.0550454013416799</v>
      </c>
      <c r="AG1765">
        <v>-1.120535251465</v>
      </c>
      <c r="AH1765">
        <v>104.076821736301</v>
      </c>
      <c r="AI1765">
        <v>90.616815165898899</v>
      </c>
      <c r="AJ1765">
        <v>90.580797695013899</v>
      </c>
      <c r="AK1765">
        <v>104.08820078557601</v>
      </c>
      <c r="AL1765">
        <v>77.526420476417897</v>
      </c>
      <c r="AM1765">
        <v>87.337253688538695</v>
      </c>
      <c r="AN1765">
        <v>1.00000001330417</v>
      </c>
    </row>
    <row r="1766" spans="1:40" x14ac:dyDescent="0.25">
      <c r="A1766" t="str">
        <f>"20190303171013062"</f>
        <v>20190303171013062</v>
      </c>
      <c r="B1766" t="str">
        <f>"1551604213052665"</f>
        <v>1551604213052665</v>
      </c>
      <c r="C1766" t="s">
        <v>40</v>
      </c>
      <c r="D1766">
        <v>4.8414859999999997</v>
      </c>
      <c r="E1766">
        <v>0.4825065</v>
      </c>
      <c r="F1766" t="s">
        <v>53</v>
      </c>
      <c r="G1766">
        <v>-450.54419999999999</v>
      </c>
      <c r="H1766" s="1">
        <v>-1.1094079999999999E-6</v>
      </c>
      <c r="I1766">
        <v>281.46429999999998</v>
      </c>
      <c r="J1766">
        <v>-346.10989999999998</v>
      </c>
      <c r="K1766">
        <v>1.120536</v>
      </c>
      <c r="L1766">
        <v>283.87270000000001</v>
      </c>
      <c r="M1766">
        <v>-0.99983230000000001</v>
      </c>
      <c r="N1766">
        <v>-1.5032709999999999E-2</v>
      </c>
      <c r="O1766">
        <v>-1.0469539999999999E-2</v>
      </c>
      <c r="P1766">
        <v>-0.97880270000000003</v>
      </c>
      <c r="Q1766">
        <v>0.2017697</v>
      </c>
      <c r="R1766">
        <v>3.5142069999999997E-2</v>
      </c>
      <c r="S1766">
        <v>-3.0739749999999999</v>
      </c>
      <c r="T1766">
        <v>-3.2829280000000002E-2</v>
      </c>
      <c r="U1766">
        <v>-7.0709229999999998E-2</v>
      </c>
      <c r="V1766">
        <v>4.546244E-2</v>
      </c>
      <c r="W1766">
        <v>0.2164392</v>
      </c>
      <c r="X1766">
        <v>0.97523700000000002</v>
      </c>
      <c r="Y1766">
        <v>-1.2525629999999999E-2</v>
      </c>
      <c r="Z1766">
        <v>-2.0663889999999999E-4</v>
      </c>
      <c r="AA1766">
        <v>0.99992150000000002</v>
      </c>
      <c r="AB1766">
        <v>51</v>
      </c>
      <c r="AC1766">
        <v>-104.43429999999999</v>
      </c>
      <c r="AD1766">
        <v>-1.1205371094080001</v>
      </c>
      <c r="AE1766">
        <v>-2.4084000000000199</v>
      </c>
      <c r="AF1766">
        <v>-1.3146141862985701</v>
      </c>
      <c r="AG1766">
        <v>-1.1205371094080001</v>
      </c>
      <c r="AH1766">
        <v>104.441775277508</v>
      </c>
      <c r="AI1766">
        <v>90.614643892006498</v>
      </c>
      <c r="AJ1766">
        <v>90.721146944277194</v>
      </c>
      <c r="AK1766">
        <v>104.456058881187</v>
      </c>
      <c r="AL1766">
        <v>77.500024082623696</v>
      </c>
      <c r="AM1766">
        <v>87.330985661335205</v>
      </c>
      <c r="AN1766">
        <v>0.99999998345819596</v>
      </c>
    </row>
    <row r="1767" spans="1:40" x14ac:dyDescent="0.25">
      <c r="A1767" t="str">
        <f>"20190303171013073"</f>
        <v>20190303171013073</v>
      </c>
      <c r="B1767" t="str">
        <f>"1551604213062428"</f>
        <v>1551604213062428</v>
      </c>
      <c r="C1767" t="s">
        <v>40</v>
      </c>
      <c r="D1767">
        <v>4.8295059999999896</v>
      </c>
      <c r="E1767">
        <v>0.48204920000000001</v>
      </c>
      <c r="F1767" t="s">
        <v>53</v>
      </c>
      <c r="G1767">
        <v>-457.09719999999999</v>
      </c>
      <c r="H1767" s="1">
        <v>2.395027E-6</v>
      </c>
      <c r="I1767">
        <v>281.06970000000001</v>
      </c>
      <c r="J1767">
        <v>-346.3732</v>
      </c>
      <c r="K1767">
        <v>1.120533</v>
      </c>
      <c r="L1767">
        <v>283.86989999999997</v>
      </c>
      <c r="M1767">
        <v>-0.99983279999999997</v>
      </c>
      <c r="N1767">
        <v>-1.5033380000000001E-2</v>
      </c>
      <c r="O1767">
        <v>-1.041191E-2</v>
      </c>
      <c r="P1767">
        <v>-0.97871920000000001</v>
      </c>
      <c r="Q1767">
        <v>0.2021115</v>
      </c>
      <c r="R1767">
        <v>3.5492849999999999E-2</v>
      </c>
      <c r="S1767">
        <v>-3.0741580000000002</v>
      </c>
      <c r="T1767">
        <v>-3.1036850000000001E-2</v>
      </c>
      <c r="U1767">
        <v>-7.7636720000000006E-2</v>
      </c>
      <c r="V1767">
        <v>4.5757550000000001E-2</v>
      </c>
      <c r="W1767">
        <v>0.2167799</v>
      </c>
      <c r="X1767">
        <v>0.97514749999999994</v>
      </c>
      <c r="Y1767">
        <v>-1.483369E-2</v>
      </c>
      <c r="Z1767">
        <v>-2.3782290000000001E-4</v>
      </c>
      <c r="AA1767">
        <v>0.99988999999999995</v>
      </c>
      <c r="AB1767">
        <v>51</v>
      </c>
      <c r="AC1767">
        <v>-110.724</v>
      </c>
      <c r="AD1767">
        <v>-1.1205306049729999</v>
      </c>
      <c r="AE1767">
        <v>-2.8001999999999598</v>
      </c>
      <c r="AF1767">
        <v>-1.64690102389848</v>
      </c>
      <c r="AG1767">
        <v>-1.1205306049729999</v>
      </c>
      <c r="AH1767">
        <v>110.735821759982</v>
      </c>
      <c r="AI1767">
        <v>90.579689426178902</v>
      </c>
      <c r="AJ1767">
        <v>90.852059616110296</v>
      </c>
      <c r="AK1767">
        <v>110.75373624703499</v>
      </c>
      <c r="AL1767">
        <v>77.480028420235996</v>
      </c>
      <c r="AM1767">
        <v>87.313439413939406</v>
      </c>
      <c r="AN1767">
        <v>0.99999996259113</v>
      </c>
    </row>
    <row r="1768" spans="1:40" x14ac:dyDescent="0.25">
      <c r="A1768" t="str">
        <f>"20190303171013086"</f>
        <v>20190303171013086</v>
      </c>
      <c r="B1768" t="str">
        <f>"1551604213081946"</f>
        <v>1551604213081946</v>
      </c>
      <c r="C1768" t="s">
        <v>40</v>
      </c>
      <c r="D1768">
        <v>4.8663129999999999</v>
      </c>
      <c r="E1768">
        <v>0.48116520000000002</v>
      </c>
      <c r="F1768" t="s">
        <v>53</v>
      </c>
      <c r="G1768">
        <v>-461.90089999999998</v>
      </c>
      <c r="H1768" s="1">
        <v>-3.6077599999999997E-7</v>
      </c>
      <c r="I1768">
        <v>280.85390000000001</v>
      </c>
      <c r="J1768">
        <v>-346.6576</v>
      </c>
      <c r="K1768">
        <v>1.1205309999999999</v>
      </c>
      <c r="L1768">
        <v>283.86700000000002</v>
      </c>
      <c r="M1768">
        <v>-0.99983350000000004</v>
      </c>
      <c r="N1768">
        <v>-1.503386E-2</v>
      </c>
      <c r="O1768">
        <v>-1.0349280000000001E-2</v>
      </c>
      <c r="P1768">
        <v>-0.97872680000000001</v>
      </c>
      <c r="Q1768">
        <v>0.20202929999999999</v>
      </c>
      <c r="R1768">
        <v>3.5747719999999997E-2</v>
      </c>
      <c r="S1768">
        <v>-3.0743100000000001</v>
      </c>
      <c r="T1768">
        <v>-2.9818529999999999E-2</v>
      </c>
      <c r="U1768">
        <v>-8.0261230000000003E-2</v>
      </c>
      <c r="V1768">
        <v>4.5952739999999999E-2</v>
      </c>
      <c r="W1768">
        <v>0.216698</v>
      </c>
      <c r="X1768">
        <v>0.97515649999999998</v>
      </c>
      <c r="Y1768">
        <v>-1.5748109999999999E-2</v>
      </c>
      <c r="Z1768">
        <v>-2.4999430000000001E-4</v>
      </c>
      <c r="AA1768">
        <v>0.99987599999999999</v>
      </c>
      <c r="AB1768">
        <v>51</v>
      </c>
      <c r="AC1768">
        <v>-115.243299999999</v>
      </c>
      <c r="AD1768">
        <v>-1.1205313607759999</v>
      </c>
      <c r="AE1768">
        <v>-3.0131000000000001</v>
      </c>
      <c r="AF1768">
        <v>-1.8199467602485</v>
      </c>
      <c r="AG1768">
        <v>-1.1205313607759999</v>
      </c>
      <c r="AH1768">
        <v>115.257424641765</v>
      </c>
      <c r="AI1768">
        <v>90.556941939598701</v>
      </c>
      <c r="AJ1768">
        <v>90.904641097990904</v>
      </c>
      <c r="AK1768">
        <v>115.277238567693</v>
      </c>
      <c r="AL1768">
        <v>77.484834897615301</v>
      </c>
      <c r="AM1768">
        <v>87.302020995418701</v>
      </c>
      <c r="AN1768">
        <v>0.99999993850487601</v>
      </c>
    </row>
    <row r="1769" spans="1:40" x14ac:dyDescent="0.25">
      <c r="A1769" t="str">
        <f>"20190303171013098"</f>
        <v>20190303171013098</v>
      </c>
      <c r="B1769" t="str">
        <f>"1551604213092682"</f>
        <v>1551604213092682</v>
      </c>
      <c r="C1769" t="s">
        <v>40</v>
      </c>
      <c r="D1769">
        <v>4.8796749999999998</v>
      </c>
      <c r="E1769">
        <v>0.48073850000000001</v>
      </c>
      <c r="F1769" t="s">
        <v>53</v>
      </c>
      <c r="G1769">
        <v>-462.7946</v>
      </c>
      <c r="H1769" s="1">
        <v>1.2601829999999999E-7</v>
      </c>
      <c r="I1769">
        <v>280.59769999999997</v>
      </c>
      <c r="J1769">
        <v>-346.92239999999998</v>
      </c>
      <c r="K1769">
        <v>1.1205309999999999</v>
      </c>
      <c r="L1769">
        <v>283.86430000000001</v>
      </c>
      <c r="M1769">
        <v>-0.99983420000000001</v>
      </c>
      <c r="N1769">
        <v>-1.5034219999999999E-2</v>
      </c>
      <c r="O1769">
        <v>-1.029118E-2</v>
      </c>
      <c r="P1769">
        <v>-0.97877099999999995</v>
      </c>
      <c r="Q1769">
        <v>0.2018047</v>
      </c>
      <c r="R1769">
        <v>3.5811679999999999E-2</v>
      </c>
      <c r="S1769">
        <v>-3.0744929999999999</v>
      </c>
      <c r="T1769">
        <v>-2.9663800000000001E-2</v>
      </c>
      <c r="U1769">
        <v>-8.6547849999999996E-2</v>
      </c>
      <c r="V1769">
        <v>4.5961729999999999E-2</v>
      </c>
      <c r="W1769">
        <v>0.2164741</v>
      </c>
      <c r="X1769">
        <v>0.97520580000000001</v>
      </c>
      <c r="Y1769">
        <v>-1.7847399999999999E-2</v>
      </c>
      <c r="Z1769">
        <v>-2.7572449999999999E-4</v>
      </c>
      <c r="AA1769">
        <v>0.99984070000000003</v>
      </c>
      <c r="AB1769">
        <v>51</v>
      </c>
      <c r="AC1769">
        <v>-115.87220000000001</v>
      </c>
      <c r="AD1769">
        <v>-1.1205308739816999</v>
      </c>
      <c r="AE1769">
        <v>-3.2666000000000301</v>
      </c>
      <c r="AF1769">
        <v>-2.0736369726460699</v>
      </c>
      <c r="AG1769">
        <v>-1.1205308739816999</v>
      </c>
      <c r="AH1769">
        <v>115.88885455969699</v>
      </c>
      <c r="AI1769">
        <v>90.553887733033406</v>
      </c>
      <c r="AJ1769">
        <v>91.025102627427898</v>
      </c>
      <c r="AK1769">
        <v>115.91282142581299</v>
      </c>
      <c r="AL1769">
        <v>77.497975279788193</v>
      </c>
      <c r="AM1769">
        <v>87.301630171430702</v>
      </c>
      <c r="AN1769">
        <v>0.99999993447451896</v>
      </c>
    </row>
    <row r="1770" spans="1:40" x14ac:dyDescent="0.25">
      <c r="A1770" t="str">
        <f>"20190303171013110"</f>
        <v>20190303171013110</v>
      </c>
      <c r="B1770" t="str">
        <f>"1551604213102442"</f>
        <v>1551604213102442</v>
      </c>
      <c r="C1770" t="s">
        <v>40</v>
      </c>
      <c r="D1770">
        <v>4.8819980000000003</v>
      </c>
      <c r="E1770">
        <v>0.4803096</v>
      </c>
      <c r="F1770" t="s">
        <v>53</v>
      </c>
      <c r="G1770">
        <v>-460.2296</v>
      </c>
      <c r="H1770" s="1">
        <v>-1.2372030000000001E-6</v>
      </c>
      <c r="I1770">
        <v>280.55779999999999</v>
      </c>
      <c r="J1770">
        <v>-347.20639999999997</v>
      </c>
      <c r="K1770">
        <v>1.120533</v>
      </c>
      <c r="L1770">
        <v>283.8614</v>
      </c>
      <c r="M1770">
        <v>-0.99983480000000002</v>
      </c>
      <c r="N1770">
        <v>-1.503435E-2</v>
      </c>
      <c r="O1770">
        <v>-1.0228910000000001E-2</v>
      </c>
      <c r="P1770">
        <v>-0.97880610000000001</v>
      </c>
      <c r="Q1770">
        <v>0.20162189999999999</v>
      </c>
      <c r="R1770">
        <v>3.5884100000000002E-2</v>
      </c>
      <c r="S1770">
        <v>-3.0746150000000001</v>
      </c>
      <c r="T1770">
        <v>-3.040588E-2</v>
      </c>
      <c r="U1770">
        <v>-8.9721679999999998E-2</v>
      </c>
      <c r="V1770">
        <v>4.5974979999999999E-2</v>
      </c>
      <c r="W1770">
        <v>0.2162916</v>
      </c>
      <c r="X1770">
        <v>0.97524569999999999</v>
      </c>
      <c r="Y1770">
        <v>-1.8939580000000001E-2</v>
      </c>
      <c r="Z1770">
        <v>-2.886896E-4</v>
      </c>
      <c r="AA1770">
        <v>0.99982059999999995</v>
      </c>
      <c r="AB1770">
        <v>51</v>
      </c>
      <c r="AC1770">
        <v>-113.0232</v>
      </c>
      <c r="AD1770">
        <v>-1.120534237203</v>
      </c>
      <c r="AE1770">
        <v>-3.3036000000000101</v>
      </c>
      <c r="AF1770">
        <v>-2.14698162465975</v>
      </c>
      <c r="AG1770">
        <v>-1.120534237203</v>
      </c>
      <c r="AH1770">
        <v>113.03998034778699</v>
      </c>
      <c r="AI1770">
        <v>90.567836298898399</v>
      </c>
      <c r="AJ1770">
        <v>91.088094643744995</v>
      </c>
      <c r="AK1770">
        <v>113.06592008249601</v>
      </c>
      <c r="AL1770">
        <v>77.508685890425298</v>
      </c>
      <c r="AM1770">
        <v>87.300963692904205</v>
      </c>
      <c r="AN1770">
        <v>0.99999996519252399</v>
      </c>
    </row>
    <row r="1771" spans="1:40" x14ac:dyDescent="0.25">
      <c r="A1771" t="str">
        <f>"20190303171013120"</f>
        <v>20190303171013120</v>
      </c>
      <c r="B1771" t="str">
        <f>"1551604213112202"</f>
        <v>1551604213112202</v>
      </c>
      <c r="C1771" t="s">
        <v>40</v>
      </c>
      <c r="D1771">
        <v>4.8915559999999996</v>
      </c>
      <c r="E1771">
        <v>0.47989890000000002</v>
      </c>
      <c r="F1771" t="s">
        <v>53</v>
      </c>
      <c r="G1771">
        <v>-458.67559999999997</v>
      </c>
      <c r="H1771" s="1">
        <v>3.259826E-6</v>
      </c>
      <c r="I1771">
        <v>280.50029999999998</v>
      </c>
      <c r="J1771">
        <v>-347.4538</v>
      </c>
      <c r="K1771">
        <v>1.1205320000000001</v>
      </c>
      <c r="L1771">
        <v>283.85890000000001</v>
      </c>
      <c r="M1771">
        <v>-0.99983529999999998</v>
      </c>
      <c r="N1771">
        <v>-1.503437E-2</v>
      </c>
      <c r="O1771">
        <v>-1.017416E-2</v>
      </c>
      <c r="P1771">
        <v>-0.97887369999999996</v>
      </c>
      <c r="Q1771">
        <v>0.2013172</v>
      </c>
      <c r="R1771">
        <v>3.5748759999999997E-2</v>
      </c>
      <c r="S1771">
        <v>-3.0747680000000002</v>
      </c>
      <c r="T1771">
        <v>-3.0908700000000001E-2</v>
      </c>
      <c r="U1771">
        <v>-9.27124E-2</v>
      </c>
      <c r="V1771">
        <v>4.5787670000000003E-2</v>
      </c>
      <c r="W1771">
        <v>0.2159876</v>
      </c>
      <c r="X1771">
        <v>0.97532189999999996</v>
      </c>
      <c r="Y1771">
        <v>-1.9964320000000001E-2</v>
      </c>
      <c r="Z1771">
        <v>-3.0114889999999998E-4</v>
      </c>
      <c r="AA1771">
        <v>0.99980060000000004</v>
      </c>
      <c r="AB1771">
        <v>51</v>
      </c>
      <c r="AC1771">
        <v>-111.22179999999901</v>
      </c>
      <c r="AD1771">
        <v>-1.1205287401739901</v>
      </c>
      <c r="AE1771">
        <v>-3.35860000000002</v>
      </c>
      <c r="AF1771">
        <v>-2.2264841433952198</v>
      </c>
      <c r="AG1771">
        <v>-1.1205287401739901</v>
      </c>
      <c r="AH1771">
        <v>111.238936394455</v>
      </c>
      <c r="AI1771">
        <v>90.577015058965202</v>
      </c>
      <c r="AJ1771">
        <v>91.146640894136596</v>
      </c>
      <c r="AK1771">
        <v>111.266858437129</v>
      </c>
      <c r="AL1771">
        <v>77.526525697001304</v>
      </c>
      <c r="AM1771">
        <v>87.312153575515694</v>
      </c>
      <c r="AN1771">
        <v>0.99999998134869905</v>
      </c>
    </row>
    <row r="1772" spans="1:40" x14ac:dyDescent="0.25">
      <c r="A1772" t="str">
        <f>"20190303171013132"</f>
        <v>20190303171013132</v>
      </c>
      <c r="B1772" t="str">
        <f>"1551604213122938"</f>
        <v>1551604213122938</v>
      </c>
      <c r="C1772" t="s">
        <v>40</v>
      </c>
      <c r="D1772">
        <v>4.8894549999999999</v>
      </c>
      <c r="E1772">
        <v>0.47950490000000001</v>
      </c>
      <c r="F1772" t="s">
        <v>53</v>
      </c>
      <c r="G1772">
        <v>-456.12700000000001</v>
      </c>
      <c r="H1772" s="1">
        <v>1.9054180000000001E-6</v>
      </c>
      <c r="I1772">
        <v>280.45909999999998</v>
      </c>
      <c r="J1772">
        <v>-347.7244</v>
      </c>
      <c r="K1772">
        <v>1.120533</v>
      </c>
      <c r="L1772">
        <v>283.8562</v>
      </c>
      <c r="M1772">
        <v>-0.9998359</v>
      </c>
      <c r="N1772">
        <v>-1.5034250000000001E-2</v>
      </c>
      <c r="O1772">
        <v>-1.011429E-2</v>
      </c>
      <c r="P1772">
        <v>-0.97891079999999997</v>
      </c>
      <c r="Q1772">
        <v>0.20113339999999999</v>
      </c>
      <c r="R1772">
        <v>3.5764270000000001E-2</v>
      </c>
      <c r="S1772">
        <v>-3.0747680000000002</v>
      </c>
      <c r="T1772">
        <v>-3.1703950000000002E-2</v>
      </c>
      <c r="U1772">
        <v>-9.6191410000000005E-2</v>
      </c>
      <c r="V1772">
        <v>4.5745880000000003E-2</v>
      </c>
      <c r="W1772">
        <v>0.21580460000000001</v>
      </c>
      <c r="X1772">
        <v>0.97536440000000002</v>
      </c>
      <c r="Y1772">
        <v>-2.115409E-2</v>
      </c>
      <c r="Z1772">
        <v>-3.1589379999999998E-4</v>
      </c>
      <c r="AA1772">
        <v>0.9997762</v>
      </c>
      <c r="AB1772">
        <v>51</v>
      </c>
      <c r="AC1772">
        <v>-108.402599999999</v>
      </c>
      <c r="AD1772">
        <v>-1.120531094582</v>
      </c>
      <c r="AE1772">
        <v>-3.39710000000002</v>
      </c>
      <c r="AF1772">
        <v>-2.3001414909103501</v>
      </c>
      <c r="AG1772">
        <v>-1.120531094582</v>
      </c>
      <c r="AH1772">
        <v>108.419843877611</v>
      </c>
      <c r="AI1772">
        <v>90.592003944091402</v>
      </c>
      <c r="AJ1772">
        <v>91.215355312083602</v>
      </c>
      <c r="AK1772">
        <v>108.450028986891</v>
      </c>
      <c r="AL1772">
        <v>77.537264461380801</v>
      </c>
      <c r="AM1772">
        <v>87.314719997186302</v>
      </c>
      <c r="AN1772">
        <v>1.0000000118527399</v>
      </c>
    </row>
    <row r="1773" spans="1:40" x14ac:dyDescent="0.25">
      <c r="A1773" t="str">
        <f>"20190303171013145"</f>
        <v>20190303171013145</v>
      </c>
      <c r="B1773" t="str">
        <f>"1551604213132697"</f>
        <v>1551604213132697</v>
      </c>
      <c r="C1773" t="s">
        <v>40</v>
      </c>
      <c r="D1773">
        <v>4.8909649999999996</v>
      </c>
      <c r="E1773">
        <v>0.47910789999999998</v>
      </c>
      <c r="F1773" t="s">
        <v>53</v>
      </c>
      <c r="G1773">
        <v>-454.68970000000002</v>
      </c>
      <c r="H1773" s="1">
        <v>1.1422039999999999E-6</v>
      </c>
      <c r="I1773">
        <v>280.42079999999999</v>
      </c>
      <c r="J1773">
        <v>-347.9898</v>
      </c>
      <c r="K1773">
        <v>1.120533</v>
      </c>
      <c r="L1773">
        <v>283.8535</v>
      </c>
      <c r="M1773">
        <v>-0.99983639999999996</v>
      </c>
      <c r="N1773">
        <v>-1.5034E-2</v>
      </c>
      <c r="O1773">
        <v>-1.005584E-2</v>
      </c>
      <c r="P1773">
        <v>-0.97890169999999999</v>
      </c>
      <c r="Q1773">
        <v>0.20119980000000001</v>
      </c>
      <c r="R1773">
        <v>3.5638629999999998E-2</v>
      </c>
      <c r="S1773">
        <v>-3.0748600000000001</v>
      </c>
      <c r="T1773">
        <v>-3.2211179999999999E-2</v>
      </c>
      <c r="U1773">
        <v>-9.8754880000000003E-2</v>
      </c>
      <c r="V1773">
        <v>4.5563909999999999E-2</v>
      </c>
      <c r="W1773">
        <v>0.21587020000000001</v>
      </c>
      <c r="X1773">
        <v>0.97535839999999996</v>
      </c>
      <c r="Y1773">
        <v>-2.2044069999999999E-2</v>
      </c>
      <c r="Z1773">
        <v>-3.270514E-4</v>
      </c>
      <c r="AA1773">
        <v>0.99975689999999995</v>
      </c>
      <c r="AB1773">
        <v>51</v>
      </c>
      <c r="AC1773">
        <v>-106.6999</v>
      </c>
      <c r="AD1773">
        <v>-1.120531857796</v>
      </c>
      <c r="AE1773">
        <v>-3.4327000000000099</v>
      </c>
      <c r="AF1773">
        <v>-2.35918806705449</v>
      </c>
      <c r="AG1773">
        <v>-1.120531857796</v>
      </c>
      <c r="AH1773">
        <v>106.717269233276</v>
      </c>
      <c r="AI1773">
        <v>90.601436925427095</v>
      </c>
      <c r="AJ1773">
        <v>91.266425824298807</v>
      </c>
      <c r="AK1773">
        <v>106.74922441211299</v>
      </c>
      <c r="AL1773">
        <v>77.533415113478995</v>
      </c>
      <c r="AM1773">
        <v>87.325369652734594</v>
      </c>
      <c r="AN1773">
        <v>1.0000000107965401</v>
      </c>
    </row>
    <row r="1774" spans="1:40" x14ac:dyDescent="0.25">
      <c r="A1774" t="str">
        <f>"20190303171013157"</f>
        <v>20190303171013157</v>
      </c>
      <c r="B1774" t="str">
        <f>"1551604213152218"</f>
        <v>1551604213152218</v>
      </c>
      <c r="C1774" t="s">
        <v>40</v>
      </c>
      <c r="D1774">
        <v>4.9120920000000003</v>
      </c>
      <c r="E1774">
        <v>0.4783598</v>
      </c>
      <c r="F1774" t="s">
        <v>53</v>
      </c>
      <c r="G1774">
        <v>-455.99650000000003</v>
      </c>
      <c r="H1774" s="1">
        <v>1.84475E-6</v>
      </c>
      <c r="I1774">
        <v>280.25830000000002</v>
      </c>
      <c r="J1774">
        <v>-348.24849999999998</v>
      </c>
      <c r="K1774">
        <v>1.120533</v>
      </c>
      <c r="L1774">
        <v>283.851</v>
      </c>
      <c r="M1774">
        <v>-0.99983710000000003</v>
      </c>
      <c r="N1774">
        <v>-1.503371E-2</v>
      </c>
      <c r="O1774">
        <v>-9.9988300000000002E-3</v>
      </c>
      <c r="P1774">
        <v>-0.97884740000000003</v>
      </c>
      <c r="Q1774">
        <v>0.20144619999999999</v>
      </c>
      <c r="R1774">
        <v>3.5742599999999999E-2</v>
      </c>
      <c r="S1774">
        <v>-3.0749819999999999</v>
      </c>
      <c r="T1774">
        <v>-3.1901840000000001E-2</v>
      </c>
      <c r="U1774">
        <v>-0.102356</v>
      </c>
      <c r="V1774">
        <v>4.5612720000000002E-2</v>
      </c>
      <c r="W1774">
        <v>0.21611559999999999</v>
      </c>
      <c r="X1774">
        <v>0.97530170000000005</v>
      </c>
      <c r="Y1774">
        <v>-2.326922E-2</v>
      </c>
      <c r="Z1774">
        <v>-3.4224849999999997E-4</v>
      </c>
      <c r="AA1774">
        <v>0.99972919999999998</v>
      </c>
      <c r="AB1774">
        <v>51</v>
      </c>
      <c r="AC1774">
        <v>-107.748</v>
      </c>
      <c r="AD1774">
        <v>-1.1205311552499999</v>
      </c>
      <c r="AE1774">
        <v>-3.5926999999999798</v>
      </c>
      <c r="AF1774">
        <v>-2.5147731024772702</v>
      </c>
      <c r="AG1774">
        <v>-1.1205311552499999</v>
      </c>
      <c r="AH1774">
        <v>107.766897237793</v>
      </c>
      <c r="AI1774">
        <v>90.595562487851097</v>
      </c>
      <c r="AJ1774">
        <v>91.336771718460895</v>
      </c>
      <c r="AK1774">
        <v>107.802058487247</v>
      </c>
      <c r="AL1774">
        <v>77.519013903779296</v>
      </c>
      <c r="AM1774">
        <v>87.322353210384406</v>
      </c>
      <c r="AN1774">
        <v>0.99999993940602205</v>
      </c>
    </row>
    <row r="1775" spans="1:40" x14ac:dyDescent="0.25">
      <c r="A1775" t="str">
        <f>"20190303171013168"</f>
        <v>20190303171013168</v>
      </c>
      <c r="B1775" t="str">
        <f>"1551604213161978"</f>
        <v>1551604213161978</v>
      </c>
      <c r="C1775" t="s">
        <v>40</v>
      </c>
      <c r="D1775">
        <v>4.9272769999999904</v>
      </c>
      <c r="E1775">
        <v>0.47799009999999997</v>
      </c>
      <c r="F1775" t="s">
        <v>53</v>
      </c>
      <c r="G1775">
        <v>-459.72879999999998</v>
      </c>
      <c r="H1775" s="1">
        <v>3.8447940000000003E-6</v>
      </c>
      <c r="I1775">
        <v>279.94009999999997</v>
      </c>
      <c r="J1775">
        <v>-348.53500000000003</v>
      </c>
      <c r="K1775">
        <v>1.1205350000000001</v>
      </c>
      <c r="L1775">
        <v>283.84809999999999</v>
      </c>
      <c r="M1775">
        <v>-0.99983759999999999</v>
      </c>
      <c r="N1775">
        <v>-1.503318E-2</v>
      </c>
      <c r="O1775">
        <v>-9.9352650000000004E-3</v>
      </c>
      <c r="P1775">
        <v>-0.97884819999999995</v>
      </c>
      <c r="Q1775">
        <v>0.20145669999999999</v>
      </c>
      <c r="R1775">
        <v>3.5658879999999997E-2</v>
      </c>
      <c r="S1775">
        <v>-3.0751339999999998</v>
      </c>
      <c r="T1775">
        <v>-3.0909300000000001E-2</v>
      </c>
      <c r="U1775">
        <v>-0.10787960000000001</v>
      </c>
      <c r="V1775">
        <v>4.5467510000000003E-2</v>
      </c>
      <c r="W1775">
        <v>0.2161254</v>
      </c>
      <c r="X1775">
        <v>0.97530640000000002</v>
      </c>
      <c r="Y1775">
        <v>-2.512466E-2</v>
      </c>
      <c r="Z1775">
        <v>-3.646662E-4</v>
      </c>
      <c r="AA1775">
        <v>0.99968429999999997</v>
      </c>
      <c r="AB1775">
        <v>51</v>
      </c>
      <c r="AC1775">
        <v>-111.193799999999</v>
      </c>
      <c r="AD1775">
        <v>-1.120531155206</v>
      </c>
      <c r="AE1775">
        <v>-3.9080000000000101</v>
      </c>
      <c r="AF1775">
        <v>-2.8026580484655099</v>
      </c>
      <c r="AG1775">
        <v>-1.120531155206</v>
      </c>
      <c r="AH1775">
        <v>111.21586187303301</v>
      </c>
      <c r="AI1775">
        <v>90.577068404069706</v>
      </c>
      <c r="AJ1775">
        <v>91.443557562002496</v>
      </c>
      <c r="AK1775">
        <v>111.25681288967399</v>
      </c>
      <c r="AL1775">
        <v>77.518439942979896</v>
      </c>
      <c r="AM1775">
        <v>87.330878107500695</v>
      </c>
      <c r="AN1775">
        <v>1.0000000284358499</v>
      </c>
    </row>
    <row r="1776" spans="1:40" x14ac:dyDescent="0.25">
      <c r="A1776" t="str">
        <f>"20190303171013184"</f>
        <v>20190303171013184</v>
      </c>
      <c r="B1776" t="str">
        <f>"1551604213172714"</f>
        <v>1551604213172714</v>
      </c>
      <c r="C1776" t="s">
        <v>40</v>
      </c>
      <c r="D1776">
        <v>4.9359909999999996</v>
      </c>
      <c r="E1776">
        <v>0.47760809999999998</v>
      </c>
      <c r="F1776" t="s">
        <v>53</v>
      </c>
      <c r="G1776">
        <v>-460.59120000000001</v>
      </c>
      <c r="H1776" s="1">
        <v>-1.0114069999999999E-6</v>
      </c>
      <c r="I1776">
        <v>279.79480000000001</v>
      </c>
      <c r="J1776">
        <v>-348.87699999999899</v>
      </c>
      <c r="K1776">
        <v>1.1205350000000001</v>
      </c>
      <c r="L1776">
        <v>283.84480000000002</v>
      </c>
      <c r="M1776">
        <v>-0.99983840000000002</v>
      </c>
      <c r="N1776">
        <v>-1.503234E-2</v>
      </c>
      <c r="O1776">
        <v>-9.8591800000000004E-3</v>
      </c>
      <c r="P1776">
        <v>-0.97879510000000003</v>
      </c>
      <c r="Q1776">
        <v>0.20172809999999999</v>
      </c>
      <c r="R1776">
        <v>3.557871E-2</v>
      </c>
      <c r="S1776">
        <v>-3.0751949999999999</v>
      </c>
      <c r="T1776">
        <v>-3.0751230000000001E-2</v>
      </c>
      <c r="U1776">
        <v>-0.1112366</v>
      </c>
      <c r="V1776">
        <v>4.5313340000000001E-2</v>
      </c>
      <c r="W1776">
        <v>0.2163949</v>
      </c>
      <c r="X1776">
        <v>0.97525379999999995</v>
      </c>
      <c r="Y1776">
        <v>-2.628979E-2</v>
      </c>
      <c r="Z1776">
        <v>-3.787137E-4</v>
      </c>
      <c r="AA1776">
        <v>0.9996543</v>
      </c>
      <c r="AB1776">
        <v>51</v>
      </c>
      <c r="AC1776">
        <v>-111.71420000000001</v>
      </c>
      <c r="AD1776">
        <v>-1.120536011407</v>
      </c>
      <c r="AE1776">
        <v>-4.0500000000000096</v>
      </c>
      <c r="AF1776">
        <v>-2.94797204133621</v>
      </c>
      <c r="AG1776">
        <v>-1.120536011407</v>
      </c>
      <c r="AH1776">
        <v>111.73747634076101</v>
      </c>
      <c r="AI1776">
        <v>90.574359685324694</v>
      </c>
      <c r="AJ1776">
        <v>91.511285095364798</v>
      </c>
      <c r="AK1776">
        <v>111.781974213696</v>
      </c>
      <c r="AL1776">
        <v>77.502624273516204</v>
      </c>
      <c r="AM1776">
        <v>87.339772207137401</v>
      </c>
      <c r="AN1776">
        <v>1.0000000129711999</v>
      </c>
    </row>
    <row r="1777" spans="1:40" x14ac:dyDescent="0.25">
      <c r="A1777" t="str">
        <f>"20190303171013206"</f>
        <v>20190303171013206</v>
      </c>
      <c r="B1777" t="str">
        <f>"1551604213201994"</f>
        <v>1551604213201994</v>
      </c>
      <c r="C1777" t="s">
        <v>40</v>
      </c>
      <c r="D1777">
        <v>4.9641789999999997</v>
      </c>
      <c r="E1777">
        <v>0.47653760000000001</v>
      </c>
      <c r="F1777" t="s">
        <v>53</v>
      </c>
      <c r="G1777">
        <v>-462.41359999999997</v>
      </c>
      <c r="H1777">
        <v>2.1947520000000002E-2</v>
      </c>
      <c r="I1777">
        <v>279.61630000000002</v>
      </c>
      <c r="J1777">
        <v>-349.39789999999999</v>
      </c>
      <c r="K1777">
        <v>1.12053799999999</v>
      </c>
      <c r="L1777">
        <v>283.83969999999999</v>
      </c>
      <c r="M1777">
        <v>-0.99983960000000005</v>
      </c>
      <c r="N1777">
        <v>-1.5030679999999999E-2</v>
      </c>
      <c r="O1777">
        <v>-9.7425470000000007E-3</v>
      </c>
      <c r="P1777">
        <v>-0.97882369999999996</v>
      </c>
      <c r="Q1777">
        <v>0.20162479999999999</v>
      </c>
      <c r="R1777">
        <v>3.5382810000000001E-2</v>
      </c>
      <c r="S1777">
        <v>-3.0752869999999999</v>
      </c>
      <c r="T1777">
        <v>-2.9756669999999999E-2</v>
      </c>
      <c r="U1777">
        <v>-0.1145325</v>
      </c>
      <c r="V1777">
        <v>4.5004919999999997E-2</v>
      </c>
      <c r="W1777">
        <v>0.21629019999999999</v>
      </c>
      <c r="X1777">
        <v>0.97529129999999997</v>
      </c>
      <c r="Y1777">
        <v>-2.747525E-2</v>
      </c>
      <c r="Z1777">
        <v>-3.9163400000000003E-4</v>
      </c>
      <c r="AA1777">
        <v>0.99962240000000002</v>
      </c>
      <c r="AB1777">
        <v>51</v>
      </c>
      <c r="AC1777">
        <v>-113.015699999999</v>
      </c>
      <c r="AD1777">
        <v>-1.0985904799999899</v>
      </c>
      <c r="AE1777">
        <v>-4.2233999999999696</v>
      </c>
      <c r="AF1777">
        <v>-3.12171981649468</v>
      </c>
      <c r="AG1777">
        <v>-1.0985904799999899</v>
      </c>
      <c r="AH1777">
        <v>113.04081987918499</v>
      </c>
      <c r="AI1777">
        <v>90.556600973652806</v>
      </c>
      <c r="AJ1777">
        <v>91.581870359682796</v>
      </c>
      <c r="AK1777">
        <v>113.089252339087</v>
      </c>
      <c r="AL1777">
        <v>77.508768575498095</v>
      </c>
      <c r="AM1777">
        <v>87.357954440179199</v>
      </c>
      <c r="AN1777">
        <v>1.00000000664796</v>
      </c>
    </row>
    <row r="1778" spans="1:40" x14ac:dyDescent="0.25">
      <c r="A1778" t="str">
        <f>"20190303171013220"</f>
        <v>20190303171013220</v>
      </c>
      <c r="B1778" t="str">
        <f>"1551604213212730"</f>
        <v>1551604213212730</v>
      </c>
      <c r="C1778" t="s">
        <v>40</v>
      </c>
      <c r="D1778">
        <v>4.965846</v>
      </c>
      <c r="E1778">
        <v>0.47620309999999999</v>
      </c>
      <c r="F1778" t="s">
        <v>53</v>
      </c>
      <c r="G1778">
        <v>-456.35579999999999</v>
      </c>
      <c r="H1778">
        <v>8.0001290000000003E-2</v>
      </c>
      <c r="I1778">
        <v>279.54140000000001</v>
      </c>
      <c r="J1778">
        <v>-349.68830000000003</v>
      </c>
      <c r="K1778">
        <v>1.1205400000000001</v>
      </c>
      <c r="L1778">
        <v>283.83690000000001</v>
      </c>
      <c r="M1778">
        <v>-0.99984030000000002</v>
      </c>
      <c r="N1778">
        <v>-1.502975E-2</v>
      </c>
      <c r="O1778">
        <v>-9.6769539999999998E-3</v>
      </c>
      <c r="P1778">
        <v>-0.97891209999999995</v>
      </c>
      <c r="Q1778">
        <v>0.20123530000000001</v>
      </c>
      <c r="R1778">
        <v>3.5146869999999997E-2</v>
      </c>
      <c r="S1778">
        <v>-3.0755309999999998</v>
      </c>
      <c r="T1778">
        <v>-2.9920220000000001E-2</v>
      </c>
      <c r="U1778">
        <v>-0.1235962</v>
      </c>
      <c r="V1778">
        <v>4.4706040000000002E-2</v>
      </c>
      <c r="W1778">
        <v>0.2159015</v>
      </c>
      <c r="X1778">
        <v>0.97539109999999996</v>
      </c>
      <c r="Y1778">
        <v>-3.047888E-2</v>
      </c>
      <c r="Z1778">
        <v>-4.286634E-4</v>
      </c>
      <c r="AA1778">
        <v>0.99953530000000002</v>
      </c>
      <c r="AB1778">
        <v>51</v>
      </c>
      <c r="AC1778">
        <v>-106.667499999999</v>
      </c>
      <c r="AD1778">
        <v>-1.0405387100000001</v>
      </c>
      <c r="AE1778">
        <v>-4.2954999999999997</v>
      </c>
      <c r="AF1778">
        <v>-3.26265584490256</v>
      </c>
      <c r="AG1778">
        <v>-1.0405387100000001</v>
      </c>
      <c r="AH1778">
        <v>106.693939941675</v>
      </c>
      <c r="AI1778">
        <v>90.558501576909805</v>
      </c>
      <c r="AJ1778">
        <v>91.751535035110905</v>
      </c>
      <c r="AK1778">
        <v>106.74888507261799</v>
      </c>
      <c r="AL1778">
        <v>77.531577583405493</v>
      </c>
      <c r="AM1778">
        <v>87.375743946450001</v>
      </c>
      <c r="AN1778">
        <v>0.99999994283696902</v>
      </c>
    </row>
    <row r="1779" spans="1:40" x14ac:dyDescent="0.25">
      <c r="A1779" t="str">
        <f>"20190303171013241"</f>
        <v>20190303171013241</v>
      </c>
      <c r="B1779" t="str">
        <f>"1551604213232249"</f>
        <v>1551604213232249</v>
      </c>
      <c r="C1779" t="s">
        <v>40</v>
      </c>
      <c r="D1779">
        <v>4.9926339999999998</v>
      </c>
      <c r="E1779">
        <v>0.47552139999999998</v>
      </c>
      <c r="F1779" t="s">
        <v>53</v>
      </c>
      <c r="G1779">
        <v>-452.6148</v>
      </c>
      <c r="H1779">
        <v>7.9977099999999995E-2</v>
      </c>
      <c r="I1779">
        <v>279.58640000000003</v>
      </c>
      <c r="J1779">
        <v>-350.16390000000001</v>
      </c>
      <c r="K1779">
        <v>1.120536</v>
      </c>
      <c r="L1779">
        <v>283.83240000000001</v>
      </c>
      <c r="M1779">
        <v>-0.99984150000000005</v>
      </c>
      <c r="N1779">
        <v>-1.502829E-2</v>
      </c>
      <c r="O1779">
        <v>-9.5660369999999995E-3</v>
      </c>
      <c r="P1779">
        <v>-0.97900969999999998</v>
      </c>
      <c r="Q1779">
        <v>0.2008171</v>
      </c>
      <c r="R1779">
        <v>3.482242E-2</v>
      </c>
      <c r="S1779">
        <v>-3.0756230000000002</v>
      </c>
      <c r="T1779">
        <v>-3.1093840000000001E-2</v>
      </c>
      <c r="U1779">
        <v>-0.12701419999999999</v>
      </c>
      <c r="V1779">
        <v>4.4275099999999998E-2</v>
      </c>
      <c r="W1779">
        <v>0.2154838</v>
      </c>
      <c r="X1779">
        <v>0.97550309999999996</v>
      </c>
      <c r="Y1779">
        <v>-3.1697120000000002E-2</v>
      </c>
      <c r="Z1779">
        <v>-4.4551749999999999E-4</v>
      </c>
      <c r="AA1779">
        <v>0.99949739999999998</v>
      </c>
      <c r="AB1779">
        <v>51</v>
      </c>
      <c r="AC1779">
        <v>-102.4509</v>
      </c>
      <c r="AD1779">
        <v>-1.0405589</v>
      </c>
      <c r="AE1779">
        <v>-4.24599999999998</v>
      </c>
      <c r="AF1779">
        <v>-3.2653098110707202</v>
      </c>
      <c r="AG1779">
        <v>-1.0405589</v>
      </c>
      <c r="AH1779">
        <v>102.476280121131</v>
      </c>
      <c r="AI1779">
        <v>90.581474503195906</v>
      </c>
      <c r="AJ1779">
        <v>91.825058356957399</v>
      </c>
      <c r="AK1779">
        <v>102.533570104874</v>
      </c>
      <c r="AL1779">
        <v>77.556086729268699</v>
      </c>
      <c r="AM1779">
        <v>87.401303369196</v>
      </c>
      <c r="AN1779">
        <v>0.99999992532602699</v>
      </c>
    </row>
    <row r="1780" spans="1:40" x14ac:dyDescent="0.25">
      <c r="A1780" t="str">
        <f>"20190303171013263"</f>
        <v>20190303171013263</v>
      </c>
      <c r="B1780" t="str">
        <f>"1551604213252746"</f>
        <v>1551604213252746</v>
      </c>
      <c r="C1780" t="s">
        <v>40</v>
      </c>
      <c r="D1780">
        <v>4.9804559999999896</v>
      </c>
      <c r="E1780">
        <v>0.47487970000000002</v>
      </c>
      <c r="F1780" t="s">
        <v>53</v>
      </c>
      <c r="G1780">
        <v>-448.75420000000003</v>
      </c>
      <c r="H1780">
        <v>8.0000580000000002E-2</v>
      </c>
      <c r="I1780">
        <v>279.5693</v>
      </c>
      <c r="J1780">
        <v>-350.66550000000001</v>
      </c>
      <c r="K1780">
        <v>1.1205320000000001</v>
      </c>
      <c r="L1780">
        <v>283.82760000000002</v>
      </c>
      <c r="M1780">
        <v>-0.99984260000000003</v>
      </c>
      <c r="N1780">
        <v>-1.5026650000000001E-2</v>
      </c>
      <c r="O1780">
        <v>-9.4429240000000001E-3</v>
      </c>
      <c r="P1780">
        <v>-0.97900299999999996</v>
      </c>
      <c r="Q1780">
        <v>0.20084479999999999</v>
      </c>
      <c r="R1780">
        <v>3.4852359999999999E-2</v>
      </c>
      <c r="S1780">
        <v>-3.0757140000000001</v>
      </c>
      <c r="T1780">
        <v>-3.2461520000000001E-2</v>
      </c>
      <c r="U1780">
        <v>-0.13299559999999999</v>
      </c>
      <c r="V1780">
        <v>4.4187070000000002E-2</v>
      </c>
      <c r="W1780">
        <v>0.21550939999999999</v>
      </c>
      <c r="X1780">
        <v>0.97550150000000002</v>
      </c>
      <c r="Y1780">
        <v>-3.3758639999999999E-2</v>
      </c>
      <c r="Z1780">
        <v>-4.7408949999999997E-4</v>
      </c>
      <c r="AA1780">
        <v>0.99942989999999998</v>
      </c>
      <c r="AB1780">
        <v>51</v>
      </c>
      <c r="AC1780">
        <v>-98.088700000000003</v>
      </c>
      <c r="AD1780">
        <v>-1.04053141999999</v>
      </c>
      <c r="AE1780">
        <v>-4.2583000000000197</v>
      </c>
      <c r="AF1780">
        <v>-3.33138727943011</v>
      </c>
      <c r="AG1780">
        <v>-1.04053141999999</v>
      </c>
      <c r="AH1780">
        <v>98.113520978885902</v>
      </c>
      <c r="AI1780">
        <v>90.607270943464499</v>
      </c>
      <c r="AJ1780">
        <v>91.944697597617406</v>
      </c>
      <c r="AK1780">
        <v>98.175576625329001</v>
      </c>
      <c r="AL1780">
        <v>77.554585452703606</v>
      </c>
      <c r="AM1780">
        <v>87.406458919598194</v>
      </c>
      <c r="AN1780">
        <v>0.99999998757289699</v>
      </c>
    </row>
    <row r="1781" spans="1:40" x14ac:dyDescent="0.25">
      <c r="A1781" t="str">
        <f>"20190303171013274"</f>
        <v>20190303171013274</v>
      </c>
      <c r="B1781" t="str">
        <f>"1551604213262506"</f>
        <v>1551604213262506</v>
      </c>
      <c r="C1781" t="s">
        <v>40</v>
      </c>
      <c r="D1781">
        <v>5.009118</v>
      </c>
      <c r="E1781">
        <v>0.47455900000000001</v>
      </c>
      <c r="F1781" t="s">
        <v>53</v>
      </c>
      <c r="G1781">
        <v>-450.3261</v>
      </c>
      <c r="H1781">
        <v>8.0001600000000006E-2</v>
      </c>
      <c r="I1781">
        <v>279.37009999999998</v>
      </c>
      <c r="J1781">
        <v>-350.9264</v>
      </c>
      <c r="K1781">
        <v>1.120528</v>
      </c>
      <c r="L1781">
        <v>283.8252</v>
      </c>
      <c r="M1781">
        <v>-0.99984320000000004</v>
      </c>
      <c r="N1781">
        <v>-1.5025739999999999E-2</v>
      </c>
      <c r="O1781">
        <v>-9.3770610000000008E-3</v>
      </c>
      <c r="P1781">
        <v>-0.979043</v>
      </c>
      <c r="Q1781">
        <v>0.20060839999999999</v>
      </c>
      <c r="R1781">
        <v>3.5092249999999998E-2</v>
      </c>
      <c r="S1781">
        <v>-3.0758359999999998</v>
      </c>
      <c r="T1781">
        <v>-3.2114030000000002E-2</v>
      </c>
      <c r="U1781">
        <v>-0.13757320000000001</v>
      </c>
      <c r="V1781">
        <v>4.4364430000000003E-2</v>
      </c>
      <c r="W1781">
        <v>0.21527189999999999</v>
      </c>
      <c r="X1781">
        <v>0.97554589999999997</v>
      </c>
      <c r="Y1781">
        <v>-3.5307129999999999E-2</v>
      </c>
      <c r="Z1781">
        <v>-4.9264199999999995E-4</v>
      </c>
      <c r="AA1781">
        <v>0.99937640000000005</v>
      </c>
      <c r="AB1781">
        <v>51</v>
      </c>
      <c r="AC1781">
        <v>-99.399699999999996</v>
      </c>
      <c r="AD1781">
        <v>-1.0405264000000001</v>
      </c>
      <c r="AE1781">
        <v>-4.4551000000000096</v>
      </c>
      <c r="AF1781">
        <v>-3.5223366486939498</v>
      </c>
      <c r="AG1781">
        <v>-1.0405264000000001</v>
      </c>
      <c r="AH1781">
        <v>99.426235900886994</v>
      </c>
      <c r="AI1781">
        <v>90.599220336905105</v>
      </c>
      <c r="AJ1781">
        <v>92.028947959507306</v>
      </c>
      <c r="AK1781">
        <v>99.494049752106505</v>
      </c>
      <c r="AL1781">
        <v>77.5685204146763</v>
      </c>
      <c r="AM1781">
        <v>87.396181500297601</v>
      </c>
      <c r="AN1781">
        <v>0.99999999829282205</v>
      </c>
    </row>
    <row r="1782" spans="1:40" x14ac:dyDescent="0.25">
      <c r="A1782" t="str">
        <f>"20190303171013287"</f>
        <v>20190303171013287</v>
      </c>
      <c r="B1782" t="str">
        <f>"1551604213282027"</f>
        <v>1551604213282027</v>
      </c>
      <c r="C1782" t="s">
        <v>40</v>
      </c>
      <c r="D1782">
        <v>4.9833509999999999</v>
      </c>
      <c r="E1782">
        <v>0.47394839999999999</v>
      </c>
      <c r="F1782" t="s">
        <v>53</v>
      </c>
      <c r="G1782">
        <v>-448.73750000000001</v>
      </c>
      <c r="H1782">
        <v>8.0000589999999996E-2</v>
      </c>
      <c r="I1782">
        <v>279.39420000000001</v>
      </c>
      <c r="J1782">
        <v>-351.22660000000002</v>
      </c>
      <c r="K1782">
        <v>1.1205270000000001</v>
      </c>
      <c r="L1782">
        <v>283.82240000000002</v>
      </c>
      <c r="M1782">
        <v>-0.99984399999999996</v>
      </c>
      <c r="N1782">
        <v>-1.5024579999999999E-2</v>
      </c>
      <c r="O1782">
        <v>-9.2971070000000006E-3</v>
      </c>
      <c r="P1782">
        <v>-0.97907820000000001</v>
      </c>
      <c r="Q1782">
        <v>0.20044110000000001</v>
      </c>
      <c r="R1782">
        <v>3.5067769999999998E-2</v>
      </c>
      <c r="S1782">
        <v>-3.0759280000000002</v>
      </c>
      <c r="T1782">
        <v>-3.272212E-2</v>
      </c>
      <c r="U1782">
        <v>-0.1393433</v>
      </c>
      <c r="V1782">
        <v>4.4264390000000001E-2</v>
      </c>
      <c r="W1782">
        <v>0.2151043</v>
      </c>
      <c r="X1782">
        <v>0.97558739999999999</v>
      </c>
      <c r="Y1782">
        <v>-3.5959400000000002E-2</v>
      </c>
      <c r="Z1782">
        <v>-5.0226449999999897E-4</v>
      </c>
      <c r="AA1782">
        <v>0.99935309999999999</v>
      </c>
      <c r="AB1782">
        <v>51</v>
      </c>
      <c r="AC1782">
        <v>-97.510900000000007</v>
      </c>
      <c r="AD1782">
        <v>-1.04052641</v>
      </c>
      <c r="AE1782">
        <v>-4.4282000000000004</v>
      </c>
      <c r="AF1782">
        <v>-3.52093695719307</v>
      </c>
      <c r="AG1782">
        <v>-1.04052641</v>
      </c>
      <c r="AH1782">
        <v>97.536775400912504</v>
      </c>
      <c r="AI1782">
        <v>90.610812775309597</v>
      </c>
      <c r="AJ1782">
        <v>92.067397326982601</v>
      </c>
      <c r="AK1782">
        <v>97.605851504274497</v>
      </c>
      <c r="AL1782">
        <v>77.578353391434504</v>
      </c>
      <c r="AM1782">
        <v>87.402155314075003</v>
      </c>
      <c r="AN1782">
        <v>0.99999998556966097</v>
      </c>
    </row>
    <row r="1783" spans="1:40" x14ac:dyDescent="0.25">
      <c r="A1783" t="str">
        <f>"20190303171013299"</f>
        <v>20190303171013299</v>
      </c>
      <c r="B1783" t="str">
        <f>"1551604213292763"</f>
        <v>1551604213292763</v>
      </c>
      <c r="C1783" t="s">
        <v>40</v>
      </c>
      <c r="D1783">
        <v>5.0111330000000001</v>
      </c>
      <c r="E1783">
        <v>0.47365459999999898</v>
      </c>
      <c r="F1783" t="s">
        <v>53</v>
      </c>
      <c r="G1783">
        <v>-448.31790000000001</v>
      </c>
      <c r="H1783">
        <v>8.0000730000000006E-2</v>
      </c>
      <c r="I1783">
        <v>279.27010000000001</v>
      </c>
      <c r="J1783">
        <v>-351.50110000000001</v>
      </c>
      <c r="K1783">
        <v>1.120522</v>
      </c>
      <c r="L1783">
        <v>283.81990000000002</v>
      </c>
      <c r="M1783">
        <v>-0.99984470000000003</v>
      </c>
      <c r="N1783">
        <v>-1.5023440000000001E-2</v>
      </c>
      <c r="O1783">
        <v>-9.2212040000000002E-3</v>
      </c>
      <c r="P1783">
        <v>-0.9790451</v>
      </c>
      <c r="Q1783">
        <v>0.2006356</v>
      </c>
      <c r="R1783">
        <v>3.4869209999999998E-2</v>
      </c>
      <c r="S1783">
        <v>-3.0760190000000001</v>
      </c>
      <c r="T1783">
        <v>-3.2965660000000001E-2</v>
      </c>
      <c r="U1783">
        <v>-0.1442261</v>
      </c>
      <c r="V1783">
        <v>4.3993499999999998E-2</v>
      </c>
      <c r="W1783">
        <v>0.2152966</v>
      </c>
      <c r="X1783">
        <v>0.97555729999999996</v>
      </c>
      <c r="Y1783">
        <v>-3.7616570000000002E-2</v>
      </c>
      <c r="Z1783">
        <v>-5.2392400000000005E-4</v>
      </c>
      <c r="AA1783">
        <v>0.99929210000000002</v>
      </c>
      <c r="AB1783">
        <v>51</v>
      </c>
      <c r="AC1783">
        <v>-96.816800000000001</v>
      </c>
      <c r="AD1783">
        <v>-1.0405212699999999</v>
      </c>
      <c r="AE1783">
        <v>-4.5498000000000003</v>
      </c>
      <c r="AF1783">
        <v>-3.6563169639462201</v>
      </c>
      <c r="AG1783">
        <v>-1.0405212699999999</v>
      </c>
      <c r="AH1783">
        <v>96.843480904986293</v>
      </c>
      <c r="AI1783">
        <v>90.615144588569095</v>
      </c>
      <c r="AJ1783">
        <v>92.162170080541998</v>
      </c>
      <c r="AK1783">
        <v>96.918064013106502</v>
      </c>
      <c r="AL1783">
        <v>77.567071878162196</v>
      </c>
      <c r="AM1783">
        <v>87.417952512432805</v>
      </c>
      <c r="AN1783">
        <v>1.00000004979854</v>
      </c>
    </row>
    <row r="1784" spans="1:40" x14ac:dyDescent="0.25">
      <c r="A1784" t="str">
        <f>"20190303171013311"</f>
        <v>20190303171013311</v>
      </c>
      <c r="B1784" t="str">
        <f>"1551604213302522"</f>
        <v>1551604213302522</v>
      </c>
      <c r="C1784" t="s">
        <v>40</v>
      </c>
      <c r="D1784">
        <v>5.0259720000000003</v>
      </c>
      <c r="E1784">
        <v>0.473354</v>
      </c>
      <c r="F1784" t="s">
        <v>53</v>
      </c>
      <c r="G1784">
        <v>-450.35050000000001</v>
      </c>
      <c r="H1784">
        <v>8.0001600000000006E-2</v>
      </c>
      <c r="I1784">
        <v>279.10289999999998</v>
      </c>
      <c r="J1784">
        <v>-351.76220000000001</v>
      </c>
      <c r="K1784">
        <v>1.120517</v>
      </c>
      <c r="L1784">
        <v>283.81760000000003</v>
      </c>
      <c r="M1784">
        <v>-0.99984550000000005</v>
      </c>
      <c r="N1784">
        <v>-1.5022219999999999E-2</v>
      </c>
      <c r="O1784">
        <v>-9.1446909999999999E-3</v>
      </c>
      <c r="P1784">
        <v>-0.97907940000000004</v>
      </c>
      <c r="Q1784">
        <v>0.20052510000000001</v>
      </c>
      <c r="R1784">
        <v>3.455109E-2</v>
      </c>
      <c r="S1784">
        <v>-3.076111</v>
      </c>
      <c r="T1784">
        <v>-3.2380100000000002E-2</v>
      </c>
      <c r="U1784">
        <v>-0.14678959999999999</v>
      </c>
      <c r="V1784">
        <v>4.3603749999999997E-2</v>
      </c>
      <c r="W1784">
        <v>0.21518480000000001</v>
      </c>
      <c r="X1784">
        <v>0.97559940000000001</v>
      </c>
      <c r="Y1784">
        <v>-3.8522559999999997E-2</v>
      </c>
      <c r="Z1784">
        <v>-5.3329430000000001E-4</v>
      </c>
      <c r="AA1784">
        <v>0.99925759999999997</v>
      </c>
      <c r="AB1784">
        <v>50</v>
      </c>
      <c r="AC1784">
        <v>-98.588300000000004</v>
      </c>
      <c r="AD1784">
        <v>-1.0405154000000001</v>
      </c>
      <c r="AE1784">
        <v>-4.7147000000000503</v>
      </c>
      <c r="AF1784">
        <v>-3.8124179803903</v>
      </c>
      <c r="AG1784">
        <v>-1.0405154000000001</v>
      </c>
      <c r="AH1784">
        <v>98.616336265575995</v>
      </c>
      <c r="AI1784">
        <v>90.604062533390007</v>
      </c>
      <c r="AJ1784">
        <v>92.213900319638199</v>
      </c>
      <c r="AK1784">
        <v>98.695486125759601</v>
      </c>
      <c r="AL1784">
        <v>77.573630501881297</v>
      </c>
      <c r="AM1784">
        <v>87.440907292550506</v>
      </c>
      <c r="AN1784">
        <v>0.99999998722273098</v>
      </c>
    </row>
    <row r="1785" spans="1:40" x14ac:dyDescent="0.25">
      <c r="A1785" t="str">
        <f>"20190303171013323"</f>
        <v>20190303171013323</v>
      </c>
      <c r="B1785" t="str">
        <f>"1551604213312282"</f>
        <v>1551604213312282</v>
      </c>
      <c r="C1785" t="s">
        <v>40</v>
      </c>
      <c r="D1785">
        <v>5.0208339999999998</v>
      </c>
      <c r="E1785">
        <v>0.47306130000000002</v>
      </c>
      <c r="F1785" t="s">
        <v>53</v>
      </c>
      <c r="G1785">
        <v>-449.56119999999999</v>
      </c>
      <c r="H1785">
        <v>8.0000370000000001E-2</v>
      </c>
      <c r="I1785">
        <v>279.05259999999998</v>
      </c>
      <c r="J1785">
        <v>-352.01900000000001</v>
      </c>
      <c r="K1785">
        <v>1.120514</v>
      </c>
      <c r="L1785">
        <v>283.81529999999998</v>
      </c>
      <c r="M1785">
        <v>-0.99984609999999996</v>
      </c>
      <c r="N1785">
        <v>-1.502098E-2</v>
      </c>
      <c r="O1785">
        <v>-9.0651880000000001E-3</v>
      </c>
      <c r="P1785">
        <v>-0.97906629999999994</v>
      </c>
      <c r="Q1785">
        <v>0.20060169999999999</v>
      </c>
      <c r="R1785">
        <v>3.4472059999999999E-2</v>
      </c>
      <c r="S1785">
        <v>-3.07605</v>
      </c>
      <c r="T1785">
        <v>-3.2727119999999998E-2</v>
      </c>
      <c r="U1785">
        <v>-0.149871799999999</v>
      </c>
      <c r="V1785">
        <v>4.3449920000000003E-2</v>
      </c>
      <c r="W1785">
        <v>0.2152599</v>
      </c>
      <c r="X1785">
        <v>0.97558979999999995</v>
      </c>
      <c r="Y1785">
        <v>-3.9601659999999997E-2</v>
      </c>
      <c r="Z1785">
        <v>-5.4790209999999999E-4</v>
      </c>
      <c r="AA1785">
        <v>0.99921539999999998</v>
      </c>
      <c r="AB1785">
        <v>50</v>
      </c>
      <c r="AC1785">
        <v>-97.542199999999895</v>
      </c>
      <c r="AD1785">
        <v>-1.04051363</v>
      </c>
      <c r="AE1785">
        <v>-4.7626999999999899</v>
      </c>
      <c r="AF1785">
        <v>-3.8777259153838801</v>
      </c>
      <c r="AG1785">
        <v>-1.04051363</v>
      </c>
      <c r="AH1785">
        <v>97.570294481916207</v>
      </c>
      <c r="AI1785">
        <v>90.610511206795394</v>
      </c>
      <c r="AJ1785">
        <v>92.275902361286697</v>
      </c>
      <c r="AK1785">
        <v>97.652863717235206</v>
      </c>
      <c r="AL1785">
        <v>77.569225615621605</v>
      </c>
      <c r="AM1785">
        <v>87.449898535975393</v>
      </c>
      <c r="AN1785">
        <v>1.00000008898002</v>
      </c>
    </row>
    <row r="1786" spans="1:40" x14ac:dyDescent="0.25">
      <c r="A1786" t="str">
        <f>"20190303171013335"</f>
        <v>20190303171013335</v>
      </c>
      <c r="B1786" t="str">
        <f>"1551604213322042"</f>
        <v>1551604213322042</v>
      </c>
      <c r="C1786" t="s">
        <v>40</v>
      </c>
      <c r="D1786">
        <v>5.0110570000000001</v>
      </c>
      <c r="E1786">
        <v>0.47276639999999998</v>
      </c>
      <c r="F1786" t="s">
        <v>53</v>
      </c>
      <c r="G1786">
        <v>-450.31490000000002</v>
      </c>
      <c r="H1786">
        <v>8.0001610000000001E-2</v>
      </c>
      <c r="I1786">
        <v>278.94630000000001</v>
      </c>
      <c r="J1786">
        <v>-352.3057</v>
      </c>
      <c r="K1786">
        <v>1.120509</v>
      </c>
      <c r="L1786">
        <v>283.81270000000001</v>
      </c>
      <c r="M1786">
        <v>-0.99984709999999999</v>
      </c>
      <c r="N1786">
        <v>-1.501956E-2</v>
      </c>
      <c r="O1786">
        <v>-8.9733839999999992E-3</v>
      </c>
      <c r="P1786">
        <v>-0.97900609999999999</v>
      </c>
      <c r="Q1786">
        <v>0.2008838</v>
      </c>
      <c r="R1786">
        <v>3.4540260000000003E-2</v>
      </c>
      <c r="S1786">
        <v>-3.0761720000000001</v>
      </c>
      <c r="T1786">
        <v>-3.2562849999999997E-2</v>
      </c>
      <c r="U1786">
        <v>-0.15237429999999999</v>
      </c>
      <c r="V1786">
        <v>4.3431600000000001E-2</v>
      </c>
      <c r="W1786">
        <v>0.21553829999999999</v>
      </c>
      <c r="X1786">
        <v>0.97552910000000004</v>
      </c>
      <c r="Y1786">
        <v>-4.0502280000000002E-2</v>
      </c>
      <c r="Z1786">
        <v>-5.5840950000000001E-4</v>
      </c>
      <c r="AA1786">
        <v>0.99917929999999999</v>
      </c>
      <c r="AB1786">
        <v>50</v>
      </c>
      <c r="AC1786">
        <v>-98.009200000000007</v>
      </c>
      <c r="AD1786">
        <v>-1.0405073899999999</v>
      </c>
      <c r="AE1786">
        <v>-4.8663999999999898</v>
      </c>
      <c r="AF1786">
        <v>-3.9861825981229502</v>
      </c>
      <c r="AG1786">
        <v>-1.0405073899999999</v>
      </c>
      <c r="AH1786">
        <v>98.037903566710199</v>
      </c>
      <c r="AI1786">
        <v>90.607573487652303</v>
      </c>
      <c r="AJ1786">
        <v>92.328341350104196</v>
      </c>
      <c r="AK1786">
        <v>98.124425313424297</v>
      </c>
      <c r="AL1786">
        <v>77.552890464342298</v>
      </c>
      <c r="AM1786">
        <v>87.450813931083999</v>
      </c>
      <c r="AN1786">
        <v>1.0000000437961201</v>
      </c>
    </row>
    <row r="1787" spans="1:40" x14ac:dyDescent="0.25">
      <c r="A1787" t="str">
        <f>"20190303171013352"</f>
        <v>20190303171013352</v>
      </c>
      <c r="B1787" t="str">
        <f>"1551604213342538"</f>
        <v>1551604213342538</v>
      </c>
      <c r="C1787" t="s">
        <v>40</v>
      </c>
      <c r="D1787">
        <v>5.0432050000000004</v>
      </c>
      <c r="E1787">
        <v>0.47219159999999999</v>
      </c>
      <c r="F1787" t="s">
        <v>53</v>
      </c>
      <c r="G1787">
        <v>-454.1207</v>
      </c>
      <c r="H1787">
        <v>8.0000509999999997E-2</v>
      </c>
      <c r="I1787">
        <v>278.68770000000001</v>
      </c>
      <c r="J1787">
        <v>-352.67099999999999</v>
      </c>
      <c r="K1787">
        <v>1.120495</v>
      </c>
      <c r="L1787">
        <v>283.80950000000001</v>
      </c>
      <c r="M1787">
        <v>-0.99984810000000002</v>
      </c>
      <c r="N1787">
        <v>-1.501776E-2</v>
      </c>
      <c r="O1787">
        <v>-8.8446749999999998E-3</v>
      </c>
      <c r="P1787">
        <v>-0.97903669999999998</v>
      </c>
      <c r="Q1787">
        <v>0.2006733</v>
      </c>
      <c r="R1787">
        <v>3.4892779999999998E-2</v>
      </c>
      <c r="S1787">
        <v>-3.0762330000000002</v>
      </c>
      <c r="T1787">
        <v>-3.143787E-2</v>
      </c>
      <c r="U1787">
        <v>-0.15484619999999999</v>
      </c>
      <c r="V1787">
        <v>4.3664139999999997E-2</v>
      </c>
      <c r="W1787">
        <v>0.2153255</v>
      </c>
      <c r="X1787">
        <v>0.97556569999999998</v>
      </c>
      <c r="Y1787">
        <v>-4.1430969999999998E-2</v>
      </c>
      <c r="Z1787">
        <v>-5.6533660000000004E-4</v>
      </c>
      <c r="AA1787">
        <v>0.99914119999999995</v>
      </c>
      <c r="AB1787">
        <v>50</v>
      </c>
      <c r="AC1787">
        <v>-101.44970000000001</v>
      </c>
      <c r="AD1787">
        <v>-1.0404944899999999</v>
      </c>
      <c r="AE1787">
        <v>-5.1218000000000004</v>
      </c>
      <c r="AF1787">
        <v>-4.22376561040286</v>
      </c>
      <c r="AG1787">
        <v>-1.0404944899999999</v>
      </c>
      <c r="AH1787">
        <v>101.480389004785</v>
      </c>
      <c r="AI1787">
        <v>90.586933979222195</v>
      </c>
      <c r="AJ1787">
        <v>92.383360425422694</v>
      </c>
      <c r="AK1787">
        <v>101.573580114506</v>
      </c>
      <c r="AL1787">
        <v>77.565376029770405</v>
      </c>
      <c r="AM1787">
        <v>87.437279335111796</v>
      </c>
      <c r="AN1787">
        <v>1.00000003154433</v>
      </c>
    </row>
    <row r="1788" spans="1:40" x14ac:dyDescent="0.25">
      <c r="A1788" t="str">
        <f>"20190303171013364"</f>
        <v>20190303171013364</v>
      </c>
      <c r="B1788" t="str">
        <f>"1551604213352298"</f>
        <v>1551604213352298</v>
      </c>
      <c r="C1788" t="s">
        <v>40</v>
      </c>
      <c r="D1788">
        <v>5.0345329999999997</v>
      </c>
      <c r="E1788">
        <v>0.47190690000000002</v>
      </c>
      <c r="F1788" t="s">
        <v>53</v>
      </c>
      <c r="G1788">
        <v>-454.10980000000001</v>
      </c>
      <c r="H1788">
        <v>8.0000520000000006E-2</v>
      </c>
      <c r="I1788">
        <v>278.56380000000001</v>
      </c>
      <c r="J1788">
        <v>-352.94729999999998</v>
      </c>
      <c r="K1788">
        <v>1.120485</v>
      </c>
      <c r="L1788">
        <v>283.80709999999999</v>
      </c>
      <c r="M1788">
        <v>-0.99984910000000005</v>
      </c>
      <c r="N1788">
        <v>-1.5016389999999999E-2</v>
      </c>
      <c r="O1788">
        <v>-8.7398359999999904E-3</v>
      </c>
      <c r="P1788">
        <v>-0.97903689999999999</v>
      </c>
      <c r="Q1788">
        <v>0.2006127</v>
      </c>
      <c r="R1788">
        <v>3.5233309999999997E-2</v>
      </c>
      <c r="S1788">
        <v>-3.076355</v>
      </c>
      <c r="T1788">
        <v>-3.155529E-2</v>
      </c>
      <c r="U1788">
        <v>-0.15908810000000001</v>
      </c>
      <c r="V1788">
        <v>4.3907050000000003E-2</v>
      </c>
      <c r="W1788">
        <v>0.2152626</v>
      </c>
      <c r="X1788">
        <v>0.97556869999999996</v>
      </c>
      <c r="Y1788">
        <v>-4.2907599999999997E-2</v>
      </c>
      <c r="Z1788">
        <v>-5.8391080000000004E-4</v>
      </c>
      <c r="AA1788">
        <v>0.99907889999999999</v>
      </c>
      <c r="AB1788">
        <v>50</v>
      </c>
      <c r="AC1788">
        <v>-101.16249999999999</v>
      </c>
      <c r="AD1788">
        <v>-1.0404844799999999</v>
      </c>
      <c r="AE1788">
        <v>-5.2432999999999703</v>
      </c>
      <c r="AF1788">
        <v>-4.3583965549087997</v>
      </c>
      <c r="AG1788">
        <v>-1.0404844799999999</v>
      </c>
      <c r="AH1788">
        <v>101.193789865349</v>
      </c>
      <c r="AI1788">
        <v>90.588554473934394</v>
      </c>
      <c r="AJ1788">
        <v>92.466193731366999</v>
      </c>
      <c r="AK1788">
        <v>101.292948104967</v>
      </c>
      <c r="AL1788">
        <v>77.569066738884601</v>
      </c>
      <c r="AM1788">
        <v>87.423049624523799</v>
      </c>
      <c r="AN1788">
        <v>1.00000005220907</v>
      </c>
    </row>
    <row r="1789" spans="1:40" x14ac:dyDescent="0.25">
      <c r="A1789" t="str">
        <f>"20190303171013375"</f>
        <v>20190303171013375</v>
      </c>
      <c r="B1789" t="str">
        <f>"1551604213362058"</f>
        <v>1551604213362058</v>
      </c>
      <c r="C1789" t="s">
        <v>40</v>
      </c>
      <c r="D1789">
        <v>5.0379829999999997</v>
      </c>
      <c r="E1789">
        <v>0.47163939999999999</v>
      </c>
      <c r="F1789" t="s">
        <v>53</v>
      </c>
      <c r="G1789">
        <v>-453.80579999999998</v>
      </c>
      <c r="H1789">
        <v>8.0000619999999995E-2</v>
      </c>
      <c r="I1789">
        <v>278.55860000000001</v>
      </c>
      <c r="J1789">
        <v>-353.20229999999998</v>
      </c>
      <c r="K1789">
        <v>1.1204829999999999</v>
      </c>
      <c r="L1789">
        <v>283.80500000000001</v>
      </c>
      <c r="M1789">
        <v>-0.99984989999999996</v>
      </c>
      <c r="N1789">
        <v>-1.501512E-2</v>
      </c>
      <c r="O1789">
        <v>-8.6396489999999992E-3</v>
      </c>
      <c r="P1789">
        <v>-0.97910090000000005</v>
      </c>
      <c r="Q1789">
        <v>0.2002497</v>
      </c>
      <c r="R1789">
        <v>3.5516010000000001E-2</v>
      </c>
      <c r="S1789">
        <v>-3.0764770000000001</v>
      </c>
      <c r="T1789">
        <v>-3.1737799999999997E-2</v>
      </c>
      <c r="U1789">
        <v>-0.16009519999999999</v>
      </c>
      <c r="V1789">
        <v>4.4096860000000002E-2</v>
      </c>
      <c r="W1789">
        <v>0.21489800000000001</v>
      </c>
      <c r="X1789">
        <v>0.97564050000000002</v>
      </c>
      <c r="Y1789">
        <v>-4.3331719999999997E-2</v>
      </c>
      <c r="Z1789">
        <v>-5.8952349999999995E-4</v>
      </c>
      <c r="AA1789">
        <v>0.99906059999999997</v>
      </c>
      <c r="AB1789">
        <v>50</v>
      </c>
      <c r="AC1789">
        <v>-100.6035</v>
      </c>
      <c r="AD1789">
        <v>-1.04048237999999</v>
      </c>
      <c r="AE1789">
        <v>-5.2463999999999897</v>
      </c>
      <c r="AF1789">
        <v>-4.37646032768866</v>
      </c>
      <c r="AG1789">
        <v>-1.04048237999999</v>
      </c>
      <c r="AH1789">
        <v>100.63434135252101</v>
      </c>
      <c r="AI1789">
        <v>90.591814242129502</v>
      </c>
      <c r="AJ1789">
        <v>92.490151983755098</v>
      </c>
      <c r="AK1789">
        <v>100.734833439276</v>
      </c>
      <c r="AL1789">
        <v>77.590457173109598</v>
      </c>
      <c r="AM1789">
        <v>87.412114797535693</v>
      </c>
      <c r="AN1789">
        <v>1.00000003435305</v>
      </c>
    </row>
    <row r="1790" spans="1:40" x14ac:dyDescent="0.25">
      <c r="A1790" t="str">
        <f>"20190303171013387"</f>
        <v>20190303171013387</v>
      </c>
      <c r="B1790" t="str">
        <f>"1551604213382554"</f>
        <v>1551604213382554</v>
      </c>
      <c r="C1790" t="s">
        <v>40</v>
      </c>
      <c r="D1790">
        <v>5.0615050000000004</v>
      </c>
      <c r="E1790">
        <v>0.47133789999999998</v>
      </c>
      <c r="F1790" t="s">
        <v>53</v>
      </c>
      <c r="G1790">
        <v>-450.39890000000003</v>
      </c>
      <c r="H1790">
        <v>8.0001610000000001E-2</v>
      </c>
      <c r="I1790">
        <v>278.7097</v>
      </c>
      <c r="J1790">
        <v>-353.45679999999999</v>
      </c>
      <c r="K1790">
        <v>1.1204730000000001</v>
      </c>
      <c r="L1790">
        <v>283.80290000000002</v>
      </c>
      <c r="M1790">
        <v>-0.99985089999999999</v>
      </c>
      <c r="N1790">
        <v>-1.5013800000000001E-2</v>
      </c>
      <c r="O1790">
        <v>-8.5297800000000007E-3</v>
      </c>
      <c r="P1790">
        <v>-0.97918340000000004</v>
      </c>
      <c r="Q1790">
        <v>0.19983970000000001</v>
      </c>
      <c r="R1790">
        <v>3.5555009999999998E-2</v>
      </c>
      <c r="S1790">
        <v>-3.07666</v>
      </c>
      <c r="T1790">
        <v>-3.293538E-2</v>
      </c>
      <c r="U1790">
        <v>-0.1612854</v>
      </c>
      <c r="V1790">
        <v>4.4034619999999997E-2</v>
      </c>
      <c r="W1790">
        <v>0.21448719999999999</v>
      </c>
      <c r="X1790">
        <v>0.97573359999999998</v>
      </c>
      <c r="Y1790">
        <v>-4.3823460000000002E-2</v>
      </c>
      <c r="Z1790">
        <v>-6.0039489999999995E-4</v>
      </c>
      <c r="AA1790">
        <v>0.99903909999999996</v>
      </c>
      <c r="AB1790">
        <v>50</v>
      </c>
      <c r="AC1790">
        <v>-96.942099999999996</v>
      </c>
      <c r="AD1790">
        <v>-1.04047139</v>
      </c>
      <c r="AE1790">
        <v>-5.0932000000000199</v>
      </c>
      <c r="AF1790">
        <v>-4.2655366524906597</v>
      </c>
      <c r="AG1790">
        <v>-1.04047139</v>
      </c>
      <c r="AH1790">
        <v>96.970881440397704</v>
      </c>
      <c r="AI1790">
        <v>90.614150826290697</v>
      </c>
      <c r="AJ1790">
        <v>92.518692171908498</v>
      </c>
      <c r="AK1790">
        <v>97.0702283451255</v>
      </c>
      <c r="AL1790">
        <v>77.614554946168596</v>
      </c>
      <c r="AM1790">
        <v>87.416008724554899</v>
      </c>
      <c r="AN1790">
        <v>0.99999993244566998</v>
      </c>
    </row>
    <row r="1791" spans="1:40" x14ac:dyDescent="0.25">
      <c r="A1791" t="str">
        <f>"20190303171013399"</f>
        <v>20190303171013399</v>
      </c>
      <c r="B1791" t="str">
        <f>"1551604213392314"</f>
        <v>1551604213392314</v>
      </c>
      <c r="C1791" t="s">
        <v>40</v>
      </c>
      <c r="D1791">
        <v>5.0454150000000002</v>
      </c>
      <c r="E1791">
        <v>0.47123219999999999</v>
      </c>
      <c r="F1791" t="s">
        <v>53</v>
      </c>
      <c r="G1791">
        <v>-446.27480000000003</v>
      </c>
      <c r="H1791">
        <v>8.0001340000000004E-2</v>
      </c>
      <c r="I1791">
        <v>278.8664</v>
      </c>
      <c r="J1791">
        <v>-353.72149999999999</v>
      </c>
      <c r="K1791">
        <v>1.1204620000000001</v>
      </c>
      <c r="L1791">
        <v>283.80070000000001</v>
      </c>
      <c r="M1791">
        <v>-0.99985210000000002</v>
      </c>
      <c r="N1791">
        <v>-1.501241E-2</v>
      </c>
      <c r="O1791">
        <v>-8.4120299999999992E-3</v>
      </c>
      <c r="P1791">
        <v>-0.97923490000000002</v>
      </c>
      <c r="Q1791">
        <v>0.19952810000000001</v>
      </c>
      <c r="R1791">
        <v>3.5886699999999903E-2</v>
      </c>
      <c r="S1791">
        <v>-3.0767519999999999</v>
      </c>
      <c r="T1791">
        <v>-3.448975E-2</v>
      </c>
      <c r="U1791">
        <v>-0.16363529999999901</v>
      </c>
      <c r="V1791">
        <v>4.425755E-2</v>
      </c>
      <c r="W1791">
        <v>0.2141738</v>
      </c>
      <c r="X1791">
        <v>0.9757924</v>
      </c>
      <c r="Y1791">
        <v>-4.4699870000000003E-2</v>
      </c>
      <c r="Z1791">
        <v>-6.1815099999999897E-4</v>
      </c>
      <c r="AA1791">
        <v>0.99900029999999995</v>
      </c>
      <c r="AB1791">
        <v>50</v>
      </c>
      <c r="AC1791">
        <v>-92.553299999999993</v>
      </c>
      <c r="AD1791">
        <v>-1.0404606599999999</v>
      </c>
      <c r="AE1791">
        <v>-4.9343000000000004</v>
      </c>
      <c r="AF1791">
        <v>-4.15495302960852</v>
      </c>
      <c r="AG1791">
        <v>-1.0404606599999999</v>
      </c>
      <c r="AH1791">
        <v>92.579869923923894</v>
      </c>
      <c r="AI1791">
        <v>90.643245192437007</v>
      </c>
      <c r="AJ1791">
        <v>92.569690718883294</v>
      </c>
      <c r="AK1791">
        <v>92.678900016098197</v>
      </c>
      <c r="AL1791">
        <v>77.632939227822604</v>
      </c>
      <c r="AM1791">
        <v>87.403101137460894</v>
      </c>
      <c r="AN1791">
        <v>0.999999977618101</v>
      </c>
    </row>
    <row r="1792" spans="1:40" x14ac:dyDescent="0.25">
      <c r="A1792" t="str">
        <f>"20190303171013409"</f>
        <v>20190303171013409</v>
      </c>
      <c r="B1792" t="str">
        <f>"1551604213402074"</f>
        <v>1551604213402074</v>
      </c>
      <c r="C1792" t="s">
        <v>40</v>
      </c>
      <c r="D1792">
        <v>5.0436079999999999</v>
      </c>
      <c r="E1792">
        <v>0.4711378</v>
      </c>
      <c r="F1792" t="s">
        <v>53</v>
      </c>
      <c r="G1792">
        <v>-443.4237</v>
      </c>
      <c r="H1792">
        <v>8.0000699999999994E-2</v>
      </c>
      <c r="I1792">
        <v>279.03899999999999</v>
      </c>
      <c r="J1792">
        <v>-353.98950000000002</v>
      </c>
      <c r="K1792">
        <v>1.1204510000000001</v>
      </c>
      <c r="L1792">
        <v>283.79849999999999</v>
      </c>
      <c r="M1792">
        <v>-0.99985310000000005</v>
      </c>
      <c r="N1792">
        <v>-1.501097E-2</v>
      </c>
      <c r="O1792">
        <v>-8.2831750000000003E-3</v>
      </c>
      <c r="P1792">
        <v>-0.97920940000000001</v>
      </c>
      <c r="Q1792">
        <v>0.19954330000000001</v>
      </c>
      <c r="R1792">
        <v>3.649587E-2</v>
      </c>
      <c r="S1792">
        <v>-3.0768740000000001</v>
      </c>
      <c r="T1792">
        <v>-3.5688879999999999E-2</v>
      </c>
      <c r="U1792">
        <v>-0.16333010000000001</v>
      </c>
      <c r="V1792">
        <v>4.474707E-2</v>
      </c>
      <c r="W1792">
        <v>0.2141854</v>
      </c>
      <c r="X1792">
        <v>0.97576759999999996</v>
      </c>
      <c r="Y1792">
        <v>-4.4727360000000001E-2</v>
      </c>
      <c r="Z1792">
        <v>-6.2345510000000001E-4</v>
      </c>
      <c r="AA1792">
        <v>0.99899910000000003</v>
      </c>
      <c r="AB1792">
        <v>50</v>
      </c>
      <c r="AC1792">
        <v>-89.434199999999905</v>
      </c>
      <c r="AD1792">
        <v>-1.0404503000000001</v>
      </c>
      <c r="AE1792">
        <v>-4.7595000000000001</v>
      </c>
      <c r="AF1792">
        <v>-4.0179118778126997</v>
      </c>
      <c r="AG1792">
        <v>-1.0404503000000001</v>
      </c>
      <c r="AH1792">
        <v>89.458486006635297</v>
      </c>
      <c r="AI1792">
        <v>90.665679663607705</v>
      </c>
      <c r="AJ1792">
        <v>92.571637353699998</v>
      </c>
      <c r="AK1792">
        <v>89.554714400102895</v>
      </c>
      <c r="AL1792">
        <v>77.632259685438797</v>
      </c>
      <c r="AM1792">
        <v>87.374350925254106</v>
      </c>
      <c r="AN1792">
        <v>1.00000004752825</v>
      </c>
    </row>
    <row r="1793" spans="1:40" x14ac:dyDescent="0.25">
      <c r="A1793" t="str">
        <f>"20190303171013423"</f>
        <v>20190303171013423</v>
      </c>
      <c r="B1793" t="str">
        <f>"1551604213412810"</f>
        <v>1551604213412810</v>
      </c>
      <c r="C1793" t="s">
        <v>40</v>
      </c>
      <c r="D1793">
        <v>5.0531680000000003</v>
      </c>
      <c r="E1793">
        <v>0.47104829999999998</v>
      </c>
      <c r="F1793" t="s">
        <v>53</v>
      </c>
      <c r="G1793">
        <v>-442.95389999999998</v>
      </c>
      <c r="H1793">
        <v>8.0000829999999995E-2</v>
      </c>
      <c r="I1793">
        <v>279.11329999999998</v>
      </c>
      <c r="J1793">
        <v>-354.27499999999998</v>
      </c>
      <c r="K1793">
        <v>1.120439</v>
      </c>
      <c r="L1793">
        <v>283.7962</v>
      </c>
      <c r="M1793">
        <v>-0.99985420000000003</v>
      </c>
      <c r="N1793">
        <v>-1.5009410000000001E-2</v>
      </c>
      <c r="O1793">
        <v>-8.1391599999999995E-3</v>
      </c>
      <c r="P1793">
        <v>-0.97913919999999999</v>
      </c>
      <c r="Q1793">
        <v>0.19976759999999999</v>
      </c>
      <c r="R1793">
        <v>3.7137660000000003E-2</v>
      </c>
      <c r="S1793">
        <v>-3.077026</v>
      </c>
      <c r="T1793">
        <v>-3.5986190000000001E-2</v>
      </c>
      <c r="U1793">
        <v>-0.16204830000000001</v>
      </c>
      <c r="V1793">
        <v>4.5254570000000001E-2</v>
      </c>
      <c r="W1793">
        <v>0.21440529999999999</v>
      </c>
      <c r="X1793">
        <v>0.9756958</v>
      </c>
      <c r="Y1793">
        <v>-4.4453630000000001E-2</v>
      </c>
      <c r="Z1793">
        <v>-6.2062529999999997E-4</v>
      </c>
      <c r="AA1793">
        <v>0.99901130000000005</v>
      </c>
      <c r="AB1793">
        <v>50</v>
      </c>
      <c r="AC1793">
        <v>-88.678899999999999</v>
      </c>
      <c r="AD1793">
        <v>-1.0404381700000001</v>
      </c>
      <c r="AE1793">
        <v>-4.6829000000000098</v>
      </c>
      <c r="AF1793">
        <v>-3.9603481163883298</v>
      </c>
      <c r="AG1793">
        <v>-1.0404381700000001</v>
      </c>
      <c r="AH1793">
        <v>88.701904844036207</v>
      </c>
      <c r="AI1793">
        <v>90.671357197761907</v>
      </c>
      <c r="AJ1793">
        <v>92.556434788943207</v>
      </c>
      <c r="AK1793">
        <v>88.796366996341902</v>
      </c>
      <c r="AL1793">
        <v>77.619359478004498</v>
      </c>
      <c r="AM1793">
        <v>87.3444193194251</v>
      </c>
      <c r="AN1793">
        <v>0.999999951455806</v>
      </c>
    </row>
    <row r="1794" spans="1:40" x14ac:dyDescent="0.25">
      <c r="A1794" t="str">
        <f>"20190303171013442"</f>
        <v>20190303171013442</v>
      </c>
      <c r="B1794" t="str">
        <f>"1551604213432329"</f>
        <v>1551604213432329</v>
      </c>
      <c r="C1794" t="s">
        <v>40</v>
      </c>
      <c r="D1794">
        <v>5.0265259999999996</v>
      </c>
      <c r="E1794">
        <v>0.47085300000000002</v>
      </c>
      <c r="F1794" t="s">
        <v>53</v>
      </c>
      <c r="G1794">
        <v>-444.35739999999998</v>
      </c>
      <c r="H1794">
        <v>8.0000420000000003E-2</v>
      </c>
      <c r="I1794">
        <v>279.0856</v>
      </c>
      <c r="J1794">
        <v>-354.6832</v>
      </c>
      <c r="K1794">
        <v>1.12042</v>
      </c>
      <c r="L1794">
        <v>283.79300000000001</v>
      </c>
      <c r="M1794">
        <v>-0.99985590000000002</v>
      </c>
      <c r="N1794">
        <v>-1.500715E-2</v>
      </c>
      <c r="O1794">
        <v>-7.9205259999999902E-3</v>
      </c>
      <c r="P1794">
        <v>-0.97898850000000004</v>
      </c>
      <c r="Q1794">
        <v>0.2003094</v>
      </c>
      <c r="R1794">
        <v>3.8179299999999999E-2</v>
      </c>
      <c r="S1794">
        <v>-3.0773009999999998</v>
      </c>
      <c r="T1794">
        <v>-3.5542369999999997E-2</v>
      </c>
      <c r="U1794">
        <v>-0.16091920000000001</v>
      </c>
      <c r="V1794">
        <v>4.6092050000000002E-2</v>
      </c>
      <c r="W1794">
        <v>0.21493989999999999</v>
      </c>
      <c r="X1794">
        <v>0.97553900000000004</v>
      </c>
      <c r="Y1794">
        <v>-4.4301979999999998E-2</v>
      </c>
      <c r="Z1794">
        <v>-6.1574030000000003E-4</v>
      </c>
      <c r="AA1794">
        <v>0.99901799999999996</v>
      </c>
      <c r="AB1794">
        <v>50</v>
      </c>
      <c r="AC1794">
        <v>-89.6741999999999</v>
      </c>
      <c r="AD1794">
        <v>-1.04041958</v>
      </c>
      <c r="AE1794">
        <v>-4.7073999999999998</v>
      </c>
      <c r="AF1794">
        <v>-3.99636891793403</v>
      </c>
      <c r="AG1794">
        <v>-1.04041958</v>
      </c>
      <c r="AH1794">
        <v>89.696634752521803</v>
      </c>
      <c r="AI1794">
        <v>90.663903462964498</v>
      </c>
      <c r="AJ1794">
        <v>92.551085017173094</v>
      </c>
      <c r="AK1794">
        <v>89.791646178015796</v>
      </c>
      <c r="AL1794">
        <v>77.587998467463194</v>
      </c>
      <c r="AM1794">
        <v>87.294913440632499</v>
      </c>
      <c r="AN1794">
        <v>0.99999998910310595</v>
      </c>
    </row>
    <row r="1795" spans="1:40" x14ac:dyDescent="0.25">
      <c r="A1795" t="str">
        <f>"20190303171013459"</f>
        <v>20190303171013459</v>
      </c>
      <c r="B1795" t="str">
        <f>"1551604213452826"</f>
        <v>1551604213452826</v>
      </c>
      <c r="C1795" t="s">
        <v>40</v>
      </c>
      <c r="D1795">
        <v>5.0263460000000002</v>
      </c>
      <c r="E1795">
        <v>0.47066210000000003</v>
      </c>
      <c r="F1795" t="s">
        <v>53</v>
      </c>
      <c r="G1795">
        <v>-448.06560000000002</v>
      </c>
      <c r="H1795">
        <v>8.0000810000000006E-2</v>
      </c>
      <c r="I1795">
        <v>278.96030000000002</v>
      </c>
      <c r="J1795">
        <v>-355.06760000000003</v>
      </c>
      <c r="K1795">
        <v>1.120403</v>
      </c>
      <c r="L1795">
        <v>283.7901</v>
      </c>
      <c r="M1795">
        <v>-0.99985780000000002</v>
      </c>
      <c r="N1795">
        <v>-1.500495E-2</v>
      </c>
      <c r="O1795">
        <v>-7.7008299999999997E-3</v>
      </c>
      <c r="P1795">
        <v>-0.97891360000000005</v>
      </c>
      <c r="Q1795">
        <v>0.20053789999999999</v>
      </c>
      <c r="R1795">
        <v>3.8898170000000003E-2</v>
      </c>
      <c r="S1795">
        <v>-3.0776059999999998</v>
      </c>
      <c r="T1795">
        <v>-3.4289119999999999E-2</v>
      </c>
      <c r="U1795">
        <v>-0.1592712</v>
      </c>
      <c r="V1795">
        <v>4.6606050000000003E-2</v>
      </c>
      <c r="W1795">
        <v>0.21516250000000001</v>
      </c>
      <c r="X1795">
        <v>0.97546549999999999</v>
      </c>
      <c r="Y1795">
        <v>-4.3983220000000003E-2</v>
      </c>
      <c r="Z1795">
        <v>-6.0484809999999999E-4</v>
      </c>
      <c r="AA1795">
        <v>0.99903209999999998</v>
      </c>
      <c r="AB1795">
        <v>50</v>
      </c>
      <c r="AC1795">
        <v>-92.998000000000005</v>
      </c>
      <c r="AD1795">
        <v>-1.04040219</v>
      </c>
      <c r="AE1795">
        <v>-4.8297999999999703</v>
      </c>
      <c r="AF1795">
        <v>-4.11290098376071</v>
      </c>
      <c r="AG1795">
        <v>-1.04040219</v>
      </c>
      <c r="AH1795">
        <v>93.020828578157193</v>
      </c>
      <c r="AI1795">
        <v>90.640179134963802</v>
      </c>
      <c r="AJ1795">
        <v>92.531674773275</v>
      </c>
      <c r="AK1795">
        <v>93.117522199562799</v>
      </c>
      <c r="AL1795">
        <v>77.574938797621996</v>
      </c>
      <c r="AM1795">
        <v>87.264587180790599</v>
      </c>
      <c r="AN1795">
        <v>0.99999998349655095</v>
      </c>
    </row>
    <row r="1796" spans="1:40" x14ac:dyDescent="0.25">
      <c r="A1796" t="str">
        <f>"20190303171013474"</f>
        <v>20190303171013474</v>
      </c>
      <c r="B1796" t="str">
        <f>"1551604213462587"</f>
        <v>1551604213462587</v>
      </c>
      <c r="C1796" t="s">
        <v>40</v>
      </c>
      <c r="D1796">
        <v>5.0307639999999996</v>
      </c>
      <c r="E1796">
        <v>0.47056219999999999</v>
      </c>
      <c r="F1796" t="s">
        <v>53</v>
      </c>
      <c r="G1796">
        <v>-449.01420000000002</v>
      </c>
      <c r="H1796">
        <v>8.000053E-2</v>
      </c>
      <c r="I1796">
        <v>278.9502</v>
      </c>
      <c r="J1796">
        <v>-355.4205</v>
      </c>
      <c r="K1796">
        <v>1.1203829999999999</v>
      </c>
      <c r="L1796">
        <v>283.78750000000002</v>
      </c>
      <c r="M1796">
        <v>-0.99985959999999996</v>
      </c>
      <c r="N1796">
        <v>-1.50029E-2</v>
      </c>
      <c r="O1796">
        <v>-7.4867719999999896E-3</v>
      </c>
      <c r="P1796">
        <v>-0.97892670000000004</v>
      </c>
      <c r="Q1796">
        <v>0.20044439999999999</v>
      </c>
      <c r="R1796">
        <v>3.9049710000000001E-2</v>
      </c>
      <c r="S1796">
        <v>-3.0779719999999999</v>
      </c>
      <c r="T1796">
        <v>-3.4086699999999998E-2</v>
      </c>
      <c r="U1796">
        <v>-0.1585693</v>
      </c>
      <c r="V1796">
        <v>4.6557550000000003E-2</v>
      </c>
      <c r="W1796">
        <v>0.21506520000000001</v>
      </c>
      <c r="X1796">
        <v>0.9754893</v>
      </c>
      <c r="Y1796">
        <v>-4.3963809999999999E-2</v>
      </c>
      <c r="Z1796">
        <v>-6.0273409999999999E-4</v>
      </c>
      <c r="AA1796">
        <v>0.9990329</v>
      </c>
      <c r="AB1796">
        <v>50</v>
      </c>
      <c r="AC1796">
        <v>-93.593699999999998</v>
      </c>
      <c r="AD1796">
        <v>-1.0403824699999999</v>
      </c>
      <c r="AE1796">
        <v>-4.8373000000000204</v>
      </c>
      <c r="AF1796">
        <v>-4.1358612738580103</v>
      </c>
      <c r="AG1796">
        <v>-1.0403824699999999</v>
      </c>
      <c r="AH1796">
        <v>93.615759417082998</v>
      </c>
      <c r="AI1796">
        <v>90.636100059896904</v>
      </c>
      <c r="AJ1796">
        <v>92.529631836479396</v>
      </c>
      <c r="AK1796">
        <v>93.712849467923206</v>
      </c>
      <c r="AL1796">
        <v>77.580647654611894</v>
      </c>
      <c r="AM1796">
        <v>87.267496005248702</v>
      </c>
      <c r="AN1796">
        <v>1.00000001006376</v>
      </c>
    </row>
    <row r="1797" spans="1:40" x14ac:dyDescent="0.25">
      <c r="A1797" t="str">
        <f>"20190303171013486"</f>
        <v>20190303171013486</v>
      </c>
      <c r="B1797" t="str">
        <f>"1551604213472346"</f>
        <v>1551604213472346</v>
      </c>
      <c r="C1797" t="s">
        <v>40</v>
      </c>
      <c r="D1797">
        <v>5.0625049999999998</v>
      </c>
      <c r="E1797">
        <v>0.47047529999999999</v>
      </c>
      <c r="F1797" t="s">
        <v>53</v>
      </c>
      <c r="G1797">
        <v>-447.79840000000002</v>
      </c>
      <c r="H1797">
        <v>8.0000879999999996E-2</v>
      </c>
      <c r="I1797">
        <v>279.02480000000003</v>
      </c>
      <c r="J1797">
        <v>-355.67899999999997</v>
      </c>
      <c r="K1797">
        <v>1.1203719999999999</v>
      </c>
      <c r="L1797">
        <v>283.78570000000002</v>
      </c>
      <c r="M1797">
        <v>-0.99986070000000005</v>
      </c>
      <c r="N1797">
        <v>-1.500138E-2</v>
      </c>
      <c r="O1797">
        <v>-7.3220389999999998E-3</v>
      </c>
      <c r="P1797">
        <v>-0.97894950000000003</v>
      </c>
      <c r="Q1797">
        <v>0.2002823</v>
      </c>
      <c r="R1797">
        <v>3.930724E-2</v>
      </c>
      <c r="S1797">
        <v>-3.0779719999999999</v>
      </c>
      <c r="T1797">
        <v>-3.466487E-2</v>
      </c>
      <c r="U1797">
        <v>-0.15869140000000001</v>
      </c>
      <c r="V1797">
        <v>4.6660779999999999E-2</v>
      </c>
      <c r="W1797">
        <v>0.21490029999999999</v>
      </c>
      <c r="X1797">
        <v>0.97552070000000002</v>
      </c>
      <c r="Y1797">
        <v>-4.4167749999999999E-2</v>
      </c>
      <c r="Z1797">
        <v>-6.0747269999999998E-4</v>
      </c>
      <c r="AA1797">
        <v>0.99902400000000002</v>
      </c>
      <c r="AB1797">
        <v>50</v>
      </c>
      <c r="AC1797">
        <v>-92.119399999999899</v>
      </c>
      <c r="AD1797">
        <v>-1.0403711200000001</v>
      </c>
      <c r="AE1797">
        <v>-4.7608999999999897</v>
      </c>
      <c r="AF1797">
        <v>-4.0856748929230404</v>
      </c>
      <c r="AG1797">
        <v>-1.0403711200000001</v>
      </c>
      <c r="AH1797">
        <v>92.140072469556898</v>
      </c>
      <c r="AI1797">
        <v>90.646275084948698</v>
      </c>
      <c r="AJ1797">
        <v>92.538946165947905</v>
      </c>
      <c r="AK1797">
        <v>92.236479042151103</v>
      </c>
      <c r="AL1797">
        <v>77.590321828983093</v>
      </c>
      <c r="AM1797">
        <v>87.261534572066594</v>
      </c>
      <c r="AN1797">
        <v>1.00000000172939</v>
      </c>
    </row>
    <row r="1798" spans="1:40" x14ac:dyDescent="0.25">
      <c r="A1798" t="str">
        <f>"20190303171013498"</f>
        <v>20190303171013498</v>
      </c>
      <c r="B1798" t="str">
        <f>"1551604213492843"</f>
        <v>1551604213492843</v>
      </c>
      <c r="C1798" t="s">
        <v>40</v>
      </c>
      <c r="D1798">
        <v>5.0454309999999998</v>
      </c>
      <c r="E1798">
        <v>0.4703</v>
      </c>
      <c r="F1798" t="s">
        <v>53</v>
      </c>
      <c r="G1798">
        <v>-446.34589999999997</v>
      </c>
      <c r="H1798">
        <v>8.0001310000000006E-2</v>
      </c>
      <c r="I1798">
        <v>279.11759999999998</v>
      </c>
      <c r="J1798">
        <v>-355.95839999999998</v>
      </c>
      <c r="K1798">
        <v>1.12036</v>
      </c>
      <c r="L1798">
        <v>283.78370000000001</v>
      </c>
      <c r="M1798">
        <v>-0.99986209999999998</v>
      </c>
      <c r="N1798">
        <v>-1.4999729999999999E-2</v>
      </c>
      <c r="O1798">
        <v>-7.1413179999999998E-3</v>
      </c>
      <c r="P1798">
        <v>-0.97897869999999998</v>
      </c>
      <c r="Q1798">
        <v>0.20013349999999999</v>
      </c>
      <c r="R1798">
        <v>3.9342620000000002E-2</v>
      </c>
      <c r="S1798">
        <v>-3.0780940000000001</v>
      </c>
      <c r="T1798">
        <v>-3.5320039999999997E-2</v>
      </c>
      <c r="U1798">
        <v>-0.158477799999999</v>
      </c>
      <c r="V1798">
        <v>4.6526579999999998E-2</v>
      </c>
      <c r="W1798">
        <v>0.21474940000000001</v>
      </c>
      <c r="X1798">
        <v>0.97556030000000005</v>
      </c>
      <c r="Y1798">
        <v>-4.4276919999999997E-2</v>
      </c>
      <c r="Z1798">
        <v>-6.1136589999999998E-4</v>
      </c>
      <c r="AA1798">
        <v>0.99901910000000005</v>
      </c>
      <c r="AB1798">
        <v>50</v>
      </c>
      <c r="AC1798">
        <v>-90.387500000000003</v>
      </c>
      <c r="AD1798">
        <v>-1.0403586899999999</v>
      </c>
      <c r="AE1798">
        <v>-4.6661000000000197</v>
      </c>
      <c r="AF1798">
        <v>-4.0198914112370403</v>
      </c>
      <c r="AG1798">
        <v>-1.0403586899999999</v>
      </c>
      <c r="AH1798">
        <v>90.406575286546797</v>
      </c>
      <c r="AI1798">
        <v>90.658654531790205</v>
      </c>
      <c r="AJ1798">
        <v>92.545956426771795</v>
      </c>
      <c r="AK1798">
        <v>90.501882456687298</v>
      </c>
      <c r="AL1798">
        <v>77.599173962310104</v>
      </c>
      <c r="AM1798">
        <v>87.269509345161296</v>
      </c>
      <c r="AN1798">
        <v>0.999999963191472</v>
      </c>
    </row>
    <row r="1799" spans="1:40" x14ac:dyDescent="0.25">
      <c r="A1799" t="str">
        <f>"20190303171013511"</f>
        <v>20190303171013511</v>
      </c>
      <c r="B1799" t="str">
        <f>"1551604213502601"</f>
        <v>1551604213502601</v>
      </c>
      <c r="C1799" t="s">
        <v>40</v>
      </c>
      <c r="D1799">
        <v>5.0890370000000003</v>
      </c>
      <c r="E1799">
        <v>0.47021289999999999</v>
      </c>
      <c r="F1799" t="s">
        <v>53</v>
      </c>
      <c r="G1799">
        <v>-444.03949999999998</v>
      </c>
      <c r="H1799">
        <v>8.0000520000000006E-2</v>
      </c>
      <c r="I1799">
        <v>279.20639999999997</v>
      </c>
      <c r="J1799">
        <v>-356.2559</v>
      </c>
      <c r="K1799">
        <v>1.1203449999999999</v>
      </c>
      <c r="L1799">
        <v>283.7817</v>
      </c>
      <c r="M1799">
        <v>-0.99986359999999996</v>
      </c>
      <c r="N1799">
        <v>-1.499794E-2</v>
      </c>
      <c r="O1799">
        <v>-6.9417580000000001E-3</v>
      </c>
      <c r="P1799">
        <v>-0.97889420000000005</v>
      </c>
      <c r="Q1799">
        <v>0.20047999999999999</v>
      </c>
      <c r="R1799">
        <v>3.9674349999999997E-2</v>
      </c>
      <c r="S1799">
        <v>-3.0783390000000002</v>
      </c>
      <c r="T1799">
        <v>-3.6359429999999998E-2</v>
      </c>
      <c r="U1799">
        <v>-0.15997310000000001</v>
      </c>
      <c r="V1799">
        <v>4.6669929999999998E-2</v>
      </c>
      <c r="W1799">
        <v>0.21509120000000001</v>
      </c>
      <c r="X1799">
        <v>0.97547819999999996</v>
      </c>
      <c r="Y1799">
        <v>-4.4955830000000002E-2</v>
      </c>
      <c r="Z1799">
        <v>-6.2482689999999997E-4</v>
      </c>
      <c r="AA1799">
        <v>0.99898880000000001</v>
      </c>
      <c r="AB1799">
        <v>50</v>
      </c>
      <c r="AC1799">
        <v>-87.783599999999893</v>
      </c>
      <c r="AD1799">
        <v>-1.0403444799999999</v>
      </c>
      <c r="AE1799">
        <v>-4.5753000000000199</v>
      </c>
      <c r="AF1799">
        <v>-3.9651933769154502</v>
      </c>
      <c r="AG1799">
        <v>-1.0403444799999999</v>
      </c>
      <c r="AH1799">
        <v>87.800950233920204</v>
      </c>
      <c r="AI1799">
        <v>90.678168906884096</v>
      </c>
      <c r="AJ1799">
        <v>92.585787291361399</v>
      </c>
      <c r="AK1799">
        <v>87.896597983839698</v>
      </c>
      <c r="AL1799">
        <v>77.579122298424906</v>
      </c>
      <c r="AM1799">
        <v>87.260879235066099</v>
      </c>
      <c r="AN1799">
        <v>1.0000000126794399</v>
      </c>
    </row>
    <row r="1800" spans="1:40" x14ac:dyDescent="0.25">
      <c r="A1800" t="str">
        <f>"20190303171013525"</f>
        <v>20190303171013525</v>
      </c>
      <c r="B1800" t="str">
        <f>"1551604213512362"</f>
        <v>1551604213512362</v>
      </c>
      <c r="C1800" t="s">
        <v>40</v>
      </c>
      <c r="D1800">
        <v>5.0691249999999997</v>
      </c>
      <c r="E1800">
        <v>0.47013769999999999</v>
      </c>
      <c r="F1800" t="s">
        <v>53</v>
      </c>
      <c r="G1800">
        <v>-446.50850000000003</v>
      </c>
      <c r="H1800">
        <v>8.0001260000000005E-2</v>
      </c>
      <c r="I1800">
        <v>279.10149999999999</v>
      </c>
      <c r="J1800">
        <v>-356.54750000000001</v>
      </c>
      <c r="K1800">
        <v>1.1203350000000001</v>
      </c>
      <c r="L1800">
        <v>283.77980000000002</v>
      </c>
      <c r="M1800">
        <v>-0.9998648</v>
      </c>
      <c r="N1800">
        <v>-1.499616E-2</v>
      </c>
      <c r="O1800">
        <v>-6.7413859999999898E-3</v>
      </c>
      <c r="P1800">
        <v>-0.97885149999999999</v>
      </c>
      <c r="Q1800">
        <v>0.20067209999999999</v>
      </c>
      <c r="R1800">
        <v>3.9761070000000003E-2</v>
      </c>
      <c r="S1800">
        <v>-3.07843</v>
      </c>
      <c r="T1800">
        <v>-3.548515E-2</v>
      </c>
      <c r="U1800">
        <v>-0.15963749999999999</v>
      </c>
      <c r="V1800">
        <v>4.6567320000000002E-2</v>
      </c>
      <c r="W1800">
        <v>0.21527940000000001</v>
      </c>
      <c r="X1800">
        <v>0.97544160000000002</v>
      </c>
      <c r="Y1800">
        <v>-4.5046080000000002E-2</v>
      </c>
      <c r="Z1800">
        <v>-6.2086059999999998E-4</v>
      </c>
      <c r="AA1800">
        <v>0.99898469999999995</v>
      </c>
      <c r="AB1800">
        <v>50</v>
      </c>
      <c r="AC1800">
        <v>-89.960999999999999</v>
      </c>
      <c r="AD1800">
        <v>-1.0403337399999999</v>
      </c>
      <c r="AE1800">
        <v>-4.6783000000000303</v>
      </c>
      <c r="AF1800">
        <v>-4.0711206518065</v>
      </c>
      <c r="AG1800">
        <v>-1.0403337399999999</v>
      </c>
      <c r="AH1800">
        <v>89.978496502846596</v>
      </c>
      <c r="AI1800">
        <v>90.661748846711106</v>
      </c>
      <c r="AJ1800">
        <v>92.590608465672105</v>
      </c>
      <c r="AK1800">
        <v>90.076557164253003</v>
      </c>
      <c r="AL1800">
        <v>77.568080718603198</v>
      </c>
      <c r="AM1800">
        <v>87.266790017283796</v>
      </c>
      <c r="AN1800">
        <v>1.00000002518345</v>
      </c>
    </row>
    <row r="1801" spans="1:40" x14ac:dyDescent="0.25">
      <c r="A1801" t="str">
        <f>"20190303171013537"</f>
        <v>20190303171013537</v>
      </c>
      <c r="B1801" t="str">
        <f>"1551604213532858"</f>
        <v>1551604213532858</v>
      </c>
      <c r="C1801" t="s">
        <v>40</v>
      </c>
      <c r="D1801">
        <v>5.0768050000000002</v>
      </c>
      <c r="E1801">
        <v>0.46996969999999999</v>
      </c>
      <c r="F1801" t="s">
        <v>53</v>
      </c>
      <c r="G1801">
        <v>-448.1293</v>
      </c>
      <c r="H1801">
        <v>8.0000790000000002E-2</v>
      </c>
      <c r="I1801">
        <v>279.00900000000001</v>
      </c>
      <c r="J1801">
        <v>-356.83120000000002</v>
      </c>
      <c r="K1801">
        <v>1.1203270000000001</v>
      </c>
      <c r="L1801">
        <v>283.77800000000002</v>
      </c>
      <c r="M1801">
        <v>-0.99986629999999999</v>
      </c>
      <c r="N1801">
        <v>-1.4994399999999901E-2</v>
      </c>
      <c r="O1801">
        <v>-6.5438939999999998E-3</v>
      </c>
      <c r="P1801">
        <v>-0.97878829999999994</v>
      </c>
      <c r="Q1801">
        <v>0.2008808</v>
      </c>
      <c r="R1801">
        <v>4.0260520000000001E-2</v>
      </c>
      <c r="S1801">
        <v>-3.0784910000000001</v>
      </c>
      <c r="T1801">
        <v>-3.4970519999999998E-2</v>
      </c>
      <c r="U1801">
        <v>-0.16036989999999901</v>
      </c>
      <c r="V1801">
        <v>4.6879120000000003E-2</v>
      </c>
      <c r="W1801">
        <v>0.2154838</v>
      </c>
      <c r="X1801">
        <v>0.97538150000000001</v>
      </c>
      <c r="Y1801">
        <v>-4.5479480000000003E-2</v>
      </c>
      <c r="Z1801">
        <v>-6.2316279999999997E-4</v>
      </c>
      <c r="AA1801">
        <v>0.99896510000000005</v>
      </c>
      <c r="AB1801">
        <v>50</v>
      </c>
      <c r="AC1801">
        <v>-91.298099999999906</v>
      </c>
      <c r="AD1801">
        <v>-1.0403262099999999</v>
      </c>
      <c r="AE1801">
        <v>-4.7690000000000001</v>
      </c>
      <c r="AF1801">
        <v>-4.1708456066814499</v>
      </c>
      <c r="AG1801">
        <v>-1.0403262099999999</v>
      </c>
      <c r="AH1801">
        <v>91.315531727330495</v>
      </c>
      <c r="AI1801">
        <v>90.652042985566695</v>
      </c>
      <c r="AJ1801">
        <v>92.615172592067495</v>
      </c>
      <c r="AK1801">
        <v>91.4166536597304</v>
      </c>
      <c r="AL1801">
        <v>77.556087613320102</v>
      </c>
      <c r="AM1801">
        <v>87.248348062997493</v>
      </c>
      <c r="AN1801">
        <v>0.99999999524833205</v>
      </c>
    </row>
    <row r="1802" spans="1:40" x14ac:dyDescent="0.25">
      <c r="A1802" t="str">
        <f>"20190303171013552"</f>
        <v>20190303171013552</v>
      </c>
      <c r="B1802" t="str">
        <f>"1551604213542618"</f>
        <v>1551604213542618</v>
      </c>
      <c r="C1802" t="s">
        <v>40</v>
      </c>
      <c r="D1802">
        <v>5.0592560000000004</v>
      </c>
      <c r="E1802">
        <v>0.4698773</v>
      </c>
      <c r="F1802" t="s">
        <v>53</v>
      </c>
      <c r="G1802">
        <v>-449.2319</v>
      </c>
      <c r="H1802">
        <v>8.0000470000000004E-2</v>
      </c>
      <c r="I1802">
        <v>278.96030000000002</v>
      </c>
      <c r="J1802">
        <v>-357.17540000000002</v>
      </c>
      <c r="K1802">
        <v>1.1203209999999999</v>
      </c>
      <c r="L1802">
        <v>283.77589999999998</v>
      </c>
      <c r="M1802">
        <v>-0.99986779999999997</v>
      </c>
      <c r="N1802">
        <v>-1.499225E-2</v>
      </c>
      <c r="O1802">
        <v>-6.2990579999999997E-3</v>
      </c>
      <c r="P1802">
        <v>-0.97872999999999999</v>
      </c>
      <c r="Q1802">
        <v>0.20111409999999999</v>
      </c>
      <c r="R1802">
        <v>4.0506E-2</v>
      </c>
      <c r="S1802">
        <v>-3.078735</v>
      </c>
      <c r="T1802">
        <v>-3.4663079999999999E-2</v>
      </c>
      <c r="U1802">
        <v>-0.16052249999999901</v>
      </c>
      <c r="V1802">
        <v>4.6891599999999999E-2</v>
      </c>
      <c r="W1802">
        <v>0.2157134</v>
      </c>
      <c r="X1802">
        <v>0.97533020000000004</v>
      </c>
      <c r="Y1802">
        <v>-4.5769400000000002E-2</v>
      </c>
      <c r="Z1802">
        <v>-6.2436049999999997E-4</v>
      </c>
      <c r="AA1802">
        <v>0.9989519</v>
      </c>
      <c r="AB1802">
        <v>50</v>
      </c>
      <c r="AC1802">
        <v>-92.0564999999999</v>
      </c>
      <c r="AD1802">
        <v>-1.04032052999999</v>
      </c>
      <c r="AE1802">
        <v>-4.8155999999999599</v>
      </c>
      <c r="AF1802">
        <v>-4.2350306668278996</v>
      </c>
      <c r="AG1802">
        <v>-1.04032052999999</v>
      </c>
      <c r="AH1802">
        <v>92.073283805337994</v>
      </c>
      <c r="AI1802">
        <v>90.6466641771963</v>
      </c>
      <c r="AJ1802">
        <v>92.633537862442907</v>
      </c>
      <c r="AK1802">
        <v>92.176501030644602</v>
      </c>
      <c r="AL1802">
        <v>77.542616313259998</v>
      </c>
      <c r="AM1802">
        <v>87.247472107818098</v>
      </c>
      <c r="AN1802">
        <v>1.0000000460610701</v>
      </c>
    </row>
    <row r="1803" spans="1:40" x14ac:dyDescent="0.25">
      <c r="A1803" t="str">
        <f>"20190303171013576"</f>
        <v>20190303171013576</v>
      </c>
      <c r="B1803" t="str">
        <f>"1551604213562138"</f>
        <v>1551604213562138</v>
      </c>
      <c r="C1803" t="s">
        <v>40</v>
      </c>
      <c r="D1803">
        <v>5.0561540000000003</v>
      </c>
      <c r="E1803">
        <v>0.4697267</v>
      </c>
      <c r="F1803" t="s">
        <v>53</v>
      </c>
      <c r="G1803">
        <v>-450.8082</v>
      </c>
      <c r="H1803">
        <v>8.000148E-2</v>
      </c>
      <c r="I1803">
        <v>278.90159999999997</v>
      </c>
      <c r="J1803">
        <v>-357.69009999999997</v>
      </c>
      <c r="K1803">
        <v>1.1203069999999999</v>
      </c>
      <c r="L1803">
        <v>283.77289999999999</v>
      </c>
      <c r="M1803">
        <v>-0.99987020000000004</v>
      </c>
      <c r="N1803">
        <v>-1.498902E-2</v>
      </c>
      <c r="O1803">
        <v>-5.9279099999999998E-3</v>
      </c>
      <c r="P1803">
        <v>-0.97869399999999995</v>
      </c>
      <c r="Q1803">
        <v>0.20121720000000001</v>
      </c>
      <c r="R1803">
        <v>4.0864709999999999E-2</v>
      </c>
      <c r="S1803">
        <v>-3.0788570000000002</v>
      </c>
      <c r="T1803">
        <v>-3.4208059999999998E-2</v>
      </c>
      <c r="U1803">
        <v>-0.16027829999999901</v>
      </c>
      <c r="V1803">
        <v>4.6895869999999999E-2</v>
      </c>
      <c r="W1803">
        <v>0.21581020000000001</v>
      </c>
      <c r="X1803">
        <v>0.97530850000000002</v>
      </c>
      <c r="Y1803">
        <v>-4.6059240000000001E-2</v>
      </c>
      <c r="Z1803">
        <v>-6.241517E-4</v>
      </c>
      <c r="AA1803">
        <v>0.99893849999999995</v>
      </c>
      <c r="AB1803">
        <v>50</v>
      </c>
      <c r="AC1803">
        <v>-93.118099999999998</v>
      </c>
      <c r="AD1803">
        <v>-1.04030552</v>
      </c>
      <c r="AE1803">
        <v>-4.8713000000000104</v>
      </c>
      <c r="AF1803">
        <v>-4.3186191775941696</v>
      </c>
      <c r="AG1803">
        <v>-1.04030552</v>
      </c>
      <c r="AH1803">
        <v>93.133750985351298</v>
      </c>
      <c r="AI1803">
        <v>90.6392813178648</v>
      </c>
      <c r="AJ1803">
        <v>92.654907934215899</v>
      </c>
      <c r="AK1803">
        <v>93.239628269193801</v>
      </c>
      <c r="AL1803">
        <v>77.536935301616097</v>
      </c>
      <c r="AM1803">
        <v>87.247160691795102</v>
      </c>
      <c r="AN1803">
        <v>0.99999996760967302</v>
      </c>
    </row>
    <row r="1804" spans="1:40" x14ac:dyDescent="0.25">
      <c r="A1804" t="str">
        <f>"20190303171013592"</f>
        <v>20190303171013592</v>
      </c>
      <c r="B1804" t="str">
        <f>"1551604213582634"</f>
        <v>1551604213582634</v>
      </c>
      <c r="C1804" t="s">
        <v>40</v>
      </c>
      <c r="D1804">
        <v>5.0785780000000003</v>
      </c>
      <c r="E1804">
        <v>0.4695627</v>
      </c>
      <c r="F1804" t="s">
        <v>53</v>
      </c>
      <c r="G1804">
        <v>-450.2013</v>
      </c>
      <c r="H1804">
        <v>8.0001649999999994E-2</v>
      </c>
      <c r="I1804">
        <v>278.95920000000001</v>
      </c>
      <c r="J1804">
        <v>-358.05930000000001</v>
      </c>
      <c r="K1804">
        <v>1.1203019999999999</v>
      </c>
      <c r="L1804">
        <v>283.77089999999998</v>
      </c>
      <c r="M1804">
        <v>-0.99987170000000003</v>
      </c>
      <c r="N1804">
        <v>-1.4986559999999999E-2</v>
      </c>
      <c r="O1804">
        <v>-5.6580839999999999E-3</v>
      </c>
      <c r="P1804">
        <v>-0.97870449999999998</v>
      </c>
      <c r="Q1804">
        <v>0.20113900000000001</v>
      </c>
      <c r="R1804">
        <v>4.0997319999999997E-2</v>
      </c>
      <c r="S1804">
        <v>-3.0791019999999998</v>
      </c>
      <c r="T1804">
        <v>-3.4625049999999997E-2</v>
      </c>
      <c r="U1804">
        <v>-0.16021729999999901</v>
      </c>
      <c r="V1804">
        <v>4.6769940000000003E-2</v>
      </c>
      <c r="W1804">
        <v>0.21572910000000001</v>
      </c>
      <c r="X1804">
        <v>0.97533250000000005</v>
      </c>
      <c r="Y1804">
        <v>-4.63048E-2</v>
      </c>
      <c r="Z1804">
        <v>-6.2859159999999995E-4</v>
      </c>
      <c r="AA1804">
        <v>0.99892720000000002</v>
      </c>
      <c r="AB1804">
        <v>50</v>
      </c>
      <c r="AC1804">
        <v>-92.141999999999996</v>
      </c>
      <c r="AD1804">
        <v>-1.0403003500000001</v>
      </c>
      <c r="AE1804">
        <v>-4.8116999999999699</v>
      </c>
      <c r="AF1804">
        <v>-4.28967192607593</v>
      </c>
      <c r="AG1804">
        <v>-1.0403003500000001</v>
      </c>
      <c r="AH1804">
        <v>92.156037776549795</v>
      </c>
      <c r="AI1804">
        <v>90.646054551716901</v>
      </c>
      <c r="AJ1804">
        <v>92.665075689989607</v>
      </c>
      <c r="AK1804">
        <v>92.261686569910694</v>
      </c>
      <c r="AL1804">
        <v>77.541694226603497</v>
      </c>
      <c r="AM1804">
        <v>87.254609050484902</v>
      </c>
      <c r="AN1804">
        <v>0.99999997871533097</v>
      </c>
    </row>
    <row r="1805" spans="1:40" x14ac:dyDescent="0.25">
      <c r="A1805" t="str">
        <f>"20190303171013606"</f>
        <v>20190303171013606</v>
      </c>
      <c r="B1805" t="str">
        <f>"1551604213592395"</f>
        <v>1551604213592395</v>
      </c>
      <c r="C1805" t="s">
        <v>40</v>
      </c>
      <c r="D1805">
        <v>5.0696159999999999</v>
      </c>
      <c r="E1805">
        <v>0.46949059999999998</v>
      </c>
      <c r="F1805" t="s">
        <v>53</v>
      </c>
      <c r="G1805">
        <v>-448.68029999999999</v>
      </c>
      <c r="H1805">
        <v>8.0000619999999995E-2</v>
      </c>
      <c r="I1805">
        <v>279.02530000000002</v>
      </c>
      <c r="J1805">
        <v>-358.3648</v>
      </c>
      <c r="K1805">
        <v>1.120296</v>
      </c>
      <c r="L1805">
        <v>283.76929999999999</v>
      </c>
      <c r="M1805">
        <v>-0.99987300000000001</v>
      </c>
      <c r="N1805">
        <v>-1.4984590000000001E-2</v>
      </c>
      <c r="O1805">
        <v>-5.4339569999999997E-3</v>
      </c>
      <c r="P1805">
        <v>-0.97864329999999999</v>
      </c>
      <c r="Q1805">
        <v>0.20143069999999999</v>
      </c>
      <c r="R1805">
        <v>4.1026319999999998E-2</v>
      </c>
      <c r="S1805">
        <v>-3.079285</v>
      </c>
      <c r="T1805">
        <v>-3.5349249999999999E-2</v>
      </c>
      <c r="U1805">
        <v>-0.16125490000000001</v>
      </c>
      <c r="V1805">
        <v>4.6583630000000001E-2</v>
      </c>
      <c r="W1805">
        <v>0.21601780000000001</v>
      </c>
      <c r="X1805">
        <v>0.97527750000000002</v>
      </c>
      <c r="Y1805">
        <v>-4.6861010000000002E-2</v>
      </c>
      <c r="Z1805">
        <v>-6.392107E-4</v>
      </c>
      <c r="AA1805">
        <v>0.99890120000000004</v>
      </c>
      <c r="AB1805">
        <v>50</v>
      </c>
      <c r="AC1805">
        <v>-90.3155</v>
      </c>
      <c r="AD1805">
        <v>-1.0402953800000001</v>
      </c>
      <c r="AE1805">
        <v>-4.7439999999999696</v>
      </c>
      <c r="AF1805">
        <v>-4.2525416595879104</v>
      </c>
      <c r="AG1805">
        <v>-1.0402953800000001</v>
      </c>
      <c r="AH1805">
        <v>90.327996580325404</v>
      </c>
      <c r="AI1805">
        <v>90.659108646815199</v>
      </c>
      <c r="AJ1805">
        <v>92.695431374059694</v>
      </c>
      <c r="AK1805">
        <v>90.434027286522294</v>
      </c>
      <c r="AL1805">
        <v>77.524753299050005</v>
      </c>
      <c r="AM1805">
        <v>87.265374822925196</v>
      </c>
      <c r="AN1805">
        <v>0.99999996325353202</v>
      </c>
    </row>
    <row r="1806" spans="1:40" x14ac:dyDescent="0.25">
      <c r="A1806" t="str">
        <f>"20190303171013621"</f>
        <v>20190303171013621</v>
      </c>
      <c r="B1806" t="str">
        <f>"1551604213612890"</f>
        <v>1551604213612890</v>
      </c>
      <c r="C1806" t="s">
        <v>40</v>
      </c>
      <c r="D1806">
        <v>5.0569280000000001</v>
      </c>
      <c r="E1806">
        <v>0.46933920000000001</v>
      </c>
      <c r="F1806" t="s">
        <v>53</v>
      </c>
      <c r="G1806">
        <v>-450.51589999999999</v>
      </c>
      <c r="H1806">
        <v>8.0001559999999999E-2</v>
      </c>
      <c r="I1806">
        <v>278.93560000000002</v>
      </c>
      <c r="J1806">
        <v>-358.6934</v>
      </c>
      <c r="K1806">
        <v>1.1202920000000001</v>
      </c>
      <c r="L1806">
        <v>283.76769999999999</v>
      </c>
      <c r="M1806">
        <v>-0.99987440000000005</v>
      </c>
      <c r="N1806">
        <v>-1.498242E-2</v>
      </c>
      <c r="O1806">
        <v>-5.1921889999999998E-3</v>
      </c>
      <c r="P1806">
        <v>-0.97849430000000004</v>
      </c>
      <c r="Q1806">
        <v>0.20208280000000001</v>
      </c>
      <c r="R1806">
        <v>4.1371570000000003E-2</v>
      </c>
      <c r="S1806">
        <v>-3.079437</v>
      </c>
      <c r="T1806">
        <v>-3.4763809999999999E-2</v>
      </c>
      <c r="U1806">
        <v>-0.16152949999999999</v>
      </c>
      <c r="V1806">
        <v>4.6696260000000003E-2</v>
      </c>
      <c r="W1806">
        <v>0.21666450000000001</v>
      </c>
      <c r="X1806">
        <v>0.97512869999999996</v>
      </c>
      <c r="Y1806">
        <v>-4.7188929999999997E-2</v>
      </c>
      <c r="Z1806">
        <v>-6.3913350000000002E-4</v>
      </c>
      <c r="AA1806">
        <v>0.99888580000000005</v>
      </c>
      <c r="AB1806">
        <v>50</v>
      </c>
      <c r="AC1806">
        <v>-91.822500000000005</v>
      </c>
      <c r="AD1806">
        <v>-1.0402904399999999</v>
      </c>
      <c r="AE1806">
        <v>-4.8320999999999596</v>
      </c>
      <c r="AF1806">
        <v>-4.3546642198171703</v>
      </c>
      <c r="AG1806">
        <v>-1.0402904399999999</v>
      </c>
      <c r="AH1806">
        <v>91.834599162238405</v>
      </c>
      <c r="AI1806">
        <v>90.648283039707096</v>
      </c>
      <c r="AJ1806">
        <v>92.714849635801698</v>
      </c>
      <c r="AK1806">
        <v>91.943672473726593</v>
      </c>
      <c r="AL1806">
        <v>77.486801975474194</v>
      </c>
      <c r="AM1806">
        <v>87.258355453136602</v>
      </c>
      <c r="AN1806">
        <v>1.0000000139109599</v>
      </c>
    </row>
    <row r="1807" spans="1:40" x14ac:dyDescent="0.25">
      <c r="A1807" t="str">
        <f>"20190303171013644"</f>
        <v>20190303171013644</v>
      </c>
      <c r="B1807" t="str">
        <f>"1551604213632410"</f>
        <v>1551604213632410</v>
      </c>
      <c r="C1807" t="s">
        <v>40</v>
      </c>
      <c r="D1807">
        <v>5.0836319999999997</v>
      </c>
      <c r="E1807">
        <v>0.46918310000000002</v>
      </c>
      <c r="F1807" t="s">
        <v>53</v>
      </c>
      <c r="G1807">
        <v>-455.56810000000002</v>
      </c>
      <c r="H1807">
        <v>8.0001559999999999E-2</v>
      </c>
      <c r="I1807">
        <v>278.67500000000001</v>
      </c>
      <c r="J1807">
        <v>-359.17970000000003</v>
      </c>
      <c r="K1807">
        <v>1.1202829999999999</v>
      </c>
      <c r="L1807">
        <v>283.7654</v>
      </c>
      <c r="M1807">
        <v>-0.99987610000000005</v>
      </c>
      <c r="N1807">
        <v>-1.4979019999999999E-2</v>
      </c>
      <c r="O1807">
        <v>-4.8327279999999997E-3</v>
      </c>
      <c r="P1807">
        <v>-0.97833490000000001</v>
      </c>
      <c r="Q1807">
        <v>0.20281189999999999</v>
      </c>
      <c r="R1807">
        <v>4.1576349999999998E-2</v>
      </c>
      <c r="S1807">
        <v>-3.0796199999999998</v>
      </c>
      <c r="T1807">
        <v>-3.3070559999999999E-2</v>
      </c>
      <c r="U1807">
        <v>-0.16189579999999901</v>
      </c>
      <c r="V1807">
        <v>4.6554440000000002E-2</v>
      </c>
      <c r="W1807">
        <v>0.21738689999999999</v>
      </c>
      <c r="X1807">
        <v>0.97497469999999997</v>
      </c>
      <c r="Y1807">
        <v>-4.7663799999999999E-2</v>
      </c>
      <c r="Z1807">
        <v>-6.3349450000000002E-4</v>
      </c>
      <c r="AA1807">
        <v>0.99886319999999995</v>
      </c>
      <c r="AB1807">
        <v>50</v>
      </c>
      <c r="AC1807">
        <v>-96.388400000000004</v>
      </c>
      <c r="AD1807">
        <v>-1.04028144</v>
      </c>
      <c r="AE1807">
        <v>-5.0903999999999803</v>
      </c>
      <c r="AF1807">
        <v>-4.6239322437914101</v>
      </c>
      <c r="AG1807">
        <v>-1.04028144</v>
      </c>
      <c r="AH1807">
        <v>96.400679890887801</v>
      </c>
      <c r="AI1807">
        <v>90.617557708872894</v>
      </c>
      <c r="AJ1807">
        <v>92.746131097370494</v>
      </c>
      <c r="AK1807">
        <v>96.517117747553002</v>
      </c>
      <c r="AL1807">
        <v>77.444401027088603</v>
      </c>
      <c r="AM1807">
        <v>87.266238301635298</v>
      </c>
      <c r="AN1807">
        <v>1.0000000229077</v>
      </c>
    </row>
    <row r="1808" spans="1:40" x14ac:dyDescent="0.25">
      <c r="A1808" t="str">
        <f>"20190303171013664"</f>
        <v>20190303171013664</v>
      </c>
      <c r="B1808" t="str">
        <f>"1551604213651930"</f>
        <v>1551604213651930</v>
      </c>
      <c r="C1808" t="s">
        <v>40</v>
      </c>
      <c r="D1808">
        <v>5.0726459999999998</v>
      </c>
      <c r="E1808">
        <v>0.4690259</v>
      </c>
      <c r="F1808" t="s">
        <v>53</v>
      </c>
      <c r="G1808">
        <v>-462.04669999999999</v>
      </c>
      <c r="H1808">
        <v>8.0001139999999998E-2</v>
      </c>
      <c r="I1808">
        <v>278.32940000000002</v>
      </c>
      <c r="J1808">
        <v>-359.66469999999998</v>
      </c>
      <c r="K1808">
        <v>1.120276</v>
      </c>
      <c r="L1808">
        <v>283.76330000000002</v>
      </c>
      <c r="M1808">
        <v>-0.99987789999999999</v>
      </c>
      <c r="N1808">
        <v>-1.497589E-2</v>
      </c>
      <c r="O1808">
        <v>-4.4731770000000001E-3</v>
      </c>
      <c r="P1808">
        <v>-0.97827059999999999</v>
      </c>
      <c r="Q1808">
        <v>0.2030158</v>
      </c>
      <c r="R1808">
        <v>4.2088300000000002E-2</v>
      </c>
      <c r="S1808">
        <v>-3.0798030000000001</v>
      </c>
      <c r="T1808">
        <v>-3.114569E-2</v>
      </c>
      <c r="U1808">
        <v>-0.16275020000000001</v>
      </c>
      <c r="V1808">
        <v>4.6718700000000002E-2</v>
      </c>
      <c r="W1808">
        <v>0.2175861</v>
      </c>
      <c r="X1808">
        <v>0.97492239999999997</v>
      </c>
      <c r="Y1808">
        <v>-4.8296690000000003E-2</v>
      </c>
      <c r="Z1808">
        <v>-6.2771829999999998E-4</v>
      </c>
      <c r="AA1808">
        <v>0.99883279999999997</v>
      </c>
      <c r="AB1808">
        <v>50</v>
      </c>
      <c r="AC1808">
        <v>-102.38200000000001</v>
      </c>
      <c r="AD1808">
        <v>-1.04027486</v>
      </c>
      <c r="AE1808">
        <v>-5.4338999999999897</v>
      </c>
      <c r="AF1808">
        <v>-4.9753092645402699</v>
      </c>
      <c r="AG1808">
        <v>-1.04027486</v>
      </c>
      <c r="AH1808">
        <v>102.394743427322</v>
      </c>
      <c r="AI1808">
        <v>90.5813880490781</v>
      </c>
      <c r="AJ1808">
        <v>92.781785378512694</v>
      </c>
      <c r="AK1808">
        <v>102.520824009609</v>
      </c>
      <c r="AL1808">
        <v>77.4327077350829</v>
      </c>
      <c r="AM1808">
        <v>87.256460419221995</v>
      </c>
      <c r="AN1808">
        <v>1.00000001693232</v>
      </c>
    </row>
    <row r="1809" spans="1:40" x14ac:dyDescent="0.25">
      <c r="A1809" t="str">
        <f>"20190303171013678"</f>
        <v>20190303171013678</v>
      </c>
      <c r="B1809" t="str">
        <f>"1551604213672426"</f>
        <v>1551604213672426</v>
      </c>
      <c r="C1809" t="s">
        <v>40</v>
      </c>
      <c r="D1809">
        <v>4.957954</v>
      </c>
      <c r="E1809">
        <v>0.46907650000000001</v>
      </c>
      <c r="F1809" t="s">
        <v>53</v>
      </c>
      <c r="G1809">
        <v>-463.51979999999998</v>
      </c>
      <c r="H1809">
        <v>8.0000699999999994E-2</v>
      </c>
      <c r="I1809">
        <v>278.28570000000002</v>
      </c>
      <c r="J1809">
        <v>-359.95920000000001</v>
      </c>
      <c r="K1809">
        <v>1.1202730000000001</v>
      </c>
      <c r="L1809">
        <v>283.76209999999998</v>
      </c>
      <c r="M1809">
        <v>-0.99987879999999996</v>
      </c>
      <c r="N1809">
        <v>-1.4974100000000001E-2</v>
      </c>
      <c r="O1809">
        <v>-4.2548309999999997E-3</v>
      </c>
      <c r="P1809">
        <v>-0.97828610000000005</v>
      </c>
      <c r="Q1809">
        <v>0.2029242</v>
      </c>
      <c r="R1809">
        <v>4.216934E-2</v>
      </c>
      <c r="S1809">
        <v>-3.079987</v>
      </c>
      <c r="T1809">
        <v>-3.0851010000000002E-2</v>
      </c>
      <c r="U1809">
        <v>-0.16244510000000001</v>
      </c>
      <c r="V1809">
        <v>4.658847E-2</v>
      </c>
      <c r="W1809">
        <v>0.21749299999999999</v>
      </c>
      <c r="X1809">
        <v>0.97494939999999997</v>
      </c>
      <c r="Y1809">
        <v>-4.8413049999999999E-2</v>
      </c>
      <c r="Z1809">
        <v>-6.2614579999999999E-4</v>
      </c>
      <c r="AA1809">
        <v>0.99882720000000003</v>
      </c>
      <c r="AB1809">
        <v>50</v>
      </c>
      <c r="AC1809">
        <v>-103.560599999999</v>
      </c>
      <c r="AD1809">
        <v>-1.04027229999999</v>
      </c>
      <c r="AE1809">
        <v>-5.4763999999999502</v>
      </c>
      <c r="AF1809">
        <v>-5.0351614977648396</v>
      </c>
      <c r="AG1809">
        <v>-1.04027229999999</v>
      </c>
      <c r="AH1809">
        <v>103.572544488006</v>
      </c>
      <c r="AI1809">
        <v>90.574774975512298</v>
      </c>
      <c r="AJ1809">
        <v>92.783233248007093</v>
      </c>
      <c r="AK1809">
        <v>103.700081916489</v>
      </c>
      <c r="AL1809">
        <v>77.438172784990599</v>
      </c>
      <c r="AM1809">
        <v>87.264172147459703</v>
      </c>
      <c r="AN1809">
        <v>1.00000001157315</v>
      </c>
    </row>
    <row r="1810" spans="1:40" x14ac:dyDescent="0.25">
      <c r="A1810" t="str">
        <f>"20190303171013689"</f>
        <v>20190303171013689</v>
      </c>
      <c r="B1810" t="str">
        <f>"1551604213682186"</f>
        <v>1551604213682186</v>
      </c>
      <c r="C1810" t="s">
        <v>40</v>
      </c>
      <c r="D1810">
        <v>4.9894049999999996</v>
      </c>
      <c r="E1810">
        <v>0.46907650000000001</v>
      </c>
      <c r="F1810" t="s">
        <v>53</v>
      </c>
      <c r="G1810">
        <v>-460.60820000000001</v>
      </c>
      <c r="H1810">
        <v>8.0001550000000005E-2</v>
      </c>
      <c r="I1810">
        <v>278.4699</v>
      </c>
      <c r="J1810">
        <v>-360.24950000000001</v>
      </c>
      <c r="K1810">
        <v>1.1202700000000001</v>
      </c>
      <c r="L1810">
        <v>283.76100000000002</v>
      </c>
      <c r="M1810">
        <v>-0.99987979999999999</v>
      </c>
      <c r="N1810">
        <v>-1.497241E-2</v>
      </c>
      <c r="O1810">
        <v>-4.0394760000000002E-3</v>
      </c>
      <c r="P1810">
        <v>-0.97833079999999994</v>
      </c>
      <c r="Q1810">
        <v>0.20268030000000001</v>
      </c>
      <c r="R1810">
        <v>4.2304670000000003E-2</v>
      </c>
      <c r="S1810">
        <v>-3.080139</v>
      </c>
      <c r="T1810">
        <v>-3.1835200000000001E-2</v>
      </c>
      <c r="U1810">
        <v>-0.16195680000000001</v>
      </c>
      <c r="V1810">
        <v>4.6515010000000002E-2</v>
      </c>
      <c r="W1810">
        <v>0.21724769999999999</v>
      </c>
      <c r="X1810">
        <v>0.97500759999999997</v>
      </c>
      <c r="Y1810">
        <v>-4.8467389999999999E-2</v>
      </c>
      <c r="Z1810">
        <v>-6.3214779999999995E-4</v>
      </c>
      <c r="AA1810">
        <v>0.9988245</v>
      </c>
      <c r="AB1810">
        <v>50</v>
      </c>
      <c r="AC1810">
        <v>-100.3587</v>
      </c>
      <c r="AD1810">
        <v>-1.0402684499999999</v>
      </c>
      <c r="AE1810">
        <v>-5.2910999999999699</v>
      </c>
      <c r="AF1810">
        <v>-4.8850914186094503</v>
      </c>
      <c r="AG1810">
        <v>-1.0402684499999999</v>
      </c>
      <c r="AH1810">
        <v>100.368502617267</v>
      </c>
      <c r="AI1810">
        <v>90.593118273755806</v>
      </c>
      <c r="AJ1810">
        <v>92.786475943182495</v>
      </c>
      <c r="AK1810">
        <v>100.49269920869099</v>
      </c>
      <c r="AL1810">
        <v>77.452571769504999</v>
      </c>
      <c r="AM1810">
        <v>87.268642223815604</v>
      </c>
      <c r="AN1810">
        <v>1.0000000146841701</v>
      </c>
    </row>
    <row r="1811" spans="1:40" x14ac:dyDescent="0.25">
      <c r="A1811" t="str">
        <f>"20190303171013703"</f>
        <v>20190303171013703</v>
      </c>
      <c r="B1811" t="str">
        <f>"1551604213692922"</f>
        <v>1551604213692922</v>
      </c>
      <c r="C1811" t="s">
        <v>40</v>
      </c>
      <c r="D1811">
        <v>5.1427680000000002</v>
      </c>
      <c r="E1811">
        <v>0.49538989999999999</v>
      </c>
      <c r="F1811" t="s">
        <v>53</v>
      </c>
      <c r="G1811">
        <v>-458.27760000000001</v>
      </c>
      <c r="H1811">
        <v>8.0000760000000004E-2</v>
      </c>
      <c r="I1811">
        <v>278.62509999999997</v>
      </c>
      <c r="J1811">
        <v>-360.53280000000001</v>
      </c>
      <c r="K1811">
        <v>1.120266</v>
      </c>
      <c r="L1811">
        <v>283.75990000000002</v>
      </c>
      <c r="M1811">
        <v>-0.99988060000000001</v>
      </c>
      <c r="N1811">
        <v>-1.497073E-2</v>
      </c>
      <c r="O1811">
        <v>-3.8292560000000001E-3</v>
      </c>
      <c r="P1811">
        <v>-0.97835019999999995</v>
      </c>
      <c r="Q1811">
        <v>0.20252719999999999</v>
      </c>
      <c r="R1811">
        <v>4.2589689999999999E-2</v>
      </c>
      <c r="S1811">
        <v>-3.0802</v>
      </c>
      <c r="T1811">
        <v>-3.2686949999999999E-2</v>
      </c>
      <c r="U1811">
        <v>-0.16137699999999999</v>
      </c>
      <c r="V1811">
        <v>4.6596039999999998E-2</v>
      </c>
      <c r="W1811">
        <v>0.2170927</v>
      </c>
      <c r="X1811">
        <v>0.97503819999999997</v>
      </c>
      <c r="Y1811">
        <v>-4.8488589999999998E-2</v>
      </c>
      <c r="Z1811">
        <v>-6.3703149999999999E-4</v>
      </c>
      <c r="AA1811">
        <v>0.99882349999999998</v>
      </c>
      <c r="AB1811">
        <v>50</v>
      </c>
      <c r="AC1811">
        <v>-97.744799999999998</v>
      </c>
      <c r="AD1811">
        <v>-1.0402652400000001</v>
      </c>
      <c r="AE1811">
        <v>-5.1348000000000402</v>
      </c>
      <c r="AF1811">
        <v>-4.7598928809284802</v>
      </c>
      <c r="AG1811">
        <v>-1.0402652400000001</v>
      </c>
      <c r="AH1811">
        <v>97.752706258956593</v>
      </c>
      <c r="AI1811">
        <v>90.608986018845897</v>
      </c>
      <c r="AJ1811">
        <v>92.787713464486103</v>
      </c>
      <c r="AK1811">
        <v>97.874053318319895</v>
      </c>
      <c r="AL1811">
        <v>77.461669070855294</v>
      </c>
      <c r="AM1811">
        <v>87.263977110524493</v>
      </c>
      <c r="AN1811">
        <v>0.99999996139810499</v>
      </c>
    </row>
    <row r="1812" spans="1:40" x14ac:dyDescent="0.25">
      <c r="A1812" t="str">
        <f>"20190303171013716"</f>
        <v>20190303171013716</v>
      </c>
      <c r="B1812" t="str">
        <f>"1551604213702683"</f>
        <v>1551604213702683</v>
      </c>
      <c r="C1812" t="s">
        <v>40</v>
      </c>
      <c r="D1812">
        <v>5.1422509999999999</v>
      </c>
      <c r="E1812">
        <v>0.49635869999999999</v>
      </c>
      <c r="F1812" t="s">
        <v>60</v>
      </c>
      <c r="G1812">
        <v>-421.5804</v>
      </c>
      <c r="H1812" s="1">
        <v>3.6753749999999999E-6</v>
      </c>
      <c r="I1812">
        <v>284.71809999999999</v>
      </c>
      <c r="J1812">
        <v>-360.8143</v>
      </c>
      <c r="K1812">
        <v>1.120263</v>
      </c>
      <c r="L1812">
        <v>283.75900000000001</v>
      </c>
      <c r="M1812">
        <v>-0.99988160000000004</v>
      </c>
      <c r="N1812">
        <v>-1.4969049999999999E-2</v>
      </c>
      <c r="O1812">
        <v>-3.6201150000000001E-3</v>
      </c>
      <c r="P1812">
        <v>-0.97829480000000002</v>
      </c>
      <c r="Q1812">
        <v>0.20273379999999999</v>
      </c>
      <c r="R1812">
        <v>4.2879729999999998E-2</v>
      </c>
      <c r="S1812">
        <v>-3.075958</v>
      </c>
      <c r="T1812">
        <v>-5.6445839999999997E-2</v>
      </c>
      <c r="U1812">
        <v>4.8278809999999998E-2</v>
      </c>
      <c r="V1812">
        <v>4.6683049999999997E-2</v>
      </c>
      <c r="W1812">
        <v>0.21729660000000001</v>
      </c>
      <c r="X1812">
        <v>0.97498859999999998</v>
      </c>
      <c r="Y1812">
        <v>1.9307649999999999E-2</v>
      </c>
      <c r="Z1812">
        <v>3.3390969999999999E-4</v>
      </c>
      <c r="AA1812">
        <v>0.99981359999999997</v>
      </c>
      <c r="AB1812">
        <v>50</v>
      </c>
      <c r="AC1812">
        <v>-60.766100000000002</v>
      </c>
      <c r="AD1812">
        <v>-1.1202593246250001</v>
      </c>
      <c r="AE1812">
        <v>0.95909999999997797</v>
      </c>
      <c r="AF1812">
        <v>1.1786980850661399</v>
      </c>
      <c r="AG1812">
        <v>-1.1202593246250001</v>
      </c>
      <c r="AH1812">
        <v>60.741590114460998</v>
      </c>
      <c r="AI1812">
        <v>91.056389496459005</v>
      </c>
      <c r="AJ1812">
        <v>88.888307821921899</v>
      </c>
      <c r="AK1812">
        <v>60.763353098420602</v>
      </c>
      <c r="AL1812">
        <v>77.449700545745102</v>
      </c>
      <c r="AM1812">
        <v>87.258736613822407</v>
      </c>
      <c r="AN1812">
        <v>0.99999994482940902</v>
      </c>
    </row>
    <row r="1813" spans="1:40" x14ac:dyDescent="0.25">
      <c r="A1813" t="str">
        <f>"20190303171013730"</f>
        <v>20190303171013730</v>
      </c>
      <c r="B1813" t="str">
        <f>"1551604213722202"</f>
        <v>1551604213722202</v>
      </c>
      <c r="C1813" t="s">
        <v>40</v>
      </c>
      <c r="D1813">
        <v>5.0211560000000004</v>
      </c>
      <c r="E1813">
        <v>0.49668970000000001</v>
      </c>
      <c r="F1813" t="s">
        <v>60</v>
      </c>
      <c r="G1813">
        <v>-424.02350000000001</v>
      </c>
      <c r="H1813" s="1">
        <v>3.2230290000000001E-6</v>
      </c>
      <c r="I1813">
        <v>284.93509999999998</v>
      </c>
      <c r="J1813">
        <v>-361.14909999999998</v>
      </c>
      <c r="K1813">
        <v>1.120261</v>
      </c>
      <c r="L1813">
        <v>283.75799999999998</v>
      </c>
      <c r="M1813">
        <v>-0.99988239999999995</v>
      </c>
      <c r="N1813">
        <v>-1.4966999999999999E-2</v>
      </c>
      <c r="O1813">
        <v>-3.3713950000000001E-3</v>
      </c>
      <c r="P1813">
        <v>-0.97821720000000001</v>
      </c>
      <c r="Q1813">
        <v>0.2030217</v>
      </c>
      <c r="R1813">
        <v>4.3284299999999998E-2</v>
      </c>
      <c r="S1813">
        <v>-3.075348</v>
      </c>
      <c r="T1813">
        <v>-5.4504509999999999E-2</v>
      </c>
      <c r="U1813">
        <v>5.7220460000000001E-2</v>
      </c>
      <c r="V1813">
        <v>4.6845820000000003E-2</v>
      </c>
      <c r="W1813">
        <v>0.217581</v>
      </c>
      <c r="X1813">
        <v>0.97491740000000005</v>
      </c>
      <c r="Y1813">
        <v>2.196766E-2</v>
      </c>
      <c r="Z1813">
        <v>3.6836170000000001E-4</v>
      </c>
      <c r="AA1813">
        <v>0.99975860000000005</v>
      </c>
      <c r="AB1813">
        <v>50</v>
      </c>
      <c r="AC1813">
        <v>-62.874400000000001</v>
      </c>
      <c r="AD1813">
        <v>-1.120257776971</v>
      </c>
      <c r="AE1813">
        <v>1.17709999999999</v>
      </c>
      <c r="AF1813">
        <v>1.3886507868354201</v>
      </c>
      <c r="AG1813">
        <v>-1.120257776971</v>
      </c>
      <c r="AH1813">
        <v>62.850128305976199</v>
      </c>
      <c r="AI1813">
        <v>91.020898317481695</v>
      </c>
      <c r="AJ1813">
        <v>88.734276472184106</v>
      </c>
      <c r="AK1813">
        <v>62.875447963193999</v>
      </c>
      <c r="AL1813">
        <v>77.4330066396153</v>
      </c>
      <c r="AM1813">
        <v>87.248992705974501</v>
      </c>
      <c r="AN1813">
        <v>0.999999979617616</v>
      </c>
    </row>
    <row r="1814" spans="1:40" x14ac:dyDescent="0.25">
      <c r="A1814" t="str">
        <f>"20190303171013743"</f>
        <v>20190303171013743</v>
      </c>
      <c r="B1814" t="str">
        <f>"1551604213731963"</f>
        <v>1551604213731963</v>
      </c>
      <c r="C1814" t="s">
        <v>40</v>
      </c>
      <c r="D1814">
        <v>5.024184</v>
      </c>
      <c r="E1814">
        <v>0.49708429999999998</v>
      </c>
      <c r="F1814" t="s">
        <v>60</v>
      </c>
      <c r="G1814">
        <v>-428.48719999999997</v>
      </c>
      <c r="H1814" s="1">
        <v>2.4177609999999999E-6</v>
      </c>
      <c r="I1814">
        <v>285.08929999999998</v>
      </c>
      <c r="J1814">
        <v>-361.42039999999997</v>
      </c>
      <c r="K1814">
        <v>1.1202589999999999</v>
      </c>
      <c r="L1814">
        <v>283.75720000000001</v>
      </c>
      <c r="M1814">
        <v>-0.99988310000000002</v>
      </c>
      <c r="N1814">
        <v>-1.4965279999999999E-2</v>
      </c>
      <c r="O1814">
        <v>-3.169421E-3</v>
      </c>
      <c r="P1814">
        <v>-0.97819540000000005</v>
      </c>
      <c r="Q1814">
        <v>0.203016</v>
      </c>
      <c r="R1814">
        <v>4.3800659999999998E-2</v>
      </c>
      <c r="S1814">
        <v>-3.074738</v>
      </c>
      <c r="T1814">
        <v>-5.1152349999999999E-2</v>
      </c>
      <c r="U1814">
        <v>6.0791020000000001E-2</v>
      </c>
      <c r="V1814">
        <v>4.7165550000000001E-2</v>
      </c>
      <c r="W1814">
        <v>0.21757309999999999</v>
      </c>
      <c r="X1814">
        <v>0.97490379999999999</v>
      </c>
      <c r="Y1814">
        <v>2.2930289999999999E-2</v>
      </c>
      <c r="Z1814">
        <v>3.676245E-4</v>
      </c>
      <c r="AA1814">
        <v>0.99973699999999999</v>
      </c>
      <c r="AB1814">
        <v>50</v>
      </c>
      <c r="AC1814">
        <v>-67.066800000000001</v>
      </c>
      <c r="AD1814">
        <v>-1.120256582239</v>
      </c>
      <c r="AE1814">
        <v>1.3320999999999601</v>
      </c>
      <c r="AF1814">
        <v>1.5442493245456199</v>
      </c>
      <c r="AG1814">
        <v>-1.120256582239</v>
      </c>
      <c r="AH1814">
        <v>67.043542170000805</v>
      </c>
      <c r="AI1814">
        <v>90.957034551025998</v>
      </c>
      <c r="AJ1814">
        <v>88.6805093583</v>
      </c>
      <c r="AK1814">
        <v>67.070680833633205</v>
      </c>
      <c r="AL1814">
        <v>77.433471043754295</v>
      </c>
      <c r="AM1814">
        <v>87.230207214717396</v>
      </c>
      <c r="AN1814">
        <v>1.00000003110242</v>
      </c>
    </row>
    <row r="1815" spans="1:40" x14ac:dyDescent="0.25">
      <c r="A1815" t="str">
        <f>"20190303171013756"</f>
        <v>20190303171013756</v>
      </c>
      <c r="B1815" t="str">
        <f>"1551604213742699"</f>
        <v>1551604213742699</v>
      </c>
      <c r="C1815" t="s">
        <v>40</v>
      </c>
      <c r="D1815">
        <v>5.0838890000000001</v>
      </c>
      <c r="E1815">
        <v>0.49717860000000003</v>
      </c>
      <c r="F1815" t="s">
        <v>60</v>
      </c>
      <c r="G1815">
        <v>-428.74329999999998</v>
      </c>
      <c r="H1815" s="1">
        <v>2.3640140000000001E-6</v>
      </c>
      <c r="I1815">
        <v>285.18450000000001</v>
      </c>
      <c r="J1815">
        <v>-361.69959999999998</v>
      </c>
      <c r="K1815">
        <v>1.1202570000000001</v>
      </c>
      <c r="L1815">
        <v>283.75639999999999</v>
      </c>
      <c r="M1815">
        <v>-0.99988370000000004</v>
      </c>
      <c r="N1815">
        <v>-1.496344E-2</v>
      </c>
      <c r="O1815">
        <v>-2.9611310000000001E-3</v>
      </c>
      <c r="P1815">
        <v>-0.97814210000000001</v>
      </c>
      <c r="Q1815">
        <v>0.20321230000000001</v>
      </c>
      <c r="R1815">
        <v>4.4076129999999998E-2</v>
      </c>
      <c r="S1815">
        <v>-3.0746150000000001</v>
      </c>
      <c r="T1815">
        <v>-5.1161770000000002E-2</v>
      </c>
      <c r="U1815">
        <v>6.5185549999999995E-2</v>
      </c>
      <c r="V1815">
        <v>4.7238229999999999E-2</v>
      </c>
      <c r="W1815">
        <v>0.21776670000000001</v>
      </c>
      <c r="X1815">
        <v>0.97485699999999997</v>
      </c>
      <c r="Y1815">
        <v>2.4150789999999998E-2</v>
      </c>
      <c r="Z1815">
        <v>3.8660160000000002E-4</v>
      </c>
      <c r="AA1815">
        <v>0.99970820000000005</v>
      </c>
      <c r="AB1815">
        <v>50</v>
      </c>
      <c r="AC1815">
        <v>-67.043700000000001</v>
      </c>
      <c r="AD1815">
        <v>-1.1202546359859999</v>
      </c>
      <c r="AE1815">
        <v>1.4281000000000199</v>
      </c>
      <c r="AF1815">
        <v>1.6261873086946901</v>
      </c>
      <c r="AG1815">
        <v>-1.1202546359859999</v>
      </c>
      <c r="AH1815">
        <v>67.020473017869705</v>
      </c>
      <c r="AI1815">
        <v>90.957334410014596</v>
      </c>
      <c r="AJ1815">
        <v>88.610045757429404</v>
      </c>
      <c r="AK1815">
        <v>67.049558232335897</v>
      </c>
      <c r="AL1815">
        <v>77.422105401105497</v>
      </c>
      <c r="AM1815">
        <v>87.225812783827294</v>
      </c>
      <c r="AN1815">
        <v>0.99999997822571096</v>
      </c>
    </row>
    <row r="1816" spans="1:40" x14ac:dyDescent="0.25">
      <c r="A1816" t="str">
        <f>"20190303171013769"</f>
        <v>20190303171013769</v>
      </c>
      <c r="B1816" t="str">
        <f>"1551604213762219"</f>
        <v>1551604213762219</v>
      </c>
      <c r="C1816" t="s">
        <v>40</v>
      </c>
      <c r="D1816">
        <v>4.9633430000000001</v>
      </c>
      <c r="E1816">
        <v>0.4971931</v>
      </c>
      <c r="F1816" t="s">
        <v>60</v>
      </c>
      <c r="G1816">
        <v>-430.34269999999998</v>
      </c>
      <c r="H1816" s="1">
        <v>2.3139730000000001E-6</v>
      </c>
      <c r="I1816">
        <v>285.24520000000001</v>
      </c>
      <c r="J1816">
        <v>-361.98129999999998</v>
      </c>
      <c r="K1816">
        <v>1.1202559999999999</v>
      </c>
      <c r="L1816">
        <v>283.75569999999999</v>
      </c>
      <c r="M1816">
        <v>-0.9998842</v>
      </c>
      <c r="N1816">
        <v>-1.496157E-2</v>
      </c>
      <c r="O1816">
        <v>-2.7504679999999998E-3</v>
      </c>
      <c r="P1816">
        <v>-0.97815379999999996</v>
      </c>
      <c r="Q1816">
        <v>0.2030807</v>
      </c>
      <c r="R1816">
        <v>4.4420639999999997E-2</v>
      </c>
      <c r="S1816">
        <v>-3.0744319999999998</v>
      </c>
      <c r="T1816">
        <v>-5.0174709999999997E-2</v>
      </c>
      <c r="U1816">
        <v>6.6680909999999996E-2</v>
      </c>
      <c r="V1816">
        <v>4.7377269999999999E-2</v>
      </c>
      <c r="W1816">
        <v>0.2176331</v>
      </c>
      <c r="X1816">
        <v>0.97488010000000003</v>
      </c>
      <c r="Y1816">
        <v>2.4427569999999999E-2</v>
      </c>
      <c r="Z1816">
        <v>3.858159E-4</v>
      </c>
      <c r="AA1816">
        <v>0.99970150000000002</v>
      </c>
      <c r="AB1816">
        <v>50</v>
      </c>
      <c r="AC1816">
        <v>-68.361400000000003</v>
      </c>
      <c r="AD1816">
        <v>-1.12025368602699</v>
      </c>
      <c r="AE1816">
        <v>1.48950000000002</v>
      </c>
      <c r="AF1816">
        <v>1.6770911179368599</v>
      </c>
      <c r="AG1816">
        <v>-1.12025368602699</v>
      </c>
      <c r="AH1816">
        <v>68.338701034923702</v>
      </c>
      <c r="AI1816">
        <v>90.938863991367299</v>
      </c>
      <c r="AJ1816">
        <v>88.594193946084403</v>
      </c>
      <c r="AK1816">
        <v>68.368455168151996</v>
      </c>
      <c r="AL1816">
        <v>77.429948380315494</v>
      </c>
      <c r="AM1816">
        <v>87.217725937063605</v>
      </c>
      <c r="AN1816">
        <v>0.99999999065213596</v>
      </c>
    </row>
    <row r="1817" spans="1:40" x14ac:dyDescent="0.25">
      <c r="A1817" t="str">
        <f>"20190303171013788"</f>
        <v>20190303171013788</v>
      </c>
      <c r="B1817" t="str">
        <f>"1551604213782714"</f>
        <v>1551604213782714</v>
      </c>
      <c r="C1817" t="s">
        <v>40</v>
      </c>
      <c r="D1817">
        <v>5.0269219999999999</v>
      </c>
      <c r="E1817">
        <v>0.49731809999999999</v>
      </c>
      <c r="F1817" t="s">
        <v>60</v>
      </c>
      <c r="G1817">
        <v>-431.86500000000001</v>
      </c>
      <c r="H1817" s="1">
        <v>2.9844659999999999E-6</v>
      </c>
      <c r="I1817">
        <v>285.29790000000003</v>
      </c>
      <c r="J1817">
        <v>-362.41070000000002</v>
      </c>
      <c r="K1817">
        <v>1.120261</v>
      </c>
      <c r="L1817">
        <v>283.75479999999999</v>
      </c>
      <c r="M1817">
        <v>-0.99988520000000003</v>
      </c>
      <c r="N1817">
        <v>-1.495876E-2</v>
      </c>
      <c r="O1817">
        <v>-2.4294080000000001E-3</v>
      </c>
      <c r="P1817">
        <v>-0.97816959999999997</v>
      </c>
      <c r="Q1817">
        <v>0.20293410000000001</v>
      </c>
      <c r="R1817">
        <v>4.4747059999999998E-2</v>
      </c>
      <c r="S1817">
        <v>-3.0741580000000002</v>
      </c>
      <c r="T1817">
        <v>-4.9279450000000002E-2</v>
      </c>
      <c r="U1817">
        <v>6.7840579999999998E-2</v>
      </c>
      <c r="V1817">
        <v>4.7390460000000002E-2</v>
      </c>
      <c r="W1817">
        <v>0.2174837</v>
      </c>
      <c r="X1817">
        <v>0.97491280000000002</v>
      </c>
      <c r="Y1817">
        <v>2.4485590000000002E-2</v>
      </c>
      <c r="Z1817">
        <v>3.8200940000000002E-4</v>
      </c>
      <c r="AA1817">
        <v>0.99970009999999998</v>
      </c>
      <c r="AB1817">
        <v>50</v>
      </c>
      <c r="AC1817">
        <v>-69.454299999999904</v>
      </c>
      <c r="AD1817">
        <v>-1.1202580155339901</v>
      </c>
      <c r="AE1817">
        <v>1.5431000000000299</v>
      </c>
      <c r="AF1817">
        <v>1.7114021360103899</v>
      </c>
      <c r="AG1817">
        <v>-1.1202580155339901</v>
      </c>
      <c r="AH1817">
        <v>69.432291273173107</v>
      </c>
      <c r="AI1817">
        <v>90.924080166595104</v>
      </c>
      <c r="AJ1817">
        <v>88.588030627783496</v>
      </c>
      <c r="AK1817">
        <v>69.462413913822999</v>
      </c>
      <c r="AL1817">
        <v>77.438718447602696</v>
      </c>
      <c r="AM1817">
        <v>87.217045760450603</v>
      </c>
      <c r="AN1817">
        <v>0.99999999153426999</v>
      </c>
    </row>
    <row r="1818" spans="1:40" x14ac:dyDescent="0.25">
      <c r="A1818" t="str">
        <f>"20190303171013800"</f>
        <v>20190303171013800</v>
      </c>
      <c r="B1818" t="str">
        <f>"1551604213792473"</f>
        <v>1551604213792473</v>
      </c>
      <c r="C1818" t="s">
        <v>40</v>
      </c>
      <c r="D1818">
        <v>5.0285830000000002</v>
      </c>
      <c r="E1818">
        <v>0.49732769999999998</v>
      </c>
      <c r="F1818" t="s">
        <v>60</v>
      </c>
      <c r="G1818">
        <v>-431.57049999999998</v>
      </c>
      <c r="H1818" s="1">
        <v>2.8513769999999999E-6</v>
      </c>
      <c r="I1818">
        <v>285.3263</v>
      </c>
      <c r="J1818">
        <v>-362.67829999999998</v>
      </c>
      <c r="K1818">
        <v>1.120261</v>
      </c>
      <c r="L1818">
        <v>283.75420000000003</v>
      </c>
      <c r="M1818">
        <v>-0.99988569999999999</v>
      </c>
      <c r="N1818">
        <v>-1.495704E-2</v>
      </c>
      <c r="O1818">
        <v>-2.2291210000000001E-3</v>
      </c>
      <c r="P1818">
        <v>-0.97819670000000003</v>
      </c>
      <c r="Q1818">
        <v>0.2027477</v>
      </c>
      <c r="R1818">
        <v>4.5000640000000001E-2</v>
      </c>
      <c r="S1818">
        <v>-3.0740970000000001</v>
      </c>
      <c r="T1818">
        <v>-4.979455E-2</v>
      </c>
      <c r="U1818">
        <v>6.9854739999999999E-2</v>
      </c>
      <c r="V1818">
        <v>4.744843E-2</v>
      </c>
      <c r="W1818">
        <v>0.21729660000000001</v>
      </c>
      <c r="X1818">
        <v>0.97495169999999998</v>
      </c>
      <c r="Y1818">
        <v>2.4940250000000001E-2</v>
      </c>
      <c r="Z1818">
        <v>3.9128969999999998E-4</v>
      </c>
      <c r="AA1818">
        <v>0.99968889999999999</v>
      </c>
      <c r="AB1818">
        <v>50</v>
      </c>
      <c r="AC1818">
        <v>-68.892200000000003</v>
      </c>
      <c r="AD1818">
        <v>-1.1202581486230001</v>
      </c>
      <c r="AE1818">
        <v>1.5720999999999701</v>
      </c>
      <c r="AF1818">
        <v>1.7252263674572701</v>
      </c>
      <c r="AG1818">
        <v>-1.1202581486230001</v>
      </c>
      <c r="AH1818">
        <v>68.870322717782599</v>
      </c>
      <c r="AI1818">
        <v>90.931609974073396</v>
      </c>
      <c r="AJ1818">
        <v>88.5650202145317</v>
      </c>
      <c r="AK1818">
        <v>68.901035809268095</v>
      </c>
      <c r="AL1818">
        <v>77.449701142390396</v>
      </c>
      <c r="AM1818">
        <v>87.213757894138894</v>
      </c>
      <c r="AN1818">
        <v>0.99999999160695696</v>
      </c>
    </row>
    <row r="1819" spans="1:40" x14ac:dyDescent="0.25">
      <c r="A1819" t="str">
        <f>"20190303171013811"</f>
        <v>20190303171013811</v>
      </c>
      <c r="B1819" t="str">
        <f>"1551604213802234"</f>
        <v>1551604213802234</v>
      </c>
      <c r="C1819" t="s">
        <v>40</v>
      </c>
      <c r="D1819">
        <v>5.0304080000000004</v>
      </c>
      <c r="E1819">
        <v>0.49734780000000001</v>
      </c>
      <c r="F1819" t="s">
        <v>60</v>
      </c>
      <c r="G1819">
        <v>-431.17149999999998</v>
      </c>
      <c r="H1819" s="1">
        <v>2.6741960000000001E-6</v>
      </c>
      <c r="I1819">
        <v>285.32900000000001</v>
      </c>
      <c r="J1819">
        <v>-362.94819999999999</v>
      </c>
      <c r="K1819">
        <v>1.1202589999999999</v>
      </c>
      <c r="L1819">
        <v>283.75369999999998</v>
      </c>
      <c r="M1819">
        <v>-0.99988630000000001</v>
      </c>
      <c r="N1819">
        <v>-1.4955329999999999E-2</v>
      </c>
      <c r="O1819">
        <v>-2.0269300000000001E-3</v>
      </c>
      <c r="P1819">
        <v>-0.97819920000000005</v>
      </c>
      <c r="Q1819">
        <v>0.2027178</v>
      </c>
      <c r="R1819">
        <v>4.5079170000000002E-2</v>
      </c>
      <c r="S1819">
        <v>-3.074036</v>
      </c>
      <c r="T1819">
        <v>-5.027819E-2</v>
      </c>
      <c r="U1819">
        <v>7.0678710000000006E-2</v>
      </c>
      <c r="V1819">
        <v>4.7329549999999998E-2</v>
      </c>
      <c r="W1819">
        <v>0.21726500000000001</v>
      </c>
      <c r="X1819">
        <v>0.97496459999999996</v>
      </c>
      <c r="Y1819">
        <v>2.5006250000000001E-2</v>
      </c>
      <c r="Z1819">
        <v>3.9433969999999997E-4</v>
      </c>
      <c r="AA1819">
        <v>0.9996872</v>
      </c>
      <c r="AB1819">
        <v>50</v>
      </c>
      <c r="AC1819">
        <v>-68.223299999999995</v>
      </c>
      <c r="AD1819">
        <v>-1.1202563258039999</v>
      </c>
      <c r="AE1819">
        <v>1.5753000000000199</v>
      </c>
      <c r="AF1819">
        <v>1.7131343897192599</v>
      </c>
      <c r="AG1819">
        <v>-1.1202563258039999</v>
      </c>
      <c r="AH1819">
        <v>68.201586999901707</v>
      </c>
      <c r="AI1819">
        <v>90.940739896330896</v>
      </c>
      <c r="AJ1819">
        <v>88.561107758087601</v>
      </c>
      <c r="AK1819">
        <v>68.232296407038106</v>
      </c>
      <c r="AL1819">
        <v>77.451556988859195</v>
      </c>
      <c r="AM1819">
        <v>87.220764460455598</v>
      </c>
      <c r="AN1819">
        <v>1.0000000688906701</v>
      </c>
    </row>
    <row r="1820" spans="1:40" x14ac:dyDescent="0.25">
      <c r="A1820" t="str">
        <f>"20190303171013832"</f>
        <v>20190303171013832</v>
      </c>
      <c r="B1820" t="str">
        <f>"1551604213822732"</f>
        <v>1551604213822732</v>
      </c>
      <c r="C1820" t="s">
        <v>40</v>
      </c>
      <c r="D1820">
        <v>5.0276370000000004</v>
      </c>
      <c r="E1820">
        <v>0.49743670000000001</v>
      </c>
      <c r="F1820" t="s">
        <v>60</v>
      </c>
      <c r="G1820">
        <v>-430.78769999999997</v>
      </c>
      <c r="H1820" s="1">
        <v>2.504957E-6</v>
      </c>
      <c r="I1820">
        <v>285.31810000000002</v>
      </c>
      <c r="J1820">
        <v>-363.38990000000001</v>
      </c>
      <c r="K1820">
        <v>1.1202620000000001</v>
      </c>
      <c r="L1820">
        <v>283.75310000000002</v>
      </c>
      <c r="M1820">
        <v>-0.99988690000000002</v>
      </c>
      <c r="N1820">
        <v>-1.495253E-2</v>
      </c>
      <c r="O1820">
        <v>-1.69658E-3</v>
      </c>
      <c r="P1820">
        <v>-0.97815010000000002</v>
      </c>
      <c r="Q1820">
        <v>0.2028441</v>
      </c>
      <c r="R1820">
        <v>4.5571599999999997E-2</v>
      </c>
      <c r="S1820">
        <v>-3.0740970000000001</v>
      </c>
      <c r="T1820">
        <v>-5.0763610000000001E-2</v>
      </c>
      <c r="U1820">
        <v>7.0892330000000003E-2</v>
      </c>
      <c r="V1820">
        <v>4.7499470000000002E-2</v>
      </c>
      <c r="W1820">
        <v>0.21738730000000001</v>
      </c>
      <c r="X1820">
        <v>0.97492900000000005</v>
      </c>
      <c r="Y1820">
        <v>2.474492E-2</v>
      </c>
      <c r="Z1820">
        <v>3.9197279999999998E-4</v>
      </c>
      <c r="AA1820">
        <v>0.99969370000000002</v>
      </c>
      <c r="AB1820">
        <v>50</v>
      </c>
      <c r="AC1820">
        <v>-67.397799999999904</v>
      </c>
      <c r="AD1820">
        <v>-1.120259495043</v>
      </c>
      <c r="AE1820">
        <v>1.56499999999999</v>
      </c>
      <c r="AF1820">
        <v>1.6788926853885899</v>
      </c>
      <c r="AG1820">
        <v>-1.120259495043</v>
      </c>
      <c r="AH1820">
        <v>67.376442958539798</v>
      </c>
      <c r="AI1820">
        <v>90.952266284705303</v>
      </c>
      <c r="AJ1820">
        <v>88.572593637941907</v>
      </c>
      <c r="AK1820">
        <v>67.406666789944794</v>
      </c>
      <c r="AL1820">
        <v>77.4443772096065</v>
      </c>
      <c r="AM1820">
        <v>87.210700638902907</v>
      </c>
      <c r="AN1820">
        <v>0.99999999644628501</v>
      </c>
    </row>
    <row r="1821" spans="1:40" x14ac:dyDescent="0.25">
      <c r="A1821" t="str">
        <f>"20190303171013854"</f>
        <v>20190303171013854</v>
      </c>
      <c r="B1821" t="str">
        <f>"1551604213842251"</f>
        <v>1551604213842251</v>
      </c>
      <c r="C1821" t="s">
        <v>40</v>
      </c>
      <c r="D1821">
        <v>5.0853320000000002</v>
      </c>
      <c r="E1821">
        <v>0.497581</v>
      </c>
      <c r="F1821" t="s">
        <v>60</v>
      </c>
      <c r="G1821">
        <v>-431.56229999999999</v>
      </c>
      <c r="H1821" s="1">
        <v>2.844275E-6</v>
      </c>
      <c r="I1821">
        <v>285.36579999999998</v>
      </c>
      <c r="J1821">
        <v>-363.8843</v>
      </c>
      <c r="K1821">
        <v>1.1202639999999999</v>
      </c>
      <c r="L1821">
        <v>283.75240000000002</v>
      </c>
      <c r="M1821">
        <v>-0.99988750000000004</v>
      </c>
      <c r="N1821">
        <v>-1.494936E-2</v>
      </c>
      <c r="O1821">
        <v>-1.3261810000000001E-3</v>
      </c>
      <c r="P1821">
        <v>-0.97814559999999995</v>
      </c>
      <c r="Q1821">
        <v>0.20279369999999999</v>
      </c>
      <c r="R1821">
        <v>4.5893539999999997E-2</v>
      </c>
      <c r="S1821">
        <v>-3.0740660000000002</v>
      </c>
      <c r="T1821">
        <v>-5.0515289999999997E-2</v>
      </c>
      <c r="U1821">
        <v>7.2723389999999999E-2</v>
      </c>
      <c r="V1821">
        <v>4.7459639999999997E-2</v>
      </c>
      <c r="W1821">
        <v>0.21733430000000001</v>
      </c>
      <c r="X1821">
        <v>0.97494270000000005</v>
      </c>
      <c r="Y1821">
        <v>2.4969959999999999E-2</v>
      </c>
      <c r="Z1821">
        <v>3.9378729999999998E-4</v>
      </c>
      <c r="AA1821">
        <v>0.99968809999999997</v>
      </c>
      <c r="AB1821">
        <v>50</v>
      </c>
      <c r="AC1821">
        <v>-67.677999999999997</v>
      </c>
      <c r="AD1821">
        <v>-1.120261155725</v>
      </c>
      <c r="AE1821">
        <v>1.61339999999995</v>
      </c>
      <c r="AF1821">
        <v>1.7026956119893999</v>
      </c>
      <c r="AG1821">
        <v>-1.120261155725</v>
      </c>
      <c r="AH1821">
        <v>67.657273309804694</v>
      </c>
      <c r="AI1821">
        <v>90.9483098733091</v>
      </c>
      <c r="AJ1821">
        <v>88.558371045899094</v>
      </c>
      <c r="AK1821">
        <v>67.687966353863303</v>
      </c>
      <c r="AL1821">
        <v>77.447487570485094</v>
      </c>
      <c r="AM1821">
        <v>87.2130749778064</v>
      </c>
      <c r="AN1821">
        <v>0.99999994183435303</v>
      </c>
    </row>
    <row r="1822" spans="1:40" x14ac:dyDescent="0.25">
      <c r="A1822" t="str">
        <f>"20190303171013870"</f>
        <v>20190303171013870</v>
      </c>
      <c r="B1822" t="str">
        <f>"1551604213862748"</f>
        <v>1551604213862748</v>
      </c>
      <c r="C1822" t="s">
        <v>40</v>
      </c>
      <c r="D1822">
        <v>5.0259349999999996</v>
      </c>
      <c r="E1822">
        <v>0.49772100000000002</v>
      </c>
      <c r="F1822" t="s">
        <v>60</v>
      </c>
      <c r="G1822">
        <v>-431.83190000000002</v>
      </c>
      <c r="H1822" s="1">
        <v>2.9596279999999999E-6</v>
      </c>
      <c r="I1822">
        <v>285.41390000000001</v>
      </c>
      <c r="J1822">
        <v>-364.22269999999997</v>
      </c>
      <c r="K1822">
        <v>1.1202650000000001</v>
      </c>
      <c r="L1822">
        <v>283.75209999999998</v>
      </c>
      <c r="M1822">
        <v>-0.99988779999999999</v>
      </c>
      <c r="N1822">
        <v>-1.4947159999999999E-2</v>
      </c>
      <c r="O1822">
        <v>-1.07285E-3</v>
      </c>
      <c r="P1822">
        <v>-0.97816709999999996</v>
      </c>
      <c r="Q1822">
        <v>0.202685</v>
      </c>
      <c r="R1822">
        <v>4.5914259999999998E-2</v>
      </c>
      <c r="S1822">
        <v>-3.074036</v>
      </c>
      <c r="T1822">
        <v>-5.0682070000000003E-2</v>
      </c>
      <c r="U1822">
        <v>7.5164789999999995E-2</v>
      </c>
      <c r="V1822">
        <v>4.7232610000000001E-2</v>
      </c>
      <c r="W1822">
        <v>0.21722449999999999</v>
      </c>
      <c r="X1822">
        <v>0.97497829999999996</v>
      </c>
      <c r="Y1822">
        <v>2.5510229999999998E-2</v>
      </c>
      <c r="Z1822">
        <v>4.026163E-4</v>
      </c>
      <c r="AA1822">
        <v>0.99967450000000002</v>
      </c>
      <c r="AB1822">
        <v>49</v>
      </c>
      <c r="AC1822">
        <v>-67.609200000000001</v>
      </c>
      <c r="AD1822">
        <v>-1.1202620403720001</v>
      </c>
      <c r="AE1822">
        <v>1.6618000000000199</v>
      </c>
      <c r="AF1822">
        <v>1.7338659189082499</v>
      </c>
      <c r="AG1822">
        <v>-1.1202620403720001</v>
      </c>
      <c r="AH1822">
        <v>67.588832446343801</v>
      </c>
      <c r="AI1822">
        <v>90.949258982709395</v>
      </c>
      <c r="AJ1822">
        <v>88.530505523559796</v>
      </c>
      <c r="AK1822">
        <v>67.620348635035796</v>
      </c>
      <c r="AL1822">
        <v>77.453933928001902</v>
      </c>
      <c r="AM1822">
        <v>87.226486882496005</v>
      </c>
      <c r="AN1822">
        <v>1.00000004415927</v>
      </c>
    </row>
    <row r="1823" spans="1:40" x14ac:dyDescent="0.25">
      <c r="A1823" t="str">
        <f>"20190303171013882"</f>
        <v>20190303171013882</v>
      </c>
      <c r="B1823" t="str">
        <f>"1551604213872507"</f>
        <v>1551604213872507</v>
      </c>
      <c r="C1823" t="s">
        <v>40</v>
      </c>
      <c r="D1823">
        <v>5.0825750000000003</v>
      </c>
      <c r="E1823">
        <v>0.49780370000000002</v>
      </c>
      <c r="F1823" t="s">
        <v>60</v>
      </c>
      <c r="G1823">
        <v>-432.3175</v>
      </c>
      <c r="H1823" s="1">
        <v>3.1725979999999999E-6</v>
      </c>
      <c r="I1823">
        <v>285.4409</v>
      </c>
      <c r="J1823">
        <v>-364.50529999999998</v>
      </c>
      <c r="K1823">
        <v>1.1202650000000001</v>
      </c>
      <c r="L1823">
        <v>283.75200000000001</v>
      </c>
      <c r="M1823">
        <v>-0.99988809999999995</v>
      </c>
      <c r="N1823">
        <v>-1.494533E-2</v>
      </c>
      <c r="O1823">
        <v>-8.6089169999999896E-4</v>
      </c>
      <c r="P1823">
        <v>-0.97818890000000003</v>
      </c>
      <c r="Q1823">
        <v>0.2025574</v>
      </c>
      <c r="R1823">
        <v>4.601127E-2</v>
      </c>
      <c r="S1823">
        <v>-3.0738530000000002</v>
      </c>
      <c r="T1823">
        <v>-5.0569530000000001E-2</v>
      </c>
      <c r="U1823">
        <v>7.6232910000000001E-2</v>
      </c>
      <c r="V1823">
        <v>4.712218E-2</v>
      </c>
      <c r="W1823">
        <v>0.2170955</v>
      </c>
      <c r="X1823">
        <v>0.97501230000000005</v>
      </c>
      <c r="Y1823">
        <v>2.564692E-2</v>
      </c>
      <c r="Z1823">
        <v>4.0392919999999999E-4</v>
      </c>
      <c r="AA1823">
        <v>0.99967099999999998</v>
      </c>
      <c r="AB1823">
        <v>49</v>
      </c>
      <c r="AC1823">
        <v>-67.812200000000004</v>
      </c>
      <c r="AD1823">
        <v>-1.120261827402</v>
      </c>
      <c r="AE1823">
        <v>1.6888999999999801</v>
      </c>
      <c r="AF1823">
        <v>1.7468084155382799</v>
      </c>
      <c r="AG1823">
        <v>-1.120261827402</v>
      </c>
      <c r="AH1823">
        <v>67.792230865931799</v>
      </c>
      <c r="AI1823">
        <v>90.946408470202499</v>
      </c>
      <c r="AJ1823">
        <v>88.523981182134193</v>
      </c>
      <c r="AK1823">
        <v>67.823984636574707</v>
      </c>
      <c r="AL1823">
        <v>77.461504839826503</v>
      </c>
      <c r="AM1823">
        <v>87.233057616267402</v>
      </c>
      <c r="AN1823">
        <v>0.99999997055974499</v>
      </c>
    </row>
    <row r="1824" spans="1:40" x14ac:dyDescent="0.25">
      <c r="A1824" t="str">
        <f>"20190303171013894"</f>
        <v>20190303171013894</v>
      </c>
      <c r="B1824" t="str">
        <f>"1551604213882268"</f>
        <v>1551604213882268</v>
      </c>
      <c r="C1824" t="s">
        <v>40</v>
      </c>
      <c r="D1824">
        <v>5.0245389999999999</v>
      </c>
      <c r="E1824">
        <v>0.49784129999999899</v>
      </c>
      <c r="F1824" t="s">
        <v>60</v>
      </c>
      <c r="G1824">
        <v>-431.9051</v>
      </c>
      <c r="H1824" s="1">
        <v>2.9884239999999999E-6</v>
      </c>
      <c r="I1824">
        <v>285.4556</v>
      </c>
      <c r="J1824">
        <v>-364.78710000000001</v>
      </c>
      <c r="K1824">
        <v>1.120266</v>
      </c>
      <c r="L1824">
        <v>283.75189999999998</v>
      </c>
      <c r="M1824">
        <v>-0.99988829999999995</v>
      </c>
      <c r="N1824">
        <v>-1.49435E-2</v>
      </c>
      <c r="O1824">
        <v>-6.4917580000000005E-4</v>
      </c>
      <c r="P1824">
        <v>-0.97817799999999999</v>
      </c>
      <c r="Q1824">
        <v>0.2025692</v>
      </c>
      <c r="R1824">
        <v>4.6195050000000001E-2</v>
      </c>
      <c r="S1824">
        <v>-3.0738219999999998</v>
      </c>
      <c r="T1824">
        <v>-5.1090480000000001E-2</v>
      </c>
      <c r="U1824">
        <v>7.7697749999999996E-2</v>
      </c>
      <c r="V1824">
        <v>4.7098899999999999E-2</v>
      </c>
      <c r="W1824">
        <v>0.21710579999999999</v>
      </c>
      <c r="X1824">
        <v>0.97501119999999997</v>
      </c>
      <c r="Y1824">
        <v>2.5911409999999999E-2</v>
      </c>
      <c r="Z1824">
        <v>4.1004799999999999E-4</v>
      </c>
      <c r="AA1824">
        <v>0.9996642</v>
      </c>
      <c r="AB1824">
        <v>49</v>
      </c>
      <c r="AC1824">
        <v>-67.117999999999995</v>
      </c>
      <c r="AD1824">
        <v>-1.1202630115759999</v>
      </c>
      <c r="AE1824">
        <v>1.70370000000002</v>
      </c>
      <c r="AF1824">
        <v>1.7467895597704499</v>
      </c>
      <c r="AG1824">
        <v>-1.1202630115759999</v>
      </c>
      <c r="AH1824">
        <v>67.098199031740705</v>
      </c>
      <c r="AI1824">
        <v>90.956190283305304</v>
      </c>
      <c r="AJ1824">
        <v>88.508736895152097</v>
      </c>
      <c r="AK1824">
        <v>67.130280621224202</v>
      </c>
      <c r="AL1824">
        <v>77.460901126310603</v>
      </c>
      <c r="AM1824">
        <v>87.234419344281406</v>
      </c>
      <c r="AN1824">
        <v>1.0000000374501401</v>
      </c>
    </row>
    <row r="1825" spans="1:40" x14ac:dyDescent="0.25">
      <c r="A1825" t="str">
        <f>"20190303171013911"</f>
        <v>20190303171013911</v>
      </c>
      <c r="B1825" t="str">
        <f>"1551604213902770"</f>
        <v>1551604213902770</v>
      </c>
      <c r="C1825" t="s">
        <v>40</v>
      </c>
      <c r="D1825">
        <v>5.0819530000000004</v>
      </c>
      <c r="E1825">
        <v>0.49796170000000001</v>
      </c>
      <c r="F1825" t="s">
        <v>60</v>
      </c>
      <c r="G1825">
        <v>-432.00819999999999</v>
      </c>
      <c r="H1825" s="1">
        <v>3.0324559999999998E-6</v>
      </c>
      <c r="I1825">
        <v>285.4751</v>
      </c>
      <c r="J1825">
        <v>-365.12720000000002</v>
      </c>
      <c r="K1825">
        <v>1.120266</v>
      </c>
      <c r="L1825">
        <v>283.7518</v>
      </c>
      <c r="M1825">
        <v>-0.99988840000000001</v>
      </c>
      <c r="N1825">
        <v>-1.4941289999999999E-2</v>
      </c>
      <c r="O1825">
        <v>-3.9359319999999998E-4</v>
      </c>
      <c r="P1825">
        <v>-0.97812929999999998</v>
      </c>
      <c r="Q1825">
        <v>0.202763</v>
      </c>
      <c r="R1825">
        <v>4.6371099999999998E-2</v>
      </c>
      <c r="S1825">
        <v>-3.0738219999999998</v>
      </c>
      <c r="T1825">
        <v>-5.1226380000000002E-2</v>
      </c>
      <c r="U1825">
        <v>7.8796389999999994E-2</v>
      </c>
      <c r="V1825">
        <v>4.7024839999999998E-2</v>
      </c>
      <c r="W1825">
        <v>0.21729660000000001</v>
      </c>
      <c r="X1825">
        <v>0.97497219999999996</v>
      </c>
      <c r="Y1825">
        <v>2.6012899999999999E-2</v>
      </c>
      <c r="Z1825">
        <v>4.117859E-4</v>
      </c>
      <c r="AA1825">
        <v>0.99966149999999998</v>
      </c>
      <c r="AB1825">
        <v>49</v>
      </c>
      <c r="AC1825">
        <v>-66.880999999999901</v>
      </c>
      <c r="AD1825">
        <v>-1.1202629675439999</v>
      </c>
      <c r="AE1825">
        <v>1.7232999999999901</v>
      </c>
      <c r="AF1825">
        <v>1.7491362874368701</v>
      </c>
      <c r="AG1825">
        <v>-1.1202629675439999</v>
      </c>
      <c r="AH1825">
        <v>66.861569852420402</v>
      </c>
      <c r="AI1825">
        <v>90.959570474993697</v>
      </c>
      <c r="AJ1825">
        <v>88.501451964017903</v>
      </c>
      <c r="AK1825">
        <v>66.893826247259696</v>
      </c>
      <c r="AL1825">
        <v>77.449700858640696</v>
      </c>
      <c r="AM1825">
        <v>87.238651025270599</v>
      </c>
      <c r="AN1825">
        <v>0.999999969360712</v>
      </c>
    </row>
    <row r="1826" spans="1:40" x14ac:dyDescent="0.25">
      <c r="A1826" t="str">
        <f>"20190303171013923"</f>
        <v>20190303171013923</v>
      </c>
      <c r="B1826" t="str">
        <f>"1551604213912523"</f>
        <v>1551604213912523</v>
      </c>
      <c r="C1826" t="s">
        <v>40</v>
      </c>
      <c r="D1826">
        <v>5.0237069999999999</v>
      </c>
      <c r="E1826">
        <v>0.49803829999999999</v>
      </c>
      <c r="F1826" t="s">
        <v>60</v>
      </c>
      <c r="G1826">
        <v>-434.0136</v>
      </c>
      <c r="H1826" s="1">
        <v>3.9152969999999997E-6</v>
      </c>
      <c r="I1826">
        <v>285.54930000000002</v>
      </c>
      <c r="J1826">
        <v>-365.39550000000003</v>
      </c>
      <c r="K1826">
        <v>1.120268</v>
      </c>
      <c r="L1826">
        <v>283.7518</v>
      </c>
      <c r="M1826">
        <v>-0.99988840000000001</v>
      </c>
      <c r="N1826">
        <v>-1.4939539999999999E-2</v>
      </c>
      <c r="O1826">
        <v>-1.9177119999999999E-4</v>
      </c>
      <c r="P1826">
        <v>-0.97808550000000005</v>
      </c>
      <c r="Q1826">
        <v>0.20292769999999999</v>
      </c>
      <c r="R1826">
        <v>4.6575449999999997E-2</v>
      </c>
      <c r="S1826">
        <v>-3.0736690000000002</v>
      </c>
      <c r="T1826">
        <v>-4.9985410000000001E-2</v>
      </c>
      <c r="U1826">
        <v>8.0200199999999999E-2</v>
      </c>
      <c r="V1826">
        <v>4.7032020000000001E-2</v>
      </c>
      <c r="W1826">
        <v>0.2174595</v>
      </c>
      <c r="X1826">
        <v>0.97493560000000001</v>
      </c>
      <c r="Y1826">
        <v>2.626885E-2</v>
      </c>
      <c r="Z1826">
        <v>4.1009230000000002E-4</v>
      </c>
      <c r="AA1826">
        <v>0.99965479999999995</v>
      </c>
      <c r="AB1826">
        <v>49</v>
      </c>
      <c r="AC1826">
        <v>-68.618099999999899</v>
      </c>
      <c r="AD1826">
        <v>-1.1202640847030001</v>
      </c>
      <c r="AE1826">
        <v>1.7975000000000101</v>
      </c>
      <c r="AF1826">
        <v>1.81017825555988</v>
      </c>
      <c r="AG1826">
        <v>-1.1202640847030001</v>
      </c>
      <c r="AH1826">
        <v>68.599481978939096</v>
      </c>
      <c r="AI1826">
        <v>90.935260268440302</v>
      </c>
      <c r="AJ1826">
        <v>88.488450515514103</v>
      </c>
      <c r="AK1826">
        <v>68.632504432777097</v>
      </c>
      <c r="AL1826">
        <v>77.440139553846095</v>
      </c>
      <c r="AM1826">
        <v>87.238126541778797</v>
      </c>
      <c r="AN1826">
        <v>1.0000000345964399</v>
      </c>
    </row>
    <row r="1827" spans="1:40" x14ac:dyDescent="0.25">
      <c r="A1827" t="str">
        <f>"20190303171013937"</f>
        <v>20190303171013937</v>
      </c>
      <c r="B1827" t="str">
        <f>"1551604213932042"</f>
        <v>1551604213932042</v>
      </c>
      <c r="C1827" t="s">
        <v>40</v>
      </c>
      <c r="D1827">
        <v>5.0276399999999999</v>
      </c>
      <c r="E1827">
        <v>0.49812420000000002</v>
      </c>
      <c r="F1827" t="s">
        <v>60</v>
      </c>
      <c r="G1827">
        <v>-436.14690000000002</v>
      </c>
      <c r="H1827" s="1">
        <v>4.855095E-6</v>
      </c>
      <c r="I1827">
        <v>285.62049999999999</v>
      </c>
      <c r="J1827">
        <v>-365.71230000000003</v>
      </c>
      <c r="K1827">
        <v>1.120269</v>
      </c>
      <c r="L1827">
        <v>283.75189999999998</v>
      </c>
      <c r="M1827">
        <v>-0.99988849999999996</v>
      </c>
      <c r="N1827">
        <v>-1.493747E-2</v>
      </c>
      <c r="O1827" s="1">
        <v>4.6173179999999999E-5</v>
      </c>
      <c r="P1827">
        <v>-0.97810339999999996</v>
      </c>
      <c r="Q1827">
        <v>0.20277609999999999</v>
      </c>
      <c r="R1827">
        <v>4.6858530000000002E-2</v>
      </c>
      <c r="S1827">
        <v>-3.0734560000000002</v>
      </c>
      <c r="T1827">
        <v>-4.8664449999999998E-2</v>
      </c>
      <c r="U1827">
        <v>8.1176760000000001E-2</v>
      </c>
      <c r="V1827">
        <v>4.7082329999999999E-2</v>
      </c>
      <c r="W1827">
        <v>0.2173059</v>
      </c>
      <c r="X1827">
        <v>0.97496740000000004</v>
      </c>
      <c r="Y1827">
        <v>2.6350419999999999E-2</v>
      </c>
      <c r="Z1827">
        <v>4.0539630000000003E-4</v>
      </c>
      <c r="AA1827">
        <v>0.99965269999999995</v>
      </c>
      <c r="AB1827">
        <v>49</v>
      </c>
      <c r="AC1827">
        <v>-70.434599999999904</v>
      </c>
      <c r="AD1827">
        <v>-1.1202641449049999</v>
      </c>
      <c r="AE1827">
        <v>1.86860000000001</v>
      </c>
      <c r="AF1827">
        <v>1.8648760202740799</v>
      </c>
      <c r="AG1827">
        <v>-1.1202641449049999</v>
      </c>
      <c r="AH1827">
        <v>70.416885393170901</v>
      </c>
      <c r="AI1827">
        <v>90.911123818300993</v>
      </c>
      <c r="AJ1827">
        <v>88.482969604697701</v>
      </c>
      <c r="AK1827">
        <v>70.450482630002696</v>
      </c>
      <c r="AL1827">
        <v>77.449155552243496</v>
      </c>
      <c r="AM1827">
        <v>87.235266795247</v>
      </c>
      <c r="AN1827">
        <v>1.0000000155178901</v>
      </c>
    </row>
    <row r="1828" spans="1:40" x14ac:dyDescent="0.25">
      <c r="A1828" t="str">
        <f>"20190303171013954"</f>
        <v>20190303171013954</v>
      </c>
      <c r="B1828" t="str">
        <f>"1551604213942779"</f>
        <v>1551604213942779</v>
      </c>
      <c r="C1828" t="s">
        <v>40</v>
      </c>
      <c r="D1828">
        <v>5.0256299999999996</v>
      </c>
      <c r="E1828">
        <v>0.498141</v>
      </c>
      <c r="F1828" t="s">
        <v>60</v>
      </c>
      <c r="G1828">
        <v>-436.62360000000001</v>
      </c>
      <c r="H1828" s="1">
        <v>5.0624589999999997E-6</v>
      </c>
      <c r="I1828">
        <v>285.66649999999998</v>
      </c>
      <c r="J1828">
        <v>-366.09230000000002</v>
      </c>
      <c r="K1828">
        <v>1.1202669999999999</v>
      </c>
      <c r="L1828">
        <v>283.75209999999998</v>
      </c>
      <c r="M1828">
        <v>-0.99988849999999996</v>
      </c>
      <c r="N1828">
        <v>-1.4934970000000001E-2</v>
      </c>
      <c r="O1828">
        <v>3.3203589999999998E-4</v>
      </c>
      <c r="P1828">
        <v>-0.97808969999999995</v>
      </c>
      <c r="Q1828">
        <v>0.2027649</v>
      </c>
      <c r="R1828">
        <v>4.7190790000000003E-2</v>
      </c>
      <c r="S1828">
        <v>-3.073242</v>
      </c>
      <c r="T1828">
        <v>-4.8551440000000001E-2</v>
      </c>
      <c r="U1828">
        <v>8.2977289999999995E-2</v>
      </c>
      <c r="V1828">
        <v>4.7134799999999998E-2</v>
      </c>
      <c r="W1828">
        <v>0.21729200000000001</v>
      </c>
      <c r="X1828">
        <v>0.97496799999999995</v>
      </c>
      <c r="Y1828">
        <v>2.6651660000000001E-2</v>
      </c>
      <c r="Z1828">
        <v>4.0927800000000001E-4</v>
      </c>
      <c r="AA1828">
        <v>0.99964470000000005</v>
      </c>
      <c r="AB1828">
        <v>49</v>
      </c>
      <c r="AC1828">
        <v>-70.531299999999902</v>
      </c>
      <c r="AD1828">
        <v>-1.1202619375409999</v>
      </c>
      <c r="AE1828">
        <v>1.9144000000000001</v>
      </c>
      <c r="AF1828">
        <v>1.8905017840453999</v>
      </c>
      <c r="AG1828">
        <v>-1.1202619375409999</v>
      </c>
      <c r="AH1828">
        <v>70.5141559208285</v>
      </c>
      <c r="AI1828">
        <v>90.909857472159004</v>
      </c>
      <c r="AJ1828">
        <v>88.464254012390199</v>
      </c>
      <c r="AK1828">
        <v>70.548388847875898</v>
      </c>
      <c r="AL1828">
        <v>77.449971922732701</v>
      </c>
      <c r="AM1828">
        <v>87.232192180494593</v>
      </c>
      <c r="AN1828">
        <v>1.00000005182951</v>
      </c>
    </row>
    <row r="1829" spans="1:40" x14ac:dyDescent="0.25">
      <c r="A1829" t="str">
        <f>"20190303171013967"</f>
        <v>20190303171013967</v>
      </c>
      <c r="B1829" t="str">
        <f>"1551604213962300"</f>
        <v>1551604213962300</v>
      </c>
      <c r="C1829" t="s">
        <v>40</v>
      </c>
      <c r="D1829">
        <v>5.0844189999999996</v>
      </c>
      <c r="E1829">
        <v>0.49879099999999998</v>
      </c>
      <c r="F1829" t="s">
        <v>60</v>
      </c>
      <c r="G1829">
        <v>-437.28809999999999</v>
      </c>
      <c r="H1829" s="1">
        <v>5.3539950000000004E-6</v>
      </c>
      <c r="I1829">
        <v>285.70269999999999</v>
      </c>
      <c r="J1829">
        <v>-366.36579999999998</v>
      </c>
      <c r="K1829">
        <v>1.1202669999999999</v>
      </c>
      <c r="L1829">
        <v>283.75229999999999</v>
      </c>
      <c r="M1829">
        <v>-0.99988849999999996</v>
      </c>
      <c r="N1829">
        <v>-1.4933139999999999E-2</v>
      </c>
      <c r="O1829">
        <v>5.3731600000000003E-4</v>
      </c>
      <c r="P1829">
        <v>-0.97815549999999996</v>
      </c>
      <c r="Q1829">
        <v>0.20245650000000001</v>
      </c>
      <c r="R1829">
        <v>4.7153859999999999E-2</v>
      </c>
      <c r="S1829">
        <v>-3.0731510000000002</v>
      </c>
      <c r="T1829">
        <v>-4.8355820000000001E-2</v>
      </c>
      <c r="U1829">
        <v>8.4197999999999995E-2</v>
      </c>
      <c r="V1829">
        <v>4.689658E-2</v>
      </c>
      <c r="W1829">
        <v>0.21698329999999999</v>
      </c>
      <c r="X1829">
        <v>0.97504820000000003</v>
      </c>
      <c r="Y1829">
        <v>2.684402E-2</v>
      </c>
      <c r="Z1829">
        <v>4.112176E-4</v>
      </c>
      <c r="AA1829">
        <v>0.99963959999999996</v>
      </c>
      <c r="AB1829">
        <v>49</v>
      </c>
      <c r="AC1829">
        <v>-70.922300000000007</v>
      </c>
      <c r="AD1829">
        <v>-1.1202616460049999</v>
      </c>
      <c r="AE1829">
        <v>1.9503999999999999</v>
      </c>
      <c r="AF1829">
        <v>1.91181114842054</v>
      </c>
      <c r="AG1829">
        <v>-1.1202616460049999</v>
      </c>
      <c r="AH1829">
        <v>70.905660152156102</v>
      </c>
      <c r="AI1829">
        <v>90.904830607177402</v>
      </c>
      <c r="AJ1829">
        <v>88.455522776759807</v>
      </c>
      <c r="AK1829">
        <v>70.940275229489998</v>
      </c>
      <c r="AL1829">
        <v>77.468090999256702</v>
      </c>
      <c r="AM1829">
        <v>87.246385296794401</v>
      </c>
      <c r="AN1829">
        <v>1.0000000170089101</v>
      </c>
    </row>
    <row r="1830" spans="1:40" x14ac:dyDescent="0.25">
      <c r="A1830" t="str">
        <f>"20190303171013979"</f>
        <v>20190303171013979</v>
      </c>
      <c r="B1830" t="str">
        <f>"1551604213972058"</f>
        <v>1551604213972058</v>
      </c>
      <c r="C1830" t="s">
        <v>40</v>
      </c>
      <c r="D1830">
        <v>5.1443240000000001</v>
      </c>
      <c r="E1830">
        <v>0.4991141</v>
      </c>
      <c r="F1830" t="s">
        <v>60</v>
      </c>
      <c r="G1830">
        <v>-436.36709999999999</v>
      </c>
      <c r="H1830" s="1">
        <v>4.9372949999999998E-6</v>
      </c>
      <c r="I1830">
        <v>285.79700000000003</v>
      </c>
      <c r="J1830">
        <v>-366.65390000000002</v>
      </c>
      <c r="K1830">
        <v>1.1202730000000001</v>
      </c>
      <c r="L1830">
        <v>283.75259999999997</v>
      </c>
      <c r="M1830">
        <v>-0.9998882</v>
      </c>
      <c r="N1830">
        <v>-1.493122E-2</v>
      </c>
      <c r="O1830">
        <v>7.5409800000000003E-4</v>
      </c>
      <c r="P1830">
        <v>-0.97821219999999998</v>
      </c>
      <c r="Q1830">
        <v>0.20219090000000001</v>
      </c>
      <c r="R1830">
        <v>4.7113750000000003E-2</v>
      </c>
      <c r="S1830">
        <v>-3.0728149999999999</v>
      </c>
      <c r="T1830">
        <v>-4.9175620000000003E-2</v>
      </c>
      <c r="U1830">
        <v>8.9752199999999893E-2</v>
      </c>
      <c r="V1830">
        <v>4.6644100000000001E-2</v>
      </c>
      <c r="W1830">
        <v>0.21671750000000001</v>
      </c>
      <c r="X1830">
        <v>0.97511939999999997</v>
      </c>
      <c r="Y1830">
        <v>2.843511E-2</v>
      </c>
      <c r="Z1830">
        <v>4.3902850000000001E-4</v>
      </c>
      <c r="AA1830">
        <v>0.99959549999999997</v>
      </c>
      <c r="AB1830">
        <v>49</v>
      </c>
      <c r="AC1830">
        <v>-69.713199999999901</v>
      </c>
      <c r="AD1830">
        <v>-1.1202680627049999</v>
      </c>
      <c r="AE1830">
        <v>2.0444000000000502</v>
      </c>
      <c r="AF1830">
        <v>1.99130918837787</v>
      </c>
      <c r="AG1830">
        <v>-1.1202680627049999</v>
      </c>
      <c r="AH1830">
        <v>69.696739402461105</v>
      </c>
      <c r="AI1830">
        <v>90.920486819082498</v>
      </c>
      <c r="AJ1830">
        <v>88.363444498109203</v>
      </c>
      <c r="AK1830">
        <v>69.7341795402413</v>
      </c>
      <c r="AL1830">
        <v>77.483691159142097</v>
      </c>
      <c r="AM1830">
        <v>87.261387142715805</v>
      </c>
      <c r="AN1830">
        <v>0.999999995563709</v>
      </c>
    </row>
    <row r="1831" spans="1:40" x14ac:dyDescent="0.25">
      <c r="A1831" t="str">
        <f>"20190303171013991"</f>
        <v>20190303171013991</v>
      </c>
      <c r="B1831" t="str">
        <f>"1551604213982795"</f>
        <v>1551604213982795</v>
      </c>
      <c r="C1831" t="s">
        <v>40</v>
      </c>
      <c r="D1831">
        <v>5.0861769999999904</v>
      </c>
      <c r="E1831">
        <v>0.4994287</v>
      </c>
      <c r="F1831" t="s">
        <v>60</v>
      </c>
      <c r="G1831">
        <v>-436.55959999999999</v>
      </c>
      <c r="H1831" s="1">
        <v>5.0180860000000003E-6</v>
      </c>
      <c r="I1831">
        <v>285.84949999999998</v>
      </c>
      <c r="J1831">
        <v>-366.91579999999999</v>
      </c>
      <c r="K1831">
        <v>1.120274</v>
      </c>
      <c r="L1831">
        <v>283.75290000000001</v>
      </c>
      <c r="M1831">
        <v>-0.99988809999999995</v>
      </c>
      <c r="N1831">
        <v>-1.492947E-2</v>
      </c>
      <c r="O1831">
        <v>9.5120600000000001E-4</v>
      </c>
      <c r="P1831">
        <v>-0.97827240000000004</v>
      </c>
      <c r="Q1831">
        <v>0.2019116</v>
      </c>
      <c r="R1831">
        <v>4.7066700000000003E-2</v>
      </c>
      <c r="S1831">
        <v>-3.0726010000000001</v>
      </c>
      <c r="T1831">
        <v>-4.9239749999999999E-2</v>
      </c>
      <c r="U1831">
        <v>9.2163090000000003E-2</v>
      </c>
      <c r="V1831">
        <v>4.6403670000000001E-2</v>
      </c>
      <c r="W1831">
        <v>0.21643780000000001</v>
      </c>
      <c r="X1831">
        <v>0.97519299999999998</v>
      </c>
      <c r="Y1831">
        <v>2.902356E-2</v>
      </c>
      <c r="Z1831">
        <v>4.4819059999999999E-4</v>
      </c>
      <c r="AA1831">
        <v>0.99957870000000004</v>
      </c>
      <c r="AB1831">
        <v>49</v>
      </c>
      <c r="AC1831">
        <v>-69.643799999999999</v>
      </c>
      <c r="AD1831">
        <v>-1.1202689819139999</v>
      </c>
      <c r="AE1831">
        <v>2.0965999999999601</v>
      </c>
      <c r="AF1831">
        <v>2.0298213272274599</v>
      </c>
      <c r="AG1831">
        <v>-1.1202689819139999</v>
      </c>
      <c r="AH1831">
        <v>69.627763163645099</v>
      </c>
      <c r="AI1831">
        <v>90.921383845332599</v>
      </c>
      <c r="AJ1831">
        <v>88.330159405180098</v>
      </c>
      <c r="AK1831">
        <v>69.666351852131399</v>
      </c>
      <c r="AL1831">
        <v>77.500106512210493</v>
      </c>
      <c r="AM1831">
        <v>87.275687488664403</v>
      </c>
      <c r="AN1831">
        <v>1.0000000045536499</v>
      </c>
    </row>
    <row r="1832" spans="1:40" x14ac:dyDescent="0.25">
      <c r="A1832" t="str">
        <f>"20190303171014004"</f>
        <v>20190303171014004</v>
      </c>
      <c r="B1832" t="str">
        <f>"1551604213992555"</f>
        <v>1551604213992555</v>
      </c>
      <c r="C1832" t="s">
        <v>40</v>
      </c>
      <c r="D1832">
        <v>5.0281949999999904</v>
      </c>
      <c r="E1832">
        <v>0.49967499999999998</v>
      </c>
      <c r="F1832" t="s">
        <v>60</v>
      </c>
      <c r="G1832">
        <v>-436.38080000000002</v>
      </c>
      <c r="H1832" s="1">
        <v>4.9343130000000001E-6</v>
      </c>
      <c r="I1832">
        <v>285.90089999999998</v>
      </c>
      <c r="J1832">
        <v>-367.17910000000001</v>
      </c>
      <c r="K1832">
        <v>1.120274</v>
      </c>
      <c r="L1832">
        <v>283.75330000000002</v>
      </c>
      <c r="M1832">
        <v>-0.99988790000000005</v>
      </c>
      <c r="N1832">
        <v>-1.492771E-2</v>
      </c>
      <c r="O1832">
        <v>1.149567E-3</v>
      </c>
      <c r="P1832">
        <v>-0.97826210000000002</v>
      </c>
      <c r="Q1832">
        <v>0.2018847</v>
      </c>
      <c r="R1832">
        <v>4.7389300000000002E-2</v>
      </c>
      <c r="S1832">
        <v>-3.072327</v>
      </c>
      <c r="T1832">
        <v>-4.9547670000000002E-2</v>
      </c>
      <c r="U1832">
        <v>9.5001219999999997E-2</v>
      </c>
      <c r="V1832">
        <v>4.6531929999999999E-2</v>
      </c>
      <c r="W1832">
        <v>0.21640889999999999</v>
      </c>
      <c r="X1832">
        <v>0.97519330000000004</v>
      </c>
      <c r="Y1832">
        <v>2.9750209999999999E-2</v>
      </c>
      <c r="Z1832">
        <v>4.6058740000000001E-4</v>
      </c>
      <c r="AA1832">
        <v>0.99955729999999998</v>
      </c>
      <c r="AB1832">
        <v>49</v>
      </c>
      <c r="AC1832">
        <v>-69.201700000000002</v>
      </c>
      <c r="AD1832">
        <v>-1.120269065687</v>
      </c>
      <c r="AE1832">
        <v>2.14759999999995</v>
      </c>
      <c r="AF1832">
        <v>2.0674964240020599</v>
      </c>
      <c r="AG1832">
        <v>-1.120269065687</v>
      </c>
      <c r="AH1832">
        <v>69.186009474575698</v>
      </c>
      <c r="AI1832">
        <v>90.927245961729994</v>
      </c>
      <c r="AJ1832">
        <v>88.288330579122004</v>
      </c>
      <c r="AK1832">
        <v>69.225959374059002</v>
      </c>
      <c r="AL1832">
        <v>77.501802530268293</v>
      </c>
      <c r="AM1832">
        <v>87.268169704237494</v>
      </c>
      <c r="AN1832">
        <v>1.0000000024368101</v>
      </c>
    </row>
    <row r="1833" spans="1:40" x14ac:dyDescent="0.25">
      <c r="A1833" t="str">
        <f>"20190303171014017"</f>
        <v>20190303171014017</v>
      </c>
      <c r="B1833" t="str">
        <f>"1551604214012075"</f>
        <v>1551604214012075</v>
      </c>
      <c r="C1833" t="s">
        <v>40</v>
      </c>
      <c r="D1833">
        <v>5.0905750000000003</v>
      </c>
      <c r="E1833">
        <v>0.50018809999999903</v>
      </c>
      <c r="F1833" t="s">
        <v>60</v>
      </c>
      <c r="G1833">
        <v>-437.2921</v>
      </c>
      <c r="H1833" s="1">
        <v>5.3301659999999997E-6</v>
      </c>
      <c r="I1833">
        <v>285.99540000000002</v>
      </c>
      <c r="J1833">
        <v>-367.47519999999997</v>
      </c>
      <c r="K1833">
        <v>1.120274</v>
      </c>
      <c r="L1833">
        <v>283.75380000000001</v>
      </c>
      <c r="M1833">
        <v>-0.99988770000000005</v>
      </c>
      <c r="N1833">
        <v>-1.492573E-2</v>
      </c>
      <c r="O1833">
        <v>1.3722470000000001E-3</v>
      </c>
      <c r="P1833">
        <v>-0.97828059999999994</v>
      </c>
      <c r="Q1833">
        <v>0.20176359999999999</v>
      </c>
      <c r="R1833">
        <v>4.7523429999999998E-2</v>
      </c>
      <c r="S1833">
        <v>-3.0719910000000001</v>
      </c>
      <c r="T1833">
        <v>-4.9084419999999997E-2</v>
      </c>
      <c r="U1833">
        <v>9.8236080000000003E-2</v>
      </c>
      <c r="V1833">
        <v>4.6447799999999997E-2</v>
      </c>
      <c r="W1833">
        <v>0.21628700000000001</v>
      </c>
      <c r="X1833">
        <v>0.97522439999999999</v>
      </c>
      <c r="Y1833">
        <v>3.0582379999999999E-2</v>
      </c>
      <c r="Z1833">
        <v>4.7113560000000001E-4</v>
      </c>
      <c r="AA1833">
        <v>0.99953219999999998</v>
      </c>
      <c r="AB1833">
        <v>49</v>
      </c>
      <c r="AC1833">
        <v>-69.816900000000004</v>
      </c>
      <c r="AD1833">
        <v>-1.1202686698340001</v>
      </c>
      <c r="AE1833">
        <v>2.2416</v>
      </c>
      <c r="AF1833">
        <v>2.14522942827973</v>
      </c>
      <c r="AG1833">
        <v>-1.1202686698340001</v>
      </c>
      <c r="AH1833">
        <v>69.801957358823898</v>
      </c>
      <c r="AI1833">
        <v>90.919041174925994</v>
      </c>
      <c r="AJ1833">
        <v>88.239678069333905</v>
      </c>
      <c r="AK1833">
        <v>69.843899249079996</v>
      </c>
      <c r="AL1833">
        <v>77.5089568846861</v>
      </c>
      <c r="AM1833">
        <v>87.273188237184996</v>
      </c>
      <c r="AN1833">
        <v>1.00000004742459</v>
      </c>
    </row>
    <row r="1834" spans="1:40" x14ac:dyDescent="0.25">
      <c r="A1834" t="str">
        <f>"20190303171014033"</f>
        <v>20190303171014033</v>
      </c>
      <c r="B1834" t="str">
        <f>"1551604214022810"</f>
        <v>1551604214022810</v>
      </c>
      <c r="C1834" t="s">
        <v>40</v>
      </c>
      <c r="D1834">
        <v>5.1448549999999997</v>
      </c>
      <c r="E1834">
        <v>0.50046029999999997</v>
      </c>
      <c r="F1834" t="s">
        <v>60</v>
      </c>
      <c r="G1834">
        <v>-439.11270000000002</v>
      </c>
      <c r="H1834" s="1">
        <v>6.123695E-6</v>
      </c>
      <c r="I1834">
        <v>286.15379999999999</v>
      </c>
      <c r="J1834">
        <v>-367.81670000000003</v>
      </c>
      <c r="K1834">
        <v>1.120277</v>
      </c>
      <c r="L1834">
        <v>283.75439999999998</v>
      </c>
      <c r="M1834">
        <v>-0.99988730000000003</v>
      </c>
      <c r="N1834">
        <v>-1.492346E-2</v>
      </c>
      <c r="O1834">
        <v>1.6294979999999901E-3</v>
      </c>
      <c r="P1834">
        <v>-0.97822520000000002</v>
      </c>
      <c r="Q1834">
        <v>0.2019987</v>
      </c>
      <c r="R1834">
        <v>4.7665689999999997E-2</v>
      </c>
      <c r="S1834">
        <v>-3.0715029999999999</v>
      </c>
      <c r="T1834">
        <v>-4.8032159999999997E-2</v>
      </c>
      <c r="U1834">
        <v>0.10290530000000001</v>
      </c>
      <c r="V1834">
        <v>4.6338709999999998E-2</v>
      </c>
      <c r="W1834">
        <v>0.21651880000000001</v>
      </c>
      <c r="X1834">
        <v>0.97517810000000005</v>
      </c>
      <c r="Y1834">
        <v>3.1848040000000001E-2</v>
      </c>
      <c r="Z1834">
        <v>4.8552369999999999E-4</v>
      </c>
      <c r="AA1834">
        <v>0.99949259999999995</v>
      </c>
      <c r="AB1834">
        <v>49</v>
      </c>
      <c r="AC1834">
        <v>-71.295999999999907</v>
      </c>
      <c r="AD1834">
        <v>-1.120270876305</v>
      </c>
      <c r="AE1834">
        <v>2.3994000000000102</v>
      </c>
      <c r="AF1834">
        <v>2.2826442436977499</v>
      </c>
      <c r="AG1834">
        <v>-1.120270876305</v>
      </c>
      <c r="AH1834">
        <v>71.282236119242299</v>
      </c>
      <c r="AI1834">
        <v>90.899924527234802</v>
      </c>
      <c r="AJ1834">
        <v>88.165865562437702</v>
      </c>
      <c r="AK1834">
        <v>71.327572913558399</v>
      </c>
      <c r="AL1834">
        <v>77.495352733067705</v>
      </c>
      <c r="AM1834">
        <v>87.279453986174303</v>
      </c>
      <c r="AN1834">
        <v>0.99999999675875695</v>
      </c>
    </row>
    <row r="1835" spans="1:40" x14ac:dyDescent="0.25">
      <c r="A1835" t="str">
        <f>"20190303171014055"</f>
        <v>20190303171014055</v>
      </c>
      <c r="B1835" t="str">
        <f>"1551604214042330"</f>
        <v>1551604214042330</v>
      </c>
      <c r="C1835" t="s">
        <v>40</v>
      </c>
      <c r="D1835">
        <v>5.1487410000000002</v>
      </c>
      <c r="E1835">
        <v>0.50091579999999902</v>
      </c>
      <c r="F1835" t="s">
        <v>53</v>
      </c>
      <c r="G1835">
        <v>-441.18639999999999</v>
      </c>
      <c r="H1835" s="1">
        <v>-9.7763220000000009E-7</v>
      </c>
      <c r="I1835">
        <v>286.26799999999997</v>
      </c>
      <c r="J1835">
        <v>-368.31040000000002</v>
      </c>
      <c r="K1835">
        <v>1.1202749999999999</v>
      </c>
      <c r="L1835">
        <v>283.75549999999998</v>
      </c>
      <c r="M1835">
        <v>-0.99988670000000002</v>
      </c>
      <c r="N1835">
        <v>-1.4920040000000001E-2</v>
      </c>
      <c r="O1835">
        <v>2.0011930000000001E-3</v>
      </c>
      <c r="P1835">
        <v>-0.97823190000000004</v>
      </c>
      <c r="Q1835">
        <v>0.20200019999999999</v>
      </c>
      <c r="R1835">
        <v>4.7520640000000003E-2</v>
      </c>
      <c r="S1835">
        <v>-3.0713499999999998</v>
      </c>
      <c r="T1835">
        <v>-4.6896220000000002E-2</v>
      </c>
      <c r="U1835">
        <v>0.1052246</v>
      </c>
      <c r="V1835">
        <v>4.5829870000000002E-2</v>
      </c>
      <c r="W1835">
        <v>0.2165183</v>
      </c>
      <c r="X1835">
        <v>0.97520229999999997</v>
      </c>
      <c r="Y1835">
        <v>3.2232240000000002E-2</v>
      </c>
      <c r="Z1835">
        <v>4.8585989999999998E-4</v>
      </c>
      <c r="AA1835">
        <v>0.99948029999999999</v>
      </c>
      <c r="AB1835">
        <v>49</v>
      </c>
      <c r="AC1835">
        <v>-72.875999999999905</v>
      </c>
      <c r="AD1835">
        <v>-1.1202759776322</v>
      </c>
      <c r="AE1835">
        <v>2.5124999999999802</v>
      </c>
      <c r="AF1835">
        <v>2.3660813300582602</v>
      </c>
      <c r="AG1835">
        <v>-1.1202759776322</v>
      </c>
      <c r="AH1835">
        <v>72.8636846669134</v>
      </c>
      <c r="AI1835">
        <v>90.880386732205693</v>
      </c>
      <c r="AJ1835">
        <v>88.140104300667801</v>
      </c>
      <c r="AK1835">
        <v>72.910698133853401</v>
      </c>
      <c r="AL1835">
        <v>77.495382608364494</v>
      </c>
      <c r="AM1835">
        <v>87.309350512547994</v>
      </c>
      <c r="AN1835">
        <v>1.0000000385721901</v>
      </c>
    </row>
    <row r="1836" spans="1:40" x14ac:dyDescent="0.25">
      <c r="A1836" t="str">
        <f>"20190303171014079"</f>
        <v>20190303171014079</v>
      </c>
      <c r="B1836" t="str">
        <f>"1551604214062828"</f>
        <v>1551604214062828</v>
      </c>
      <c r="C1836" t="s">
        <v>40</v>
      </c>
      <c r="D1836">
        <v>4.9711569999999998</v>
      </c>
      <c r="E1836">
        <v>0.50128130000000004</v>
      </c>
      <c r="F1836" t="s">
        <v>53</v>
      </c>
      <c r="G1836">
        <v>-442.28289999999998</v>
      </c>
      <c r="H1836" s="1">
        <v>-3.9907980000000001E-7</v>
      </c>
      <c r="I1836">
        <v>286.38119999999998</v>
      </c>
      <c r="J1836">
        <v>-368.8134</v>
      </c>
      <c r="K1836">
        <v>1.1202810000000001</v>
      </c>
      <c r="L1836">
        <v>283.7568</v>
      </c>
      <c r="M1836">
        <v>-0.99988600000000005</v>
      </c>
      <c r="N1836">
        <v>-1.491666E-2</v>
      </c>
      <c r="O1836">
        <v>2.3808039999999998E-3</v>
      </c>
      <c r="P1836">
        <v>-0.97832330000000001</v>
      </c>
      <c r="Q1836">
        <v>0.20163329999999999</v>
      </c>
      <c r="R1836">
        <v>4.7197639999999999E-2</v>
      </c>
      <c r="S1836">
        <v>-3.0710449999999998</v>
      </c>
      <c r="T1836">
        <v>-4.6509389999999998E-2</v>
      </c>
      <c r="U1836">
        <v>0.1090088</v>
      </c>
      <c r="V1836">
        <v>4.513437E-2</v>
      </c>
      <c r="W1836">
        <v>0.2161506</v>
      </c>
      <c r="X1836">
        <v>0.97531630000000002</v>
      </c>
      <c r="Y1836">
        <v>3.3086129999999998E-2</v>
      </c>
      <c r="Z1836">
        <v>4.9679230000000002E-4</v>
      </c>
      <c r="AA1836">
        <v>0.99945240000000002</v>
      </c>
      <c r="AB1836">
        <v>49</v>
      </c>
      <c r="AC1836">
        <v>-73.469499999999897</v>
      </c>
      <c r="AD1836">
        <v>-1.1202813990798</v>
      </c>
      <c r="AE1836">
        <v>2.6243999999999801</v>
      </c>
      <c r="AF1836">
        <v>2.4488879708599298</v>
      </c>
      <c r="AG1836">
        <v>-1.1202813990798</v>
      </c>
      <c r="AH1836">
        <v>73.4584826042706</v>
      </c>
      <c r="AI1836">
        <v>90.873238714482198</v>
      </c>
      <c r="AJ1836">
        <v>88.090635739632503</v>
      </c>
      <c r="AK1836">
        <v>73.507827809212799</v>
      </c>
      <c r="AL1836">
        <v>77.516961270308002</v>
      </c>
      <c r="AM1836">
        <v>87.350433621769099</v>
      </c>
      <c r="AN1836">
        <v>1.00000003914067</v>
      </c>
    </row>
    <row r="1837" spans="1:40" x14ac:dyDescent="0.25">
      <c r="A1837" t="str">
        <f>"20190303171014093"</f>
        <v>20190303171014093</v>
      </c>
      <c r="B1837" t="str">
        <f>"1551604214082349"</f>
        <v>1551604214082349</v>
      </c>
      <c r="C1837" t="s">
        <v>40</v>
      </c>
      <c r="D1837">
        <v>5.0903390000000002</v>
      </c>
      <c r="E1837">
        <v>0.50163619999999998</v>
      </c>
      <c r="F1837" t="s">
        <v>53</v>
      </c>
      <c r="G1837">
        <v>-442.14440000000002</v>
      </c>
      <c r="H1837" s="1">
        <v>-4.7416540000000001E-7</v>
      </c>
      <c r="I1837">
        <v>286.41309999999999</v>
      </c>
      <c r="J1837">
        <v>-369.1354</v>
      </c>
      <c r="K1837">
        <v>1.120285</v>
      </c>
      <c r="L1837">
        <v>283.7577</v>
      </c>
      <c r="M1837">
        <v>-0.99988529999999998</v>
      </c>
      <c r="N1837">
        <v>-1.4914409999999999E-2</v>
      </c>
      <c r="O1837">
        <v>2.623925E-3</v>
      </c>
      <c r="P1837">
        <v>-0.97832370000000002</v>
      </c>
      <c r="Q1837">
        <v>0.20158999999999999</v>
      </c>
      <c r="R1837">
        <v>4.737483E-2</v>
      </c>
      <c r="S1837">
        <v>-3.07077</v>
      </c>
      <c r="T1837">
        <v>-4.6912309999999999E-2</v>
      </c>
      <c r="U1837">
        <v>0.1112366</v>
      </c>
      <c r="V1837">
        <v>4.50734E-2</v>
      </c>
      <c r="W1837">
        <v>0.2161054</v>
      </c>
      <c r="X1837">
        <v>0.97532909999999995</v>
      </c>
      <c r="Y1837">
        <v>3.3570219999999998E-2</v>
      </c>
      <c r="Z1837">
        <v>5.0584689999999999E-4</v>
      </c>
      <c r="AA1837">
        <v>0.99943630000000006</v>
      </c>
      <c r="AB1837">
        <v>49</v>
      </c>
      <c r="AC1837">
        <v>-73.009</v>
      </c>
      <c r="AD1837">
        <v>-1.1202854741654</v>
      </c>
      <c r="AE1837">
        <v>2.6553999999999802</v>
      </c>
      <c r="AF1837">
        <v>2.4632201936241298</v>
      </c>
      <c r="AG1837">
        <v>-1.1202854741654</v>
      </c>
      <c r="AH1837">
        <v>72.998551919959795</v>
      </c>
      <c r="AI1837">
        <v>90.878730968673395</v>
      </c>
      <c r="AJ1837">
        <v>88.067378204409394</v>
      </c>
      <c r="AK1837">
        <v>73.048689760165999</v>
      </c>
      <c r="AL1837">
        <v>77.519613288412202</v>
      </c>
      <c r="AM1837">
        <v>87.354042388273399</v>
      </c>
      <c r="AN1837">
        <v>1.0000000043017601</v>
      </c>
    </row>
    <row r="1838" spans="1:40" x14ac:dyDescent="0.25">
      <c r="A1838" t="str">
        <f>"20190303171014107"</f>
        <v>20190303171014107</v>
      </c>
      <c r="B1838" t="str">
        <f>"1551604214102843"</f>
        <v>1551604214102843</v>
      </c>
      <c r="C1838" t="s">
        <v>40</v>
      </c>
      <c r="D1838">
        <v>5.0266640000000002</v>
      </c>
      <c r="E1838">
        <v>0.50188690000000002</v>
      </c>
      <c r="F1838" t="s">
        <v>53</v>
      </c>
      <c r="G1838">
        <v>-443.30270000000002</v>
      </c>
      <c r="H1838" s="1">
        <v>1.370365E-7</v>
      </c>
      <c r="I1838">
        <v>286.53160000000003</v>
      </c>
      <c r="J1838">
        <v>-369.4479</v>
      </c>
      <c r="K1838">
        <v>1.1202859999999999</v>
      </c>
      <c r="L1838">
        <v>283.75869999999998</v>
      </c>
      <c r="M1838">
        <v>-0.99988469999999996</v>
      </c>
      <c r="N1838">
        <v>-1.491226E-2</v>
      </c>
      <c r="O1838">
        <v>2.859421E-3</v>
      </c>
      <c r="P1838">
        <v>-0.97827640000000005</v>
      </c>
      <c r="Q1838">
        <v>0.20179079999999999</v>
      </c>
      <c r="R1838">
        <v>4.7494710000000002E-2</v>
      </c>
      <c r="S1838">
        <v>-3.0704959999999999</v>
      </c>
      <c r="T1838">
        <v>-4.6379330000000003E-2</v>
      </c>
      <c r="U1838">
        <v>0.1148376</v>
      </c>
      <c r="V1838">
        <v>4.4963049999999997E-2</v>
      </c>
      <c r="W1838">
        <v>0.2163032</v>
      </c>
      <c r="X1838">
        <v>0.9752904</v>
      </c>
      <c r="Y1838">
        <v>3.4508530000000003E-2</v>
      </c>
      <c r="Z1838">
        <v>5.1740589999999995E-4</v>
      </c>
      <c r="AA1838">
        <v>0.99940430000000002</v>
      </c>
      <c r="AB1838">
        <v>49</v>
      </c>
      <c r="AC1838">
        <v>-73.854799999999997</v>
      </c>
      <c r="AD1838">
        <v>-1.1202858629635</v>
      </c>
      <c r="AE1838">
        <v>2.7729000000000399</v>
      </c>
      <c r="AF1838">
        <v>2.5610947507302502</v>
      </c>
      <c r="AG1838">
        <v>-1.1202858629635</v>
      </c>
      <c r="AH1838">
        <v>73.845460491052407</v>
      </c>
      <c r="AI1838">
        <v>90.868627104352996</v>
      </c>
      <c r="AJ1838">
        <v>88.013674404864503</v>
      </c>
      <c r="AK1838">
        <v>73.898351009156897</v>
      </c>
      <c r="AL1838">
        <v>77.508006313147504</v>
      </c>
      <c r="AM1838">
        <v>87.360406537612604</v>
      </c>
      <c r="AN1838">
        <v>1.0000000572638399</v>
      </c>
    </row>
    <row r="1839" spans="1:40" x14ac:dyDescent="0.25">
      <c r="A1839" t="str">
        <f>"20190303171014122"</f>
        <v>20190303171014122</v>
      </c>
      <c r="B1839" t="str">
        <f>"1551604214112603"</f>
        <v>1551604214112603</v>
      </c>
      <c r="C1839" t="s">
        <v>40</v>
      </c>
      <c r="D1839">
        <v>5.0822750000000001</v>
      </c>
      <c r="E1839">
        <v>0.50204320000000002</v>
      </c>
      <c r="F1839" t="s">
        <v>53</v>
      </c>
      <c r="G1839">
        <v>-445.2921</v>
      </c>
      <c r="H1839" s="1">
        <v>1.1911070000000001E-6</v>
      </c>
      <c r="I1839">
        <v>286.63690000000003</v>
      </c>
      <c r="J1839">
        <v>-369.76690000000002</v>
      </c>
      <c r="K1839">
        <v>1.12029</v>
      </c>
      <c r="L1839">
        <v>283.75970000000001</v>
      </c>
      <c r="M1839">
        <v>-0.999884</v>
      </c>
      <c r="N1839">
        <v>-1.491015E-2</v>
      </c>
      <c r="O1839">
        <v>3.0999819999999998E-3</v>
      </c>
      <c r="P1839">
        <v>-0.97823159999999998</v>
      </c>
      <c r="Q1839">
        <v>0.2019532</v>
      </c>
      <c r="R1839">
        <v>4.772941E-2</v>
      </c>
      <c r="S1839">
        <v>-3.0703130000000001</v>
      </c>
      <c r="T1839">
        <v>-4.535115E-2</v>
      </c>
      <c r="U1839">
        <v>0.1165161</v>
      </c>
      <c r="V1839">
        <v>4.4962820000000001E-2</v>
      </c>
      <c r="W1839">
        <v>0.2164634</v>
      </c>
      <c r="X1839">
        <v>0.97525479999999998</v>
      </c>
      <c r="Y1839">
        <v>3.4816069999999998E-2</v>
      </c>
      <c r="Z1839">
        <v>5.1715599999999995E-4</v>
      </c>
      <c r="AA1839">
        <v>0.99939359999999999</v>
      </c>
      <c r="AB1839">
        <v>49</v>
      </c>
      <c r="AC1839">
        <v>-75.525199999999899</v>
      </c>
      <c r="AD1839">
        <v>-1.1202888088930001</v>
      </c>
      <c r="AE1839">
        <v>2.87720000000001</v>
      </c>
      <c r="AF1839">
        <v>2.6424528063339898</v>
      </c>
      <c r="AG1839">
        <v>-1.1202888088930001</v>
      </c>
      <c r="AH1839">
        <v>75.517165538743399</v>
      </c>
      <c r="AI1839">
        <v>90.849394451927907</v>
      </c>
      <c r="AJ1839">
        <v>87.995957002431396</v>
      </c>
      <c r="AK1839">
        <v>75.571687124577295</v>
      </c>
      <c r="AL1839">
        <v>77.498603962271105</v>
      </c>
      <c r="AM1839">
        <v>87.3603238038108</v>
      </c>
      <c r="AN1839">
        <v>0.99999999182247601</v>
      </c>
    </row>
    <row r="1840" spans="1:40" x14ac:dyDescent="0.25">
      <c r="A1840" t="str">
        <f>"20190303171014144"</f>
        <v>20190303171014144</v>
      </c>
      <c r="B1840" t="str">
        <f>"1551604214132126"</f>
        <v>1551604214132126</v>
      </c>
      <c r="C1840" t="s">
        <v>40</v>
      </c>
      <c r="D1840">
        <v>5.0820530000000002</v>
      </c>
      <c r="E1840">
        <v>0.50230489999999905</v>
      </c>
      <c r="F1840" t="s">
        <v>53</v>
      </c>
      <c r="G1840">
        <v>-447.33319999999998</v>
      </c>
      <c r="H1840" s="1">
        <v>2.2721569999999999E-6</v>
      </c>
      <c r="I1840">
        <v>286.75360000000001</v>
      </c>
      <c r="J1840">
        <v>-370.26190000000003</v>
      </c>
      <c r="K1840">
        <v>1.1202859999999999</v>
      </c>
      <c r="L1840">
        <v>283.76150000000001</v>
      </c>
      <c r="M1840">
        <v>-0.99988290000000002</v>
      </c>
      <c r="N1840">
        <v>-1.4907109999999999E-2</v>
      </c>
      <c r="O1840">
        <v>3.4734560000000002E-3</v>
      </c>
      <c r="P1840">
        <v>-0.97823879999999996</v>
      </c>
      <c r="Q1840">
        <v>0.2019193</v>
      </c>
      <c r="R1840">
        <v>4.77232E-2</v>
      </c>
      <c r="S1840">
        <v>-3.0700989999999999</v>
      </c>
      <c r="T1840">
        <v>-4.4341329999999998E-2</v>
      </c>
      <c r="U1840">
        <v>0.1184998</v>
      </c>
      <c r="V1840">
        <v>4.459047E-2</v>
      </c>
      <c r="W1840">
        <v>0.21642749999999999</v>
      </c>
      <c r="X1840">
        <v>0.97527989999999998</v>
      </c>
      <c r="Y1840">
        <v>3.5090389999999999E-2</v>
      </c>
      <c r="Z1840">
        <v>5.1660390000000001E-4</v>
      </c>
      <c r="AA1840">
        <v>0.99938400000000005</v>
      </c>
      <c r="AB1840">
        <v>49</v>
      </c>
      <c r="AC1840">
        <v>-77.071299999999894</v>
      </c>
      <c r="AD1840">
        <v>-1.120283727843</v>
      </c>
      <c r="AE1840">
        <v>2.99209999999999</v>
      </c>
      <c r="AF1840">
        <v>2.7237738113585999</v>
      </c>
      <c r="AG1840">
        <v>-1.120283727843</v>
      </c>
      <c r="AH1840">
        <v>77.064970804877007</v>
      </c>
      <c r="AI1840">
        <v>90.832323204599106</v>
      </c>
      <c r="AJ1840">
        <v>87.975788381325103</v>
      </c>
      <c r="AK1840">
        <v>77.121227327908002</v>
      </c>
      <c r="AL1840">
        <v>77.5007112847846</v>
      </c>
      <c r="AM1840">
        <v>87.382220461835303</v>
      </c>
      <c r="AN1840">
        <v>1.0000000280575401</v>
      </c>
    </row>
    <row r="1841" spans="1:40" x14ac:dyDescent="0.25">
      <c r="A1841" t="str">
        <f>"20190303171014157"</f>
        <v>20190303171014157</v>
      </c>
      <c r="B1841" t="str">
        <f>"1551604214142859"</f>
        <v>1551604214142859</v>
      </c>
      <c r="C1841" t="s">
        <v>40</v>
      </c>
      <c r="D1841">
        <v>4.8335160000000004</v>
      </c>
      <c r="E1841">
        <v>0.50243179999999998</v>
      </c>
      <c r="F1841" t="s">
        <v>53</v>
      </c>
      <c r="G1841">
        <v>-448.97570000000002</v>
      </c>
      <c r="H1841" s="1">
        <v>3.1417119999999998E-6</v>
      </c>
      <c r="I1841">
        <v>286.8571</v>
      </c>
      <c r="J1841">
        <v>-370.53179999999998</v>
      </c>
      <c r="K1841">
        <v>1.120287</v>
      </c>
      <c r="L1841">
        <v>283.76249999999999</v>
      </c>
      <c r="M1841">
        <v>-0.99988220000000005</v>
      </c>
      <c r="N1841">
        <v>-1.490549E-2</v>
      </c>
      <c r="O1841">
        <v>3.6770599999999998E-3</v>
      </c>
      <c r="P1841">
        <v>-0.97825309999999999</v>
      </c>
      <c r="Q1841">
        <v>0.20187340000000001</v>
      </c>
      <c r="R1841">
        <v>4.7625630000000002E-2</v>
      </c>
      <c r="S1841">
        <v>-3.069855</v>
      </c>
      <c r="T1841">
        <v>-4.3691279999999999E-2</v>
      </c>
      <c r="U1841">
        <v>0.1207275</v>
      </c>
      <c r="V1841">
        <v>4.4293440000000003E-2</v>
      </c>
      <c r="W1841">
        <v>0.21638099999999999</v>
      </c>
      <c r="X1841">
        <v>0.9753037</v>
      </c>
      <c r="Y1841">
        <v>3.5614140000000002E-2</v>
      </c>
      <c r="Z1841">
        <v>5.2137599999999896E-4</v>
      </c>
      <c r="AA1841">
        <v>0.99936550000000002</v>
      </c>
      <c r="AB1841">
        <v>49</v>
      </c>
      <c r="AC1841">
        <v>-78.443899999999999</v>
      </c>
      <c r="AD1841">
        <v>-1.1202838582879999</v>
      </c>
      <c r="AE1841">
        <v>3.09460000000001</v>
      </c>
      <c r="AF1841">
        <v>2.8055327978906299</v>
      </c>
      <c r="AG1841">
        <v>-1.1202838582879999</v>
      </c>
      <c r="AH1841">
        <v>78.438776614382206</v>
      </c>
      <c r="AI1841">
        <v>90.817735389458093</v>
      </c>
      <c r="AJ1841">
        <v>87.951565519960198</v>
      </c>
      <c r="AK1841">
        <v>78.496928137119696</v>
      </c>
      <c r="AL1841">
        <v>77.503439550028006</v>
      </c>
      <c r="AM1841">
        <v>87.399697600475506</v>
      </c>
      <c r="AN1841">
        <v>0.99999997661086104</v>
      </c>
    </row>
    <row r="1842" spans="1:40" x14ac:dyDescent="0.25">
      <c r="A1842" t="str">
        <f>"20190303171014170"</f>
        <v>20190303171014170</v>
      </c>
      <c r="B1842" t="str">
        <f>"1551604214162378"</f>
        <v>1551604214162378</v>
      </c>
      <c r="C1842" t="s">
        <v>40</v>
      </c>
      <c r="D1842">
        <v>4.9111969999999996</v>
      </c>
      <c r="E1842">
        <v>0.50263259999999998</v>
      </c>
      <c r="F1842" t="s">
        <v>53</v>
      </c>
      <c r="G1842">
        <v>-449.29180000000002</v>
      </c>
      <c r="H1842" s="1">
        <v>3.3087819999999999E-6</v>
      </c>
      <c r="I1842">
        <v>286.8827</v>
      </c>
      <c r="J1842">
        <v>-370.81479999999999</v>
      </c>
      <c r="K1842">
        <v>1.120287</v>
      </c>
      <c r="L1842">
        <v>283.76369999999997</v>
      </c>
      <c r="M1842">
        <v>-0.99988140000000003</v>
      </c>
      <c r="N1842">
        <v>-1.490379E-2</v>
      </c>
      <c r="O1842">
        <v>3.8905580000000001E-3</v>
      </c>
      <c r="P1842">
        <v>-0.97825859999999998</v>
      </c>
      <c r="Q1842">
        <v>0.20179340000000001</v>
      </c>
      <c r="R1842">
        <v>4.7852840000000001E-2</v>
      </c>
      <c r="S1842">
        <v>-3.069763</v>
      </c>
      <c r="T1842">
        <v>-4.3664340000000003E-2</v>
      </c>
      <c r="U1842">
        <v>0.1216125</v>
      </c>
      <c r="V1842">
        <v>4.4311419999999997E-2</v>
      </c>
      <c r="W1842">
        <v>0.21629899999999999</v>
      </c>
      <c r="X1842">
        <v>0.97532110000000005</v>
      </c>
      <c r="Y1842">
        <v>3.568959E-2</v>
      </c>
      <c r="Z1842">
        <v>5.224661E-4</v>
      </c>
      <c r="AA1842">
        <v>0.9993628</v>
      </c>
      <c r="AB1842">
        <v>49</v>
      </c>
      <c r="AC1842">
        <v>-78.477000000000004</v>
      </c>
      <c r="AD1842">
        <v>-1.1202836912180001</v>
      </c>
      <c r="AE1842">
        <v>3.1190000000000202</v>
      </c>
      <c r="AF1842">
        <v>2.8130508133825098</v>
      </c>
      <c r="AG1842">
        <v>-1.1202836912180001</v>
      </c>
      <c r="AH1842">
        <v>78.472575654660503</v>
      </c>
      <c r="AI1842">
        <v>90.817380757530898</v>
      </c>
      <c r="AJ1842">
        <v>87.946964893187996</v>
      </c>
      <c r="AK1842">
        <v>78.530971089780195</v>
      </c>
      <c r="AL1842">
        <v>77.5082521107296</v>
      </c>
      <c r="AM1842">
        <v>87.398689856690893</v>
      </c>
      <c r="AN1842">
        <v>1.00000000372431</v>
      </c>
    </row>
    <row r="1843" spans="1:40" x14ac:dyDescent="0.25">
      <c r="A1843" t="str">
        <f>"20190303171014182"</f>
        <v>20190303171014182</v>
      </c>
      <c r="B1843" t="str">
        <f>"1551604214172139"</f>
        <v>1551604214172139</v>
      </c>
      <c r="C1843" t="s">
        <v>40</v>
      </c>
      <c r="D1843">
        <v>5.0280009999999997</v>
      </c>
      <c r="E1843">
        <v>0.50274620000000003</v>
      </c>
      <c r="F1843" t="s">
        <v>53</v>
      </c>
      <c r="G1843">
        <v>-451.14159999999998</v>
      </c>
      <c r="H1843" s="1">
        <v>-1.0340430000000001E-6</v>
      </c>
      <c r="I1843">
        <v>287.01260000000002</v>
      </c>
      <c r="J1843">
        <v>-371.08409999999998</v>
      </c>
      <c r="K1843">
        <v>1.12029</v>
      </c>
      <c r="L1843">
        <v>283.76490000000001</v>
      </c>
      <c r="M1843">
        <v>-0.99988060000000001</v>
      </c>
      <c r="N1843">
        <v>-1.4902169999999999E-2</v>
      </c>
      <c r="O1843">
        <v>4.0936269999999999E-3</v>
      </c>
      <c r="P1843">
        <v>-0.97824270000000002</v>
      </c>
      <c r="Q1843">
        <v>0.201794</v>
      </c>
      <c r="R1843">
        <v>4.8166870000000001E-2</v>
      </c>
      <c r="S1843">
        <v>-3.0694270000000001</v>
      </c>
      <c r="T1843">
        <v>-4.2808180000000001E-2</v>
      </c>
      <c r="U1843">
        <v>0.12414550000000001</v>
      </c>
      <c r="V1843">
        <v>4.4426519999999997E-2</v>
      </c>
      <c r="W1843">
        <v>0.21629809999999999</v>
      </c>
      <c r="X1843">
        <v>0.97531599999999996</v>
      </c>
      <c r="Y1843">
        <v>3.6314409999999998E-2</v>
      </c>
      <c r="Z1843">
        <v>5.2776959999999997E-4</v>
      </c>
      <c r="AA1843">
        <v>0.99934029999999996</v>
      </c>
      <c r="AB1843">
        <v>49</v>
      </c>
      <c r="AC1843">
        <v>-80.057500000000005</v>
      </c>
      <c r="AD1843">
        <v>-1.1202910340429999</v>
      </c>
      <c r="AE1843">
        <v>3.2477</v>
      </c>
      <c r="AF1843">
        <v>2.9193401232208198</v>
      </c>
      <c r="AG1843">
        <v>-1.1202910340429999</v>
      </c>
      <c r="AH1843">
        <v>80.054474869764505</v>
      </c>
      <c r="AI1843">
        <v>90.801218541786099</v>
      </c>
      <c r="AJ1843">
        <v>87.911524846104996</v>
      </c>
      <c r="AK1843">
        <v>80.115520003491</v>
      </c>
      <c r="AL1843">
        <v>77.508304141201606</v>
      </c>
      <c r="AM1843">
        <v>87.391928588594297</v>
      </c>
      <c r="AN1843">
        <v>0.99999994179945795</v>
      </c>
    </row>
    <row r="1844" spans="1:40" x14ac:dyDescent="0.25">
      <c r="A1844" t="str">
        <f>"20190303171014195"</f>
        <v>20190303171014195</v>
      </c>
      <c r="B1844" t="str">
        <f>"1551604214182875"</f>
        <v>1551604214182875</v>
      </c>
      <c r="C1844" t="s">
        <v>40</v>
      </c>
      <c r="D1844">
        <v>4.7954400000000001</v>
      </c>
      <c r="E1844">
        <v>0.50285590000000002</v>
      </c>
      <c r="F1844" t="s">
        <v>53</v>
      </c>
      <c r="G1844">
        <v>-451.94729999999998</v>
      </c>
      <c r="H1844" s="1">
        <v>-6.0852359999999898E-7</v>
      </c>
      <c r="I1844">
        <v>287.08629999999999</v>
      </c>
      <c r="J1844">
        <v>-371.36970000000002</v>
      </c>
      <c r="K1844">
        <v>1.1202920000000001</v>
      </c>
      <c r="L1844">
        <v>283.76620000000003</v>
      </c>
      <c r="M1844">
        <v>-0.99987979999999999</v>
      </c>
      <c r="N1844">
        <v>-1.4900439999999999E-2</v>
      </c>
      <c r="O1844">
        <v>4.3087969999999996E-3</v>
      </c>
      <c r="P1844">
        <v>-0.97828280000000001</v>
      </c>
      <c r="Q1844">
        <v>0.20157700000000001</v>
      </c>
      <c r="R1844">
        <v>4.826743E-2</v>
      </c>
      <c r="S1844">
        <v>-3.0692750000000002</v>
      </c>
      <c r="T1844">
        <v>-4.2522190000000001E-2</v>
      </c>
      <c r="U1844">
        <v>0.12606809999999999</v>
      </c>
      <c r="V1844">
        <v>4.4316179999999997E-2</v>
      </c>
      <c r="W1844">
        <v>0.2160802</v>
      </c>
      <c r="X1844">
        <v>0.97536940000000005</v>
      </c>
      <c r="Y1844">
        <v>3.6726300000000003E-2</v>
      </c>
      <c r="Z1844">
        <v>5.325792E-4</v>
      </c>
      <c r="AA1844">
        <v>0.99932520000000002</v>
      </c>
      <c r="AB1844">
        <v>49</v>
      </c>
      <c r="AC1844">
        <v>-80.577599999999904</v>
      </c>
      <c r="AD1844">
        <v>-1.1202926085236</v>
      </c>
      <c r="AE1844">
        <v>3.3200999999999601</v>
      </c>
      <c r="AF1844">
        <v>2.9722645701472401</v>
      </c>
      <c r="AG1844">
        <v>-1.1202926085236</v>
      </c>
      <c r="AH1844">
        <v>80.575610108940097</v>
      </c>
      <c r="AI1844">
        <v>90.796026051542896</v>
      </c>
      <c r="AJ1844">
        <v>87.8874372071907</v>
      </c>
      <c r="AK1844">
        <v>80.638194155323205</v>
      </c>
      <c r="AL1844">
        <v>77.521092300448998</v>
      </c>
      <c r="AM1844">
        <v>87.398539456837199</v>
      </c>
      <c r="AN1844">
        <v>1.0000000215490901</v>
      </c>
    </row>
    <row r="1845" spans="1:40" x14ac:dyDescent="0.25">
      <c r="A1845" t="str">
        <f>"20190303171014211"</f>
        <v>20190303171014211</v>
      </c>
      <c r="B1845" t="str">
        <f>"1551604214202394"</f>
        <v>1551604214202394</v>
      </c>
      <c r="C1845" t="s">
        <v>40</v>
      </c>
      <c r="D1845">
        <v>4.9681199999999999</v>
      </c>
      <c r="E1845">
        <v>0.50306189999999995</v>
      </c>
      <c r="F1845" t="s">
        <v>53</v>
      </c>
      <c r="G1845">
        <v>-451.82659999999998</v>
      </c>
      <c r="H1845" s="1">
        <v>-6.7365349999999999E-7</v>
      </c>
      <c r="I1845">
        <v>287.1078</v>
      </c>
      <c r="J1845">
        <v>-371.71530000000001</v>
      </c>
      <c r="K1845">
        <v>1.1202890000000001</v>
      </c>
      <c r="L1845">
        <v>283.7679</v>
      </c>
      <c r="M1845">
        <v>-0.99987859999999995</v>
      </c>
      <c r="N1845">
        <v>-1.489804E-2</v>
      </c>
      <c r="O1845">
        <v>4.5698600000000002E-3</v>
      </c>
      <c r="P1845">
        <v>-0.97822070000000005</v>
      </c>
      <c r="Q1845">
        <v>0.20177539999999999</v>
      </c>
      <c r="R1845">
        <v>4.8691209999999999E-2</v>
      </c>
      <c r="S1845">
        <v>-3.0691220000000001</v>
      </c>
      <c r="T1845">
        <v>-4.273486E-2</v>
      </c>
      <c r="U1845">
        <v>0.1274719</v>
      </c>
      <c r="V1845">
        <v>4.4484700000000002E-2</v>
      </c>
      <c r="W1845">
        <v>0.2162753</v>
      </c>
      <c r="X1845">
        <v>0.97531849999999998</v>
      </c>
      <c r="Y1845">
        <v>3.6923640000000001E-2</v>
      </c>
      <c r="Z1845">
        <v>5.3660719999999999E-4</v>
      </c>
      <c r="AA1845">
        <v>0.99931789999999998</v>
      </c>
      <c r="AB1845">
        <v>49</v>
      </c>
      <c r="AC1845">
        <v>-80.1112999999999</v>
      </c>
      <c r="AD1845">
        <v>-1.1202896736535</v>
      </c>
      <c r="AE1845">
        <v>3.3399000000000001</v>
      </c>
      <c r="AF1845">
        <v>2.9731466560147002</v>
      </c>
      <c r="AG1845">
        <v>-1.1202896736535</v>
      </c>
      <c r="AH1845">
        <v>80.110088975032198</v>
      </c>
      <c r="AI1845">
        <v>90.800642408905105</v>
      </c>
      <c r="AJ1845">
        <v>87.874542276063906</v>
      </c>
      <c r="AK1845">
        <v>80.173069079202904</v>
      </c>
      <c r="AL1845">
        <v>77.509643341236995</v>
      </c>
      <c r="AM1845">
        <v>87.388524525155105</v>
      </c>
      <c r="AN1845">
        <v>1.0000000351832099</v>
      </c>
    </row>
    <row r="1846" spans="1:40" x14ac:dyDescent="0.25">
      <c r="A1846" t="str">
        <f>"20190303171014234"</f>
        <v>20190303171014234</v>
      </c>
      <c r="B1846" t="str">
        <f>"1551604214221915"</f>
        <v>1551604214221915</v>
      </c>
      <c r="C1846" t="s">
        <v>40</v>
      </c>
      <c r="D1846">
        <v>4.9123239999999999</v>
      </c>
      <c r="E1846">
        <v>0.5032027</v>
      </c>
      <c r="F1846" t="s">
        <v>53</v>
      </c>
      <c r="G1846">
        <v>-454.56880000000001</v>
      </c>
      <c r="H1846" s="1">
        <v>7.7777869999999896E-7</v>
      </c>
      <c r="I1846">
        <v>287.28680000000003</v>
      </c>
      <c r="J1846">
        <v>-372.2099</v>
      </c>
      <c r="K1846">
        <v>1.1202909999999999</v>
      </c>
      <c r="L1846">
        <v>283.7704</v>
      </c>
      <c r="M1846">
        <v>-0.99987689999999996</v>
      </c>
      <c r="N1846">
        <v>-1.489469E-2</v>
      </c>
      <c r="O1846">
        <v>4.9435709999999999E-3</v>
      </c>
      <c r="P1846">
        <v>-0.97812350000000003</v>
      </c>
      <c r="Q1846">
        <v>0.20217189999999999</v>
      </c>
      <c r="R1846">
        <v>4.9000519999999999E-2</v>
      </c>
      <c r="S1846">
        <v>-3.068848</v>
      </c>
      <c r="T1846">
        <v>-4.149485E-2</v>
      </c>
      <c r="U1846">
        <v>0.1303406</v>
      </c>
      <c r="V1846">
        <v>4.4428960000000003E-2</v>
      </c>
      <c r="W1846">
        <v>0.21666730000000001</v>
      </c>
      <c r="X1846">
        <v>0.97523400000000005</v>
      </c>
      <c r="Y1846">
        <v>3.7486520000000002E-2</v>
      </c>
      <c r="Z1846">
        <v>5.3944889999999997E-4</v>
      </c>
      <c r="AA1846">
        <v>0.99929699999999999</v>
      </c>
      <c r="AB1846">
        <v>49</v>
      </c>
      <c r="AC1846">
        <v>-82.358900000000006</v>
      </c>
      <c r="AD1846">
        <v>-1.1202902222213</v>
      </c>
      <c r="AE1846">
        <v>3.5164000000000302</v>
      </c>
      <c r="AF1846">
        <v>3.1085906699058601</v>
      </c>
      <c r="AG1846">
        <v>-1.1202902222213</v>
      </c>
      <c r="AH1846">
        <v>82.360067612141194</v>
      </c>
      <c r="AI1846">
        <v>90.778754573818603</v>
      </c>
      <c r="AJ1846">
        <v>87.838459525728794</v>
      </c>
      <c r="AK1846">
        <v>82.426325425870402</v>
      </c>
      <c r="AL1846">
        <v>77.486637505820099</v>
      </c>
      <c r="AM1846">
        <v>87.391566543495799</v>
      </c>
      <c r="AN1846">
        <v>1.0000000030659799</v>
      </c>
    </row>
    <row r="1847" spans="1:40" x14ac:dyDescent="0.25">
      <c r="A1847" t="str">
        <f>"20190303171014258"</f>
        <v>20190303171014258</v>
      </c>
      <c r="B1847" t="str">
        <f>"1551604214252170"</f>
        <v>1551604214252170</v>
      </c>
      <c r="C1847" t="s">
        <v>40</v>
      </c>
      <c r="D1847">
        <v>4.9050500000000001</v>
      </c>
      <c r="E1847">
        <v>0.50342629999999999</v>
      </c>
      <c r="F1847" t="s">
        <v>53</v>
      </c>
      <c r="G1847">
        <v>-459.33460000000002</v>
      </c>
      <c r="H1847" s="1">
        <v>3.3026689999999999E-6</v>
      </c>
      <c r="I1847">
        <v>287.54379999999998</v>
      </c>
      <c r="J1847">
        <v>-372.7115</v>
      </c>
      <c r="K1847">
        <v>1.1202970000000001</v>
      </c>
      <c r="L1847">
        <v>283.7731</v>
      </c>
      <c r="M1847">
        <v>-0.99987490000000001</v>
      </c>
      <c r="N1847">
        <v>-1.4891379999999999E-2</v>
      </c>
      <c r="O1847">
        <v>5.3228850000000003E-3</v>
      </c>
      <c r="P1847">
        <v>-0.97809159999999995</v>
      </c>
      <c r="Q1847">
        <v>0.20231209999999999</v>
      </c>
      <c r="R1847">
        <v>4.9059199999999997E-2</v>
      </c>
      <c r="S1847">
        <v>-3.0686040000000001</v>
      </c>
      <c r="T1847">
        <v>-3.9457440000000003E-2</v>
      </c>
      <c r="U1847">
        <v>0.1329041</v>
      </c>
      <c r="V1847">
        <v>4.4116420000000003E-2</v>
      </c>
      <c r="W1847">
        <v>0.21680459999999999</v>
      </c>
      <c r="X1847">
        <v>0.97521760000000002</v>
      </c>
      <c r="Y1847">
        <v>3.7944499999999999E-2</v>
      </c>
      <c r="Z1847">
        <v>5.3735389999999897E-4</v>
      </c>
      <c r="AA1847">
        <v>0.99927969999999999</v>
      </c>
      <c r="AB1847">
        <v>49</v>
      </c>
      <c r="AC1847">
        <v>-86.623099999999994</v>
      </c>
      <c r="AD1847">
        <v>-1.12029369733099</v>
      </c>
      <c r="AE1847">
        <v>3.77069999999997</v>
      </c>
      <c r="AF1847">
        <v>3.30895820065922</v>
      </c>
      <c r="AG1847">
        <v>-1.12029369733099</v>
      </c>
      <c r="AH1847">
        <v>86.627483746371894</v>
      </c>
      <c r="AI1847">
        <v>90.740385752297001</v>
      </c>
      <c r="AJ1847">
        <v>87.812504704745805</v>
      </c>
      <c r="AK1847">
        <v>86.6978961830673</v>
      </c>
      <c r="AL1847">
        <v>77.478578325850904</v>
      </c>
      <c r="AM1847">
        <v>87.409847256905095</v>
      </c>
      <c r="AN1847">
        <v>0.99999993022226497</v>
      </c>
    </row>
    <row r="1848" spans="1:40" x14ac:dyDescent="0.25">
      <c r="A1848" t="str">
        <f>"20190303171014280"</f>
        <v>20190303171014280</v>
      </c>
      <c r="B1848" t="str">
        <f>"1551604214272198"</f>
        <v>1551604214272198</v>
      </c>
      <c r="C1848" t="s">
        <v>40</v>
      </c>
      <c r="D1848">
        <v>5.0818839999999996</v>
      </c>
      <c r="E1848">
        <v>0.50356780000000001</v>
      </c>
      <c r="F1848" t="s">
        <v>53</v>
      </c>
      <c r="G1848">
        <v>-463.47879999999998</v>
      </c>
      <c r="H1848" s="1">
        <v>1.770749E-7</v>
      </c>
      <c r="I1848">
        <v>287.75889999999998</v>
      </c>
      <c r="J1848">
        <v>-373.20679999999999</v>
      </c>
      <c r="K1848">
        <v>1.120301</v>
      </c>
      <c r="L1848">
        <v>283.77609999999999</v>
      </c>
      <c r="M1848">
        <v>-0.99987300000000001</v>
      </c>
      <c r="N1848">
        <v>-1.4888180000000001E-2</v>
      </c>
      <c r="O1848">
        <v>5.697784E-3</v>
      </c>
      <c r="P1848">
        <v>-0.97805039999999999</v>
      </c>
      <c r="Q1848">
        <v>0.20246149999999999</v>
      </c>
      <c r="R1848">
        <v>4.9263370000000001E-2</v>
      </c>
      <c r="S1848">
        <v>-3.0682680000000002</v>
      </c>
      <c r="T1848">
        <v>-3.7870170000000002E-2</v>
      </c>
      <c r="U1848">
        <v>0.1347351</v>
      </c>
      <c r="V1848">
        <v>4.395367E-2</v>
      </c>
      <c r="W1848">
        <v>0.21695120000000001</v>
      </c>
      <c r="X1848">
        <v>0.97519239999999996</v>
      </c>
      <c r="Y1848">
        <v>3.8170129999999997E-2</v>
      </c>
      <c r="Z1848">
        <v>5.3426489999999999E-4</v>
      </c>
      <c r="AA1848">
        <v>0.99927109999999997</v>
      </c>
      <c r="AB1848">
        <v>49</v>
      </c>
      <c r="AC1848">
        <v>-90.272000000000006</v>
      </c>
      <c r="AD1848">
        <v>-1.1203008229250999</v>
      </c>
      <c r="AE1848">
        <v>3.9827999999999899</v>
      </c>
      <c r="AF1848">
        <v>3.4677949439211502</v>
      </c>
      <c r="AG1848">
        <v>-1.1203008229250999</v>
      </c>
      <c r="AH1848">
        <v>90.279352616502806</v>
      </c>
      <c r="AI1848">
        <v>90.710438413014003</v>
      </c>
      <c r="AJ1848">
        <v>87.800245849355804</v>
      </c>
      <c r="AK1848">
        <v>90.3528759064247</v>
      </c>
      <c r="AL1848">
        <v>77.469974637043904</v>
      </c>
      <c r="AM1848">
        <v>87.419323059243993</v>
      </c>
      <c r="AN1848">
        <v>0.99999998265283396</v>
      </c>
    </row>
    <row r="1849" spans="1:40" x14ac:dyDescent="0.25">
      <c r="A1849" t="str">
        <f>"20190303171014301"</f>
        <v>20190303171014301</v>
      </c>
      <c r="B1849" t="str">
        <f>"1551604214292694"</f>
        <v>1551604214292694</v>
      </c>
      <c r="C1849" t="s">
        <v>40</v>
      </c>
      <c r="D1849">
        <v>4.9056629999999997</v>
      </c>
      <c r="E1849">
        <v>0.50366880000000003</v>
      </c>
      <c r="F1849" t="s">
        <v>53</v>
      </c>
      <c r="G1849">
        <v>-466.96559999999999</v>
      </c>
      <c r="H1849" s="1">
        <v>2.0245420000000002E-6</v>
      </c>
      <c r="I1849">
        <v>287.94299999999998</v>
      </c>
      <c r="J1849">
        <v>-373.66739999999999</v>
      </c>
      <c r="K1849">
        <v>1.120306</v>
      </c>
      <c r="L1849">
        <v>283.77890000000002</v>
      </c>
      <c r="M1849">
        <v>-0.99987099999999995</v>
      </c>
      <c r="N1849">
        <v>-1.4885219999999999E-2</v>
      </c>
      <c r="O1849">
        <v>6.0460490000000004E-3</v>
      </c>
      <c r="P1849">
        <v>-0.9780489</v>
      </c>
      <c r="Q1849">
        <v>0.20241870000000001</v>
      </c>
      <c r="R1849">
        <v>4.9469869999999999E-2</v>
      </c>
      <c r="S1849">
        <v>-3.0680540000000001</v>
      </c>
      <c r="T1849">
        <v>-3.6659360000000002E-2</v>
      </c>
      <c r="U1849">
        <v>0.13635249999999999</v>
      </c>
      <c r="V1849">
        <v>4.3819219999999999E-2</v>
      </c>
      <c r="W1849">
        <v>0.2169056</v>
      </c>
      <c r="X1849">
        <v>0.97520859999999998</v>
      </c>
      <c r="Y1849">
        <v>3.8351169999999997E-2</v>
      </c>
      <c r="Z1849">
        <v>5.3237480000000001E-4</v>
      </c>
      <c r="AA1849">
        <v>0.99926420000000005</v>
      </c>
      <c r="AB1849">
        <v>49</v>
      </c>
      <c r="AC1849">
        <v>-93.298199999999994</v>
      </c>
      <c r="AD1849">
        <v>-1.120303975458</v>
      </c>
      <c r="AE1849">
        <v>4.1640999999999604</v>
      </c>
      <c r="AF1849">
        <v>3.59935797437997</v>
      </c>
      <c r="AG1849">
        <v>-1.120303975458</v>
      </c>
      <c r="AH1849">
        <v>93.308246441255804</v>
      </c>
      <c r="AI1849">
        <v>90.687376634198401</v>
      </c>
      <c r="AJ1849">
        <v>87.790915281229402</v>
      </c>
      <c r="AK1849">
        <v>93.384363320457993</v>
      </c>
      <c r="AL1849">
        <v>77.472651130428204</v>
      </c>
      <c r="AM1849">
        <v>87.427249156940903</v>
      </c>
      <c r="AN1849">
        <v>0.99999998843336402</v>
      </c>
    </row>
    <row r="1850" spans="1:40" x14ac:dyDescent="0.25">
      <c r="A1850" t="str">
        <f>"20190303171014313"</f>
        <v>20190303171014313</v>
      </c>
      <c r="B1850" t="str">
        <f>"1551604214302455"</f>
        <v>1551604214302455</v>
      </c>
      <c r="C1850" t="s">
        <v>40</v>
      </c>
      <c r="D1850">
        <v>4.7100150000000003</v>
      </c>
      <c r="E1850">
        <v>0.50370919999999997</v>
      </c>
      <c r="F1850" t="s">
        <v>53</v>
      </c>
      <c r="G1850">
        <v>-468.32479999999998</v>
      </c>
      <c r="H1850" s="1">
        <v>2.7439659999999998E-6</v>
      </c>
      <c r="I1850">
        <v>288.03120000000001</v>
      </c>
      <c r="J1850">
        <v>-373.93579999999997</v>
      </c>
      <c r="K1850">
        <v>1.1203069999999999</v>
      </c>
      <c r="L1850">
        <v>283.78070000000002</v>
      </c>
      <c r="M1850">
        <v>-0.99986960000000003</v>
      </c>
      <c r="N1850">
        <v>-1.4883499999999999E-2</v>
      </c>
      <c r="O1850">
        <v>6.2494150000000004E-3</v>
      </c>
      <c r="P1850">
        <v>-0.97803910000000005</v>
      </c>
      <c r="Q1850">
        <v>0.20245740000000001</v>
      </c>
      <c r="R1850">
        <v>4.9502789999999998E-2</v>
      </c>
      <c r="S1850">
        <v>-3.0679020000000001</v>
      </c>
      <c r="T1850">
        <v>-3.6309719999999997E-2</v>
      </c>
      <c r="U1850">
        <v>0.13781740000000001</v>
      </c>
      <c r="V1850">
        <v>4.3653079999999997E-2</v>
      </c>
      <c r="W1850">
        <v>0.21694289999999999</v>
      </c>
      <c r="X1850">
        <v>0.97520779999999996</v>
      </c>
      <c r="Y1850">
        <v>3.8626349999999997E-2</v>
      </c>
      <c r="Z1850">
        <v>5.3514109999999997E-4</v>
      </c>
      <c r="AA1850">
        <v>0.99925359999999996</v>
      </c>
      <c r="AB1850">
        <v>49</v>
      </c>
      <c r="AC1850">
        <v>-94.388999999999996</v>
      </c>
      <c r="AD1850">
        <v>-1.120304256034</v>
      </c>
      <c r="AE1850">
        <v>4.2504999999999802</v>
      </c>
      <c r="AF1850">
        <v>3.65996099150854</v>
      </c>
      <c r="AG1850">
        <v>-1.120304256034</v>
      </c>
      <c r="AH1850">
        <v>94.400450861152706</v>
      </c>
      <c r="AI1850">
        <v>90.679419537526996</v>
      </c>
      <c r="AJ1850">
        <v>87.779720967357605</v>
      </c>
      <c r="AK1850">
        <v>94.478016061274005</v>
      </c>
      <c r="AL1850">
        <v>77.470462438315593</v>
      </c>
      <c r="AM1850">
        <v>87.4369885761067</v>
      </c>
      <c r="AN1850">
        <v>1.00000003321736</v>
      </c>
    </row>
    <row r="1851" spans="1:40" x14ac:dyDescent="0.25">
      <c r="A1851" t="str">
        <f>"20190303171014329"</f>
        <v>20190303171014329</v>
      </c>
      <c r="B1851" t="str">
        <f>"1551604214321975"</f>
        <v>1551604214321975</v>
      </c>
      <c r="C1851" t="s">
        <v>40</v>
      </c>
      <c r="D1851">
        <v>4.8071039999999998</v>
      </c>
      <c r="E1851">
        <v>0.50382890000000002</v>
      </c>
      <c r="F1851" t="s">
        <v>53</v>
      </c>
      <c r="G1851">
        <v>-469.64319999999998</v>
      </c>
      <c r="H1851" s="1">
        <v>3.442452E-6</v>
      </c>
      <c r="I1851">
        <v>288.10309999999998</v>
      </c>
      <c r="J1851">
        <v>-374.29880000000003</v>
      </c>
      <c r="K1851">
        <v>1.1203099999999999</v>
      </c>
      <c r="L1851">
        <v>283.78309999999999</v>
      </c>
      <c r="M1851">
        <v>-0.99986799999999998</v>
      </c>
      <c r="N1851">
        <v>-1.4881139999999999E-2</v>
      </c>
      <c r="O1851">
        <v>6.5238279999999997E-3</v>
      </c>
      <c r="P1851">
        <v>-0.97801979999999999</v>
      </c>
      <c r="Q1851">
        <v>0.2025158</v>
      </c>
      <c r="R1851">
        <v>4.9648680000000001E-2</v>
      </c>
      <c r="S1851">
        <v>-3.06778</v>
      </c>
      <c r="T1851">
        <v>-3.590989E-2</v>
      </c>
      <c r="U1851">
        <v>0.138549799999999</v>
      </c>
      <c r="V1851">
        <v>4.3530430000000002E-2</v>
      </c>
      <c r="W1851">
        <v>0.2169992</v>
      </c>
      <c r="X1851">
        <v>0.97520070000000003</v>
      </c>
      <c r="Y1851">
        <v>3.8592080000000001E-2</v>
      </c>
      <c r="Z1851">
        <v>5.3380150000000004E-4</v>
      </c>
      <c r="AA1851">
        <v>0.99925489999999995</v>
      </c>
      <c r="AB1851">
        <v>49</v>
      </c>
      <c r="AC1851">
        <v>-95.344399999999894</v>
      </c>
      <c r="AD1851">
        <v>-1.120306557548</v>
      </c>
      <c r="AE1851">
        <v>4.3199999999999896</v>
      </c>
      <c r="AF1851">
        <v>3.69731928275983</v>
      </c>
      <c r="AG1851">
        <v>-1.120306557548</v>
      </c>
      <c r="AH1851">
        <v>95.357418099514504</v>
      </c>
      <c r="AI1851">
        <v>90.672603107975107</v>
      </c>
      <c r="AJ1851">
        <v>87.779567314698696</v>
      </c>
      <c r="AK1851">
        <v>95.435645559021495</v>
      </c>
      <c r="AL1851">
        <v>77.467157266428003</v>
      </c>
      <c r="AM1851">
        <v>87.444161602970297</v>
      </c>
      <c r="AN1851">
        <v>0.99999997820855702</v>
      </c>
    </row>
    <row r="1852" spans="1:40" x14ac:dyDescent="0.25">
      <c r="A1852" t="str">
        <f>"20190303171014347"</f>
        <v>20190303171014347</v>
      </c>
      <c r="B1852" t="str">
        <f>"1551604214332711"</f>
        <v>1551604214332711</v>
      </c>
      <c r="C1852" t="s">
        <v>40</v>
      </c>
      <c r="D1852">
        <v>4.9641039999999998</v>
      </c>
      <c r="E1852">
        <v>0.50386509999999995</v>
      </c>
      <c r="F1852" t="s">
        <v>52</v>
      </c>
      <c r="G1852">
        <v>-471.9597</v>
      </c>
      <c r="H1852" s="1">
        <v>6.0625099999999998E-6</v>
      </c>
      <c r="I1852">
        <v>288.24759999999998</v>
      </c>
      <c r="J1852">
        <v>-374.64780000000002</v>
      </c>
      <c r="K1852">
        <v>1.120314</v>
      </c>
      <c r="L1852">
        <v>283.78559999999999</v>
      </c>
      <c r="M1852">
        <v>-0.99986640000000004</v>
      </c>
      <c r="N1852">
        <v>-1.4878840000000001E-2</v>
      </c>
      <c r="O1852">
        <v>6.7879309999999997E-3</v>
      </c>
      <c r="P1852">
        <v>-0.97790239999999995</v>
      </c>
      <c r="Q1852">
        <v>0.20307739999999999</v>
      </c>
      <c r="R1852">
        <v>4.9667450000000002E-2</v>
      </c>
      <c r="S1852">
        <v>-3.0675659999999998</v>
      </c>
      <c r="T1852">
        <v>-3.5189150000000002E-2</v>
      </c>
      <c r="U1852">
        <v>0.1402283</v>
      </c>
      <c r="V1852">
        <v>4.329206E-2</v>
      </c>
      <c r="W1852">
        <v>0.21755769999999999</v>
      </c>
      <c r="X1852">
        <v>0.97508689999999998</v>
      </c>
      <c r="Y1852">
        <v>3.887703E-2</v>
      </c>
      <c r="Z1852">
        <v>5.3540870000000004E-4</v>
      </c>
      <c r="AA1852">
        <v>0.99924389999999996</v>
      </c>
      <c r="AB1852">
        <v>49</v>
      </c>
      <c r="AC1852">
        <v>-97.311899999999895</v>
      </c>
      <c r="AD1852">
        <v>-1.12030793749</v>
      </c>
      <c r="AE1852">
        <v>4.4619999999999802</v>
      </c>
      <c r="AF1852">
        <v>3.8007749871435101</v>
      </c>
      <c r="AG1852">
        <v>-1.12030793749</v>
      </c>
      <c r="AH1852">
        <v>97.327076156981306</v>
      </c>
      <c r="AI1852">
        <v>90.658986192808399</v>
      </c>
      <c r="AJ1852">
        <v>87.763646308049601</v>
      </c>
      <c r="AK1852">
        <v>97.4077036668278</v>
      </c>
      <c r="AL1852">
        <v>77.434374770319593</v>
      </c>
      <c r="AM1852">
        <v>87.457842547252994</v>
      </c>
      <c r="AN1852">
        <v>1.0000000089199701</v>
      </c>
    </row>
    <row r="1853" spans="1:40" x14ac:dyDescent="0.25">
      <c r="A1853" t="str">
        <f>"20190303171014360"</f>
        <v>20190303171014360</v>
      </c>
      <c r="B1853" t="str">
        <f>"1551604214352230"</f>
        <v>1551604214352230</v>
      </c>
      <c r="C1853" t="s">
        <v>40</v>
      </c>
      <c r="D1853">
        <v>4.968953</v>
      </c>
      <c r="E1853">
        <v>0.50395109999999999</v>
      </c>
      <c r="F1853" t="s">
        <v>52</v>
      </c>
      <c r="G1853">
        <v>-478.7097</v>
      </c>
      <c r="H1853" s="1">
        <v>3.0971509999999999E-6</v>
      </c>
      <c r="I1853">
        <v>288.5675</v>
      </c>
      <c r="J1853">
        <v>-374.9479</v>
      </c>
      <c r="K1853">
        <v>1.120317</v>
      </c>
      <c r="L1853">
        <v>283.7878</v>
      </c>
      <c r="M1853">
        <v>-0.9998648</v>
      </c>
      <c r="N1853">
        <v>-1.487686E-2</v>
      </c>
      <c r="O1853">
        <v>7.0150789999999996E-3</v>
      </c>
      <c r="P1853">
        <v>-0.97783730000000002</v>
      </c>
      <c r="Q1853">
        <v>0.2033518</v>
      </c>
      <c r="R1853">
        <v>4.982147E-2</v>
      </c>
      <c r="S1853">
        <v>-3.0675050000000001</v>
      </c>
      <c r="T1853">
        <v>-3.3024190000000002E-2</v>
      </c>
      <c r="U1853">
        <v>0.14096069999999999</v>
      </c>
      <c r="V1853">
        <v>4.3224279999999997E-2</v>
      </c>
      <c r="W1853">
        <v>0.21782899999999999</v>
      </c>
      <c r="X1853">
        <v>0.97502929999999999</v>
      </c>
      <c r="Y1853">
        <v>3.8889550000000002E-2</v>
      </c>
      <c r="Z1853">
        <v>5.2752970000000002E-4</v>
      </c>
      <c r="AA1853">
        <v>0.9992434</v>
      </c>
      <c r="AB1853">
        <v>49</v>
      </c>
      <c r="AC1853">
        <v>-103.76179999999999</v>
      </c>
      <c r="AD1853">
        <v>-1.1203139028489999</v>
      </c>
      <c r="AE1853">
        <v>4.7796999999999903</v>
      </c>
      <c r="AF1853">
        <v>4.05113337278594</v>
      </c>
      <c r="AG1853">
        <v>-1.1203139028489999</v>
      </c>
      <c r="AH1853">
        <v>103.780707365033</v>
      </c>
      <c r="AI1853">
        <v>90.618013920117704</v>
      </c>
      <c r="AJ1853">
        <v>87.764564701622007</v>
      </c>
      <c r="AK1853">
        <v>103.865788429259</v>
      </c>
      <c r="AL1853">
        <v>77.4184480184949</v>
      </c>
      <c r="AM1853">
        <v>87.461667706883802</v>
      </c>
      <c r="AN1853">
        <v>0.99999997374050298</v>
      </c>
    </row>
    <row r="1854" spans="1:40" x14ac:dyDescent="0.25">
      <c r="A1854" t="str">
        <f>"20190303171014371"</f>
        <v>20190303171014371</v>
      </c>
      <c r="B1854" t="str">
        <f>"1551604214361990"</f>
        <v>1551604214361990</v>
      </c>
      <c r="C1854" t="s">
        <v>40</v>
      </c>
      <c r="D1854">
        <v>4.9694469999999997</v>
      </c>
      <c r="E1854">
        <v>0.50396660000000004</v>
      </c>
      <c r="F1854" t="s">
        <v>52</v>
      </c>
      <c r="G1854">
        <v>-483.52809999999999</v>
      </c>
      <c r="H1854" s="1">
        <v>3.1983930000000002E-6</v>
      </c>
      <c r="I1854">
        <v>288.81220000000002</v>
      </c>
      <c r="J1854">
        <v>-375.21269999999998</v>
      </c>
      <c r="K1854">
        <v>1.12032</v>
      </c>
      <c r="L1854">
        <v>283.78969999999998</v>
      </c>
      <c r="M1854">
        <v>-0.99986339999999996</v>
      </c>
      <c r="N1854">
        <v>-1.487511E-2</v>
      </c>
      <c r="O1854">
        <v>7.2151109999999997E-3</v>
      </c>
      <c r="P1854">
        <v>-0.97775160000000005</v>
      </c>
      <c r="Q1854">
        <v>0.20372860000000001</v>
      </c>
      <c r="R1854">
        <v>4.9969199999999998E-2</v>
      </c>
      <c r="S1854">
        <v>-3.0673219999999999</v>
      </c>
      <c r="T1854">
        <v>-3.1648160000000002E-2</v>
      </c>
      <c r="U1854">
        <v>0.14193729999999999</v>
      </c>
      <c r="V1854">
        <v>4.3177390000000003E-2</v>
      </c>
      <c r="W1854">
        <v>0.21820320000000001</v>
      </c>
      <c r="X1854">
        <v>0.97494780000000003</v>
      </c>
      <c r="Y1854">
        <v>3.901015E-2</v>
      </c>
      <c r="Z1854">
        <v>5.2434900000000002E-4</v>
      </c>
      <c r="AA1854">
        <v>0.99923870000000004</v>
      </c>
      <c r="AB1854">
        <v>49</v>
      </c>
      <c r="AC1854">
        <v>-108.3154</v>
      </c>
      <c r="AD1854">
        <v>-1.120316801607</v>
      </c>
      <c r="AE1854">
        <v>5.0225000000000302</v>
      </c>
      <c r="AF1854">
        <v>4.2403225308882497</v>
      </c>
      <c r="AG1854">
        <v>-1.120316801607</v>
      </c>
      <c r="AH1854">
        <v>108.33725689099001</v>
      </c>
      <c r="AI1854">
        <v>90.592021921404097</v>
      </c>
      <c r="AJ1854">
        <v>87.758586079776293</v>
      </c>
      <c r="AK1854">
        <v>108.425996308847</v>
      </c>
      <c r="AL1854">
        <v>77.396480696813796</v>
      </c>
      <c r="AM1854">
        <v>87.464206028367599</v>
      </c>
      <c r="AN1854">
        <v>1.0000000681111401</v>
      </c>
    </row>
    <row r="1855" spans="1:40" x14ac:dyDescent="0.25">
      <c r="A1855" t="str">
        <f>"20190303171014383"</f>
        <v>20190303171014383</v>
      </c>
      <c r="B1855" t="str">
        <f>"1551604214372257"</f>
        <v>1551604214372257</v>
      </c>
      <c r="C1855" t="s">
        <v>40</v>
      </c>
      <c r="D1855">
        <v>4.9121699999999997</v>
      </c>
      <c r="E1855">
        <v>0.50398949999999998</v>
      </c>
      <c r="F1855" t="s">
        <v>52</v>
      </c>
      <c r="G1855">
        <v>-488.88189999999997</v>
      </c>
      <c r="H1855" s="1">
        <v>4.1708090000000004E-6</v>
      </c>
      <c r="I1855">
        <v>289.07240000000002</v>
      </c>
      <c r="J1855">
        <v>-375.46199999999999</v>
      </c>
      <c r="K1855">
        <v>1.1203240000000001</v>
      </c>
      <c r="L1855">
        <v>283.79169999999999</v>
      </c>
      <c r="M1855">
        <v>-0.99986209999999998</v>
      </c>
      <c r="N1855">
        <v>-1.487346E-2</v>
      </c>
      <c r="O1855">
        <v>7.4039329999999997E-3</v>
      </c>
      <c r="P1855">
        <v>-0.97764019999999996</v>
      </c>
      <c r="Q1855">
        <v>0.20419570000000001</v>
      </c>
      <c r="R1855">
        <v>5.0241189999999998E-2</v>
      </c>
      <c r="S1855">
        <v>-3.067291</v>
      </c>
      <c r="T1855">
        <v>-3.0231000000000001E-2</v>
      </c>
      <c r="U1855">
        <v>0.1425476</v>
      </c>
      <c r="V1855">
        <v>4.3265810000000002E-2</v>
      </c>
      <c r="W1855">
        <v>0.21866669999999999</v>
      </c>
      <c r="X1855">
        <v>0.97484000000000004</v>
      </c>
      <c r="Y1855">
        <v>3.9020649999999997E-2</v>
      </c>
      <c r="Z1855">
        <v>5.1970789999999998E-4</v>
      </c>
      <c r="AA1855">
        <v>0.99923830000000002</v>
      </c>
      <c r="AB1855">
        <v>49</v>
      </c>
      <c r="AC1855">
        <v>-113.419899999999</v>
      </c>
      <c r="AD1855">
        <v>-1.1203198291909999</v>
      </c>
      <c r="AE1855">
        <v>5.2807000000000199</v>
      </c>
      <c r="AF1855">
        <v>4.4402768038081097</v>
      </c>
      <c r="AG1855">
        <v>-1.1203198291909999</v>
      </c>
      <c r="AH1855">
        <v>113.444848203433</v>
      </c>
      <c r="AI1855">
        <v>90.5653707971084</v>
      </c>
      <c r="AJ1855">
        <v>87.758564375148694</v>
      </c>
      <c r="AK1855">
        <v>113.537239523048</v>
      </c>
      <c r="AL1855">
        <v>77.369266582736003</v>
      </c>
      <c r="AM1855">
        <v>87.458739331021604</v>
      </c>
      <c r="AN1855">
        <v>1.0000000408019201</v>
      </c>
    </row>
    <row r="1856" spans="1:40" x14ac:dyDescent="0.25">
      <c r="A1856" t="str">
        <f>"20190303171014397"</f>
        <v>20190303171014397</v>
      </c>
      <c r="B1856" t="str">
        <f>"1551604214392754"</f>
        <v>1551604214392754</v>
      </c>
      <c r="C1856" t="s">
        <v>40</v>
      </c>
      <c r="D1856">
        <v>4.914536</v>
      </c>
      <c r="E1856">
        <v>0.50404780000000005</v>
      </c>
      <c r="F1856" t="s">
        <v>52</v>
      </c>
      <c r="G1856">
        <v>-496.05189999999999</v>
      </c>
      <c r="H1856" s="1">
        <v>3.3116720000000001E-6</v>
      </c>
      <c r="I1856">
        <v>289.42720000000003</v>
      </c>
      <c r="J1856">
        <v>-375.76010000000002</v>
      </c>
      <c r="K1856">
        <v>1.120328</v>
      </c>
      <c r="L1856">
        <v>283.79399999999998</v>
      </c>
      <c r="M1856">
        <v>-0.99986019999999998</v>
      </c>
      <c r="N1856">
        <v>-1.4871479999999999E-2</v>
      </c>
      <c r="O1856">
        <v>7.6303019999999899E-3</v>
      </c>
      <c r="P1856">
        <v>-0.97757819999999995</v>
      </c>
      <c r="Q1856">
        <v>0.2044388</v>
      </c>
      <c r="R1856">
        <v>5.0454800000000001E-2</v>
      </c>
      <c r="S1856">
        <v>-3.0672000000000001</v>
      </c>
      <c r="T1856">
        <v>-2.8495309999999999E-2</v>
      </c>
      <c r="U1856">
        <v>0.1433411</v>
      </c>
      <c r="V1856">
        <v>4.3258579999999998E-2</v>
      </c>
      <c r="W1856">
        <v>0.21890770000000001</v>
      </c>
      <c r="X1856">
        <v>0.97478620000000005</v>
      </c>
      <c r="Y1856">
        <v>3.9054140000000001E-2</v>
      </c>
      <c r="Z1856">
        <v>5.1447880000000002E-4</v>
      </c>
      <c r="AA1856">
        <v>0.99923689999999998</v>
      </c>
      <c r="AB1856">
        <v>48</v>
      </c>
      <c r="AC1856">
        <v>-120.291799999999</v>
      </c>
      <c r="AD1856">
        <v>-1.120324688328</v>
      </c>
      <c r="AE1856">
        <v>5.63319999999998</v>
      </c>
      <c r="AF1856">
        <v>4.7146635554215202</v>
      </c>
      <c r="AG1856">
        <v>-1.120324688328</v>
      </c>
      <c r="AH1856">
        <v>120.32087145661301</v>
      </c>
      <c r="AI1856">
        <v>90.533064656346099</v>
      </c>
      <c r="AJ1856">
        <v>87.756065132665896</v>
      </c>
      <c r="AK1856">
        <v>120.41841756113099</v>
      </c>
      <c r="AL1856">
        <v>77.355115069535401</v>
      </c>
      <c r="AM1856">
        <v>87.459023386718798</v>
      </c>
      <c r="AN1856">
        <v>1.00000001078667</v>
      </c>
    </row>
    <row r="1857" spans="1:40" x14ac:dyDescent="0.25">
      <c r="A1857" t="str">
        <f>"20190303171014412"</f>
        <v>20190303171014412</v>
      </c>
      <c r="B1857" t="str">
        <f>"1551604214402513"</f>
        <v>1551604214402513</v>
      </c>
      <c r="C1857" t="s">
        <v>40</v>
      </c>
      <c r="D1857">
        <v>4.6246229999999997</v>
      </c>
      <c r="E1857">
        <v>0.50407609999999903</v>
      </c>
      <c r="F1857" t="s">
        <v>52</v>
      </c>
      <c r="G1857">
        <v>-499.95780000000002</v>
      </c>
      <c r="H1857">
        <v>9.7839439999999993E-3</v>
      </c>
      <c r="I1857">
        <v>289.64159999999998</v>
      </c>
      <c r="J1857">
        <v>-376.08960000000002</v>
      </c>
      <c r="K1857">
        <v>1.1203289999999999</v>
      </c>
      <c r="L1857">
        <v>283.79669999999999</v>
      </c>
      <c r="M1857">
        <v>-0.99985840000000004</v>
      </c>
      <c r="N1857">
        <v>-1.48692999999999E-2</v>
      </c>
      <c r="O1857">
        <v>7.8798600000000007E-3</v>
      </c>
      <c r="P1857">
        <v>-0.97752260000000002</v>
      </c>
      <c r="Q1857">
        <v>0.20466100000000001</v>
      </c>
      <c r="R1857">
        <v>5.0633230000000001E-2</v>
      </c>
      <c r="S1857">
        <v>-3.0671080000000002</v>
      </c>
      <c r="T1857">
        <v>-2.7425290000000001E-2</v>
      </c>
      <c r="U1857">
        <v>0.14440919999999999</v>
      </c>
      <c r="V1857">
        <v>4.3193290000000002E-2</v>
      </c>
      <c r="W1857">
        <v>0.21912680000000001</v>
      </c>
      <c r="X1857">
        <v>0.97473980000000005</v>
      </c>
      <c r="Y1857">
        <v>3.9153569999999999E-2</v>
      </c>
      <c r="Z1857">
        <v>5.1293809999999895E-4</v>
      </c>
      <c r="AA1857">
        <v>0.99923309999999999</v>
      </c>
      <c r="AB1857">
        <v>48</v>
      </c>
      <c r="AC1857">
        <v>-123.8682</v>
      </c>
      <c r="AD1857">
        <v>-1.1105450559999901</v>
      </c>
      <c r="AE1857">
        <v>5.8448999999999902</v>
      </c>
      <c r="AF1857">
        <v>4.86815606817144</v>
      </c>
      <c r="AG1857">
        <v>-1.1105450559999901</v>
      </c>
      <c r="AH1857">
        <v>123.90047844869</v>
      </c>
      <c r="AI1857">
        <v>90.513143997187996</v>
      </c>
      <c r="AJ1857">
        <v>87.749957054571496</v>
      </c>
      <c r="AK1857">
        <v>124.001051663442</v>
      </c>
      <c r="AL1857">
        <v>77.342248363033903</v>
      </c>
      <c r="AM1857">
        <v>87.462732840716598</v>
      </c>
      <c r="AN1857">
        <v>0.99999994624165001</v>
      </c>
    </row>
    <row r="1858" spans="1:40" x14ac:dyDescent="0.25">
      <c r="A1858" t="str">
        <f>"20190303171014435"</f>
        <v>20190303171014435</v>
      </c>
      <c r="B1858" t="str">
        <f>"1551604214422046"</f>
        <v>1551604214422046</v>
      </c>
      <c r="C1858" t="s">
        <v>40</v>
      </c>
      <c r="D1858">
        <v>4.9646420000000004</v>
      </c>
      <c r="E1858">
        <v>0.50415940000000004</v>
      </c>
      <c r="F1858" t="s">
        <v>52</v>
      </c>
      <c r="G1858">
        <v>-499.95780000000002</v>
      </c>
      <c r="H1858">
        <v>4.8347099999999997E-2</v>
      </c>
      <c r="I1858">
        <v>289.65730000000002</v>
      </c>
      <c r="J1858">
        <v>-376.57560000000001</v>
      </c>
      <c r="K1858">
        <v>1.120333</v>
      </c>
      <c r="L1858">
        <v>283.80079999999998</v>
      </c>
      <c r="M1858">
        <v>-0.99985550000000001</v>
      </c>
      <c r="N1858">
        <v>-1.486606E-2</v>
      </c>
      <c r="O1858">
        <v>8.2483839999999992E-3</v>
      </c>
      <c r="P1858">
        <v>-0.97764070000000003</v>
      </c>
      <c r="Q1858">
        <v>0.20408760000000001</v>
      </c>
      <c r="R1858">
        <v>5.066789E-2</v>
      </c>
      <c r="S1858">
        <v>-3.0670470000000001</v>
      </c>
      <c r="T1858">
        <v>-2.6542900000000001E-2</v>
      </c>
      <c r="U1858">
        <v>0.14511109999999999</v>
      </c>
      <c r="V1858">
        <v>4.2865510000000002E-2</v>
      </c>
      <c r="W1858">
        <v>0.2185531</v>
      </c>
      <c r="X1858">
        <v>0.9748831</v>
      </c>
      <c r="Y1858">
        <v>3.9014600000000003E-2</v>
      </c>
      <c r="Z1858">
        <v>5.1014249999999995E-4</v>
      </c>
      <c r="AA1858">
        <v>0.99923850000000003</v>
      </c>
      <c r="AB1858">
        <v>48</v>
      </c>
      <c r="AC1858">
        <v>-123.3822</v>
      </c>
      <c r="AD1858">
        <v>-1.0719858999999901</v>
      </c>
      <c r="AE1858">
        <v>5.8565000000000396</v>
      </c>
      <c r="AF1858">
        <v>4.8381201212548799</v>
      </c>
      <c r="AG1858">
        <v>-1.0719858999999901</v>
      </c>
      <c r="AH1858">
        <v>123.41701833568401</v>
      </c>
      <c r="AI1858">
        <v>90.497270053504295</v>
      </c>
      <c r="AJ1858">
        <v>87.755074619555302</v>
      </c>
      <c r="AK1858">
        <v>123.51646438814601</v>
      </c>
      <c r="AL1858">
        <v>77.375935989964205</v>
      </c>
      <c r="AM1858">
        <v>87.482332123528707</v>
      </c>
      <c r="AN1858">
        <v>0.99999998406638901</v>
      </c>
    </row>
    <row r="1859" spans="1:40" x14ac:dyDescent="0.25">
      <c r="A1859" t="str">
        <f>"20190303171014460"</f>
        <v>20190303171014460</v>
      </c>
      <c r="B1859" t="str">
        <f>"1551604214452290"</f>
        <v>1551604214452290</v>
      </c>
      <c r="C1859" t="s">
        <v>40</v>
      </c>
      <c r="D1859">
        <v>5.0235000000000003</v>
      </c>
      <c r="E1859">
        <v>0.50429550000000001</v>
      </c>
      <c r="F1859" t="s">
        <v>52</v>
      </c>
      <c r="G1859">
        <v>-499.06849999999997</v>
      </c>
      <c r="H1859" s="1">
        <v>2.8016329999999998E-6</v>
      </c>
      <c r="I1859">
        <v>289.6404</v>
      </c>
      <c r="J1859">
        <v>-377.08249999999998</v>
      </c>
      <c r="K1859">
        <v>1.1203399999999999</v>
      </c>
      <c r="L1859">
        <v>283.80529999999999</v>
      </c>
      <c r="M1859">
        <v>-0.99985230000000003</v>
      </c>
      <c r="N1859">
        <v>-1.486267E-2</v>
      </c>
      <c r="O1859">
        <v>8.6331240000000007E-3</v>
      </c>
      <c r="P1859">
        <v>-0.97763840000000002</v>
      </c>
      <c r="Q1859">
        <v>0.20407400000000001</v>
      </c>
      <c r="R1859">
        <v>5.0764400000000001E-2</v>
      </c>
      <c r="S1859">
        <v>-3.0668950000000001</v>
      </c>
      <c r="T1859">
        <v>-2.805007E-2</v>
      </c>
      <c r="U1859">
        <v>0.1462097</v>
      </c>
      <c r="V1859">
        <v>4.2585230000000002E-2</v>
      </c>
      <c r="W1859">
        <v>0.2185368</v>
      </c>
      <c r="X1859">
        <v>0.97489910000000002</v>
      </c>
      <c r="Y1859">
        <v>3.8989259999999998E-2</v>
      </c>
      <c r="Z1859">
        <v>5.1748019999999905E-4</v>
      </c>
      <c r="AA1859">
        <v>0.99923949999999995</v>
      </c>
      <c r="AB1859">
        <v>48</v>
      </c>
      <c r="AC1859">
        <v>-121.986</v>
      </c>
      <c r="AD1859">
        <v>-1.1203371983670001</v>
      </c>
      <c r="AE1859">
        <v>5.8351000000000104</v>
      </c>
      <c r="AF1859">
        <v>4.7812435573382501</v>
      </c>
      <c r="AG1859">
        <v>-1.1203371983670001</v>
      </c>
      <c r="AH1859">
        <v>122.021564913871</v>
      </c>
      <c r="AI1859">
        <v>90.525641288605598</v>
      </c>
      <c r="AJ1859">
        <v>87.756093318692095</v>
      </c>
      <c r="AK1859">
        <v>122.120341259852</v>
      </c>
      <c r="AL1859">
        <v>77.376893827756007</v>
      </c>
      <c r="AM1859">
        <v>87.498814144294798</v>
      </c>
      <c r="AN1859">
        <v>1.0000000449746</v>
      </c>
    </row>
    <row r="1860" spans="1:40" x14ac:dyDescent="0.25">
      <c r="A1860" t="str">
        <f>"20190303171014480"</f>
        <v>20190303171014480</v>
      </c>
      <c r="B1860" t="str">
        <f>"1551604214472315"</f>
        <v>1551604214472315</v>
      </c>
      <c r="C1860" t="s">
        <v>40</v>
      </c>
      <c r="D1860">
        <v>4.9067980000000002</v>
      </c>
      <c r="E1860">
        <v>0.50430350000000002</v>
      </c>
      <c r="F1860" t="s">
        <v>52</v>
      </c>
      <c r="G1860">
        <v>-499.95780000000002</v>
      </c>
      <c r="H1860">
        <v>1.5578150000000001E-2</v>
      </c>
      <c r="I1860">
        <v>289.73939999999999</v>
      </c>
      <c r="J1860">
        <v>-377.55059999999997</v>
      </c>
      <c r="K1860">
        <v>1.1203449999999999</v>
      </c>
      <c r="L1860">
        <v>283.80959999999999</v>
      </c>
      <c r="M1860">
        <v>-0.99984930000000005</v>
      </c>
      <c r="N1860">
        <v>-1.4859580000000001E-2</v>
      </c>
      <c r="O1860">
        <v>8.9877659999999995E-3</v>
      </c>
      <c r="P1860">
        <v>-0.97753380000000001</v>
      </c>
      <c r="Q1860">
        <v>0.20445389999999999</v>
      </c>
      <c r="R1860">
        <v>5.1250129999999998E-2</v>
      </c>
      <c r="S1860">
        <v>-3.066681</v>
      </c>
      <c r="T1860">
        <v>-2.7572269999999999E-2</v>
      </c>
      <c r="U1860">
        <v>0.14810179999999901</v>
      </c>
      <c r="V1860">
        <v>4.2725060000000002E-2</v>
      </c>
      <c r="W1860">
        <v>0.2189123</v>
      </c>
      <c r="X1860">
        <v>0.97480869999999997</v>
      </c>
      <c r="Y1860">
        <v>3.9253330000000003E-2</v>
      </c>
      <c r="Z1860">
        <v>5.2094100000000003E-4</v>
      </c>
      <c r="AA1860">
        <v>0.99922909999999998</v>
      </c>
      <c r="AB1860">
        <v>48</v>
      </c>
      <c r="AC1860">
        <v>-122.4072</v>
      </c>
      <c r="AD1860">
        <v>-1.1047668500000001</v>
      </c>
      <c r="AE1860">
        <v>5.9298000000000002</v>
      </c>
      <c r="AF1860">
        <v>4.8288793763514297</v>
      </c>
      <c r="AG1860">
        <v>-1.1047668500000001</v>
      </c>
      <c r="AH1860">
        <v>122.445605645073</v>
      </c>
      <c r="AI1860">
        <v>90.516536286899495</v>
      </c>
      <c r="AJ1860">
        <v>87.741600397602099</v>
      </c>
      <c r="AK1860">
        <v>122.545766665409</v>
      </c>
      <c r="AL1860">
        <v>77.354844995097594</v>
      </c>
      <c r="AM1860">
        <v>87.490379486185404</v>
      </c>
      <c r="AN1860">
        <v>1.00000001371949</v>
      </c>
    </row>
    <row r="1861" spans="1:40" x14ac:dyDescent="0.25">
      <c r="A1861" t="str">
        <f>"20190303171014492"</f>
        <v>20190303171014492</v>
      </c>
      <c r="B1861" t="str">
        <f>"1551604214482075"</f>
        <v>1551604214482075</v>
      </c>
      <c r="C1861" t="s">
        <v>40</v>
      </c>
      <c r="D1861">
        <v>4.8954360000000001</v>
      </c>
      <c r="E1861">
        <v>0.50430350000000002</v>
      </c>
      <c r="F1861" t="s">
        <v>52</v>
      </c>
      <c r="G1861">
        <v>-499.983</v>
      </c>
      <c r="H1861">
        <v>7.5256680000000006E-2</v>
      </c>
      <c r="I1861">
        <v>289.7602</v>
      </c>
      <c r="J1861">
        <v>-377.8297</v>
      </c>
      <c r="K1861">
        <v>1.120347</v>
      </c>
      <c r="L1861">
        <v>283.81220000000002</v>
      </c>
      <c r="M1861">
        <v>-0.99984740000000005</v>
      </c>
      <c r="N1861">
        <v>-1.4857749999999999E-2</v>
      </c>
      <c r="O1861">
        <v>9.1998889999999993E-3</v>
      </c>
      <c r="P1861">
        <v>-0.97749160000000002</v>
      </c>
      <c r="Q1861">
        <v>0.20455190000000001</v>
      </c>
      <c r="R1861">
        <v>5.1663599999999997E-2</v>
      </c>
      <c r="S1861">
        <v>-3.0666199999999999</v>
      </c>
      <c r="T1861">
        <v>-2.6176809999999998E-2</v>
      </c>
      <c r="U1861">
        <v>0.14904790000000001</v>
      </c>
      <c r="V1861">
        <v>4.293139E-2</v>
      </c>
      <c r="W1861">
        <v>0.2190077</v>
      </c>
      <c r="X1861">
        <v>0.97477820000000004</v>
      </c>
      <c r="Y1861">
        <v>3.9350139999999999E-2</v>
      </c>
      <c r="Z1861">
        <v>5.1852539999999996E-4</v>
      </c>
      <c r="AA1861">
        <v>0.99922540000000004</v>
      </c>
      <c r="AB1861">
        <v>48</v>
      </c>
      <c r="AC1861">
        <v>-122.1533</v>
      </c>
      <c r="AD1861">
        <v>-1.0450903199999999</v>
      </c>
      <c r="AE1861">
        <v>5.9479999999999702</v>
      </c>
      <c r="AF1861">
        <v>4.82347525200632</v>
      </c>
      <c r="AG1861">
        <v>-1.0450903199999999</v>
      </c>
      <c r="AH1861">
        <v>122.193933168063</v>
      </c>
      <c r="AI1861">
        <v>90.489641418337996</v>
      </c>
      <c r="AJ1861">
        <v>87.739483799742899</v>
      </c>
      <c r="AK1861">
        <v>122.29356250582001</v>
      </c>
      <c r="AL1861">
        <v>77.349242966942299</v>
      </c>
      <c r="AM1861">
        <v>87.478196707858203</v>
      </c>
      <c r="AN1861">
        <v>1.0000000080509299</v>
      </c>
    </row>
    <row r="1862" spans="1:40" x14ac:dyDescent="0.25">
      <c r="A1862" t="str">
        <f>"20190303171014507"</f>
        <v>20190303171014507</v>
      </c>
      <c r="B1862" t="str">
        <f>"1551604214502571"</f>
        <v>1551604214502571</v>
      </c>
      <c r="C1862" t="s">
        <v>40</v>
      </c>
      <c r="D1862">
        <v>4.8704919999999996</v>
      </c>
      <c r="E1862">
        <v>0.48178149999999997</v>
      </c>
      <c r="F1862" t="s">
        <v>52</v>
      </c>
      <c r="G1862">
        <v>-501.16460000000001</v>
      </c>
      <c r="H1862">
        <v>8.0004329999999999E-2</v>
      </c>
      <c r="I1862">
        <v>289.85469999999998</v>
      </c>
      <c r="J1862">
        <v>-378.1277</v>
      </c>
      <c r="K1862">
        <v>1.120349</v>
      </c>
      <c r="L1862">
        <v>283.81509999999997</v>
      </c>
      <c r="M1862">
        <v>-0.99984530000000005</v>
      </c>
      <c r="N1862">
        <v>-1.4855810000000001E-2</v>
      </c>
      <c r="O1862">
        <v>9.4260839999999995E-3</v>
      </c>
      <c r="P1862">
        <v>-0.97748500000000005</v>
      </c>
      <c r="Q1862">
        <v>0.2045438</v>
      </c>
      <c r="R1862">
        <v>5.1818110000000001E-2</v>
      </c>
      <c r="S1862">
        <v>-3.0665589999999998</v>
      </c>
      <c r="T1862">
        <v>-2.5866750000000001E-2</v>
      </c>
      <c r="U1862">
        <v>0.15023800000000001</v>
      </c>
      <c r="V1862">
        <v>4.2864430000000002E-2</v>
      </c>
      <c r="W1862">
        <v>0.2189979</v>
      </c>
      <c r="X1862">
        <v>0.97478339999999997</v>
      </c>
      <c r="Y1862">
        <v>3.9511999999999999E-2</v>
      </c>
      <c r="Z1862">
        <v>5.2075089999999895E-4</v>
      </c>
      <c r="AA1862">
        <v>0.99921890000000002</v>
      </c>
      <c r="AB1862">
        <v>48</v>
      </c>
      <c r="AC1862">
        <v>-123.0369</v>
      </c>
      <c r="AD1862">
        <v>-1.0403446700000001</v>
      </c>
      <c r="AE1862">
        <v>6.0396000000000001</v>
      </c>
      <c r="AF1862">
        <v>4.8790995699940103</v>
      </c>
      <c r="AG1862">
        <v>-1.0403446700000001</v>
      </c>
      <c r="AH1862">
        <v>123.079590162854</v>
      </c>
      <c r="AI1862">
        <v>90.483907705416001</v>
      </c>
      <c r="AJ1862">
        <v>87.729879384789996</v>
      </c>
      <c r="AK1862">
        <v>123.180653693275</v>
      </c>
      <c r="AL1862">
        <v>77.349819080936797</v>
      </c>
      <c r="AM1862">
        <v>87.482138307719694</v>
      </c>
      <c r="AN1862">
        <v>1.00000005823959</v>
      </c>
    </row>
    <row r="1863" spans="1:40" x14ac:dyDescent="0.25">
      <c r="A1863" t="str">
        <f>"20190303171014521"</f>
        <v>20190303171014521</v>
      </c>
      <c r="B1863" t="str">
        <f>"1551604214512330"</f>
        <v>1551604214512330</v>
      </c>
      <c r="C1863" t="s">
        <v>40</v>
      </c>
      <c r="D1863">
        <v>4.8887939999999999</v>
      </c>
      <c r="E1863">
        <v>0.48072710000000002</v>
      </c>
      <c r="F1863" t="s">
        <v>60</v>
      </c>
      <c r="G1863">
        <v>-424.70859999999999</v>
      </c>
      <c r="H1863" s="1">
        <v>3.2420559999999999E-6</v>
      </c>
      <c r="I1863">
        <v>283.32740000000001</v>
      </c>
      <c r="J1863">
        <v>-378.43459999999999</v>
      </c>
      <c r="K1863">
        <v>1.1203459999999901</v>
      </c>
      <c r="L1863">
        <v>283.81819999999999</v>
      </c>
      <c r="M1863">
        <v>-0.99984309999999998</v>
      </c>
      <c r="N1863">
        <v>-1.4853760000000001E-2</v>
      </c>
      <c r="O1863">
        <v>9.6589559999999998E-3</v>
      </c>
      <c r="P1863">
        <v>-0.97749059999999999</v>
      </c>
      <c r="Q1863">
        <v>0.2045254</v>
      </c>
      <c r="R1863">
        <v>5.1784240000000002E-2</v>
      </c>
      <c r="S1863">
        <v>-3.0863649999999998</v>
      </c>
      <c r="T1863">
        <v>-7.4231980000000003E-2</v>
      </c>
      <c r="U1863">
        <v>-3.2318119999999999E-2</v>
      </c>
      <c r="V1863">
        <v>4.2602569999999999E-2</v>
      </c>
      <c r="W1863">
        <v>0.2189779</v>
      </c>
      <c r="X1863">
        <v>0.97479930000000004</v>
      </c>
      <c r="Y1863">
        <v>-2.0119870000000002E-2</v>
      </c>
      <c r="Z1863">
        <v>-4.8019680000000001E-4</v>
      </c>
      <c r="AA1863">
        <v>0.99979750000000001</v>
      </c>
      <c r="AB1863">
        <v>48</v>
      </c>
      <c r="AC1863">
        <v>-46.273999999999901</v>
      </c>
      <c r="AD1863">
        <v>-1.12034275794399</v>
      </c>
      <c r="AE1863">
        <v>-0.49079999999997798</v>
      </c>
      <c r="AF1863">
        <v>-0.937235587670607</v>
      </c>
      <c r="AG1863">
        <v>-1.12034275794399</v>
      </c>
      <c r="AH1863">
        <v>46.2399980490624</v>
      </c>
      <c r="AI1863">
        <v>91.387655362398903</v>
      </c>
      <c r="AJ1863">
        <v>91.161165524569299</v>
      </c>
      <c r="AK1863">
        <v>46.263062998674997</v>
      </c>
      <c r="AL1863">
        <v>77.350992592516903</v>
      </c>
      <c r="AM1863">
        <v>87.497541147009699</v>
      </c>
      <c r="AN1863">
        <v>0.99999998746975205</v>
      </c>
    </row>
    <row r="1864" spans="1:40" x14ac:dyDescent="0.25">
      <c r="A1864" t="str">
        <f>"20190303171014535"</f>
        <v>20190303171014535</v>
      </c>
      <c r="B1864" t="str">
        <f>"1551604214522091"</f>
        <v>1551604214522091</v>
      </c>
      <c r="C1864" t="s">
        <v>40</v>
      </c>
      <c r="D1864">
        <v>4.7615309999999997</v>
      </c>
      <c r="E1864">
        <v>0.48012310000000002</v>
      </c>
      <c r="F1864" t="s">
        <v>60</v>
      </c>
      <c r="G1864">
        <v>-423.1481</v>
      </c>
      <c r="H1864" s="1">
        <v>3.5279710000000002E-6</v>
      </c>
      <c r="I1864">
        <v>283.22329999999999</v>
      </c>
      <c r="J1864">
        <v>-378.75689999999997</v>
      </c>
      <c r="K1864">
        <v>1.1203449999999999</v>
      </c>
      <c r="L1864">
        <v>283.82139999999998</v>
      </c>
      <c r="M1864">
        <v>-0.99984070000000003</v>
      </c>
      <c r="N1864">
        <v>-1.485153E-2</v>
      </c>
      <c r="O1864">
        <v>9.9036890000000002E-3</v>
      </c>
      <c r="P1864">
        <v>-0.97762470000000001</v>
      </c>
      <c r="Q1864">
        <v>0.2038886</v>
      </c>
      <c r="R1864">
        <v>5.1767929999999997E-2</v>
      </c>
      <c r="S1864">
        <v>-3.0874630000000001</v>
      </c>
      <c r="T1864">
        <v>-7.735968E-2</v>
      </c>
      <c r="U1864">
        <v>-4.1076660000000001E-2</v>
      </c>
      <c r="V1864">
        <v>4.2344809999999997E-2</v>
      </c>
      <c r="W1864">
        <v>0.21834139999999999</v>
      </c>
      <c r="X1864">
        <v>0.97495330000000002</v>
      </c>
      <c r="Y1864">
        <v>-2.3194309999999999E-2</v>
      </c>
      <c r="Z1864">
        <v>-5.6383829999999998E-4</v>
      </c>
      <c r="AA1864">
        <v>0.99973080000000003</v>
      </c>
      <c r="AB1864">
        <v>48</v>
      </c>
      <c r="AC1864">
        <v>-44.391199999999998</v>
      </c>
      <c r="AD1864">
        <v>-1.1203414720289999</v>
      </c>
      <c r="AE1864">
        <v>-0.59809999999998797</v>
      </c>
      <c r="AF1864">
        <v>-1.0370953157409699</v>
      </c>
      <c r="AG1864">
        <v>-1.1203414720289999</v>
      </c>
      <c r="AH1864">
        <v>44.354851598216598</v>
      </c>
      <c r="AI1864">
        <v>91.446508358165602</v>
      </c>
      <c r="AJ1864">
        <v>91.339433168736406</v>
      </c>
      <c r="AK1864">
        <v>44.3811175164359</v>
      </c>
      <c r="AL1864">
        <v>77.388365821014403</v>
      </c>
      <c r="AM1864">
        <v>87.513055195545107</v>
      </c>
      <c r="AN1864">
        <v>0.99999999353439295</v>
      </c>
    </row>
    <row r="1865" spans="1:40" x14ac:dyDescent="0.25">
      <c r="A1865" t="str">
        <f>"20190303171014560"</f>
        <v>20190303171014560</v>
      </c>
      <c r="B1865" t="str">
        <f>"1551604214552347"</f>
        <v>1551604214552347</v>
      </c>
      <c r="C1865" t="s">
        <v>40</v>
      </c>
      <c r="D1865">
        <v>4.8702829999999997</v>
      </c>
      <c r="E1865">
        <v>0.47894239999999999</v>
      </c>
      <c r="F1865" t="s">
        <v>60</v>
      </c>
      <c r="G1865">
        <v>-420.79320000000001</v>
      </c>
      <c r="H1865" s="1">
        <v>3.9481639999999996E-6</v>
      </c>
      <c r="I1865">
        <v>283.19499999999999</v>
      </c>
      <c r="J1865">
        <v>-379.25119999999998</v>
      </c>
      <c r="K1865">
        <v>1.1203399999999999</v>
      </c>
      <c r="L1865">
        <v>283.82659999999998</v>
      </c>
      <c r="M1865">
        <v>-0.99983710000000003</v>
      </c>
      <c r="N1865">
        <v>-1.4848099999999999E-2</v>
      </c>
      <c r="O1865">
        <v>1.0279079999999999E-2</v>
      </c>
      <c r="P1865">
        <v>-0.97770210000000002</v>
      </c>
      <c r="Q1865">
        <v>0.20344119999999999</v>
      </c>
      <c r="R1865">
        <v>5.2063089999999999E-2</v>
      </c>
      <c r="S1865">
        <v>-3.088257</v>
      </c>
      <c r="T1865">
        <v>-8.2307580000000005E-2</v>
      </c>
      <c r="U1865">
        <v>-4.6020510000000001E-2</v>
      </c>
      <c r="V1865">
        <v>4.2271030000000001E-2</v>
      </c>
      <c r="W1865">
        <v>0.21789230000000001</v>
      </c>
      <c r="X1865">
        <v>0.9750569</v>
      </c>
      <c r="Y1865">
        <v>-2.5163769999999999E-2</v>
      </c>
      <c r="Z1865">
        <v>-6.434228E-4</v>
      </c>
      <c r="AA1865">
        <v>0.99968310000000005</v>
      </c>
      <c r="AB1865">
        <v>48</v>
      </c>
      <c r="AC1865">
        <v>-41.542000000000002</v>
      </c>
      <c r="AD1865">
        <v>-1.1203360518359999</v>
      </c>
      <c r="AE1865">
        <v>-0.63159999999999095</v>
      </c>
      <c r="AF1865">
        <v>-1.0578579525876399</v>
      </c>
      <c r="AG1865">
        <v>-1.1203360518359999</v>
      </c>
      <c r="AH1865">
        <v>41.503132999316001</v>
      </c>
      <c r="AI1865">
        <v>91.545765637246902</v>
      </c>
      <c r="AJ1865">
        <v>91.4600747236763</v>
      </c>
      <c r="AK1865">
        <v>41.531726006461703</v>
      </c>
      <c r="AL1865">
        <v>77.414731328043402</v>
      </c>
      <c r="AM1865">
        <v>87.517646376700199</v>
      </c>
      <c r="AN1865">
        <v>0.99999992630707701</v>
      </c>
    </row>
    <row r="1866" spans="1:40" x14ac:dyDescent="0.25">
      <c r="A1866" t="str">
        <f>"20190303171014582"</f>
        <v>20190303171014582</v>
      </c>
      <c r="B1866" t="str">
        <f>"1551604214572374"</f>
        <v>1551604214572374</v>
      </c>
      <c r="C1866" t="s">
        <v>40</v>
      </c>
      <c r="D1866">
        <v>4.849615</v>
      </c>
      <c r="E1866">
        <v>0.47874230000000001</v>
      </c>
      <c r="F1866" t="s">
        <v>60</v>
      </c>
      <c r="G1866">
        <v>-417.09609999999998</v>
      </c>
      <c r="H1866" s="1">
        <v>3.5923930000000001E-6</v>
      </c>
      <c r="I1866">
        <v>283.15320000000003</v>
      </c>
      <c r="J1866">
        <v>-379.73360000000002</v>
      </c>
      <c r="K1866">
        <v>1.1203449999999999</v>
      </c>
      <c r="L1866">
        <v>283.83190000000002</v>
      </c>
      <c r="M1866">
        <v>-0.99983330000000004</v>
      </c>
      <c r="N1866">
        <v>-1.484476E-2</v>
      </c>
      <c r="O1866">
        <v>1.064528E-2</v>
      </c>
      <c r="P1866">
        <v>-0.97770230000000002</v>
      </c>
      <c r="Q1866">
        <v>0.20331160000000001</v>
      </c>
      <c r="R1866">
        <v>5.2564109999999997E-2</v>
      </c>
      <c r="S1866">
        <v>-3.0903930000000002</v>
      </c>
      <c r="T1866">
        <v>-9.1486100000000001E-2</v>
      </c>
      <c r="U1866">
        <v>-5.4992680000000002E-2</v>
      </c>
      <c r="V1866">
        <v>4.241325E-2</v>
      </c>
      <c r="W1866">
        <v>0.2177597</v>
      </c>
      <c r="X1866">
        <v>0.97508039999999996</v>
      </c>
      <c r="Y1866">
        <v>-2.8415820000000001E-2</v>
      </c>
      <c r="Z1866">
        <v>-7.8852879999999998E-4</v>
      </c>
      <c r="AA1866">
        <v>0.99959589999999998</v>
      </c>
      <c r="AB1866">
        <v>48</v>
      </c>
      <c r="AC1866">
        <v>-37.362499999999898</v>
      </c>
      <c r="AD1866">
        <v>-1.120341407607</v>
      </c>
      <c r="AE1866">
        <v>-0.67869999999999198</v>
      </c>
      <c r="AF1866">
        <v>-1.0754728913357501</v>
      </c>
      <c r="AG1866">
        <v>-1.120341407607</v>
      </c>
      <c r="AH1866">
        <v>37.319612120324798</v>
      </c>
      <c r="AI1866">
        <v>91.718799958505102</v>
      </c>
      <c r="AJ1866">
        <v>91.650687259322495</v>
      </c>
      <c r="AK1866">
        <v>37.351911003603099</v>
      </c>
      <c r="AL1866">
        <v>77.422516337953198</v>
      </c>
      <c r="AM1866">
        <v>87.509365001359996</v>
      </c>
      <c r="AN1866">
        <v>0.99999997859190504</v>
      </c>
    </row>
    <row r="1867" spans="1:40" x14ac:dyDescent="0.25">
      <c r="A1867" t="str">
        <f>"20190303171014603"</f>
        <v>20190303171014603</v>
      </c>
      <c r="B1867" t="str">
        <f>"1551604214592870"</f>
        <v>1551604214592870</v>
      </c>
      <c r="C1867" t="s">
        <v>40</v>
      </c>
      <c r="D1867">
        <v>4.8615110000000001</v>
      </c>
      <c r="E1867">
        <v>0.47850579999999998</v>
      </c>
      <c r="F1867" t="s">
        <v>60</v>
      </c>
      <c r="G1867">
        <v>-417.2799</v>
      </c>
      <c r="H1867" s="1">
        <v>3.6243900000000001E-6</v>
      </c>
      <c r="I1867">
        <v>283.1601</v>
      </c>
      <c r="J1867">
        <v>-380.1968</v>
      </c>
      <c r="K1867">
        <v>1.1203510000000001</v>
      </c>
      <c r="L1867">
        <v>283.83710000000002</v>
      </c>
      <c r="M1867">
        <v>-0.99982950000000004</v>
      </c>
      <c r="N1867">
        <v>-1.4841899999999899E-2</v>
      </c>
      <c r="O1867">
        <v>1.0997420000000001E-2</v>
      </c>
      <c r="P1867">
        <v>-0.97761290000000001</v>
      </c>
      <c r="Q1867">
        <v>0.2035875</v>
      </c>
      <c r="R1867">
        <v>5.3155719999999997E-2</v>
      </c>
      <c r="S1867">
        <v>-3.090576</v>
      </c>
      <c r="T1867">
        <v>-9.2219590000000004E-2</v>
      </c>
      <c r="U1867">
        <v>-5.5297850000000003E-2</v>
      </c>
      <c r="V1867">
        <v>4.2661419999999999E-2</v>
      </c>
      <c r="W1867">
        <v>0.21803149999999999</v>
      </c>
      <c r="X1867">
        <v>0.97500880000000001</v>
      </c>
      <c r="Y1867">
        <v>-2.8864859999999999E-2</v>
      </c>
      <c r="Z1867">
        <v>-8.0968009999999896E-4</v>
      </c>
      <c r="AA1867">
        <v>0.999583</v>
      </c>
      <c r="AB1867">
        <v>48</v>
      </c>
      <c r="AC1867">
        <v>-37.083100000000002</v>
      </c>
      <c r="AD1867">
        <v>-1.12034737561</v>
      </c>
      <c r="AE1867">
        <v>-0.67700000000002003</v>
      </c>
      <c r="AF1867">
        <v>-1.08383340639885</v>
      </c>
      <c r="AG1867">
        <v>-1.12034737561</v>
      </c>
      <c r="AH1867">
        <v>37.039614130769699</v>
      </c>
      <c r="AI1867">
        <v>91.731772151283494</v>
      </c>
      <c r="AJ1867">
        <v>91.676080236529899</v>
      </c>
      <c r="AK1867">
        <v>37.072400624334797</v>
      </c>
      <c r="AL1867">
        <v>77.406559527516393</v>
      </c>
      <c r="AM1867">
        <v>87.494626482482502</v>
      </c>
      <c r="AN1867">
        <v>0.99999994591305097</v>
      </c>
    </row>
    <row r="1868" spans="1:40" x14ac:dyDescent="0.25">
      <c r="A1868" t="str">
        <f>"20190303171014625"</f>
        <v>20190303171014625</v>
      </c>
      <c r="B1868" t="str">
        <f>"1551604214612391"</f>
        <v>1551604214612391</v>
      </c>
      <c r="C1868" t="s">
        <v>40</v>
      </c>
      <c r="D1868">
        <v>4.8751189999999998</v>
      </c>
      <c r="E1868">
        <v>0.47825129999999999</v>
      </c>
      <c r="F1868" t="s">
        <v>60</v>
      </c>
      <c r="G1868">
        <v>-418.22570000000002</v>
      </c>
      <c r="H1868" s="1">
        <v>3.792618E-6</v>
      </c>
      <c r="I1868">
        <v>283.15480000000002</v>
      </c>
      <c r="J1868">
        <v>-380.67009999999999</v>
      </c>
      <c r="K1868">
        <v>1.1203559999999999</v>
      </c>
      <c r="L1868">
        <v>283.84249999999997</v>
      </c>
      <c r="M1868">
        <v>-0.99982550000000003</v>
      </c>
      <c r="N1868">
        <v>-1.483897E-2</v>
      </c>
      <c r="O1868">
        <v>1.1357300000000001E-2</v>
      </c>
      <c r="P1868">
        <v>-0.97762309999999997</v>
      </c>
      <c r="Q1868">
        <v>0.20350470000000001</v>
      </c>
      <c r="R1868">
        <v>5.3281059999999998E-2</v>
      </c>
      <c r="S1868">
        <v>-3.090668</v>
      </c>
      <c r="T1868">
        <v>-9.1052530000000007E-2</v>
      </c>
      <c r="U1868">
        <v>-5.5450439999999997E-2</v>
      </c>
      <c r="V1868">
        <v>4.2433980000000003E-2</v>
      </c>
      <c r="W1868">
        <v>0.2179468</v>
      </c>
      <c r="X1868">
        <v>0.97503770000000001</v>
      </c>
      <c r="Y1868">
        <v>-2.927362E-2</v>
      </c>
      <c r="Z1868">
        <v>-8.1436319999999998E-4</v>
      </c>
      <c r="AA1868">
        <v>0.99957110000000005</v>
      </c>
      <c r="AB1868">
        <v>48</v>
      </c>
      <c r="AC1868">
        <v>-37.555599999999998</v>
      </c>
      <c r="AD1868">
        <v>-1.12035220738199</v>
      </c>
      <c r="AE1868">
        <v>-0.68769999999994902</v>
      </c>
      <c r="AF1868">
        <v>-1.1132423895607999</v>
      </c>
      <c r="AG1868">
        <v>-1.12035220738199</v>
      </c>
      <c r="AH1868">
        <v>37.511993840951199</v>
      </c>
      <c r="AI1868">
        <v>91.709963844799802</v>
      </c>
      <c r="AJ1868">
        <v>91.699866322526603</v>
      </c>
      <c r="AK1868">
        <v>37.5452284532943</v>
      </c>
      <c r="AL1868">
        <v>77.411532542958994</v>
      </c>
      <c r="AM1868">
        <v>87.508040218296003</v>
      </c>
      <c r="AN1868">
        <v>0.999999983355085</v>
      </c>
    </row>
    <row r="1869" spans="1:40" x14ac:dyDescent="0.25">
      <c r="A1869" t="str">
        <f>"20190303171014638"</f>
        <v>20190303171014638</v>
      </c>
      <c r="B1869" t="str">
        <f>"1551604214632886"</f>
        <v>1551604214632886</v>
      </c>
      <c r="C1869" t="s">
        <v>40</v>
      </c>
      <c r="D1869">
        <v>4.8845419999999997</v>
      </c>
      <c r="E1869">
        <v>0.47818840000000001</v>
      </c>
      <c r="F1869" t="s">
        <v>60</v>
      </c>
      <c r="G1869">
        <v>-418.34789999999998</v>
      </c>
      <c r="H1869" s="1">
        <v>3.814636E-6</v>
      </c>
      <c r="I1869">
        <v>283.15100000000001</v>
      </c>
      <c r="J1869">
        <v>-380.94200000000001</v>
      </c>
      <c r="K1869">
        <v>1.1203559999999999</v>
      </c>
      <c r="L1869">
        <v>283.8458</v>
      </c>
      <c r="M1869">
        <v>-0.99982300000000002</v>
      </c>
      <c r="N1869">
        <v>-1.4837329999999999E-2</v>
      </c>
      <c r="O1869">
        <v>1.156401E-2</v>
      </c>
      <c r="P1869">
        <v>-0.97762919999999998</v>
      </c>
      <c r="Q1869">
        <v>0.20339570000000001</v>
      </c>
      <c r="R1869">
        <v>5.3586639999999998E-2</v>
      </c>
      <c r="S1869">
        <v>-3.0909119999999999</v>
      </c>
      <c r="T1869">
        <v>-9.1908569999999995E-2</v>
      </c>
      <c r="U1869">
        <v>-5.673218E-2</v>
      </c>
      <c r="V1869">
        <v>4.253726E-2</v>
      </c>
      <c r="W1869">
        <v>0.217836</v>
      </c>
      <c r="X1869">
        <v>0.97505799999999998</v>
      </c>
      <c r="Y1869">
        <v>-2.9892439999999999E-2</v>
      </c>
      <c r="Z1869">
        <v>-8.3836030000000001E-4</v>
      </c>
      <c r="AA1869">
        <v>0.99955280000000002</v>
      </c>
      <c r="AB1869">
        <v>48</v>
      </c>
      <c r="AC1869">
        <v>-37.405900000000003</v>
      </c>
      <c r="AD1869">
        <v>-1.1203521853639999</v>
      </c>
      <c r="AE1869">
        <v>-0.69479999999998598</v>
      </c>
      <c r="AF1869">
        <v>-1.1263533002033901</v>
      </c>
      <c r="AG1869">
        <v>-1.1203521853639999</v>
      </c>
      <c r="AH1869">
        <v>37.361857888142502</v>
      </c>
      <c r="AI1869">
        <v>91.716806965392195</v>
      </c>
      <c r="AJ1869">
        <v>91.726781098994707</v>
      </c>
      <c r="AK1869">
        <v>37.395618535195901</v>
      </c>
      <c r="AL1869">
        <v>77.418037701751402</v>
      </c>
      <c r="AM1869">
        <v>87.502034655892302</v>
      </c>
      <c r="AN1869">
        <v>1.0000000223741501</v>
      </c>
    </row>
    <row r="1870" spans="1:40" x14ac:dyDescent="0.25">
      <c r="A1870" t="str">
        <f>"20190303171014660"</f>
        <v>20190303171014660</v>
      </c>
      <c r="B1870" t="str">
        <f>"1551604214652407"</f>
        <v>1551604214652407</v>
      </c>
      <c r="C1870" t="s">
        <v>40</v>
      </c>
      <c r="D1870">
        <v>4.888884</v>
      </c>
      <c r="E1870">
        <v>0.47779899999999997</v>
      </c>
      <c r="F1870" t="s">
        <v>60</v>
      </c>
      <c r="G1870">
        <v>-417.8263</v>
      </c>
      <c r="H1870" s="1">
        <v>3.7198119999999999E-6</v>
      </c>
      <c r="I1870">
        <v>283.17720000000003</v>
      </c>
      <c r="J1870">
        <v>-381.41210000000001</v>
      </c>
      <c r="K1870">
        <v>1.1203529999999999</v>
      </c>
      <c r="L1870">
        <v>283.85149999999999</v>
      </c>
      <c r="M1870">
        <v>-0.99981889999999995</v>
      </c>
      <c r="N1870">
        <v>-1.483433E-2</v>
      </c>
      <c r="O1870">
        <v>1.19221E-2</v>
      </c>
      <c r="P1870">
        <v>-0.97767570000000004</v>
      </c>
      <c r="Q1870">
        <v>0.20310880000000001</v>
      </c>
      <c r="R1870">
        <v>5.3824530000000002E-2</v>
      </c>
      <c r="S1870">
        <v>-3.0912480000000002</v>
      </c>
      <c r="T1870">
        <v>-9.3895909999999999E-2</v>
      </c>
      <c r="U1870">
        <v>-5.603027E-2</v>
      </c>
      <c r="V1870">
        <v>4.2423269999999999E-2</v>
      </c>
      <c r="W1870">
        <v>0.2175475</v>
      </c>
      <c r="X1870">
        <v>0.97512730000000003</v>
      </c>
      <c r="Y1870">
        <v>-3.0020599999999901E-2</v>
      </c>
      <c r="Z1870">
        <v>-8.6375850000000001E-4</v>
      </c>
      <c r="AA1870">
        <v>0.99954889999999996</v>
      </c>
      <c r="AB1870">
        <v>48</v>
      </c>
      <c r="AC1870">
        <v>-36.414200000000001</v>
      </c>
      <c r="AD1870">
        <v>-1.120349280188</v>
      </c>
      <c r="AE1870">
        <v>-0.67429999999995904</v>
      </c>
      <c r="AF1870">
        <v>-1.1073856803767901</v>
      </c>
      <c r="AG1870">
        <v>-1.120349280188</v>
      </c>
      <c r="AH1870">
        <v>36.369156339006899</v>
      </c>
      <c r="AI1870">
        <v>91.7636176189379</v>
      </c>
      <c r="AJ1870">
        <v>91.744030798039702</v>
      </c>
      <c r="AK1870">
        <v>36.403255601193798</v>
      </c>
      <c r="AL1870">
        <v>77.434972774644095</v>
      </c>
      <c r="AM1870">
        <v>87.508897005327199</v>
      </c>
      <c r="AN1870">
        <v>0.99999994989951502</v>
      </c>
    </row>
    <row r="1871" spans="1:40" x14ac:dyDescent="0.25">
      <c r="A1871" t="str">
        <f>"20190303171014681"</f>
        <v>20190303171014681</v>
      </c>
      <c r="B1871" t="str">
        <f>"1551604214672433"</f>
        <v>1551604214672433</v>
      </c>
      <c r="C1871" t="s">
        <v>40</v>
      </c>
      <c r="D1871">
        <v>4.8749260000000003</v>
      </c>
      <c r="E1871">
        <v>0.47759069999999998</v>
      </c>
      <c r="F1871" t="s">
        <v>60</v>
      </c>
      <c r="G1871">
        <v>-418.30189999999999</v>
      </c>
      <c r="H1871" s="1">
        <v>3.806143E-6</v>
      </c>
      <c r="I1871">
        <v>283.15480000000002</v>
      </c>
      <c r="J1871">
        <v>-381.87150000000003</v>
      </c>
      <c r="K1871">
        <v>1.120358</v>
      </c>
      <c r="L1871">
        <v>283.85719999999998</v>
      </c>
      <c r="M1871">
        <v>-0.99981489999999995</v>
      </c>
      <c r="N1871">
        <v>-1.483137E-2</v>
      </c>
      <c r="O1871">
        <v>1.2271489999999999E-2</v>
      </c>
      <c r="P1871">
        <v>-0.97762919999999998</v>
      </c>
      <c r="Q1871">
        <v>0.2032533</v>
      </c>
      <c r="R1871">
        <v>5.4123209999999998E-2</v>
      </c>
      <c r="S1871">
        <v>-3.091278</v>
      </c>
      <c r="T1871">
        <v>-9.3882560000000004E-2</v>
      </c>
      <c r="U1871">
        <v>-5.8380130000000002E-2</v>
      </c>
      <c r="V1871">
        <v>4.2380439999999998E-2</v>
      </c>
      <c r="W1871">
        <v>0.21768899999999999</v>
      </c>
      <c r="X1871">
        <v>0.97509769999999896</v>
      </c>
      <c r="Y1871">
        <v>-3.112846E-2</v>
      </c>
      <c r="Z1871">
        <v>-8.9408629999999998E-4</v>
      </c>
      <c r="AA1871">
        <v>0.99951500000000004</v>
      </c>
      <c r="AB1871">
        <v>48</v>
      </c>
      <c r="AC1871">
        <v>-36.430399999999899</v>
      </c>
      <c r="AD1871">
        <v>-1.1203541938570001</v>
      </c>
      <c r="AE1871">
        <v>-0.70239999999995395</v>
      </c>
      <c r="AF1871">
        <v>-1.1483657986046401</v>
      </c>
      <c r="AG1871">
        <v>-1.1203541938570001</v>
      </c>
      <c r="AH1871">
        <v>36.384637340755198</v>
      </c>
      <c r="AI1871">
        <v>91.762814676323003</v>
      </c>
      <c r="AJ1871">
        <v>91.807759640831407</v>
      </c>
      <c r="AK1871">
        <v>36.419991377612597</v>
      </c>
      <c r="AL1871">
        <v>77.426667800778205</v>
      </c>
      <c r="AM1871">
        <v>87.511333379609795</v>
      </c>
      <c r="AN1871">
        <v>1.00000006348043</v>
      </c>
    </row>
    <row r="1872" spans="1:40" x14ac:dyDescent="0.25">
      <c r="A1872" t="str">
        <f>"20190303171014694"</f>
        <v>20190303171014694</v>
      </c>
      <c r="B1872" t="str">
        <f>"1551604214682192"</f>
        <v>1551604214682192</v>
      </c>
      <c r="C1872" t="s">
        <v>40</v>
      </c>
      <c r="D1872">
        <v>4.8666049999999998</v>
      </c>
      <c r="E1872">
        <v>0.47755449999999999</v>
      </c>
      <c r="F1872" t="s">
        <v>60</v>
      </c>
      <c r="G1872">
        <v>-419.44830000000002</v>
      </c>
      <c r="H1872" s="1">
        <v>4.0112349999999997E-6</v>
      </c>
      <c r="I1872">
        <v>283.13490000000002</v>
      </c>
      <c r="J1872">
        <v>-382.17070000000001</v>
      </c>
      <c r="K1872">
        <v>1.120357</v>
      </c>
      <c r="L1872">
        <v>283.86099999999999</v>
      </c>
      <c r="M1872">
        <v>-0.99981189999999998</v>
      </c>
      <c r="N1872">
        <v>-1.4829429999999999E-2</v>
      </c>
      <c r="O1872">
        <v>1.249948E-2</v>
      </c>
      <c r="P1872">
        <v>-0.97759339999999995</v>
      </c>
      <c r="Q1872">
        <v>0.20337269999999999</v>
      </c>
      <c r="R1872">
        <v>5.432029E-2</v>
      </c>
      <c r="S1872">
        <v>-3.0910340000000001</v>
      </c>
      <c r="T1872">
        <v>-9.2159149999999995E-2</v>
      </c>
      <c r="U1872">
        <v>-5.941772E-2</v>
      </c>
      <c r="V1872">
        <v>4.2354889999999999E-2</v>
      </c>
      <c r="W1872">
        <v>0.21780620000000001</v>
      </c>
      <c r="X1872">
        <v>0.97507259999999996</v>
      </c>
      <c r="Y1872">
        <v>-3.1693609999999997E-2</v>
      </c>
      <c r="Z1872">
        <v>-8.9466359999999996E-4</v>
      </c>
      <c r="AA1872">
        <v>0.99949719999999997</v>
      </c>
      <c r="AB1872">
        <v>48</v>
      </c>
      <c r="AC1872">
        <v>-37.2776</v>
      </c>
      <c r="AD1872">
        <v>-1.1203529887649999</v>
      </c>
      <c r="AE1872">
        <v>-0.72609999999997399</v>
      </c>
      <c r="AF1872">
        <v>-1.19096977520188</v>
      </c>
      <c r="AG1872">
        <v>-1.1203529887649999</v>
      </c>
      <c r="AH1872">
        <v>37.231992805201699</v>
      </c>
      <c r="AI1872">
        <v>91.722694455100395</v>
      </c>
      <c r="AJ1872">
        <v>91.83214157463</v>
      </c>
      <c r="AK1872">
        <v>37.267880112389904</v>
      </c>
      <c r="AL1872">
        <v>77.419787172833907</v>
      </c>
      <c r="AM1872">
        <v>87.512767900043599</v>
      </c>
      <c r="AN1872">
        <v>1.00000002636805</v>
      </c>
    </row>
    <row r="1873" spans="1:40" x14ac:dyDescent="0.25">
      <c r="A1873" t="str">
        <f>"20190303171014714"</f>
        <v>20190303171014714</v>
      </c>
      <c r="B1873" t="str">
        <f>"1551604214702689"</f>
        <v>1551604214702689</v>
      </c>
      <c r="C1873" t="s">
        <v>40</v>
      </c>
      <c r="D1873">
        <v>4.9223140000000001</v>
      </c>
      <c r="E1873">
        <v>0.47624329999999998</v>
      </c>
      <c r="F1873" t="s">
        <v>60</v>
      </c>
      <c r="G1873">
        <v>-419.93579999999997</v>
      </c>
      <c r="H1873" s="1">
        <v>4.097457E-6</v>
      </c>
      <c r="I1873">
        <v>283.1377</v>
      </c>
      <c r="J1873">
        <v>-382.5779</v>
      </c>
      <c r="K1873">
        <v>1.120352</v>
      </c>
      <c r="L1873">
        <v>283.86630000000002</v>
      </c>
      <c r="M1873">
        <v>-0.99980800000000003</v>
      </c>
      <c r="N1873">
        <v>-1.4826860000000001E-2</v>
      </c>
      <c r="O1873">
        <v>1.2809350000000001E-2</v>
      </c>
      <c r="P1873">
        <v>-0.97755919999999996</v>
      </c>
      <c r="Q1873">
        <v>0.2035719</v>
      </c>
      <c r="R1873">
        <v>5.418858E-2</v>
      </c>
      <c r="S1873">
        <v>-3.0911249999999999</v>
      </c>
      <c r="T1873">
        <v>-9.1702580000000006E-2</v>
      </c>
      <c r="U1873">
        <v>-5.9204100000000003E-2</v>
      </c>
      <c r="V1873">
        <v>4.1920520000000003E-2</v>
      </c>
      <c r="W1873">
        <v>0.21800310000000001</v>
      </c>
      <c r="X1873">
        <v>0.97504729999999995</v>
      </c>
      <c r="Y1873">
        <v>-3.1933780000000002E-2</v>
      </c>
      <c r="Z1873">
        <v>-9.0038450000000001E-4</v>
      </c>
      <c r="AA1873">
        <v>0.99948959999999998</v>
      </c>
      <c r="AB1873">
        <v>48</v>
      </c>
      <c r="AC1873">
        <v>-37.357899999999901</v>
      </c>
      <c r="AD1873">
        <v>-1.1203479025429901</v>
      </c>
      <c r="AE1873">
        <v>-0.728600000000028</v>
      </c>
      <c r="AF1873">
        <v>-1.20603897672017</v>
      </c>
      <c r="AG1873">
        <v>-1.1203479025429901</v>
      </c>
      <c r="AH1873">
        <v>37.311955762217003</v>
      </c>
      <c r="AI1873">
        <v>91.718978475995002</v>
      </c>
      <c r="AJ1873">
        <v>91.851334023183298</v>
      </c>
      <c r="AK1873">
        <v>37.348249654270802</v>
      </c>
      <c r="AL1873">
        <v>77.408227007881095</v>
      </c>
      <c r="AM1873">
        <v>87.538180334213806</v>
      </c>
      <c r="AN1873">
        <v>0.99999995942198405</v>
      </c>
    </row>
    <row r="1874" spans="1:40" x14ac:dyDescent="0.25">
      <c r="A1874" t="str">
        <f>"20190303171014729"</f>
        <v>20190303171014729</v>
      </c>
      <c r="B1874" t="str">
        <f>"1551604214722210"</f>
        <v>1551604214722210</v>
      </c>
      <c r="C1874" t="s">
        <v>40</v>
      </c>
      <c r="D1874">
        <v>4.959848</v>
      </c>
      <c r="E1874">
        <v>0.4513085</v>
      </c>
      <c r="F1874" t="s">
        <v>60</v>
      </c>
      <c r="G1874">
        <v>-421.74930000000001</v>
      </c>
      <c r="H1874" s="1">
        <v>3.797289E-6</v>
      </c>
      <c r="I1874">
        <v>282.98070000000001</v>
      </c>
      <c r="J1874">
        <v>-382.88139999999999</v>
      </c>
      <c r="K1874">
        <v>1.120355</v>
      </c>
      <c r="L1874">
        <v>283.87040000000002</v>
      </c>
      <c r="M1874">
        <v>-0.99980519999999995</v>
      </c>
      <c r="N1874">
        <v>-1.482497E-2</v>
      </c>
      <c r="O1874">
        <v>1.3040319999999999E-2</v>
      </c>
      <c r="P1874">
        <v>-0.97760279999999999</v>
      </c>
      <c r="Q1874">
        <v>0.20335900000000001</v>
      </c>
      <c r="R1874">
        <v>5.420403E-2</v>
      </c>
      <c r="S1874">
        <v>-3.0911559999999998</v>
      </c>
      <c r="T1874">
        <v>-8.8410619999999995E-2</v>
      </c>
      <c r="U1874">
        <v>-6.9885249999999996E-2</v>
      </c>
      <c r="V1874">
        <v>4.1709000000000003E-2</v>
      </c>
      <c r="W1874">
        <v>0.2177895</v>
      </c>
      <c r="X1874">
        <v>0.97510419999999998</v>
      </c>
      <c r="Y1874">
        <v>-3.5615499999999897E-2</v>
      </c>
      <c r="Z1874">
        <v>-9.5284649999999999E-4</v>
      </c>
      <c r="AA1874">
        <v>0.99936510000000001</v>
      </c>
      <c r="AB1874">
        <v>48</v>
      </c>
      <c r="AC1874">
        <v>-38.867899999999999</v>
      </c>
      <c r="AD1874">
        <v>-1.1203512027110001</v>
      </c>
      <c r="AE1874">
        <v>-0.88970000000000404</v>
      </c>
      <c r="AF1874">
        <v>-1.39537107967951</v>
      </c>
      <c r="AG1874">
        <v>-1.1203512027110001</v>
      </c>
      <c r="AH1874">
        <v>38.820753547036801</v>
      </c>
      <c r="AI1874">
        <v>91.6520078917776</v>
      </c>
      <c r="AJ1874">
        <v>92.058550199078894</v>
      </c>
      <c r="AK1874">
        <v>38.861975673236003</v>
      </c>
      <c r="AL1874">
        <v>77.420767899607895</v>
      </c>
      <c r="AM1874">
        <v>87.550729622179702</v>
      </c>
      <c r="AN1874">
        <v>1.00000005392444</v>
      </c>
    </row>
    <row r="1875" spans="1:40" x14ac:dyDescent="0.25">
      <c r="A1875" t="str">
        <f>"20190303171014748"</f>
        <v>20190303171014748</v>
      </c>
      <c r="B1875" t="str">
        <f>"1551604214742705"</f>
        <v>1551604214742705</v>
      </c>
      <c r="C1875" t="s">
        <v>40</v>
      </c>
      <c r="D1875">
        <v>4.9099690000000002</v>
      </c>
      <c r="E1875">
        <v>0.45018010000000003</v>
      </c>
      <c r="F1875" t="s">
        <v>61</v>
      </c>
      <c r="G1875">
        <v>-512.8252</v>
      </c>
      <c r="H1875">
        <v>6.2603179999999994E-2</v>
      </c>
      <c r="I1875">
        <v>272.72449999999998</v>
      </c>
      <c r="J1875">
        <v>-383.31180000000001</v>
      </c>
      <c r="K1875">
        <v>1.120357</v>
      </c>
      <c r="L1875">
        <v>283.87630000000001</v>
      </c>
      <c r="M1875">
        <v>-0.99980069999999999</v>
      </c>
      <c r="N1875">
        <v>-1.482228E-2</v>
      </c>
      <c r="O1875">
        <v>1.336825E-2</v>
      </c>
      <c r="P1875">
        <v>-0.97765709999999995</v>
      </c>
      <c r="Q1875">
        <v>0.2030592</v>
      </c>
      <c r="R1875">
        <v>5.4349149999999999E-2</v>
      </c>
      <c r="S1875">
        <v>-3.0885929999999999</v>
      </c>
      <c r="T1875">
        <v>-2.5139450000000001E-2</v>
      </c>
      <c r="U1875">
        <v>-0.26492310000000002</v>
      </c>
      <c r="V1875">
        <v>4.153192E-2</v>
      </c>
      <c r="W1875">
        <v>0.2174883</v>
      </c>
      <c r="X1875">
        <v>0.97517889999999996</v>
      </c>
      <c r="Y1875">
        <v>-9.8764560000000001E-2</v>
      </c>
      <c r="Z1875">
        <v>-1.045423E-3</v>
      </c>
      <c r="AA1875">
        <v>0.9951103</v>
      </c>
      <c r="AB1875">
        <v>48</v>
      </c>
      <c r="AC1875">
        <v>-129.51339999999999</v>
      </c>
      <c r="AD1875">
        <v>-1.0577538200000001</v>
      </c>
      <c r="AE1875">
        <v>-11.1518</v>
      </c>
      <c r="AF1875">
        <v>-12.8815082276032</v>
      </c>
      <c r="AG1875">
        <v>-1.0577538200000001</v>
      </c>
      <c r="AH1875">
        <v>129.34416378219399</v>
      </c>
      <c r="AI1875">
        <v>90.466238011790495</v>
      </c>
      <c r="AJ1875">
        <v>95.687387443138604</v>
      </c>
      <c r="AK1875">
        <v>129.98832563686801</v>
      </c>
      <c r="AL1875">
        <v>77.438448199846306</v>
      </c>
      <c r="AM1875">
        <v>87.561302273435004</v>
      </c>
      <c r="AN1875">
        <v>0.99999997401049201</v>
      </c>
    </row>
    <row r="1876" spans="1:40" x14ac:dyDescent="0.25">
      <c r="A1876" t="str">
        <f>"20190303171014770"</f>
        <v>20190303171014770</v>
      </c>
      <c r="B1876" t="str">
        <f>"1551604214762228"</f>
        <v>1551604214762228</v>
      </c>
      <c r="C1876" t="s">
        <v>40</v>
      </c>
      <c r="D1876">
        <v>4.8926740000000004</v>
      </c>
      <c r="E1876">
        <v>0.45002730000000002</v>
      </c>
      <c r="F1876" t="s">
        <v>61</v>
      </c>
      <c r="G1876">
        <v>-512.8252</v>
      </c>
      <c r="H1876">
        <v>0.1059778</v>
      </c>
      <c r="I1876">
        <v>272.43</v>
      </c>
      <c r="J1876">
        <v>-383.79050000000001</v>
      </c>
      <c r="K1876">
        <v>1.120358</v>
      </c>
      <c r="L1876">
        <v>283.88290000000001</v>
      </c>
      <c r="M1876">
        <v>-0.99979600000000002</v>
      </c>
      <c r="N1876">
        <v>-1.4819260000000001E-2</v>
      </c>
      <c r="O1876">
        <v>1.3733199999999999E-2</v>
      </c>
      <c r="P1876">
        <v>-0.97768379999999999</v>
      </c>
      <c r="Q1876">
        <v>0.20288310000000001</v>
      </c>
      <c r="R1876">
        <v>5.453028E-2</v>
      </c>
      <c r="S1876">
        <v>-3.0887449999999999</v>
      </c>
      <c r="T1876">
        <v>-2.4189829999999999E-2</v>
      </c>
      <c r="U1876">
        <v>-0.27297969999999999</v>
      </c>
      <c r="V1876">
        <v>4.1355049999999997E-2</v>
      </c>
      <c r="W1876">
        <v>0.21731010000000001</v>
      </c>
      <c r="X1876">
        <v>0.97522620000000004</v>
      </c>
      <c r="Y1876">
        <v>-0.1016994</v>
      </c>
      <c r="Z1876">
        <v>-1.0567980000000001E-3</v>
      </c>
      <c r="AA1876">
        <v>0.99481459999999999</v>
      </c>
      <c r="AB1876">
        <v>48</v>
      </c>
      <c r="AC1876">
        <v>-129.03469999999999</v>
      </c>
      <c r="AD1876">
        <v>-1.0143802</v>
      </c>
      <c r="AE1876">
        <v>-11.4529</v>
      </c>
      <c r="AF1876">
        <v>-13.2232626204288</v>
      </c>
      <c r="AG1876">
        <v>-1.0143802</v>
      </c>
      <c r="AH1876">
        <v>128.85732537599301</v>
      </c>
      <c r="AI1876">
        <v>90.448673728336999</v>
      </c>
      <c r="AJ1876">
        <v>95.859149425869404</v>
      </c>
      <c r="AK1876">
        <v>129.53800193215</v>
      </c>
      <c r="AL1876">
        <v>77.4489092089796</v>
      </c>
      <c r="AM1876">
        <v>87.571793016478694</v>
      </c>
      <c r="AN1876">
        <v>1.0000000304444701</v>
      </c>
    </row>
    <row r="1877" spans="1:40" x14ac:dyDescent="0.25">
      <c r="A1877" t="str">
        <f>"20190303171014784"</f>
        <v>20190303171014784</v>
      </c>
      <c r="B1877" t="str">
        <f>"1551604214772492"</f>
        <v>1551604214772492</v>
      </c>
      <c r="C1877" t="s">
        <v>40</v>
      </c>
      <c r="D1877">
        <v>4.8836719999999998</v>
      </c>
      <c r="E1877">
        <v>0.4499475</v>
      </c>
      <c r="F1877" t="s">
        <v>61</v>
      </c>
      <c r="G1877">
        <v>-512.8252</v>
      </c>
      <c r="H1877">
        <v>5.8045689999999997E-2</v>
      </c>
      <c r="I1877">
        <v>272.4545</v>
      </c>
      <c r="J1877">
        <v>-384.06959999999998</v>
      </c>
      <c r="K1877">
        <v>1.1203620000000001</v>
      </c>
      <c r="L1877">
        <v>283.88690000000003</v>
      </c>
      <c r="M1877">
        <v>-0.99979309999999999</v>
      </c>
      <c r="N1877">
        <v>-1.4817479999999999E-2</v>
      </c>
      <c r="O1877">
        <v>1.3945870000000001E-2</v>
      </c>
      <c r="P1877">
        <v>-0.97771889999999995</v>
      </c>
      <c r="Q1877">
        <v>0.20264019999999999</v>
      </c>
      <c r="R1877">
        <v>5.4797119999999998E-2</v>
      </c>
      <c r="S1877">
        <v>-3.0890200000000001</v>
      </c>
      <c r="T1877">
        <v>-2.542925E-2</v>
      </c>
      <c r="U1877">
        <v>-0.2735901</v>
      </c>
      <c r="V1877">
        <v>4.1412690000000002E-2</v>
      </c>
      <c r="W1877">
        <v>0.21706619999999999</v>
      </c>
      <c r="X1877">
        <v>0.97527799999999998</v>
      </c>
      <c r="Y1877">
        <v>-0.1020977</v>
      </c>
      <c r="Z1877">
        <v>-1.085751E-3</v>
      </c>
      <c r="AA1877">
        <v>0.99477380000000004</v>
      </c>
      <c r="AB1877">
        <v>48</v>
      </c>
      <c r="AC1877">
        <v>-128.75559999999999</v>
      </c>
      <c r="AD1877">
        <v>-1.0623163099999999</v>
      </c>
      <c r="AE1877">
        <v>-11.432399999999999</v>
      </c>
      <c r="AF1877">
        <v>-13.2262004215542</v>
      </c>
      <c r="AG1877">
        <v>-1.0623163099999999</v>
      </c>
      <c r="AH1877">
        <v>128.574939705547</v>
      </c>
      <c r="AI1877">
        <v>90.470895616984393</v>
      </c>
      <c r="AJ1877">
        <v>95.8732233426325</v>
      </c>
      <c r="AK1877">
        <v>129.25778898704201</v>
      </c>
      <c r="AL1877">
        <v>77.463224503519001</v>
      </c>
      <c r="AM1877">
        <v>87.568541674329794</v>
      </c>
      <c r="AN1877">
        <v>0.99999996167973704</v>
      </c>
    </row>
    <row r="1878" spans="1:40" x14ac:dyDescent="0.25">
      <c r="A1878" t="str">
        <f>"20190303171014795"</f>
        <v>20190303171014795</v>
      </c>
      <c r="B1878" t="str">
        <f>"1551604214792987"</f>
        <v>1551604214792987</v>
      </c>
      <c r="C1878" t="s">
        <v>40</v>
      </c>
      <c r="D1878">
        <v>4.9074720000000003</v>
      </c>
      <c r="E1878">
        <v>0.44970710000000003</v>
      </c>
      <c r="F1878" t="s">
        <v>61</v>
      </c>
      <c r="G1878">
        <v>-512.8252</v>
      </c>
      <c r="H1878">
        <v>4.8059230000000001E-2</v>
      </c>
      <c r="I1878">
        <v>272.49209999999999</v>
      </c>
      <c r="J1878">
        <v>-384.32909999999998</v>
      </c>
      <c r="K1878">
        <v>1.1203650000000001</v>
      </c>
      <c r="L1878">
        <v>283.89060000000001</v>
      </c>
      <c r="M1878">
        <v>-0.99979030000000002</v>
      </c>
      <c r="N1878">
        <v>-1.481583E-2</v>
      </c>
      <c r="O1878">
        <v>1.4143330000000001E-2</v>
      </c>
      <c r="P1878">
        <v>-0.97764499999999999</v>
      </c>
      <c r="Q1878">
        <v>0.2029453</v>
      </c>
      <c r="R1878">
        <v>5.4986189999999997E-2</v>
      </c>
      <c r="S1878">
        <v>-3.0890200000000001</v>
      </c>
      <c r="T1878">
        <v>-2.5724049999999998E-2</v>
      </c>
      <c r="U1878">
        <v>-0.27337650000000002</v>
      </c>
      <c r="V1878">
        <v>4.1409630000000003E-2</v>
      </c>
      <c r="W1878">
        <v>0.2173688</v>
      </c>
      <c r="X1878">
        <v>0.97521080000000004</v>
      </c>
      <c r="Y1878">
        <v>-0.10222580000000001</v>
      </c>
      <c r="Z1878">
        <v>-1.0920839999999999E-3</v>
      </c>
      <c r="AA1878">
        <v>0.99476059999999999</v>
      </c>
      <c r="AB1878">
        <v>48</v>
      </c>
      <c r="AC1878">
        <v>-128.49610000000001</v>
      </c>
      <c r="AD1878">
        <v>-1.07230577</v>
      </c>
      <c r="AE1878">
        <v>-11.3985</v>
      </c>
      <c r="AF1878">
        <v>-13.214008687114299</v>
      </c>
      <c r="AG1878">
        <v>-1.07230577</v>
      </c>
      <c r="AH1878">
        <v>128.31314839436499</v>
      </c>
      <c r="AI1878">
        <v>90.476287631926397</v>
      </c>
      <c r="AJ1878">
        <v>95.879735381957005</v>
      </c>
      <c r="AK1878">
        <v>128.99621667367501</v>
      </c>
      <c r="AL1878">
        <v>77.445463558740002</v>
      </c>
      <c r="AM1878">
        <v>87.568553786206493</v>
      </c>
      <c r="AN1878">
        <v>1.0000000285534001</v>
      </c>
    </row>
    <row r="1879" spans="1:40" x14ac:dyDescent="0.25">
      <c r="A1879" t="str">
        <f>"20190303171014807"</f>
        <v>20190303171014807</v>
      </c>
      <c r="B1879" t="str">
        <f>"1551604214802747"</f>
        <v>1551604214802747</v>
      </c>
      <c r="C1879" t="s">
        <v>40</v>
      </c>
      <c r="D1879">
        <v>4.8605689999999999</v>
      </c>
      <c r="E1879">
        <v>0.44962069999999998</v>
      </c>
      <c r="F1879" t="s">
        <v>61</v>
      </c>
      <c r="G1879">
        <v>-512.8252</v>
      </c>
      <c r="H1879">
        <v>0.1009675</v>
      </c>
      <c r="I1879">
        <v>272.48099999999999</v>
      </c>
      <c r="J1879">
        <v>-384.57209999999998</v>
      </c>
      <c r="K1879">
        <v>1.1203689999999999</v>
      </c>
      <c r="L1879">
        <v>283.89420000000001</v>
      </c>
      <c r="M1879">
        <v>-0.9997876</v>
      </c>
      <c r="N1879">
        <v>-1.4814330000000001E-2</v>
      </c>
      <c r="O1879">
        <v>1.432864E-2</v>
      </c>
      <c r="P1879">
        <v>-0.97767059999999995</v>
      </c>
      <c r="Q1879">
        <v>0.20287160000000001</v>
      </c>
      <c r="R1879">
        <v>5.480521E-2</v>
      </c>
      <c r="S1879">
        <v>-3.0891109999999999</v>
      </c>
      <c r="T1879">
        <v>-2.45049E-2</v>
      </c>
      <c r="U1879">
        <v>-0.27429199999999998</v>
      </c>
      <c r="V1879">
        <v>4.1046949999999999E-2</v>
      </c>
      <c r="W1879">
        <v>0.2172943</v>
      </c>
      <c r="X1879">
        <v>0.97524270000000002</v>
      </c>
      <c r="Y1879">
        <v>-0.1027006</v>
      </c>
      <c r="Z1879">
        <v>-1.0704449999999999E-3</v>
      </c>
      <c r="AA1879">
        <v>0.99471180000000003</v>
      </c>
      <c r="AB1879">
        <v>48</v>
      </c>
      <c r="AC1879">
        <v>-128.25309999999999</v>
      </c>
      <c r="AD1879">
        <v>-1.0194014999999901</v>
      </c>
      <c r="AE1879">
        <v>-11.4132</v>
      </c>
      <c r="AF1879">
        <v>-13.2490917759367</v>
      </c>
      <c r="AG1879">
        <v>-1.0194014999999901</v>
      </c>
      <c r="AH1879">
        <v>128.06834971029099</v>
      </c>
      <c r="AI1879">
        <v>90.453633715245104</v>
      </c>
      <c r="AJ1879">
        <v>95.906425207322002</v>
      </c>
      <c r="AK1879">
        <v>128.755892330498</v>
      </c>
      <c r="AL1879">
        <v>77.449836184290405</v>
      </c>
      <c r="AM1879">
        <v>87.589902761167096</v>
      </c>
      <c r="AN1879">
        <v>0.99999999441004095</v>
      </c>
    </row>
    <row r="1880" spans="1:40" x14ac:dyDescent="0.25">
      <c r="A1880" t="str">
        <f>"20190303171014822"</f>
        <v>20190303171014822</v>
      </c>
      <c r="B1880" t="str">
        <f>"1551604214812508"</f>
        <v>1551604214812508</v>
      </c>
      <c r="C1880" t="s">
        <v>40</v>
      </c>
      <c r="D1880">
        <v>4.8659189999999999</v>
      </c>
      <c r="E1880">
        <v>0.4495748</v>
      </c>
      <c r="F1880" t="s">
        <v>61</v>
      </c>
      <c r="G1880">
        <v>-512.8252</v>
      </c>
      <c r="H1880">
        <v>9.802777E-2</v>
      </c>
      <c r="I1880">
        <v>272.44260000000003</v>
      </c>
      <c r="J1880">
        <v>-384.8904</v>
      </c>
      <c r="K1880">
        <v>1.120366</v>
      </c>
      <c r="L1880">
        <v>283.89890000000003</v>
      </c>
      <c r="M1880">
        <v>-0.99978420000000001</v>
      </c>
      <c r="N1880">
        <v>-1.481234E-2</v>
      </c>
      <c r="O1880">
        <v>1.457164E-2</v>
      </c>
      <c r="P1880">
        <v>-0.97767559999999998</v>
      </c>
      <c r="Q1880">
        <v>0.20286879999999999</v>
      </c>
      <c r="R1880">
        <v>5.4725309999999999E-2</v>
      </c>
      <c r="S1880">
        <v>-3.0890499999999999</v>
      </c>
      <c r="T1880">
        <v>-2.4621730000000001E-2</v>
      </c>
      <c r="U1880">
        <v>-0.2758179</v>
      </c>
      <c r="V1880">
        <v>4.0728830000000001E-2</v>
      </c>
      <c r="W1880">
        <v>0.21729010000000001</v>
      </c>
      <c r="X1880">
        <v>0.97525700000000004</v>
      </c>
      <c r="Y1880">
        <v>-0.10343139999999899</v>
      </c>
      <c r="Z1880">
        <v>-1.0795430000000001E-3</v>
      </c>
      <c r="AA1880">
        <v>0.99463599999999996</v>
      </c>
      <c r="AB1880">
        <v>48</v>
      </c>
      <c r="AC1880">
        <v>-127.9348</v>
      </c>
      <c r="AD1880">
        <v>-1.0223382299999999</v>
      </c>
      <c r="AE1880">
        <v>-11.456300000000001</v>
      </c>
      <c r="AF1880">
        <v>-13.3186638850508</v>
      </c>
      <c r="AG1880">
        <v>-1.0223382299999999</v>
      </c>
      <c r="AH1880">
        <v>127.746165894524</v>
      </c>
      <c r="AI1880">
        <v>90.456050099868406</v>
      </c>
      <c r="AJ1880">
        <v>95.952086044964702</v>
      </c>
      <c r="AK1880">
        <v>128.442652121056</v>
      </c>
      <c r="AL1880">
        <v>77.450083051113793</v>
      </c>
      <c r="AM1880">
        <v>87.608594629285804</v>
      </c>
      <c r="AN1880">
        <v>1.0000000206000801</v>
      </c>
    </row>
    <row r="1881" spans="1:40" x14ac:dyDescent="0.25">
      <c r="A1881" t="str">
        <f>"20190303171014837"</f>
        <v>20190303171014837</v>
      </c>
      <c r="B1881" t="str">
        <f>"1551604214832031"</f>
        <v>1551604214832031</v>
      </c>
      <c r="C1881" t="s">
        <v>40</v>
      </c>
      <c r="D1881">
        <v>4.843629</v>
      </c>
      <c r="E1881">
        <v>0.44949919999999999</v>
      </c>
      <c r="F1881" t="s">
        <v>61</v>
      </c>
      <c r="G1881">
        <v>-512.8252</v>
      </c>
      <c r="H1881">
        <v>8.6172520000000002E-2</v>
      </c>
      <c r="I1881">
        <v>272.46850000000001</v>
      </c>
      <c r="J1881">
        <v>-385.21339999999998</v>
      </c>
      <c r="K1881">
        <v>1.120368</v>
      </c>
      <c r="L1881">
        <v>283.90379999999999</v>
      </c>
      <c r="M1881">
        <v>-0.99978060000000002</v>
      </c>
      <c r="N1881">
        <v>-1.481025E-2</v>
      </c>
      <c r="O1881">
        <v>1.481828E-2</v>
      </c>
      <c r="P1881">
        <v>-0.97762780000000005</v>
      </c>
      <c r="Q1881">
        <v>0.20322280000000001</v>
      </c>
      <c r="R1881">
        <v>5.426694E-2</v>
      </c>
      <c r="S1881">
        <v>-3.0891419999999998</v>
      </c>
      <c r="T1881">
        <v>-2.4969939999999999E-2</v>
      </c>
      <c r="U1881">
        <v>-0.276001</v>
      </c>
      <c r="V1881">
        <v>4.0030120000000002E-2</v>
      </c>
      <c r="W1881">
        <v>0.2176429</v>
      </c>
      <c r="X1881">
        <v>0.9752073</v>
      </c>
      <c r="Y1881">
        <v>-0.10373250000000001</v>
      </c>
      <c r="Z1881">
        <v>-1.0887010000000001E-3</v>
      </c>
      <c r="AA1881">
        <v>0.99460459999999995</v>
      </c>
      <c r="AB1881">
        <v>48</v>
      </c>
      <c r="AC1881">
        <v>-127.6118</v>
      </c>
      <c r="AD1881">
        <v>-1.0341954799999999</v>
      </c>
      <c r="AE1881">
        <v>-11.4352999999999</v>
      </c>
      <c r="AF1881">
        <v>-13.324370653948799</v>
      </c>
      <c r="AG1881">
        <v>-1.0341954799999999</v>
      </c>
      <c r="AH1881">
        <v>127.42001342202499</v>
      </c>
      <c r="AI1881">
        <v>90.462505152538597</v>
      </c>
      <c r="AJ1881">
        <v>95.969749961333093</v>
      </c>
      <c r="AK1881">
        <v>128.11896125899401</v>
      </c>
      <c r="AL1881">
        <v>77.429373980319596</v>
      </c>
      <c r="AM1881">
        <v>87.649453531598596</v>
      </c>
      <c r="AN1881">
        <v>1.00000006020045</v>
      </c>
    </row>
    <row r="1882" spans="1:40" x14ac:dyDescent="0.25">
      <c r="A1882" t="str">
        <f>"20190303171014851"</f>
        <v>20190303171014851</v>
      </c>
      <c r="B1882" t="str">
        <f>"1551604214842763"</f>
        <v>1551604214842763</v>
      </c>
      <c r="C1882" t="s">
        <v>40</v>
      </c>
      <c r="D1882">
        <v>4.8470040000000001</v>
      </c>
      <c r="E1882">
        <v>0.44948009999999999</v>
      </c>
      <c r="F1882" t="s">
        <v>61</v>
      </c>
      <c r="G1882">
        <v>-512.8252</v>
      </c>
      <c r="H1882">
        <v>0.1128899</v>
      </c>
      <c r="I1882">
        <v>272.41399999999999</v>
      </c>
      <c r="J1882">
        <v>-385.52839999999998</v>
      </c>
      <c r="K1882">
        <v>1.1203749999999999</v>
      </c>
      <c r="L1882">
        <v>283.90859999999998</v>
      </c>
      <c r="M1882">
        <v>-0.99977700000000003</v>
      </c>
      <c r="N1882">
        <v>-1.4808190000000001E-2</v>
      </c>
      <c r="O1882">
        <v>1.5058240000000001E-2</v>
      </c>
      <c r="P1882">
        <v>-0.97758100000000003</v>
      </c>
      <c r="Q1882">
        <v>0.20345869999999999</v>
      </c>
      <c r="R1882">
        <v>5.4222289999999999E-2</v>
      </c>
      <c r="S1882">
        <v>-3.0891419999999998</v>
      </c>
      <c r="T1882">
        <v>-2.4386410000000001E-2</v>
      </c>
      <c r="U1882">
        <v>-0.27813719999999997</v>
      </c>
      <c r="V1882">
        <v>3.9751259999999997E-2</v>
      </c>
      <c r="W1882">
        <v>0.21787599999999999</v>
      </c>
      <c r="X1882">
        <v>0.97516659999999999</v>
      </c>
      <c r="Y1882">
        <v>-0.1046536</v>
      </c>
      <c r="Z1882">
        <v>-1.084876E-3</v>
      </c>
      <c r="AA1882">
        <v>0.99450810000000001</v>
      </c>
      <c r="AB1882">
        <v>48</v>
      </c>
      <c r="AC1882">
        <v>-127.2968</v>
      </c>
      <c r="AD1882">
        <v>-1.00748509999999</v>
      </c>
      <c r="AE1882">
        <v>-11.494599999999901</v>
      </c>
      <c r="AF1882">
        <v>-13.4095391631204</v>
      </c>
      <c r="AG1882">
        <v>-1.00748509999999</v>
      </c>
      <c r="AH1882">
        <v>127.101359219957</v>
      </c>
      <c r="AI1882">
        <v>90.451646240033497</v>
      </c>
      <c r="AJ1882">
        <v>96.022581117599998</v>
      </c>
      <c r="AK1882">
        <v>127.81074400203801</v>
      </c>
      <c r="AL1882">
        <v>77.415689257528996</v>
      </c>
      <c r="AM1882">
        <v>87.6657125480898</v>
      </c>
      <c r="AN1882">
        <v>1.0000000059015699</v>
      </c>
    </row>
    <row r="1883" spans="1:40" x14ac:dyDescent="0.25">
      <c r="A1883" t="str">
        <f>"20190303171014871"</f>
        <v>20190303171014871</v>
      </c>
      <c r="B1883" t="str">
        <f>"1551604214862283"</f>
        <v>1551604214862283</v>
      </c>
      <c r="C1883" t="s">
        <v>40</v>
      </c>
      <c r="D1883">
        <v>4.809437</v>
      </c>
      <c r="E1883">
        <v>0.44944060000000002</v>
      </c>
      <c r="F1883" t="s">
        <v>61</v>
      </c>
      <c r="G1883">
        <v>-512.8252</v>
      </c>
      <c r="H1883">
        <v>0.1422638</v>
      </c>
      <c r="I1883">
        <v>272.43470000000002</v>
      </c>
      <c r="J1883">
        <v>-385.93459999999999</v>
      </c>
      <c r="K1883">
        <v>1.1203730000000001</v>
      </c>
      <c r="L1883">
        <v>283.91500000000002</v>
      </c>
      <c r="M1883">
        <v>-0.99977240000000001</v>
      </c>
      <c r="N1883">
        <v>-1.4805530000000001E-2</v>
      </c>
      <c r="O1883">
        <v>1.536824E-2</v>
      </c>
      <c r="P1883">
        <v>-0.97747740000000005</v>
      </c>
      <c r="Q1883">
        <v>0.20385239999999999</v>
      </c>
      <c r="R1883">
        <v>5.4611149999999997E-2</v>
      </c>
      <c r="S1883">
        <v>-3.089172</v>
      </c>
      <c r="T1883">
        <v>-2.3734330000000001E-2</v>
      </c>
      <c r="U1883">
        <v>-0.27844239999999998</v>
      </c>
      <c r="V1883">
        <v>3.983863E-2</v>
      </c>
      <c r="W1883">
        <v>0.21826599999999999</v>
      </c>
      <c r="X1883">
        <v>0.97507580000000005</v>
      </c>
      <c r="Y1883">
        <v>-0.10505879999999999</v>
      </c>
      <c r="Z1883">
        <v>-1.0729349999999999E-3</v>
      </c>
      <c r="AA1883">
        <v>0.99446540000000005</v>
      </c>
      <c r="AB1883">
        <v>48</v>
      </c>
      <c r="AC1883">
        <v>-126.89060000000001</v>
      </c>
      <c r="AD1883">
        <v>-0.97810919999999901</v>
      </c>
      <c r="AE1883">
        <v>-11.4803</v>
      </c>
      <c r="AF1883">
        <v>-13.4284512190076</v>
      </c>
      <c r="AG1883">
        <v>-0.97810919999999901</v>
      </c>
      <c r="AH1883">
        <v>126.69169320926601</v>
      </c>
      <c r="AI1883">
        <v>90.439873049629597</v>
      </c>
      <c r="AJ1883">
        <v>96.0503697229029</v>
      </c>
      <c r="AK1883">
        <v>127.40512206335799</v>
      </c>
      <c r="AL1883">
        <v>77.392792643050498</v>
      </c>
      <c r="AM1883">
        <v>87.660370064064494</v>
      </c>
      <c r="AN1883">
        <v>0.99999998947095803</v>
      </c>
    </row>
    <row r="1884" spans="1:40" x14ac:dyDescent="0.25">
      <c r="A1884" t="str">
        <f>"20190303171014893"</f>
        <v>20190303171014893</v>
      </c>
      <c r="B1884" t="str">
        <f>"1551604214882310"</f>
        <v>1551604214882310</v>
      </c>
      <c r="C1884" t="s">
        <v>40</v>
      </c>
      <c r="D1884">
        <v>4.8605369999999999</v>
      </c>
      <c r="E1884">
        <v>0.4493704</v>
      </c>
      <c r="F1884" t="s">
        <v>61</v>
      </c>
      <c r="G1884">
        <v>-512.82529999999997</v>
      </c>
      <c r="H1884">
        <v>0.22564210000000001</v>
      </c>
      <c r="I1884">
        <v>272.4742</v>
      </c>
      <c r="J1884">
        <v>-386.39350000000002</v>
      </c>
      <c r="K1884">
        <v>1.1203780000000001</v>
      </c>
      <c r="L1884">
        <v>283.92230000000001</v>
      </c>
      <c r="M1884">
        <v>-0.99976710000000002</v>
      </c>
      <c r="N1884">
        <v>-1.48025E-2</v>
      </c>
      <c r="O1884">
        <v>1.571846E-2</v>
      </c>
      <c r="P1884">
        <v>-0.97753020000000002</v>
      </c>
      <c r="Q1884">
        <v>0.2034511</v>
      </c>
      <c r="R1884">
        <v>5.516099E-2</v>
      </c>
      <c r="S1884">
        <v>-3.0892330000000001</v>
      </c>
      <c r="T1884">
        <v>-2.1780850000000001E-2</v>
      </c>
      <c r="U1884">
        <v>-0.2785339</v>
      </c>
      <c r="V1884">
        <v>4.0043990000000002E-2</v>
      </c>
      <c r="W1884">
        <v>0.21786249999999999</v>
      </c>
      <c r="X1884">
        <v>0.97515759999999996</v>
      </c>
      <c r="Y1884">
        <v>-0.1054356</v>
      </c>
      <c r="Z1884">
        <v>-1.0313709999999999E-3</v>
      </c>
      <c r="AA1884">
        <v>0.99442560000000002</v>
      </c>
      <c r="AB1884">
        <v>48</v>
      </c>
      <c r="AC1884">
        <v>-126.431799999999</v>
      </c>
      <c r="AD1884">
        <v>-0.89473590000000003</v>
      </c>
      <c r="AE1884">
        <v>-11.4481</v>
      </c>
      <c r="AF1884">
        <v>-13.433548576847</v>
      </c>
      <c r="AG1884">
        <v>-0.89473590000000003</v>
      </c>
      <c r="AH1884">
        <v>126.229940315736</v>
      </c>
      <c r="AI1884">
        <v>90.4038336010629</v>
      </c>
      <c r="AJ1884">
        <v>96.074624885173407</v>
      </c>
      <c r="AK1884">
        <v>126.94588851873699</v>
      </c>
      <c r="AL1884">
        <v>77.416481296837802</v>
      </c>
      <c r="AM1884">
        <v>87.648520301690695</v>
      </c>
      <c r="AN1884">
        <v>0.99999996743956399</v>
      </c>
    </row>
    <row r="1885" spans="1:40" x14ac:dyDescent="0.25">
      <c r="A1885" t="str">
        <f>"20190303171014915"</f>
        <v>20190303171014915</v>
      </c>
      <c r="B1885" t="str">
        <f>"1551604214912566"</f>
        <v>1551604214912566</v>
      </c>
      <c r="C1885" t="s">
        <v>40</v>
      </c>
      <c r="D1885">
        <v>4.8060939999999999</v>
      </c>
      <c r="E1885">
        <v>0.4492565</v>
      </c>
      <c r="F1885" t="s">
        <v>61</v>
      </c>
      <c r="G1885">
        <v>-512.8252</v>
      </c>
      <c r="H1885">
        <v>0.17721719999999999</v>
      </c>
      <c r="I1885">
        <v>272.54860000000002</v>
      </c>
      <c r="J1885">
        <v>-386.86750000000001</v>
      </c>
      <c r="K1885">
        <v>1.120379</v>
      </c>
      <c r="L1885">
        <v>283.93009999999998</v>
      </c>
      <c r="M1885">
        <v>-0.99976129999999996</v>
      </c>
      <c r="N1885">
        <v>-1.4799339999999999E-2</v>
      </c>
      <c r="O1885">
        <v>1.608002E-2</v>
      </c>
      <c r="P1885">
        <v>-0.97755329999999996</v>
      </c>
      <c r="Q1885">
        <v>0.20323479999999999</v>
      </c>
      <c r="R1885">
        <v>5.554775E-2</v>
      </c>
      <c r="S1885">
        <v>-3.0894469999999998</v>
      </c>
      <c r="T1885">
        <v>-2.3044820000000001E-2</v>
      </c>
      <c r="U1885">
        <v>-0.27792359999999999</v>
      </c>
      <c r="V1885">
        <v>4.0076180000000003E-2</v>
      </c>
      <c r="W1885">
        <v>0.2176438</v>
      </c>
      <c r="X1885">
        <v>0.97520510000000005</v>
      </c>
      <c r="Y1885">
        <v>-0.10559350000000001</v>
      </c>
      <c r="Z1885">
        <v>-1.058273E-3</v>
      </c>
      <c r="AA1885">
        <v>0.99440879999999998</v>
      </c>
      <c r="AB1885">
        <v>48</v>
      </c>
      <c r="AC1885">
        <v>-125.9577</v>
      </c>
      <c r="AD1885">
        <v>-0.94316180000000005</v>
      </c>
      <c r="AE1885">
        <v>-11.3814999999999</v>
      </c>
      <c r="AF1885">
        <v>-13.4049065556983</v>
      </c>
      <c r="AG1885">
        <v>-0.94316180000000005</v>
      </c>
      <c r="AH1885">
        <v>125.751382703402</v>
      </c>
      <c r="AI1885">
        <v>90.4273015151892</v>
      </c>
      <c r="AJ1885">
        <v>96.0846654048174</v>
      </c>
      <c r="AK1885">
        <v>126.467352806032</v>
      </c>
      <c r="AL1885">
        <v>77.429319809613503</v>
      </c>
      <c r="AM1885">
        <v>87.646746649957805</v>
      </c>
      <c r="AN1885">
        <v>0.99999995547391995</v>
      </c>
    </row>
    <row r="1886" spans="1:40" x14ac:dyDescent="0.25">
      <c r="A1886" t="str">
        <f>"20190303171014928"</f>
        <v>20190303171014928</v>
      </c>
      <c r="B1886" t="str">
        <f>"1551604214922326"</f>
        <v>1551604214922326</v>
      </c>
      <c r="C1886" t="s">
        <v>40</v>
      </c>
      <c r="D1886">
        <v>4.7755549999999998</v>
      </c>
      <c r="E1886">
        <v>0.44920890000000002</v>
      </c>
      <c r="F1886" t="s">
        <v>61</v>
      </c>
      <c r="G1886">
        <v>-512.8252</v>
      </c>
      <c r="H1886">
        <v>0.1241525</v>
      </c>
      <c r="I1886">
        <v>272.63119999999998</v>
      </c>
      <c r="J1886">
        <v>-387.14120000000003</v>
      </c>
      <c r="K1886">
        <v>1.120379</v>
      </c>
      <c r="L1886">
        <v>283.93459999999999</v>
      </c>
      <c r="M1886">
        <v>-0.99975789999999998</v>
      </c>
      <c r="N1886">
        <v>-1.47975E-2</v>
      </c>
      <c r="O1886">
        <v>1.628922E-2</v>
      </c>
      <c r="P1886">
        <v>-0.97752399999999995</v>
      </c>
      <c r="Q1886">
        <v>0.2032774</v>
      </c>
      <c r="R1886">
        <v>5.5904959999999997E-2</v>
      </c>
      <c r="S1886">
        <v>-3.0897519999999998</v>
      </c>
      <c r="T1886">
        <v>-2.4435519999999999E-2</v>
      </c>
      <c r="U1886">
        <v>-0.27716059999999998</v>
      </c>
      <c r="V1886">
        <v>4.0228720000000003E-2</v>
      </c>
      <c r="W1886">
        <v>0.2176843</v>
      </c>
      <c r="X1886">
        <v>0.9751898</v>
      </c>
      <c r="Y1886">
        <v>-0.10554860000000001</v>
      </c>
      <c r="Z1886">
        <v>-1.0871430000000001E-3</v>
      </c>
      <c r="AA1886">
        <v>0.99441360000000001</v>
      </c>
      <c r="AB1886">
        <v>48</v>
      </c>
      <c r="AC1886">
        <v>-125.683999999999</v>
      </c>
      <c r="AD1886">
        <v>-0.99622649999999902</v>
      </c>
      <c r="AE1886">
        <v>-11.3034</v>
      </c>
      <c r="AF1886">
        <v>-13.348586355930699</v>
      </c>
      <c r="AG1886">
        <v>-0.99622649999999902</v>
      </c>
      <c r="AH1886">
        <v>125.475356946807</v>
      </c>
      <c r="AI1886">
        <v>90.452344673111497</v>
      </c>
      <c r="AJ1886">
        <v>96.072521483632002</v>
      </c>
      <c r="AK1886">
        <v>126.187330686839</v>
      </c>
      <c r="AL1886">
        <v>77.426942579423695</v>
      </c>
      <c r="AM1886">
        <v>87.637762685154399</v>
      </c>
      <c r="AN1886">
        <v>0.99999997520168304</v>
      </c>
    </row>
    <row r="1887" spans="1:40" x14ac:dyDescent="0.25">
      <c r="A1887" t="str">
        <f>"20190303171014940"</f>
        <v>20190303171014940</v>
      </c>
      <c r="B1887" t="str">
        <f>"1551604214932086"</f>
        <v>1551604214932086</v>
      </c>
      <c r="C1887" t="s">
        <v>40</v>
      </c>
      <c r="D1887">
        <v>4.8219390000000004</v>
      </c>
      <c r="E1887">
        <v>0.44919480000000001</v>
      </c>
      <c r="F1887" t="s">
        <v>61</v>
      </c>
      <c r="G1887">
        <v>-512.8252</v>
      </c>
      <c r="H1887">
        <v>0.1454424</v>
      </c>
      <c r="I1887">
        <v>272.68029999999999</v>
      </c>
      <c r="J1887">
        <v>-387.40620000000001</v>
      </c>
      <c r="K1887">
        <v>1.1203799999999999</v>
      </c>
      <c r="L1887">
        <v>283.9391</v>
      </c>
      <c r="M1887">
        <v>-0.99975460000000005</v>
      </c>
      <c r="N1887">
        <v>-1.479571E-2</v>
      </c>
      <c r="O1887">
        <v>1.6491700000000001E-2</v>
      </c>
      <c r="P1887">
        <v>-0.97754339999999995</v>
      </c>
      <c r="Q1887">
        <v>0.2031087</v>
      </c>
      <c r="R1887">
        <v>5.6179970000000003E-2</v>
      </c>
      <c r="S1887">
        <v>-3.0897830000000002</v>
      </c>
      <c r="T1887">
        <v>-2.39656E-2</v>
      </c>
      <c r="U1887">
        <v>-0.27667239999999999</v>
      </c>
      <c r="V1887">
        <v>4.0305050000000002E-2</v>
      </c>
      <c r="W1887">
        <v>0.2175144</v>
      </c>
      <c r="X1887">
        <v>0.9752246</v>
      </c>
      <c r="Y1887">
        <v>-0.1055934</v>
      </c>
      <c r="Z1887">
        <v>-1.0756699999999999E-3</v>
      </c>
      <c r="AA1887">
        <v>0.99440879999999998</v>
      </c>
      <c r="AB1887">
        <v>48</v>
      </c>
      <c r="AC1887">
        <v>-125.418999999999</v>
      </c>
      <c r="AD1887">
        <v>-0.97493759999999996</v>
      </c>
      <c r="AE1887">
        <v>-11.258800000000001</v>
      </c>
      <c r="AF1887">
        <v>-13.3250685503097</v>
      </c>
      <c r="AG1887">
        <v>-0.97493759999999996</v>
      </c>
      <c r="AH1887">
        <v>125.20873711861</v>
      </c>
      <c r="AI1887">
        <v>90.443619462366001</v>
      </c>
      <c r="AJ1887">
        <v>96.074714339330498</v>
      </c>
      <c r="AK1887">
        <v>125.919560855458</v>
      </c>
      <c r="AL1887">
        <v>77.436916635831395</v>
      </c>
      <c r="AM1887">
        <v>87.633370024407199</v>
      </c>
      <c r="AN1887">
        <v>1.0000000158540101</v>
      </c>
    </row>
    <row r="1888" spans="1:40" x14ac:dyDescent="0.25">
      <c r="A1888" t="str">
        <f>"20190303171014953"</f>
        <v>20190303171014953</v>
      </c>
      <c r="B1888" t="str">
        <f>"1551604214942822"</f>
        <v>1551604214942822</v>
      </c>
      <c r="C1888" t="s">
        <v>40</v>
      </c>
      <c r="D1888">
        <v>4.8141449999999999</v>
      </c>
      <c r="E1888">
        <v>0.44915660000000002</v>
      </c>
      <c r="F1888" t="s">
        <v>61</v>
      </c>
      <c r="G1888">
        <v>-512.8252</v>
      </c>
      <c r="H1888">
        <v>0.120958</v>
      </c>
      <c r="I1888">
        <v>272.75209999999998</v>
      </c>
      <c r="J1888">
        <v>-387.6832</v>
      </c>
      <c r="K1888">
        <v>1.120385</v>
      </c>
      <c r="L1888">
        <v>283.94369999999998</v>
      </c>
      <c r="M1888">
        <v>-0.99975119999999895</v>
      </c>
      <c r="N1888">
        <v>-1.4793870000000001E-2</v>
      </c>
      <c r="O1888">
        <v>1.6702990000000001E-2</v>
      </c>
      <c r="P1888">
        <v>-0.97748460000000004</v>
      </c>
      <c r="Q1888">
        <v>0.20326179999999999</v>
      </c>
      <c r="R1888">
        <v>5.6645349999999997E-2</v>
      </c>
      <c r="S1888">
        <v>-3.089874</v>
      </c>
      <c r="T1888">
        <v>-2.4620179999999998E-2</v>
      </c>
      <c r="U1888">
        <v>-0.27560420000000002</v>
      </c>
      <c r="V1888">
        <v>4.0564410000000002E-2</v>
      </c>
      <c r="W1888">
        <v>0.21766469999999999</v>
      </c>
      <c r="X1888">
        <v>0.9751803</v>
      </c>
      <c r="Y1888">
        <v>-0.1054597</v>
      </c>
      <c r="Z1888">
        <v>-1.0872670000000001E-3</v>
      </c>
      <c r="AA1888">
        <v>0.99442299999999995</v>
      </c>
      <c r="AB1888">
        <v>48</v>
      </c>
      <c r="AC1888">
        <v>-125.142</v>
      </c>
      <c r="AD1888">
        <v>-0.99942699999999995</v>
      </c>
      <c r="AE1888">
        <v>-11.1915999999999</v>
      </c>
      <c r="AF1888">
        <v>-13.279672120666101</v>
      </c>
      <c r="AG1888">
        <v>-0.99942699999999995</v>
      </c>
      <c r="AH1888">
        <v>124.929679675665</v>
      </c>
      <c r="AI1888">
        <v>90.455784041251604</v>
      </c>
      <c r="AJ1888">
        <v>96.067595231904306</v>
      </c>
      <c r="AK1888">
        <v>125.63746817659499</v>
      </c>
      <c r="AL1888">
        <v>77.428093550068397</v>
      </c>
      <c r="AM1888">
        <v>87.618050343361702</v>
      </c>
      <c r="AN1888">
        <v>1.00000000524641</v>
      </c>
    </row>
    <row r="1889" spans="1:40" x14ac:dyDescent="0.25">
      <c r="A1889" t="str">
        <f>"20190303171014966"</f>
        <v>20190303171014966</v>
      </c>
      <c r="B1889" t="str">
        <f>"1551604214962342"</f>
        <v>1551604214962342</v>
      </c>
      <c r="C1889" t="s">
        <v>40</v>
      </c>
      <c r="D1889">
        <v>4.7734680000000003</v>
      </c>
      <c r="E1889">
        <v>0.44902890000000001</v>
      </c>
      <c r="F1889" t="s">
        <v>61</v>
      </c>
      <c r="G1889">
        <v>-512.8252</v>
      </c>
      <c r="H1889">
        <v>0.14367939999999901</v>
      </c>
      <c r="I1889">
        <v>272.81319999999999</v>
      </c>
      <c r="J1889">
        <v>-387.93729999999999</v>
      </c>
      <c r="K1889">
        <v>1.1203860000000001</v>
      </c>
      <c r="L1889">
        <v>283.94810000000001</v>
      </c>
      <c r="M1889">
        <v>-0.99974790000000002</v>
      </c>
      <c r="N1889">
        <v>-1.479218E-2</v>
      </c>
      <c r="O1889">
        <v>1.6897059999999998E-2</v>
      </c>
      <c r="P1889">
        <v>-0.97750510000000002</v>
      </c>
      <c r="Q1889">
        <v>0.2030016</v>
      </c>
      <c r="R1889">
        <v>5.722091E-2</v>
      </c>
      <c r="S1889">
        <v>-3.0900880000000002</v>
      </c>
      <c r="T1889">
        <v>-2.4115439999999998E-2</v>
      </c>
      <c r="U1889">
        <v>-0.27484130000000001</v>
      </c>
      <c r="V1889">
        <v>4.0949230000000003E-2</v>
      </c>
      <c r="W1889">
        <v>0.21740319999999999</v>
      </c>
      <c r="X1889">
        <v>0.97522249999999999</v>
      </c>
      <c r="Y1889">
        <v>-0.10540330000000001</v>
      </c>
      <c r="Z1889">
        <v>-1.073853E-3</v>
      </c>
      <c r="AA1889">
        <v>0.99442900000000001</v>
      </c>
      <c r="AB1889">
        <v>48</v>
      </c>
      <c r="AC1889">
        <v>-124.8879</v>
      </c>
      <c r="AD1889">
        <v>-0.97670659999999998</v>
      </c>
      <c r="AE1889">
        <v>-11.1349</v>
      </c>
      <c r="AF1889">
        <v>-13.2429754366353</v>
      </c>
      <c r="AG1889">
        <v>-0.97670659999999998</v>
      </c>
      <c r="AH1889">
        <v>124.674333477605</v>
      </c>
      <c r="AI1889">
        <v>90.446338760755296</v>
      </c>
      <c r="AJ1889">
        <v>96.063253535640499</v>
      </c>
      <c r="AK1889">
        <v>125.379503038905</v>
      </c>
      <c r="AL1889">
        <v>77.443443389987706</v>
      </c>
      <c r="AM1889">
        <v>87.595583966472404</v>
      </c>
      <c r="AN1889">
        <v>0.99999995765703997</v>
      </c>
    </row>
    <row r="1890" spans="1:40" x14ac:dyDescent="0.25">
      <c r="A1890" t="str">
        <f>"20190303171014982"</f>
        <v>20190303171014982</v>
      </c>
      <c r="B1890" t="str">
        <f>"1551604214972608"</f>
        <v>1551604214972608</v>
      </c>
      <c r="C1890" t="s">
        <v>40</v>
      </c>
      <c r="D1890">
        <v>4.7724270000000004</v>
      </c>
      <c r="E1890">
        <v>0.44893509999999998</v>
      </c>
      <c r="F1890" t="s">
        <v>61</v>
      </c>
      <c r="G1890">
        <v>-512.8252</v>
      </c>
      <c r="H1890">
        <v>0.11338040000000001</v>
      </c>
      <c r="I1890">
        <v>272.86169999999998</v>
      </c>
      <c r="J1890">
        <v>-388.286</v>
      </c>
      <c r="K1890">
        <v>1.1203860000000001</v>
      </c>
      <c r="L1890">
        <v>283.95420000000001</v>
      </c>
      <c r="M1890">
        <v>-0.9997433</v>
      </c>
      <c r="N1890">
        <v>-1.478986E-2</v>
      </c>
      <c r="O1890">
        <v>1.7163669999999999E-2</v>
      </c>
      <c r="P1890">
        <v>-0.97743570000000002</v>
      </c>
      <c r="Q1890">
        <v>0.2032852</v>
      </c>
      <c r="R1890">
        <v>5.7398629999999999E-2</v>
      </c>
      <c r="S1890">
        <v>-3.0902400000000001</v>
      </c>
      <c r="T1890">
        <v>-2.491546E-2</v>
      </c>
      <c r="U1890">
        <v>-0.27432250000000002</v>
      </c>
      <c r="V1890">
        <v>4.0867239999999999E-2</v>
      </c>
      <c r="W1890">
        <v>0.21768380000000001</v>
      </c>
      <c r="X1890">
        <v>0.97516340000000001</v>
      </c>
      <c r="Y1890">
        <v>-0.1054981</v>
      </c>
      <c r="Z1890">
        <v>-1.091018E-3</v>
      </c>
      <c r="AA1890">
        <v>0.99441889999999999</v>
      </c>
      <c r="AB1890">
        <v>47</v>
      </c>
      <c r="AC1890">
        <v>-124.53919999999999</v>
      </c>
      <c r="AD1890">
        <v>-1.0070056000000001</v>
      </c>
      <c r="AE1890">
        <v>-11.092499999999999</v>
      </c>
      <c r="AF1890">
        <v>-13.227791160008699</v>
      </c>
      <c r="AG1890">
        <v>-1.0070056000000001</v>
      </c>
      <c r="AH1890">
        <v>124.322377352907</v>
      </c>
      <c r="AI1890">
        <v>90.461478377111305</v>
      </c>
      <c r="AJ1890">
        <v>96.073370707029895</v>
      </c>
      <c r="AK1890">
        <v>125.028164946662</v>
      </c>
      <c r="AL1890">
        <v>77.426972406458901</v>
      </c>
      <c r="AM1890">
        <v>87.600247281604993</v>
      </c>
      <c r="AN1890">
        <v>1.0000000123935999</v>
      </c>
    </row>
    <row r="1891" spans="1:40" x14ac:dyDescent="0.25">
      <c r="A1891" t="str">
        <f>"20190303171014994"</f>
        <v>20190303171014994</v>
      </c>
      <c r="B1891" t="str">
        <f>"1551604214982368"</f>
        <v>1551604214982368</v>
      </c>
      <c r="C1891" t="s">
        <v>40</v>
      </c>
      <c r="D1891">
        <v>4.8015829999999999</v>
      </c>
      <c r="E1891">
        <v>0.44885360000000002</v>
      </c>
      <c r="F1891" t="s">
        <v>61</v>
      </c>
      <c r="G1891">
        <v>-512.8252</v>
      </c>
      <c r="H1891">
        <v>0.16509799999999999</v>
      </c>
      <c r="I1891">
        <v>272.87819999999999</v>
      </c>
      <c r="J1891">
        <v>-388.55410000000001</v>
      </c>
      <c r="K1891">
        <v>1.1203860000000001</v>
      </c>
      <c r="L1891">
        <v>283.95890000000003</v>
      </c>
      <c r="M1891">
        <v>-0.99973990000000001</v>
      </c>
      <c r="N1891">
        <v>-1.478809E-2</v>
      </c>
      <c r="O1891">
        <v>1.736888E-2</v>
      </c>
      <c r="P1891">
        <v>-0.97740570000000004</v>
      </c>
      <c r="Q1891">
        <v>0.20326640000000001</v>
      </c>
      <c r="R1891">
        <v>5.7975659999999998E-2</v>
      </c>
      <c r="S1891">
        <v>-3.0903320000000001</v>
      </c>
      <c r="T1891">
        <v>-2.3702620000000001E-2</v>
      </c>
      <c r="U1891">
        <v>-0.27484130000000001</v>
      </c>
      <c r="V1891">
        <v>4.124369E-2</v>
      </c>
      <c r="W1891">
        <v>0.21766240000000001</v>
      </c>
      <c r="X1891">
        <v>0.97515229999999997</v>
      </c>
      <c r="Y1891">
        <v>-0.1058658</v>
      </c>
      <c r="Z1891">
        <v>-1.0662309999999999E-3</v>
      </c>
      <c r="AA1891">
        <v>0.99437989999999998</v>
      </c>
      <c r="AB1891">
        <v>47</v>
      </c>
      <c r="AC1891">
        <v>-124.2711</v>
      </c>
      <c r="AD1891">
        <v>-0.95528800000000003</v>
      </c>
      <c r="AE1891">
        <v>-11.0807</v>
      </c>
      <c r="AF1891">
        <v>-13.236937703651</v>
      </c>
      <c r="AG1891">
        <v>-0.95528800000000003</v>
      </c>
      <c r="AH1891">
        <v>124.052596498794</v>
      </c>
      <c r="AI1891">
        <v>90.438716717358005</v>
      </c>
      <c r="AJ1891">
        <v>96.090656571955606</v>
      </c>
      <c r="AK1891">
        <v>124.760473680673</v>
      </c>
      <c r="AL1891">
        <v>77.428228312270903</v>
      </c>
      <c r="AM1891">
        <v>87.578140542281304</v>
      </c>
      <c r="AN1891">
        <v>0.99999998526693201</v>
      </c>
    </row>
    <row r="1892" spans="1:40" x14ac:dyDescent="0.25">
      <c r="A1892" t="str">
        <f>"20190303171015006"</f>
        <v>20190303171015006</v>
      </c>
      <c r="B1892" t="str">
        <f>"1551604215002864"</f>
        <v>1551604215002864</v>
      </c>
      <c r="C1892" t="s">
        <v>40</v>
      </c>
      <c r="D1892">
        <v>4.7819250000000002</v>
      </c>
      <c r="E1892">
        <v>0.44864969999999998</v>
      </c>
      <c r="F1892" t="s">
        <v>61</v>
      </c>
      <c r="G1892">
        <v>-512.8252</v>
      </c>
      <c r="H1892">
        <v>0.16714000000000001</v>
      </c>
      <c r="I1892">
        <v>272.95049999999998</v>
      </c>
      <c r="J1892">
        <v>-388.80689999999998</v>
      </c>
      <c r="K1892">
        <v>1.1203890000000001</v>
      </c>
      <c r="L1892">
        <v>283.96339999999998</v>
      </c>
      <c r="M1892">
        <v>-0.99973639999999997</v>
      </c>
      <c r="N1892">
        <v>-1.4786179999999999E-2</v>
      </c>
      <c r="O1892">
        <v>1.7562049999999999E-2</v>
      </c>
      <c r="P1892">
        <v>-0.97742629999999997</v>
      </c>
      <c r="Q1892">
        <v>0.20329179999999999</v>
      </c>
      <c r="R1892">
        <v>5.753519E-2</v>
      </c>
      <c r="S1892">
        <v>-3.0905459999999998</v>
      </c>
      <c r="T1892">
        <v>-2.3704650000000001E-2</v>
      </c>
      <c r="U1892">
        <v>-0.27377319999999999</v>
      </c>
      <c r="V1892">
        <v>4.0613690000000001E-2</v>
      </c>
      <c r="W1892">
        <v>0.21768760000000001</v>
      </c>
      <c r="X1892">
        <v>0.97517310000000001</v>
      </c>
      <c r="Y1892">
        <v>-0.1057109</v>
      </c>
      <c r="Z1892">
        <v>-1.0630520000000001E-3</v>
      </c>
      <c r="AA1892">
        <v>0.99439630000000001</v>
      </c>
      <c r="AB1892">
        <v>47</v>
      </c>
      <c r="AC1892">
        <v>-124.0183</v>
      </c>
      <c r="AD1892">
        <v>-0.95324899999999901</v>
      </c>
      <c r="AE1892">
        <v>-11.0129</v>
      </c>
      <c r="AF1892">
        <v>-13.188681870962199</v>
      </c>
      <c r="AG1892">
        <v>-0.95324899999999901</v>
      </c>
      <c r="AH1892">
        <v>123.79848207582</v>
      </c>
      <c r="AI1892">
        <v>90.438686811476899</v>
      </c>
      <c r="AJ1892">
        <v>96.080982292862004</v>
      </c>
      <c r="AK1892">
        <v>124.50266735065</v>
      </c>
      <c r="AL1892">
        <v>77.426748778253895</v>
      </c>
      <c r="AM1892">
        <v>87.615142364056297</v>
      </c>
      <c r="AN1892">
        <v>0.99999996898639198</v>
      </c>
    </row>
    <row r="1893" spans="1:40" x14ac:dyDescent="0.25">
      <c r="A1893" t="str">
        <f>"20190303171015019"</f>
        <v>20190303171015019</v>
      </c>
      <c r="B1893" t="str">
        <f>"1551604215012624"</f>
        <v>1551604215012624</v>
      </c>
      <c r="C1893" t="s">
        <v>40</v>
      </c>
      <c r="D1893">
        <v>4.7885519999999904</v>
      </c>
      <c r="E1893">
        <v>0.44853480000000001</v>
      </c>
      <c r="F1893" t="s">
        <v>61</v>
      </c>
      <c r="G1893">
        <v>-512.8252</v>
      </c>
      <c r="H1893">
        <v>0.1856826</v>
      </c>
      <c r="I1893">
        <v>272.86419999999998</v>
      </c>
      <c r="J1893">
        <v>-389.0752</v>
      </c>
      <c r="K1893">
        <v>1.1203909999999999</v>
      </c>
      <c r="L1893">
        <v>283.9683</v>
      </c>
      <c r="M1893">
        <v>-0.99973290000000004</v>
      </c>
      <c r="N1893">
        <v>-1.4784189999999999E-2</v>
      </c>
      <c r="O1893">
        <v>1.776703E-2</v>
      </c>
      <c r="P1893">
        <v>-0.97738579999999997</v>
      </c>
      <c r="Q1893">
        <v>0.20349139999999999</v>
      </c>
      <c r="R1893">
        <v>5.7520590000000003E-2</v>
      </c>
      <c r="S1893">
        <v>-3.0903930000000002</v>
      </c>
      <c r="T1893">
        <v>-2.3289799999999999E-2</v>
      </c>
      <c r="U1893">
        <v>-0.27658080000000002</v>
      </c>
      <c r="V1893">
        <v>4.0399379999999999E-2</v>
      </c>
      <c r="W1893">
        <v>0.21788440000000001</v>
      </c>
      <c r="X1893">
        <v>0.97513810000000001</v>
      </c>
      <c r="Y1893">
        <v>-0.1068154</v>
      </c>
      <c r="Z1893">
        <v>-1.064448E-3</v>
      </c>
      <c r="AA1893">
        <v>0.99427829999999995</v>
      </c>
      <c r="AB1893">
        <v>47</v>
      </c>
      <c r="AC1893">
        <v>-123.75</v>
      </c>
      <c r="AD1893">
        <v>-0.93470839999999999</v>
      </c>
      <c r="AE1893">
        <v>-11.104100000000001</v>
      </c>
      <c r="AF1893">
        <v>-13.3005042977797</v>
      </c>
      <c r="AG1893">
        <v>-0.93470839999999999</v>
      </c>
      <c r="AH1893">
        <v>123.526162860244</v>
      </c>
      <c r="AI1893">
        <v>90.431050940288998</v>
      </c>
      <c r="AJ1893">
        <v>96.145564996139797</v>
      </c>
      <c r="AK1893">
        <v>124.24367189255101</v>
      </c>
      <c r="AL1893">
        <v>77.415196278836305</v>
      </c>
      <c r="AM1893">
        <v>87.627627296865697</v>
      </c>
      <c r="AN1893">
        <v>1.00000001786967</v>
      </c>
    </row>
    <row r="1894" spans="1:40" x14ac:dyDescent="0.25">
      <c r="A1894" t="str">
        <f>"20190303171015038"</f>
        <v>20190303171015038</v>
      </c>
      <c r="B1894" t="str">
        <f>"1551604215032144"</f>
        <v>1551604215032144</v>
      </c>
      <c r="C1894" t="s">
        <v>40</v>
      </c>
      <c r="D1894">
        <v>4.8164439999999997</v>
      </c>
      <c r="E1894">
        <v>0.44841490000000001</v>
      </c>
      <c r="F1894" t="s">
        <v>61</v>
      </c>
      <c r="G1894">
        <v>-512.8252</v>
      </c>
      <c r="H1894">
        <v>0.21046580000000001</v>
      </c>
      <c r="I1894">
        <v>272.87490000000003</v>
      </c>
      <c r="J1894">
        <v>-389.48410000000001</v>
      </c>
      <c r="K1894">
        <v>1.1203959999999999</v>
      </c>
      <c r="L1894">
        <v>283.97579999999999</v>
      </c>
      <c r="M1894">
        <v>-0.99972740000000004</v>
      </c>
      <c r="N1894">
        <v>-1.4781570000000001E-2</v>
      </c>
      <c r="O1894">
        <v>1.807947E-2</v>
      </c>
      <c r="P1894">
        <v>-0.97731520000000005</v>
      </c>
      <c r="Q1894">
        <v>0.20387720000000001</v>
      </c>
      <c r="R1894">
        <v>5.735175E-2</v>
      </c>
      <c r="S1894">
        <v>-3.0904539999999998</v>
      </c>
      <c r="T1894">
        <v>-2.2721890000000002E-2</v>
      </c>
      <c r="U1894">
        <v>-0.27703860000000002</v>
      </c>
      <c r="V1894">
        <v>3.9926219999999998E-2</v>
      </c>
      <c r="W1894">
        <v>0.2182674</v>
      </c>
      <c r="X1894">
        <v>0.97507189999999999</v>
      </c>
      <c r="Y1894">
        <v>-0.107270699999999</v>
      </c>
      <c r="Z1894">
        <v>-1.054021E-3</v>
      </c>
      <c r="AA1894">
        <v>0.99422929999999998</v>
      </c>
      <c r="AB1894">
        <v>47</v>
      </c>
      <c r="AC1894">
        <v>-123.341099999999</v>
      </c>
      <c r="AD1894">
        <v>-0.90993020000000002</v>
      </c>
      <c r="AE1894">
        <v>-11.1008999999999</v>
      </c>
      <c r="AF1894">
        <v>-13.328550723178999</v>
      </c>
      <c r="AG1894">
        <v>-0.90993020000000002</v>
      </c>
      <c r="AH1894">
        <v>123.113568926393</v>
      </c>
      <c r="AI1894">
        <v>90.421004418260196</v>
      </c>
      <c r="AJ1894">
        <v>96.178904027413296</v>
      </c>
      <c r="AK1894">
        <v>123.836299569807</v>
      </c>
      <c r="AL1894">
        <v>77.392710397001096</v>
      </c>
      <c r="AM1894">
        <v>87.655222474569797</v>
      </c>
      <c r="AN1894">
        <v>0.99999998555792902</v>
      </c>
    </row>
    <row r="1895" spans="1:40" x14ac:dyDescent="0.25">
      <c r="A1895" t="str">
        <f>"20190303171015051"</f>
        <v>20190303171015051</v>
      </c>
      <c r="B1895" t="str">
        <f>"1551604215042880"</f>
        <v>1551604215042880</v>
      </c>
      <c r="C1895" t="s">
        <v>40</v>
      </c>
      <c r="D1895">
        <v>4.7813919999999897</v>
      </c>
      <c r="E1895">
        <v>0.44829459999999999</v>
      </c>
      <c r="F1895" t="s">
        <v>61</v>
      </c>
      <c r="G1895">
        <v>-512.82529999999997</v>
      </c>
      <c r="H1895">
        <v>0.27232139999999999</v>
      </c>
      <c r="I1895">
        <v>272.85550000000001</v>
      </c>
      <c r="J1895">
        <v>-389.76100000000002</v>
      </c>
      <c r="K1895">
        <v>1.1203989999999999</v>
      </c>
      <c r="L1895">
        <v>283.98099999999999</v>
      </c>
      <c r="M1895">
        <v>-0.99972360000000005</v>
      </c>
      <c r="N1895">
        <v>-1.477993E-2</v>
      </c>
      <c r="O1895">
        <v>1.8291769999999999E-2</v>
      </c>
      <c r="P1895">
        <v>-0.9772689</v>
      </c>
      <c r="Q1895">
        <v>0.2040785</v>
      </c>
      <c r="R1895">
        <v>5.742659E-2</v>
      </c>
      <c r="S1895">
        <v>-3.0903930000000002</v>
      </c>
      <c r="T1895">
        <v>-2.124703E-2</v>
      </c>
      <c r="U1895">
        <v>-0.27862550000000003</v>
      </c>
      <c r="V1895">
        <v>3.979415E-2</v>
      </c>
      <c r="W1895">
        <v>0.2184671</v>
      </c>
      <c r="X1895">
        <v>0.97503260000000003</v>
      </c>
      <c r="Y1895">
        <v>-0.10799060000000001</v>
      </c>
      <c r="Z1895">
        <v>-1.025953E-3</v>
      </c>
      <c r="AA1895">
        <v>0.99415140000000002</v>
      </c>
      <c r="AB1895">
        <v>47</v>
      </c>
      <c r="AC1895">
        <v>-123.0643</v>
      </c>
      <c r="AD1895">
        <v>-0.84807759999999899</v>
      </c>
      <c r="AE1895">
        <v>-11.125499999999899</v>
      </c>
      <c r="AF1895">
        <v>-13.374317628143</v>
      </c>
      <c r="AG1895">
        <v>-0.84807759999999899</v>
      </c>
      <c r="AH1895">
        <v>122.834392346459</v>
      </c>
      <c r="AI1895">
        <v>90.393253206240601</v>
      </c>
      <c r="AJ1895">
        <v>96.213936955139005</v>
      </c>
      <c r="AK1895">
        <v>123.56326133101901</v>
      </c>
      <c r="AL1895">
        <v>77.380985776487606</v>
      </c>
      <c r="AM1895">
        <v>87.662875943165503</v>
      </c>
      <c r="AN1895">
        <v>1.0000000096096899</v>
      </c>
    </row>
    <row r="1896" spans="1:40" x14ac:dyDescent="0.25">
      <c r="A1896" t="str">
        <f>"20190303171015072"</f>
        <v>20190303171015072</v>
      </c>
      <c r="B1896" t="str">
        <f>"1551604215062400"</f>
        <v>1551604215062400</v>
      </c>
      <c r="C1896" t="s">
        <v>40</v>
      </c>
      <c r="D1896">
        <v>4.7723440000000004</v>
      </c>
      <c r="E1896">
        <v>0.44814409999999999</v>
      </c>
      <c r="F1896" t="s">
        <v>61</v>
      </c>
      <c r="G1896">
        <v>-512.82529999999997</v>
      </c>
      <c r="H1896">
        <v>0.31200699999999998</v>
      </c>
      <c r="I1896">
        <v>272.86520000000002</v>
      </c>
      <c r="J1896">
        <v>-390.18709999999999</v>
      </c>
      <c r="K1896">
        <v>1.1203959999999999</v>
      </c>
      <c r="L1896">
        <v>283.98899999999998</v>
      </c>
      <c r="M1896">
        <v>-0.99971750000000004</v>
      </c>
      <c r="N1896">
        <v>-1.4777510000000001E-2</v>
      </c>
      <c r="O1896">
        <v>1.8617740000000001E-2</v>
      </c>
      <c r="P1896">
        <v>-0.97716119999999995</v>
      </c>
      <c r="Q1896">
        <v>0.20457900000000001</v>
      </c>
      <c r="R1896">
        <v>5.7476300000000001E-2</v>
      </c>
      <c r="S1896">
        <v>-3.0904539999999998</v>
      </c>
      <c r="T1896">
        <v>-2.0298719999999999E-2</v>
      </c>
      <c r="U1896">
        <v>-0.27914430000000001</v>
      </c>
      <c r="V1896">
        <v>3.9527159999999999E-2</v>
      </c>
      <c r="W1896">
        <v>0.21896399999999999</v>
      </c>
      <c r="X1896">
        <v>0.97493200000000002</v>
      </c>
      <c r="Y1896">
        <v>-0.1084789</v>
      </c>
      <c r="Z1896">
        <v>-1.006271E-3</v>
      </c>
      <c r="AA1896">
        <v>0.99409820000000004</v>
      </c>
      <c r="AB1896">
        <v>47</v>
      </c>
      <c r="AC1896">
        <v>-122.638199999999</v>
      </c>
      <c r="AD1896">
        <v>-0.80838899999999903</v>
      </c>
      <c r="AE1896">
        <v>-11.123799999999999</v>
      </c>
      <c r="AF1896">
        <v>-13.4047892388714</v>
      </c>
      <c r="AG1896">
        <v>-0.80838899999999903</v>
      </c>
      <c r="AH1896">
        <v>122.40454137846901</v>
      </c>
      <c r="AI1896">
        <v>90.376140866417401</v>
      </c>
      <c r="AJ1896">
        <v>96.249681647628407</v>
      </c>
      <c r="AK1896">
        <v>123.13900120346599</v>
      </c>
      <c r="AL1896">
        <v>77.3518091939996</v>
      </c>
      <c r="AM1896">
        <v>87.678299862316607</v>
      </c>
      <c r="AN1896">
        <v>1.0000000171488299</v>
      </c>
    </row>
    <row r="1897" spans="1:40" x14ac:dyDescent="0.25">
      <c r="A1897" t="str">
        <f>"20190303171015094"</f>
        <v>20190303171015094</v>
      </c>
      <c r="B1897" t="str">
        <f>"1551604215082896"</f>
        <v>1551604215082896</v>
      </c>
      <c r="C1897" t="s">
        <v>40</v>
      </c>
      <c r="D1897">
        <v>4.7881390000000001</v>
      </c>
      <c r="E1897">
        <v>0.44797880000000001</v>
      </c>
      <c r="F1897" t="s">
        <v>61</v>
      </c>
      <c r="G1897">
        <v>-512.82529999999997</v>
      </c>
      <c r="H1897">
        <v>0.39922039999999998</v>
      </c>
      <c r="I1897">
        <v>272.85849999999999</v>
      </c>
      <c r="J1897">
        <v>-390.66460000000001</v>
      </c>
      <c r="K1897">
        <v>1.1204019999999999</v>
      </c>
      <c r="L1897">
        <v>283.99810000000002</v>
      </c>
      <c r="M1897">
        <v>-0.99971069999999995</v>
      </c>
      <c r="N1897">
        <v>-1.4774829999999999E-2</v>
      </c>
      <c r="O1897">
        <v>1.898329E-2</v>
      </c>
      <c r="P1897">
        <v>-0.97702929999999999</v>
      </c>
      <c r="Q1897">
        <v>0.20522979999999999</v>
      </c>
      <c r="R1897">
        <v>5.7400449999999999E-2</v>
      </c>
      <c r="S1897">
        <v>-3.0904539999999998</v>
      </c>
      <c r="T1897">
        <v>-1.8171429999999999E-2</v>
      </c>
      <c r="U1897">
        <v>-0.28048709999999999</v>
      </c>
      <c r="V1897">
        <v>3.9096619999999999E-2</v>
      </c>
      <c r="W1897">
        <v>0.2196111</v>
      </c>
      <c r="X1897">
        <v>0.9748038</v>
      </c>
      <c r="Y1897">
        <v>-0.1092717</v>
      </c>
      <c r="Z1897">
        <v>-9.610857E-4</v>
      </c>
      <c r="AA1897">
        <v>0.99401150000000005</v>
      </c>
      <c r="AB1897">
        <v>47</v>
      </c>
      <c r="AC1897">
        <v>-122.160699999999</v>
      </c>
      <c r="AD1897">
        <v>-0.72118159999999998</v>
      </c>
      <c r="AE1897">
        <v>-11.1396</v>
      </c>
      <c r="AF1897">
        <v>-13.4563920888863</v>
      </c>
      <c r="AG1897">
        <v>-0.72118159999999998</v>
      </c>
      <c r="AH1897">
        <v>121.922978444297</v>
      </c>
      <c r="AI1897">
        <v>90.336858564102201</v>
      </c>
      <c r="AJ1897">
        <v>96.298128941964094</v>
      </c>
      <c r="AK1897">
        <v>122.665428151857</v>
      </c>
      <c r="AL1897">
        <v>77.313808128844101</v>
      </c>
      <c r="AM1897">
        <v>87.703259504984601</v>
      </c>
      <c r="AN1897">
        <v>1.00000001471653</v>
      </c>
    </row>
    <row r="1898" spans="1:40" x14ac:dyDescent="0.25">
      <c r="A1898" t="str">
        <f>"20190303171015107"</f>
        <v>20190303171015107</v>
      </c>
      <c r="B1898" t="str">
        <f>"1551604215102416"</f>
        <v>1551604215102416</v>
      </c>
      <c r="C1898" t="s">
        <v>40</v>
      </c>
      <c r="D1898">
        <v>4.780068</v>
      </c>
      <c r="E1898">
        <v>0.44783010000000001</v>
      </c>
      <c r="F1898" t="s">
        <v>61</v>
      </c>
      <c r="G1898">
        <v>-512.82529999999997</v>
      </c>
      <c r="H1898">
        <v>0.4803077</v>
      </c>
      <c r="I1898">
        <v>272.86750000000001</v>
      </c>
      <c r="J1898">
        <v>-390.92930000000001</v>
      </c>
      <c r="K1898">
        <v>1.120409</v>
      </c>
      <c r="L1898">
        <v>284.00330000000002</v>
      </c>
      <c r="M1898">
        <v>-0.99970680000000001</v>
      </c>
      <c r="N1898">
        <v>-1.4773329999999999E-2</v>
      </c>
      <c r="O1898">
        <v>1.9186169999999999E-2</v>
      </c>
      <c r="P1898">
        <v>-0.97696539999999998</v>
      </c>
      <c r="Q1898">
        <v>0.20553450000000001</v>
      </c>
      <c r="R1898">
        <v>5.7396259999999998E-2</v>
      </c>
      <c r="S1898">
        <v>-3.0904539999999998</v>
      </c>
      <c r="T1898">
        <v>-1.6191239999999999E-2</v>
      </c>
      <c r="U1898">
        <v>-0.28158569999999999</v>
      </c>
      <c r="V1898">
        <v>3.8895279999999997E-2</v>
      </c>
      <c r="W1898">
        <v>0.21991350000000001</v>
      </c>
      <c r="X1898">
        <v>0.97474369999999999</v>
      </c>
      <c r="Y1898">
        <v>-0.10982459999999999</v>
      </c>
      <c r="Z1898">
        <v>-9.1757459999999998E-4</v>
      </c>
      <c r="AA1898">
        <v>0.99395049999999996</v>
      </c>
      <c r="AB1898">
        <v>47</v>
      </c>
      <c r="AC1898">
        <v>-121.89599999999901</v>
      </c>
      <c r="AD1898">
        <v>-0.64010129999999998</v>
      </c>
      <c r="AE1898">
        <v>-11.1358</v>
      </c>
      <c r="AF1898">
        <v>-13.472353921149599</v>
      </c>
      <c r="AG1898">
        <v>-0.64010129999999998</v>
      </c>
      <c r="AH1898">
        <v>121.65655392015699</v>
      </c>
      <c r="AI1898">
        <v>90.299629848278499</v>
      </c>
      <c r="AJ1898">
        <v>96.319236944725404</v>
      </c>
      <c r="AK1898">
        <v>122.401924664521</v>
      </c>
      <c r="AL1898">
        <v>77.296047972481702</v>
      </c>
      <c r="AM1898">
        <v>87.714933970873702</v>
      </c>
      <c r="AN1898">
        <v>1.0000000354891001</v>
      </c>
    </row>
    <row r="1899" spans="1:40" x14ac:dyDescent="0.25">
      <c r="A1899" t="str">
        <f>"20190303171015119"</f>
        <v>20190303171015119</v>
      </c>
      <c r="B1899" t="str">
        <f>"1551604215112177"</f>
        <v>1551604215112177</v>
      </c>
      <c r="C1899" t="s">
        <v>40</v>
      </c>
      <c r="D1899">
        <v>4.7380300000000002</v>
      </c>
      <c r="E1899">
        <v>0.44775490000000001</v>
      </c>
      <c r="F1899" t="s">
        <v>61</v>
      </c>
      <c r="G1899">
        <v>-512.82529999999997</v>
      </c>
      <c r="H1899">
        <v>0.51378690000000005</v>
      </c>
      <c r="I1899">
        <v>272.84530000000001</v>
      </c>
      <c r="J1899">
        <v>-391.2013</v>
      </c>
      <c r="K1899">
        <v>1.120412</v>
      </c>
      <c r="L1899">
        <v>284.00869999999998</v>
      </c>
      <c r="M1899">
        <v>-0.99970289999999995</v>
      </c>
      <c r="N1899">
        <v>-1.477177E-2</v>
      </c>
      <c r="O1899">
        <v>1.9394479999999999E-2</v>
      </c>
      <c r="P1899">
        <v>-0.97692970000000001</v>
      </c>
      <c r="Q1899">
        <v>0.20575450000000001</v>
      </c>
      <c r="R1899">
        <v>5.7217619999999997E-2</v>
      </c>
      <c r="S1899">
        <v>-3.0905459999999998</v>
      </c>
      <c r="T1899">
        <v>-1.537824E-2</v>
      </c>
      <c r="U1899">
        <v>-0.28289789999999998</v>
      </c>
      <c r="V1899">
        <v>3.8513680000000002E-2</v>
      </c>
      <c r="W1899">
        <v>0.2201321</v>
      </c>
      <c r="X1899">
        <v>0.97470950000000001</v>
      </c>
      <c r="Y1899">
        <v>-0.1104478</v>
      </c>
      <c r="Z1899">
        <v>-9.021926E-4</v>
      </c>
      <c r="AA1899">
        <v>0.99388149999999997</v>
      </c>
      <c r="AB1899">
        <v>47</v>
      </c>
      <c r="AC1899">
        <v>-121.623999999999</v>
      </c>
      <c r="AD1899">
        <v>-0.60662510000000003</v>
      </c>
      <c r="AE1899">
        <v>-11.1633999999999</v>
      </c>
      <c r="AF1899">
        <v>-13.520057629834501</v>
      </c>
      <c r="AG1899">
        <v>-0.60662510000000003</v>
      </c>
      <c r="AH1899">
        <v>121.38159232954401</v>
      </c>
      <c r="AI1899">
        <v>90.284583116418901</v>
      </c>
      <c r="AJ1899">
        <v>96.355678114396298</v>
      </c>
      <c r="AK1899">
        <v>122.133741892982</v>
      </c>
      <c r="AL1899">
        <v>77.283208373033702</v>
      </c>
      <c r="AM1899">
        <v>87.737249934904398</v>
      </c>
      <c r="AN1899">
        <v>1.0000000271939</v>
      </c>
    </row>
    <row r="1900" spans="1:40" x14ac:dyDescent="0.25">
      <c r="A1900" t="str">
        <f>"20190303171015131"</f>
        <v>20190303171015131</v>
      </c>
      <c r="B1900" t="str">
        <f>"1551604215122912"</f>
        <v>1551604215122912</v>
      </c>
      <c r="C1900" t="s">
        <v>40</v>
      </c>
      <c r="D1900">
        <v>4.7616880000000004</v>
      </c>
      <c r="E1900">
        <v>0.44767230000000002</v>
      </c>
      <c r="F1900" t="s">
        <v>61</v>
      </c>
      <c r="G1900">
        <v>-512.82529999999997</v>
      </c>
      <c r="H1900">
        <v>0.53979299999999997</v>
      </c>
      <c r="I1900">
        <v>272.83260000000001</v>
      </c>
      <c r="J1900">
        <v>-391.46749999999997</v>
      </c>
      <c r="K1900">
        <v>1.1204130000000001</v>
      </c>
      <c r="L1900">
        <v>284.01400000000001</v>
      </c>
      <c r="M1900">
        <v>-0.99969889999999995</v>
      </c>
      <c r="N1900">
        <v>-1.4770200000000001E-2</v>
      </c>
      <c r="O1900">
        <v>1.9598500000000001E-2</v>
      </c>
      <c r="P1900">
        <v>-0.976908</v>
      </c>
      <c r="Q1900">
        <v>0.2058016</v>
      </c>
      <c r="R1900">
        <v>5.7416719999999997E-2</v>
      </c>
      <c r="S1900">
        <v>-3.0906069999999999</v>
      </c>
      <c r="T1900">
        <v>-1.475215E-2</v>
      </c>
      <c r="U1900">
        <v>-0.28399659999999999</v>
      </c>
      <c r="V1900">
        <v>3.851363E-2</v>
      </c>
      <c r="W1900">
        <v>0.22017719999999999</v>
      </c>
      <c r="X1900">
        <v>0.97469930000000005</v>
      </c>
      <c r="Y1900">
        <v>-0.1109994</v>
      </c>
      <c r="Z1900">
        <v>-8.9041700000000001E-4</v>
      </c>
      <c r="AA1900">
        <v>0.99382009999999998</v>
      </c>
      <c r="AB1900">
        <v>47</v>
      </c>
      <c r="AC1900">
        <v>-121.3578</v>
      </c>
      <c r="AD1900">
        <v>-0.58061999999999903</v>
      </c>
      <c r="AE1900">
        <v>-11.181399999999901</v>
      </c>
      <c r="AF1900">
        <v>-13.5576343511794</v>
      </c>
      <c r="AG1900">
        <v>-0.58061999999999903</v>
      </c>
      <c r="AH1900">
        <v>121.112574332253</v>
      </c>
      <c r="AI1900">
        <v>90.272971883065196</v>
      </c>
      <c r="AJ1900">
        <v>96.387236928249095</v>
      </c>
      <c r="AK1900">
        <v>121.87043214073699</v>
      </c>
      <c r="AL1900">
        <v>77.280559146201796</v>
      </c>
      <c r="AM1900">
        <v>87.737229214937997</v>
      </c>
      <c r="AN1900">
        <v>1.0000000122580499</v>
      </c>
    </row>
    <row r="1901" spans="1:40" x14ac:dyDescent="0.25">
      <c r="A1901" t="str">
        <f>"20190303171015149"</f>
        <v>20190303171015149</v>
      </c>
      <c r="B1901" t="str">
        <f>"1551604215142432"</f>
        <v>1551604215142432</v>
      </c>
      <c r="C1901" t="s">
        <v>40</v>
      </c>
      <c r="D1901">
        <v>4.7285269999999997</v>
      </c>
      <c r="E1901">
        <v>0.4475132</v>
      </c>
      <c r="F1901" t="s">
        <v>61</v>
      </c>
      <c r="G1901">
        <v>-512.82529999999997</v>
      </c>
      <c r="H1901">
        <v>0.54461000000000004</v>
      </c>
      <c r="I1901">
        <v>272.85899999999998</v>
      </c>
      <c r="J1901">
        <v>-391.82479999999998</v>
      </c>
      <c r="K1901">
        <v>1.120414</v>
      </c>
      <c r="L1901">
        <v>284.02120000000002</v>
      </c>
      <c r="M1901">
        <v>-0.99969350000000001</v>
      </c>
      <c r="N1901">
        <v>-1.476802E-2</v>
      </c>
      <c r="O1901">
        <v>1.98722E-2</v>
      </c>
      <c r="P1901">
        <v>-0.97684559999999998</v>
      </c>
      <c r="Q1901">
        <v>0.2060536</v>
      </c>
      <c r="R1901">
        <v>5.7574100000000003E-2</v>
      </c>
      <c r="S1901">
        <v>-3.090668</v>
      </c>
      <c r="T1901">
        <v>-1.4662150000000001E-2</v>
      </c>
      <c r="U1901">
        <v>-0.28408810000000001</v>
      </c>
      <c r="V1901">
        <v>3.8404470000000003E-2</v>
      </c>
      <c r="W1901">
        <v>0.22042700000000001</v>
      </c>
      <c r="X1901">
        <v>0.97464720000000005</v>
      </c>
      <c r="Y1901">
        <v>-0.11129890000000001</v>
      </c>
      <c r="Z1901">
        <v>-8.8833860000000001E-4</v>
      </c>
      <c r="AA1901">
        <v>0.99378659999999996</v>
      </c>
      <c r="AB1901">
        <v>47</v>
      </c>
      <c r="AC1901">
        <v>-121.0005</v>
      </c>
      <c r="AD1901">
        <v>-0.57580399999999998</v>
      </c>
      <c r="AE1901">
        <v>-11.162199999999901</v>
      </c>
      <c r="AF1901">
        <v>-13.5644989996247</v>
      </c>
      <c r="AG1901">
        <v>-0.57580399999999998</v>
      </c>
      <c r="AH1901">
        <v>120.752047592658</v>
      </c>
      <c r="AI1901">
        <v>90.271504204577894</v>
      </c>
      <c r="AJ1901">
        <v>96.409365503685507</v>
      </c>
      <c r="AK1901">
        <v>121.512897180409</v>
      </c>
      <c r="AL1901">
        <v>77.265886854056504</v>
      </c>
      <c r="AM1901">
        <v>87.743515506225705</v>
      </c>
      <c r="AN1901">
        <v>1.0000000650564</v>
      </c>
    </row>
    <row r="1902" spans="1:40" x14ac:dyDescent="0.25">
      <c r="A1902" t="str">
        <f>"20190303171015160"</f>
        <v>20190303171015160</v>
      </c>
      <c r="B1902" t="str">
        <f>"1551604215152193"</f>
        <v>1551604215152193</v>
      </c>
      <c r="C1902" t="s">
        <v>40</v>
      </c>
      <c r="D1902">
        <v>4.7364839999999999</v>
      </c>
      <c r="E1902">
        <v>0.44741819999999999</v>
      </c>
      <c r="F1902" t="s">
        <v>61</v>
      </c>
      <c r="G1902">
        <v>-512.82529999999997</v>
      </c>
      <c r="H1902">
        <v>0.58017479999999999</v>
      </c>
      <c r="I1902">
        <v>272.84829999999999</v>
      </c>
      <c r="J1902">
        <v>-392.07650000000001</v>
      </c>
      <c r="K1902">
        <v>1.1204190000000001</v>
      </c>
      <c r="L1902">
        <v>284.02629999999999</v>
      </c>
      <c r="M1902">
        <v>-0.99968959999999996</v>
      </c>
      <c r="N1902">
        <v>-1.4766430000000001E-2</v>
      </c>
      <c r="O1902">
        <v>2.0065320000000001E-2</v>
      </c>
      <c r="P1902">
        <v>-0.97680860000000003</v>
      </c>
      <c r="Q1902">
        <v>0.20618880000000001</v>
      </c>
      <c r="R1902">
        <v>5.7717789999999998E-2</v>
      </c>
      <c r="S1902">
        <v>-3.0908509999999998</v>
      </c>
      <c r="T1902">
        <v>-1.379788E-2</v>
      </c>
      <c r="U1902">
        <v>-0.2854004</v>
      </c>
      <c r="V1902">
        <v>3.8360070000000003E-2</v>
      </c>
      <c r="W1902">
        <v>0.22056049999999999</v>
      </c>
      <c r="X1902">
        <v>0.97461869999999995</v>
      </c>
      <c r="Y1902">
        <v>-0.1119042</v>
      </c>
      <c r="Z1902">
        <v>-8.7104279999999999E-4</v>
      </c>
      <c r="AA1902">
        <v>0.99371860000000001</v>
      </c>
      <c r="AB1902">
        <v>47</v>
      </c>
      <c r="AC1902">
        <v>-120.74879999999899</v>
      </c>
      <c r="AD1902">
        <v>-0.54024419999999995</v>
      </c>
      <c r="AE1902">
        <v>-11.1779999999999</v>
      </c>
      <c r="AF1902">
        <v>-13.598606707418501</v>
      </c>
      <c r="AG1902">
        <v>-0.54024419999999995</v>
      </c>
      <c r="AH1902">
        <v>120.497778281774</v>
      </c>
      <c r="AI1902">
        <v>90.255259975342994</v>
      </c>
      <c r="AJ1902">
        <v>96.438791882641496</v>
      </c>
      <c r="AK1902">
        <v>121.26387977886201</v>
      </c>
      <c r="AL1902">
        <v>77.258044277116198</v>
      </c>
      <c r="AM1902">
        <v>87.746055730349497</v>
      </c>
      <c r="AN1902">
        <v>1.0000000197601699</v>
      </c>
    </row>
    <row r="1903" spans="1:40" x14ac:dyDescent="0.25">
      <c r="A1903" t="str">
        <f>"20190303171015183"</f>
        <v>20190303171015183</v>
      </c>
      <c r="B1903" t="str">
        <f>"1551604215172688"</f>
        <v>1551604215172688</v>
      </c>
      <c r="C1903" t="s">
        <v>40</v>
      </c>
      <c r="D1903">
        <v>4.7109809999999896</v>
      </c>
      <c r="E1903">
        <v>0.44269900000000001</v>
      </c>
      <c r="F1903" t="s">
        <v>61</v>
      </c>
      <c r="G1903">
        <v>-512.82539999999995</v>
      </c>
      <c r="H1903">
        <v>0.60127319999999995</v>
      </c>
      <c r="I1903">
        <v>272.86610000000002</v>
      </c>
      <c r="J1903">
        <v>-392.52870000000001</v>
      </c>
      <c r="K1903">
        <v>1.1204179999999999</v>
      </c>
      <c r="L1903">
        <v>284.03570000000002</v>
      </c>
      <c r="M1903">
        <v>-0.99968270000000004</v>
      </c>
      <c r="N1903">
        <v>-1.476354E-2</v>
      </c>
      <c r="O1903">
        <v>2.0411909999999998E-2</v>
      </c>
      <c r="P1903">
        <v>-0.97674079999999996</v>
      </c>
      <c r="Q1903">
        <v>0.20630809999999999</v>
      </c>
      <c r="R1903">
        <v>5.84323E-2</v>
      </c>
      <c r="S1903">
        <v>-3.090881</v>
      </c>
      <c r="T1903">
        <v>-1.3286829999999999E-2</v>
      </c>
      <c r="U1903">
        <v>-0.28567500000000001</v>
      </c>
      <c r="V1903">
        <v>3.87365E-2</v>
      </c>
      <c r="W1903">
        <v>0.22067580000000001</v>
      </c>
      <c r="X1903">
        <v>0.97457769999999999</v>
      </c>
      <c r="Y1903">
        <v>-0.1123355</v>
      </c>
      <c r="Z1903">
        <v>-8.5889339999999895E-4</v>
      </c>
      <c r="AA1903">
        <v>0.99367000000000005</v>
      </c>
      <c r="AB1903">
        <v>47</v>
      </c>
      <c r="AC1903">
        <v>-120.29669999999901</v>
      </c>
      <c r="AD1903">
        <v>-0.51914479999999996</v>
      </c>
      <c r="AE1903">
        <v>-11.169600000000001</v>
      </c>
      <c r="AF1903">
        <v>-13.622773750627299</v>
      </c>
      <c r="AG1903">
        <v>-0.51914479999999996</v>
      </c>
      <c r="AH1903">
        <v>120.041397120624</v>
      </c>
      <c r="AI1903">
        <v>90.246206053174205</v>
      </c>
      <c r="AJ1903">
        <v>96.474453084527397</v>
      </c>
      <c r="AK1903">
        <v>120.81302288518199</v>
      </c>
      <c r="AL1903">
        <v>77.251271050258296</v>
      </c>
      <c r="AM1903">
        <v>87.723865117845193</v>
      </c>
      <c r="AN1903">
        <v>1.00000000923759</v>
      </c>
    </row>
    <row r="1904" spans="1:40" x14ac:dyDescent="0.25">
      <c r="A1904" t="str">
        <f>"20190303171015196"</f>
        <v>20190303171015196</v>
      </c>
      <c r="B1904" t="str">
        <f>"1551604215192208"</f>
        <v>1551604215192208</v>
      </c>
      <c r="C1904" t="s">
        <v>40</v>
      </c>
      <c r="D1904">
        <v>4.7144830000000004</v>
      </c>
      <c r="E1904">
        <v>0.44334059999999997</v>
      </c>
      <c r="F1904" t="s">
        <v>61</v>
      </c>
      <c r="G1904">
        <v>-512.82539999999995</v>
      </c>
      <c r="H1904">
        <v>0.87268089999999998</v>
      </c>
      <c r="I1904">
        <v>271.55689999999998</v>
      </c>
      <c r="J1904">
        <v>-392.81119999999999</v>
      </c>
      <c r="K1904">
        <v>1.120417</v>
      </c>
      <c r="L1904">
        <v>284.04160000000002</v>
      </c>
      <c r="M1904">
        <v>-0.99967830000000002</v>
      </c>
      <c r="N1904">
        <v>-1.476183E-2</v>
      </c>
      <c r="O1904">
        <v>2.0628799999999999E-2</v>
      </c>
      <c r="P1904">
        <v>-0.97671989999999997</v>
      </c>
      <c r="Q1904">
        <v>0.20628640000000001</v>
      </c>
      <c r="R1904">
        <v>5.8856260000000001E-2</v>
      </c>
      <c r="S1904">
        <v>-3.09198</v>
      </c>
      <c r="T1904">
        <v>-6.3655379999999996E-3</v>
      </c>
      <c r="U1904">
        <v>-0.32073970000000002</v>
      </c>
      <c r="V1904">
        <v>3.8948360000000001E-2</v>
      </c>
      <c r="W1904">
        <v>0.22065209999999999</v>
      </c>
      <c r="X1904">
        <v>0.97457459999999996</v>
      </c>
      <c r="Y1904">
        <v>-0.1236743</v>
      </c>
      <c r="Z1904">
        <v>-7.810022E-4</v>
      </c>
      <c r="AA1904">
        <v>0.99232260000000005</v>
      </c>
      <c r="AB1904">
        <v>47</v>
      </c>
      <c r="AC1904">
        <v>-120.01419999999899</v>
      </c>
      <c r="AD1904">
        <v>-0.24773609999999899</v>
      </c>
      <c r="AE1904">
        <v>-12.4847</v>
      </c>
      <c r="AF1904">
        <v>-14.9579981880182</v>
      </c>
      <c r="AG1904">
        <v>-0.24773609999999899</v>
      </c>
      <c r="AH1904">
        <v>119.73057871890001</v>
      </c>
      <c r="AI1904">
        <v>90.117636815867399</v>
      </c>
      <c r="AJ1904">
        <v>97.121094165681697</v>
      </c>
      <c r="AK1904">
        <v>120.661570366587</v>
      </c>
      <c r="AL1904">
        <v>77.252662996687803</v>
      </c>
      <c r="AM1904">
        <v>87.711422272645606</v>
      </c>
      <c r="AN1904">
        <v>0.99999998747312902</v>
      </c>
    </row>
    <row r="1905" spans="1:40" x14ac:dyDescent="0.25">
      <c r="A1905" t="str">
        <f>"20190303171015207"</f>
        <v>20190303171015207</v>
      </c>
      <c r="B1905" t="str">
        <f>"1551604215202945"</f>
        <v>1551604215202945</v>
      </c>
      <c r="C1905" t="s">
        <v>40</v>
      </c>
      <c r="D1905">
        <v>4.7253369999999997</v>
      </c>
      <c r="E1905">
        <v>0.44329540000000001</v>
      </c>
      <c r="F1905" t="s">
        <v>61</v>
      </c>
      <c r="G1905">
        <v>-512.82539999999995</v>
      </c>
      <c r="H1905">
        <v>0.62812319999999999</v>
      </c>
      <c r="I1905">
        <v>271.8372</v>
      </c>
      <c r="J1905">
        <v>-393.04739999999998</v>
      </c>
      <c r="K1905">
        <v>1.12042</v>
      </c>
      <c r="L1905">
        <v>284.04649999999998</v>
      </c>
      <c r="M1905">
        <v>-0.99967459999999997</v>
      </c>
      <c r="N1905">
        <v>-1.4760509999999999E-2</v>
      </c>
      <c r="O1905">
        <v>2.0809459999999998E-2</v>
      </c>
      <c r="P1905">
        <v>-0.97672199999999998</v>
      </c>
      <c r="Q1905">
        <v>0.20623859999999999</v>
      </c>
      <c r="R1905">
        <v>5.8992820000000001E-2</v>
      </c>
      <c r="S1905">
        <v>-3.09314</v>
      </c>
      <c r="T1905">
        <v>-1.268589E-2</v>
      </c>
      <c r="U1905">
        <v>-0.31454470000000001</v>
      </c>
      <c r="V1905">
        <v>3.8908150000000002E-2</v>
      </c>
      <c r="W1905">
        <v>0.2206033</v>
      </c>
      <c r="X1905">
        <v>0.97458730000000005</v>
      </c>
      <c r="Y1905">
        <v>-0.1218465</v>
      </c>
      <c r="Z1905">
        <v>-9.296784E-4</v>
      </c>
      <c r="AA1905">
        <v>0.99254849999999994</v>
      </c>
      <c r="AB1905">
        <v>47</v>
      </c>
      <c r="AC1905">
        <v>-119.777999999999</v>
      </c>
      <c r="AD1905">
        <v>-0.49229679999999998</v>
      </c>
      <c r="AE1905">
        <v>-12.209299999999899</v>
      </c>
      <c r="AF1905">
        <v>-14.6991966685103</v>
      </c>
      <c r="AG1905">
        <v>-0.49229679999999998</v>
      </c>
      <c r="AH1905">
        <v>119.49596314381201</v>
      </c>
      <c r="AI1905">
        <v>90.234278722894004</v>
      </c>
      <c r="AJ1905">
        <v>97.012723690606094</v>
      </c>
      <c r="AK1905">
        <v>120.397649256562</v>
      </c>
      <c r="AL1905">
        <v>77.255530257352206</v>
      </c>
      <c r="AM1905">
        <v>87.713812235494004</v>
      </c>
      <c r="AN1905">
        <v>1.0000000327142999</v>
      </c>
    </row>
    <row r="1906" spans="1:40" x14ac:dyDescent="0.25">
      <c r="A1906" t="str">
        <f>"20190303171015229"</f>
        <v>20190303171015229</v>
      </c>
      <c r="B1906" t="str">
        <f>"1551604215222468"</f>
        <v>1551604215222468</v>
      </c>
      <c r="C1906" t="s">
        <v>40</v>
      </c>
      <c r="D1906">
        <v>4.7119609999999996</v>
      </c>
      <c r="E1906">
        <v>0.44345010000000001</v>
      </c>
      <c r="F1906" t="s">
        <v>61</v>
      </c>
      <c r="G1906">
        <v>-512.82539999999995</v>
      </c>
      <c r="H1906">
        <v>0.59307430000000005</v>
      </c>
      <c r="I1906">
        <v>271.86700000000002</v>
      </c>
      <c r="J1906">
        <v>-393.5027</v>
      </c>
      <c r="K1906">
        <v>1.1204240000000001</v>
      </c>
      <c r="L1906">
        <v>284.05630000000002</v>
      </c>
      <c r="M1906">
        <v>-0.99966719999999998</v>
      </c>
      <c r="N1906">
        <v>-1.475775E-2</v>
      </c>
      <c r="O1906">
        <v>2.115856E-2</v>
      </c>
      <c r="P1906">
        <v>-0.97671200000000002</v>
      </c>
      <c r="Q1906">
        <v>0.20614650000000001</v>
      </c>
      <c r="R1906">
        <v>5.9473909999999998E-2</v>
      </c>
      <c r="S1906">
        <v>-3.093353</v>
      </c>
      <c r="T1906">
        <v>-1.361704E-2</v>
      </c>
      <c r="U1906">
        <v>-0.31454470000000001</v>
      </c>
      <c r="V1906">
        <v>3.9047369999999998E-2</v>
      </c>
      <c r="W1906">
        <v>0.22050839999999999</v>
      </c>
      <c r="X1906">
        <v>0.9746032</v>
      </c>
      <c r="Y1906">
        <v>-0.1221858</v>
      </c>
      <c r="Z1906">
        <v>-9.537371E-4</v>
      </c>
      <c r="AA1906">
        <v>0.99250680000000002</v>
      </c>
      <c r="AB1906">
        <v>47</v>
      </c>
      <c r="AC1906">
        <v>-119.322699999999</v>
      </c>
      <c r="AD1906">
        <v>-0.52734969999999903</v>
      </c>
      <c r="AE1906">
        <v>-12.189299999999999</v>
      </c>
      <c r="AF1906">
        <v>-14.711257740461001</v>
      </c>
      <c r="AG1906">
        <v>-0.52734969999999903</v>
      </c>
      <c r="AH1906">
        <v>119.035744573587</v>
      </c>
      <c r="AI1906">
        <v>90.251912415393704</v>
      </c>
      <c r="AJ1906">
        <v>97.0452830409982</v>
      </c>
      <c r="AK1906">
        <v>119.94251826687901</v>
      </c>
      <c r="AL1906">
        <v>77.261104799766102</v>
      </c>
      <c r="AM1906">
        <v>87.705677983124502</v>
      </c>
      <c r="AN1906">
        <v>1.0000000245123499</v>
      </c>
    </row>
    <row r="1907" spans="1:40" x14ac:dyDescent="0.25">
      <c r="A1907" t="str">
        <f>"20190303171015241"</f>
        <v>20190303171015241</v>
      </c>
      <c r="B1907" t="str">
        <f>"1551604215232225"</f>
        <v>1551604215232225</v>
      </c>
      <c r="C1907" t="s">
        <v>40</v>
      </c>
      <c r="D1907">
        <v>4.7128069999999997</v>
      </c>
      <c r="E1907">
        <v>0.44351040000000003</v>
      </c>
      <c r="F1907" t="s">
        <v>61</v>
      </c>
      <c r="G1907">
        <v>-512.82529999999997</v>
      </c>
      <c r="H1907">
        <v>0.49613790000000002</v>
      </c>
      <c r="I1907">
        <v>272.0428</v>
      </c>
      <c r="J1907">
        <v>-393.75979999999998</v>
      </c>
      <c r="K1907">
        <v>1.1204289999999999</v>
      </c>
      <c r="L1907">
        <v>284.06189999999998</v>
      </c>
      <c r="M1907">
        <v>-0.99966310000000003</v>
      </c>
      <c r="N1907">
        <v>-1.4756139999999999E-2</v>
      </c>
      <c r="O1907">
        <v>2.1355659999999999E-2</v>
      </c>
      <c r="P1907">
        <v>-0.97669229999999996</v>
      </c>
      <c r="Q1907">
        <v>0.20616309999999999</v>
      </c>
      <c r="R1907">
        <v>5.974492E-2</v>
      </c>
      <c r="S1907">
        <v>-3.0938720000000002</v>
      </c>
      <c r="T1907">
        <v>-1.6184810000000001E-2</v>
      </c>
      <c r="U1907">
        <v>-0.31149290000000002</v>
      </c>
      <c r="V1907">
        <v>3.9125930000000003E-2</v>
      </c>
      <c r="W1907">
        <v>0.22052330000000001</v>
      </c>
      <c r="X1907">
        <v>0.97459669999999998</v>
      </c>
      <c r="Y1907">
        <v>-0.12139460000000001</v>
      </c>
      <c r="Z1907">
        <v>-1.011879E-3</v>
      </c>
      <c r="AA1907">
        <v>0.99260380000000004</v>
      </c>
      <c r="AB1907">
        <v>47</v>
      </c>
      <c r="AC1907">
        <v>-119.0655</v>
      </c>
      <c r="AD1907">
        <v>-0.62429109999999999</v>
      </c>
      <c r="AE1907">
        <v>-12.0190999999999</v>
      </c>
      <c r="AF1907">
        <v>-14.558961193507701</v>
      </c>
      <c r="AG1907">
        <v>-0.62429109999999999</v>
      </c>
      <c r="AH1907">
        <v>118.778404001271</v>
      </c>
      <c r="AI1907">
        <v>90.298902944561306</v>
      </c>
      <c r="AJ1907">
        <v>96.9880277064388</v>
      </c>
      <c r="AK1907">
        <v>119.66896986061499</v>
      </c>
      <c r="AL1907">
        <v>77.260229824567801</v>
      </c>
      <c r="AM1907">
        <v>87.701051633227706</v>
      </c>
      <c r="AN1907">
        <v>1.0000000459460701</v>
      </c>
    </row>
    <row r="1908" spans="1:40" x14ac:dyDescent="0.25">
      <c r="A1908" t="str">
        <f>"20190303171015255"</f>
        <v>20190303171015255</v>
      </c>
      <c r="B1908" t="str">
        <f>"1551604215242961"</f>
        <v>1551604215242961</v>
      </c>
      <c r="C1908" t="s">
        <v>40</v>
      </c>
      <c r="D1908">
        <v>4.6959549999999997</v>
      </c>
      <c r="E1908">
        <v>0.44343270000000001</v>
      </c>
      <c r="F1908" t="s">
        <v>61</v>
      </c>
      <c r="G1908">
        <v>-512.82529999999997</v>
      </c>
      <c r="H1908">
        <v>0.50543609999999894</v>
      </c>
      <c r="I1908">
        <v>272.12259999999998</v>
      </c>
      <c r="J1908">
        <v>-394.05009999999999</v>
      </c>
      <c r="K1908">
        <v>1.120431</v>
      </c>
      <c r="L1908">
        <v>284.06819999999999</v>
      </c>
      <c r="M1908">
        <v>-0.9996583</v>
      </c>
      <c r="N1908">
        <v>-1.4754379999999999E-2</v>
      </c>
      <c r="O1908">
        <v>2.157864E-2</v>
      </c>
      <c r="P1908">
        <v>-0.97662380000000004</v>
      </c>
      <c r="Q1908">
        <v>0.20642199999999999</v>
      </c>
      <c r="R1908">
        <v>5.9967220000000002E-2</v>
      </c>
      <c r="S1908">
        <v>-3.0939329999999998</v>
      </c>
      <c r="T1908">
        <v>-1.5978570000000001E-2</v>
      </c>
      <c r="U1908">
        <v>-0.31024170000000001</v>
      </c>
      <c r="V1908">
        <v>3.9131440000000003E-2</v>
      </c>
      <c r="W1908">
        <v>0.22077949999999999</v>
      </c>
      <c r="X1908">
        <v>0.97453840000000003</v>
      </c>
      <c r="Y1908">
        <v>-0.1212167</v>
      </c>
      <c r="Z1908">
        <v>-1.0024229999999999E-3</v>
      </c>
      <c r="AA1908">
        <v>0.99262550000000005</v>
      </c>
      <c r="AB1908">
        <v>47</v>
      </c>
      <c r="AC1908">
        <v>-118.775199999999</v>
      </c>
      <c r="AD1908">
        <v>-0.61499490000000001</v>
      </c>
      <c r="AE1908">
        <v>-11.945600000000001</v>
      </c>
      <c r="AF1908">
        <v>-14.5057191512172</v>
      </c>
      <c r="AG1908">
        <v>-0.61499490000000001</v>
      </c>
      <c r="AH1908">
        <v>118.486595018027</v>
      </c>
      <c r="AI1908">
        <v>90.295182534775194</v>
      </c>
      <c r="AJ1908">
        <v>96.979702700522694</v>
      </c>
      <c r="AK1908">
        <v>119.372808066942</v>
      </c>
      <c r="AL1908">
        <v>77.245178783911498</v>
      </c>
      <c r="AM1908">
        <v>87.700590823788104</v>
      </c>
      <c r="AN1908">
        <v>0.99999997514564098</v>
      </c>
    </row>
    <row r="1909" spans="1:40" x14ac:dyDescent="0.25">
      <c r="A1909" t="str">
        <f>"20190303171015274"</f>
        <v>20190303171015274</v>
      </c>
      <c r="B1909" t="str">
        <f>"1551604215262480"</f>
        <v>1551604215262480</v>
      </c>
      <c r="C1909" t="s">
        <v>40</v>
      </c>
      <c r="D1909">
        <v>4.6959809999999997</v>
      </c>
      <c r="E1909">
        <v>0.4433494</v>
      </c>
      <c r="F1909" t="s">
        <v>61</v>
      </c>
      <c r="G1909">
        <v>-512.82529999999997</v>
      </c>
      <c r="H1909">
        <v>0.55027309999999996</v>
      </c>
      <c r="I1909">
        <v>272.16989999999998</v>
      </c>
      <c r="J1909">
        <v>-394.42829999999998</v>
      </c>
      <c r="K1909">
        <v>1.1204369999999999</v>
      </c>
      <c r="L1909">
        <v>284.07659999999998</v>
      </c>
      <c r="M1909">
        <v>-0.99965210000000004</v>
      </c>
      <c r="N1909">
        <v>-1.4752060000000001E-2</v>
      </c>
      <c r="O1909">
        <v>2.1869079999999999E-2</v>
      </c>
      <c r="P1909">
        <v>-0.97657150000000004</v>
      </c>
      <c r="Q1909">
        <v>0.20667630000000001</v>
      </c>
      <c r="R1909">
        <v>5.9943009999999998E-2</v>
      </c>
      <c r="S1909">
        <v>-3.0939640000000002</v>
      </c>
      <c r="T1909">
        <v>-1.4849899999999999E-2</v>
      </c>
      <c r="U1909">
        <v>-0.3099365</v>
      </c>
      <c r="V1909">
        <v>3.8824320000000002E-2</v>
      </c>
      <c r="W1909">
        <v>0.22103159999999999</v>
      </c>
      <c r="X1909">
        <v>0.97449359999999996</v>
      </c>
      <c r="Y1909">
        <v>-0.12140769999999999</v>
      </c>
      <c r="Z1909">
        <v>-9.7140159999999998E-4</v>
      </c>
      <c r="AA1909">
        <v>0.99260219999999999</v>
      </c>
      <c r="AB1909">
        <v>47</v>
      </c>
      <c r="AC1909">
        <v>-118.39700000000001</v>
      </c>
      <c r="AD1909">
        <v>-0.57016389999999995</v>
      </c>
      <c r="AE1909">
        <v>-11.906700000000001</v>
      </c>
      <c r="AF1909">
        <v>-14.4930340584372</v>
      </c>
      <c r="AG1909">
        <v>-0.57016389999999995</v>
      </c>
      <c r="AH1909">
        <v>118.10554993866801</v>
      </c>
      <c r="AI1909">
        <v>90.2745384707558</v>
      </c>
      <c r="AJ1909">
        <v>96.995935731780506</v>
      </c>
      <c r="AK1909">
        <v>118.992831924478</v>
      </c>
      <c r="AL1909">
        <v>77.230369429028897</v>
      </c>
      <c r="AM1909">
        <v>87.718513639988799</v>
      </c>
      <c r="AN1909">
        <v>1.00000003623149</v>
      </c>
    </row>
    <row r="1910" spans="1:40" x14ac:dyDescent="0.25">
      <c r="A1910" t="str">
        <f>"20190303171015294"</f>
        <v>20190303171015294</v>
      </c>
      <c r="B1910" t="str">
        <f>"1551604215282978"</f>
        <v>1551604215282978</v>
      </c>
      <c r="C1910" t="s">
        <v>40</v>
      </c>
      <c r="D1910">
        <v>4.6931669999999999</v>
      </c>
      <c r="E1910">
        <v>0.44306020000000002</v>
      </c>
      <c r="F1910" t="s">
        <v>61</v>
      </c>
      <c r="G1910">
        <v>-512.82529999999997</v>
      </c>
      <c r="H1910">
        <v>0.56515419999999905</v>
      </c>
      <c r="I1910">
        <v>272.16539999999998</v>
      </c>
      <c r="J1910">
        <v>-394.87580000000003</v>
      </c>
      <c r="K1910">
        <v>1.1204369999999999</v>
      </c>
      <c r="L1910">
        <v>284.08659999999998</v>
      </c>
      <c r="M1910">
        <v>-0.99964459999999999</v>
      </c>
      <c r="N1910">
        <v>-1.4749180000000001E-2</v>
      </c>
      <c r="O1910">
        <v>2.2212869999999999E-2</v>
      </c>
      <c r="P1910">
        <v>-0.97660579999999997</v>
      </c>
      <c r="Q1910">
        <v>0.20651949999999999</v>
      </c>
      <c r="R1910">
        <v>5.992488E-2</v>
      </c>
      <c r="S1910">
        <v>-3.0941160000000001</v>
      </c>
      <c r="T1910">
        <v>-1.4509319999999999E-2</v>
      </c>
      <c r="U1910">
        <v>-0.31127929999999998</v>
      </c>
      <c r="V1910">
        <v>3.8468700000000002E-2</v>
      </c>
      <c r="W1910">
        <v>0.22087300000000001</v>
      </c>
      <c r="X1910">
        <v>0.97454359999999995</v>
      </c>
      <c r="Y1910">
        <v>-0.12217069999999999</v>
      </c>
      <c r="Z1910">
        <v>-9.6619890000000002E-4</v>
      </c>
      <c r="AA1910">
        <v>0.99250859999999996</v>
      </c>
      <c r="AB1910">
        <v>47</v>
      </c>
      <c r="AC1910">
        <v>-117.94949999999901</v>
      </c>
      <c r="AD1910">
        <v>-0.55528279999999997</v>
      </c>
      <c r="AE1910">
        <v>-11.921200000000001</v>
      </c>
      <c r="AF1910">
        <v>-14.5382205801124</v>
      </c>
      <c r="AG1910">
        <v>-0.55528279999999997</v>
      </c>
      <c r="AH1910">
        <v>117.652977201478</v>
      </c>
      <c r="AI1910">
        <v>90.268373819818706</v>
      </c>
      <c r="AJ1910">
        <v>97.044254046548801</v>
      </c>
      <c r="AK1910">
        <v>118.549108984401</v>
      </c>
      <c r="AL1910">
        <v>77.239686036266605</v>
      </c>
      <c r="AM1910">
        <v>87.739505503716401</v>
      </c>
      <c r="AN1910">
        <v>0.99999997565482401</v>
      </c>
    </row>
    <row r="1911" spans="1:40" x14ac:dyDescent="0.25">
      <c r="A1911" t="str">
        <f>"20190303171015318"</f>
        <v>20190303171015318</v>
      </c>
      <c r="B1911" t="str">
        <f>"1551604215312256"</f>
        <v>1551604215312256</v>
      </c>
      <c r="C1911" t="s">
        <v>40</v>
      </c>
      <c r="D1911">
        <v>4.6997070000000001</v>
      </c>
      <c r="E1911">
        <v>0.44408439999999999</v>
      </c>
      <c r="F1911" t="s">
        <v>61</v>
      </c>
      <c r="G1911">
        <v>-512.82539999999995</v>
      </c>
      <c r="H1911">
        <v>0.59070919999999905</v>
      </c>
      <c r="I1911">
        <v>272.1259</v>
      </c>
      <c r="J1911">
        <v>-395.35789999999997</v>
      </c>
      <c r="K1911">
        <v>1.120441</v>
      </c>
      <c r="L1911">
        <v>284.09769999999997</v>
      </c>
      <c r="M1911">
        <v>-0.99963619999999997</v>
      </c>
      <c r="N1911">
        <v>-1.474613E-2</v>
      </c>
      <c r="O1911">
        <v>2.2583369999999998E-2</v>
      </c>
      <c r="P1911">
        <v>-0.97663469999999997</v>
      </c>
      <c r="Q1911">
        <v>0.2063267</v>
      </c>
      <c r="R1911">
        <v>6.0114210000000001E-2</v>
      </c>
      <c r="S1911">
        <v>-3.0940249999999998</v>
      </c>
      <c r="T1911">
        <v>-1.3893600000000001E-2</v>
      </c>
      <c r="U1911">
        <v>-0.31375120000000001</v>
      </c>
      <c r="V1911">
        <v>3.8294219999999997E-2</v>
      </c>
      <c r="W1911">
        <v>0.22067819999999999</v>
      </c>
      <c r="X1911">
        <v>0.97459470000000004</v>
      </c>
      <c r="Y1911">
        <v>-0.12332650000000001</v>
      </c>
      <c r="Z1911">
        <v>-9.5693510000000005E-4</v>
      </c>
      <c r="AA1911">
        <v>0.99236570000000002</v>
      </c>
      <c r="AB1911">
        <v>47</v>
      </c>
      <c r="AC1911">
        <v>-117.46749999999901</v>
      </c>
      <c r="AD1911">
        <v>-0.52973179999999997</v>
      </c>
      <c r="AE1911">
        <v>-11.971799999999901</v>
      </c>
      <c r="AF1911">
        <v>-14.621552292803701</v>
      </c>
      <c r="AG1911">
        <v>-0.52973179999999997</v>
      </c>
      <c r="AH1911">
        <v>117.16478372541199</v>
      </c>
      <c r="AI1911">
        <v>90.257053154466306</v>
      </c>
      <c r="AJ1911">
        <v>97.113438175404397</v>
      </c>
      <c r="AK1911">
        <v>118.074793892065</v>
      </c>
      <c r="AL1911">
        <v>77.251130881582498</v>
      </c>
      <c r="AM1911">
        <v>87.749865582987596</v>
      </c>
      <c r="AN1911">
        <v>1.0000000722543601</v>
      </c>
    </row>
    <row r="1912" spans="1:40" x14ac:dyDescent="0.25">
      <c r="A1912" t="str">
        <f>"20190303171015330"</f>
        <v>20190303171015330</v>
      </c>
      <c r="B1912" t="str">
        <f>"1551604215322993"</f>
        <v>1551604215322993</v>
      </c>
      <c r="C1912" t="s">
        <v>40</v>
      </c>
      <c r="D1912">
        <v>4.6630140000000004</v>
      </c>
      <c r="E1912">
        <v>0.4447064</v>
      </c>
      <c r="F1912" t="s">
        <v>61</v>
      </c>
      <c r="G1912">
        <v>-512.82529999999997</v>
      </c>
      <c r="H1912">
        <v>0.5017817</v>
      </c>
      <c r="I1912">
        <v>272.5308</v>
      </c>
      <c r="J1912">
        <v>-395.63260000000002</v>
      </c>
      <c r="K1912">
        <v>1.120441</v>
      </c>
      <c r="L1912">
        <v>284.10399999999998</v>
      </c>
      <c r="M1912">
        <v>-0.99963159999999895</v>
      </c>
      <c r="N1912">
        <v>-1.474439E-2</v>
      </c>
      <c r="O1912">
        <v>2.279407E-2</v>
      </c>
      <c r="P1912">
        <v>-0.97659560000000001</v>
      </c>
      <c r="Q1912">
        <v>0.2064143</v>
      </c>
      <c r="R1912">
        <v>6.0451610000000003E-2</v>
      </c>
      <c r="S1912">
        <v>-3.0939640000000002</v>
      </c>
      <c r="T1912">
        <v>-1.6292689999999999E-2</v>
      </c>
      <c r="U1912">
        <v>-0.30465700000000001</v>
      </c>
      <c r="V1912">
        <v>3.8426519999999999E-2</v>
      </c>
      <c r="W1912">
        <v>0.22076419999999999</v>
      </c>
      <c r="X1912">
        <v>0.97457000000000005</v>
      </c>
      <c r="Y1912">
        <v>-0.1206483</v>
      </c>
      <c r="Z1912">
        <v>-9.9310020000000008E-4</v>
      </c>
      <c r="AA1912">
        <v>0.99269479999999999</v>
      </c>
      <c r="AB1912">
        <v>47</v>
      </c>
      <c r="AC1912">
        <v>-117.19269999999899</v>
      </c>
      <c r="AD1912">
        <v>-0.61865930000000002</v>
      </c>
      <c r="AE1912">
        <v>-11.5732</v>
      </c>
      <c r="AF1912">
        <v>-14.241387989141399</v>
      </c>
      <c r="AG1912">
        <v>-0.61865930000000002</v>
      </c>
      <c r="AH1912">
        <v>116.895189433534</v>
      </c>
      <c r="AI1912">
        <v>90.301005332168899</v>
      </c>
      <c r="AJ1912">
        <v>96.946136509761402</v>
      </c>
      <c r="AK1912">
        <v>117.76113613535</v>
      </c>
      <c r="AL1912">
        <v>77.246078650660394</v>
      </c>
      <c r="AM1912">
        <v>87.742042618178004</v>
      </c>
      <c r="AN1912">
        <v>1.0000000571704699</v>
      </c>
    </row>
    <row r="1913" spans="1:40" x14ac:dyDescent="0.25">
      <c r="A1913" t="str">
        <f>"20190303171015343"</f>
        <v>20190303171015343</v>
      </c>
      <c r="B1913" t="str">
        <f>"1551604215332752"</f>
        <v>1551604215332752</v>
      </c>
      <c r="C1913" t="s">
        <v>40</v>
      </c>
      <c r="D1913">
        <v>4.5919980000000002</v>
      </c>
      <c r="E1913">
        <v>0.4447064</v>
      </c>
      <c r="F1913" t="s">
        <v>61</v>
      </c>
      <c r="G1913">
        <v>-512.82529999999997</v>
      </c>
      <c r="H1913">
        <v>0.45098450000000001</v>
      </c>
      <c r="I1913">
        <v>272.79950000000002</v>
      </c>
      <c r="J1913">
        <v>-395.89069999999998</v>
      </c>
      <c r="K1913">
        <v>1.1204419999999999</v>
      </c>
      <c r="L1913">
        <v>284.11</v>
      </c>
      <c r="M1913">
        <v>-0.99962700000000004</v>
      </c>
      <c r="N1913">
        <v>-1.4742720000000001E-2</v>
      </c>
      <c r="O1913">
        <v>2.2992660000000002E-2</v>
      </c>
      <c r="P1913">
        <v>-0.97658599999999995</v>
      </c>
      <c r="Q1913">
        <v>0.20638029999999999</v>
      </c>
      <c r="R1913">
        <v>6.0721480000000001E-2</v>
      </c>
      <c r="S1913">
        <v>-3.094147</v>
      </c>
      <c r="T1913">
        <v>-1.7673020000000001E-2</v>
      </c>
      <c r="U1913">
        <v>-0.2984619</v>
      </c>
      <c r="V1913">
        <v>3.8502019999999998E-2</v>
      </c>
      <c r="W1913">
        <v>0.22072839999999999</v>
      </c>
      <c r="X1913">
        <v>0.97457510000000003</v>
      </c>
      <c r="Y1913">
        <v>-0.1188702</v>
      </c>
      <c r="Z1913">
        <v>-1.009937E-3</v>
      </c>
      <c r="AA1913">
        <v>0.99290929999999999</v>
      </c>
      <c r="AB1913">
        <v>47</v>
      </c>
      <c r="AC1913">
        <v>-116.9346</v>
      </c>
      <c r="AD1913">
        <v>-0.66945749999999904</v>
      </c>
      <c r="AE1913">
        <v>-11.3104999999999</v>
      </c>
      <c r="AF1913">
        <v>-13.995984283957799</v>
      </c>
      <c r="AG1913">
        <v>-0.66945749999999904</v>
      </c>
      <c r="AH1913">
        <v>116.63980541951599</v>
      </c>
      <c r="AI1913">
        <v>90.326505036535806</v>
      </c>
      <c r="AJ1913">
        <v>96.842389711572807</v>
      </c>
      <c r="AK1913">
        <v>117.47842337094799</v>
      </c>
      <c r="AL1913">
        <v>77.248181351956603</v>
      </c>
      <c r="AM1913">
        <v>87.737622640885803</v>
      </c>
      <c r="AN1913">
        <v>1.0000000288253199</v>
      </c>
    </row>
    <row r="1914" spans="1:40" x14ac:dyDescent="0.25">
      <c r="A1914" t="str">
        <f>"20190303171015362"</f>
        <v>20190303171015362</v>
      </c>
      <c r="B1914" t="str">
        <f>"1551604215352273"</f>
        <v>1551604215352273</v>
      </c>
      <c r="C1914" t="s">
        <v>40</v>
      </c>
      <c r="D1914">
        <v>4.6775029999999997</v>
      </c>
      <c r="E1914">
        <v>0.44567129999999999</v>
      </c>
      <c r="F1914" t="s">
        <v>61</v>
      </c>
      <c r="G1914">
        <v>-512.82529999999997</v>
      </c>
      <c r="H1914">
        <v>0.45495249999999998</v>
      </c>
      <c r="I1914">
        <v>272.85599999999999</v>
      </c>
      <c r="J1914">
        <v>-396.28410000000002</v>
      </c>
      <c r="K1914">
        <v>1.1204419999999999</v>
      </c>
      <c r="L1914">
        <v>284.11930000000001</v>
      </c>
      <c r="M1914">
        <v>-0.99962010000000001</v>
      </c>
      <c r="N1914">
        <v>-1.47402E-2</v>
      </c>
      <c r="O1914">
        <v>2.3295440000000001E-2</v>
      </c>
      <c r="P1914">
        <v>-0.97652700000000003</v>
      </c>
      <c r="Q1914">
        <v>0.2065456</v>
      </c>
      <c r="R1914">
        <v>6.1107960000000003E-2</v>
      </c>
      <c r="S1914">
        <v>-3.0941770000000002</v>
      </c>
      <c r="T1914">
        <v>-1.7607210000000002E-2</v>
      </c>
      <c r="U1914">
        <v>-0.29779050000000001</v>
      </c>
      <c r="V1914">
        <v>3.8593389999999998E-2</v>
      </c>
      <c r="W1914">
        <v>0.22089020000000001</v>
      </c>
      <c r="X1914">
        <v>0.97453480000000003</v>
      </c>
      <c r="Y1914">
        <v>-0.11895650000000001</v>
      </c>
      <c r="Z1914">
        <v>-1.0062350000000001E-3</v>
      </c>
      <c r="AA1914">
        <v>0.99289890000000003</v>
      </c>
      <c r="AB1914">
        <v>47</v>
      </c>
      <c r="AC1914">
        <v>-116.54119999999899</v>
      </c>
      <c r="AD1914">
        <v>-0.66548949999999996</v>
      </c>
      <c r="AE1914">
        <v>-11.263299999999999</v>
      </c>
      <c r="AF1914">
        <v>-13.974964388824899</v>
      </c>
      <c r="AG1914">
        <v>-0.66548949999999996</v>
      </c>
      <c r="AH1914">
        <v>116.24339931812401</v>
      </c>
      <c r="AI1914">
        <v>90.325667820324497</v>
      </c>
      <c r="AJ1914">
        <v>96.855288101369595</v>
      </c>
      <c r="AK1914">
        <v>117.08232313622899</v>
      </c>
      <c r="AL1914">
        <v>77.238675950346803</v>
      </c>
      <c r="AM1914">
        <v>87.732165661427103</v>
      </c>
      <c r="AN1914">
        <v>1.0000000033093801</v>
      </c>
    </row>
    <row r="1915" spans="1:40" x14ac:dyDescent="0.25">
      <c r="A1915" t="str">
        <f>"20190303171015384"</f>
        <v>20190303171015384</v>
      </c>
      <c r="B1915" t="str">
        <f>"1551604215372768"</f>
        <v>1551604215372768</v>
      </c>
      <c r="C1915" t="s">
        <v>40</v>
      </c>
      <c r="D1915">
        <v>4.7140300000000002</v>
      </c>
      <c r="E1915">
        <v>0.44653619999999999</v>
      </c>
      <c r="F1915" t="s">
        <v>61</v>
      </c>
      <c r="G1915">
        <v>-512.82529999999997</v>
      </c>
      <c r="H1915">
        <v>0.44964189999999998</v>
      </c>
      <c r="I1915">
        <v>273.23110000000003</v>
      </c>
      <c r="J1915">
        <v>-396.7439</v>
      </c>
      <c r="K1915">
        <v>1.120441</v>
      </c>
      <c r="L1915">
        <v>284.13029999999998</v>
      </c>
      <c r="M1915">
        <v>-0.99961169999999999</v>
      </c>
      <c r="N1915">
        <v>-1.473739E-2</v>
      </c>
      <c r="O1915">
        <v>2.3649719999999999E-2</v>
      </c>
      <c r="P1915">
        <v>-0.97655179999999997</v>
      </c>
      <c r="Q1915">
        <v>0.20626630000000001</v>
      </c>
      <c r="R1915">
        <v>6.1653489999999998E-2</v>
      </c>
      <c r="S1915">
        <v>-3.0939640000000002</v>
      </c>
      <c r="T1915">
        <v>-1.7806410000000002E-2</v>
      </c>
      <c r="U1915">
        <v>-0.2890625</v>
      </c>
      <c r="V1915">
        <v>3.8790940000000003E-2</v>
      </c>
      <c r="W1915">
        <v>0.22060930000000001</v>
      </c>
      <c r="X1915">
        <v>0.97459059999999997</v>
      </c>
      <c r="Y1915">
        <v>-0.1165387</v>
      </c>
      <c r="Z1915">
        <v>-9.8340769999999997E-4</v>
      </c>
      <c r="AA1915">
        <v>0.9931856</v>
      </c>
      <c r="AB1915">
        <v>47</v>
      </c>
      <c r="AC1915">
        <v>-116.08139999999899</v>
      </c>
      <c r="AD1915">
        <v>-0.67079909999999998</v>
      </c>
      <c r="AE1915">
        <v>-10.899199999999899</v>
      </c>
      <c r="AF1915">
        <v>-13.641290064653701</v>
      </c>
      <c r="AG1915">
        <v>-0.67079909999999998</v>
      </c>
      <c r="AH1915">
        <v>115.787301954009</v>
      </c>
      <c r="AI1915">
        <v>90.329652293959597</v>
      </c>
      <c r="AJ1915">
        <v>96.719234402192797</v>
      </c>
      <c r="AK1915">
        <v>116.590025559005</v>
      </c>
      <c r="AL1915">
        <v>77.255177620653498</v>
      </c>
      <c r="AM1915">
        <v>87.720699763874293</v>
      </c>
      <c r="AN1915">
        <v>1.0000000189404601</v>
      </c>
    </row>
    <row r="1916" spans="1:40" x14ac:dyDescent="0.25">
      <c r="A1916" t="str">
        <f>"20190303171015397"</f>
        <v>20190303171015397</v>
      </c>
      <c r="B1916" t="str">
        <f>"1551604215382529"</f>
        <v>1551604215382529</v>
      </c>
      <c r="C1916" t="s">
        <v>40</v>
      </c>
      <c r="D1916">
        <v>4.6863229999999998</v>
      </c>
      <c r="E1916">
        <v>0.44689889999999999</v>
      </c>
      <c r="F1916" t="s">
        <v>61</v>
      </c>
      <c r="G1916">
        <v>-512.82529999999997</v>
      </c>
      <c r="H1916">
        <v>0.40575480000000003</v>
      </c>
      <c r="I1916">
        <v>273.61180000000002</v>
      </c>
      <c r="J1916">
        <v>-397.01229999999998</v>
      </c>
      <c r="K1916">
        <v>1.1204400000000001</v>
      </c>
      <c r="L1916">
        <v>284.13679999999999</v>
      </c>
      <c r="M1916">
        <v>-0.99960689999999996</v>
      </c>
      <c r="N1916">
        <v>-1.4735679999999999E-2</v>
      </c>
      <c r="O1916">
        <v>2.38563E-2</v>
      </c>
      <c r="P1916">
        <v>-0.97659830000000003</v>
      </c>
      <c r="Q1916">
        <v>0.20607809999999999</v>
      </c>
      <c r="R1916">
        <v>6.1544649999999999E-2</v>
      </c>
      <c r="S1916">
        <v>-3.09375</v>
      </c>
      <c r="T1916">
        <v>-1.9045349999999999E-2</v>
      </c>
      <c r="U1916">
        <v>-0.28033449999999999</v>
      </c>
      <c r="V1916">
        <v>3.8478579999999998E-2</v>
      </c>
      <c r="W1916">
        <v>0.22042049999999999</v>
      </c>
      <c r="X1916">
        <v>0.97464569999999995</v>
      </c>
      <c r="Y1916">
        <v>-0.11397110000000001</v>
      </c>
      <c r="Z1916">
        <v>-9.8741160000000009E-4</v>
      </c>
      <c r="AA1916">
        <v>0.99348360000000002</v>
      </c>
      <c r="AB1916">
        <v>47</v>
      </c>
      <c r="AC1916">
        <v>-115.813</v>
      </c>
      <c r="AD1916">
        <v>-0.71468519999999902</v>
      </c>
      <c r="AE1916">
        <v>-10.524999999999901</v>
      </c>
      <c r="AF1916">
        <v>-13.2846715412966</v>
      </c>
      <c r="AG1916">
        <v>-0.71468519999999902</v>
      </c>
      <c r="AH1916">
        <v>115.524554117478</v>
      </c>
      <c r="AI1916">
        <v>90.352131585247605</v>
      </c>
      <c r="AJ1916">
        <v>96.559877164716397</v>
      </c>
      <c r="AK1916">
        <v>116.288072806016</v>
      </c>
      <c r="AL1916">
        <v>77.266268074310602</v>
      </c>
      <c r="AM1916">
        <v>87.739162153839501</v>
      </c>
      <c r="AN1916">
        <v>1.0000000192337699</v>
      </c>
    </row>
    <row r="1917" spans="1:40" x14ac:dyDescent="0.25">
      <c r="A1917" t="str">
        <f>"20190303171015409"</f>
        <v>20190303171015409</v>
      </c>
      <c r="B1917" t="str">
        <f>"1551604215402049"</f>
        <v>1551604215402049</v>
      </c>
      <c r="C1917" t="s">
        <v>40</v>
      </c>
      <c r="D1917">
        <v>4.6973399999999996</v>
      </c>
      <c r="E1917">
        <v>0.44754919999999998</v>
      </c>
      <c r="F1917" t="s">
        <v>61</v>
      </c>
      <c r="G1917">
        <v>-512.82529999999997</v>
      </c>
      <c r="H1917">
        <v>0.36548039999999998</v>
      </c>
      <c r="I1917">
        <v>273.74509999999998</v>
      </c>
      <c r="J1917">
        <v>-397.28980000000001</v>
      </c>
      <c r="K1917">
        <v>1.120436</v>
      </c>
      <c r="L1917">
        <v>284.14359999999999</v>
      </c>
      <c r="M1917">
        <v>-0.99960179999999998</v>
      </c>
      <c r="N1917">
        <v>-1.4733909999999999E-2</v>
      </c>
      <c r="O1917">
        <v>2.4069980000000001E-2</v>
      </c>
      <c r="P1917">
        <v>-0.9766802</v>
      </c>
      <c r="Q1917">
        <v>0.2057406</v>
      </c>
      <c r="R1917">
        <v>6.1373329999999997E-2</v>
      </c>
      <c r="S1917">
        <v>-3.093658</v>
      </c>
      <c r="T1917">
        <v>-2.0164729999999999E-2</v>
      </c>
      <c r="U1917">
        <v>-0.2775879</v>
      </c>
      <c r="V1917">
        <v>3.8095660000000003E-2</v>
      </c>
      <c r="W1917">
        <v>0.2200828</v>
      </c>
      <c r="X1917">
        <v>0.97473699999999996</v>
      </c>
      <c r="Y1917">
        <v>-0.1133107</v>
      </c>
      <c r="Z1917">
        <v>-1.0077599999999999E-3</v>
      </c>
      <c r="AA1917">
        <v>0.99355910000000003</v>
      </c>
      <c r="AB1917">
        <v>47</v>
      </c>
      <c r="AC1917">
        <v>-115.535499999999</v>
      </c>
      <c r="AD1917">
        <v>-0.75495559999999995</v>
      </c>
      <c r="AE1917">
        <v>-10.3985</v>
      </c>
      <c r="AF1917">
        <v>-13.176167355740199</v>
      </c>
      <c r="AG1917">
        <v>-0.75495559999999995</v>
      </c>
      <c r="AH1917">
        <v>115.24681918741</v>
      </c>
      <c r="AI1917">
        <v>90.372897050080795</v>
      </c>
      <c r="AJ1917">
        <v>96.522305682341297</v>
      </c>
      <c r="AK1917">
        <v>116.00004602137101</v>
      </c>
      <c r="AL1917">
        <v>77.286103313466398</v>
      </c>
      <c r="AM1917">
        <v>87.761847351891802</v>
      </c>
      <c r="AN1917">
        <v>0.99999996866783702</v>
      </c>
    </row>
    <row r="1918" spans="1:40" x14ac:dyDescent="0.25">
      <c r="A1918" t="str">
        <f>"20190303171015423"</f>
        <v>20190303171015423</v>
      </c>
      <c r="B1918" t="str">
        <f>"1551604215412784"</f>
        <v>1551604215412784</v>
      </c>
      <c r="C1918" t="s">
        <v>40</v>
      </c>
      <c r="D1918">
        <v>4.7234109999999996</v>
      </c>
      <c r="E1918">
        <v>0.44782149999999998</v>
      </c>
      <c r="F1918" t="s">
        <v>61</v>
      </c>
      <c r="G1918">
        <v>-512.82529999999997</v>
      </c>
      <c r="H1918">
        <v>0.29310269999999999</v>
      </c>
      <c r="I1918">
        <v>273.94819999999999</v>
      </c>
      <c r="J1918">
        <v>-397.56659999999999</v>
      </c>
      <c r="K1918">
        <v>1.1204350000000001</v>
      </c>
      <c r="L1918">
        <v>284.15039999999999</v>
      </c>
      <c r="M1918">
        <v>-0.9995967</v>
      </c>
      <c r="N1918">
        <v>-1.4732139999999999E-2</v>
      </c>
      <c r="O1918">
        <v>2.4282939999999999E-2</v>
      </c>
      <c r="P1918">
        <v>-0.97676229999999997</v>
      </c>
      <c r="Q1918">
        <v>0.20536660000000001</v>
      </c>
      <c r="R1918">
        <v>6.1321069999999998E-2</v>
      </c>
      <c r="S1918">
        <v>-3.093445</v>
      </c>
      <c r="T1918">
        <v>-2.2149559999999999E-2</v>
      </c>
      <c r="U1918">
        <v>-0.27297969999999999</v>
      </c>
      <c r="V1918">
        <v>3.7832449999999997E-2</v>
      </c>
      <c r="W1918">
        <v>0.21970880000000001</v>
      </c>
      <c r="X1918">
        <v>0.97483160000000002</v>
      </c>
      <c r="Y1918">
        <v>-0.112059199999999</v>
      </c>
      <c r="Z1918">
        <v>-1.044075E-3</v>
      </c>
      <c r="AA1918">
        <v>0.99370099999999995</v>
      </c>
      <c r="AB1918">
        <v>47</v>
      </c>
      <c r="AC1918">
        <v>-115.258699999999</v>
      </c>
      <c r="AD1918">
        <v>-0.82733230000000002</v>
      </c>
      <c r="AE1918">
        <v>-10.202199999999999</v>
      </c>
      <c r="AF1918">
        <v>-12.997649998932999</v>
      </c>
      <c r="AG1918">
        <v>-0.82733230000000002</v>
      </c>
      <c r="AH1918">
        <v>114.971061804865</v>
      </c>
      <c r="AI1918">
        <v>90.409683971801698</v>
      </c>
      <c r="AJ1918">
        <v>96.449988026586595</v>
      </c>
      <c r="AK1918">
        <v>115.7063889194</v>
      </c>
      <c r="AL1918">
        <v>77.308069351969607</v>
      </c>
      <c r="AM1918">
        <v>87.777511081154003</v>
      </c>
      <c r="AN1918">
        <v>0.99999994971450001</v>
      </c>
    </row>
    <row r="1919" spans="1:40" x14ac:dyDescent="0.25">
      <c r="A1919" t="str">
        <f>"20190303171015440"</f>
        <v>20190303171015440</v>
      </c>
      <c r="B1919" t="str">
        <f>"1551604215432308"</f>
        <v>1551604215432308</v>
      </c>
      <c r="C1919" t="s">
        <v>40</v>
      </c>
      <c r="D1919">
        <v>4.6912989999999999</v>
      </c>
      <c r="E1919">
        <v>0.4482989</v>
      </c>
      <c r="F1919" t="s">
        <v>61</v>
      </c>
      <c r="G1919">
        <v>-512.82529999999997</v>
      </c>
      <c r="H1919">
        <v>0.2322303</v>
      </c>
      <c r="I1919">
        <v>274.05439999999999</v>
      </c>
      <c r="J1919">
        <v>-397.91340000000002</v>
      </c>
      <c r="K1919">
        <v>1.1204369999999999</v>
      </c>
      <c r="L1919">
        <v>284.15899999999999</v>
      </c>
      <c r="M1919">
        <v>-0.99959019999999998</v>
      </c>
      <c r="N1919">
        <v>-1.4729910000000001E-2</v>
      </c>
      <c r="O1919">
        <v>2.4549850000000002E-2</v>
      </c>
      <c r="P1919">
        <v>-0.97692769999999995</v>
      </c>
      <c r="Q1919">
        <v>0.2046712</v>
      </c>
      <c r="R1919">
        <v>6.1011019999999999E-2</v>
      </c>
      <c r="S1919">
        <v>-3.0934140000000001</v>
      </c>
      <c r="T1919">
        <v>-2.3836260000000001E-2</v>
      </c>
      <c r="U1919">
        <v>-0.27096559999999997</v>
      </c>
      <c r="V1919">
        <v>3.7256329999999997E-2</v>
      </c>
      <c r="W1919">
        <v>0.21901470000000001</v>
      </c>
      <c r="X1919">
        <v>0.97501000000000004</v>
      </c>
      <c r="Y1919">
        <v>-0.1116825</v>
      </c>
      <c r="Z1919">
        <v>-1.0816039999999999E-3</v>
      </c>
      <c r="AA1919">
        <v>0.99374340000000005</v>
      </c>
      <c r="AB1919">
        <v>47</v>
      </c>
      <c r="AC1919">
        <v>-114.91189999999899</v>
      </c>
      <c r="AD1919">
        <v>-0.88820670000000002</v>
      </c>
      <c r="AE1919">
        <v>-10.1046</v>
      </c>
      <c r="AF1919">
        <v>-12.922163452345499</v>
      </c>
      <c r="AG1919">
        <v>-0.88820670000000002</v>
      </c>
      <c r="AH1919">
        <v>114.622370035261</v>
      </c>
      <c r="AI1919">
        <v>90.441180438076401</v>
      </c>
      <c r="AJ1919">
        <v>96.432186544658407</v>
      </c>
      <c r="AK1919">
        <v>115.351891757055</v>
      </c>
      <c r="AL1919">
        <v>77.348831640265601</v>
      </c>
      <c r="AM1919">
        <v>87.811722489885994</v>
      </c>
      <c r="AN1919">
        <v>0.99999998652057898</v>
      </c>
    </row>
    <row r="1920" spans="1:40" x14ac:dyDescent="0.25">
      <c r="A1920" t="str">
        <f>"20190303171015454"</f>
        <v>20190303171015454</v>
      </c>
      <c r="B1920" t="str">
        <f>"1551604215442065"</f>
        <v>1551604215442065</v>
      </c>
      <c r="C1920" t="s">
        <v>40</v>
      </c>
      <c r="D1920">
        <v>4.6795390000000001</v>
      </c>
      <c r="E1920">
        <v>0.44850499999999999</v>
      </c>
      <c r="F1920" t="s">
        <v>61</v>
      </c>
      <c r="G1920">
        <v>-512.8252</v>
      </c>
      <c r="H1920">
        <v>0.14159579999999999</v>
      </c>
      <c r="I1920">
        <v>274.20460000000003</v>
      </c>
      <c r="J1920">
        <v>-398.21179999999998</v>
      </c>
      <c r="K1920">
        <v>1.1204369999999999</v>
      </c>
      <c r="L1920">
        <v>284.16649999999998</v>
      </c>
      <c r="M1920">
        <v>-0.99958440000000004</v>
      </c>
      <c r="N1920">
        <v>-1.4728E-2</v>
      </c>
      <c r="O1920">
        <v>2.4779800000000001E-2</v>
      </c>
      <c r="P1920">
        <v>-0.97697319999999999</v>
      </c>
      <c r="Q1920">
        <v>0.20442940000000001</v>
      </c>
      <c r="R1920">
        <v>6.109266E-2</v>
      </c>
      <c r="S1920">
        <v>-3.0931090000000001</v>
      </c>
      <c r="T1920">
        <v>-2.6345489999999999E-2</v>
      </c>
      <c r="U1920">
        <v>-0.26794430000000002</v>
      </c>
      <c r="V1920">
        <v>3.7111489999999997E-2</v>
      </c>
      <c r="W1920">
        <v>0.21877179999999999</v>
      </c>
      <c r="X1920">
        <v>0.97507010000000005</v>
      </c>
      <c r="Y1920">
        <v>-0.1109551</v>
      </c>
      <c r="Z1920">
        <v>-1.136796E-3</v>
      </c>
      <c r="AA1920">
        <v>0.99382479999999995</v>
      </c>
      <c r="AB1920">
        <v>47</v>
      </c>
      <c r="AC1920">
        <v>-114.6134</v>
      </c>
      <c r="AD1920">
        <v>-0.97884119999999997</v>
      </c>
      <c r="AE1920">
        <v>-9.9618999999999502</v>
      </c>
      <c r="AF1920">
        <v>-12.798319201218</v>
      </c>
      <c r="AG1920">
        <v>-0.97884119999999997</v>
      </c>
      <c r="AH1920">
        <v>114.323041792388</v>
      </c>
      <c r="AI1920">
        <v>90.4875129216624</v>
      </c>
      <c r="AJ1920">
        <v>96.387594067864001</v>
      </c>
      <c r="AK1920">
        <v>115.041353387098</v>
      </c>
      <c r="AL1920">
        <v>77.363095259332695</v>
      </c>
      <c r="AM1920">
        <v>87.820355774254594</v>
      </c>
      <c r="AN1920">
        <v>1.00000003153963</v>
      </c>
    </row>
    <row r="1921" spans="1:40" x14ac:dyDescent="0.25">
      <c r="A1921" t="str">
        <f>"20190303171015474"</f>
        <v>20190303171015474</v>
      </c>
      <c r="B1921" t="str">
        <f>"1551604215462561"</f>
        <v>1551604215462561</v>
      </c>
      <c r="C1921" t="s">
        <v>40</v>
      </c>
      <c r="D1921">
        <v>4.7044920000000001</v>
      </c>
      <c r="E1921">
        <v>0.44886470000000001</v>
      </c>
      <c r="F1921" t="s">
        <v>61</v>
      </c>
      <c r="G1921">
        <v>-512.8252</v>
      </c>
      <c r="H1921">
        <v>0.11226899999999999</v>
      </c>
      <c r="I1921">
        <v>274.30549999999999</v>
      </c>
      <c r="J1921">
        <v>-398.61739999999998</v>
      </c>
      <c r="K1921">
        <v>1.1204400000000001</v>
      </c>
      <c r="L1921">
        <v>284.17680000000001</v>
      </c>
      <c r="M1921">
        <v>-0.99957669999999998</v>
      </c>
      <c r="N1921">
        <v>-1.472538E-2</v>
      </c>
      <c r="O1921">
        <v>2.5091769999999999E-2</v>
      </c>
      <c r="P1921">
        <v>-0.97699199999999997</v>
      </c>
      <c r="Q1921">
        <v>0.2044301</v>
      </c>
      <c r="R1921">
        <v>6.0786519999999997E-2</v>
      </c>
      <c r="S1921">
        <v>-3.0930179999999998</v>
      </c>
      <c r="T1921">
        <v>-2.720475E-2</v>
      </c>
      <c r="U1921">
        <v>-0.2661133</v>
      </c>
      <c r="V1921">
        <v>3.6499520000000001E-2</v>
      </c>
      <c r="W1921">
        <v>0.2187714</v>
      </c>
      <c r="X1921">
        <v>0.97509319999999999</v>
      </c>
      <c r="Y1921">
        <v>-0.1106834</v>
      </c>
      <c r="Z1921">
        <v>-1.1539370000000001E-3</v>
      </c>
      <c r="AA1921">
        <v>0.99385509999999999</v>
      </c>
      <c r="AB1921">
        <v>47</v>
      </c>
      <c r="AC1921">
        <v>-114.20780000000001</v>
      </c>
      <c r="AD1921">
        <v>-1.0081709999999999</v>
      </c>
      <c r="AE1921">
        <v>-9.8713000000000193</v>
      </c>
      <c r="AF1921">
        <v>-12.7331930638328</v>
      </c>
      <c r="AG1921">
        <v>-1.0081709999999999</v>
      </c>
      <c r="AH1921">
        <v>113.915307826575</v>
      </c>
      <c r="AI1921">
        <v>90.503926575366506</v>
      </c>
      <c r="AJ1921">
        <v>96.377916919221803</v>
      </c>
      <c r="AK1921">
        <v>114.62917591778</v>
      </c>
      <c r="AL1921">
        <v>77.363117629169196</v>
      </c>
      <c r="AM1921">
        <v>87.856315120009995</v>
      </c>
      <c r="AN1921">
        <v>0.99999994455221297</v>
      </c>
    </row>
    <row r="1922" spans="1:40" x14ac:dyDescent="0.25">
      <c r="A1922" t="str">
        <f>"20190303171015496"</f>
        <v>20190303171015496</v>
      </c>
      <c r="B1922" t="str">
        <f>"1551604215482082"</f>
        <v>1551604215482082</v>
      </c>
      <c r="C1922" t="s">
        <v>40</v>
      </c>
      <c r="D1922">
        <v>4.7054349999999996</v>
      </c>
      <c r="E1922">
        <v>0.44919009999999998</v>
      </c>
      <c r="F1922" t="s">
        <v>61</v>
      </c>
      <c r="G1922">
        <v>-512.8252</v>
      </c>
      <c r="H1922">
        <v>9.0938569999999996E-2</v>
      </c>
      <c r="I1922">
        <v>274.41230000000002</v>
      </c>
      <c r="J1922">
        <v>-399.08229999999998</v>
      </c>
      <c r="K1922">
        <v>1.120444</v>
      </c>
      <c r="L1922">
        <v>284.18880000000001</v>
      </c>
      <c r="M1922">
        <v>-0.99956769999999995</v>
      </c>
      <c r="N1922">
        <v>-1.4722519999999999E-2</v>
      </c>
      <c r="O1922">
        <v>2.5449920000000001E-2</v>
      </c>
      <c r="P1922">
        <v>-0.97703580000000001</v>
      </c>
      <c r="Q1922">
        <v>0.20428070000000001</v>
      </c>
      <c r="R1922">
        <v>6.0584909999999999E-2</v>
      </c>
      <c r="S1922">
        <v>-3.0928960000000001</v>
      </c>
      <c r="T1922">
        <v>-2.7878050000000001E-2</v>
      </c>
      <c r="U1922">
        <v>-0.26443480000000003</v>
      </c>
      <c r="V1922">
        <v>3.5945770000000002E-2</v>
      </c>
      <c r="W1922">
        <v>0.2186206</v>
      </c>
      <c r="X1922">
        <v>0.97514769999999995</v>
      </c>
      <c r="Y1922">
        <v>-0.1105071</v>
      </c>
      <c r="Z1922">
        <v>-1.1672130000000001E-3</v>
      </c>
      <c r="AA1922">
        <v>0.9938747</v>
      </c>
      <c r="AB1922">
        <v>47</v>
      </c>
      <c r="AC1922">
        <v>-113.74290000000001</v>
      </c>
      <c r="AD1922">
        <v>-1.0295054299999999</v>
      </c>
      <c r="AE1922">
        <v>-9.7765000000000004</v>
      </c>
      <c r="AF1922">
        <v>-12.667363967849299</v>
      </c>
      <c r="AG1922">
        <v>-1.0295054299999999</v>
      </c>
      <c r="AH1922">
        <v>113.447986489203</v>
      </c>
      <c r="AI1922">
        <v>90.516716303544598</v>
      </c>
      <c r="AJ1922">
        <v>96.371136542727797</v>
      </c>
      <c r="AK1922">
        <v>114.15764376413399</v>
      </c>
      <c r="AL1922">
        <v>77.371973540895198</v>
      </c>
      <c r="AM1922">
        <v>87.8889261195757</v>
      </c>
      <c r="AN1922">
        <v>1.00000005097027</v>
      </c>
    </row>
    <row r="1923" spans="1:40" x14ac:dyDescent="0.25">
      <c r="A1923" t="str">
        <f>"20190303171015509"</f>
        <v>20190303171015509</v>
      </c>
      <c r="B1923" t="str">
        <f>"1551604215502577"</f>
        <v>1551604215502577</v>
      </c>
      <c r="C1923" t="s">
        <v>40</v>
      </c>
      <c r="D1923">
        <v>4.7159950000000004</v>
      </c>
      <c r="E1923">
        <v>0.44946999999999998</v>
      </c>
      <c r="F1923" t="s">
        <v>61</v>
      </c>
      <c r="G1923">
        <v>-512.8252</v>
      </c>
      <c r="H1923">
        <v>3.7377889999999997E-2</v>
      </c>
      <c r="I1923">
        <v>274.54140000000001</v>
      </c>
      <c r="J1923">
        <v>-399.35250000000002</v>
      </c>
      <c r="K1923">
        <v>1.1204430000000001</v>
      </c>
      <c r="L1923">
        <v>284.19580000000002</v>
      </c>
      <c r="M1923">
        <v>-0.99956239999999996</v>
      </c>
      <c r="N1923">
        <v>-1.472097E-2</v>
      </c>
      <c r="O1923">
        <v>2.565829E-2</v>
      </c>
      <c r="P1923">
        <v>-0.97705419999999998</v>
      </c>
      <c r="Q1923">
        <v>0.204178</v>
      </c>
      <c r="R1923">
        <v>6.0633939999999997E-2</v>
      </c>
      <c r="S1923">
        <v>-3.0928960000000001</v>
      </c>
      <c r="T1923">
        <v>-2.9448510000000001E-2</v>
      </c>
      <c r="U1923">
        <v>-0.26232909999999998</v>
      </c>
      <c r="V1923">
        <v>3.5789979999999999E-2</v>
      </c>
      <c r="W1923">
        <v>0.21851680000000001</v>
      </c>
      <c r="X1923">
        <v>0.97517659999999995</v>
      </c>
      <c r="Y1923">
        <v>-0.11004170000000001</v>
      </c>
      <c r="Z1923">
        <v>-1.2013359999999999E-3</v>
      </c>
      <c r="AA1923">
        <v>0.99392619999999998</v>
      </c>
      <c r="AB1923">
        <v>47</v>
      </c>
      <c r="AC1923">
        <v>-113.47269999999899</v>
      </c>
      <c r="AD1923">
        <v>-1.0830651099999999</v>
      </c>
      <c r="AE1923">
        <v>-9.6544000000000096</v>
      </c>
      <c r="AF1923">
        <v>-12.561915524637101</v>
      </c>
      <c r="AG1923">
        <v>-1.0830651099999999</v>
      </c>
      <c r="AH1923">
        <v>113.17735471899501</v>
      </c>
      <c r="AI1923">
        <v>90.544936332961697</v>
      </c>
      <c r="AJ1923">
        <v>96.333517616777996</v>
      </c>
      <c r="AK1923">
        <v>113.87751478176</v>
      </c>
      <c r="AL1923">
        <v>77.378067007365701</v>
      </c>
      <c r="AM1923">
        <v>87.898129585973706</v>
      </c>
      <c r="AN1923">
        <v>0.99999995786909901</v>
      </c>
    </row>
    <row r="1924" spans="1:40" x14ac:dyDescent="0.25">
      <c r="A1924" t="str">
        <f>"20190303171015530"</f>
        <v>20190303171015530</v>
      </c>
      <c r="B1924" t="str">
        <f>"1551604215522100"</f>
        <v>1551604215522100</v>
      </c>
      <c r="C1924" t="s">
        <v>40</v>
      </c>
      <c r="D1924">
        <v>4.6987880000000004</v>
      </c>
      <c r="E1924">
        <v>0.44962489999999999</v>
      </c>
      <c r="F1924" t="s">
        <v>61</v>
      </c>
      <c r="G1924">
        <v>-512.82510000000002</v>
      </c>
      <c r="H1924">
        <v>2.3471769999999999E-2</v>
      </c>
      <c r="I1924">
        <v>274.66090000000003</v>
      </c>
      <c r="J1924">
        <v>-399.7962</v>
      </c>
      <c r="K1924">
        <v>1.1204430000000001</v>
      </c>
      <c r="L1924">
        <v>284.20749999999998</v>
      </c>
      <c r="M1924">
        <v>-0.99955360000000004</v>
      </c>
      <c r="N1924">
        <v>-1.4718200000000001E-2</v>
      </c>
      <c r="O1924">
        <v>2.6000349999999998E-2</v>
      </c>
      <c r="P1924">
        <v>-0.97708629999999996</v>
      </c>
      <c r="Q1924">
        <v>0.20394580000000001</v>
      </c>
      <c r="R1924">
        <v>6.0897760000000002E-2</v>
      </c>
      <c r="S1924">
        <v>-3.0928650000000002</v>
      </c>
      <c r="T1924">
        <v>-2.989733E-2</v>
      </c>
      <c r="U1924">
        <v>-0.2598877</v>
      </c>
      <c r="V1924">
        <v>3.5717619999999999E-2</v>
      </c>
      <c r="W1924">
        <v>0.2182828</v>
      </c>
      <c r="X1924">
        <v>0.97523170000000003</v>
      </c>
      <c r="Y1924">
        <v>-0.1096034</v>
      </c>
      <c r="Z1924">
        <v>-1.2058660000000001E-3</v>
      </c>
      <c r="AA1924">
        <v>0.99397469999999999</v>
      </c>
      <c r="AB1924">
        <v>47</v>
      </c>
      <c r="AC1924">
        <v>-113.02889999999999</v>
      </c>
      <c r="AD1924">
        <v>-1.0969712300000001</v>
      </c>
      <c r="AE1924">
        <v>-9.54659999999995</v>
      </c>
      <c r="AF1924">
        <v>-12.481313868984</v>
      </c>
      <c r="AG1924">
        <v>-1.0969712300000001</v>
      </c>
      <c r="AH1924">
        <v>112.73189547195101</v>
      </c>
      <c r="AI1924">
        <v>90.554130259219804</v>
      </c>
      <c r="AJ1924">
        <v>96.317873505707496</v>
      </c>
      <c r="AK1924">
        <v>113.426041094955</v>
      </c>
      <c r="AL1924">
        <v>77.391806411544295</v>
      </c>
      <c r="AM1924">
        <v>87.902493745564897</v>
      </c>
      <c r="AN1924">
        <v>0.99999999891959701</v>
      </c>
    </row>
    <row r="1925" spans="1:40" x14ac:dyDescent="0.25">
      <c r="A1925" t="str">
        <f>"20190303171015552"</f>
        <v>20190303171015552</v>
      </c>
      <c r="B1925" t="str">
        <f>"1551604215542592"</f>
        <v>1551604215542592</v>
      </c>
      <c r="C1925" t="s">
        <v>40</v>
      </c>
      <c r="D1925">
        <v>4.7220579999999996</v>
      </c>
      <c r="E1925">
        <v>0.4498162</v>
      </c>
      <c r="F1925" t="s">
        <v>61</v>
      </c>
      <c r="G1925">
        <v>-512.82510000000002</v>
      </c>
      <c r="H1925">
        <v>1.094294E-2</v>
      </c>
      <c r="I1925">
        <v>274.78649999999999</v>
      </c>
      <c r="J1925">
        <v>-400.23149999999998</v>
      </c>
      <c r="K1925">
        <v>1.1204459999999901</v>
      </c>
      <c r="L1925">
        <v>284.21910000000003</v>
      </c>
      <c r="M1925">
        <v>-0.99954500000000002</v>
      </c>
      <c r="N1925">
        <v>-1.471533E-2</v>
      </c>
      <c r="O1925">
        <v>2.6336100000000001E-2</v>
      </c>
      <c r="P1925">
        <v>-0.97704579999999996</v>
      </c>
      <c r="Q1925">
        <v>0.20402010000000001</v>
      </c>
      <c r="R1925">
        <v>6.1300340000000002E-2</v>
      </c>
      <c r="S1925">
        <v>-3.0927730000000002</v>
      </c>
      <c r="T1925">
        <v>-3.0356649999999999E-2</v>
      </c>
      <c r="U1925">
        <v>-0.25778200000000001</v>
      </c>
      <c r="V1925">
        <v>3.5792450000000003E-2</v>
      </c>
      <c r="W1925">
        <v>0.21835399999999999</v>
      </c>
      <c r="X1925">
        <v>0.97521310000000005</v>
      </c>
      <c r="Y1925">
        <v>-0.1092675</v>
      </c>
      <c r="Z1925">
        <v>-1.212011E-3</v>
      </c>
      <c r="AA1925">
        <v>0.9940116</v>
      </c>
      <c r="AB1925">
        <v>46</v>
      </c>
      <c r="AC1925">
        <v>-112.5936</v>
      </c>
      <c r="AD1925">
        <v>-1.10950305999999</v>
      </c>
      <c r="AE1925">
        <v>-9.4326000000000292</v>
      </c>
      <c r="AF1925">
        <v>-12.393729384740499</v>
      </c>
      <c r="AG1925">
        <v>-1.10950305999999</v>
      </c>
      <c r="AH1925">
        <v>112.295264983126</v>
      </c>
      <c r="AI1925">
        <v>90.562660790297997</v>
      </c>
      <c r="AJ1925">
        <v>96.298092911423197</v>
      </c>
      <c r="AK1925">
        <v>112.982574155189</v>
      </c>
      <c r="AL1925">
        <v>77.387627147539703</v>
      </c>
      <c r="AM1925">
        <v>87.898063261242697</v>
      </c>
      <c r="AN1925">
        <v>1.0000000796023001</v>
      </c>
    </row>
    <row r="1926" spans="1:40" x14ac:dyDescent="0.25">
      <c r="A1926" t="str">
        <f>"20190303171015574"</f>
        <v>20190303171015574</v>
      </c>
      <c r="B1926" t="str">
        <f>"1551604215562113"</f>
        <v>1551604215562113</v>
      </c>
      <c r="C1926" t="s">
        <v>40</v>
      </c>
      <c r="D1926">
        <v>4.7155079999999998</v>
      </c>
      <c r="E1926">
        <v>0.44995420000000003</v>
      </c>
      <c r="F1926" t="s">
        <v>61</v>
      </c>
      <c r="G1926">
        <v>-512.8252</v>
      </c>
      <c r="H1926">
        <v>3.0784010000000001E-2</v>
      </c>
      <c r="I1926">
        <v>274.94299999999998</v>
      </c>
      <c r="J1926">
        <v>-400.702</v>
      </c>
      <c r="K1926">
        <v>1.1204459999999901</v>
      </c>
      <c r="L1926">
        <v>284.23169999999999</v>
      </c>
      <c r="M1926">
        <v>-0.99953530000000002</v>
      </c>
      <c r="N1926">
        <v>-1.4712100000000001E-2</v>
      </c>
      <c r="O1926">
        <v>2.6699029999999999E-2</v>
      </c>
      <c r="P1926">
        <v>-0.97695359999999998</v>
      </c>
      <c r="Q1926">
        <v>0.20431460000000001</v>
      </c>
      <c r="R1926">
        <v>6.178401E-2</v>
      </c>
      <c r="S1926">
        <v>-3.0926819999999999</v>
      </c>
      <c r="T1926">
        <v>-2.992821E-2</v>
      </c>
      <c r="U1926">
        <v>-0.2547913</v>
      </c>
      <c r="V1926">
        <v>3.5923240000000002E-2</v>
      </c>
      <c r="W1926">
        <v>0.2186439</v>
      </c>
      <c r="X1926">
        <v>0.97514330000000005</v>
      </c>
      <c r="Y1926">
        <v>-0.10867640000000001</v>
      </c>
      <c r="Z1926">
        <v>-1.191693E-3</v>
      </c>
      <c r="AA1926">
        <v>0.99407650000000003</v>
      </c>
      <c r="AB1926">
        <v>46</v>
      </c>
      <c r="AC1926">
        <v>-112.1232</v>
      </c>
      <c r="AD1926">
        <v>-1.08966198999999</v>
      </c>
      <c r="AE1926">
        <v>-9.2887000000000004</v>
      </c>
      <c r="AF1926">
        <v>-12.2781408394466</v>
      </c>
      <c r="AG1926">
        <v>-1.08966198999999</v>
      </c>
      <c r="AH1926">
        <v>111.824705638105</v>
      </c>
      <c r="AI1926">
        <v>90.5549589986651</v>
      </c>
      <c r="AJ1926">
        <v>96.265868838237196</v>
      </c>
      <c r="AK1926">
        <v>112.502021745276</v>
      </c>
      <c r="AL1926">
        <v>77.370605373085198</v>
      </c>
      <c r="AM1926">
        <v>87.890238586180303</v>
      </c>
      <c r="AN1926">
        <v>1.00000004485709</v>
      </c>
    </row>
    <row r="1927" spans="1:40" x14ac:dyDescent="0.25">
      <c r="A1927" t="str">
        <f>"20190303171015597"</f>
        <v>20190303171015597</v>
      </c>
      <c r="B1927" t="str">
        <f>"1551604215582609"</f>
        <v>1551604215582609</v>
      </c>
      <c r="C1927" t="s">
        <v>40</v>
      </c>
      <c r="D1927">
        <v>4.7393809999999998</v>
      </c>
      <c r="E1927">
        <v>0.45004509999999998</v>
      </c>
      <c r="F1927" t="s">
        <v>61</v>
      </c>
      <c r="G1927">
        <v>-512.8252</v>
      </c>
      <c r="H1927">
        <v>6.1974109999999999E-2</v>
      </c>
      <c r="I1927">
        <v>275.089</v>
      </c>
      <c r="J1927">
        <v>-401.16309999999999</v>
      </c>
      <c r="K1927">
        <v>1.1204499999999999</v>
      </c>
      <c r="L1927">
        <v>284.24430000000001</v>
      </c>
      <c r="M1927">
        <v>-0.99952569999999996</v>
      </c>
      <c r="N1927">
        <v>-1.4709109999999999E-2</v>
      </c>
      <c r="O1927">
        <v>2.7054740000000001E-2</v>
      </c>
      <c r="P1927">
        <v>-0.9768251</v>
      </c>
      <c r="Q1927">
        <v>0.20483199999999999</v>
      </c>
      <c r="R1927">
        <v>6.2103869999999999E-2</v>
      </c>
      <c r="S1927">
        <v>-3.0928650000000002</v>
      </c>
      <c r="T1927">
        <v>-2.9195189999999999E-2</v>
      </c>
      <c r="U1927">
        <v>-0.25219730000000001</v>
      </c>
      <c r="V1927">
        <v>3.5898729999999997E-2</v>
      </c>
      <c r="W1927">
        <v>0.21915709999999999</v>
      </c>
      <c r="X1927">
        <v>0.97502889999999998</v>
      </c>
      <c r="Y1927">
        <v>-0.1081976</v>
      </c>
      <c r="Z1927">
        <v>-1.164719E-3</v>
      </c>
      <c r="AA1927">
        <v>0.99412869999999998</v>
      </c>
      <c r="AB1927">
        <v>46</v>
      </c>
      <c r="AC1927">
        <v>-111.6621</v>
      </c>
      <c r="AD1927">
        <v>-1.05847589</v>
      </c>
      <c r="AE1927">
        <v>-9.1553000000000093</v>
      </c>
      <c r="AF1927">
        <v>-12.172177593152201</v>
      </c>
      <c r="AG1927">
        <v>-1.05847589</v>
      </c>
      <c r="AH1927">
        <v>111.363556627324</v>
      </c>
      <c r="AI1927">
        <v>90.541338298266197</v>
      </c>
      <c r="AJ1927">
        <v>96.237739541336893</v>
      </c>
      <c r="AK1927">
        <v>112.03179916102501</v>
      </c>
      <c r="AL1927">
        <v>77.340469158184504</v>
      </c>
      <c r="AM1927">
        <v>87.8914296058703</v>
      </c>
      <c r="AN1927">
        <v>0.99999995456561497</v>
      </c>
    </row>
    <row r="1928" spans="1:40" x14ac:dyDescent="0.25">
      <c r="A1928" t="str">
        <f>"20190303171015619"</f>
        <v>20190303171015619</v>
      </c>
      <c r="B1928" t="str">
        <f>"1551604215612865"</f>
        <v>1551604215612865</v>
      </c>
      <c r="C1928" t="s">
        <v>40</v>
      </c>
      <c r="D1928">
        <v>4.7289789999999998</v>
      </c>
      <c r="E1928">
        <v>0.45014969999999999</v>
      </c>
      <c r="F1928" t="s">
        <v>61</v>
      </c>
      <c r="G1928">
        <v>-512.8252</v>
      </c>
      <c r="H1928">
        <v>0.1284691</v>
      </c>
      <c r="I1928">
        <v>275.19979999999998</v>
      </c>
      <c r="J1928">
        <v>-401.64010000000002</v>
      </c>
      <c r="K1928">
        <v>1.120458</v>
      </c>
      <c r="L1928">
        <v>284.25749999999999</v>
      </c>
      <c r="M1928">
        <v>-0.99951579999999995</v>
      </c>
      <c r="N1928">
        <v>-1.4706169999999999E-2</v>
      </c>
      <c r="O1928">
        <v>2.7422200000000001E-2</v>
      </c>
      <c r="P1928">
        <v>-0.97669289999999997</v>
      </c>
      <c r="Q1928">
        <v>0.20529330000000001</v>
      </c>
      <c r="R1928">
        <v>6.2654409999999994E-2</v>
      </c>
      <c r="S1928">
        <v>-3.0928650000000002</v>
      </c>
      <c r="T1928">
        <v>-2.747405E-2</v>
      </c>
      <c r="U1928">
        <v>-0.25051879999999999</v>
      </c>
      <c r="V1928">
        <v>3.6093220000000002E-2</v>
      </c>
      <c r="W1928">
        <v>0.2196139</v>
      </c>
      <c r="X1928">
        <v>0.97491899999999998</v>
      </c>
      <c r="Y1928">
        <v>-0.1080281</v>
      </c>
      <c r="Z1928">
        <v>-1.1154030000000001E-3</v>
      </c>
      <c r="AA1928">
        <v>0.99414720000000001</v>
      </c>
      <c r="AB1928">
        <v>46</v>
      </c>
      <c r="AC1928">
        <v>-111.185099999999</v>
      </c>
      <c r="AD1928">
        <v>-0.99198889999999995</v>
      </c>
      <c r="AE1928">
        <v>-9.0577000000000094</v>
      </c>
      <c r="AF1928">
        <v>-12.102605674742501</v>
      </c>
      <c r="AG1928">
        <v>-0.99198889999999995</v>
      </c>
      <c r="AH1928">
        <v>110.88610136823</v>
      </c>
      <c r="AI1928">
        <v>90.5095295755347</v>
      </c>
      <c r="AJ1928">
        <v>96.228862233994505</v>
      </c>
      <c r="AK1928">
        <v>111.549023226299</v>
      </c>
      <c r="AL1928">
        <v>77.313643768256298</v>
      </c>
      <c r="AM1928">
        <v>87.879777552390806</v>
      </c>
      <c r="AN1928">
        <v>1.0000000210820801</v>
      </c>
    </row>
    <row r="1929" spans="1:40" x14ac:dyDescent="0.25">
      <c r="A1929" t="str">
        <f>"20190303171015641"</f>
        <v>20190303171015641</v>
      </c>
      <c r="B1929" t="str">
        <f>"1551604215632388"</f>
        <v>1551604215632388</v>
      </c>
      <c r="C1929" t="s">
        <v>40</v>
      </c>
      <c r="D1929">
        <v>4.7276369999999996</v>
      </c>
      <c r="E1929">
        <v>0.45020850000000001</v>
      </c>
      <c r="F1929" t="s">
        <v>61</v>
      </c>
      <c r="G1929">
        <v>-512.8252</v>
      </c>
      <c r="H1929">
        <v>0.17811850000000001</v>
      </c>
      <c r="I1929">
        <v>275.34870000000001</v>
      </c>
      <c r="J1929">
        <v>-402.07659999999998</v>
      </c>
      <c r="K1929">
        <v>1.1204639999999999</v>
      </c>
      <c r="L1929">
        <v>284.2697</v>
      </c>
      <c r="M1929">
        <v>-0.99950649999999996</v>
      </c>
      <c r="N1929">
        <v>-1.470346E-2</v>
      </c>
      <c r="O1929">
        <v>2.7758959999999999E-2</v>
      </c>
      <c r="P1929">
        <v>-0.97653559999999995</v>
      </c>
      <c r="Q1929">
        <v>0.2058498</v>
      </c>
      <c r="R1929">
        <v>6.3277650000000005E-2</v>
      </c>
      <c r="S1929">
        <v>-3.093048</v>
      </c>
      <c r="T1929">
        <v>-2.6212570000000001E-2</v>
      </c>
      <c r="U1929">
        <v>-0.24783330000000001</v>
      </c>
      <c r="V1929">
        <v>3.6391439999999997E-2</v>
      </c>
      <c r="W1929">
        <v>0.22016559999999999</v>
      </c>
      <c r="X1929">
        <v>0.97478350000000002</v>
      </c>
      <c r="Y1929">
        <v>-0.10750129999999999</v>
      </c>
      <c r="Z1929">
        <v>-1.0739059999999999E-3</v>
      </c>
      <c r="AA1929">
        <v>0.99420430000000004</v>
      </c>
      <c r="AB1929">
        <v>46</v>
      </c>
      <c r="AC1929">
        <v>-110.7486</v>
      </c>
      <c r="AD1929">
        <v>-0.94234549999999995</v>
      </c>
      <c r="AE1929">
        <v>-8.9209999999999905</v>
      </c>
      <c r="AF1929">
        <v>-11.9912972626118</v>
      </c>
      <c r="AG1929">
        <v>-0.94234549999999995</v>
      </c>
      <c r="AH1929">
        <v>110.450303731833</v>
      </c>
      <c r="AI1929">
        <v>90.485971660984802</v>
      </c>
      <c r="AJ1929">
        <v>96.196182712572707</v>
      </c>
      <c r="AK1929">
        <v>111.103324970659</v>
      </c>
      <c r="AL1929">
        <v>77.281240986133</v>
      </c>
      <c r="AM1929">
        <v>87.861978535500896</v>
      </c>
      <c r="AN1929">
        <v>1.00000005010044</v>
      </c>
    </row>
    <row r="1930" spans="1:40" x14ac:dyDescent="0.25">
      <c r="A1930" t="str">
        <f>"20190303171015653"</f>
        <v>20190303171015653</v>
      </c>
      <c r="B1930" t="str">
        <f>"1551604215642145"</f>
        <v>1551604215642145</v>
      </c>
      <c r="C1930" t="s">
        <v>40</v>
      </c>
      <c r="D1930">
        <v>4.735608</v>
      </c>
      <c r="E1930">
        <v>0.45022519999999999</v>
      </c>
      <c r="F1930" t="s">
        <v>61</v>
      </c>
      <c r="G1930">
        <v>-511.95870000000002</v>
      </c>
      <c r="H1930">
        <v>0.26329029999999998</v>
      </c>
      <c r="I1930">
        <v>275.52940000000001</v>
      </c>
      <c r="J1930">
        <v>-402.34690000000001</v>
      </c>
      <c r="K1930">
        <v>1.120466</v>
      </c>
      <c r="L1930">
        <v>284.2774</v>
      </c>
      <c r="M1930">
        <v>-0.99950079999999997</v>
      </c>
      <c r="N1930">
        <v>-1.470173E-2</v>
      </c>
      <c r="O1930">
        <v>2.7967390000000002E-2</v>
      </c>
      <c r="P1930">
        <v>-0.97657240000000001</v>
      </c>
      <c r="Q1930">
        <v>0.20552580000000001</v>
      </c>
      <c r="R1930">
        <v>6.3762819999999998E-2</v>
      </c>
      <c r="S1930">
        <v>-3.0931090000000001</v>
      </c>
      <c r="T1930">
        <v>-2.412653E-2</v>
      </c>
      <c r="U1930">
        <v>-0.24603269999999999</v>
      </c>
      <c r="V1930">
        <v>3.6671019999999999E-2</v>
      </c>
      <c r="W1930">
        <v>0.21984049999999999</v>
      </c>
      <c r="X1930">
        <v>0.9748464</v>
      </c>
      <c r="Y1930">
        <v>-0.10713300000000001</v>
      </c>
      <c r="Z1930">
        <v>-1.0133640000000001E-3</v>
      </c>
      <c r="AA1930">
        <v>0.99424420000000002</v>
      </c>
      <c r="AB1930">
        <v>46</v>
      </c>
      <c r="AC1930">
        <v>-109.6118</v>
      </c>
      <c r="AD1930">
        <v>-0.85717569999999998</v>
      </c>
      <c r="AE1930">
        <v>-8.7479999999999905</v>
      </c>
      <c r="AF1930">
        <v>-11.809746771679601</v>
      </c>
      <c r="AG1930">
        <v>-0.85717569999999998</v>
      </c>
      <c r="AH1930">
        <v>109.31758649916399</v>
      </c>
      <c r="AI1930">
        <v>90.446656892719702</v>
      </c>
      <c r="AJ1930">
        <v>96.165838479069805</v>
      </c>
      <c r="AK1930">
        <v>109.956989714133</v>
      </c>
      <c r="AL1930">
        <v>77.300335759679101</v>
      </c>
      <c r="AM1930">
        <v>87.845707322139106</v>
      </c>
      <c r="AN1930">
        <v>1.00000005637052</v>
      </c>
    </row>
    <row r="1931" spans="1:40" x14ac:dyDescent="0.25">
      <c r="A1931" t="str">
        <f>"20190303171015670"</f>
        <v>20190303171015670</v>
      </c>
      <c r="B1931" t="str">
        <f>"1551604215662640"</f>
        <v>1551604215662640</v>
      </c>
      <c r="C1931" t="s">
        <v>40</v>
      </c>
      <c r="D1931">
        <v>4.7376050000000003</v>
      </c>
      <c r="E1931">
        <v>0.45019419999999999</v>
      </c>
      <c r="F1931" t="s">
        <v>61</v>
      </c>
      <c r="G1931">
        <v>-511.95870000000002</v>
      </c>
      <c r="H1931">
        <v>0.23668929999999999</v>
      </c>
      <c r="I1931">
        <v>275.60219999999998</v>
      </c>
      <c r="J1931">
        <v>-402.6857</v>
      </c>
      <c r="K1931">
        <v>1.1204689999999999</v>
      </c>
      <c r="L1931">
        <v>284.28699999999998</v>
      </c>
      <c r="M1931">
        <v>-0.99949339999999998</v>
      </c>
      <c r="N1931">
        <v>-1.4699530000000001E-2</v>
      </c>
      <c r="O1931">
        <v>2.8229170000000001E-2</v>
      </c>
      <c r="P1931">
        <v>-0.97662020000000005</v>
      </c>
      <c r="Q1931">
        <v>0.20514879999999999</v>
      </c>
      <c r="R1931">
        <v>6.4242869999999994E-2</v>
      </c>
      <c r="S1931">
        <v>-3.0932309999999998</v>
      </c>
      <c r="T1931">
        <v>-2.4937750000000002E-2</v>
      </c>
      <c r="U1931">
        <v>-0.244812</v>
      </c>
      <c r="V1931">
        <v>3.6892599999999998E-2</v>
      </c>
      <c r="W1931">
        <v>0.21946180000000001</v>
      </c>
      <c r="X1931">
        <v>0.97492330000000005</v>
      </c>
      <c r="Y1931">
        <v>-0.1070001</v>
      </c>
      <c r="Z1931">
        <v>-1.0313760000000001E-3</v>
      </c>
      <c r="AA1931">
        <v>0.99425850000000005</v>
      </c>
      <c r="AB1931">
        <v>46</v>
      </c>
      <c r="AC1931">
        <v>-109.273</v>
      </c>
      <c r="AD1931">
        <v>-0.88377969999999995</v>
      </c>
      <c r="AE1931">
        <v>-8.6848000000000507</v>
      </c>
      <c r="AF1931">
        <v>-11.7655927575946</v>
      </c>
      <c r="AG1931">
        <v>-0.88377969999999995</v>
      </c>
      <c r="AH1931">
        <v>108.97716791276</v>
      </c>
      <c r="AI1931">
        <v>90.461960937989701</v>
      </c>
      <c r="AJ1931">
        <v>96.162004110252994</v>
      </c>
      <c r="AK1931">
        <v>109.614019932587</v>
      </c>
      <c r="AL1931">
        <v>77.322576017327606</v>
      </c>
      <c r="AM1931">
        <v>87.832873446308596</v>
      </c>
      <c r="AN1931">
        <v>0.99999999323844502</v>
      </c>
    </row>
    <row r="1932" spans="1:40" x14ac:dyDescent="0.25">
      <c r="A1932" t="str">
        <f>"20190303171015685"</f>
        <v>20190303171015685</v>
      </c>
      <c r="B1932" t="str">
        <f>"1551604215672400"</f>
        <v>1551604215672400</v>
      </c>
      <c r="C1932" t="s">
        <v>40</v>
      </c>
      <c r="D1932">
        <v>4.7281319999999996</v>
      </c>
      <c r="E1932">
        <v>0.45018350000000001</v>
      </c>
      <c r="F1932" t="s">
        <v>61</v>
      </c>
      <c r="G1932">
        <v>-511.95870000000002</v>
      </c>
      <c r="H1932">
        <v>0.2074106</v>
      </c>
      <c r="I1932">
        <v>275.68079999999998</v>
      </c>
      <c r="J1932">
        <v>-402.99329999999998</v>
      </c>
      <c r="K1932">
        <v>1.1204609999999999</v>
      </c>
      <c r="L1932">
        <v>284.29590000000002</v>
      </c>
      <c r="M1932">
        <v>-0.99948680000000001</v>
      </c>
      <c r="N1932">
        <v>-1.469752E-2</v>
      </c>
      <c r="O1932">
        <v>2.846663E-2</v>
      </c>
      <c r="P1932">
        <v>-0.97660740000000001</v>
      </c>
      <c r="Q1932">
        <v>0.20508219999999999</v>
      </c>
      <c r="R1932">
        <v>6.4648899999999995E-2</v>
      </c>
      <c r="S1932">
        <v>-3.0932620000000002</v>
      </c>
      <c r="T1932">
        <v>-2.5844220000000001E-2</v>
      </c>
      <c r="U1932">
        <v>-0.2436218</v>
      </c>
      <c r="V1932">
        <v>3.706624E-2</v>
      </c>
      <c r="W1932">
        <v>0.21939339999999999</v>
      </c>
      <c r="X1932">
        <v>0.97493209999999997</v>
      </c>
      <c r="Y1932">
        <v>-0.1068549</v>
      </c>
      <c r="Z1932">
        <v>-1.0520480000000001E-3</v>
      </c>
      <c r="AA1932">
        <v>0.99427410000000005</v>
      </c>
      <c r="AB1932">
        <v>46</v>
      </c>
      <c r="AC1932">
        <v>-108.9654</v>
      </c>
      <c r="AD1932">
        <v>-0.91305040000000004</v>
      </c>
      <c r="AE1932">
        <v>-8.6151000000000408</v>
      </c>
      <c r="AF1932">
        <v>-11.71300308574</v>
      </c>
      <c r="AG1932">
        <v>-0.91305040000000004</v>
      </c>
      <c r="AH1932">
        <v>108.66837974456899</v>
      </c>
      <c r="AI1932">
        <v>90.478625488397597</v>
      </c>
      <c r="AJ1932">
        <v>96.151970339190996</v>
      </c>
      <c r="AK1932">
        <v>109.30162331195901</v>
      </c>
      <c r="AL1932">
        <v>77.326592838166604</v>
      </c>
      <c r="AM1932">
        <v>87.822703000872806</v>
      </c>
      <c r="AN1932">
        <v>0.99999998486085295</v>
      </c>
    </row>
    <row r="1933" spans="1:40" x14ac:dyDescent="0.25">
      <c r="A1933" t="str">
        <f>"20190303171015698"</f>
        <v>20190303171015698</v>
      </c>
      <c r="B1933" t="str">
        <f>"1551604215692897"</f>
        <v>1551604215692897</v>
      </c>
      <c r="C1933" t="s">
        <v>40</v>
      </c>
      <c r="D1933">
        <v>4.7252159999999996</v>
      </c>
      <c r="E1933">
        <v>0.45015260000000001</v>
      </c>
      <c r="F1933" t="s">
        <v>61</v>
      </c>
      <c r="G1933">
        <v>-511.95870000000002</v>
      </c>
      <c r="H1933">
        <v>0.2050544</v>
      </c>
      <c r="I1933">
        <v>275.74540000000002</v>
      </c>
      <c r="J1933">
        <v>-403.27460000000002</v>
      </c>
      <c r="K1933">
        <v>1.1204609999999999</v>
      </c>
      <c r="L1933">
        <v>284.30410000000001</v>
      </c>
      <c r="M1933">
        <v>-0.99948049999999999</v>
      </c>
      <c r="N1933">
        <v>-1.4695679999999999E-2</v>
      </c>
      <c r="O1933">
        <v>2.868395E-2</v>
      </c>
      <c r="P1933">
        <v>-0.97668770000000005</v>
      </c>
      <c r="Q1933">
        <v>0.2044772</v>
      </c>
      <c r="R1933">
        <v>6.5348050000000005E-2</v>
      </c>
      <c r="S1933">
        <v>-3.0933839999999999</v>
      </c>
      <c r="T1933">
        <v>-2.5984879999999998E-2</v>
      </c>
      <c r="U1933">
        <v>-0.2427368</v>
      </c>
      <c r="V1933">
        <v>3.7549359999999997E-2</v>
      </c>
      <c r="W1933">
        <v>0.21878810000000001</v>
      </c>
      <c r="X1933">
        <v>0.97504970000000002</v>
      </c>
      <c r="Y1933">
        <v>-0.106785199999999</v>
      </c>
      <c r="Z1933">
        <v>-1.0535169999999999E-3</v>
      </c>
      <c r="AA1933">
        <v>0.99428150000000004</v>
      </c>
      <c r="AB1933">
        <v>46</v>
      </c>
      <c r="AC1933">
        <v>-108.6841</v>
      </c>
      <c r="AD1933">
        <v>-0.91540659999999996</v>
      </c>
      <c r="AE1933">
        <v>-8.5586999999999804</v>
      </c>
      <c r="AF1933">
        <v>-11.672180640611501</v>
      </c>
      <c r="AG1933">
        <v>-0.91540659999999996</v>
      </c>
      <c r="AH1933">
        <v>108.386204732563</v>
      </c>
      <c r="AI1933">
        <v>90.481114703137905</v>
      </c>
      <c r="AJ1933">
        <v>96.146531666252201</v>
      </c>
      <c r="AK1933">
        <v>109.016728746002</v>
      </c>
      <c r="AL1933">
        <v>77.362138418233698</v>
      </c>
      <c r="AM1933">
        <v>87.794617799776503</v>
      </c>
      <c r="AN1933">
        <v>1.00000005230405</v>
      </c>
    </row>
    <row r="1934" spans="1:40" x14ac:dyDescent="0.25">
      <c r="A1934" t="str">
        <f>"20190303171015719"</f>
        <v>20190303171015719</v>
      </c>
      <c r="B1934" t="str">
        <f>"1551604215712420"</f>
        <v>1551604215712420</v>
      </c>
      <c r="C1934" t="s">
        <v>40</v>
      </c>
      <c r="D1934">
        <v>4.7586919999999999</v>
      </c>
      <c r="E1934">
        <v>0.45011020000000002</v>
      </c>
      <c r="F1934" t="s">
        <v>61</v>
      </c>
      <c r="G1934">
        <v>-511.95870000000002</v>
      </c>
      <c r="H1934">
        <v>0.13920959999999999</v>
      </c>
      <c r="I1934">
        <v>275.84589999999997</v>
      </c>
      <c r="J1934">
        <v>-403.70850000000002</v>
      </c>
      <c r="K1934">
        <v>1.1204620000000001</v>
      </c>
      <c r="L1934">
        <v>284.3168</v>
      </c>
      <c r="M1934">
        <v>-0.999471</v>
      </c>
      <c r="N1934">
        <v>-1.469284E-2</v>
      </c>
      <c r="O1934">
        <v>2.901886E-2</v>
      </c>
      <c r="P1934">
        <v>-0.97656810000000005</v>
      </c>
      <c r="Q1934">
        <v>0.2047832</v>
      </c>
      <c r="R1934">
        <v>6.617199E-2</v>
      </c>
      <c r="S1934">
        <v>-3.0935969999999999</v>
      </c>
      <c r="T1934">
        <v>-2.7928109999999999E-2</v>
      </c>
      <c r="U1934">
        <v>-0.2407532</v>
      </c>
      <c r="V1934">
        <v>3.8048650000000003E-2</v>
      </c>
      <c r="W1934">
        <v>0.21908910000000001</v>
      </c>
      <c r="X1934">
        <v>0.97496269999999996</v>
      </c>
      <c r="Y1934">
        <v>-0.1064784</v>
      </c>
      <c r="Z1934">
        <v>-1.099334E-3</v>
      </c>
      <c r="AA1934">
        <v>0.99431440000000004</v>
      </c>
      <c r="AB1934">
        <v>46</v>
      </c>
      <c r="AC1934">
        <v>-108.25020000000001</v>
      </c>
      <c r="AD1934">
        <v>-0.98125239999999903</v>
      </c>
      <c r="AE1934">
        <v>-8.4709000000000199</v>
      </c>
      <c r="AF1934">
        <v>-11.6080199517934</v>
      </c>
      <c r="AG1934">
        <v>-0.98125239999999903</v>
      </c>
      <c r="AH1934">
        <v>107.949943691426</v>
      </c>
      <c r="AI1934">
        <v>90.517812639256505</v>
      </c>
      <c r="AJ1934">
        <v>96.137517837860898</v>
      </c>
      <c r="AK1934">
        <v>108.576697898102</v>
      </c>
      <c r="AL1934">
        <v>77.3444629000861</v>
      </c>
      <c r="AM1934">
        <v>87.765123386037999</v>
      </c>
      <c r="AN1934">
        <v>0.999999999948461</v>
      </c>
    </row>
    <row r="1935" spans="1:40" x14ac:dyDescent="0.25">
      <c r="A1935" t="str">
        <f>"20190303171015741"</f>
        <v>20190303171015741</v>
      </c>
      <c r="B1935" t="str">
        <f>"1551604215732913"</f>
        <v>1551604215732913</v>
      </c>
      <c r="C1935" t="s">
        <v>40</v>
      </c>
      <c r="D1935">
        <v>4.7581309999999997</v>
      </c>
      <c r="E1935">
        <v>0.45006000000000002</v>
      </c>
      <c r="F1935" t="s">
        <v>61</v>
      </c>
      <c r="G1935">
        <v>-511.95870000000002</v>
      </c>
      <c r="H1935">
        <v>0.17244709999999999</v>
      </c>
      <c r="I1935">
        <v>275.97199999999998</v>
      </c>
      <c r="J1935">
        <v>-404.15910000000002</v>
      </c>
      <c r="K1935">
        <v>1.1204609999999999</v>
      </c>
      <c r="L1935">
        <v>284.33019999999999</v>
      </c>
      <c r="M1935">
        <v>-0.99946080000000004</v>
      </c>
      <c r="N1935">
        <v>-1.468994E-2</v>
      </c>
      <c r="O1935">
        <v>2.9367359999999999E-2</v>
      </c>
      <c r="P1935">
        <v>-0.97648659999999998</v>
      </c>
      <c r="Q1935">
        <v>0.20476759999999999</v>
      </c>
      <c r="R1935">
        <v>6.7412440000000004E-2</v>
      </c>
      <c r="S1935">
        <v>-3.0938110000000001</v>
      </c>
      <c r="T1935">
        <v>-2.7092100000000001E-2</v>
      </c>
      <c r="U1935">
        <v>-0.23849490000000001</v>
      </c>
      <c r="V1935">
        <v>3.8949579999999998E-2</v>
      </c>
      <c r="W1935">
        <v>0.2190696</v>
      </c>
      <c r="X1935">
        <v>0.97493149999999995</v>
      </c>
      <c r="Y1935">
        <v>-0.10609879999999999</v>
      </c>
      <c r="Z1935">
        <v>-1.0704849999999999E-3</v>
      </c>
      <c r="AA1935">
        <v>0.99435499999999999</v>
      </c>
      <c r="AB1935">
        <v>46</v>
      </c>
      <c r="AC1935">
        <v>-107.7996</v>
      </c>
      <c r="AD1935">
        <v>-0.94801389999999996</v>
      </c>
      <c r="AE1935">
        <v>-8.3582000000000001</v>
      </c>
      <c r="AF1935">
        <v>-11.5198397072889</v>
      </c>
      <c r="AG1935">
        <v>-0.94801389999999996</v>
      </c>
      <c r="AH1935">
        <v>107.49934561224499</v>
      </c>
      <c r="AI1935">
        <v>90.502389953252106</v>
      </c>
      <c r="AJ1935">
        <v>96.116585198243797</v>
      </c>
      <c r="AK1935">
        <v>108.11898419934001</v>
      </c>
      <c r="AL1935">
        <v>77.345607915962006</v>
      </c>
      <c r="AM1935">
        <v>87.712187594009905</v>
      </c>
      <c r="AN1935">
        <v>0.999999994559293</v>
      </c>
    </row>
    <row r="1936" spans="1:40" x14ac:dyDescent="0.25">
      <c r="A1936" t="str">
        <f>"20190303171015754"</f>
        <v>20190303171015754</v>
      </c>
      <c r="B1936" t="str">
        <f>"1551604215742673"</f>
        <v>1551604215742673</v>
      </c>
      <c r="C1936" t="s">
        <v>40</v>
      </c>
      <c r="D1936">
        <v>4.7448880000000004</v>
      </c>
      <c r="E1936">
        <v>0.45004440000000001</v>
      </c>
      <c r="F1936" t="s">
        <v>61</v>
      </c>
      <c r="G1936">
        <v>-511.95870000000002</v>
      </c>
      <c r="H1936">
        <v>0.17796199999999901</v>
      </c>
      <c r="I1936">
        <v>276.11680000000001</v>
      </c>
      <c r="J1936">
        <v>-404.43599999999998</v>
      </c>
      <c r="K1936">
        <v>1.120463</v>
      </c>
      <c r="L1936">
        <v>284.33839999999998</v>
      </c>
      <c r="M1936">
        <v>-0.99945459999999997</v>
      </c>
      <c r="N1936">
        <v>-1.468817E-2</v>
      </c>
      <c r="O1936">
        <v>2.9581739999999999E-2</v>
      </c>
      <c r="P1936">
        <v>-0.97644850000000005</v>
      </c>
      <c r="Q1936">
        <v>0.2048363</v>
      </c>
      <c r="R1936">
        <v>6.7753599999999997E-2</v>
      </c>
      <c r="S1936">
        <v>-3.0941770000000002</v>
      </c>
      <c r="T1936">
        <v>-2.705026E-2</v>
      </c>
      <c r="U1936">
        <v>-0.23574829999999999</v>
      </c>
      <c r="V1936">
        <v>3.9081499999999998E-2</v>
      </c>
      <c r="W1936">
        <v>0.2191361</v>
      </c>
      <c r="X1936">
        <v>0.97491130000000004</v>
      </c>
      <c r="Y1936">
        <v>-0.10542559999999999</v>
      </c>
      <c r="Z1936">
        <v>-1.0600640000000001E-3</v>
      </c>
      <c r="AA1936">
        <v>0.99442660000000005</v>
      </c>
      <c r="AB1936">
        <v>46</v>
      </c>
      <c r="AC1936">
        <v>-107.5227</v>
      </c>
      <c r="AD1936">
        <v>-0.94250100000000003</v>
      </c>
      <c r="AE1936">
        <v>-8.2215999999999596</v>
      </c>
      <c r="AF1936">
        <v>-11.3981816740665</v>
      </c>
      <c r="AG1936">
        <v>-0.94250100000000003</v>
      </c>
      <c r="AH1936">
        <v>107.22420791806</v>
      </c>
      <c r="AI1936">
        <v>90.500795598009802</v>
      </c>
      <c r="AJ1936">
        <v>96.067886475814205</v>
      </c>
      <c r="AK1936">
        <v>107.83245159628601</v>
      </c>
      <c r="AL1936">
        <v>77.341703167668101</v>
      </c>
      <c r="AM1936">
        <v>87.704399667144699</v>
      </c>
      <c r="AN1936">
        <v>1.00000001841657</v>
      </c>
    </row>
    <row r="1937" spans="1:40" x14ac:dyDescent="0.25">
      <c r="A1937" t="str">
        <f>"20190303171015774"</f>
        <v>20190303171015774</v>
      </c>
      <c r="B1937" t="str">
        <f>"1551604215762193"</f>
        <v>1551604215762193</v>
      </c>
      <c r="C1937" t="s">
        <v>40</v>
      </c>
      <c r="D1937">
        <v>4.7606390000000003</v>
      </c>
      <c r="E1937">
        <v>0.44999909999999999</v>
      </c>
      <c r="F1937" t="s">
        <v>61</v>
      </c>
      <c r="G1937">
        <v>-511.95870000000002</v>
      </c>
      <c r="H1937">
        <v>0.19245380000000001</v>
      </c>
      <c r="I1937">
        <v>276.1687</v>
      </c>
      <c r="J1937">
        <v>-404.83870000000002</v>
      </c>
      <c r="K1937">
        <v>1.1204719999999999</v>
      </c>
      <c r="L1937">
        <v>284.35059999999999</v>
      </c>
      <c r="M1937">
        <v>-0.99944529999999998</v>
      </c>
      <c r="N1937">
        <v>-1.4685709999999999E-2</v>
      </c>
      <c r="O1937">
        <v>2.989294E-2</v>
      </c>
      <c r="P1937">
        <v>-0.97644589999999998</v>
      </c>
      <c r="Q1937">
        <v>0.20467689999999999</v>
      </c>
      <c r="R1937">
        <v>6.8272349999999996E-2</v>
      </c>
      <c r="S1937">
        <v>-3.0942690000000002</v>
      </c>
      <c r="T1937">
        <v>-2.670372E-2</v>
      </c>
      <c r="U1937">
        <v>-0.23510739999999999</v>
      </c>
      <c r="V1937">
        <v>3.9295370000000003E-2</v>
      </c>
      <c r="W1937">
        <v>0.21897469999999999</v>
      </c>
      <c r="X1937">
        <v>0.97493890000000005</v>
      </c>
      <c r="Y1937">
        <v>-0.10552839999999999</v>
      </c>
      <c r="Z1937">
        <v>-1.050095E-3</v>
      </c>
      <c r="AA1937">
        <v>0.99441579999999996</v>
      </c>
      <c r="AB1937">
        <v>46</v>
      </c>
      <c r="AC1937">
        <v>-107.12</v>
      </c>
      <c r="AD1937">
        <v>-0.92801820000000002</v>
      </c>
      <c r="AE1937">
        <v>-8.1818999999999793</v>
      </c>
      <c r="AF1937">
        <v>-11.379870449818499</v>
      </c>
      <c r="AG1937">
        <v>-0.92801820000000002</v>
      </c>
      <c r="AH1937">
        <v>106.819540316203</v>
      </c>
      <c r="AI1937">
        <v>90.4949564698003</v>
      </c>
      <c r="AJ1937">
        <v>96.080989803134301</v>
      </c>
      <c r="AK1937">
        <v>107.42800781267</v>
      </c>
      <c r="AL1937">
        <v>77.351180043891802</v>
      </c>
      <c r="AM1937">
        <v>87.691916022367906</v>
      </c>
      <c r="AN1937">
        <v>0.999999952038367</v>
      </c>
    </row>
    <row r="1938" spans="1:40" x14ac:dyDescent="0.25">
      <c r="A1938" t="str">
        <f>"20190303171015788"</f>
        <v>20190303171015788</v>
      </c>
      <c r="B1938" t="str">
        <f>"1551604215782689"</f>
        <v>1551604215782689</v>
      </c>
      <c r="C1938" t="s">
        <v>40</v>
      </c>
      <c r="D1938">
        <v>4.7559129999999996</v>
      </c>
      <c r="E1938">
        <v>0.44999489999999998</v>
      </c>
      <c r="F1938" t="s">
        <v>61</v>
      </c>
      <c r="G1938">
        <v>-511.95870000000002</v>
      </c>
      <c r="H1938">
        <v>0.1672669</v>
      </c>
      <c r="I1938">
        <v>276.27519999999998</v>
      </c>
      <c r="J1938">
        <v>-405.10539999999997</v>
      </c>
      <c r="K1938">
        <v>1.1204750000000001</v>
      </c>
      <c r="L1938">
        <v>284.35879999999997</v>
      </c>
      <c r="M1938">
        <v>-0.99943910000000002</v>
      </c>
      <c r="N1938">
        <v>-1.4684020000000001E-2</v>
      </c>
      <c r="O1938">
        <v>3.009964E-2</v>
      </c>
      <c r="P1938">
        <v>-0.97648509999999999</v>
      </c>
      <c r="Q1938">
        <v>0.20444280000000001</v>
      </c>
      <c r="R1938">
        <v>6.8409730000000002E-2</v>
      </c>
      <c r="S1938">
        <v>-3.0944210000000001</v>
      </c>
      <c r="T1938">
        <v>-2.7533289999999998E-2</v>
      </c>
      <c r="U1938">
        <v>-0.23327639999999999</v>
      </c>
      <c r="V1938">
        <v>3.9228560000000003E-2</v>
      </c>
      <c r="W1938">
        <v>0.21873970000000001</v>
      </c>
      <c r="X1938">
        <v>0.97499440000000004</v>
      </c>
      <c r="Y1938">
        <v>-0.1051449</v>
      </c>
      <c r="Z1938">
        <v>-1.0664209999999999E-3</v>
      </c>
      <c r="AA1938">
        <v>0.99445640000000002</v>
      </c>
      <c r="AB1938">
        <v>46</v>
      </c>
      <c r="AC1938">
        <v>-106.8533</v>
      </c>
      <c r="AD1938">
        <v>-0.9532081</v>
      </c>
      <c r="AE1938">
        <v>-8.0835999999999899</v>
      </c>
      <c r="AF1938">
        <v>-11.295635239184</v>
      </c>
      <c r="AG1938">
        <v>-0.9532081</v>
      </c>
      <c r="AH1938">
        <v>106.553103843532</v>
      </c>
      <c r="AI1938">
        <v>90.509689990044095</v>
      </c>
      <c r="AJ1938">
        <v>96.051293086527295</v>
      </c>
      <c r="AK1938">
        <v>107.15439290962</v>
      </c>
      <c r="AL1938">
        <v>77.364979805061395</v>
      </c>
      <c r="AM1938">
        <v>87.695967013731902</v>
      </c>
      <c r="AN1938">
        <v>1.00000000815356</v>
      </c>
    </row>
    <row r="1939" spans="1:40" x14ac:dyDescent="0.25">
      <c r="A1939" t="str">
        <f>"20190303171015809"</f>
        <v>20190303171015809</v>
      </c>
      <c r="B1939" t="str">
        <f>"1551604215802212"</f>
        <v>1551604215802212</v>
      </c>
      <c r="C1939" t="s">
        <v>40</v>
      </c>
      <c r="D1939">
        <v>4.7930570000000001</v>
      </c>
      <c r="E1939">
        <v>0.44991579999999898</v>
      </c>
      <c r="F1939" t="s">
        <v>61</v>
      </c>
      <c r="G1939">
        <v>-511.95870000000002</v>
      </c>
      <c r="H1939">
        <v>0.13282479999999999</v>
      </c>
      <c r="I1939">
        <v>276.31020000000001</v>
      </c>
      <c r="J1939">
        <v>-405.54419999999999</v>
      </c>
      <c r="K1939">
        <v>1.120476</v>
      </c>
      <c r="L1939">
        <v>284.37220000000002</v>
      </c>
      <c r="M1939">
        <v>-0.99942880000000001</v>
      </c>
      <c r="N1939">
        <v>-1.468121E-2</v>
      </c>
      <c r="O1939">
        <v>3.0439609999999999E-2</v>
      </c>
      <c r="P1939">
        <v>-0.97647919999999999</v>
      </c>
      <c r="Q1939">
        <v>0.204375</v>
      </c>
      <c r="R1939">
        <v>6.869894E-2</v>
      </c>
      <c r="S1939">
        <v>-3.0945740000000002</v>
      </c>
      <c r="T1939">
        <v>-2.860093E-2</v>
      </c>
      <c r="U1939">
        <v>-0.2330933</v>
      </c>
      <c r="V1939">
        <v>3.9184910000000003E-2</v>
      </c>
      <c r="W1939">
        <v>0.21866949999999999</v>
      </c>
      <c r="X1939">
        <v>0.97501190000000004</v>
      </c>
      <c r="Y1939">
        <v>-0.1054205</v>
      </c>
      <c r="Z1939">
        <v>-1.0962560000000001E-3</v>
      </c>
      <c r="AA1939">
        <v>0.99442710000000001</v>
      </c>
      <c r="AB1939">
        <v>46</v>
      </c>
      <c r="AC1939">
        <v>-106.4145</v>
      </c>
      <c r="AD1939">
        <v>-0.98765119999999895</v>
      </c>
      <c r="AE1939">
        <v>-8.06200000000001</v>
      </c>
      <c r="AF1939">
        <v>-11.296860732688099</v>
      </c>
      <c r="AG1939">
        <v>-0.98765119999999895</v>
      </c>
      <c r="AH1939">
        <v>106.110658902208</v>
      </c>
      <c r="AI1939">
        <v>90.530282667200495</v>
      </c>
      <c r="AJ1939">
        <v>96.0769908255524</v>
      </c>
      <c r="AK1939">
        <v>106.71488391957</v>
      </c>
      <c r="AL1939">
        <v>77.369101732444093</v>
      </c>
      <c r="AM1939">
        <v>87.698569238847298</v>
      </c>
      <c r="AN1939">
        <v>1.00000000627178</v>
      </c>
    </row>
    <row r="1940" spans="1:40" x14ac:dyDescent="0.25">
      <c r="A1940" t="str">
        <f>"20190303171015830"</f>
        <v>20190303171015830</v>
      </c>
      <c r="B1940" t="str">
        <f>"1551604215822705"</f>
        <v>1551604215822705</v>
      </c>
      <c r="C1940" t="s">
        <v>40</v>
      </c>
      <c r="D1940">
        <v>4.7774640000000002</v>
      </c>
      <c r="E1940">
        <v>0.44986189999999998</v>
      </c>
      <c r="F1940" t="s">
        <v>61</v>
      </c>
      <c r="G1940">
        <v>-511.95859999999999</v>
      </c>
      <c r="H1940">
        <v>0.1236835</v>
      </c>
      <c r="I1940">
        <v>276.36959999999999</v>
      </c>
      <c r="J1940">
        <v>-405.98559999999998</v>
      </c>
      <c r="K1940">
        <v>1.1204809999999901</v>
      </c>
      <c r="L1940">
        <v>284.38600000000002</v>
      </c>
      <c r="M1940">
        <v>-0.99941849999999999</v>
      </c>
      <c r="N1940">
        <v>-1.4678409999999999E-2</v>
      </c>
      <c r="O1940">
        <v>3.0781550000000001E-2</v>
      </c>
      <c r="P1940">
        <v>-0.97632799999999997</v>
      </c>
      <c r="Q1940">
        <v>0.20495050000000001</v>
      </c>
      <c r="R1940">
        <v>6.9130659999999997E-2</v>
      </c>
      <c r="S1940">
        <v>-3.0946959999999999</v>
      </c>
      <c r="T1940">
        <v>-2.8985859999999999E-2</v>
      </c>
      <c r="U1940">
        <v>-0.23272709999999999</v>
      </c>
      <c r="V1940">
        <v>3.9286590000000003E-2</v>
      </c>
      <c r="W1940">
        <v>0.21923980000000001</v>
      </c>
      <c r="X1940">
        <v>0.97487970000000002</v>
      </c>
      <c r="Y1940">
        <v>-0.1056405</v>
      </c>
      <c r="Z1940">
        <v>-1.107324E-3</v>
      </c>
      <c r="AA1940">
        <v>0.99440379999999995</v>
      </c>
      <c r="AB1940">
        <v>46</v>
      </c>
      <c r="AC1940">
        <v>-105.973</v>
      </c>
      <c r="AD1940">
        <v>-0.996797499999999</v>
      </c>
      <c r="AE1940">
        <v>-8.0163999999999707</v>
      </c>
      <c r="AF1940">
        <v>-11.2739728804618</v>
      </c>
      <c r="AG1940">
        <v>-0.996797499999999</v>
      </c>
      <c r="AH1940">
        <v>105.66669288445</v>
      </c>
      <c r="AI1940">
        <v>90.537428603704797</v>
      </c>
      <c r="AJ1940">
        <v>96.090060934432898</v>
      </c>
      <c r="AK1940">
        <v>106.271096987384</v>
      </c>
      <c r="AL1940">
        <v>77.335612987785098</v>
      </c>
      <c r="AM1940">
        <v>87.692291197209997</v>
      </c>
      <c r="AN1940">
        <v>0.99999997776497795</v>
      </c>
    </row>
    <row r="1941" spans="1:40" x14ac:dyDescent="0.25">
      <c r="A1941" t="str">
        <f>"20190303171015843"</f>
        <v>20190303171015843</v>
      </c>
      <c r="B1941" t="str">
        <f>"1551604215832465"</f>
        <v>1551604215832465</v>
      </c>
      <c r="C1941" t="s">
        <v>40</v>
      </c>
      <c r="D1941">
        <v>4.7907820000000001</v>
      </c>
      <c r="E1941">
        <v>0.4498299</v>
      </c>
      <c r="F1941" t="s">
        <v>61</v>
      </c>
      <c r="G1941">
        <v>-511.95870000000002</v>
      </c>
      <c r="H1941">
        <v>0.18754789999999999</v>
      </c>
      <c r="I1941">
        <v>276.44009999999997</v>
      </c>
      <c r="J1941">
        <v>-406.24549999999999</v>
      </c>
      <c r="K1941">
        <v>1.12049</v>
      </c>
      <c r="L1941">
        <v>284.39409999999998</v>
      </c>
      <c r="M1941">
        <v>-0.99941219999999997</v>
      </c>
      <c r="N1941">
        <v>-1.4676710000000001E-2</v>
      </c>
      <c r="O1941">
        <v>3.0982840000000001E-2</v>
      </c>
      <c r="P1941">
        <v>-0.9761881</v>
      </c>
      <c r="Q1941">
        <v>0.20554739999999999</v>
      </c>
      <c r="R1941">
        <v>6.9332690000000002E-2</v>
      </c>
      <c r="S1941">
        <v>-3.09491</v>
      </c>
      <c r="T1941">
        <v>-2.7243610000000001E-2</v>
      </c>
      <c r="U1941">
        <v>-0.2320557</v>
      </c>
      <c r="V1941">
        <v>3.9296280000000003E-2</v>
      </c>
      <c r="W1941">
        <v>0.21983340000000001</v>
      </c>
      <c r="X1941">
        <v>0.97474559999999999</v>
      </c>
      <c r="Y1941">
        <v>-0.10562199999999999</v>
      </c>
      <c r="Z1941">
        <v>-1.05883E-3</v>
      </c>
      <c r="AA1941">
        <v>0.99440580000000001</v>
      </c>
      <c r="AB1941">
        <v>46</v>
      </c>
      <c r="AC1941">
        <v>-105.7132</v>
      </c>
      <c r="AD1941">
        <v>-0.9329421</v>
      </c>
      <c r="AE1941">
        <v>-7.9539999999999997</v>
      </c>
      <c r="AF1941">
        <v>-11.224959098818401</v>
      </c>
      <c r="AG1941">
        <v>-0.9329421</v>
      </c>
      <c r="AH1941">
        <v>105.407810449452</v>
      </c>
      <c r="AI1941">
        <v>90.504248558715005</v>
      </c>
      <c r="AJ1941">
        <v>96.078563317142098</v>
      </c>
      <c r="AK1941">
        <v>106.007908155381</v>
      </c>
      <c r="AL1941">
        <v>77.300751426915497</v>
      </c>
      <c r="AM1941">
        <v>87.691405402431897</v>
      </c>
      <c r="AN1941">
        <v>0.99999995304837797</v>
      </c>
    </row>
    <row r="1942" spans="1:40" x14ac:dyDescent="0.25">
      <c r="A1942" t="str">
        <f>"20190303171015855"</f>
        <v>20190303171015855</v>
      </c>
      <c r="B1942" t="str">
        <f>"1551604215852962"</f>
        <v>1551604215852962</v>
      </c>
      <c r="C1942" t="s">
        <v>40</v>
      </c>
      <c r="D1942">
        <v>4.7575120000000002</v>
      </c>
      <c r="E1942">
        <v>0.44975959999999998</v>
      </c>
      <c r="F1942" t="s">
        <v>61</v>
      </c>
      <c r="G1942">
        <v>-511.95870000000002</v>
      </c>
      <c r="H1942">
        <v>0.25308570000000002</v>
      </c>
      <c r="I1942">
        <v>276.47829999999999</v>
      </c>
      <c r="J1942">
        <v>-406.51769999999999</v>
      </c>
      <c r="K1942">
        <v>1.120492</v>
      </c>
      <c r="L1942">
        <v>284.40269999999998</v>
      </c>
      <c r="M1942">
        <v>-0.99940560000000001</v>
      </c>
      <c r="N1942">
        <v>-1.4674889999999999E-2</v>
      </c>
      <c r="O1942">
        <v>3.1193419999999999E-2</v>
      </c>
      <c r="P1942">
        <v>-0.97605540000000002</v>
      </c>
      <c r="Q1942">
        <v>0.20617530000000001</v>
      </c>
      <c r="R1942">
        <v>6.933752E-2</v>
      </c>
      <c r="S1942">
        <v>-3.0949710000000001</v>
      </c>
      <c r="T1942">
        <v>-2.5392649999999999E-2</v>
      </c>
      <c r="U1942">
        <v>-0.2317505</v>
      </c>
      <c r="V1942">
        <v>3.9099910000000002E-2</v>
      </c>
      <c r="W1942">
        <v>0.22045809999999999</v>
      </c>
      <c r="X1942">
        <v>0.97461240000000005</v>
      </c>
      <c r="Y1942">
        <v>-0.10573349999999999</v>
      </c>
      <c r="Z1942">
        <v>-1.0086419999999999E-3</v>
      </c>
      <c r="AA1942">
        <v>0.994394</v>
      </c>
      <c r="AB1942">
        <v>46</v>
      </c>
      <c r="AC1942">
        <v>-105.441</v>
      </c>
      <c r="AD1942">
        <v>-0.86740629999999996</v>
      </c>
      <c r="AE1942">
        <v>-7.9243999999999897</v>
      </c>
      <c r="AF1942">
        <v>-11.209208290647499</v>
      </c>
      <c r="AG1942">
        <v>-0.86740629999999996</v>
      </c>
      <c r="AH1942">
        <v>105.135387050986</v>
      </c>
      <c r="AI1942">
        <v>90.470037079893103</v>
      </c>
      <c r="AJ1942">
        <v>96.085708389364896</v>
      </c>
      <c r="AK1942">
        <v>105.734802002713</v>
      </c>
      <c r="AL1942">
        <v>77.264058570809496</v>
      </c>
      <c r="AM1942">
        <v>87.702615838369894</v>
      </c>
      <c r="AN1942">
        <v>0.99999995352568805</v>
      </c>
    </row>
    <row r="1943" spans="1:40" x14ac:dyDescent="0.25">
      <c r="A1943" t="str">
        <f>"20190303171015876"</f>
        <v>20190303171015876</v>
      </c>
      <c r="B1943" t="str">
        <f>"1551604215862721"</f>
        <v>1551604215862721</v>
      </c>
      <c r="C1943" t="s">
        <v>40</v>
      </c>
      <c r="D1943">
        <v>4.8272069999999996</v>
      </c>
      <c r="E1943">
        <v>0.44971480000000003</v>
      </c>
      <c r="F1943" t="s">
        <v>61</v>
      </c>
      <c r="G1943">
        <v>-511.95870000000002</v>
      </c>
      <c r="H1943">
        <v>0.3139845</v>
      </c>
      <c r="I1943">
        <v>276.4785</v>
      </c>
      <c r="J1943">
        <v>-406.91160000000002</v>
      </c>
      <c r="K1943">
        <v>1.120492</v>
      </c>
      <c r="L1943">
        <v>284.41520000000003</v>
      </c>
      <c r="M1943">
        <v>-0.99939619999999996</v>
      </c>
      <c r="N1943">
        <v>-1.467241E-2</v>
      </c>
      <c r="O1943">
        <v>3.149888E-2</v>
      </c>
      <c r="P1943">
        <v>-0.97595209999999999</v>
      </c>
      <c r="Q1943">
        <v>0.2066664</v>
      </c>
      <c r="R1943">
        <v>6.9328899999999999E-2</v>
      </c>
      <c r="S1943">
        <v>-3.0951230000000001</v>
      </c>
      <c r="T1943">
        <v>-2.3671870000000001E-2</v>
      </c>
      <c r="U1943">
        <v>-0.23260500000000001</v>
      </c>
      <c r="V1943">
        <v>3.8795799999999998E-2</v>
      </c>
      <c r="W1943">
        <v>0.220946</v>
      </c>
      <c r="X1943">
        <v>0.97451410000000005</v>
      </c>
      <c r="Y1943">
        <v>-0.106307399999999</v>
      </c>
      <c r="Z1943">
        <v>-9.6615419999999995E-4</v>
      </c>
      <c r="AA1943">
        <v>0.99433280000000002</v>
      </c>
      <c r="AB1943">
        <v>46</v>
      </c>
      <c r="AC1943">
        <v>-105.0471</v>
      </c>
      <c r="AD1943">
        <v>-0.80650749999999904</v>
      </c>
      <c r="AE1943">
        <v>-7.9367000000000196</v>
      </c>
      <c r="AF1943">
        <v>-11.241323849187999</v>
      </c>
      <c r="AG1943">
        <v>-0.80650749999999904</v>
      </c>
      <c r="AH1943">
        <v>104.738800208348</v>
      </c>
      <c r="AI1943">
        <v>90.438659876440198</v>
      </c>
      <c r="AJ1943">
        <v>96.1259464725794</v>
      </c>
      <c r="AK1943">
        <v>105.34341026051</v>
      </c>
      <c r="AL1943">
        <v>77.235397679764205</v>
      </c>
      <c r="AM1943">
        <v>87.720235738299394</v>
      </c>
      <c r="AN1943">
        <v>0.99999999005622497</v>
      </c>
    </row>
    <row r="1944" spans="1:40" x14ac:dyDescent="0.25">
      <c r="A1944" t="str">
        <f>"20190303171015898"</f>
        <v>20190303171015898</v>
      </c>
      <c r="B1944" t="str">
        <f>"1551604215892977"</f>
        <v>1551604215892977</v>
      </c>
      <c r="C1944" t="s">
        <v>40</v>
      </c>
      <c r="D1944">
        <v>4.8365039999999997</v>
      </c>
      <c r="E1944">
        <v>0.44956370000000001</v>
      </c>
      <c r="F1944" t="s">
        <v>61</v>
      </c>
      <c r="G1944">
        <v>-511.95870000000002</v>
      </c>
      <c r="H1944">
        <v>0.35755140000000002</v>
      </c>
      <c r="I1944">
        <v>276.51889999999997</v>
      </c>
      <c r="J1944">
        <v>-407.38080000000002</v>
      </c>
      <c r="K1944">
        <v>1.1204970000000001</v>
      </c>
      <c r="L1944">
        <v>284.43029999999999</v>
      </c>
      <c r="M1944">
        <v>-0.99938459999999996</v>
      </c>
      <c r="N1944">
        <v>-1.466956E-2</v>
      </c>
      <c r="O1944">
        <v>3.186216E-2</v>
      </c>
      <c r="P1944">
        <v>-0.97589879999999996</v>
      </c>
      <c r="Q1944">
        <v>0.2070565</v>
      </c>
      <c r="R1944">
        <v>6.8913039999999995E-2</v>
      </c>
      <c r="S1944">
        <v>-3.0952449999999998</v>
      </c>
      <c r="T1944">
        <v>-2.247787E-2</v>
      </c>
      <c r="U1944">
        <v>-0.23266600000000001</v>
      </c>
      <c r="V1944">
        <v>3.8026419999999998E-2</v>
      </c>
      <c r="W1944">
        <v>0.22133340000000001</v>
      </c>
      <c r="X1944">
        <v>0.97445649999999995</v>
      </c>
      <c r="Y1944">
        <v>-0.1066859</v>
      </c>
      <c r="Z1944">
        <v>-9.3492200000000003E-4</v>
      </c>
      <c r="AA1944">
        <v>0.99429230000000002</v>
      </c>
      <c r="AB1944">
        <v>46</v>
      </c>
      <c r="AC1944">
        <v>-104.5779</v>
      </c>
      <c r="AD1944">
        <v>-0.762945599999999</v>
      </c>
      <c r="AE1944">
        <v>-7.9114000000000102</v>
      </c>
      <c r="AF1944">
        <v>-11.2392239192432</v>
      </c>
      <c r="AG1944">
        <v>-0.762945599999999</v>
      </c>
      <c r="AH1944">
        <v>104.267172132428</v>
      </c>
      <c r="AI1944">
        <v>90.416823705004205</v>
      </c>
      <c r="AJ1944">
        <v>96.152302970936802</v>
      </c>
      <c r="AK1944">
        <v>104.873950172522</v>
      </c>
      <c r="AL1944">
        <v>77.212637632188503</v>
      </c>
      <c r="AM1944">
        <v>87.765268698733095</v>
      </c>
      <c r="AN1944">
        <v>0.99999997648291306</v>
      </c>
    </row>
    <row r="1945" spans="1:40" x14ac:dyDescent="0.25">
      <c r="A1945" t="str">
        <f>"20190303171015920"</f>
        <v>20190303171015920</v>
      </c>
      <c r="B1945" t="str">
        <f>"1551604215912501"</f>
        <v>1551604215912501</v>
      </c>
      <c r="C1945" t="s">
        <v>40</v>
      </c>
      <c r="D1945">
        <v>4.8847370000000003</v>
      </c>
      <c r="E1945">
        <v>0.44949879999999998</v>
      </c>
      <c r="F1945" t="s">
        <v>61</v>
      </c>
      <c r="G1945">
        <v>-511.95870000000002</v>
      </c>
      <c r="H1945">
        <v>0.38181110000000001</v>
      </c>
      <c r="I1945">
        <v>276.49119999999999</v>
      </c>
      <c r="J1945">
        <v>-407.81970000000001</v>
      </c>
      <c r="K1945">
        <v>1.120495</v>
      </c>
      <c r="L1945">
        <v>284.44450000000001</v>
      </c>
      <c r="M1945">
        <v>-0.99937399999999998</v>
      </c>
      <c r="N1945">
        <v>-1.4666800000000001E-2</v>
      </c>
      <c r="O1945">
        <v>3.2199859999999997E-2</v>
      </c>
      <c r="P1945">
        <v>-0.97586170000000005</v>
      </c>
      <c r="Q1945">
        <v>0.20712410000000001</v>
      </c>
      <c r="R1945">
        <v>6.9236229999999996E-2</v>
      </c>
      <c r="S1945">
        <v>-3.095367</v>
      </c>
      <c r="T1945">
        <v>-2.186167E-2</v>
      </c>
      <c r="U1945">
        <v>-0.23498540000000001</v>
      </c>
      <c r="V1945">
        <v>3.801976E-2</v>
      </c>
      <c r="W1945">
        <v>0.2213976</v>
      </c>
      <c r="X1945">
        <v>0.97444219999999904</v>
      </c>
      <c r="Y1945">
        <v>-0.10775990000000001</v>
      </c>
      <c r="Z1945">
        <v>-9.2703040000000005E-4</v>
      </c>
      <c r="AA1945">
        <v>0.99417650000000002</v>
      </c>
      <c r="AB1945">
        <v>46</v>
      </c>
      <c r="AC1945">
        <v>-104.139</v>
      </c>
      <c r="AD1945">
        <v>-0.73868389999999995</v>
      </c>
      <c r="AE1945">
        <v>-7.9533000000000103</v>
      </c>
      <c r="AF1945">
        <v>-11.302230946081499</v>
      </c>
      <c r="AG1945">
        <v>-0.73868389999999995</v>
      </c>
      <c r="AH1945">
        <v>103.823670959962</v>
      </c>
      <c r="AI1945">
        <v>90.405246688229596</v>
      </c>
      <c r="AJ1945">
        <v>96.212746653261703</v>
      </c>
      <c r="AK1945">
        <v>104.439651138182</v>
      </c>
      <c r="AL1945">
        <v>77.208865973623901</v>
      </c>
      <c r="AM1945">
        <v>87.765626940107794</v>
      </c>
      <c r="AN1945">
        <v>1.0000000002885201</v>
      </c>
    </row>
    <row r="1946" spans="1:40" x14ac:dyDescent="0.25">
      <c r="A1946" t="str">
        <f>"20190303171015941"</f>
        <v>20190303171015941</v>
      </c>
      <c r="B1946" t="str">
        <f>"1551604215932993"</f>
        <v>1551604215932993</v>
      </c>
      <c r="C1946" t="s">
        <v>40</v>
      </c>
      <c r="D1946">
        <v>5.0300659999999997</v>
      </c>
      <c r="E1946">
        <v>0.47730729999999999</v>
      </c>
      <c r="F1946" t="s">
        <v>61</v>
      </c>
      <c r="G1946">
        <v>-511.95870000000002</v>
      </c>
      <c r="H1946">
        <v>0.37237350000000002</v>
      </c>
      <c r="I1946">
        <v>276.5566</v>
      </c>
      <c r="J1946">
        <v>-408.2731</v>
      </c>
      <c r="K1946">
        <v>1.1205069999999999</v>
      </c>
      <c r="L1946">
        <v>284.45940000000002</v>
      </c>
      <c r="M1946">
        <v>-0.99936270000000005</v>
      </c>
      <c r="N1946">
        <v>-1.466391E-2</v>
      </c>
      <c r="O1946">
        <v>3.2545890000000001E-2</v>
      </c>
      <c r="P1946">
        <v>-0.97579039999999995</v>
      </c>
      <c r="Q1946">
        <v>0.2071865</v>
      </c>
      <c r="R1946">
        <v>7.0049490000000006E-2</v>
      </c>
      <c r="S1946">
        <v>-3.09552</v>
      </c>
      <c r="T1946">
        <v>-2.2235390000000001E-2</v>
      </c>
      <c r="U1946">
        <v>-0.2344666</v>
      </c>
      <c r="V1946">
        <v>3.8495330000000001E-2</v>
      </c>
      <c r="W1946">
        <v>0.22145709999999999</v>
      </c>
      <c r="X1946">
        <v>0.97441</v>
      </c>
      <c r="Y1946">
        <v>-0.1079345</v>
      </c>
      <c r="Z1946">
        <v>-9.3663670000000004E-4</v>
      </c>
      <c r="AA1946">
        <v>0.99415759999999997</v>
      </c>
      <c r="AB1946">
        <v>46</v>
      </c>
      <c r="AC1946">
        <v>-103.68559999999999</v>
      </c>
      <c r="AD1946">
        <v>-0.74813349999999901</v>
      </c>
      <c r="AE1946">
        <v>-7.9028000000000098</v>
      </c>
      <c r="AF1946">
        <v>-11.2729319118005</v>
      </c>
      <c r="AG1946">
        <v>-0.74813349999999901</v>
      </c>
      <c r="AH1946">
        <v>103.36807815157999</v>
      </c>
      <c r="AI1946">
        <v>90.412230809725003</v>
      </c>
      <c r="AJ1946">
        <v>96.223864915613404</v>
      </c>
      <c r="AK1946">
        <v>103.983644282998</v>
      </c>
      <c r="AL1946">
        <v>77.205369999155096</v>
      </c>
      <c r="AM1946">
        <v>87.737632473569903</v>
      </c>
      <c r="AN1946">
        <v>0.99999999283610896</v>
      </c>
    </row>
    <row r="1947" spans="1:40" x14ac:dyDescent="0.25">
      <c r="A1947" t="str">
        <f>"20190303171015965"</f>
        <v>20190303171015965</v>
      </c>
      <c r="B1947" t="str">
        <f>"1551604215952513"</f>
        <v>1551604215952513</v>
      </c>
      <c r="C1947" t="s">
        <v>40</v>
      </c>
      <c r="D1947">
        <v>4.836551</v>
      </c>
      <c r="E1947">
        <v>0.52034529999999901</v>
      </c>
      <c r="F1947" t="s">
        <v>60</v>
      </c>
      <c r="G1947">
        <v>-426.5172</v>
      </c>
      <c r="H1947" s="1">
        <v>2.8327169999999998E-6</v>
      </c>
      <c r="I1947">
        <v>284.34010000000001</v>
      </c>
      <c r="J1947">
        <v>-408.7319</v>
      </c>
      <c r="K1947">
        <v>1.1205149999999999</v>
      </c>
      <c r="L1947">
        <v>284.47460000000001</v>
      </c>
      <c r="M1947">
        <v>-0.9993514</v>
      </c>
      <c r="N1947">
        <v>-1.4660919999999999E-2</v>
      </c>
      <c r="O1947">
        <v>3.2894529999999998E-2</v>
      </c>
      <c r="P1947">
        <v>-0.97565820000000003</v>
      </c>
      <c r="Q1947">
        <v>0.2076482</v>
      </c>
      <c r="R1947">
        <v>7.0524069999999994E-2</v>
      </c>
      <c r="S1947">
        <v>-3.1165159999999998</v>
      </c>
      <c r="T1947">
        <v>-0.19140850000000001</v>
      </c>
      <c r="U1947">
        <v>-2.0385739999999999E-2</v>
      </c>
      <c r="V1947">
        <v>3.8632100000000003E-2</v>
      </c>
      <c r="W1947">
        <v>0.2219141</v>
      </c>
      <c r="X1947">
        <v>0.97430059999999996</v>
      </c>
      <c r="Y1947">
        <v>-3.93072E-2</v>
      </c>
      <c r="Z1947">
        <v>-3.0305839999999998E-3</v>
      </c>
      <c r="AA1947">
        <v>0.99922259999999996</v>
      </c>
      <c r="AB1947">
        <v>46</v>
      </c>
      <c r="AC1947">
        <v>-17.785299999999999</v>
      </c>
      <c r="AD1947">
        <v>-1.1205121672829901</v>
      </c>
      <c r="AE1947">
        <v>-0.13450000000000201</v>
      </c>
      <c r="AF1947">
        <v>-0.716684551213151</v>
      </c>
      <c r="AG1947">
        <v>-1.1205121672829901</v>
      </c>
      <c r="AH1947">
        <v>17.700992226567202</v>
      </c>
      <c r="AI1947">
        <v>93.619159899588794</v>
      </c>
      <c r="AJ1947">
        <v>92.318547075123902</v>
      </c>
      <c r="AK1947">
        <v>17.750896035636298</v>
      </c>
      <c r="AL1947">
        <v>77.178517565943196</v>
      </c>
      <c r="AM1947">
        <v>87.729348241847504</v>
      </c>
      <c r="AN1947">
        <v>0.99999998304478899</v>
      </c>
    </row>
    <row r="1948" spans="1:40" x14ac:dyDescent="0.25">
      <c r="A1948" t="str">
        <f>"20190303171015987"</f>
        <v>20190303171015987</v>
      </c>
      <c r="B1948" t="str">
        <f>"1551604215982769"</f>
        <v>1551604215982769</v>
      </c>
      <c r="C1948" t="s">
        <v>40</v>
      </c>
      <c r="D1948">
        <v>4.826435</v>
      </c>
      <c r="E1948">
        <v>0.53376029999999997</v>
      </c>
      <c r="F1948" t="s">
        <v>43</v>
      </c>
      <c r="G1948">
        <v>-409.67509999999999</v>
      </c>
      <c r="H1948">
        <v>0.99215640000000005</v>
      </c>
      <c r="I1948">
        <v>284.5677</v>
      </c>
      <c r="J1948">
        <v>-409.19189999999998</v>
      </c>
      <c r="K1948">
        <v>1.1205229999999999</v>
      </c>
      <c r="L1948">
        <v>284.49009999999998</v>
      </c>
      <c r="M1948">
        <v>-0.99934000000000001</v>
      </c>
      <c r="N1948">
        <v>-1.465792E-2</v>
      </c>
      <c r="O1948">
        <v>3.3241920000000001E-2</v>
      </c>
      <c r="P1948">
        <v>-0.97567700000000002</v>
      </c>
      <c r="Q1948">
        <v>0.20777039999999999</v>
      </c>
      <c r="R1948">
        <v>6.9901660000000004E-2</v>
      </c>
      <c r="S1948">
        <v>-3.1434630000000001</v>
      </c>
      <c r="T1948">
        <v>-0.42787599999999998</v>
      </c>
      <c r="U1948">
        <v>0.31002809999999997</v>
      </c>
      <c r="V1948">
        <v>3.7667979999999997E-2</v>
      </c>
      <c r="W1948">
        <v>0.22203500000000001</v>
      </c>
      <c r="X1948">
        <v>0.97431080000000003</v>
      </c>
      <c r="Y1948">
        <v>6.4598139999999998E-2</v>
      </c>
      <c r="Z1948">
        <v>8.3639979999999999E-4</v>
      </c>
      <c r="AA1948">
        <v>0.99791099999999999</v>
      </c>
      <c r="AB1948">
        <v>46</v>
      </c>
      <c r="AC1948">
        <v>-0.48320000000001001</v>
      </c>
      <c r="AD1948">
        <v>-0.128366599999999</v>
      </c>
      <c r="AE1948">
        <v>7.7600000000018099E-2</v>
      </c>
      <c r="AF1948">
        <v>5.7534486143689598E-2</v>
      </c>
      <c r="AG1948">
        <v>-0.128366599999999</v>
      </c>
      <c r="AH1948">
        <v>0.454259485575919</v>
      </c>
      <c r="AI1948">
        <v>105.66055653787301</v>
      </c>
      <c r="AJ1948">
        <v>82.781605912713601</v>
      </c>
      <c r="AK1948">
        <v>0.47554167149375698</v>
      </c>
      <c r="AL1948">
        <v>77.171413185606198</v>
      </c>
      <c r="AM1948">
        <v>87.785981685002696</v>
      </c>
      <c r="AN1948">
        <v>0.99999997646945904</v>
      </c>
    </row>
    <row r="1949" spans="1:40" x14ac:dyDescent="0.25">
      <c r="A1949" t="str">
        <f>"20190303171016009"</f>
        <v>20190303171016009</v>
      </c>
      <c r="B1949" t="str">
        <f>"1551604216002292"</f>
        <v>1551604216002292</v>
      </c>
      <c r="C1949" t="s">
        <v>40</v>
      </c>
      <c r="D1949">
        <v>4.8355030000000001</v>
      </c>
      <c r="E1949">
        <v>0.53640010000000005</v>
      </c>
      <c r="F1949" t="s">
        <v>43</v>
      </c>
      <c r="G1949">
        <v>-410.07240000000002</v>
      </c>
      <c r="H1949">
        <v>0.97160899999999994</v>
      </c>
      <c r="I1949">
        <v>284.6044</v>
      </c>
      <c r="J1949">
        <v>-409.65030000000002</v>
      </c>
      <c r="K1949">
        <v>1.120522</v>
      </c>
      <c r="L1949">
        <v>284.50560000000002</v>
      </c>
      <c r="M1949">
        <v>-0.99932860000000001</v>
      </c>
      <c r="N1949">
        <v>-1.4655049999999999E-2</v>
      </c>
      <c r="O1949">
        <v>3.3582790000000001E-2</v>
      </c>
      <c r="P1949">
        <v>-0.97583869999999895</v>
      </c>
      <c r="Q1949">
        <v>0.20700160000000001</v>
      </c>
      <c r="R1949">
        <v>6.9923219999999994E-2</v>
      </c>
      <c r="S1949">
        <v>-3.1593019999999998</v>
      </c>
      <c r="T1949">
        <v>-0.53440480000000001</v>
      </c>
      <c r="U1949">
        <v>0.40905760000000002</v>
      </c>
      <c r="V1949">
        <v>3.7347600000000002E-2</v>
      </c>
      <c r="W1949">
        <v>0.22126689999999999</v>
      </c>
      <c r="X1949">
        <v>0.97449790000000003</v>
      </c>
      <c r="Y1949">
        <v>9.3986650000000005E-2</v>
      </c>
      <c r="Z1949">
        <v>3.4312269999999998E-3</v>
      </c>
      <c r="AA1949">
        <v>0.9955676</v>
      </c>
      <c r="AB1949">
        <v>46</v>
      </c>
      <c r="AC1949">
        <v>-0.42209999999999998</v>
      </c>
      <c r="AD1949">
        <v>-0.14891299999999899</v>
      </c>
      <c r="AE1949">
        <v>9.8799999999982901E-2</v>
      </c>
      <c r="AF1949">
        <v>7.5641950073290498E-2</v>
      </c>
      <c r="AG1949">
        <v>-0.14891299999999899</v>
      </c>
      <c r="AH1949">
        <v>0.38030544813373801</v>
      </c>
      <c r="AI1949">
        <v>111.008731419697</v>
      </c>
      <c r="AJ1949">
        <v>78.750798086012296</v>
      </c>
      <c r="AK1949">
        <v>0.41536612772359399</v>
      </c>
      <c r="AL1949">
        <v>77.216545248404998</v>
      </c>
      <c r="AM1949">
        <v>87.805215280942505</v>
      </c>
      <c r="AN1949">
        <v>1.0000000206828801</v>
      </c>
    </row>
    <row r="1950" spans="1:40" x14ac:dyDescent="0.25">
      <c r="A1950" t="str">
        <f>"20190303171016031"</f>
        <v>20190303171016031</v>
      </c>
      <c r="B1950" t="str">
        <f>"1551604216022785"</f>
        <v>1551604216022785</v>
      </c>
      <c r="C1950" t="s">
        <v>40</v>
      </c>
      <c r="D1950">
        <v>4.8037939999999999</v>
      </c>
      <c r="E1950">
        <v>0.53805599999999998</v>
      </c>
      <c r="F1950" t="s">
        <v>43</v>
      </c>
      <c r="G1950">
        <v>-410.47969999999998</v>
      </c>
      <c r="H1950">
        <v>0.97069360000000005</v>
      </c>
      <c r="I1950">
        <v>284.61799999999999</v>
      </c>
      <c r="J1950">
        <v>-410.09710000000001</v>
      </c>
      <c r="K1950">
        <v>1.12053</v>
      </c>
      <c r="L1950">
        <v>284.52089999999998</v>
      </c>
      <c r="M1950">
        <v>-0.99931769999999998</v>
      </c>
      <c r="N1950">
        <v>-1.4652210000000001E-2</v>
      </c>
      <c r="O1950">
        <v>3.3903820000000001E-2</v>
      </c>
      <c r="P1950">
        <v>-0.97594910000000001</v>
      </c>
      <c r="Q1950">
        <v>0.20659250000000001</v>
      </c>
      <c r="R1950">
        <v>6.9590780000000005E-2</v>
      </c>
      <c r="S1950">
        <v>-3.1647949999999998</v>
      </c>
      <c r="T1950">
        <v>-0.57170219999999905</v>
      </c>
      <c r="U1950">
        <v>0.42864989999999997</v>
      </c>
      <c r="V1950">
        <v>3.6693129999999997E-2</v>
      </c>
      <c r="W1950">
        <v>0.2208581</v>
      </c>
      <c r="X1950">
        <v>0.97461549999999997</v>
      </c>
      <c r="Y1950">
        <v>9.9285769999999995E-2</v>
      </c>
      <c r="Z1950">
        <v>4.0403669999999996E-3</v>
      </c>
      <c r="AA1950">
        <v>0.99505080000000001</v>
      </c>
      <c r="AB1950">
        <v>46</v>
      </c>
      <c r="AC1950">
        <v>-0.38259999999996802</v>
      </c>
      <c r="AD1950">
        <v>-0.14983640000000001</v>
      </c>
      <c r="AE1950">
        <v>9.7100000000011705E-2</v>
      </c>
      <c r="AF1950">
        <v>7.3482957497061394E-2</v>
      </c>
      <c r="AG1950">
        <v>-0.14983640000000001</v>
      </c>
      <c r="AH1950">
        <v>0.33709949481827201</v>
      </c>
      <c r="AI1950">
        <v>113.474760404108</v>
      </c>
      <c r="AJ1950">
        <v>77.702696461902093</v>
      </c>
      <c r="AK1950">
        <v>0.37614726001156701</v>
      </c>
      <c r="AL1950">
        <v>77.240562058565402</v>
      </c>
      <c r="AM1950">
        <v>87.843899455327602</v>
      </c>
      <c r="AN1950">
        <v>1.00000002948252</v>
      </c>
    </row>
    <row r="1951" spans="1:40" x14ac:dyDescent="0.25">
      <c r="A1951" t="str">
        <f>"20190303171016054"</f>
        <v>20190303171016054</v>
      </c>
      <c r="B1951" t="str">
        <f>"1551604216042305"</f>
        <v>1551604216042305</v>
      </c>
      <c r="C1951" t="s">
        <v>40</v>
      </c>
      <c r="D1951">
        <v>4.8133509999999999</v>
      </c>
      <c r="E1951">
        <v>0.53881309999999905</v>
      </c>
      <c r="F1951" t="s">
        <v>43</v>
      </c>
      <c r="G1951">
        <v>-410.88819999999998</v>
      </c>
      <c r="H1951">
        <v>0.97245130000000002</v>
      </c>
      <c r="I1951">
        <v>284.63069999999999</v>
      </c>
      <c r="J1951">
        <v>-410.55500000000001</v>
      </c>
      <c r="K1951">
        <v>1.1205480000000001</v>
      </c>
      <c r="L1951">
        <v>284.5367</v>
      </c>
      <c r="M1951">
        <v>-0.99930719999999995</v>
      </c>
      <c r="N1951">
        <v>-1.4649219999999999E-2</v>
      </c>
      <c r="O1951">
        <v>3.4215639999999999E-2</v>
      </c>
      <c r="P1951">
        <v>-0.97584090000000001</v>
      </c>
      <c r="Q1951">
        <v>0.20730229999999999</v>
      </c>
      <c r="R1951">
        <v>6.8994829999999993E-2</v>
      </c>
      <c r="S1951">
        <v>-3.1682429999999999</v>
      </c>
      <c r="T1951">
        <v>-0.59320530000000005</v>
      </c>
      <c r="U1951">
        <v>0.4382935</v>
      </c>
      <c r="V1951">
        <v>3.5789840000000003E-2</v>
      </c>
      <c r="W1951">
        <v>0.22156490000000001</v>
      </c>
      <c r="X1951">
        <v>0.97448860000000004</v>
      </c>
      <c r="Y1951">
        <v>0.1016806</v>
      </c>
      <c r="Z1951">
        <v>4.3267640000000003E-3</v>
      </c>
      <c r="AA1951">
        <v>0.99480769999999996</v>
      </c>
      <c r="AB1951">
        <v>46</v>
      </c>
      <c r="AC1951">
        <v>-0.33319999999997602</v>
      </c>
      <c r="AD1951">
        <v>-0.148096699999999</v>
      </c>
      <c r="AE1951">
        <v>9.3999999999994005E-2</v>
      </c>
      <c r="AF1951">
        <v>6.9775067481686603E-2</v>
      </c>
      <c r="AG1951">
        <v>-0.148096699999999</v>
      </c>
      <c r="AH1951">
        <v>0.284213741049893</v>
      </c>
      <c r="AI1951">
        <v>116.841605176239</v>
      </c>
      <c r="AJ1951">
        <v>76.206563815550695</v>
      </c>
      <c r="AK1951">
        <v>0.327991834036366</v>
      </c>
      <c r="AL1951">
        <v>77.199035930115798</v>
      </c>
      <c r="AM1951">
        <v>87.896655194349094</v>
      </c>
      <c r="AN1951">
        <v>0.99999997454459699</v>
      </c>
    </row>
    <row r="1952" spans="1:40" x14ac:dyDescent="0.25">
      <c r="A1952" t="str">
        <f>"20190303171016077"</f>
        <v>20190303171016077</v>
      </c>
      <c r="B1952" t="str">
        <f>"1551604216062801"</f>
        <v>1551604216062801</v>
      </c>
      <c r="C1952" t="s">
        <v>40</v>
      </c>
      <c r="D1952">
        <v>4.8148150000000003</v>
      </c>
      <c r="E1952">
        <v>0.53926399999999997</v>
      </c>
      <c r="F1952" t="s">
        <v>43</v>
      </c>
      <c r="G1952">
        <v>-411.2989</v>
      </c>
      <c r="H1952">
        <v>0.97927629999999999</v>
      </c>
      <c r="I1952">
        <v>284.64069999999998</v>
      </c>
      <c r="J1952">
        <v>-411.01949999999999</v>
      </c>
      <c r="K1952">
        <v>1.1205689999999999</v>
      </c>
      <c r="L1952">
        <v>284.55279999999999</v>
      </c>
      <c r="M1952">
        <v>-0.99929730000000005</v>
      </c>
      <c r="N1952">
        <v>-1.464616E-2</v>
      </c>
      <c r="O1952">
        <v>3.4505519999999998E-2</v>
      </c>
      <c r="P1952">
        <v>-0.97575719999999999</v>
      </c>
      <c r="Q1952">
        <v>0.2080079</v>
      </c>
      <c r="R1952">
        <v>6.8051029999999998E-2</v>
      </c>
      <c r="S1952">
        <v>-3.1709589999999999</v>
      </c>
      <c r="T1952">
        <v>-0.60229060000000001</v>
      </c>
      <c r="U1952">
        <v>0.44168089999999999</v>
      </c>
      <c r="V1952">
        <v>3.4555719999999998E-2</v>
      </c>
      <c r="W1952">
        <v>0.22226889999999999</v>
      </c>
      <c r="X1952">
        <v>0.97437289999999999</v>
      </c>
      <c r="Y1952">
        <v>0.1022759</v>
      </c>
      <c r="Z1952">
        <v>4.3802499999999996E-3</v>
      </c>
      <c r="AA1952">
        <v>0.99474640000000003</v>
      </c>
      <c r="AB1952">
        <v>46</v>
      </c>
      <c r="AC1952">
        <v>-0.27940000000000897</v>
      </c>
      <c r="AD1952">
        <v>-0.14129269999999999</v>
      </c>
      <c r="AE1952">
        <v>8.78999999999905E-2</v>
      </c>
      <c r="AF1952">
        <v>6.3442593208880002E-2</v>
      </c>
      <c r="AG1952">
        <v>-0.14129269999999999</v>
      </c>
      <c r="AH1952">
        <v>0.228982426546189</v>
      </c>
      <c r="AI1952">
        <v>120.737594531277</v>
      </c>
      <c r="AJ1952">
        <v>74.5139079361835</v>
      </c>
      <c r="AK1952">
        <v>0.27644446345213403</v>
      </c>
      <c r="AL1952">
        <v>77.157669270005798</v>
      </c>
      <c r="AM1952">
        <v>87.968880828564807</v>
      </c>
      <c r="AN1952">
        <v>1.00000005497316</v>
      </c>
    </row>
    <row r="1953" spans="1:40" x14ac:dyDescent="0.25">
      <c r="A1953" t="str">
        <f>"20190303171016099"</f>
        <v>20190303171016099</v>
      </c>
      <c r="B1953" t="str">
        <f>"1551604216093057"</f>
        <v>1551604216093057</v>
      </c>
      <c r="C1953" t="s">
        <v>40</v>
      </c>
      <c r="D1953">
        <v>4.8036000000000003</v>
      </c>
      <c r="E1953">
        <v>0.54006730000000003</v>
      </c>
      <c r="F1953" t="s">
        <v>43</v>
      </c>
      <c r="G1953">
        <v>-412.08179999999999</v>
      </c>
      <c r="H1953">
        <v>0.91703409999999996</v>
      </c>
      <c r="I1953">
        <v>284.70060000000001</v>
      </c>
      <c r="J1953">
        <v>-411.4864</v>
      </c>
      <c r="K1953">
        <v>1.120603</v>
      </c>
      <c r="L1953">
        <v>284.56920000000002</v>
      </c>
      <c r="M1953">
        <v>-0.99928870000000003</v>
      </c>
      <c r="N1953">
        <v>-1.4643059999999999E-2</v>
      </c>
      <c r="O1953">
        <v>3.4751839999999999E-2</v>
      </c>
      <c r="P1953">
        <v>-0.97562309999999997</v>
      </c>
      <c r="Q1953">
        <v>0.20880650000000001</v>
      </c>
      <c r="R1953">
        <v>6.7524689999999998E-2</v>
      </c>
      <c r="S1953">
        <v>-3.1734010000000001</v>
      </c>
      <c r="T1953">
        <v>-0.60801859999999996</v>
      </c>
      <c r="U1953">
        <v>0.44113160000000001</v>
      </c>
      <c r="V1953">
        <v>3.3777290000000001E-2</v>
      </c>
      <c r="W1953">
        <v>0.22306519999999999</v>
      </c>
      <c r="X1953">
        <v>0.97421809999999998</v>
      </c>
      <c r="Y1953">
        <v>0.1017484</v>
      </c>
      <c r="Z1953">
        <v>4.3101859999999997E-3</v>
      </c>
      <c r="AA1953">
        <v>0.99480080000000004</v>
      </c>
      <c r="AB1953">
        <v>46</v>
      </c>
      <c r="AC1953">
        <v>-0.59539999999998305</v>
      </c>
      <c r="AD1953">
        <v>-0.203568899999999</v>
      </c>
      <c r="AE1953">
        <v>0.131399999999985</v>
      </c>
      <c r="AF1953">
        <v>9.9532426442278998E-2</v>
      </c>
      <c r="AG1953">
        <v>-0.203568899999999</v>
      </c>
      <c r="AH1953">
        <v>0.53947296226854602</v>
      </c>
      <c r="AI1953">
        <v>110.359120528114</v>
      </c>
      <c r="AJ1953">
        <v>79.546518611320394</v>
      </c>
      <c r="AK1953">
        <v>0.58513082125239102</v>
      </c>
      <c r="AL1953">
        <v>77.110868309994004</v>
      </c>
      <c r="AM1953">
        <v>88.014283195844101</v>
      </c>
      <c r="AN1953">
        <v>0.99999994756919497</v>
      </c>
    </row>
    <row r="1954" spans="1:40" x14ac:dyDescent="0.25">
      <c r="A1954" t="str">
        <f>"20190303171016120"</f>
        <v>20190303171016120</v>
      </c>
      <c r="B1954" t="str">
        <f>"1551604216112581"</f>
        <v>1551604216112581</v>
      </c>
      <c r="C1954" t="s">
        <v>40</v>
      </c>
      <c r="D1954">
        <v>4.8170840000000004</v>
      </c>
      <c r="E1954">
        <v>0.54076299999999999</v>
      </c>
      <c r="F1954" t="s">
        <v>43</v>
      </c>
      <c r="G1954">
        <v>-412.49239999999998</v>
      </c>
      <c r="H1954">
        <v>0.92644490000000002</v>
      </c>
      <c r="I1954">
        <v>284.71069999999997</v>
      </c>
      <c r="J1954">
        <v>-411.91480000000001</v>
      </c>
      <c r="K1954">
        <v>1.12064599999999</v>
      </c>
      <c r="L1954">
        <v>284.58420000000001</v>
      </c>
      <c r="M1954">
        <v>-0.99928229999999996</v>
      </c>
      <c r="N1954">
        <v>-1.464032E-2</v>
      </c>
      <c r="O1954">
        <v>3.4940569999999997E-2</v>
      </c>
      <c r="P1954">
        <v>-0.97568080000000001</v>
      </c>
      <c r="Q1954">
        <v>0.20852029999999999</v>
      </c>
      <c r="R1954">
        <v>6.7577479999999995E-2</v>
      </c>
      <c r="S1954">
        <v>-3.175354</v>
      </c>
      <c r="T1954">
        <v>-0.61291989999999996</v>
      </c>
      <c r="U1954">
        <v>0.44528200000000001</v>
      </c>
      <c r="V1954">
        <v>3.3624660000000001E-2</v>
      </c>
      <c r="W1954">
        <v>0.2227807</v>
      </c>
      <c r="X1954">
        <v>0.9742885</v>
      </c>
      <c r="Y1954">
        <v>0.1027173</v>
      </c>
      <c r="Z1954">
        <v>4.3983779999999997E-3</v>
      </c>
      <c r="AA1954">
        <v>0.99470080000000005</v>
      </c>
      <c r="AB1954">
        <v>45</v>
      </c>
      <c r="AC1954">
        <v>-0.57759999999996103</v>
      </c>
      <c r="AD1954">
        <v>-0.19420109999999899</v>
      </c>
      <c r="AE1954">
        <v>0.126499999999964</v>
      </c>
      <c r="AF1954">
        <v>9.5894711229914095E-2</v>
      </c>
      <c r="AG1954">
        <v>-0.19420109999999899</v>
      </c>
      <c r="AH1954">
        <v>0.52503227299619104</v>
      </c>
      <c r="AI1954">
        <v>109.994663804615</v>
      </c>
      <c r="AJ1954">
        <v>79.649282715577499</v>
      </c>
      <c r="AK1954">
        <v>0.567951362856561</v>
      </c>
      <c r="AL1954">
        <v>77.127590026110695</v>
      </c>
      <c r="AM1954">
        <v>88.023391674993107</v>
      </c>
      <c r="AN1954">
        <v>0.99999996964242699</v>
      </c>
    </row>
    <row r="1955" spans="1:40" x14ac:dyDescent="0.25">
      <c r="A1955" t="str">
        <f>"20190303171016142"</f>
        <v>20190303171016142</v>
      </c>
      <c r="B1955" t="str">
        <f>"1551604216132098"</f>
        <v>1551604216132098</v>
      </c>
      <c r="C1955" t="s">
        <v>40</v>
      </c>
      <c r="D1955">
        <v>4.8328189999999998</v>
      </c>
      <c r="E1955">
        <v>0.54097980000000001</v>
      </c>
      <c r="F1955" t="s">
        <v>43</v>
      </c>
      <c r="G1955">
        <v>-412.8997</v>
      </c>
      <c r="H1955">
        <v>0.92918000000000001</v>
      </c>
      <c r="I1955">
        <v>284.72390000000001</v>
      </c>
      <c r="J1955">
        <v>-412.36660000000001</v>
      </c>
      <c r="K1955">
        <v>1.12069</v>
      </c>
      <c r="L1955">
        <v>284.6001</v>
      </c>
      <c r="M1955">
        <v>-0.99927699999999997</v>
      </c>
      <c r="N1955">
        <v>-1.463735E-2</v>
      </c>
      <c r="O1955">
        <v>3.5091560000000001E-2</v>
      </c>
      <c r="P1955">
        <v>-0.97575129999999999</v>
      </c>
      <c r="Q1955">
        <v>0.2080572</v>
      </c>
      <c r="R1955">
        <v>6.7981139999999995E-2</v>
      </c>
      <c r="S1955">
        <v>-3.1755369999999998</v>
      </c>
      <c r="T1955">
        <v>-0.61742039999999998</v>
      </c>
      <c r="U1955">
        <v>0.44970700000000002</v>
      </c>
      <c r="V1955">
        <v>3.3854199999999897E-2</v>
      </c>
      <c r="W1955">
        <v>0.22231909999999999</v>
      </c>
      <c r="X1955">
        <v>0.97438599999999997</v>
      </c>
      <c r="Y1955">
        <v>0.103878399999999</v>
      </c>
      <c r="Z1955">
        <v>4.5135239999999997E-3</v>
      </c>
      <c r="AA1955">
        <v>0.99457969999999896</v>
      </c>
      <c r="AB1955">
        <v>45</v>
      </c>
      <c r="AC1955">
        <v>-0.53309999999999003</v>
      </c>
      <c r="AD1955">
        <v>-0.19151000000000001</v>
      </c>
      <c r="AE1955">
        <v>0.12380000000001699</v>
      </c>
      <c r="AF1955">
        <v>9.3558328299952795E-2</v>
      </c>
      <c r="AG1955">
        <v>-0.19151000000000001</v>
      </c>
      <c r="AH1955">
        <v>0.47852200572331699</v>
      </c>
      <c r="AI1955">
        <v>111.443646165101</v>
      </c>
      <c r="AJ1955">
        <v>78.937355994372993</v>
      </c>
      <c r="AK1955">
        <v>0.52384401385884705</v>
      </c>
      <c r="AL1955">
        <v>77.154718270801496</v>
      </c>
      <c r="AM1955">
        <v>88.0101080718389</v>
      </c>
      <c r="AN1955">
        <v>0.99999998303922399</v>
      </c>
    </row>
    <row r="1956" spans="1:40" x14ac:dyDescent="0.25">
      <c r="A1956" t="str">
        <f>"20190303171016166"</f>
        <v>20190303171016166</v>
      </c>
      <c r="B1956" t="str">
        <f>"1551604216152592"</f>
        <v>1551604216152592</v>
      </c>
      <c r="C1956" t="s">
        <v>40</v>
      </c>
      <c r="D1956">
        <v>4.8352820000000003</v>
      </c>
      <c r="E1956">
        <v>0.55473450000000002</v>
      </c>
      <c r="F1956" t="s">
        <v>43</v>
      </c>
      <c r="G1956">
        <v>-413.30880000000002</v>
      </c>
      <c r="H1956">
        <v>0.93649289999999996</v>
      </c>
      <c r="I1956">
        <v>284.73489999999998</v>
      </c>
      <c r="J1956">
        <v>-412.82569999999998</v>
      </c>
      <c r="K1956">
        <v>1.1207309999999999</v>
      </c>
      <c r="L1956">
        <v>284.6164</v>
      </c>
      <c r="M1956">
        <v>-0.99927319999999997</v>
      </c>
      <c r="N1956">
        <v>-1.4634370000000001E-2</v>
      </c>
      <c r="O1956">
        <v>3.5198260000000002E-2</v>
      </c>
      <c r="P1956">
        <v>-0.97576620000000003</v>
      </c>
      <c r="Q1956">
        <v>0.20813860000000001</v>
      </c>
      <c r="R1956">
        <v>6.7520339999999998E-2</v>
      </c>
      <c r="S1956">
        <v>-3.1752929999999999</v>
      </c>
      <c r="T1956">
        <v>-0.6207298</v>
      </c>
      <c r="U1956">
        <v>0.4536133</v>
      </c>
      <c r="V1956">
        <v>3.3264380000000003E-2</v>
      </c>
      <c r="W1956">
        <v>0.2224023</v>
      </c>
      <c r="X1956">
        <v>0.97438729999999996</v>
      </c>
      <c r="Y1956">
        <v>0.10494779999999999</v>
      </c>
      <c r="Z1956">
        <v>4.6223380000000001E-3</v>
      </c>
      <c r="AA1956">
        <v>0.99446699999999999</v>
      </c>
      <c r="AB1956">
        <v>45</v>
      </c>
      <c r="AC1956">
        <v>-0.483100000000035</v>
      </c>
      <c r="AD1956">
        <v>-0.18423809999999999</v>
      </c>
      <c r="AE1956">
        <v>0.11849999999998299</v>
      </c>
      <c r="AF1956">
        <v>8.9185446441114896E-2</v>
      </c>
      <c r="AG1956">
        <v>-0.18423809999999999</v>
      </c>
      <c r="AH1956">
        <v>0.42822542260861002</v>
      </c>
      <c r="AI1956">
        <v>112.84074796272201</v>
      </c>
      <c r="AJ1956">
        <v>78.235325127241694</v>
      </c>
      <c r="AK1956">
        <v>0.47463115565334901</v>
      </c>
      <c r="AL1956">
        <v>77.149828502051406</v>
      </c>
      <c r="AM1956">
        <v>88.044752140827597</v>
      </c>
      <c r="AN1956">
        <v>0.99999995621168103</v>
      </c>
    </row>
    <row r="1957" spans="1:40" x14ac:dyDescent="0.25">
      <c r="A1957" t="str">
        <f>"20190303171016188"</f>
        <v>20190303171016188</v>
      </c>
      <c r="B1957" t="str">
        <f>"1551604216182849"</f>
        <v>1551604216182849</v>
      </c>
      <c r="C1957" t="s">
        <v>40</v>
      </c>
      <c r="D1957">
        <v>4.7884650000000004</v>
      </c>
      <c r="E1957">
        <v>0.55536009999999902</v>
      </c>
      <c r="F1957" t="s">
        <v>43</v>
      </c>
      <c r="G1957">
        <v>-413.71109999999999</v>
      </c>
      <c r="H1957">
        <v>0.93023109999999998</v>
      </c>
      <c r="I1957">
        <v>284.77199999999999</v>
      </c>
      <c r="J1957">
        <v>-413.29390000000001</v>
      </c>
      <c r="K1957">
        <v>1.120779</v>
      </c>
      <c r="L1957">
        <v>284.63290000000001</v>
      </c>
      <c r="M1957">
        <v>-0.99927100000000002</v>
      </c>
      <c r="N1957">
        <v>-1.463136E-2</v>
      </c>
      <c r="O1957">
        <v>3.5260550000000002E-2</v>
      </c>
      <c r="P1957">
        <v>-0.97579479999999996</v>
      </c>
      <c r="Q1957">
        <v>0.2080796</v>
      </c>
      <c r="R1957">
        <v>6.7286139999999994E-2</v>
      </c>
      <c r="S1957">
        <v>-3.1819459999999999</v>
      </c>
      <c r="T1957">
        <v>-0.68473260000000002</v>
      </c>
      <c r="U1957">
        <v>0.55841059999999998</v>
      </c>
      <c r="V1957">
        <v>3.2942979999999997E-2</v>
      </c>
      <c r="W1957">
        <v>0.22234419999999999</v>
      </c>
      <c r="X1957">
        <v>0.97441149999999999</v>
      </c>
      <c r="Y1957">
        <v>0.1354707</v>
      </c>
      <c r="Z1957">
        <v>8.3829349999999993E-3</v>
      </c>
      <c r="AA1957">
        <v>0.99074589999999996</v>
      </c>
      <c r="AB1957">
        <v>45</v>
      </c>
      <c r="AC1957">
        <v>-0.41719999999997898</v>
      </c>
      <c r="AD1957">
        <v>-0.19054789999999999</v>
      </c>
      <c r="AE1957">
        <v>0.13909999999998399</v>
      </c>
      <c r="AF1957">
        <v>0.104654134714352</v>
      </c>
      <c r="AG1957">
        <v>-0.19054789999999999</v>
      </c>
      <c r="AH1957">
        <v>0.355168758233469</v>
      </c>
      <c r="AI1957">
        <v>117.231417500891</v>
      </c>
      <c r="AJ1957">
        <v>73.581847327282702</v>
      </c>
      <c r="AK1957">
        <v>0.41642026479546401</v>
      </c>
      <c r="AL1957">
        <v>77.153243152603196</v>
      </c>
      <c r="AM1957">
        <v>88.063677322191893</v>
      </c>
      <c r="AN1957">
        <v>0.99999997726858403</v>
      </c>
    </row>
    <row r="1958" spans="1:40" x14ac:dyDescent="0.25">
      <c r="A1958" t="str">
        <f>"20190303171016210"</f>
        <v>20190303171016210</v>
      </c>
      <c r="B1958" t="str">
        <f>"1551604216202373"</f>
        <v>1551604216202373</v>
      </c>
      <c r="C1958" t="s">
        <v>40</v>
      </c>
      <c r="D1958">
        <v>4.7463249999999997</v>
      </c>
      <c r="E1958">
        <v>0.55545250000000002</v>
      </c>
      <c r="F1958" t="s">
        <v>43</v>
      </c>
      <c r="G1958">
        <v>-414.12139999999999</v>
      </c>
      <c r="H1958">
        <v>0.94137999999999999</v>
      </c>
      <c r="I1958">
        <v>284.77949999999998</v>
      </c>
      <c r="J1958">
        <v>-413.73450000000003</v>
      </c>
      <c r="K1958">
        <v>1.1208290000000001</v>
      </c>
      <c r="L1958">
        <v>284.64839999999998</v>
      </c>
      <c r="M1958">
        <v>-0.99927080000000001</v>
      </c>
      <c r="N1958">
        <v>-1.4628499999999999E-2</v>
      </c>
      <c r="O1958">
        <v>3.5272060000000001E-2</v>
      </c>
      <c r="P1958">
        <v>-0.97568350000000004</v>
      </c>
      <c r="Q1958">
        <v>0.20881569999999999</v>
      </c>
      <c r="R1958">
        <v>6.6620230000000003E-2</v>
      </c>
      <c r="S1958">
        <v>-3.1827390000000002</v>
      </c>
      <c r="T1958">
        <v>-0.69006250000000002</v>
      </c>
      <c r="U1958">
        <v>0.56295779999999995</v>
      </c>
      <c r="V1958">
        <v>3.2246070000000002E-2</v>
      </c>
      <c r="W1958">
        <v>0.2230791</v>
      </c>
      <c r="X1958">
        <v>0.97426679999999999</v>
      </c>
      <c r="Y1958">
        <v>0.13672509999999999</v>
      </c>
      <c r="Z1958">
        <v>8.5730979999999995E-3</v>
      </c>
      <c r="AA1958">
        <v>0.99057189999999995</v>
      </c>
      <c r="AB1958">
        <v>45</v>
      </c>
      <c r="AC1958">
        <v>-0.38689999999996799</v>
      </c>
      <c r="AD1958">
        <v>-0.179449</v>
      </c>
      <c r="AE1958">
        <v>0.13110000000000299</v>
      </c>
      <c r="AF1958">
        <v>9.8385187339807903E-2</v>
      </c>
      <c r="AG1958">
        <v>-0.179449</v>
      </c>
      <c r="AH1958">
        <v>0.32799245748158001</v>
      </c>
      <c r="AI1958">
        <v>117.656557432518</v>
      </c>
      <c r="AJ1958">
        <v>73.302767067971203</v>
      </c>
      <c r="AK1958">
        <v>0.38660139789413001</v>
      </c>
      <c r="AL1958">
        <v>77.110051287790697</v>
      </c>
      <c r="AM1958">
        <v>88.104328799904593</v>
      </c>
      <c r="AN1958">
        <v>0.99999994573474504</v>
      </c>
    </row>
    <row r="1959" spans="1:40" x14ac:dyDescent="0.25">
      <c r="A1959" t="str">
        <f>"20190303171016232"</f>
        <v>20190303171016232</v>
      </c>
      <c r="B1959" t="str">
        <f>"1551604216222865"</f>
        <v>1551604216222865</v>
      </c>
      <c r="C1959" t="s">
        <v>40</v>
      </c>
      <c r="D1959">
        <v>4.7470660000000002</v>
      </c>
      <c r="E1959">
        <v>0.55562389999999995</v>
      </c>
      <c r="F1959" t="s">
        <v>43</v>
      </c>
      <c r="G1959">
        <v>-414.52969999999999</v>
      </c>
      <c r="H1959">
        <v>0.94892500000000002</v>
      </c>
      <c r="I1959">
        <v>284.78899999999999</v>
      </c>
      <c r="J1959">
        <v>-414.17500000000001</v>
      </c>
      <c r="K1959">
        <v>1.1208800000000001</v>
      </c>
      <c r="L1959">
        <v>284.66399999999999</v>
      </c>
      <c r="M1959">
        <v>-0.99927200000000005</v>
      </c>
      <c r="N1959">
        <v>-1.462566E-2</v>
      </c>
      <c r="O1959">
        <v>3.5238480000000003E-2</v>
      </c>
      <c r="P1959">
        <v>-0.97575959999999995</v>
      </c>
      <c r="Q1959">
        <v>0.20879629999999999</v>
      </c>
      <c r="R1959">
        <v>6.5556439999999994E-2</v>
      </c>
      <c r="S1959">
        <v>-3.1836850000000001</v>
      </c>
      <c r="T1959">
        <v>-0.68824739999999995</v>
      </c>
      <c r="U1959">
        <v>0.56207280000000004</v>
      </c>
      <c r="V1959">
        <v>3.1187300000000001E-2</v>
      </c>
      <c r="W1959">
        <v>0.2230615</v>
      </c>
      <c r="X1959">
        <v>0.97430539999999999</v>
      </c>
      <c r="Y1959">
        <v>0.13646059999999999</v>
      </c>
      <c r="Z1959">
        <v>8.5293709999999991E-3</v>
      </c>
      <c r="AA1959">
        <v>0.99060879999999996</v>
      </c>
      <c r="AB1959">
        <v>45</v>
      </c>
      <c r="AC1959">
        <v>-0.35469999999997898</v>
      </c>
      <c r="AD1959">
        <v>-0.171954999999999</v>
      </c>
      <c r="AE1959">
        <v>0.125</v>
      </c>
      <c r="AF1959">
        <v>9.2983088446950204E-2</v>
      </c>
      <c r="AG1959">
        <v>-0.171954999999999</v>
      </c>
      <c r="AH1959">
        <v>0.29683026815436098</v>
      </c>
      <c r="AI1959">
        <v>118.93449727994501</v>
      </c>
      <c r="AJ1959">
        <v>72.606658011306195</v>
      </c>
      <c r="AK1959">
        <v>0.35541888646317499</v>
      </c>
      <c r="AL1959">
        <v>77.111087080495096</v>
      </c>
      <c r="AM1959">
        <v>88.166600803243597</v>
      </c>
      <c r="AN1959">
        <v>1.0000000464663401</v>
      </c>
    </row>
    <row r="1960" spans="1:40" x14ac:dyDescent="0.25">
      <c r="A1960" t="str">
        <f>"20190303171016255"</f>
        <v>20190303171016255</v>
      </c>
      <c r="B1960" t="str">
        <f>"1551604216242385"</f>
        <v>1551604216242385</v>
      </c>
      <c r="C1960" t="s">
        <v>40</v>
      </c>
      <c r="D1960">
        <v>4.925503</v>
      </c>
      <c r="E1960">
        <v>0.55582900000000002</v>
      </c>
      <c r="F1960" t="s">
        <v>43</v>
      </c>
      <c r="G1960">
        <v>-414.93759999999997</v>
      </c>
      <c r="H1960">
        <v>0.95616089999999998</v>
      </c>
      <c r="I1960">
        <v>284.79899999999998</v>
      </c>
      <c r="J1960">
        <v>-414.62610000000001</v>
      </c>
      <c r="K1960">
        <v>1.1209309999999999</v>
      </c>
      <c r="L1960">
        <v>284.6798</v>
      </c>
      <c r="M1960">
        <v>-0.99927460000000001</v>
      </c>
      <c r="N1960">
        <v>-1.462275E-2</v>
      </c>
      <c r="O1960">
        <v>3.5165599999999998E-2</v>
      </c>
      <c r="P1960">
        <v>-0.97587029999999997</v>
      </c>
      <c r="Q1960">
        <v>0.2088392</v>
      </c>
      <c r="R1960">
        <v>6.374341E-2</v>
      </c>
      <c r="S1960">
        <v>-3.184021</v>
      </c>
      <c r="T1960">
        <v>-0.68796089999999999</v>
      </c>
      <c r="U1960">
        <v>0.56158450000000004</v>
      </c>
      <c r="V1960">
        <v>2.9416729999999999E-2</v>
      </c>
      <c r="W1960">
        <v>0.2231061</v>
      </c>
      <c r="X1960">
        <v>0.97435020000000006</v>
      </c>
      <c r="Y1960">
        <v>0.13637089999999999</v>
      </c>
      <c r="Z1960">
        <v>8.5297589999999996E-3</v>
      </c>
      <c r="AA1960">
        <v>0.99062110000000003</v>
      </c>
      <c r="AB1960">
        <v>45</v>
      </c>
      <c r="AC1960">
        <v>-0.31149999999996603</v>
      </c>
      <c r="AD1960">
        <v>-0.164770099999999</v>
      </c>
      <c r="AE1960">
        <v>0.119200000000034</v>
      </c>
      <c r="AF1960">
        <v>8.6950156639578599E-2</v>
      </c>
      <c r="AG1960">
        <v>-0.164770099999999</v>
      </c>
      <c r="AH1960">
        <v>0.253605203138351</v>
      </c>
      <c r="AI1960">
        <v>121.574537493712</v>
      </c>
      <c r="AJ1960">
        <v>71.075395757800905</v>
      </c>
      <c r="AK1960">
        <v>0.31468256172292303</v>
      </c>
      <c r="AL1960">
        <v>77.108464938937601</v>
      </c>
      <c r="AM1960">
        <v>88.270701174586705</v>
      </c>
      <c r="AN1960">
        <v>0.99999999405057105</v>
      </c>
    </row>
    <row r="1961" spans="1:40" x14ac:dyDescent="0.25">
      <c r="A1961" t="str">
        <f>"20190303171016279"</f>
        <v>20190303171016279</v>
      </c>
      <c r="B1961" t="str">
        <f>"1551604216272641"</f>
        <v>1551604216272641</v>
      </c>
      <c r="C1961" t="s">
        <v>40</v>
      </c>
      <c r="D1961">
        <v>4.6942620000000002</v>
      </c>
      <c r="E1961">
        <v>0.4801242</v>
      </c>
      <c r="F1961" t="s">
        <v>43</v>
      </c>
      <c r="G1961">
        <v>-415.34640000000002</v>
      </c>
      <c r="H1961">
        <v>0.96573540000000002</v>
      </c>
      <c r="I1961">
        <v>284.80680000000001</v>
      </c>
      <c r="J1961">
        <v>-415.10660000000001</v>
      </c>
      <c r="K1961">
        <v>1.1209800000000001</v>
      </c>
      <c r="L1961">
        <v>284.69670000000002</v>
      </c>
      <c r="M1961">
        <v>-0.99927849999999996</v>
      </c>
      <c r="N1961">
        <v>-1.461967E-2</v>
      </c>
      <c r="O1961">
        <v>3.5055379999999997E-2</v>
      </c>
      <c r="P1961">
        <v>-0.97592579999999995</v>
      </c>
      <c r="Q1961">
        <v>0.20897660000000001</v>
      </c>
      <c r="R1961">
        <v>6.243129E-2</v>
      </c>
      <c r="S1961">
        <v>-3.1844790000000001</v>
      </c>
      <c r="T1961">
        <v>-0.68629799999999996</v>
      </c>
      <c r="U1961">
        <v>0.55950929999999999</v>
      </c>
      <c r="V1961">
        <v>2.8186340000000001E-2</v>
      </c>
      <c r="W1961">
        <v>0.2232442</v>
      </c>
      <c r="X1961">
        <v>0.97435490000000002</v>
      </c>
      <c r="Y1961">
        <v>0.135851799999999</v>
      </c>
      <c r="Z1961">
        <v>8.4751269999999903E-3</v>
      </c>
      <c r="AA1961">
        <v>0.99069289999999999</v>
      </c>
      <c r="AB1961">
        <v>45</v>
      </c>
      <c r="AC1961">
        <v>-0.23980000000000201</v>
      </c>
      <c r="AD1961">
        <v>-0.15524459999999901</v>
      </c>
      <c r="AE1961">
        <v>0.110099999999988</v>
      </c>
      <c r="AF1961">
        <v>7.5493312542201998E-2</v>
      </c>
      <c r="AG1961">
        <v>-0.15524459999999901</v>
      </c>
      <c r="AH1961">
        <v>0.18089591457332399</v>
      </c>
      <c r="AI1961">
        <v>128.379102156762</v>
      </c>
      <c r="AJ1961">
        <v>67.347753165206598</v>
      </c>
      <c r="AK1961">
        <v>0.25004691155275999</v>
      </c>
      <c r="AL1961">
        <v>77.100347172843996</v>
      </c>
      <c r="AM1961">
        <v>88.342997956781304</v>
      </c>
      <c r="AN1961">
        <v>0.999999956875121</v>
      </c>
    </row>
    <row r="1962" spans="1:40" x14ac:dyDescent="0.25">
      <c r="A1962" t="str">
        <f>"20190303171016300"</f>
        <v>20190303171016300</v>
      </c>
      <c r="B1962" t="str">
        <f>"1551604216292161"</f>
        <v>1551604216292161</v>
      </c>
      <c r="C1962" t="s">
        <v>40</v>
      </c>
      <c r="D1962">
        <v>4.6705379999999996</v>
      </c>
      <c r="E1962">
        <v>0.46264889999999997</v>
      </c>
      <c r="F1962" t="s">
        <v>43</v>
      </c>
      <c r="G1962">
        <v>-416.18450000000001</v>
      </c>
      <c r="H1962">
        <v>1.009209</v>
      </c>
      <c r="I1962">
        <v>284.68770000000001</v>
      </c>
      <c r="J1962">
        <v>-415.54320000000001</v>
      </c>
      <c r="K1962">
        <v>1.1210249999999999</v>
      </c>
      <c r="L1962">
        <v>284.71190000000001</v>
      </c>
      <c r="M1962">
        <v>-0.99928269999999997</v>
      </c>
      <c r="N1962">
        <v>-1.4616850000000001E-2</v>
      </c>
      <c r="O1962">
        <v>3.4935210000000001E-2</v>
      </c>
      <c r="P1962">
        <v>-0.97562170000000004</v>
      </c>
      <c r="Q1962">
        <v>0.2105641</v>
      </c>
      <c r="R1962">
        <v>6.184949E-2</v>
      </c>
      <c r="S1962">
        <v>-3.1456300000000001</v>
      </c>
      <c r="T1962">
        <v>-0.32627119999999998</v>
      </c>
      <c r="U1962">
        <v>-2.6977540000000001E-2</v>
      </c>
      <c r="V1962">
        <v>2.7713959999999999E-2</v>
      </c>
      <c r="W1962">
        <v>0.22482650000000001</v>
      </c>
      <c r="X1962">
        <v>0.9740046</v>
      </c>
      <c r="Y1962">
        <v>-4.3106039999999998E-2</v>
      </c>
      <c r="Z1962">
        <v>-5.6493530000000002E-3</v>
      </c>
      <c r="AA1962">
        <v>0.99905460000000001</v>
      </c>
      <c r="AB1962">
        <v>45</v>
      </c>
      <c r="AC1962">
        <v>-0.64130000000000098</v>
      </c>
      <c r="AD1962">
        <v>-0.111815999999999</v>
      </c>
      <c r="AE1962">
        <v>-2.42000000000075E-2</v>
      </c>
      <c r="AF1962">
        <v>-4.5218832911336798E-2</v>
      </c>
      <c r="AG1962">
        <v>-0.111815999999999</v>
      </c>
      <c r="AH1962">
        <v>0.621204648975754</v>
      </c>
      <c r="AI1962">
        <v>100.17753579220999</v>
      </c>
      <c r="AJ1962">
        <v>94.163340914620406</v>
      </c>
      <c r="AK1962">
        <v>0.63280548086671495</v>
      </c>
      <c r="AL1962">
        <v>77.007323912321098</v>
      </c>
      <c r="AM1962">
        <v>88.370167219264999</v>
      </c>
      <c r="AN1962">
        <v>0.99999998975114501</v>
      </c>
    </row>
    <row r="1963" spans="1:40" x14ac:dyDescent="0.25">
      <c r="A1963" t="str">
        <f>"20190303171016321"</f>
        <v>20190303171016321</v>
      </c>
      <c r="B1963" t="str">
        <f>"1551604216312658"</f>
        <v>1551604216312658</v>
      </c>
      <c r="C1963" t="s">
        <v>40</v>
      </c>
      <c r="D1963">
        <v>4.6067479999999996</v>
      </c>
      <c r="E1963">
        <v>0.45301340000000001</v>
      </c>
      <c r="F1963" t="s">
        <v>60</v>
      </c>
      <c r="G1963">
        <v>-434.4699</v>
      </c>
      <c r="H1963" s="1">
        <v>4.2757130000000001E-6</v>
      </c>
      <c r="I1963">
        <v>283.74110000000002</v>
      </c>
      <c r="J1963">
        <v>-415.97949999999997</v>
      </c>
      <c r="K1963">
        <v>1.1210580000000001</v>
      </c>
      <c r="L1963">
        <v>284.72699999999998</v>
      </c>
      <c r="M1963">
        <v>-0.99928740000000005</v>
      </c>
      <c r="N1963">
        <v>-1.461411E-2</v>
      </c>
      <c r="O1963">
        <v>3.4801739999999998E-2</v>
      </c>
      <c r="P1963">
        <v>-0.97534609999999999</v>
      </c>
      <c r="Q1963">
        <v>0.21181539999999999</v>
      </c>
      <c r="R1963">
        <v>6.1922720000000001E-2</v>
      </c>
      <c r="S1963">
        <v>-3.1250610000000001</v>
      </c>
      <c r="T1963">
        <v>-0.18509629999999999</v>
      </c>
      <c r="U1963">
        <v>-0.16027829999999901</v>
      </c>
      <c r="V1963">
        <v>2.791103E-2</v>
      </c>
      <c r="W1963">
        <v>0.226073</v>
      </c>
      <c r="X1963">
        <v>0.97371039999999998</v>
      </c>
      <c r="Y1963">
        <v>-8.5727940000000002E-2</v>
      </c>
      <c r="Z1963">
        <v>-4.7128489999999999E-3</v>
      </c>
      <c r="AA1963">
        <v>0.99630739999999995</v>
      </c>
      <c r="AB1963">
        <v>45</v>
      </c>
      <c r="AC1963">
        <v>-18.490400000000001</v>
      </c>
      <c r="AD1963">
        <v>-1.12105372428699</v>
      </c>
      <c r="AE1963">
        <v>-0.98590000000001499</v>
      </c>
      <c r="AF1963">
        <v>-1.6229207225826101</v>
      </c>
      <c r="AG1963">
        <v>-1.12105372428699</v>
      </c>
      <c r="AH1963">
        <v>18.3775202067288</v>
      </c>
      <c r="AI1963">
        <v>93.477295398371297</v>
      </c>
      <c r="AJ1963">
        <v>95.046704224623497</v>
      </c>
      <c r="AK1963">
        <v>18.4830701473877</v>
      </c>
      <c r="AL1963">
        <v>76.934017363174803</v>
      </c>
      <c r="AM1963">
        <v>88.358088358236401</v>
      </c>
      <c r="AN1963">
        <v>0.99999998499640996</v>
      </c>
    </row>
    <row r="1964" spans="1:40" x14ac:dyDescent="0.25">
      <c r="A1964" t="str">
        <f>"20190303171016343"</f>
        <v>20190303171016343</v>
      </c>
      <c r="B1964" t="str">
        <f>"1551604216332177"</f>
        <v>1551604216332177</v>
      </c>
      <c r="C1964" t="s">
        <v>40</v>
      </c>
      <c r="D1964">
        <v>4.5988089999999904</v>
      </c>
      <c r="E1964">
        <v>0.44817970000000001</v>
      </c>
      <c r="F1964" t="s">
        <v>53</v>
      </c>
      <c r="G1964">
        <v>-446.99400000000003</v>
      </c>
      <c r="H1964" s="1">
        <v>2.2813020000000001E-6</v>
      </c>
      <c r="I1964">
        <v>282.4144</v>
      </c>
      <c r="J1964">
        <v>-416.42829999999998</v>
      </c>
      <c r="K1964">
        <v>1.121081</v>
      </c>
      <c r="L1964">
        <v>284.74250000000001</v>
      </c>
      <c r="M1964">
        <v>-0.99929250000000003</v>
      </c>
      <c r="N1964">
        <v>-1.461114E-2</v>
      </c>
      <c r="O1964">
        <v>3.4655430000000001E-2</v>
      </c>
      <c r="P1964">
        <v>-0.97527810000000004</v>
      </c>
      <c r="Q1964">
        <v>0.2119713</v>
      </c>
      <c r="R1964">
        <v>6.2456079999999997E-2</v>
      </c>
      <c r="S1964">
        <v>-3.115021</v>
      </c>
      <c r="T1964">
        <v>-0.112596</v>
      </c>
      <c r="U1964">
        <v>-0.23226930000000001</v>
      </c>
      <c r="V1964">
        <v>2.8576009999999999E-2</v>
      </c>
      <c r="W1964">
        <v>0.2262267</v>
      </c>
      <c r="X1964">
        <v>0.97365550000000001</v>
      </c>
      <c r="Y1964">
        <v>-0.108769</v>
      </c>
      <c r="Z1964">
        <v>-3.5037919999999999E-3</v>
      </c>
      <c r="AA1964">
        <v>0.99406090000000003</v>
      </c>
      <c r="AB1964">
        <v>45</v>
      </c>
      <c r="AC1964">
        <v>-30.5657</v>
      </c>
      <c r="AD1964">
        <v>-1.121078718698</v>
      </c>
      <c r="AE1964">
        <v>-2.3281000000000001</v>
      </c>
      <c r="AF1964">
        <v>-3.3815590215436799</v>
      </c>
      <c r="AG1964">
        <v>-1.121078718698</v>
      </c>
      <c r="AH1964">
        <v>30.425951483390001</v>
      </c>
      <c r="AI1964">
        <v>92.097271821091098</v>
      </c>
      <c r="AJ1964">
        <v>96.341861688398694</v>
      </c>
      <c r="AK1964">
        <v>30.633809468939798</v>
      </c>
      <c r="AL1964">
        <v>76.924977919690093</v>
      </c>
      <c r="AM1964">
        <v>88.318897284046898</v>
      </c>
      <c r="AN1964">
        <v>1.00000007041032</v>
      </c>
    </row>
    <row r="1965" spans="1:40" x14ac:dyDescent="0.25">
      <c r="A1965" t="str">
        <f>"20190303171016367"</f>
        <v>20190303171016367</v>
      </c>
      <c r="B1965" t="str">
        <f>"1551604216362437"</f>
        <v>1551604216362437</v>
      </c>
      <c r="C1965" t="s">
        <v>40</v>
      </c>
      <c r="D1965">
        <v>4.5956799999999998</v>
      </c>
      <c r="E1965">
        <v>0.44456839999999997</v>
      </c>
      <c r="F1965" t="s">
        <v>53</v>
      </c>
      <c r="G1965">
        <v>-461.32510000000002</v>
      </c>
      <c r="H1965" s="1">
        <v>-6.6886359999999995E-7</v>
      </c>
      <c r="I1965">
        <v>280.8929</v>
      </c>
      <c r="J1965">
        <v>-416.89299999999997</v>
      </c>
      <c r="K1965">
        <v>1.1210979999999999</v>
      </c>
      <c r="L1965">
        <v>284.75850000000003</v>
      </c>
      <c r="M1965">
        <v>-0.99929820000000003</v>
      </c>
      <c r="N1965">
        <v>-1.4608080000000001E-2</v>
      </c>
      <c r="O1965">
        <v>3.4498679999999997E-2</v>
      </c>
      <c r="P1965">
        <v>-0.97535629999999995</v>
      </c>
      <c r="Q1965">
        <v>0.21147199999999999</v>
      </c>
      <c r="R1965">
        <v>6.292702E-2</v>
      </c>
      <c r="S1965">
        <v>-3.109985</v>
      </c>
      <c r="T1965">
        <v>-7.7656870000000003E-2</v>
      </c>
      <c r="U1965">
        <v>-0.26666260000000003</v>
      </c>
      <c r="V1965">
        <v>2.9185849999999999E-2</v>
      </c>
      <c r="W1965">
        <v>0.22572729999999999</v>
      </c>
      <c r="X1965">
        <v>0.97375319999999999</v>
      </c>
      <c r="Y1965">
        <v>-0.1196952</v>
      </c>
      <c r="Z1965">
        <v>-2.724555E-3</v>
      </c>
      <c r="AA1965">
        <v>0.992807</v>
      </c>
      <c r="AB1965">
        <v>45</v>
      </c>
      <c r="AC1965">
        <v>-44.432099999999899</v>
      </c>
      <c r="AD1965">
        <v>-1.1210986688636</v>
      </c>
      <c r="AE1965">
        <v>-3.8656000000000201</v>
      </c>
      <c r="AF1965">
        <v>-5.3929029738992798</v>
      </c>
      <c r="AG1965">
        <v>-1.1210986688636</v>
      </c>
      <c r="AH1965">
        <v>44.244317457743001</v>
      </c>
      <c r="AI1965">
        <v>91.440837453459494</v>
      </c>
      <c r="AJ1965">
        <v>96.949454163080503</v>
      </c>
      <c r="AK1965">
        <v>44.585870990850502</v>
      </c>
      <c r="AL1965">
        <v>76.9543497901373</v>
      </c>
      <c r="AM1965">
        <v>88.283214323066503</v>
      </c>
      <c r="AN1965">
        <v>0.99999996115787504</v>
      </c>
    </row>
    <row r="1966" spans="1:40" x14ac:dyDescent="0.25">
      <c r="A1966" t="str">
        <f>"20190303171016388"</f>
        <v>20190303171016388</v>
      </c>
      <c r="B1966" t="str">
        <f>"1551604216382929"</f>
        <v>1551604216382929</v>
      </c>
      <c r="C1966" t="s">
        <v>40</v>
      </c>
      <c r="D1966">
        <v>4.6136569999999999</v>
      </c>
      <c r="E1966">
        <v>0.4431097</v>
      </c>
      <c r="F1966" t="s">
        <v>52</v>
      </c>
      <c r="G1966">
        <v>-474.10379999999998</v>
      </c>
      <c r="H1966">
        <v>8.000024E-2</v>
      </c>
      <c r="I1966">
        <v>279.3895</v>
      </c>
      <c r="J1966">
        <v>-417.33769999999998</v>
      </c>
      <c r="K1966">
        <v>1.1211230000000001</v>
      </c>
      <c r="L1966">
        <v>284.77379999999999</v>
      </c>
      <c r="M1966">
        <v>-0.99930350000000001</v>
      </c>
      <c r="N1966">
        <v>-1.4605160000000001E-2</v>
      </c>
      <c r="O1966">
        <v>3.4346540000000002E-2</v>
      </c>
      <c r="P1966">
        <v>-0.97536520000000004</v>
      </c>
      <c r="Q1966">
        <v>0.21110699999999999</v>
      </c>
      <c r="R1966">
        <v>6.4009789999999997E-2</v>
      </c>
      <c r="S1966">
        <v>-3.1068419999999999</v>
      </c>
      <c r="T1966">
        <v>-5.6537030000000002E-2</v>
      </c>
      <c r="U1966">
        <v>-0.29156490000000002</v>
      </c>
      <c r="V1966">
        <v>3.0407710000000001E-2</v>
      </c>
      <c r="W1966">
        <v>0.2253617</v>
      </c>
      <c r="X1966">
        <v>0.97380049999999996</v>
      </c>
      <c r="Y1966">
        <v>-0.12754219999999999</v>
      </c>
      <c r="Z1966">
        <v>-2.2147920000000001E-3</v>
      </c>
      <c r="AA1966">
        <v>0.99183060000000001</v>
      </c>
      <c r="AB1966">
        <v>45</v>
      </c>
      <c r="AC1966">
        <v>-56.766100000000002</v>
      </c>
      <c r="AD1966">
        <v>-1.0411227599999999</v>
      </c>
      <c r="AE1966">
        <v>-5.3842999999999899</v>
      </c>
      <c r="AF1966">
        <v>-7.32860594376017</v>
      </c>
      <c r="AG1966">
        <v>-1.0411227599999999</v>
      </c>
      <c r="AH1966">
        <v>56.528802755907002</v>
      </c>
      <c r="AI1966">
        <v>91.046374453887296</v>
      </c>
      <c r="AJ1966">
        <v>97.386838788759405</v>
      </c>
      <c r="AK1966">
        <v>57.011384325383197</v>
      </c>
      <c r="AL1966">
        <v>76.975851263651805</v>
      </c>
      <c r="AM1966">
        <v>88.211473989722705</v>
      </c>
      <c r="AN1966">
        <v>0.99999996922729095</v>
      </c>
    </row>
    <row r="1967" spans="1:40" x14ac:dyDescent="0.25">
      <c r="A1967" t="str">
        <f>"20190303171016411"</f>
        <v>20190303171016411</v>
      </c>
      <c r="B1967" t="str">
        <f>"1551604216402449"</f>
        <v>1551604216402449</v>
      </c>
      <c r="C1967" t="s">
        <v>40</v>
      </c>
      <c r="D1967">
        <v>4.5748009999999999</v>
      </c>
      <c r="E1967">
        <v>0.44200669999999997</v>
      </c>
      <c r="F1967" t="s">
        <v>52</v>
      </c>
      <c r="G1967">
        <v>-489.10789999999997</v>
      </c>
      <c r="H1967" s="1">
        <v>2.7616759999999999E-6</v>
      </c>
      <c r="I1967">
        <v>277.85520000000002</v>
      </c>
      <c r="J1967">
        <v>-417.7756</v>
      </c>
      <c r="K1967">
        <v>1.1211409999999999</v>
      </c>
      <c r="L1967">
        <v>284.78870000000001</v>
      </c>
      <c r="M1967">
        <v>-0.99930859999999999</v>
      </c>
      <c r="N1967">
        <v>-1.460232E-2</v>
      </c>
      <c r="O1967">
        <v>3.4196539999999997E-2</v>
      </c>
      <c r="P1967">
        <v>-0.97531000000000001</v>
      </c>
      <c r="Q1967">
        <v>0.21115610000000001</v>
      </c>
      <c r="R1967">
        <v>6.4683409999999997E-2</v>
      </c>
      <c r="S1967">
        <v>-3.1059269999999999</v>
      </c>
      <c r="T1967">
        <v>-4.8517579999999998E-2</v>
      </c>
      <c r="U1967">
        <v>-0.29940800000000001</v>
      </c>
      <c r="V1967">
        <v>3.1222110000000001E-2</v>
      </c>
      <c r="W1967">
        <v>0.22540869999999999</v>
      </c>
      <c r="X1967">
        <v>0.97376390000000002</v>
      </c>
      <c r="Y1967">
        <v>-0.12990979999999999</v>
      </c>
      <c r="Z1967">
        <v>-1.9980699999999998E-3</v>
      </c>
      <c r="AA1967">
        <v>0.99152379999999996</v>
      </c>
      <c r="AB1967">
        <v>45</v>
      </c>
      <c r="AC1967">
        <v>-71.332299999999904</v>
      </c>
      <c r="AD1967">
        <v>-1.1211382383239901</v>
      </c>
      <c r="AE1967">
        <v>-6.93349999999998</v>
      </c>
      <c r="AF1967">
        <v>-9.3667293144347799</v>
      </c>
      <c r="AG1967">
        <v>-1.1211382383239901</v>
      </c>
      <c r="AH1967">
        <v>71.036060195350501</v>
      </c>
      <c r="AI1967">
        <v>90.896446661699599</v>
      </c>
      <c r="AJ1967">
        <v>97.511618295172894</v>
      </c>
      <c r="AK1967">
        <v>71.659712649973599</v>
      </c>
      <c r="AL1967">
        <v>76.9730878837169</v>
      </c>
      <c r="AM1967">
        <v>88.163535863587896</v>
      </c>
      <c r="AN1967">
        <v>1.0000000175658701</v>
      </c>
    </row>
    <row r="1968" spans="1:40" x14ac:dyDescent="0.25">
      <c r="A1968" t="str">
        <f>"20190303171016433"</f>
        <v>20190303171016433</v>
      </c>
      <c r="B1968" t="str">
        <f>"1551604216422945"</f>
        <v>1551604216422945</v>
      </c>
      <c r="C1968" t="s">
        <v>40</v>
      </c>
      <c r="D1968">
        <v>4.6071980000000003</v>
      </c>
      <c r="E1968">
        <v>0.44110120000000003</v>
      </c>
      <c r="F1968" t="s">
        <v>52</v>
      </c>
      <c r="G1968">
        <v>-499.95780000000002</v>
      </c>
      <c r="H1968">
        <v>3.8192160000000003E-2</v>
      </c>
      <c r="I1968">
        <v>276.67219999999998</v>
      </c>
      <c r="J1968">
        <v>-418.22320000000002</v>
      </c>
      <c r="K1968">
        <v>1.1211519999999999</v>
      </c>
      <c r="L1968">
        <v>284.80399999999997</v>
      </c>
      <c r="M1968">
        <v>-0.99931369999999997</v>
      </c>
      <c r="N1968">
        <v>-1.459944E-2</v>
      </c>
      <c r="O1968">
        <v>3.4043610000000002E-2</v>
      </c>
      <c r="P1968">
        <v>-0.975325</v>
      </c>
      <c r="Q1968">
        <v>0.21079890000000001</v>
      </c>
      <c r="R1968">
        <v>6.5613820000000003E-2</v>
      </c>
      <c r="S1968">
        <v>-3.1051329999999999</v>
      </c>
      <c r="T1968">
        <v>-4.0917630000000003E-2</v>
      </c>
      <c r="U1968">
        <v>-0.30667109999999997</v>
      </c>
      <c r="V1968">
        <v>3.2294969999999999E-2</v>
      </c>
      <c r="W1968">
        <v>0.2250509</v>
      </c>
      <c r="X1968">
        <v>0.9738116</v>
      </c>
      <c r="Y1968">
        <v>-0.1320858</v>
      </c>
      <c r="Z1968">
        <v>-1.786712E-3</v>
      </c>
      <c r="AA1968">
        <v>0.99123669999999997</v>
      </c>
      <c r="AB1968">
        <v>45</v>
      </c>
      <c r="AC1968">
        <v>-81.7346</v>
      </c>
      <c r="AD1968">
        <v>-1.08295984</v>
      </c>
      <c r="AE1968">
        <v>-8.1318000000000499</v>
      </c>
      <c r="AF1968">
        <v>-10.9080266540428</v>
      </c>
      <c r="AG1968">
        <v>-1.08295984</v>
      </c>
      <c r="AH1968">
        <v>81.396197517833002</v>
      </c>
      <c r="AI1968">
        <v>90.755510552060798</v>
      </c>
      <c r="AJ1968">
        <v>97.632817440466496</v>
      </c>
      <c r="AK1968">
        <v>82.130985735363197</v>
      </c>
      <c r="AL1968">
        <v>76.994128088223505</v>
      </c>
      <c r="AM1968">
        <v>88.100569376901504</v>
      </c>
      <c r="AN1968">
        <v>0.999999952486334</v>
      </c>
    </row>
    <row r="1969" spans="1:40" x14ac:dyDescent="0.25">
      <c r="A1969" t="str">
        <f>"20190303171016447"</f>
        <v>20190303171016447</v>
      </c>
      <c r="B1969" t="str">
        <f>"1551604216442465"</f>
        <v>1551604216442465</v>
      </c>
      <c r="C1969" t="s">
        <v>40</v>
      </c>
      <c r="D1969">
        <v>4.597677</v>
      </c>
      <c r="E1969">
        <v>0.4403668</v>
      </c>
      <c r="F1969" t="s">
        <v>52</v>
      </c>
      <c r="G1969">
        <v>-504.04640000000001</v>
      </c>
      <c r="H1969">
        <v>8.0000119999999994E-2</v>
      </c>
      <c r="I1969">
        <v>276.21510000000001</v>
      </c>
      <c r="J1969">
        <v>-418.50920000000002</v>
      </c>
      <c r="K1969">
        <v>1.121157</v>
      </c>
      <c r="L1969">
        <v>284.81360000000001</v>
      </c>
      <c r="M1969">
        <v>-0.99931720000000002</v>
      </c>
      <c r="N1969">
        <v>-1.4597590000000001E-2</v>
      </c>
      <c r="O1969">
        <v>3.394577E-2</v>
      </c>
      <c r="P1969">
        <v>-0.97534849999999995</v>
      </c>
      <c r="Q1969">
        <v>0.21057970000000001</v>
      </c>
      <c r="R1969">
        <v>6.596871E-2</v>
      </c>
      <c r="S1969">
        <v>-3.1049500000000001</v>
      </c>
      <c r="T1969">
        <v>-3.7667270000000003E-2</v>
      </c>
      <c r="U1969">
        <v>-0.31073000000000001</v>
      </c>
      <c r="V1969">
        <v>3.2741480000000003E-2</v>
      </c>
      <c r="W1969">
        <v>0.22483069999999999</v>
      </c>
      <c r="X1969">
        <v>0.97384760000000004</v>
      </c>
      <c r="Y1969">
        <v>-0.13327990000000001</v>
      </c>
      <c r="Z1969">
        <v>-1.6984260000000001E-3</v>
      </c>
      <c r="AA1969">
        <v>0.99107699999999999</v>
      </c>
      <c r="AB1969">
        <v>45</v>
      </c>
      <c r="AC1969">
        <v>-85.537199999999899</v>
      </c>
      <c r="AD1969">
        <v>-1.04115688</v>
      </c>
      <c r="AE1969">
        <v>-8.5984999999999996</v>
      </c>
      <c r="AF1969">
        <v>-11.495792420811</v>
      </c>
      <c r="AG1969">
        <v>-1.04115688</v>
      </c>
      <c r="AH1969">
        <v>85.183484340022801</v>
      </c>
      <c r="AI1969">
        <v>90.693973644956998</v>
      </c>
      <c r="AJ1969">
        <v>97.685820001220307</v>
      </c>
      <c r="AK1969">
        <v>85.961987269595298</v>
      </c>
      <c r="AL1969">
        <v>77.007077057707704</v>
      </c>
      <c r="AM1969">
        <v>88.074398633728407</v>
      </c>
      <c r="AN1969">
        <v>0.99999999810041995</v>
      </c>
    </row>
    <row r="1970" spans="1:40" x14ac:dyDescent="0.25">
      <c r="A1970" t="str">
        <f>"20190303171016460"</f>
        <v>20190303171016460</v>
      </c>
      <c r="B1970" t="str">
        <f>"1551604216453202"</f>
        <v>1551604216453202</v>
      </c>
      <c r="C1970" t="s">
        <v>40</v>
      </c>
      <c r="D1970">
        <v>4.6220589999999904</v>
      </c>
      <c r="E1970">
        <v>0.4399844</v>
      </c>
      <c r="F1970" t="s">
        <v>61</v>
      </c>
      <c r="G1970">
        <v>-512.8252</v>
      </c>
      <c r="H1970">
        <v>6.8146170000000006E-2</v>
      </c>
      <c r="I1970">
        <v>275.233</v>
      </c>
      <c r="J1970">
        <v>-418.74689999999998</v>
      </c>
      <c r="K1970">
        <v>1.121159</v>
      </c>
      <c r="L1970">
        <v>284.82170000000002</v>
      </c>
      <c r="M1970">
        <v>-0.99931999999999999</v>
      </c>
      <c r="N1970">
        <v>-1.4596029999999999E-2</v>
      </c>
      <c r="O1970">
        <v>3.3864529999999997E-2</v>
      </c>
      <c r="P1970">
        <v>-0.97550079999999995</v>
      </c>
      <c r="Q1970">
        <v>0.20989350000000001</v>
      </c>
      <c r="R1970">
        <v>6.5902539999999996E-2</v>
      </c>
      <c r="S1970">
        <v>-3.1046450000000001</v>
      </c>
      <c r="T1970">
        <v>-3.4659740000000001E-2</v>
      </c>
      <c r="U1970">
        <v>-0.3153687</v>
      </c>
      <c r="V1970">
        <v>3.2747470000000001E-2</v>
      </c>
      <c r="W1970">
        <v>0.22414580000000001</v>
      </c>
      <c r="X1970">
        <v>0.97400529999999996</v>
      </c>
      <c r="Y1970">
        <v>-0.13467689999999999</v>
      </c>
      <c r="Z1970">
        <v>-1.619597E-3</v>
      </c>
      <c r="AA1970">
        <v>0.9908882</v>
      </c>
      <c r="AB1970">
        <v>45</v>
      </c>
      <c r="AC1970">
        <v>-94.078299999999999</v>
      </c>
      <c r="AD1970">
        <v>-1.0530128299999999</v>
      </c>
      <c r="AE1970">
        <v>-9.58870000000001</v>
      </c>
      <c r="AF1970">
        <v>-12.7678722621744</v>
      </c>
      <c r="AG1970">
        <v>-1.0530128299999999</v>
      </c>
      <c r="AH1970">
        <v>93.687960148755707</v>
      </c>
      <c r="AI1970">
        <v>90.638055700498398</v>
      </c>
      <c r="AJ1970">
        <v>97.760507699385997</v>
      </c>
      <c r="AK1970">
        <v>94.559829076401101</v>
      </c>
      <c r="AL1970">
        <v>77.047347175830296</v>
      </c>
      <c r="AM1970">
        <v>88.074358207365293</v>
      </c>
      <c r="AN1970">
        <v>1.0000000304385599</v>
      </c>
    </row>
    <row r="1971" spans="1:40" x14ac:dyDescent="0.25">
      <c r="A1971" t="str">
        <f>"20190303171016471"</f>
        <v>20190303171016471</v>
      </c>
      <c r="B1971" t="str">
        <f>"1551604216462962"</f>
        <v>1551604216462962</v>
      </c>
      <c r="C1971" t="s">
        <v>40</v>
      </c>
      <c r="D1971">
        <v>4.6023389999999997</v>
      </c>
      <c r="E1971">
        <v>0.43965720000000003</v>
      </c>
      <c r="F1971" t="s">
        <v>61</v>
      </c>
      <c r="G1971">
        <v>-512.8252</v>
      </c>
      <c r="H1971">
        <v>5.7822470000000001E-2</v>
      </c>
      <c r="I1971">
        <v>275.16460000000001</v>
      </c>
      <c r="J1971">
        <v>-419.0059</v>
      </c>
      <c r="K1971">
        <v>1.1211599999999999</v>
      </c>
      <c r="L1971">
        <v>284.8304</v>
      </c>
      <c r="M1971">
        <v>-0.99932299999999996</v>
      </c>
      <c r="N1971">
        <v>-1.4594269999999999E-2</v>
      </c>
      <c r="O1971">
        <v>3.3776130000000001E-2</v>
      </c>
      <c r="P1971">
        <v>-0.97566889999999995</v>
      </c>
      <c r="Q1971">
        <v>0.20908689999999999</v>
      </c>
      <c r="R1971">
        <v>6.5977010000000003E-2</v>
      </c>
      <c r="S1971">
        <v>-3.1044309999999999</v>
      </c>
      <c r="T1971">
        <v>-3.5085680000000001E-2</v>
      </c>
      <c r="U1971">
        <v>-0.31866460000000002</v>
      </c>
      <c r="V1971">
        <v>3.2900579999999999E-2</v>
      </c>
      <c r="W1971">
        <v>0.22334039999999999</v>
      </c>
      <c r="X1971">
        <v>0.97418510000000003</v>
      </c>
      <c r="Y1971">
        <v>-0.1356367</v>
      </c>
      <c r="Z1971">
        <v>-1.6462099999999999E-3</v>
      </c>
      <c r="AA1971">
        <v>0.99075729999999995</v>
      </c>
      <c r="AB1971">
        <v>45</v>
      </c>
      <c r="AC1971">
        <v>-93.819299999999998</v>
      </c>
      <c r="AD1971">
        <v>-1.0633375300000001</v>
      </c>
      <c r="AE1971">
        <v>-9.6657999999999902</v>
      </c>
      <c r="AF1971">
        <v>-12.8278431882557</v>
      </c>
      <c r="AG1971">
        <v>-1.0633375300000001</v>
      </c>
      <c r="AH1971">
        <v>93.427374141343606</v>
      </c>
      <c r="AI1971">
        <v>90.646019551478403</v>
      </c>
      <c r="AJ1971">
        <v>97.817989019380605</v>
      </c>
      <c r="AK1971">
        <v>94.309906619144698</v>
      </c>
      <c r="AL1971">
        <v>77.094693058328602</v>
      </c>
      <c r="AM1971">
        <v>88.065718536096597</v>
      </c>
      <c r="AN1971">
        <v>0.99999999574925302</v>
      </c>
    </row>
    <row r="1972" spans="1:40" x14ac:dyDescent="0.25">
      <c r="A1972" t="str">
        <f>"20190303171016491"</f>
        <v>20190303171016491</v>
      </c>
      <c r="B1972" t="str">
        <f>"1551604216482481"</f>
        <v>1551604216482481</v>
      </c>
      <c r="C1972" t="s">
        <v>40</v>
      </c>
      <c r="D1972">
        <v>4.6447469999999997</v>
      </c>
      <c r="E1972">
        <v>0.43900529999999999</v>
      </c>
      <c r="F1972" t="s">
        <v>61</v>
      </c>
      <c r="G1972">
        <v>-512.82510000000002</v>
      </c>
      <c r="H1972">
        <v>1.18767E-2</v>
      </c>
      <c r="I1972">
        <v>275.14170000000001</v>
      </c>
      <c r="J1972">
        <v>-419.37</v>
      </c>
      <c r="K1972">
        <v>1.121159</v>
      </c>
      <c r="L1972">
        <v>284.8426</v>
      </c>
      <c r="M1972">
        <v>-0.99932719999999997</v>
      </c>
      <c r="N1972">
        <v>-1.459192E-2</v>
      </c>
      <c r="O1972">
        <v>3.3651149999999998E-2</v>
      </c>
      <c r="P1972">
        <v>-0.97590080000000001</v>
      </c>
      <c r="Q1972">
        <v>0.2080467</v>
      </c>
      <c r="R1972">
        <v>6.5835480000000002E-2</v>
      </c>
      <c r="S1972">
        <v>-3.1043699999999999</v>
      </c>
      <c r="T1972">
        <v>-3.6702159999999998E-2</v>
      </c>
      <c r="U1972">
        <v>-0.32058720000000002</v>
      </c>
      <c r="V1972">
        <v>3.2871539999999998E-2</v>
      </c>
      <c r="W1972">
        <v>0.22230140000000001</v>
      </c>
      <c r="X1972">
        <v>0.9744237</v>
      </c>
      <c r="Y1972">
        <v>-0.13612060000000001</v>
      </c>
      <c r="Z1972">
        <v>-1.7056679999999901E-3</v>
      </c>
      <c r="AA1972">
        <v>0.99069079999999998</v>
      </c>
      <c r="AB1972">
        <v>45</v>
      </c>
      <c r="AC1972">
        <v>-93.455100000000002</v>
      </c>
      <c r="AD1972">
        <v>-1.1092823000000001</v>
      </c>
      <c r="AE1972">
        <v>-9.7008999999999901</v>
      </c>
      <c r="AF1972">
        <v>-12.8388212285909</v>
      </c>
      <c r="AG1972">
        <v>-1.1092823000000001</v>
      </c>
      <c r="AH1972">
        <v>93.062706527879598</v>
      </c>
      <c r="AI1972">
        <v>90.676510914095303</v>
      </c>
      <c r="AJ1972">
        <v>97.854875597025298</v>
      </c>
      <c r="AK1972">
        <v>93.950695495323799</v>
      </c>
      <c r="AL1972">
        <v>77.155758641802606</v>
      </c>
      <c r="AM1972">
        <v>88.067897409134602</v>
      </c>
      <c r="AN1972">
        <v>0.99999999885280999</v>
      </c>
    </row>
    <row r="1973" spans="1:40" x14ac:dyDescent="0.25">
      <c r="A1973" t="str">
        <f>"20190303171016512"</f>
        <v>20190303171016512</v>
      </c>
      <c r="B1973" t="str">
        <f>"1551604216502978"</f>
        <v>1551604216502978</v>
      </c>
      <c r="C1973" t="s">
        <v>40</v>
      </c>
      <c r="D1973">
        <v>4.6559309999999998</v>
      </c>
      <c r="E1973">
        <v>0.4384594</v>
      </c>
      <c r="F1973" t="s">
        <v>61</v>
      </c>
      <c r="G1973">
        <v>-512.82510000000002</v>
      </c>
      <c r="H1973">
        <v>2.4337170000000002E-3</v>
      </c>
      <c r="I1973">
        <v>275.00850000000003</v>
      </c>
      <c r="J1973">
        <v>-419.80290000000002</v>
      </c>
      <c r="K1973">
        <v>1.1211549999999999</v>
      </c>
      <c r="L1973">
        <v>284.85700000000003</v>
      </c>
      <c r="M1973">
        <v>-0.99933229999999995</v>
      </c>
      <c r="N1973">
        <v>-1.458919E-2</v>
      </c>
      <c r="O1973">
        <v>3.350173E-2</v>
      </c>
      <c r="P1973">
        <v>-0.97605799999999998</v>
      </c>
      <c r="Q1973">
        <v>0.20731060000000001</v>
      </c>
      <c r="R1973">
        <v>6.5828380000000006E-2</v>
      </c>
      <c r="S1973">
        <v>-3.104034</v>
      </c>
      <c r="T1973">
        <v>-3.715479E-2</v>
      </c>
      <c r="U1973">
        <v>-0.32662960000000002</v>
      </c>
      <c r="V1973">
        <v>3.3003379999999999E-2</v>
      </c>
      <c r="W1973">
        <v>0.2215654</v>
      </c>
      <c r="X1973">
        <v>0.97458679999999998</v>
      </c>
      <c r="Y1973">
        <v>-0.13789029999999899</v>
      </c>
      <c r="Z1973">
        <v>-1.744429E-3</v>
      </c>
      <c r="AA1973">
        <v>0.99044600000000005</v>
      </c>
      <c r="AB1973">
        <v>45</v>
      </c>
      <c r="AC1973">
        <v>-93.022199999999998</v>
      </c>
      <c r="AD1973">
        <v>-1.118721283</v>
      </c>
      <c r="AE1973">
        <v>-9.8484999999999996</v>
      </c>
      <c r="AF1973">
        <v>-12.9578530264367</v>
      </c>
      <c r="AG1973">
        <v>-1.118721283</v>
      </c>
      <c r="AH1973">
        <v>92.6267464199194</v>
      </c>
      <c r="AI1973">
        <v>90.685297054545998</v>
      </c>
      <c r="AJ1973">
        <v>97.963609393252298</v>
      </c>
      <c r="AK1973">
        <v>93.535403162138707</v>
      </c>
      <c r="AL1973">
        <v>77.199006104308495</v>
      </c>
      <c r="AM1973">
        <v>88.060478500654895</v>
      </c>
      <c r="AN1973">
        <v>0.99999994015141003</v>
      </c>
    </row>
    <row r="1974" spans="1:40" x14ac:dyDescent="0.25">
      <c r="A1974" t="str">
        <f>"20190303171016535"</f>
        <v>20190303171016535</v>
      </c>
      <c r="B1974" t="str">
        <f>"1551604216522498"</f>
        <v>1551604216522498</v>
      </c>
      <c r="C1974" t="s">
        <v>40</v>
      </c>
      <c r="D1974">
        <v>4.6570510000000001</v>
      </c>
      <c r="E1974">
        <v>0.43799929999999898</v>
      </c>
      <c r="F1974" t="s">
        <v>61</v>
      </c>
      <c r="G1974">
        <v>-512.82510000000002</v>
      </c>
      <c r="H1974">
        <v>-9.2202430000000001E-4</v>
      </c>
      <c r="I1974">
        <v>274.95620000000002</v>
      </c>
      <c r="J1974">
        <v>-420.24400000000003</v>
      </c>
      <c r="K1974">
        <v>1.121151</v>
      </c>
      <c r="L1974">
        <v>284.8716</v>
      </c>
      <c r="M1974">
        <v>-0.99933740000000004</v>
      </c>
      <c r="N1974">
        <v>-1.4586440000000001E-2</v>
      </c>
      <c r="O1974">
        <v>3.3349230000000001E-2</v>
      </c>
      <c r="P1974">
        <v>-0.97623110000000002</v>
      </c>
      <c r="Q1974">
        <v>0.20668739999999999</v>
      </c>
      <c r="R1974">
        <v>6.5216880000000005E-2</v>
      </c>
      <c r="S1974">
        <v>-3.1038209999999999</v>
      </c>
      <c r="T1974">
        <v>-3.7436959999999998E-2</v>
      </c>
      <c r="U1974">
        <v>-0.3303528</v>
      </c>
      <c r="V1974">
        <v>3.2534130000000001E-2</v>
      </c>
      <c r="W1974">
        <v>0.22094179999999999</v>
      </c>
      <c r="X1974">
        <v>0.97474419999999995</v>
      </c>
      <c r="Y1974">
        <v>-0.13892070000000001</v>
      </c>
      <c r="Z1974">
        <v>-1.7678399999999999E-3</v>
      </c>
      <c r="AA1974">
        <v>0.99030189999999996</v>
      </c>
      <c r="AB1974">
        <v>45</v>
      </c>
      <c r="AC1974">
        <v>-92.581100000000006</v>
      </c>
      <c r="AD1974">
        <v>-1.1220730243000001</v>
      </c>
      <c r="AE1974">
        <v>-9.9153999999999698</v>
      </c>
      <c r="AF1974">
        <v>-12.9958327854164</v>
      </c>
      <c r="AG1974">
        <v>-1.1220730243000001</v>
      </c>
      <c r="AH1974">
        <v>92.185497868553497</v>
      </c>
      <c r="AI1974">
        <v>90.690536886106798</v>
      </c>
      <c r="AJ1974">
        <v>98.024381720886197</v>
      </c>
      <c r="AK1974">
        <v>93.1037954915451</v>
      </c>
      <c r="AL1974">
        <v>77.235644575106903</v>
      </c>
      <c r="AM1974">
        <v>88.088342980861398</v>
      </c>
      <c r="AN1974">
        <v>1.0000000020178601</v>
      </c>
    </row>
    <row r="1975" spans="1:40" x14ac:dyDescent="0.25">
      <c r="A1975" t="str">
        <f>"20190303171016548"</f>
        <v>20190303171016548</v>
      </c>
      <c r="B1975" t="str">
        <f>"1551604216542994"</f>
        <v>1551604216542994</v>
      </c>
      <c r="C1975" t="s">
        <v>40</v>
      </c>
      <c r="D1975">
        <v>4.6560300000000003</v>
      </c>
      <c r="E1975">
        <v>0.43752770000000002</v>
      </c>
      <c r="F1975" t="s">
        <v>61</v>
      </c>
      <c r="G1975">
        <v>-512.82510000000002</v>
      </c>
      <c r="H1975">
        <v>7.0963500000000004E-3</v>
      </c>
      <c r="I1975">
        <v>274.85890000000001</v>
      </c>
      <c r="J1975">
        <v>-420.52440000000001</v>
      </c>
      <c r="K1975">
        <v>1.1211500000000001</v>
      </c>
      <c r="L1975">
        <v>284.8809</v>
      </c>
      <c r="M1975">
        <v>-0.99934069999999997</v>
      </c>
      <c r="N1975">
        <v>-1.4584730000000001E-2</v>
      </c>
      <c r="O1975">
        <v>3.3251940000000001E-2</v>
      </c>
      <c r="P1975">
        <v>-0.9763693</v>
      </c>
      <c r="Q1975">
        <v>0.20616760000000001</v>
      </c>
      <c r="R1975">
        <v>6.4793799999999999E-2</v>
      </c>
      <c r="S1975">
        <v>-3.1033940000000002</v>
      </c>
      <c r="T1975">
        <v>-3.7341239999999998E-2</v>
      </c>
      <c r="U1975">
        <v>-0.33563229999999999</v>
      </c>
      <c r="V1975">
        <v>3.220116E-2</v>
      </c>
      <c r="W1975">
        <v>0.22042239999999999</v>
      </c>
      <c r="X1975">
        <v>0.97487279999999998</v>
      </c>
      <c r="Y1975">
        <v>-0.14050379999999901</v>
      </c>
      <c r="Z1975">
        <v>-1.7861379999999901E-3</v>
      </c>
      <c r="AA1975">
        <v>0.99007849999999997</v>
      </c>
      <c r="AB1975">
        <v>45</v>
      </c>
      <c r="AC1975">
        <v>-92.300700000000006</v>
      </c>
      <c r="AD1975">
        <v>-1.11405365</v>
      </c>
      <c r="AE1975">
        <v>-10.021999999999901</v>
      </c>
      <c r="AF1975">
        <v>-13.0840762315104</v>
      </c>
      <c r="AG1975">
        <v>-1.11405365</v>
      </c>
      <c r="AH1975">
        <v>91.903128121868406</v>
      </c>
      <c r="AI1975">
        <v>90.687575380458199</v>
      </c>
      <c r="AJ1975">
        <v>98.102642311832696</v>
      </c>
      <c r="AK1975">
        <v>92.836518272453603</v>
      </c>
      <c r="AL1975">
        <v>77.266155734741204</v>
      </c>
      <c r="AM1975">
        <v>88.1081429226452</v>
      </c>
      <c r="AN1975">
        <v>0.99999996265347202</v>
      </c>
    </row>
    <row r="1976" spans="1:40" x14ac:dyDescent="0.25">
      <c r="A1976" t="str">
        <f>"20190303171016569"</f>
        <v>20190303171016569</v>
      </c>
      <c r="B1976" t="str">
        <f>"1551604216562513"</f>
        <v>1551604216562513</v>
      </c>
      <c r="C1976" t="s">
        <v>40</v>
      </c>
      <c r="D1976">
        <v>4.6979810000000004</v>
      </c>
      <c r="E1976">
        <v>0.43710120000000002</v>
      </c>
      <c r="F1976" t="s">
        <v>61</v>
      </c>
      <c r="G1976">
        <v>-512.8252</v>
      </c>
      <c r="H1976">
        <v>3.7843229999999999E-2</v>
      </c>
      <c r="I1976">
        <v>274.74810000000002</v>
      </c>
      <c r="J1976">
        <v>-420.93060000000003</v>
      </c>
      <c r="K1976">
        <v>1.1211519999999999</v>
      </c>
      <c r="L1976">
        <v>284.89429999999999</v>
      </c>
      <c r="M1976">
        <v>-0.9993455</v>
      </c>
      <c r="N1976">
        <v>-1.458226E-2</v>
      </c>
      <c r="O1976">
        <v>3.3108690000000003E-2</v>
      </c>
      <c r="P1976">
        <v>-0.97652680000000003</v>
      </c>
      <c r="Q1976">
        <v>0.20551440000000001</v>
      </c>
      <c r="R1976">
        <v>6.4493640000000005E-2</v>
      </c>
      <c r="S1976">
        <v>-3.1029049999999998</v>
      </c>
      <c r="T1976">
        <v>-3.6415099999999999E-2</v>
      </c>
      <c r="U1976">
        <v>-0.34063719999999997</v>
      </c>
      <c r="V1976">
        <v>3.203458E-2</v>
      </c>
      <c r="W1976">
        <v>0.2197693</v>
      </c>
      <c r="X1976">
        <v>0.97502580000000005</v>
      </c>
      <c r="Y1976">
        <v>-0.14195720000000001</v>
      </c>
      <c r="Z1976">
        <v>-1.7750029999999901E-3</v>
      </c>
      <c r="AA1976">
        <v>0.98987119999999995</v>
      </c>
      <c r="AB1976">
        <v>45</v>
      </c>
      <c r="AC1976">
        <v>-91.894599999999897</v>
      </c>
      <c r="AD1976">
        <v>-1.0833087699999999</v>
      </c>
      <c r="AE1976">
        <v>-10.146199999999901</v>
      </c>
      <c r="AF1976">
        <v>-13.1816593973348</v>
      </c>
      <c r="AG1976">
        <v>-1.0833087699999999</v>
      </c>
      <c r="AH1976">
        <v>91.495683541034197</v>
      </c>
      <c r="AI1976">
        <v>90.6714187767261</v>
      </c>
      <c r="AJ1976">
        <v>98.198116617829697</v>
      </c>
      <c r="AK1976">
        <v>92.446686306214204</v>
      </c>
      <c r="AL1976">
        <v>77.304517213384699</v>
      </c>
      <c r="AM1976">
        <v>88.118217763376194</v>
      </c>
      <c r="AN1976">
        <v>1.00000003510195</v>
      </c>
    </row>
    <row r="1977" spans="1:40" x14ac:dyDescent="0.25">
      <c r="A1977" t="str">
        <f>"20190303171016589"</f>
        <v>20190303171016589</v>
      </c>
      <c r="B1977" t="str">
        <f>"1551604216582033"</f>
        <v>1551604216582033</v>
      </c>
      <c r="C1977" t="s">
        <v>40</v>
      </c>
      <c r="D1977">
        <v>4.6866789999999998</v>
      </c>
      <c r="E1977">
        <v>0.43678450000000002</v>
      </c>
      <c r="F1977" t="s">
        <v>61</v>
      </c>
      <c r="G1977">
        <v>-512.8252</v>
      </c>
      <c r="H1977">
        <v>4.830164E-2</v>
      </c>
      <c r="I1977">
        <v>274.69819999999999</v>
      </c>
      <c r="J1977">
        <v>-421.35860000000002</v>
      </c>
      <c r="K1977">
        <v>1.121159</v>
      </c>
      <c r="L1977">
        <v>284.90839999999997</v>
      </c>
      <c r="M1977">
        <v>-0.99935050000000003</v>
      </c>
      <c r="N1977">
        <v>-1.457964E-2</v>
      </c>
      <c r="O1977">
        <v>3.2954339999999999E-2</v>
      </c>
      <c r="P1977">
        <v>-0.97673670000000001</v>
      </c>
      <c r="Q1977">
        <v>0.2046596</v>
      </c>
      <c r="R1977">
        <v>6.403143E-2</v>
      </c>
      <c r="S1977">
        <v>-3.102509</v>
      </c>
      <c r="T1977">
        <v>-3.6218399999999998E-2</v>
      </c>
      <c r="U1977">
        <v>-0.3442383</v>
      </c>
      <c r="V1977">
        <v>3.1715390000000003E-2</v>
      </c>
      <c r="W1977">
        <v>0.21891469999999999</v>
      </c>
      <c r="X1977">
        <v>0.9752284</v>
      </c>
      <c r="Y1977">
        <v>-0.1429531</v>
      </c>
      <c r="Z1977">
        <v>-1.782027E-3</v>
      </c>
      <c r="AA1977">
        <v>0.98972789999999999</v>
      </c>
      <c r="AB1977">
        <v>45</v>
      </c>
      <c r="AC1977">
        <v>-91.4665999999999</v>
      </c>
      <c r="AD1977">
        <v>-1.07285736</v>
      </c>
      <c r="AE1977">
        <v>-10.210199999999899</v>
      </c>
      <c r="AF1977">
        <v>-13.217399032411199</v>
      </c>
      <c r="AG1977">
        <v>-1.07285736</v>
      </c>
      <c r="AH1977">
        <v>91.068028889030899</v>
      </c>
      <c r="AI1977">
        <v>90.6679628723425</v>
      </c>
      <c r="AJ1977">
        <v>98.258111024005302</v>
      </c>
      <c r="AK1977">
        <v>92.028455087707798</v>
      </c>
      <c r="AL1977">
        <v>77.354703530656806</v>
      </c>
      <c r="AM1977">
        <v>88.137341179542901</v>
      </c>
      <c r="AN1977">
        <v>0.99999997200275004</v>
      </c>
    </row>
    <row r="1978" spans="1:40" x14ac:dyDescent="0.25">
      <c r="A1978" t="str">
        <f>"20190303171016612"</f>
        <v>20190303171016612</v>
      </c>
      <c r="B1978" t="str">
        <f>"1551604216602530"</f>
        <v>1551604216602530</v>
      </c>
      <c r="C1978" t="s">
        <v>40</v>
      </c>
      <c r="D1978">
        <v>4.6958780000000004</v>
      </c>
      <c r="E1978">
        <v>0.43647269999999999</v>
      </c>
      <c r="F1978" t="s">
        <v>61</v>
      </c>
      <c r="G1978">
        <v>-512.82510000000002</v>
      </c>
      <c r="H1978">
        <v>2.1104689999999999E-2</v>
      </c>
      <c r="I1978">
        <v>274.64479999999998</v>
      </c>
      <c r="J1978">
        <v>-421.80130000000003</v>
      </c>
      <c r="K1978">
        <v>1.1211629999999999</v>
      </c>
      <c r="L1978">
        <v>284.92290000000003</v>
      </c>
      <c r="M1978">
        <v>-0.99935600000000002</v>
      </c>
      <c r="N1978">
        <v>-1.45769E-2</v>
      </c>
      <c r="O1978">
        <v>3.2790800000000002E-2</v>
      </c>
      <c r="P1978">
        <v>-0.97684280000000001</v>
      </c>
      <c r="Q1978">
        <v>0.2045331</v>
      </c>
      <c r="R1978">
        <v>6.2804650000000004E-2</v>
      </c>
      <c r="S1978">
        <v>-3.1020509999999999</v>
      </c>
      <c r="T1978">
        <v>-3.7305119999999997E-2</v>
      </c>
      <c r="U1978">
        <v>-0.34808349999999999</v>
      </c>
      <c r="V1978">
        <v>3.0644040000000001E-2</v>
      </c>
      <c r="W1978">
        <v>0.2187858</v>
      </c>
      <c r="X1978">
        <v>0.97529160000000004</v>
      </c>
      <c r="Y1978">
        <v>-0.1440177</v>
      </c>
      <c r="Z1978">
        <v>-1.833178E-3</v>
      </c>
      <c r="AA1978">
        <v>0.98957340000000005</v>
      </c>
      <c r="AB1978">
        <v>45</v>
      </c>
      <c r="AC1978">
        <v>-91.023799999999994</v>
      </c>
      <c r="AD1978">
        <v>-1.1000583100000001</v>
      </c>
      <c r="AE1978">
        <v>-10.2781</v>
      </c>
      <c r="AF1978">
        <v>-13.255720107701</v>
      </c>
      <c r="AG1978">
        <v>-1.1000583100000001</v>
      </c>
      <c r="AH1978">
        <v>90.624707764335994</v>
      </c>
      <c r="AI1978">
        <v>90.688135497425904</v>
      </c>
      <c r="AJ1978">
        <v>98.321668886243799</v>
      </c>
      <c r="AK1978">
        <v>91.595643462068693</v>
      </c>
      <c r="AL1978">
        <v>77.362272724669694</v>
      </c>
      <c r="AM1978">
        <v>88.200336483324307</v>
      </c>
      <c r="AN1978">
        <v>0.99999999424985997</v>
      </c>
    </row>
    <row r="1979" spans="1:40" x14ac:dyDescent="0.25">
      <c r="A1979" t="str">
        <f>"20190303171016634"</f>
        <v>20190303171016634</v>
      </c>
      <c r="B1979" t="str">
        <f>"1551604216622050"</f>
        <v>1551604216622050</v>
      </c>
      <c r="C1979" t="s">
        <v>40</v>
      </c>
      <c r="D1979">
        <v>4.7531650000000001</v>
      </c>
      <c r="E1979">
        <v>0.43615520000000002</v>
      </c>
      <c r="F1979" t="s">
        <v>61</v>
      </c>
      <c r="G1979">
        <v>-512.8252</v>
      </c>
      <c r="H1979">
        <v>6.2340319999999998E-2</v>
      </c>
      <c r="I1979">
        <v>274.52440000000001</v>
      </c>
      <c r="J1979">
        <v>-422.24329999999998</v>
      </c>
      <c r="K1979">
        <v>1.121176</v>
      </c>
      <c r="L1979">
        <v>284.93720000000002</v>
      </c>
      <c r="M1979">
        <v>-0.99936139999999996</v>
      </c>
      <c r="N1979">
        <v>-1.4574129999999999E-2</v>
      </c>
      <c r="O1979">
        <v>3.2625649999999999E-2</v>
      </c>
      <c r="P1979">
        <v>-0.97676700000000005</v>
      </c>
      <c r="Q1979">
        <v>0.20520279999999999</v>
      </c>
      <c r="R1979">
        <v>6.1791890000000002E-2</v>
      </c>
      <c r="S1979">
        <v>-3.1014710000000001</v>
      </c>
      <c r="T1979">
        <v>-3.6074639999999998E-2</v>
      </c>
      <c r="U1979">
        <v>-0.35430909999999999</v>
      </c>
      <c r="V1979">
        <v>2.979356E-2</v>
      </c>
      <c r="W1979">
        <v>0.21945110000000001</v>
      </c>
      <c r="X1979">
        <v>0.97516849999999999</v>
      </c>
      <c r="Y1979">
        <v>-0.1458364</v>
      </c>
      <c r="Z1979">
        <v>-1.8162160000000001E-3</v>
      </c>
      <c r="AA1979">
        <v>0.98930700000000005</v>
      </c>
      <c r="AB1979">
        <v>45</v>
      </c>
      <c r="AC1979">
        <v>-90.581900000000005</v>
      </c>
      <c r="AD1979">
        <v>-1.0588356800000001</v>
      </c>
      <c r="AE1979">
        <v>-10.412800000000001</v>
      </c>
      <c r="AF1979">
        <v>-13.3610608601011</v>
      </c>
      <c r="AG1979">
        <v>-1.0588356800000001</v>
      </c>
      <c r="AH1979">
        <v>90.181745667534599</v>
      </c>
      <c r="AI1979">
        <v>90.665423452293297</v>
      </c>
      <c r="AJ1979">
        <v>98.427467768666105</v>
      </c>
      <c r="AK1979">
        <v>91.172289276668195</v>
      </c>
      <c r="AL1979">
        <v>77.323204777194505</v>
      </c>
      <c r="AM1979">
        <v>88.250031249316294</v>
      </c>
      <c r="AN1979">
        <v>1.0000000224504599</v>
      </c>
    </row>
    <row r="1980" spans="1:40" x14ac:dyDescent="0.25">
      <c r="A1980" t="str">
        <f>"20190303171016650"</f>
        <v>20190303171016650</v>
      </c>
      <c r="B1980" t="str">
        <f>"1551604216642546"</f>
        <v>1551604216642546</v>
      </c>
      <c r="C1980" t="s">
        <v>40</v>
      </c>
      <c r="D1980">
        <v>4.7619059999999998</v>
      </c>
      <c r="E1980">
        <v>0.435892</v>
      </c>
      <c r="F1980" t="s">
        <v>61</v>
      </c>
      <c r="G1980">
        <v>-512.8252</v>
      </c>
      <c r="H1980">
        <v>0.1770378</v>
      </c>
      <c r="I1980">
        <v>274.42860000000002</v>
      </c>
      <c r="J1980">
        <v>-422.55130000000003</v>
      </c>
      <c r="K1980">
        <v>1.121176</v>
      </c>
      <c r="L1980">
        <v>284.94709999999998</v>
      </c>
      <c r="M1980">
        <v>-0.99936530000000001</v>
      </c>
      <c r="N1980">
        <v>-1.457221E-2</v>
      </c>
      <c r="O1980">
        <v>3.250803E-2</v>
      </c>
      <c r="P1980">
        <v>-0.97672919999999996</v>
      </c>
      <c r="Q1980">
        <v>0.20550860000000001</v>
      </c>
      <c r="R1980">
        <v>6.1370880000000003E-2</v>
      </c>
      <c r="S1980">
        <v>-3.1008909999999998</v>
      </c>
      <c r="T1980">
        <v>-3.231788E-2</v>
      </c>
      <c r="U1980">
        <v>-0.35974119999999998</v>
      </c>
      <c r="V1980">
        <v>2.9487780000000002E-2</v>
      </c>
      <c r="W1980">
        <v>0.21975439999999999</v>
      </c>
      <c r="X1980">
        <v>0.97510949999999996</v>
      </c>
      <c r="Y1980">
        <v>-0.1474539</v>
      </c>
      <c r="Z1980">
        <v>-1.7096609999999999E-3</v>
      </c>
      <c r="AA1980">
        <v>0.98906740000000004</v>
      </c>
      <c r="AB1980">
        <v>45</v>
      </c>
      <c r="AC1980">
        <v>-90.273899999999898</v>
      </c>
      <c r="AD1980">
        <v>-0.94413820000000004</v>
      </c>
      <c r="AE1980">
        <v>-10.5184999999999</v>
      </c>
      <c r="AF1980">
        <v>-13.4464265227232</v>
      </c>
      <c r="AG1980">
        <v>-0.94413820000000004</v>
      </c>
      <c r="AH1980">
        <v>89.874506796404603</v>
      </c>
      <c r="AI1980">
        <v>90.595249448038203</v>
      </c>
      <c r="AJ1980">
        <v>98.509098752387004</v>
      </c>
      <c r="AK1980">
        <v>90.8797268650642</v>
      </c>
      <c r="AL1980">
        <v>77.305392263709294</v>
      </c>
      <c r="AM1980">
        <v>88.267875959083995</v>
      </c>
      <c r="AN1980">
        <v>1.0000000312394599</v>
      </c>
    </row>
    <row r="1981" spans="1:40" x14ac:dyDescent="0.25">
      <c r="A1981" t="str">
        <f>"20190303171016664"</f>
        <v>20190303171016664</v>
      </c>
      <c r="B1981" t="str">
        <f>"1551604216652306"</f>
        <v>1551604216652306</v>
      </c>
      <c r="C1981" t="s">
        <v>40</v>
      </c>
      <c r="D1981">
        <v>4.7658699999999996</v>
      </c>
      <c r="E1981">
        <v>0.43576320000000002</v>
      </c>
      <c r="F1981" t="s">
        <v>61</v>
      </c>
      <c r="G1981">
        <v>-512.82529999999997</v>
      </c>
      <c r="H1981">
        <v>0.2508399</v>
      </c>
      <c r="I1981">
        <v>274.37889999999999</v>
      </c>
      <c r="J1981">
        <v>-422.84039999999999</v>
      </c>
      <c r="K1981">
        <v>1.121178</v>
      </c>
      <c r="L1981">
        <v>284.95650000000001</v>
      </c>
      <c r="M1981">
        <v>-0.9993689</v>
      </c>
      <c r="N1981">
        <v>-1.4570400000000001E-2</v>
      </c>
      <c r="O1981">
        <v>3.2397099999999998E-2</v>
      </c>
      <c r="P1981">
        <v>-0.97669680000000003</v>
      </c>
      <c r="Q1981">
        <v>0.20584810000000001</v>
      </c>
      <c r="R1981">
        <v>6.0742020000000001E-2</v>
      </c>
      <c r="S1981">
        <v>-3.1005549999999999</v>
      </c>
      <c r="T1981">
        <v>-2.9889820000000001E-2</v>
      </c>
      <c r="U1981">
        <v>-0.36297610000000002</v>
      </c>
      <c r="V1981">
        <v>2.8967570000000002E-2</v>
      </c>
      <c r="W1981">
        <v>0.22009110000000001</v>
      </c>
      <c r="X1981">
        <v>0.9750491</v>
      </c>
      <c r="Y1981">
        <v>-0.14837620000000001</v>
      </c>
      <c r="Z1981">
        <v>-1.6385309999999999E-3</v>
      </c>
      <c r="AA1981">
        <v>0.98892959999999996</v>
      </c>
      <c r="AB1981">
        <v>45</v>
      </c>
      <c r="AC1981">
        <v>-89.984899999999897</v>
      </c>
      <c r="AD1981">
        <v>-0.870338099999999</v>
      </c>
      <c r="AE1981">
        <v>-10.5776</v>
      </c>
      <c r="AF1981">
        <v>-13.4863611577599</v>
      </c>
      <c r="AG1981">
        <v>-0.870338099999999</v>
      </c>
      <c r="AH1981">
        <v>89.586668346011706</v>
      </c>
      <c r="AI1981">
        <v>90.550411846177298</v>
      </c>
      <c r="AJ1981">
        <v>98.561012165555397</v>
      </c>
      <c r="AK1981">
        <v>90.600279089107303</v>
      </c>
      <c r="AL1981">
        <v>77.285615950238295</v>
      </c>
      <c r="AM1981">
        <v>88.298309834283302</v>
      </c>
      <c r="AN1981">
        <v>0.99999997991086198</v>
      </c>
    </row>
    <row r="1982" spans="1:40" x14ac:dyDescent="0.25">
      <c r="A1982" t="str">
        <f>"20190303171016678"</f>
        <v>20190303171016678</v>
      </c>
      <c r="B1982" t="str">
        <f>"1551604216672802"</f>
        <v>1551604216672802</v>
      </c>
      <c r="C1982" t="s">
        <v>40</v>
      </c>
      <c r="D1982">
        <v>4.7817069999999999</v>
      </c>
      <c r="E1982">
        <v>0.43546610000000002</v>
      </c>
      <c r="F1982" t="s">
        <v>61</v>
      </c>
      <c r="G1982">
        <v>-512.82529999999997</v>
      </c>
      <c r="H1982">
        <v>0.30988919999999998</v>
      </c>
      <c r="I1982">
        <v>274.3297</v>
      </c>
      <c r="J1982">
        <v>-423.11349999999999</v>
      </c>
      <c r="K1982">
        <v>1.1211799999999901</v>
      </c>
      <c r="L1982">
        <v>284.96519999999998</v>
      </c>
      <c r="M1982">
        <v>-0.99937240000000005</v>
      </c>
      <c r="N1982">
        <v>-1.4568680000000001E-2</v>
      </c>
      <c r="O1982">
        <v>3.2291649999999998E-2</v>
      </c>
      <c r="P1982">
        <v>-0.97673089999999996</v>
      </c>
      <c r="Q1982">
        <v>0.2058084</v>
      </c>
      <c r="R1982">
        <v>6.0331160000000002E-2</v>
      </c>
      <c r="S1982">
        <v>-3.1002200000000002</v>
      </c>
      <c r="T1982">
        <v>-2.7948259999999999E-2</v>
      </c>
      <c r="U1982">
        <v>-0.36611939999999998</v>
      </c>
      <c r="V1982">
        <v>2.8658380000000001E-2</v>
      </c>
      <c r="W1982">
        <v>0.2200502</v>
      </c>
      <c r="X1982">
        <v>0.97506749999999998</v>
      </c>
      <c r="Y1982">
        <v>-0.1492744</v>
      </c>
      <c r="Z1982">
        <v>-1.58326E-3</v>
      </c>
      <c r="AA1982">
        <v>0.98879459999999997</v>
      </c>
      <c r="AB1982">
        <v>45</v>
      </c>
      <c r="AC1982">
        <v>-89.711799999999897</v>
      </c>
      <c r="AD1982">
        <v>-0.81129079999999898</v>
      </c>
      <c r="AE1982">
        <v>-10.635499999999899</v>
      </c>
      <c r="AF1982">
        <v>-13.526110689800101</v>
      </c>
      <c r="AG1982">
        <v>-0.81129079999999898</v>
      </c>
      <c r="AH1982">
        <v>89.314327085867106</v>
      </c>
      <c r="AI1982">
        <v>90.514567440820699</v>
      </c>
      <c r="AJ1982">
        <v>98.611657767198096</v>
      </c>
      <c r="AK1982">
        <v>90.336387386014906</v>
      </c>
      <c r="AL1982">
        <v>77.2880186495413</v>
      </c>
      <c r="AM1982">
        <v>88.316494338808496</v>
      </c>
      <c r="AN1982">
        <v>1.0000000114102501</v>
      </c>
    </row>
    <row r="1983" spans="1:40" x14ac:dyDescent="0.25">
      <c r="A1983" t="str">
        <f>"20190303171016690"</f>
        <v>20190303171016690</v>
      </c>
      <c r="B1983" t="str">
        <f>"1551604216682092"</f>
        <v>1551604216682092</v>
      </c>
      <c r="C1983" t="s">
        <v>40</v>
      </c>
      <c r="D1983">
        <v>4.7909689999999996</v>
      </c>
      <c r="E1983">
        <v>0.4353593</v>
      </c>
      <c r="F1983" t="s">
        <v>61</v>
      </c>
      <c r="G1983">
        <v>-512.82529999999997</v>
      </c>
      <c r="H1983">
        <v>0.33494750000000001</v>
      </c>
      <c r="I1983">
        <v>274.27190000000002</v>
      </c>
      <c r="J1983">
        <v>-423.37270000000001</v>
      </c>
      <c r="K1983">
        <v>1.121176</v>
      </c>
      <c r="L1983">
        <v>284.9735</v>
      </c>
      <c r="M1983">
        <v>-0.99937560000000003</v>
      </c>
      <c r="N1983">
        <v>-1.456704E-2</v>
      </c>
      <c r="O1983">
        <v>3.2190610000000001E-2</v>
      </c>
      <c r="P1983">
        <v>-0.97680420000000001</v>
      </c>
      <c r="Q1983">
        <v>0.20568059999999999</v>
      </c>
      <c r="R1983">
        <v>5.9575320000000001E-2</v>
      </c>
      <c r="S1983">
        <v>-3.0999759999999998</v>
      </c>
      <c r="T1983">
        <v>-2.7165290000000002E-2</v>
      </c>
      <c r="U1983">
        <v>-0.36950680000000002</v>
      </c>
      <c r="V1983">
        <v>2.7998930000000002E-2</v>
      </c>
      <c r="W1983">
        <v>0.21992139999999999</v>
      </c>
      <c r="X1983">
        <v>0.97511570000000003</v>
      </c>
      <c r="Y1983">
        <v>-0.15024940000000001</v>
      </c>
      <c r="Z1983">
        <v>-1.5683579999999999E-3</v>
      </c>
      <c r="AA1983">
        <v>0.9886469</v>
      </c>
      <c r="AB1983">
        <v>45</v>
      </c>
      <c r="AC1983">
        <v>-89.452599999999904</v>
      </c>
      <c r="AD1983">
        <v>-0.7862285</v>
      </c>
      <c r="AE1983">
        <v>-10.7015999999999</v>
      </c>
      <c r="AF1983">
        <v>-13.5748580961359</v>
      </c>
      <c r="AG1983">
        <v>-0.7862285</v>
      </c>
      <c r="AH1983">
        <v>89.054920962894101</v>
      </c>
      <c r="AI1983">
        <v>90.500051385490195</v>
      </c>
      <c r="AJ1983">
        <v>98.667017986152999</v>
      </c>
      <c r="AK1983">
        <v>90.087035001112994</v>
      </c>
      <c r="AL1983">
        <v>77.295583457696097</v>
      </c>
      <c r="AM1983">
        <v>88.355292746323599</v>
      </c>
      <c r="AN1983">
        <v>0.99999999532279704</v>
      </c>
    </row>
    <row r="1984" spans="1:40" x14ac:dyDescent="0.25">
      <c r="A1984" t="str">
        <f>"20190303171016713"</f>
        <v>20190303171016713</v>
      </c>
      <c r="B1984" t="str">
        <f>"1551604216702588"</f>
        <v>1551604216702588</v>
      </c>
      <c r="C1984" t="s">
        <v>40</v>
      </c>
      <c r="D1984">
        <v>4.7974100000000002</v>
      </c>
      <c r="E1984">
        <v>0.43513279999999899</v>
      </c>
      <c r="F1984" t="s">
        <v>61</v>
      </c>
      <c r="G1984">
        <v>-512.82529999999997</v>
      </c>
      <c r="H1984">
        <v>0.3457288</v>
      </c>
      <c r="I1984">
        <v>274.21660000000003</v>
      </c>
      <c r="J1984">
        <v>-423.80770000000001</v>
      </c>
      <c r="K1984">
        <v>1.1211880000000001</v>
      </c>
      <c r="L1984">
        <v>284.98739999999998</v>
      </c>
      <c r="M1984">
        <v>-0.99938110000000002</v>
      </c>
      <c r="N1984">
        <v>-1.4564300000000001E-2</v>
      </c>
      <c r="O1984">
        <v>3.2020430000000003E-2</v>
      </c>
      <c r="P1984">
        <v>-0.97684219999999999</v>
      </c>
      <c r="Q1984">
        <v>0.20547209999999999</v>
      </c>
      <c r="R1984">
        <v>5.9673660000000003E-2</v>
      </c>
      <c r="S1984">
        <v>-3.0996700000000001</v>
      </c>
      <c r="T1984">
        <v>-2.686763E-2</v>
      </c>
      <c r="U1984">
        <v>-0.37274170000000001</v>
      </c>
      <c r="V1984">
        <v>2.8261689999999999E-2</v>
      </c>
      <c r="W1984">
        <v>0.21971070000000001</v>
      </c>
      <c r="X1984">
        <v>0.97515569999999896</v>
      </c>
      <c r="Y1984">
        <v>-0.15110979999999999</v>
      </c>
      <c r="Z1984">
        <v>-1.5691049999999999E-3</v>
      </c>
      <c r="AA1984">
        <v>0.9885157</v>
      </c>
      <c r="AB1984">
        <v>45</v>
      </c>
      <c r="AC1984">
        <v>-89.017599999999902</v>
      </c>
      <c r="AD1984">
        <v>-0.77545919999999902</v>
      </c>
      <c r="AE1984">
        <v>-10.7707999999999</v>
      </c>
      <c r="AF1984">
        <v>-13.614941605716799</v>
      </c>
      <c r="AG1984">
        <v>-0.77545919999999902</v>
      </c>
      <c r="AH1984">
        <v>88.620393073168998</v>
      </c>
      <c r="AI1984">
        <v>90.495531587975094</v>
      </c>
      <c r="AJ1984">
        <v>98.734183916660697</v>
      </c>
      <c r="AK1984">
        <v>89.663493353431903</v>
      </c>
      <c r="AL1984">
        <v>77.307959406191301</v>
      </c>
      <c r="AM1984">
        <v>88.339934410053303</v>
      </c>
      <c r="AN1984">
        <v>1.00000007702931</v>
      </c>
    </row>
    <row r="1985" spans="1:40" x14ac:dyDescent="0.25">
      <c r="A1985" t="str">
        <f>"20190303171016735"</f>
        <v>20190303171016735</v>
      </c>
      <c r="B1985" t="str">
        <f>"1551604216722108"</f>
        <v>1551604216722108</v>
      </c>
      <c r="C1985" t="s">
        <v>40</v>
      </c>
      <c r="D1985">
        <v>4.8136729999999996</v>
      </c>
      <c r="E1985">
        <v>0.43532739999999998</v>
      </c>
      <c r="F1985" t="s">
        <v>61</v>
      </c>
      <c r="G1985">
        <v>-512.82529999999997</v>
      </c>
      <c r="H1985">
        <v>0.37190469999999998</v>
      </c>
      <c r="I1985">
        <v>274.22609999999997</v>
      </c>
      <c r="J1985">
        <v>-424.24299999999999</v>
      </c>
      <c r="K1985">
        <v>1.121191</v>
      </c>
      <c r="L1985">
        <v>285.00130000000001</v>
      </c>
      <c r="M1985">
        <v>-0.99938669999999996</v>
      </c>
      <c r="N1985">
        <v>-1.456152E-2</v>
      </c>
      <c r="O1985">
        <v>3.1848960000000003E-2</v>
      </c>
      <c r="P1985">
        <v>-0.97685250000000001</v>
      </c>
      <c r="Q1985">
        <v>0.20541010000000001</v>
      </c>
      <c r="R1985">
        <v>5.9716529999999997E-2</v>
      </c>
      <c r="S1985">
        <v>-3.0994869999999999</v>
      </c>
      <c r="T1985">
        <v>-2.6086330000000001E-2</v>
      </c>
      <c r="U1985">
        <v>-0.37469479999999999</v>
      </c>
      <c r="V1985">
        <v>2.8471420000000001E-2</v>
      </c>
      <c r="W1985">
        <v>0.21964649999999999</v>
      </c>
      <c r="X1985">
        <v>0.97516400000000003</v>
      </c>
      <c r="Y1985">
        <v>-0.15156149999999999</v>
      </c>
      <c r="Z1985">
        <v>-1.5482849999999999E-3</v>
      </c>
      <c r="AA1985">
        <v>0.98844659999999995</v>
      </c>
      <c r="AB1985">
        <v>44</v>
      </c>
      <c r="AC1985">
        <v>-88.582299999999904</v>
      </c>
      <c r="AD1985">
        <v>-0.74928629999999996</v>
      </c>
      <c r="AE1985">
        <v>-10.7752</v>
      </c>
      <c r="AF1985">
        <v>-13.5903273598267</v>
      </c>
      <c r="AG1985">
        <v>-0.74928629999999996</v>
      </c>
      <c r="AH1985">
        <v>88.187919067208199</v>
      </c>
      <c r="AI1985">
        <v>90.481121117102305</v>
      </c>
      <c r="AJ1985">
        <v>98.760730873274397</v>
      </c>
      <c r="AK1985">
        <v>89.232099028942997</v>
      </c>
      <c r="AL1985">
        <v>77.311729122564998</v>
      </c>
      <c r="AM1985">
        <v>88.327636259768894</v>
      </c>
      <c r="AN1985">
        <v>1.00000001680753</v>
      </c>
    </row>
    <row r="1986" spans="1:40" x14ac:dyDescent="0.25">
      <c r="A1986" t="str">
        <f>"20190303171016759"</f>
        <v>20190303171016759</v>
      </c>
      <c r="B1986" t="str">
        <f>"1551604216752364"</f>
        <v>1551604216752364</v>
      </c>
      <c r="C1986" t="s">
        <v>40</v>
      </c>
      <c r="D1986">
        <v>4.8094939999999999</v>
      </c>
      <c r="E1986">
        <v>0.43570520000000001</v>
      </c>
      <c r="F1986" t="s">
        <v>61</v>
      </c>
      <c r="G1986">
        <v>-512.82529999999997</v>
      </c>
      <c r="H1986">
        <v>0.33563559999999998</v>
      </c>
      <c r="I1986">
        <v>274.34620000000001</v>
      </c>
      <c r="J1986">
        <v>-424.69959999999998</v>
      </c>
      <c r="K1986">
        <v>1.1211960000000001</v>
      </c>
      <c r="L1986">
        <v>285.01560000000001</v>
      </c>
      <c r="M1986">
        <v>-0.99939230000000001</v>
      </c>
      <c r="N1986">
        <v>-1.455877E-2</v>
      </c>
      <c r="O1986">
        <v>3.1669620000000002E-2</v>
      </c>
      <c r="P1986">
        <v>-0.97693099999999999</v>
      </c>
      <c r="Q1986">
        <v>0.20514260000000001</v>
      </c>
      <c r="R1986">
        <v>5.9348489999999997E-2</v>
      </c>
      <c r="S1986">
        <v>-3.0996090000000001</v>
      </c>
      <c r="T1986">
        <v>-2.7484769999999999E-2</v>
      </c>
      <c r="U1986">
        <v>-0.37283329999999998</v>
      </c>
      <c r="V1986">
        <v>2.8275959999999999E-2</v>
      </c>
      <c r="W1986">
        <v>0.21937709999999999</v>
      </c>
      <c r="X1986">
        <v>0.97523029999999999</v>
      </c>
      <c r="Y1986">
        <v>-0.15079339999999999</v>
      </c>
      <c r="Z1986">
        <v>-1.58850299999999E-3</v>
      </c>
      <c r="AA1986">
        <v>0.988564</v>
      </c>
      <c r="AB1986">
        <v>44</v>
      </c>
      <c r="AC1986">
        <v>-88.125699999999995</v>
      </c>
      <c r="AD1986">
        <v>-0.78556039999999905</v>
      </c>
      <c r="AE1986">
        <v>-10.6693999999999</v>
      </c>
      <c r="AF1986">
        <v>-13.454196772565799</v>
      </c>
      <c r="AG1986">
        <v>-0.78556039999999905</v>
      </c>
      <c r="AH1986">
        <v>87.736683438217895</v>
      </c>
      <c r="AI1986">
        <v>90.507063633033297</v>
      </c>
      <c r="AJ1986">
        <v>98.718247269951902</v>
      </c>
      <c r="AK1986">
        <v>88.765748668475894</v>
      </c>
      <c r="AL1986">
        <v>77.327550145329695</v>
      </c>
      <c r="AM1986">
        <v>88.339223652031095</v>
      </c>
      <c r="AN1986">
        <v>0.99999998997821005</v>
      </c>
    </row>
    <row r="1987" spans="1:40" x14ac:dyDescent="0.25">
      <c r="A1987" t="str">
        <f>"20190303171016772"</f>
        <v>20190303171016772</v>
      </c>
      <c r="B1987" t="str">
        <f>"1551604216762124"</f>
        <v>1551604216762124</v>
      </c>
      <c r="C1987" t="s">
        <v>40</v>
      </c>
      <c r="D1987">
        <v>4.8606049999999996</v>
      </c>
      <c r="E1987">
        <v>0.43581360000000002</v>
      </c>
      <c r="F1987" t="s">
        <v>61</v>
      </c>
      <c r="G1987">
        <v>-512.82529999999997</v>
      </c>
      <c r="H1987">
        <v>0.26056499999999999</v>
      </c>
      <c r="I1987">
        <v>274.47480000000002</v>
      </c>
      <c r="J1987">
        <v>-424.99610000000001</v>
      </c>
      <c r="K1987">
        <v>1.1211979999999999</v>
      </c>
      <c r="L1987">
        <v>285.0249</v>
      </c>
      <c r="M1987">
        <v>-0.99939619999999996</v>
      </c>
      <c r="N1987">
        <v>-1.4556879999999999E-2</v>
      </c>
      <c r="O1987">
        <v>3.1552209999999997E-2</v>
      </c>
      <c r="P1987">
        <v>-0.97693479999999999</v>
      </c>
      <c r="Q1987">
        <v>0.20515829999999999</v>
      </c>
      <c r="R1987">
        <v>5.9233969999999997E-2</v>
      </c>
      <c r="S1987">
        <v>-3.099701</v>
      </c>
      <c r="T1987">
        <v>-3.0268670000000001E-2</v>
      </c>
      <c r="U1987">
        <v>-0.37075809999999998</v>
      </c>
      <c r="V1987">
        <v>2.8275939999999999E-2</v>
      </c>
      <c r="W1987">
        <v>0.21939059999999999</v>
      </c>
      <c r="X1987">
        <v>0.97522730000000002</v>
      </c>
      <c r="Y1987">
        <v>-0.1500194</v>
      </c>
      <c r="Z1987">
        <v>-1.675333E-3</v>
      </c>
      <c r="AA1987">
        <v>0.98868160000000005</v>
      </c>
      <c r="AB1987">
        <v>44</v>
      </c>
      <c r="AC1987">
        <v>-87.829199999999901</v>
      </c>
      <c r="AD1987">
        <v>-0.86063299999999998</v>
      </c>
      <c r="AE1987">
        <v>-10.550099999999899</v>
      </c>
      <c r="AF1987">
        <v>-13.315084459559699</v>
      </c>
      <c r="AG1987">
        <v>-0.86063299999999998</v>
      </c>
      <c r="AH1987">
        <v>87.444269912117306</v>
      </c>
      <c r="AI1987">
        <v>90.557465865032398</v>
      </c>
      <c r="AJ1987">
        <v>98.657887575807806</v>
      </c>
      <c r="AK1987">
        <v>88.456387580485796</v>
      </c>
      <c r="AL1987">
        <v>77.326757794914499</v>
      </c>
      <c r="AM1987">
        <v>88.339219720039395</v>
      </c>
      <c r="AN1987">
        <v>1.0000000254082599</v>
      </c>
    </row>
    <row r="1988" spans="1:40" x14ac:dyDescent="0.25">
      <c r="A1988" t="str">
        <f>"20190303171016790"</f>
        <v>20190303171016790</v>
      </c>
      <c r="B1988" t="str">
        <f>"1551604216782151"</f>
        <v>1551604216782151</v>
      </c>
      <c r="C1988" t="s">
        <v>40</v>
      </c>
      <c r="D1988">
        <v>4.8403349999999996</v>
      </c>
      <c r="E1988">
        <v>0.43603760000000003</v>
      </c>
      <c r="F1988" t="s">
        <v>61</v>
      </c>
      <c r="G1988">
        <v>-512.82529999999997</v>
      </c>
      <c r="H1988">
        <v>0.25263479999999999</v>
      </c>
      <c r="I1988">
        <v>274.53440000000001</v>
      </c>
      <c r="J1988">
        <v>-425.34440000000001</v>
      </c>
      <c r="K1988">
        <v>1.1211979999999999</v>
      </c>
      <c r="L1988">
        <v>285.03590000000003</v>
      </c>
      <c r="M1988">
        <v>-0.99940059999999997</v>
      </c>
      <c r="N1988">
        <v>-1.4554539999999999E-2</v>
      </c>
      <c r="O1988">
        <v>3.141501E-2</v>
      </c>
      <c r="P1988">
        <v>-0.97682740000000001</v>
      </c>
      <c r="Q1988">
        <v>0.2057638</v>
      </c>
      <c r="R1988">
        <v>5.8902690000000001E-2</v>
      </c>
      <c r="S1988">
        <v>-3.0997309999999998</v>
      </c>
      <c r="T1988">
        <v>-3.0651089999999999E-2</v>
      </c>
      <c r="U1988">
        <v>-0.37023929999999999</v>
      </c>
      <c r="V1988">
        <v>2.808182E-2</v>
      </c>
      <c r="W1988">
        <v>0.21999250000000001</v>
      </c>
      <c r="X1988">
        <v>0.97509729999999994</v>
      </c>
      <c r="Y1988">
        <v>-0.14971899999999999</v>
      </c>
      <c r="Z1988">
        <v>-1.6852799999999999E-3</v>
      </c>
      <c r="AA1988">
        <v>0.98872720000000003</v>
      </c>
      <c r="AB1988">
        <v>44</v>
      </c>
      <c r="AC1988">
        <v>-87.480899999999906</v>
      </c>
      <c r="AD1988">
        <v>-0.86856319999999898</v>
      </c>
      <c r="AE1988">
        <v>-10.5015</v>
      </c>
      <c r="AF1988">
        <v>-13.243532749394999</v>
      </c>
      <c r="AG1988">
        <v>-0.86856319999999898</v>
      </c>
      <c r="AH1988">
        <v>87.099308970930196</v>
      </c>
      <c r="AI1988">
        <v>90.5648486545916</v>
      </c>
      <c r="AJ1988">
        <v>98.645655904666199</v>
      </c>
      <c r="AK1988">
        <v>88.104683104419905</v>
      </c>
      <c r="AL1988">
        <v>77.291407730234496</v>
      </c>
      <c r="AM1988">
        <v>88.350395215507504</v>
      </c>
      <c r="AN1988">
        <v>1.0000000165690199</v>
      </c>
    </row>
    <row r="1989" spans="1:40" x14ac:dyDescent="0.25">
      <c r="A1989" t="str">
        <f>"20190303171016806"</f>
        <v>20190303171016806</v>
      </c>
      <c r="B1989" t="str">
        <f>"1551604216802647"</f>
        <v>1551604216802647</v>
      </c>
      <c r="C1989" t="s">
        <v>40</v>
      </c>
      <c r="D1989">
        <v>4.836957</v>
      </c>
      <c r="E1989">
        <v>0.43621280000000001</v>
      </c>
      <c r="F1989" t="s">
        <v>61</v>
      </c>
      <c r="G1989">
        <v>-512.82529999999997</v>
      </c>
      <c r="H1989">
        <v>0.29453770000000001</v>
      </c>
      <c r="I1989">
        <v>274.5994</v>
      </c>
      <c r="J1989">
        <v>-425.64830000000001</v>
      </c>
      <c r="K1989">
        <v>1.121202</v>
      </c>
      <c r="L1989">
        <v>285.0453</v>
      </c>
      <c r="M1989">
        <v>-0.99940430000000002</v>
      </c>
      <c r="N1989">
        <v>-1.455263E-2</v>
      </c>
      <c r="O1989">
        <v>3.1295400000000001E-2</v>
      </c>
      <c r="P1989">
        <v>-0.97682409999999997</v>
      </c>
      <c r="Q1989">
        <v>0.2058585</v>
      </c>
      <c r="R1989">
        <v>5.8626049999999999E-2</v>
      </c>
      <c r="S1989">
        <v>-3.0996090000000001</v>
      </c>
      <c r="T1989">
        <v>-2.9287219999999999E-2</v>
      </c>
      <c r="U1989">
        <v>-0.36978149999999999</v>
      </c>
      <c r="V1989">
        <v>2.7922220000000001E-2</v>
      </c>
      <c r="W1989">
        <v>0.22008510000000001</v>
      </c>
      <c r="X1989">
        <v>0.97508099999999998</v>
      </c>
      <c r="Y1989">
        <v>-0.1494624</v>
      </c>
      <c r="Z1989">
        <v>-1.6361539999999999E-3</v>
      </c>
      <c r="AA1989">
        <v>0.98876609999999998</v>
      </c>
      <c r="AB1989">
        <v>44</v>
      </c>
      <c r="AC1989">
        <v>-87.176999999999893</v>
      </c>
      <c r="AD1989">
        <v>-0.82666430000000002</v>
      </c>
      <c r="AE1989">
        <v>-10.4458999999999</v>
      </c>
      <c r="AF1989">
        <v>-13.1681428190922</v>
      </c>
      <c r="AG1989">
        <v>-0.82666430000000002</v>
      </c>
      <c r="AH1989">
        <v>86.799652098908496</v>
      </c>
      <c r="AI1989">
        <v>90.539485742215703</v>
      </c>
      <c r="AJ1989">
        <v>98.626411371691006</v>
      </c>
      <c r="AK1989">
        <v>87.796713854565496</v>
      </c>
      <c r="AL1989">
        <v>77.285969001848699</v>
      </c>
      <c r="AM1989">
        <v>88.359738026502697</v>
      </c>
      <c r="AN1989">
        <v>1.00000002908636</v>
      </c>
    </row>
    <row r="1990" spans="1:40" x14ac:dyDescent="0.25">
      <c r="A1990" t="str">
        <f>"20190303171016824"</f>
        <v>20190303171016824</v>
      </c>
      <c r="B1990" t="str">
        <f>"1551604216812407"</f>
        <v>1551604216812407</v>
      </c>
      <c r="C1990" t="s">
        <v>40</v>
      </c>
      <c r="D1990">
        <v>4.8498330000000003</v>
      </c>
      <c r="E1990">
        <v>0.43628699999999998</v>
      </c>
      <c r="F1990" t="s">
        <v>61</v>
      </c>
      <c r="G1990">
        <v>-512.82529999999997</v>
      </c>
      <c r="H1990">
        <v>0.28447250000000002</v>
      </c>
      <c r="I1990">
        <v>274.64690000000002</v>
      </c>
      <c r="J1990">
        <v>-426.01100000000002</v>
      </c>
      <c r="K1990">
        <v>1.1211979999999999</v>
      </c>
      <c r="L1990">
        <v>285.0566</v>
      </c>
      <c r="M1990">
        <v>-0.99940870000000004</v>
      </c>
      <c r="N1990">
        <v>-1.45504E-2</v>
      </c>
      <c r="O1990">
        <v>3.115236E-2</v>
      </c>
      <c r="P1990">
        <v>-0.97682979999999997</v>
      </c>
      <c r="Q1990">
        <v>0.20598859999999999</v>
      </c>
      <c r="R1990">
        <v>5.8071539999999998E-2</v>
      </c>
      <c r="S1990">
        <v>-3.09964</v>
      </c>
      <c r="T1990">
        <v>-2.9747610000000001E-2</v>
      </c>
      <c r="U1990">
        <v>-0.36972050000000001</v>
      </c>
      <c r="V1990">
        <v>2.7507549999999999E-2</v>
      </c>
      <c r="W1990">
        <v>0.22021209999999999</v>
      </c>
      <c r="X1990">
        <v>0.97506409999999999</v>
      </c>
      <c r="Y1990">
        <v>-0.14930019999999999</v>
      </c>
      <c r="Z1990">
        <v>-1.6504849999999999E-3</v>
      </c>
      <c r="AA1990">
        <v>0.98879050000000002</v>
      </c>
      <c r="AB1990">
        <v>44</v>
      </c>
      <c r="AC1990">
        <v>-86.814300000000003</v>
      </c>
      <c r="AD1990">
        <v>-0.83672549999999901</v>
      </c>
      <c r="AE1990">
        <v>-10.4096999999999</v>
      </c>
      <c r="AF1990">
        <v>-13.108202902355099</v>
      </c>
      <c r="AG1990">
        <v>-0.83672549999999901</v>
      </c>
      <c r="AH1990">
        <v>86.439918605023607</v>
      </c>
      <c r="AI1990">
        <v>90.548328729787301</v>
      </c>
      <c r="AJ1990">
        <v>98.622934749058203</v>
      </c>
      <c r="AK1990">
        <v>87.432171546489499</v>
      </c>
      <c r="AL1990">
        <v>77.278509267256396</v>
      </c>
      <c r="AM1990">
        <v>88.384056382475507</v>
      </c>
      <c r="AN1990">
        <v>1.0000000167011101</v>
      </c>
    </row>
    <row r="1991" spans="1:40" x14ac:dyDescent="0.25">
      <c r="A1991" t="str">
        <f>"20190303171016847"</f>
        <v>20190303171016847</v>
      </c>
      <c r="B1991" t="str">
        <f>"1551604216842663"</f>
        <v>1551604216842663</v>
      </c>
      <c r="C1991" t="s">
        <v>40</v>
      </c>
      <c r="D1991">
        <v>4.860919</v>
      </c>
      <c r="E1991">
        <v>0.43650299999999997</v>
      </c>
      <c r="F1991" t="s">
        <v>61</v>
      </c>
      <c r="G1991">
        <v>-512.82529999999997</v>
      </c>
      <c r="H1991">
        <v>0.2956897</v>
      </c>
      <c r="I1991">
        <v>274.65980000000002</v>
      </c>
      <c r="J1991">
        <v>-426.46690000000001</v>
      </c>
      <c r="K1991">
        <v>1.1211990000000001</v>
      </c>
      <c r="L1991">
        <v>285.07060000000001</v>
      </c>
      <c r="M1991">
        <v>-0.99941449999999998</v>
      </c>
      <c r="N1991">
        <v>-1.454748E-2</v>
      </c>
      <c r="O1991">
        <v>3.09725E-2</v>
      </c>
      <c r="P1991">
        <v>-0.97690089999999996</v>
      </c>
      <c r="Q1991">
        <v>0.20573469999999999</v>
      </c>
      <c r="R1991">
        <v>5.7775899999999998E-2</v>
      </c>
      <c r="S1991">
        <v>-3.0994570000000001</v>
      </c>
      <c r="T1991">
        <v>-2.9469490000000001E-2</v>
      </c>
      <c r="U1991">
        <v>-0.3711853</v>
      </c>
      <c r="V1991">
        <v>2.7385650000000001E-2</v>
      </c>
      <c r="W1991">
        <v>0.2199567</v>
      </c>
      <c r="X1991">
        <v>0.97512509999999997</v>
      </c>
      <c r="Y1991">
        <v>-0.1495901</v>
      </c>
      <c r="Z1991">
        <v>-1.6453609999999999E-3</v>
      </c>
      <c r="AA1991">
        <v>0.98874680000000004</v>
      </c>
      <c r="AB1991">
        <v>44</v>
      </c>
      <c r="AC1991">
        <v>-86.358399999999904</v>
      </c>
      <c r="AD1991">
        <v>-0.8255093</v>
      </c>
      <c r="AE1991">
        <v>-10.410799999999901</v>
      </c>
      <c r="AF1991">
        <v>-13.0796444323197</v>
      </c>
      <c r="AG1991">
        <v>-0.8255093</v>
      </c>
      <c r="AH1991">
        <v>85.986732474417707</v>
      </c>
      <c r="AI1991">
        <v>90.543792198915099</v>
      </c>
      <c r="AJ1991">
        <v>98.649094606746104</v>
      </c>
      <c r="AK1991">
        <v>86.979748940241194</v>
      </c>
      <c r="AL1991">
        <v>77.293509462221294</v>
      </c>
      <c r="AM1991">
        <v>88.391314268580302</v>
      </c>
      <c r="AN1991">
        <v>0.999999942175409</v>
      </c>
    </row>
    <row r="1992" spans="1:40" x14ac:dyDescent="0.25">
      <c r="A1992" t="str">
        <f>"20190303171016863"</f>
        <v>20190303171016863</v>
      </c>
      <c r="B1992" t="str">
        <f>"1551604216852423"</f>
        <v>1551604216852423</v>
      </c>
      <c r="C1992" t="s">
        <v>40</v>
      </c>
      <c r="D1992">
        <v>4.8750239999999998</v>
      </c>
      <c r="E1992">
        <v>0.43656499999999998</v>
      </c>
      <c r="F1992" t="s">
        <v>61</v>
      </c>
      <c r="G1992">
        <v>-512.82529999999997</v>
      </c>
      <c r="H1992">
        <v>0.27238950000000001</v>
      </c>
      <c r="I1992">
        <v>274.71539999999999</v>
      </c>
      <c r="J1992">
        <v>-426.76549999999997</v>
      </c>
      <c r="K1992">
        <v>1.121194</v>
      </c>
      <c r="L1992">
        <v>285.07979999999998</v>
      </c>
      <c r="M1992">
        <v>-0.99941809999999998</v>
      </c>
      <c r="N1992">
        <v>-1.4545570000000001E-2</v>
      </c>
      <c r="O1992">
        <v>3.0855029999999999E-2</v>
      </c>
      <c r="P1992">
        <v>-0.97691030000000001</v>
      </c>
      <c r="Q1992">
        <v>0.20567179999999999</v>
      </c>
      <c r="R1992">
        <v>5.7841629999999998E-2</v>
      </c>
      <c r="S1992">
        <v>-3.0993650000000001</v>
      </c>
      <c r="T1992">
        <v>-3.0460480000000002E-2</v>
      </c>
      <c r="U1992">
        <v>-0.3716431</v>
      </c>
      <c r="V1992">
        <v>2.7566159999999999E-2</v>
      </c>
      <c r="W1992">
        <v>0.21989159999999999</v>
      </c>
      <c r="X1992">
        <v>0.97513470000000002</v>
      </c>
      <c r="Y1992">
        <v>-0.14962049999999999</v>
      </c>
      <c r="Z1992">
        <v>-1.679935E-3</v>
      </c>
      <c r="AA1992">
        <v>0.98874209999999996</v>
      </c>
      <c r="AB1992">
        <v>44</v>
      </c>
      <c r="AC1992">
        <v>-86.059799999999996</v>
      </c>
      <c r="AD1992">
        <v>-0.84880449999999996</v>
      </c>
      <c r="AE1992">
        <v>-10.3643999999999</v>
      </c>
      <c r="AF1992">
        <v>-13.013874758374</v>
      </c>
      <c r="AG1992">
        <v>-0.84880449999999996</v>
      </c>
      <c r="AH1992">
        <v>85.690771359813496</v>
      </c>
      <c r="AI1992">
        <v>90.561087831931005</v>
      </c>
      <c r="AJ1992">
        <v>98.635533505362304</v>
      </c>
      <c r="AK1992">
        <v>86.677504010819902</v>
      </c>
      <c r="AL1992">
        <v>77.297333080064206</v>
      </c>
      <c r="AM1992">
        <v>88.380732324028401</v>
      </c>
      <c r="AN1992">
        <v>0.99999994603589604</v>
      </c>
    </row>
    <row r="1993" spans="1:40" x14ac:dyDescent="0.25">
      <c r="A1993" t="str">
        <f>"20190303171016879"</f>
        <v>20190303171016879</v>
      </c>
      <c r="B1993" t="str">
        <f>"1551604216872919"</f>
        <v>1551604216872919</v>
      </c>
      <c r="C1993" t="s">
        <v>40</v>
      </c>
      <c r="D1993">
        <v>4.8684159999999999</v>
      </c>
      <c r="E1993">
        <v>0.43665880000000001</v>
      </c>
      <c r="F1993" t="s">
        <v>61</v>
      </c>
      <c r="G1993">
        <v>-512.82529999999997</v>
      </c>
      <c r="H1993">
        <v>0.27839789999999998</v>
      </c>
      <c r="I1993">
        <v>274.7602</v>
      </c>
      <c r="J1993">
        <v>-427.1105</v>
      </c>
      <c r="K1993">
        <v>1.1211880000000001</v>
      </c>
      <c r="L1993">
        <v>285.09030000000001</v>
      </c>
      <c r="M1993">
        <v>-0.99942240000000004</v>
      </c>
      <c r="N1993">
        <v>-1.454339E-2</v>
      </c>
      <c r="O1993">
        <v>3.0718800000000001E-2</v>
      </c>
      <c r="P1993">
        <v>-0.97719319999999998</v>
      </c>
      <c r="Q1993">
        <v>0.204378</v>
      </c>
      <c r="R1993">
        <v>5.7648329999999998E-2</v>
      </c>
      <c r="S1993">
        <v>-3.0993040000000001</v>
      </c>
      <c r="T1993">
        <v>-3.0349020000000001E-2</v>
      </c>
      <c r="U1993">
        <v>-0.3716431</v>
      </c>
      <c r="V1993">
        <v>2.749805E-2</v>
      </c>
      <c r="W1993">
        <v>0.21859960000000001</v>
      </c>
      <c r="X1993">
        <v>0.97542709999999999</v>
      </c>
      <c r="Y1993">
        <v>-0.14948819999999999</v>
      </c>
      <c r="Z1993">
        <v>-1.6751029999999901E-3</v>
      </c>
      <c r="AA1993">
        <v>0.98876209999999998</v>
      </c>
      <c r="AB1993">
        <v>44</v>
      </c>
      <c r="AC1993">
        <v>-85.714799999999897</v>
      </c>
      <c r="AD1993">
        <v>-0.84279009999999899</v>
      </c>
      <c r="AE1993">
        <v>-10.3301</v>
      </c>
      <c r="AF1993">
        <v>-12.9573230162896</v>
      </c>
      <c r="AG1993">
        <v>-0.84279009999999899</v>
      </c>
      <c r="AH1993">
        <v>85.348844737527799</v>
      </c>
      <c r="AI1993">
        <v>90.5593486385972</v>
      </c>
      <c r="AJ1993">
        <v>98.632499786437506</v>
      </c>
      <c r="AK1993">
        <v>86.330920375794406</v>
      </c>
      <c r="AL1993">
        <v>77.373205635349805</v>
      </c>
      <c r="AM1993">
        <v>88.385215007470094</v>
      </c>
      <c r="AN1993">
        <v>0.99999997764418602</v>
      </c>
    </row>
    <row r="1994" spans="1:40" x14ac:dyDescent="0.25">
      <c r="A1994" t="str">
        <f>"20190303171016896"</f>
        <v>20190303171016896</v>
      </c>
      <c r="B1994" t="str">
        <f>"1551604216882679"</f>
        <v>1551604216882679</v>
      </c>
      <c r="C1994" t="s">
        <v>40</v>
      </c>
      <c r="D1994">
        <v>4.8496550000000003</v>
      </c>
      <c r="E1994">
        <v>0.43670360000000003</v>
      </c>
      <c r="F1994" t="s">
        <v>61</v>
      </c>
      <c r="G1994">
        <v>-512.8252</v>
      </c>
      <c r="H1994">
        <v>0.15998509999999999</v>
      </c>
      <c r="I1994">
        <v>274.80009999999999</v>
      </c>
      <c r="J1994">
        <v>-427.42849999999999</v>
      </c>
      <c r="K1994">
        <v>1.1211869999999999</v>
      </c>
      <c r="L1994">
        <v>285.10000000000002</v>
      </c>
      <c r="M1994">
        <v>-0.99942609999999998</v>
      </c>
      <c r="N1994">
        <v>-1.454137E-2</v>
      </c>
      <c r="O1994">
        <v>3.0593349999999998E-2</v>
      </c>
      <c r="P1994">
        <v>-0.9773868</v>
      </c>
      <c r="Q1994">
        <v>0.20362169999999999</v>
      </c>
      <c r="R1994">
        <v>5.703627E-2</v>
      </c>
      <c r="S1994">
        <v>-3.099243</v>
      </c>
      <c r="T1994">
        <v>-3.4751890000000001E-2</v>
      </c>
      <c r="U1994">
        <v>-0.37207030000000002</v>
      </c>
      <c r="V1994">
        <v>2.7003409999999999E-2</v>
      </c>
      <c r="W1994">
        <v>0.21784390000000001</v>
      </c>
      <c r="X1994">
        <v>0.97560999999999998</v>
      </c>
      <c r="Y1994">
        <v>-0.14949709999999999</v>
      </c>
      <c r="Z1994">
        <v>-1.824874E-3</v>
      </c>
      <c r="AA1994">
        <v>0.98876050000000004</v>
      </c>
      <c r="AB1994">
        <v>44</v>
      </c>
      <c r="AC1994">
        <v>-85.396699999999996</v>
      </c>
      <c r="AD1994">
        <v>-0.96120190000000005</v>
      </c>
      <c r="AE1994">
        <v>-10.299899999999999</v>
      </c>
      <c r="AF1994">
        <v>-12.906313544953001</v>
      </c>
      <c r="AG1994">
        <v>-0.96120190000000005</v>
      </c>
      <c r="AH1994">
        <v>85.030958535438401</v>
      </c>
      <c r="AI1994">
        <v>90.640318651703197</v>
      </c>
      <c r="AJ1994">
        <v>98.630689006399905</v>
      </c>
      <c r="AK1994">
        <v>86.010236297016704</v>
      </c>
      <c r="AL1994">
        <v>77.417573775597901</v>
      </c>
      <c r="AM1994">
        <v>88.414544224566001</v>
      </c>
      <c r="AN1994">
        <v>1.00000001050941</v>
      </c>
    </row>
    <row r="1995" spans="1:40" x14ac:dyDescent="0.25">
      <c r="A1995" t="str">
        <f>"20190303171016925"</f>
        <v>20190303171016925</v>
      </c>
      <c r="B1995" t="str">
        <f>"1551604216912935"</f>
        <v>1551604216912935</v>
      </c>
      <c r="C1995" t="s">
        <v>40</v>
      </c>
      <c r="D1995">
        <v>4.8645339999999999</v>
      </c>
      <c r="E1995">
        <v>0.43680429999999998</v>
      </c>
      <c r="F1995" t="s">
        <v>61</v>
      </c>
      <c r="G1995">
        <v>-512.8252</v>
      </c>
      <c r="H1995">
        <v>8.7750549999999997E-2</v>
      </c>
      <c r="I1995">
        <v>274.7944</v>
      </c>
      <c r="J1995">
        <v>-427.99700000000001</v>
      </c>
      <c r="K1995">
        <v>1.1211899999999999</v>
      </c>
      <c r="L1995">
        <v>285.11720000000003</v>
      </c>
      <c r="M1995">
        <v>-0.99943309999999996</v>
      </c>
      <c r="N1995">
        <v>-1.453776E-2</v>
      </c>
      <c r="O1995">
        <v>3.0368619999999999E-2</v>
      </c>
      <c r="P1995">
        <v>-0.97729319999999997</v>
      </c>
      <c r="Q1995">
        <v>0.20421039999999999</v>
      </c>
      <c r="R1995">
        <v>5.6537530000000003E-2</v>
      </c>
      <c r="S1995">
        <v>-3.0990600000000001</v>
      </c>
      <c r="T1995">
        <v>-3.7500619999999998E-2</v>
      </c>
      <c r="U1995">
        <v>-0.37399290000000002</v>
      </c>
      <c r="V1995">
        <v>2.6727839999999999E-2</v>
      </c>
      <c r="W1995">
        <v>0.21842700000000001</v>
      </c>
      <c r="X1995">
        <v>0.9754872</v>
      </c>
      <c r="Y1995">
        <v>-0.14988389999999999</v>
      </c>
      <c r="Z1995">
        <v>-1.9235980000000001E-3</v>
      </c>
      <c r="AA1995">
        <v>0.98870179999999996</v>
      </c>
      <c r="AB1995">
        <v>44</v>
      </c>
      <c r="AC1995">
        <v>-84.828199999999995</v>
      </c>
      <c r="AD1995">
        <v>-1.0334394499999999</v>
      </c>
      <c r="AE1995">
        <v>-10.322800000000001</v>
      </c>
      <c r="AF1995">
        <v>-12.892539688296299</v>
      </c>
      <c r="AG1995">
        <v>-1.0334394499999999</v>
      </c>
      <c r="AH1995">
        <v>84.463190857170105</v>
      </c>
      <c r="AI1995">
        <v>90.692975177972997</v>
      </c>
      <c r="AJ1995">
        <v>98.678692254114196</v>
      </c>
      <c r="AK1995">
        <v>85.447739504833294</v>
      </c>
      <c r="AL1995">
        <v>77.383340134618095</v>
      </c>
      <c r="AM1995">
        <v>88.430518228664795</v>
      </c>
      <c r="AN1995">
        <v>1.0000000045619499</v>
      </c>
    </row>
    <row r="1996" spans="1:40" x14ac:dyDescent="0.25">
      <c r="A1996" t="str">
        <f>"20190303171016948"</f>
        <v>20190303171016948</v>
      </c>
      <c r="B1996" t="str">
        <f>"1551604216943191"</f>
        <v>1551604216943191</v>
      </c>
      <c r="C1996" t="s">
        <v>40</v>
      </c>
      <c r="D1996">
        <v>4.838686</v>
      </c>
      <c r="E1996">
        <v>0.43689499999999998</v>
      </c>
      <c r="F1996" t="s">
        <v>61</v>
      </c>
      <c r="G1996">
        <v>-512.8252</v>
      </c>
      <c r="H1996">
        <v>0.1107284</v>
      </c>
      <c r="I1996">
        <v>274.87509999999997</v>
      </c>
      <c r="J1996">
        <v>-428.44450000000001</v>
      </c>
      <c r="K1996">
        <v>1.121194</v>
      </c>
      <c r="L1996">
        <v>285.13060000000002</v>
      </c>
      <c r="M1996">
        <v>-0.99943850000000001</v>
      </c>
      <c r="N1996">
        <v>-1.453487E-2</v>
      </c>
      <c r="O1996">
        <v>3.0191510000000001E-2</v>
      </c>
      <c r="P1996">
        <v>-0.97714719999999999</v>
      </c>
      <c r="Q1996">
        <v>0.2049069</v>
      </c>
      <c r="R1996">
        <v>5.6540170000000001E-2</v>
      </c>
      <c r="S1996">
        <v>-3.0990600000000001</v>
      </c>
      <c r="T1996">
        <v>-3.6912559999999997E-2</v>
      </c>
      <c r="U1996">
        <v>-0.37417600000000001</v>
      </c>
      <c r="V1996">
        <v>2.6907879999999999E-2</v>
      </c>
      <c r="W1996">
        <v>0.21911890000000001</v>
      </c>
      <c r="X1996">
        <v>0.9753271</v>
      </c>
      <c r="Y1996">
        <v>-0.14976679999999901</v>
      </c>
      <c r="Z1996">
        <v>-1.9024689999999999E-3</v>
      </c>
      <c r="AA1996">
        <v>0.98871949999999997</v>
      </c>
      <c r="AB1996">
        <v>44</v>
      </c>
      <c r="AC1996">
        <v>-84.380699999999905</v>
      </c>
      <c r="AD1996">
        <v>-1.0104655999999901</v>
      </c>
      <c r="AE1996">
        <v>-10.2555</v>
      </c>
      <c r="AF1996">
        <v>-12.7968652334729</v>
      </c>
      <c r="AG1996">
        <v>-1.0104655999999901</v>
      </c>
      <c r="AH1996">
        <v>84.020690334361007</v>
      </c>
      <c r="AI1996">
        <v>90.6811735820027</v>
      </c>
      <c r="AJ1996">
        <v>98.659945030935603</v>
      </c>
      <c r="AK1996">
        <v>84.995630504132507</v>
      </c>
      <c r="AL1996">
        <v>77.342713469738797</v>
      </c>
      <c r="AM1996">
        <v>88.419692232624499</v>
      </c>
      <c r="AN1996">
        <v>1.0000000391688499</v>
      </c>
    </row>
    <row r="1997" spans="1:40" x14ac:dyDescent="0.25">
      <c r="A1997" t="str">
        <f>"20190303171016969"</f>
        <v>20190303171016969</v>
      </c>
      <c r="B1997" t="str">
        <f>"1551604216962711"</f>
        <v>1551604216962711</v>
      </c>
      <c r="C1997" t="s">
        <v>40</v>
      </c>
      <c r="D1997">
        <v>4.8682270000000001</v>
      </c>
      <c r="E1997">
        <v>0.43692629999999999</v>
      </c>
      <c r="F1997" t="s">
        <v>61</v>
      </c>
      <c r="G1997">
        <v>-512.8252</v>
      </c>
      <c r="H1997">
        <v>0.17494979999999999</v>
      </c>
      <c r="I1997">
        <v>274.93700000000001</v>
      </c>
      <c r="J1997">
        <v>-428.87630000000001</v>
      </c>
      <c r="K1997">
        <v>1.121192</v>
      </c>
      <c r="L1997">
        <v>285.14359999999999</v>
      </c>
      <c r="M1997">
        <v>-0.99944370000000005</v>
      </c>
      <c r="N1997">
        <v>-1.4532069999999999E-2</v>
      </c>
      <c r="O1997">
        <v>3.0020720000000001E-2</v>
      </c>
      <c r="P1997">
        <v>-0.97734529999999997</v>
      </c>
      <c r="Q1997">
        <v>0.20417550000000001</v>
      </c>
      <c r="R1997">
        <v>5.5755689999999997E-2</v>
      </c>
      <c r="S1997">
        <v>-3.0991209999999998</v>
      </c>
      <c r="T1997">
        <v>-3.4750459999999997E-2</v>
      </c>
      <c r="U1997">
        <v>-0.37438959999999999</v>
      </c>
      <c r="V1997">
        <v>2.6285490000000002E-2</v>
      </c>
      <c r="W1997">
        <v>0.218387</v>
      </c>
      <c r="X1997">
        <v>0.97550820000000005</v>
      </c>
      <c r="Y1997">
        <v>-0.14966460000000001</v>
      </c>
      <c r="Z1997">
        <v>-1.8285179999999999E-3</v>
      </c>
      <c r="AA1997">
        <v>0.98873509999999998</v>
      </c>
      <c r="AB1997">
        <v>44</v>
      </c>
      <c r="AC1997">
        <v>-83.948899999999895</v>
      </c>
      <c r="AD1997">
        <v>-0.94624219999999903</v>
      </c>
      <c r="AE1997">
        <v>-10.2065999999999</v>
      </c>
      <c r="AF1997">
        <v>-12.720878434570899</v>
      </c>
      <c r="AG1997">
        <v>-0.94624219999999903</v>
      </c>
      <c r="AH1997">
        <v>83.594146531113495</v>
      </c>
      <c r="AI1997">
        <v>90.641150236741396</v>
      </c>
      <c r="AJ1997">
        <v>98.652561920954994</v>
      </c>
      <c r="AK1997">
        <v>84.561796673873204</v>
      </c>
      <c r="AL1997">
        <v>77.385688971613803</v>
      </c>
      <c r="AM1997">
        <v>88.456513941823104</v>
      </c>
      <c r="AN1997">
        <v>1.0000000285103801</v>
      </c>
    </row>
    <row r="1998" spans="1:40" x14ac:dyDescent="0.25">
      <c r="A1998" t="str">
        <f>"20190303171016991"</f>
        <v>20190303171016991</v>
      </c>
      <c r="B1998" t="str">
        <f>"1551604216982739"</f>
        <v>1551604216982739</v>
      </c>
      <c r="C1998" t="s">
        <v>40</v>
      </c>
      <c r="D1998">
        <v>4.8705270000000001</v>
      </c>
      <c r="E1998">
        <v>0.43692839999999999</v>
      </c>
      <c r="F1998" t="s">
        <v>61</v>
      </c>
      <c r="G1998">
        <v>-512.8252</v>
      </c>
      <c r="H1998">
        <v>0.1207415</v>
      </c>
      <c r="I1998">
        <v>274.92329999999998</v>
      </c>
      <c r="J1998">
        <v>-429.30930000000001</v>
      </c>
      <c r="K1998">
        <v>1.1211979999999999</v>
      </c>
      <c r="L1998">
        <v>285.15640000000002</v>
      </c>
      <c r="M1998">
        <v>-0.99944900000000003</v>
      </c>
      <c r="N1998">
        <v>-1.4529399999999901E-2</v>
      </c>
      <c r="O1998">
        <v>2.9849560000000001E-2</v>
      </c>
      <c r="P1998">
        <v>-0.97756010000000004</v>
      </c>
      <c r="Q1998">
        <v>0.2034947</v>
      </c>
      <c r="R1998">
        <v>5.4463980000000002E-2</v>
      </c>
      <c r="S1998">
        <v>-3.0988159999999998</v>
      </c>
      <c r="T1998">
        <v>-3.6926750000000001E-2</v>
      </c>
      <c r="U1998">
        <v>-0.37725829999999999</v>
      </c>
      <c r="V1998">
        <v>2.5155670000000002E-2</v>
      </c>
      <c r="W1998">
        <v>0.2177057</v>
      </c>
      <c r="X1998">
        <v>0.97569019999999995</v>
      </c>
      <c r="Y1998">
        <v>-0.15040689999999901</v>
      </c>
      <c r="Z1998">
        <v>-1.9121710000000001E-3</v>
      </c>
      <c r="AA1998">
        <v>0.98862229999999995</v>
      </c>
      <c r="AB1998">
        <v>44</v>
      </c>
      <c r="AC1998">
        <v>-83.515899999999903</v>
      </c>
      <c r="AD1998">
        <v>-1.0004565000000001</v>
      </c>
      <c r="AE1998">
        <v>-10.2331</v>
      </c>
      <c r="AF1998">
        <v>-12.719916399145299</v>
      </c>
      <c r="AG1998">
        <v>-1.0004565000000001</v>
      </c>
      <c r="AH1998">
        <v>83.161434651211295</v>
      </c>
      <c r="AI1998">
        <v>90.681328781986096</v>
      </c>
      <c r="AJ1998">
        <v>98.696249309860605</v>
      </c>
      <c r="AK1998">
        <v>84.134543438811903</v>
      </c>
      <c r="AL1998">
        <v>77.425686292026697</v>
      </c>
      <c r="AM1998">
        <v>88.523102429718804</v>
      </c>
      <c r="AN1998">
        <v>0.99999997296083898</v>
      </c>
    </row>
    <row r="1999" spans="1:40" x14ac:dyDescent="0.25">
      <c r="A1999" t="str">
        <f>"20190303171017014"</f>
        <v>20190303171017014</v>
      </c>
      <c r="B1999" t="str">
        <f>"1551604217002259"</f>
        <v>1551604217002259</v>
      </c>
      <c r="C1999" t="s">
        <v>40</v>
      </c>
      <c r="D1999">
        <v>4.8745729999999998</v>
      </c>
      <c r="E1999">
        <v>0.43693349999999997</v>
      </c>
      <c r="F1999" t="s">
        <v>61</v>
      </c>
      <c r="G1999">
        <v>-512.8252</v>
      </c>
      <c r="H1999">
        <v>4.748517E-2</v>
      </c>
      <c r="I1999">
        <v>274.88959999999997</v>
      </c>
      <c r="J1999">
        <v>-429.75630000000001</v>
      </c>
      <c r="K1999">
        <v>1.1212029999999999</v>
      </c>
      <c r="L1999">
        <v>285.1696</v>
      </c>
      <c r="M1999">
        <v>-0.99945410000000001</v>
      </c>
      <c r="N1999">
        <v>-1.4526519999999999E-2</v>
      </c>
      <c r="O1999">
        <v>2.967258E-2</v>
      </c>
      <c r="P1999">
        <v>-0.97755029999999998</v>
      </c>
      <c r="Q1999">
        <v>0.20359930000000001</v>
      </c>
      <c r="R1999">
        <v>5.424822E-2</v>
      </c>
      <c r="S1999">
        <v>-3.0983890000000001</v>
      </c>
      <c r="T1999">
        <v>-3.9831039999999998E-2</v>
      </c>
      <c r="U1999">
        <v>-0.3808899</v>
      </c>
      <c r="V1999">
        <v>2.511379E-2</v>
      </c>
      <c r="W1999">
        <v>0.21780720000000001</v>
      </c>
      <c r="X1999">
        <v>0.97566870000000006</v>
      </c>
      <c r="Y1999">
        <v>-0.15138689999999999</v>
      </c>
      <c r="Z1999">
        <v>-2.0240599999999998E-3</v>
      </c>
      <c r="AA1999">
        <v>0.98847249999999998</v>
      </c>
      <c r="AB1999">
        <v>44</v>
      </c>
      <c r="AC1999">
        <v>-83.0688999999999</v>
      </c>
      <c r="AD1999">
        <v>-1.0737178300000001</v>
      </c>
      <c r="AE1999">
        <v>-10.28</v>
      </c>
      <c r="AF1999">
        <v>-12.738505043513801</v>
      </c>
      <c r="AG1999">
        <v>-1.0737178300000001</v>
      </c>
      <c r="AH1999">
        <v>82.713637723807096</v>
      </c>
      <c r="AI1999">
        <v>90.735058028231194</v>
      </c>
      <c r="AJ1999">
        <v>98.7551822521296</v>
      </c>
      <c r="AK1999">
        <v>83.695688337137796</v>
      </c>
      <c r="AL1999">
        <v>77.419728712156896</v>
      </c>
      <c r="AM1999">
        <v>88.525527655199198</v>
      </c>
      <c r="AN1999">
        <v>1.0000000454898399</v>
      </c>
    </row>
    <row r="2000" spans="1:40" x14ac:dyDescent="0.25">
      <c r="A2000" t="str">
        <f>"20190303171017037"</f>
        <v>20190303171017037</v>
      </c>
      <c r="B2000" t="str">
        <f>"1551604217032518"</f>
        <v>1551604217032518</v>
      </c>
      <c r="C2000" t="s">
        <v>40</v>
      </c>
      <c r="D2000">
        <v>4.8770040000000003</v>
      </c>
      <c r="E2000">
        <v>0.43690400000000001</v>
      </c>
      <c r="F2000" t="s">
        <v>61</v>
      </c>
      <c r="G2000">
        <v>-512.8252</v>
      </c>
      <c r="H2000">
        <v>5.966043E-2</v>
      </c>
      <c r="I2000">
        <v>274.9289</v>
      </c>
      <c r="J2000">
        <v>-430.19229999999999</v>
      </c>
      <c r="K2000">
        <v>1.1212059999999999</v>
      </c>
      <c r="L2000">
        <v>285.18239999999997</v>
      </c>
      <c r="M2000">
        <v>-0.99945930000000005</v>
      </c>
      <c r="N2000">
        <v>-1.4523690000000001E-2</v>
      </c>
      <c r="O2000">
        <v>2.9499879999999999E-2</v>
      </c>
      <c r="P2000">
        <v>-0.97747329999999999</v>
      </c>
      <c r="Q2000">
        <v>0.20400009999999999</v>
      </c>
      <c r="R2000">
        <v>5.4131829999999999E-2</v>
      </c>
      <c r="S2000">
        <v>-3.098328</v>
      </c>
      <c r="T2000">
        <v>-3.9590720000000003E-2</v>
      </c>
      <c r="U2000">
        <v>-0.38195800000000002</v>
      </c>
      <c r="V2000">
        <v>2.5168719999999999E-2</v>
      </c>
      <c r="W2000">
        <v>0.2182036</v>
      </c>
      <c r="X2000">
        <v>0.97557870000000002</v>
      </c>
      <c r="Y2000">
        <v>-0.1515543</v>
      </c>
      <c r="Z2000">
        <v>-2.0184019999999999E-3</v>
      </c>
      <c r="AA2000">
        <v>0.98844690000000002</v>
      </c>
      <c r="AB2000">
        <v>44</v>
      </c>
      <c r="AC2000">
        <v>-82.632900000000006</v>
      </c>
      <c r="AD2000">
        <v>-1.0615455699999901</v>
      </c>
      <c r="AE2000">
        <v>-10.253499999999899</v>
      </c>
      <c r="AF2000">
        <v>-12.684892568296601</v>
      </c>
      <c r="AG2000">
        <v>-1.0615455699999901</v>
      </c>
      <c r="AH2000">
        <v>82.281047128330897</v>
      </c>
      <c r="AI2000">
        <v>90.730528849425696</v>
      </c>
      <c r="AJ2000">
        <v>98.764031315661697</v>
      </c>
      <c r="AK2000">
        <v>83.259858845670806</v>
      </c>
      <c r="AL2000">
        <v>77.396456823103605</v>
      </c>
      <c r="AM2000">
        <v>88.5221677906314</v>
      </c>
      <c r="AN2000">
        <v>1.0000000377065399</v>
      </c>
    </row>
    <row r="2001" spans="1:40" x14ac:dyDescent="0.25">
      <c r="A2001" t="str">
        <f>"20190303171017058"</f>
        <v>20190303171017058</v>
      </c>
      <c r="B2001" t="str">
        <f>"1551604217053011"</f>
        <v>1551604217053011</v>
      </c>
      <c r="C2001" t="s">
        <v>40</v>
      </c>
      <c r="D2001">
        <v>4.8809389999999997</v>
      </c>
      <c r="E2001">
        <v>0.4369075</v>
      </c>
      <c r="F2001" t="s">
        <v>61</v>
      </c>
      <c r="G2001">
        <v>-512.8252</v>
      </c>
      <c r="H2001">
        <v>9.0485099999999999E-2</v>
      </c>
      <c r="I2001">
        <v>274.98099999999999</v>
      </c>
      <c r="J2001">
        <v>-430.6327</v>
      </c>
      <c r="K2001">
        <v>1.1212040000000001</v>
      </c>
      <c r="L2001">
        <v>285.1952</v>
      </c>
      <c r="M2001">
        <v>-0.99946460000000004</v>
      </c>
      <c r="N2001">
        <v>-1.4520770000000001E-2</v>
      </c>
      <c r="O2001">
        <v>2.9325569999999999E-2</v>
      </c>
      <c r="P2001">
        <v>-0.97737370000000001</v>
      </c>
      <c r="Q2001">
        <v>0.20446990000000001</v>
      </c>
      <c r="R2001">
        <v>5.4157469999999999E-2</v>
      </c>
      <c r="S2001">
        <v>-3.0983890000000001</v>
      </c>
      <c r="T2001">
        <v>-3.8644669999999999E-2</v>
      </c>
      <c r="U2001">
        <v>-0.38250729999999999</v>
      </c>
      <c r="V2001">
        <v>2.5367899999999999E-2</v>
      </c>
      <c r="W2001">
        <v>0.21866940000000001</v>
      </c>
      <c r="X2001">
        <v>0.97546920000000004</v>
      </c>
      <c r="Y2001">
        <v>-0.1515531</v>
      </c>
      <c r="Z2001">
        <v>-1.9865519999999999E-3</v>
      </c>
      <c r="AA2001">
        <v>0.98844710000000002</v>
      </c>
      <c r="AB2001">
        <v>44</v>
      </c>
      <c r="AC2001">
        <v>-82.192499999999995</v>
      </c>
      <c r="AD2001">
        <v>-1.0307189000000001</v>
      </c>
      <c r="AE2001">
        <v>-10.2142</v>
      </c>
      <c r="AF2001">
        <v>-12.6184475623003</v>
      </c>
      <c r="AG2001">
        <v>-1.0307189000000001</v>
      </c>
      <c r="AH2001">
        <v>81.844898738950704</v>
      </c>
      <c r="AI2001">
        <v>90.713095405839297</v>
      </c>
      <c r="AJ2001">
        <v>98.764574250096302</v>
      </c>
      <c r="AK2001">
        <v>82.818325568212401</v>
      </c>
      <c r="AL2001">
        <v>77.369107504306797</v>
      </c>
      <c r="AM2001">
        <v>88.510310653886606</v>
      </c>
      <c r="AN2001">
        <v>0.99999999849770504</v>
      </c>
    </row>
    <row r="2002" spans="1:40" x14ac:dyDescent="0.25">
      <c r="A2002" t="str">
        <f>"20190303171017081"</f>
        <v>20190303171017081</v>
      </c>
      <c r="B2002" t="str">
        <f>"1551604217072531"</f>
        <v>1551604217072531</v>
      </c>
      <c r="C2002" t="s">
        <v>40</v>
      </c>
      <c r="D2002">
        <v>4.8817180000000002</v>
      </c>
      <c r="E2002">
        <v>0.43692769999999997</v>
      </c>
      <c r="F2002" t="s">
        <v>61</v>
      </c>
      <c r="G2002">
        <v>-512.8252</v>
      </c>
      <c r="H2002">
        <v>0.11587450000000001</v>
      </c>
      <c r="I2002">
        <v>275.0591</v>
      </c>
      <c r="J2002">
        <v>-431.06189999999998</v>
      </c>
      <c r="K2002">
        <v>1.1211979999999999</v>
      </c>
      <c r="L2002">
        <v>285.20769999999999</v>
      </c>
      <c r="M2002">
        <v>-0.99946950000000001</v>
      </c>
      <c r="N2002">
        <v>-1.4517810000000001E-2</v>
      </c>
      <c r="O2002">
        <v>2.915597E-2</v>
      </c>
      <c r="P2002">
        <v>-0.97743239999999998</v>
      </c>
      <c r="Q2002">
        <v>0.204125</v>
      </c>
      <c r="R2002">
        <v>5.4395220000000001E-2</v>
      </c>
      <c r="S2002">
        <v>-3.0985109999999998</v>
      </c>
      <c r="T2002">
        <v>-3.7896039999999999E-2</v>
      </c>
      <c r="U2002">
        <v>-0.38211060000000002</v>
      </c>
      <c r="V2002">
        <v>2.5769980000000001E-2</v>
      </c>
      <c r="W2002">
        <v>0.21832280000000001</v>
      </c>
      <c r="X2002">
        <v>0.97553630000000002</v>
      </c>
      <c r="Y2002">
        <v>-0.15125669999999999</v>
      </c>
      <c r="Z2002">
        <v>-1.9574779999999999E-3</v>
      </c>
      <c r="AA2002">
        <v>0.98849260000000005</v>
      </c>
      <c r="AB2002">
        <v>44</v>
      </c>
      <c r="AC2002">
        <v>-81.763300000000001</v>
      </c>
      <c r="AD2002">
        <v>-1.00532349999999</v>
      </c>
      <c r="AE2002">
        <v>-10.148599999999901</v>
      </c>
      <c r="AF2002">
        <v>-12.5265590684157</v>
      </c>
      <c r="AG2002">
        <v>-1.00532349999999</v>
      </c>
      <c r="AH2002">
        <v>81.420487147977894</v>
      </c>
      <c r="AI2002">
        <v>90.699186843927805</v>
      </c>
      <c r="AJ2002">
        <v>98.7463893048877</v>
      </c>
      <c r="AK2002">
        <v>82.384592520981698</v>
      </c>
      <c r="AL2002">
        <v>77.389458012364997</v>
      </c>
      <c r="AM2002">
        <v>88.486814082455695</v>
      </c>
      <c r="AN2002">
        <v>1.0000000047433599</v>
      </c>
    </row>
    <row r="2003" spans="1:40" x14ac:dyDescent="0.25">
      <c r="A2003" t="str">
        <f>"20190303171017103"</f>
        <v>20190303171017103</v>
      </c>
      <c r="B2003" t="str">
        <f>"1551604217093027"</f>
        <v>1551604217093027</v>
      </c>
      <c r="C2003" t="s">
        <v>40</v>
      </c>
      <c r="D2003">
        <v>4.8999689999999996</v>
      </c>
      <c r="E2003">
        <v>0.43692799999999998</v>
      </c>
      <c r="F2003" t="s">
        <v>61</v>
      </c>
      <c r="G2003">
        <v>-512.8252</v>
      </c>
      <c r="H2003">
        <v>7.9658510000000002E-2</v>
      </c>
      <c r="I2003">
        <v>275.15350000000001</v>
      </c>
      <c r="J2003">
        <v>-431.50650000000002</v>
      </c>
      <c r="K2003">
        <v>1.1211899999999999</v>
      </c>
      <c r="L2003">
        <v>285.22050000000002</v>
      </c>
      <c r="M2003">
        <v>-0.99947459999999999</v>
      </c>
      <c r="N2003">
        <v>-1.4514900000000001E-2</v>
      </c>
      <c r="O2003">
        <v>2.8979810000000002E-2</v>
      </c>
      <c r="P2003">
        <v>-0.97765440000000003</v>
      </c>
      <c r="Q2003">
        <v>0.2032939</v>
      </c>
      <c r="R2003">
        <v>5.35138E-2</v>
      </c>
      <c r="S2003">
        <v>-3.0987550000000001</v>
      </c>
      <c r="T2003">
        <v>-3.9470310000000002E-2</v>
      </c>
      <c r="U2003">
        <v>-0.38104250000000001</v>
      </c>
      <c r="V2003">
        <v>2.50558E-2</v>
      </c>
      <c r="W2003">
        <v>0.21749109999999999</v>
      </c>
      <c r="X2003">
        <v>0.97574070000000002</v>
      </c>
      <c r="Y2003">
        <v>-0.15073599999999901</v>
      </c>
      <c r="Z2003">
        <v>-2.0034860000000001E-3</v>
      </c>
      <c r="AA2003">
        <v>0.98857200000000001</v>
      </c>
      <c r="AB2003">
        <v>44</v>
      </c>
      <c r="AC2003">
        <v>-81.318699999999893</v>
      </c>
      <c r="AD2003">
        <v>-1.0415314899999999</v>
      </c>
      <c r="AE2003">
        <v>-10.067</v>
      </c>
      <c r="AF2003">
        <v>-12.4176134118251</v>
      </c>
      <c r="AG2003">
        <v>-1.0415314899999999</v>
      </c>
      <c r="AH2003">
        <v>80.979684401995598</v>
      </c>
      <c r="AI2003">
        <v>90.728364375227002</v>
      </c>
      <c r="AJ2003">
        <v>98.717960540789505</v>
      </c>
      <c r="AK2003">
        <v>81.932845651405401</v>
      </c>
      <c r="AL2003">
        <v>77.438284713751997</v>
      </c>
      <c r="AM2003">
        <v>88.529039349314502</v>
      </c>
      <c r="AN2003">
        <v>1.00000004266466</v>
      </c>
    </row>
    <row r="2004" spans="1:40" x14ac:dyDescent="0.25">
      <c r="A2004" t="str">
        <f>"20190303171017127"</f>
        <v>20190303171017127</v>
      </c>
      <c r="B2004" t="str">
        <f>"1551604217122307"</f>
        <v>1551604217122307</v>
      </c>
      <c r="C2004" t="s">
        <v>40</v>
      </c>
      <c r="D2004">
        <v>4.888217</v>
      </c>
      <c r="E2004">
        <v>0.4369325</v>
      </c>
      <c r="F2004" t="s">
        <v>61</v>
      </c>
      <c r="G2004">
        <v>-512.82510000000002</v>
      </c>
      <c r="H2004">
        <v>-1.109803E-2</v>
      </c>
      <c r="I2004">
        <v>275.17219999999998</v>
      </c>
      <c r="J2004">
        <v>-431.94709999999998</v>
      </c>
      <c r="K2004">
        <v>1.1211850000000001</v>
      </c>
      <c r="L2004">
        <v>285.23320000000001</v>
      </c>
      <c r="M2004">
        <v>-0.99947980000000003</v>
      </c>
      <c r="N2004">
        <v>-1.451215E-2</v>
      </c>
      <c r="O2004">
        <v>2.8805029999999999E-2</v>
      </c>
      <c r="P2004">
        <v>-0.97773960000000004</v>
      </c>
      <c r="Q2004">
        <v>0.20291120000000001</v>
      </c>
      <c r="R2004">
        <v>5.340748E-2</v>
      </c>
      <c r="S2004">
        <v>-3.0985109999999998</v>
      </c>
      <c r="T2004">
        <v>-4.3140770000000002E-2</v>
      </c>
      <c r="U2004">
        <v>-0.38287349999999998</v>
      </c>
      <c r="V2004">
        <v>2.5118339999999999E-2</v>
      </c>
      <c r="W2004">
        <v>0.21710670000000001</v>
      </c>
      <c r="X2004">
        <v>0.97582469999999999</v>
      </c>
      <c r="Y2004">
        <v>-0.15114430000000001</v>
      </c>
      <c r="Z2004">
        <v>-2.132526E-3</v>
      </c>
      <c r="AA2004">
        <v>0.98850939999999998</v>
      </c>
      <c r="AB2004">
        <v>44</v>
      </c>
      <c r="AC2004">
        <v>-80.878</v>
      </c>
      <c r="AD2004">
        <v>-1.13228303</v>
      </c>
      <c r="AE2004">
        <v>-10.061</v>
      </c>
      <c r="AF2004">
        <v>-12.3843723286182</v>
      </c>
      <c r="AG2004">
        <v>-1.13228303</v>
      </c>
      <c r="AH2004">
        <v>80.539049780026602</v>
      </c>
      <c r="AI2004">
        <v>90.796101688562402</v>
      </c>
      <c r="AJ2004">
        <v>98.741818246138806</v>
      </c>
      <c r="AK2004">
        <v>81.493516811483104</v>
      </c>
      <c r="AL2004">
        <v>77.460848430201693</v>
      </c>
      <c r="AM2004">
        <v>88.525496289892203</v>
      </c>
      <c r="AN2004">
        <v>1.00000004765966</v>
      </c>
    </row>
    <row r="2005" spans="1:40" x14ac:dyDescent="0.25">
      <c r="A2005" t="str">
        <f>"20190303171017148"</f>
        <v>20190303171017148</v>
      </c>
      <c r="B2005" t="str">
        <f>"1551604217142803"</f>
        <v>1551604217142803</v>
      </c>
      <c r="C2005" t="s">
        <v>40</v>
      </c>
      <c r="D2005">
        <v>4.9348609999999997</v>
      </c>
      <c r="E2005">
        <v>0.4369053</v>
      </c>
      <c r="F2005" t="s">
        <v>52</v>
      </c>
      <c r="G2005">
        <v>-503.35750000000002</v>
      </c>
      <c r="H2005">
        <v>8.0000230000000006E-2</v>
      </c>
      <c r="I2005">
        <v>276.41500000000002</v>
      </c>
      <c r="J2005">
        <v>-432.38720000000001</v>
      </c>
      <c r="K2005">
        <v>1.1211960000000001</v>
      </c>
      <c r="L2005">
        <v>285.2457</v>
      </c>
      <c r="M2005">
        <v>-0.99948490000000001</v>
      </c>
      <c r="N2005">
        <v>-1.450955E-2</v>
      </c>
      <c r="O2005">
        <v>2.8631130000000001E-2</v>
      </c>
      <c r="P2005">
        <v>-0.97767190000000004</v>
      </c>
      <c r="Q2005">
        <v>0.20335410000000001</v>
      </c>
      <c r="R2005">
        <v>5.2965569999999997E-2</v>
      </c>
      <c r="S2005">
        <v>-3.0985719999999999</v>
      </c>
      <c r="T2005">
        <v>-4.5178059999999999E-2</v>
      </c>
      <c r="U2005">
        <v>-0.38262940000000001</v>
      </c>
      <c r="V2005">
        <v>2.484898E-2</v>
      </c>
      <c r="W2005">
        <v>0.21754609999999999</v>
      </c>
      <c r="X2005">
        <v>0.97573370000000004</v>
      </c>
      <c r="Y2005">
        <v>-0.1508911</v>
      </c>
      <c r="Z2005">
        <v>-2.1970499999999999E-3</v>
      </c>
      <c r="AA2005">
        <v>0.98854790000000003</v>
      </c>
      <c r="AB2005">
        <v>44</v>
      </c>
      <c r="AC2005">
        <v>-70.970299999999995</v>
      </c>
      <c r="AD2005">
        <v>-1.0411957700000001</v>
      </c>
      <c r="AE2005">
        <v>-8.83069999999997</v>
      </c>
      <c r="AF2005">
        <v>-10.8569513605671</v>
      </c>
      <c r="AG2005">
        <v>-1.0411957700000001</v>
      </c>
      <c r="AH2005">
        <v>70.673360353130207</v>
      </c>
      <c r="AI2005">
        <v>90.834264075414595</v>
      </c>
      <c r="AJ2005">
        <v>98.733590689603801</v>
      </c>
      <c r="AK2005">
        <v>71.510008705639194</v>
      </c>
      <c r="AL2005">
        <v>77.435055793146304</v>
      </c>
      <c r="AM2005">
        <v>88.541165482072003</v>
      </c>
      <c r="AN2005">
        <v>1.0000000153739701</v>
      </c>
    </row>
    <row r="2006" spans="1:40" x14ac:dyDescent="0.25">
      <c r="A2006" t="str">
        <f>"20190303171017171"</f>
        <v>20190303171017171</v>
      </c>
      <c r="B2006" t="str">
        <f>"1551604217162322"</f>
        <v>1551604217162322</v>
      </c>
      <c r="C2006" t="s">
        <v>40</v>
      </c>
      <c r="D2006">
        <v>4.9247560000000004</v>
      </c>
      <c r="E2006">
        <v>0.43687009999999998</v>
      </c>
      <c r="F2006" t="s">
        <v>61</v>
      </c>
      <c r="G2006">
        <v>-512.82510000000002</v>
      </c>
      <c r="H2006">
        <v>-1.7122269999999998E-2</v>
      </c>
      <c r="I2006">
        <v>275.27499999999998</v>
      </c>
      <c r="J2006">
        <v>-432.8152</v>
      </c>
      <c r="K2006">
        <v>1.121202</v>
      </c>
      <c r="L2006">
        <v>285.25779999999997</v>
      </c>
      <c r="M2006">
        <v>-0.99948970000000004</v>
      </c>
      <c r="N2006">
        <v>-1.450708E-2</v>
      </c>
      <c r="O2006">
        <v>2.8461529999999999E-2</v>
      </c>
      <c r="P2006">
        <v>-0.97765570000000002</v>
      </c>
      <c r="Q2006">
        <v>0.2035517</v>
      </c>
      <c r="R2006">
        <v>5.2503250000000001E-2</v>
      </c>
      <c r="S2006">
        <v>-3.0984189999999998</v>
      </c>
      <c r="T2006">
        <v>-4.3844099999999997E-2</v>
      </c>
      <c r="U2006">
        <v>-0.38406370000000001</v>
      </c>
      <c r="V2006">
        <v>2.455332E-2</v>
      </c>
      <c r="W2006">
        <v>0.21774060000000001</v>
      </c>
      <c r="X2006">
        <v>0.97569779999999995</v>
      </c>
      <c r="Y2006">
        <v>-0.15118139999999999</v>
      </c>
      <c r="Z2006">
        <v>-2.1565859999999998E-3</v>
      </c>
      <c r="AA2006">
        <v>0.98850369999999999</v>
      </c>
      <c r="AB2006">
        <v>44</v>
      </c>
      <c r="AC2006">
        <v>-80.009900000000002</v>
      </c>
      <c r="AD2006">
        <v>-1.13832427</v>
      </c>
      <c r="AE2006">
        <v>-9.9827999999999903</v>
      </c>
      <c r="AF2006">
        <v>-12.253756302605501</v>
      </c>
      <c r="AG2006">
        <v>-1.13832427</v>
      </c>
      <c r="AH2006">
        <v>79.677443863568399</v>
      </c>
      <c r="AI2006">
        <v>90.808999409734099</v>
      </c>
      <c r="AJ2006">
        <v>98.743133198040695</v>
      </c>
      <c r="AK2006">
        <v>80.622238782481105</v>
      </c>
      <c r="AL2006">
        <v>77.423638066295794</v>
      </c>
      <c r="AM2006">
        <v>88.558462713082704</v>
      </c>
      <c r="AN2006">
        <v>1.0000000156681099</v>
      </c>
    </row>
    <row r="2007" spans="1:40" x14ac:dyDescent="0.25">
      <c r="A2007" t="str">
        <f>"20190303171017193"</f>
        <v>20190303171017193</v>
      </c>
      <c r="B2007" t="str">
        <f>"1551604217182819"</f>
        <v>1551604217182819</v>
      </c>
      <c r="C2007" t="s">
        <v>40</v>
      </c>
      <c r="D2007">
        <v>4.9565359999999998</v>
      </c>
      <c r="E2007">
        <v>0.43680799999999997</v>
      </c>
      <c r="F2007" t="s">
        <v>61</v>
      </c>
      <c r="G2007">
        <v>-512.82510000000002</v>
      </c>
      <c r="H2007">
        <v>-5.8722499999999999E-3</v>
      </c>
      <c r="I2007">
        <v>275.3075</v>
      </c>
      <c r="J2007">
        <v>-433.24939999999998</v>
      </c>
      <c r="K2007">
        <v>1.1212029999999999</v>
      </c>
      <c r="L2007">
        <v>285.27</v>
      </c>
      <c r="M2007">
        <v>-0.99949460000000001</v>
      </c>
      <c r="N2007">
        <v>-1.450456E-2</v>
      </c>
      <c r="O2007">
        <v>2.8288890000000001E-2</v>
      </c>
      <c r="P2007">
        <v>-0.97786269999999997</v>
      </c>
      <c r="Q2007">
        <v>0.20289860000000001</v>
      </c>
      <c r="R2007">
        <v>5.1154159999999997E-2</v>
      </c>
      <c r="S2007">
        <v>-3.098328</v>
      </c>
      <c r="T2007">
        <v>-4.3641920000000001E-2</v>
      </c>
      <c r="U2007">
        <v>-0.38531490000000002</v>
      </c>
      <c r="V2007">
        <v>2.3368460000000001E-2</v>
      </c>
      <c r="W2007">
        <v>0.21708720000000001</v>
      </c>
      <c r="X2007">
        <v>0.97587250000000003</v>
      </c>
      <c r="Y2007">
        <v>-0.1514075</v>
      </c>
      <c r="Z2007">
        <v>-2.1530490000000002E-3</v>
      </c>
      <c r="AA2007">
        <v>0.98846909999999999</v>
      </c>
      <c r="AB2007">
        <v>44</v>
      </c>
      <c r="AC2007">
        <v>-79.575699999999998</v>
      </c>
      <c r="AD2007">
        <v>-1.1270752500000001</v>
      </c>
      <c r="AE2007">
        <v>-9.9624999999999702</v>
      </c>
      <c r="AF2007">
        <v>-12.2074459071835</v>
      </c>
      <c r="AG2007">
        <v>-1.1270752500000001</v>
      </c>
      <c r="AH2007">
        <v>79.246336548886504</v>
      </c>
      <c r="AI2007">
        <v>90.805332284751401</v>
      </c>
      <c r="AJ2007">
        <v>98.757251997644602</v>
      </c>
      <c r="AK2007">
        <v>80.188988587058205</v>
      </c>
      <c r="AL2007">
        <v>77.461992857195497</v>
      </c>
      <c r="AM2007">
        <v>88.628244674395305</v>
      </c>
      <c r="AN2007">
        <v>1.0000000367914299</v>
      </c>
    </row>
    <row r="2008" spans="1:40" x14ac:dyDescent="0.25">
      <c r="A2008" t="str">
        <f>"20190303171017216"</f>
        <v>20190303171017216</v>
      </c>
      <c r="B2008" t="str">
        <f>"1551604217202339"</f>
        <v>1551604217202339</v>
      </c>
      <c r="C2008" t="s">
        <v>40</v>
      </c>
      <c r="D2008">
        <v>4.9431269999999996</v>
      </c>
      <c r="E2008">
        <v>0.43676700000000002</v>
      </c>
      <c r="F2008" t="s">
        <v>52</v>
      </c>
      <c r="G2008">
        <v>-502.9923</v>
      </c>
      <c r="H2008">
        <v>8.0000299999999996E-2</v>
      </c>
      <c r="I2008">
        <v>276.50130000000001</v>
      </c>
      <c r="J2008">
        <v>-433.6848</v>
      </c>
      <c r="K2008">
        <v>1.121205</v>
      </c>
      <c r="L2008">
        <v>285.28219999999999</v>
      </c>
      <c r="M2008">
        <v>-0.99949960000000004</v>
      </c>
      <c r="N2008">
        <v>-1.4502030000000001E-2</v>
      </c>
      <c r="O2008">
        <v>2.8116430000000001E-2</v>
      </c>
      <c r="P2008">
        <v>-0.97808649999999997</v>
      </c>
      <c r="Q2008">
        <v>0.2021918</v>
      </c>
      <c r="R2008">
        <v>4.965518E-2</v>
      </c>
      <c r="S2008">
        <v>-3.0979000000000001</v>
      </c>
      <c r="T2008">
        <v>-4.6249029999999997E-2</v>
      </c>
      <c r="U2008">
        <v>-0.3894958</v>
      </c>
      <c r="V2008">
        <v>2.203314E-2</v>
      </c>
      <c r="W2008">
        <v>0.21637909999999999</v>
      </c>
      <c r="X2008">
        <v>0.9760607</v>
      </c>
      <c r="Y2008">
        <v>-0.15256400000000001</v>
      </c>
      <c r="Z2008">
        <v>-2.2572600000000001E-3</v>
      </c>
      <c r="AA2008">
        <v>0.98829100000000003</v>
      </c>
      <c r="AB2008">
        <v>44</v>
      </c>
      <c r="AC2008">
        <v>-69.307500000000005</v>
      </c>
      <c r="AD2008">
        <v>-1.04120469999999</v>
      </c>
      <c r="AE2008">
        <v>-8.7808999999999706</v>
      </c>
      <c r="AF2008">
        <v>-10.7239298722476</v>
      </c>
      <c r="AG2008">
        <v>-1.04120469999999</v>
      </c>
      <c r="AH2008">
        <v>69.017849842676199</v>
      </c>
      <c r="AI2008">
        <v>90.854053215304006</v>
      </c>
      <c r="AJ2008">
        <v>98.831941765860805</v>
      </c>
      <c r="AK2008">
        <v>69.853778538017494</v>
      </c>
      <c r="AL2008">
        <v>77.503550488779297</v>
      </c>
      <c r="AM2008">
        <v>88.706851355432207</v>
      </c>
      <c r="AN2008">
        <v>0.999999932129777</v>
      </c>
    </row>
    <row r="2009" spans="1:40" x14ac:dyDescent="0.25">
      <c r="A2009" t="str">
        <f>"20190303171017238"</f>
        <v>20190303171017238</v>
      </c>
      <c r="B2009" t="str">
        <f>"1551604217232595"</f>
        <v>1551604217232595</v>
      </c>
      <c r="C2009" t="s">
        <v>40</v>
      </c>
      <c r="D2009">
        <v>4.9464389999999998</v>
      </c>
      <c r="E2009">
        <v>0.43668899999999999</v>
      </c>
      <c r="F2009" t="s">
        <v>52</v>
      </c>
      <c r="G2009">
        <v>-499.97359999999998</v>
      </c>
      <c r="H2009">
        <v>6.5834100000000007E-2</v>
      </c>
      <c r="I2009">
        <v>276.85239999999999</v>
      </c>
      <c r="J2009">
        <v>-434.12759999999997</v>
      </c>
      <c r="K2009">
        <v>1.121202</v>
      </c>
      <c r="L2009">
        <v>285.2944</v>
      </c>
      <c r="M2009">
        <v>-0.99950450000000002</v>
      </c>
      <c r="N2009">
        <v>-1.449946E-2</v>
      </c>
      <c r="O2009">
        <v>2.7940099999999999E-2</v>
      </c>
      <c r="P2009">
        <v>-0.97800260000000006</v>
      </c>
      <c r="Q2009">
        <v>0.2027426</v>
      </c>
      <c r="R2009">
        <v>4.9055330000000001E-2</v>
      </c>
      <c r="S2009">
        <v>-3.0974119999999998</v>
      </c>
      <c r="T2009">
        <v>-4.9313309999999999E-2</v>
      </c>
      <c r="U2009">
        <v>-0.39389039999999997</v>
      </c>
      <c r="V2009">
        <v>2.1608499999999999E-2</v>
      </c>
      <c r="W2009">
        <v>0.2169266</v>
      </c>
      <c r="X2009">
        <v>0.97594879999999995</v>
      </c>
      <c r="Y2009">
        <v>-0.15378530000000001</v>
      </c>
      <c r="Z2009">
        <v>-2.3785719999999998E-3</v>
      </c>
      <c r="AA2009">
        <v>0.98810140000000002</v>
      </c>
      <c r="AB2009">
        <v>44</v>
      </c>
      <c r="AC2009">
        <v>-65.846000000000004</v>
      </c>
      <c r="AD2009">
        <v>-1.05536789999999</v>
      </c>
      <c r="AE2009">
        <v>-8.4420000000000002</v>
      </c>
      <c r="AF2009">
        <v>-10.2760435351602</v>
      </c>
      <c r="AG2009">
        <v>-1.05536789999999</v>
      </c>
      <c r="AH2009">
        <v>65.567821762399902</v>
      </c>
      <c r="AI2009">
        <v>90.911024283510798</v>
      </c>
      <c r="AJ2009">
        <v>98.907161570604003</v>
      </c>
      <c r="AK2009">
        <v>66.376578119143105</v>
      </c>
      <c r="AL2009">
        <v>77.471419593351399</v>
      </c>
      <c r="AM2009">
        <v>88.731620347998799</v>
      </c>
      <c r="AN2009">
        <v>1.0000000686406201</v>
      </c>
    </row>
    <row r="2010" spans="1:40" x14ac:dyDescent="0.25">
      <c r="A2010" t="str">
        <f>"20190303171017259"</f>
        <v>20190303171017259</v>
      </c>
      <c r="B2010" t="str">
        <f>"1551604217253094"</f>
        <v>1551604217253094</v>
      </c>
      <c r="C2010" t="s">
        <v>40</v>
      </c>
      <c r="D2010">
        <v>4.9815680000000002</v>
      </c>
      <c r="E2010">
        <v>0.43662279999999998</v>
      </c>
      <c r="F2010" t="s">
        <v>52</v>
      </c>
      <c r="G2010">
        <v>-500.93959999999998</v>
      </c>
      <c r="H2010">
        <v>8.0000879999999996E-2</v>
      </c>
      <c r="I2010">
        <v>276.76299999999998</v>
      </c>
      <c r="J2010">
        <v>-434.55419999999998</v>
      </c>
      <c r="K2010">
        <v>1.1212070000000001</v>
      </c>
      <c r="L2010">
        <v>285.30619999999999</v>
      </c>
      <c r="M2010">
        <v>-0.99950939999999999</v>
      </c>
      <c r="N2010">
        <v>-1.449696E-2</v>
      </c>
      <c r="O2010">
        <v>2.777044E-2</v>
      </c>
      <c r="P2010">
        <v>-0.97765570000000002</v>
      </c>
      <c r="Q2010">
        <v>0.20437839999999999</v>
      </c>
      <c r="R2010">
        <v>4.9184529999999997E-2</v>
      </c>
      <c r="S2010">
        <v>-3.097321</v>
      </c>
      <c r="T2010">
        <v>-4.8268800000000001E-2</v>
      </c>
      <c r="U2010">
        <v>-0.39550780000000002</v>
      </c>
      <c r="V2010">
        <v>2.1912999999999998E-2</v>
      </c>
      <c r="W2010">
        <v>0.21855450000000001</v>
      </c>
      <c r="X2010">
        <v>0.97557870000000002</v>
      </c>
      <c r="Y2010">
        <v>-0.15412999999999999</v>
      </c>
      <c r="Z2010">
        <v>-2.3482809999999998E-3</v>
      </c>
      <c r="AA2010">
        <v>0.98804780000000003</v>
      </c>
      <c r="AB2010">
        <v>44</v>
      </c>
      <c r="AC2010">
        <v>-66.385400000000004</v>
      </c>
      <c r="AD2010">
        <v>-1.04120612</v>
      </c>
      <c r="AE2010">
        <v>-8.5432000000000095</v>
      </c>
      <c r="AF2010">
        <v>-10.3811374626169</v>
      </c>
      <c r="AG2010">
        <v>-1.04120612</v>
      </c>
      <c r="AH2010">
        <v>66.106521242508506</v>
      </c>
      <c r="AI2010">
        <v>90.891435665990699</v>
      </c>
      <c r="AJ2010">
        <v>98.924643667110203</v>
      </c>
      <c r="AK2010">
        <v>66.924765789566294</v>
      </c>
      <c r="AL2010">
        <v>77.375854307079706</v>
      </c>
      <c r="AM2010">
        <v>88.713264921991893</v>
      </c>
      <c r="AN2010">
        <v>1.00000002446646</v>
      </c>
    </row>
    <row r="2011" spans="1:40" x14ac:dyDescent="0.25">
      <c r="A2011" t="str">
        <f>"20190303171017283"</f>
        <v>20190303171017283</v>
      </c>
      <c r="B2011" t="str">
        <f>"1551604217272611"</f>
        <v>1551604217272611</v>
      </c>
      <c r="C2011" t="s">
        <v>40</v>
      </c>
      <c r="D2011">
        <v>4.9666399999999999</v>
      </c>
      <c r="E2011">
        <v>0.4365446</v>
      </c>
      <c r="F2011" t="s">
        <v>61</v>
      </c>
      <c r="G2011">
        <v>-512.8252</v>
      </c>
      <c r="H2011">
        <v>3.1012830000000002E-2</v>
      </c>
      <c r="I2011">
        <v>275.30959999999999</v>
      </c>
      <c r="J2011">
        <v>-434.99470000000002</v>
      </c>
      <c r="K2011">
        <v>1.121213</v>
      </c>
      <c r="L2011">
        <v>285.31830000000002</v>
      </c>
      <c r="M2011">
        <v>-0.99951420000000002</v>
      </c>
      <c r="N2011">
        <v>-1.4494369999999999E-2</v>
      </c>
      <c r="O2011">
        <v>2.7595120000000001E-2</v>
      </c>
      <c r="P2011">
        <v>-0.97755559999999997</v>
      </c>
      <c r="Q2011">
        <v>0.2048555</v>
      </c>
      <c r="R2011">
        <v>4.9185769999999997E-2</v>
      </c>
      <c r="S2011">
        <v>-3.0974430000000002</v>
      </c>
      <c r="T2011">
        <v>-4.3139339999999998E-2</v>
      </c>
      <c r="U2011">
        <v>-0.39559939999999999</v>
      </c>
      <c r="V2011">
        <v>2.2088630000000001E-2</v>
      </c>
      <c r="W2011">
        <v>0.21902769999999999</v>
      </c>
      <c r="X2011">
        <v>0.97546860000000002</v>
      </c>
      <c r="Y2011">
        <v>-0.15398609999999999</v>
      </c>
      <c r="Z2011">
        <v>-2.1732209999999999E-3</v>
      </c>
      <c r="AA2011">
        <v>0.98807060000000002</v>
      </c>
      <c r="AB2011">
        <v>44</v>
      </c>
      <c r="AC2011">
        <v>-77.830499999999901</v>
      </c>
      <c r="AD2011">
        <v>-1.0902001699999999</v>
      </c>
      <c r="AE2011">
        <v>-10.008699999999999</v>
      </c>
      <c r="AF2011">
        <v>-12.150509884644499</v>
      </c>
      <c r="AG2011">
        <v>-1.0902001699999999</v>
      </c>
      <c r="AH2011">
        <v>77.509673787847902</v>
      </c>
      <c r="AI2011">
        <v>90.796110472948499</v>
      </c>
      <c r="AJ2011">
        <v>98.909248781043999</v>
      </c>
      <c r="AK2011">
        <v>78.463832162125001</v>
      </c>
      <c r="AL2011">
        <v>77.348068630024599</v>
      </c>
      <c r="AM2011">
        <v>88.702809061723798</v>
      </c>
      <c r="AN2011">
        <v>1.0000000152642601</v>
      </c>
    </row>
    <row r="2012" spans="1:40" x14ac:dyDescent="0.25">
      <c r="A2012" t="str">
        <f>"20190303171017304"</f>
        <v>20190303171017304</v>
      </c>
      <c r="B2012" t="str">
        <f>"1551604217293108"</f>
        <v>1551604217293108</v>
      </c>
      <c r="C2012" t="s">
        <v>40</v>
      </c>
      <c r="D2012">
        <v>4.9813269999999896</v>
      </c>
      <c r="E2012">
        <v>0.43647560000000002</v>
      </c>
      <c r="F2012" t="s">
        <v>61</v>
      </c>
      <c r="G2012">
        <v>-512.8252</v>
      </c>
      <c r="H2012">
        <v>7.0388439999999997E-2</v>
      </c>
      <c r="I2012">
        <v>275.36290000000002</v>
      </c>
      <c r="J2012">
        <v>-435.42419999999998</v>
      </c>
      <c r="K2012">
        <v>1.121205</v>
      </c>
      <c r="L2012">
        <v>285.33</v>
      </c>
      <c r="M2012">
        <v>-0.99951889999999999</v>
      </c>
      <c r="N2012">
        <v>-1.4491850000000001E-2</v>
      </c>
      <c r="O2012">
        <v>2.7424380000000002E-2</v>
      </c>
      <c r="P2012">
        <v>-0.9778116</v>
      </c>
      <c r="Q2012">
        <v>0.20381270000000001</v>
      </c>
      <c r="R2012">
        <v>4.8425999999999997E-2</v>
      </c>
      <c r="S2012">
        <v>-3.097534</v>
      </c>
      <c r="T2012">
        <v>-4.1817899999999998E-2</v>
      </c>
      <c r="U2012">
        <v>-0.3962097</v>
      </c>
      <c r="V2012">
        <v>2.14898E-2</v>
      </c>
      <c r="W2012">
        <v>0.2179854</v>
      </c>
      <c r="X2012">
        <v>0.97571540000000001</v>
      </c>
      <c r="Y2012">
        <v>-0.15400659999999999</v>
      </c>
      <c r="Z2012">
        <v>-2.1290660000000002E-3</v>
      </c>
      <c r="AA2012">
        <v>0.98806749999999999</v>
      </c>
      <c r="AB2012">
        <v>44</v>
      </c>
      <c r="AC2012">
        <v>-77.400999999999996</v>
      </c>
      <c r="AD2012">
        <v>-1.0508165599999999</v>
      </c>
      <c r="AE2012">
        <v>-9.9670999999999594</v>
      </c>
      <c r="AF2012">
        <v>-12.084056671111</v>
      </c>
      <c r="AG2012">
        <v>-1.0508165599999999</v>
      </c>
      <c r="AH2012">
        <v>77.084535591515106</v>
      </c>
      <c r="AI2012">
        <v>90.771585715690193</v>
      </c>
      <c r="AJ2012">
        <v>98.909388041665295</v>
      </c>
      <c r="AK2012">
        <v>78.033033187445398</v>
      </c>
      <c r="AL2012">
        <v>77.409266576113495</v>
      </c>
      <c r="AM2012">
        <v>88.738283920441106</v>
      </c>
      <c r="AN2012">
        <v>0.99999999395717998</v>
      </c>
    </row>
    <row r="2013" spans="1:40" x14ac:dyDescent="0.25">
      <c r="A2013" t="str">
        <f>"20190303171017329"</f>
        <v>20190303171017329</v>
      </c>
      <c r="B2013" t="str">
        <f>"1551604217322400"</f>
        <v>1551604217322400</v>
      </c>
      <c r="C2013" t="s">
        <v>40</v>
      </c>
      <c r="D2013">
        <v>5.0038330000000002</v>
      </c>
      <c r="E2013">
        <v>0.4363919</v>
      </c>
      <c r="F2013" t="s">
        <v>61</v>
      </c>
      <c r="G2013">
        <v>-512.82510000000002</v>
      </c>
      <c r="H2013">
        <v>-1.609623E-2</v>
      </c>
      <c r="I2013">
        <v>275.36860000000001</v>
      </c>
      <c r="J2013">
        <v>-435.88069999999999</v>
      </c>
      <c r="K2013">
        <v>1.1211979999999999</v>
      </c>
      <c r="L2013">
        <v>285.3424</v>
      </c>
      <c r="M2013">
        <v>-0.99952390000000002</v>
      </c>
      <c r="N2013">
        <v>-1.448925E-2</v>
      </c>
      <c r="O2013">
        <v>2.7242740000000001E-2</v>
      </c>
      <c r="P2013">
        <v>-0.97787480000000004</v>
      </c>
      <c r="Q2013">
        <v>0.20369419999999999</v>
      </c>
      <c r="R2013">
        <v>4.764231E-2</v>
      </c>
      <c r="S2013">
        <v>-3.097321</v>
      </c>
      <c r="T2013">
        <v>-4.5507550000000001E-2</v>
      </c>
      <c r="U2013">
        <v>-0.39862059999999999</v>
      </c>
      <c r="V2013">
        <v>2.0882789999999998E-2</v>
      </c>
      <c r="W2013">
        <v>0.2178649</v>
      </c>
      <c r="X2013">
        <v>0.9757555</v>
      </c>
      <c r="Y2013">
        <v>-0.15458820000000001</v>
      </c>
      <c r="Z2013">
        <v>-2.2613830000000001E-3</v>
      </c>
      <c r="AA2013">
        <v>0.98797639999999998</v>
      </c>
      <c r="AB2013">
        <v>43</v>
      </c>
      <c r="AC2013">
        <v>-76.944400000000002</v>
      </c>
      <c r="AD2013">
        <v>-1.13729423</v>
      </c>
      <c r="AE2013">
        <v>-9.9737999999999793</v>
      </c>
      <c r="AF2013">
        <v>-12.0639015906241</v>
      </c>
      <c r="AG2013">
        <v>-1.13729423</v>
      </c>
      <c r="AH2013">
        <v>76.627629569009301</v>
      </c>
      <c r="AI2013">
        <v>90.839967321979799</v>
      </c>
      <c r="AJ2013">
        <v>98.946946963293897</v>
      </c>
      <c r="AK2013">
        <v>77.579796165749002</v>
      </c>
      <c r="AL2013">
        <v>77.416340827652903</v>
      </c>
      <c r="AM2013">
        <v>88.773962222912203</v>
      </c>
      <c r="AN2013">
        <v>1.0000000006752201</v>
      </c>
    </row>
    <row r="2014" spans="1:40" x14ac:dyDescent="0.25">
      <c r="A2014" t="str">
        <f>"20190303171017349"</f>
        <v>20190303171017349</v>
      </c>
      <c r="B2014" t="str">
        <f>"1551604217342883"</f>
        <v>1551604217342883</v>
      </c>
      <c r="C2014" t="s">
        <v>40</v>
      </c>
      <c r="D2014">
        <v>4.9695689999999999</v>
      </c>
      <c r="E2014">
        <v>0.43634060000000002</v>
      </c>
      <c r="F2014" t="s">
        <v>61</v>
      </c>
      <c r="G2014">
        <v>-512.82510000000002</v>
      </c>
      <c r="H2014">
        <v>-2.023751E-2</v>
      </c>
      <c r="I2014">
        <v>275.3562</v>
      </c>
      <c r="J2014">
        <v>-436.29160000000002</v>
      </c>
      <c r="K2014">
        <v>1.1212</v>
      </c>
      <c r="L2014">
        <v>285.35340000000002</v>
      </c>
      <c r="M2014">
        <v>-0.99952850000000004</v>
      </c>
      <c r="N2014">
        <v>-1.4486870000000001E-2</v>
      </c>
      <c r="O2014">
        <v>2.7079160000000001E-2</v>
      </c>
      <c r="P2014">
        <v>-0.97763849999999997</v>
      </c>
      <c r="Q2014">
        <v>0.20475470000000001</v>
      </c>
      <c r="R2014">
        <v>4.7946830000000003E-2</v>
      </c>
      <c r="S2014">
        <v>-3.0970460000000002</v>
      </c>
      <c r="T2014">
        <v>-4.5939920000000002E-2</v>
      </c>
      <c r="U2014">
        <v>-0.401947</v>
      </c>
      <c r="V2014">
        <v>2.1353649999999998E-2</v>
      </c>
      <c r="W2014">
        <v>0.21891930000000001</v>
      </c>
      <c r="X2014">
        <v>0.97550930000000002</v>
      </c>
      <c r="Y2014">
        <v>-0.1554806</v>
      </c>
      <c r="Z2014">
        <v>-2.2889569999999999E-3</v>
      </c>
      <c r="AA2014">
        <v>0.9878363</v>
      </c>
      <c r="AB2014">
        <v>43</v>
      </c>
      <c r="AC2014">
        <v>-76.533500000000004</v>
      </c>
      <c r="AD2014">
        <v>-1.14143751</v>
      </c>
      <c r="AE2014">
        <v>-9.9972000000000101</v>
      </c>
      <c r="AF2014">
        <v>-12.063574863381101</v>
      </c>
      <c r="AG2014">
        <v>-1.14143751</v>
      </c>
      <c r="AH2014">
        <v>76.218015501626098</v>
      </c>
      <c r="AI2014">
        <v>90.8474470744261</v>
      </c>
      <c r="AJ2014">
        <v>98.9940064195128</v>
      </c>
      <c r="AK2014">
        <v>77.1752460642644</v>
      </c>
      <c r="AL2014">
        <v>77.354433987945797</v>
      </c>
      <c r="AM2014">
        <v>88.746010248487394</v>
      </c>
      <c r="AN2014">
        <v>1.00000001633365</v>
      </c>
    </row>
    <row r="2015" spans="1:40" x14ac:dyDescent="0.25">
      <c r="A2015" t="str">
        <f>"20190303171017371"</f>
        <v>20190303171017371</v>
      </c>
      <c r="B2015" t="str">
        <f>"1551604217362407"</f>
        <v>1551604217362407</v>
      </c>
      <c r="C2015" t="s">
        <v>40</v>
      </c>
      <c r="D2015">
        <v>4.9983420000000001</v>
      </c>
      <c r="E2015">
        <v>0.43624940000000001</v>
      </c>
      <c r="F2015" t="s">
        <v>61</v>
      </c>
      <c r="G2015">
        <v>-511.95859999999999</v>
      </c>
      <c r="H2015">
        <v>7.7737029999999999E-2</v>
      </c>
      <c r="I2015">
        <v>275.54629999999997</v>
      </c>
      <c r="J2015">
        <v>-436.71809999999999</v>
      </c>
      <c r="K2015">
        <v>1.1212120000000001</v>
      </c>
      <c r="L2015">
        <v>285.3648</v>
      </c>
      <c r="M2015">
        <v>-0.999533</v>
      </c>
      <c r="N2015">
        <v>-1.448435E-2</v>
      </c>
      <c r="O2015">
        <v>2.6909740000000001E-2</v>
      </c>
      <c r="P2015">
        <v>-0.97737510000000005</v>
      </c>
      <c r="Q2015">
        <v>0.20595769999999999</v>
      </c>
      <c r="R2015">
        <v>4.815991E-2</v>
      </c>
      <c r="S2015">
        <v>-3.097229</v>
      </c>
      <c r="T2015">
        <v>-4.2707799999999997E-2</v>
      </c>
      <c r="U2015">
        <v>-0.40142820000000001</v>
      </c>
      <c r="V2015">
        <v>2.1739100000000001E-2</v>
      </c>
      <c r="W2015">
        <v>0.22011629999999999</v>
      </c>
      <c r="X2015">
        <v>0.97523130000000002</v>
      </c>
      <c r="Y2015">
        <v>-0.15514649999999999</v>
      </c>
      <c r="Z2015">
        <v>-2.1751909999999999E-3</v>
      </c>
      <c r="AA2015">
        <v>0.98788909999999996</v>
      </c>
      <c r="AB2015">
        <v>43</v>
      </c>
      <c r="AC2015">
        <v>-75.240499999999997</v>
      </c>
      <c r="AD2015">
        <v>-1.0434749699999999</v>
      </c>
      <c r="AE2015">
        <v>-9.8185000000000198</v>
      </c>
      <c r="AF2015">
        <v>-11.8376195392739</v>
      </c>
      <c r="AG2015">
        <v>-1.0434749699999999</v>
      </c>
      <c r="AH2015">
        <v>74.934834914822005</v>
      </c>
      <c r="AI2015">
        <v>90.788026975320093</v>
      </c>
      <c r="AJ2015">
        <v>98.976956029408896</v>
      </c>
      <c r="AK2015">
        <v>75.871256481497994</v>
      </c>
      <c r="AL2015">
        <v>77.284135168854405</v>
      </c>
      <c r="AM2015">
        <v>88.723018389171997</v>
      </c>
      <c r="AN2015">
        <v>0.99999993124709197</v>
      </c>
    </row>
    <row r="2016" spans="1:40" x14ac:dyDescent="0.25">
      <c r="A2016" t="str">
        <f>"20190303171017394"</f>
        <v>20190303171017394</v>
      </c>
      <c r="B2016" t="str">
        <f>"1551604217382899"</f>
        <v>1551604217382899</v>
      </c>
      <c r="C2016" t="s">
        <v>40</v>
      </c>
      <c r="D2016">
        <v>4.9982610000000003</v>
      </c>
      <c r="E2016">
        <v>0.43616680000000002</v>
      </c>
      <c r="F2016" t="s">
        <v>61</v>
      </c>
      <c r="G2016">
        <v>-511.95870000000002</v>
      </c>
      <c r="H2016">
        <v>0.17817349999999901</v>
      </c>
      <c r="I2016">
        <v>275.61130000000003</v>
      </c>
      <c r="J2016">
        <v>-437.16359999999997</v>
      </c>
      <c r="K2016">
        <v>1.121213</v>
      </c>
      <c r="L2016">
        <v>285.3766</v>
      </c>
      <c r="M2016">
        <v>-0.99953769999999997</v>
      </c>
      <c r="N2016">
        <v>-1.448167E-2</v>
      </c>
      <c r="O2016">
        <v>2.6733090000000001E-2</v>
      </c>
      <c r="P2016">
        <v>-0.97749390000000003</v>
      </c>
      <c r="Q2016">
        <v>0.20553489999999999</v>
      </c>
      <c r="R2016">
        <v>4.7549050000000002E-2</v>
      </c>
      <c r="S2016">
        <v>-3.0974119999999998</v>
      </c>
      <c r="T2016">
        <v>-3.8818480000000002E-2</v>
      </c>
      <c r="U2016">
        <v>-0.40151979999999998</v>
      </c>
      <c r="V2016">
        <v>2.1298190000000002E-2</v>
      </c>
      <c r="W2016">
        <v>0.2196921</v>
      </c>
      <c r="X2016">
        <v>0.97533669999999995</v>
      </c>
      <c r="Y2016">
        <v>-0.1549971</v>
      </c>
      <c r="Z2016">
        <v>-2.042631E-3</v>
      </c>
      <c r="AA2016">
        <v>0.98791280000000004</v>
      </c>
      <c r="AB2016">
        <v>43</v>
      </c>
      <c r="AC2016">
        <v>-74.795100000000005</v>
      </c>
      <c r="AD2016">
        <v>-0.94303950000000003</v>
      </c>
      <c r="AE2016">
        <v>-9.7652999999999608</v>
      </c>
      <c r="AF2016">
        <v>-11.759684970326701</v>
      </c>
      <c r="AG2016">
        <v>-0.94303950000000003</v>
      </c>
      <c r="AH2016">
        <v>74.495635089794007</v>
      </c>
      <c r="AI2016">
        <v>90.716397885084305</v>
      </c>
      <c r="AJ2016">
        <v>98.970537671892203</v>
      </c>
      <c r="AK2016">
        <v>75.423995926572601</v>
      </c>
      <c r="AL2016">
        <v>77.309050223755705</v>
      </c>
      <c r="AM2016">
        <v>88.749044827188101</v>
      </c>
      <c r="AN2016">
        <v>0.99999995503328698</v>
      </c>
    </row>
    <row r="2017" spans="1:40" x14ac:dyDescent="0.25">
      <c r="A2017" t="str">
        <f>"20190303171017417"</f>
        <v>20190303171017417</v>
      </c>
      <c r="B2017" t="str">
        <f>"1551604217412183"</f>
        <v>1551604217412183</v>
      </c>
      <c r="C2017" t="s">
        <v>40</v>
      </c>
      <c r="D2017">
        <v>5.0113139999999996</v>
      </c>
      <c r="E2017">
        <v>0.43178359999999899</v>
      </c>
      <c r="F2017" t="s">
        <v>61</v>
      </c>
      <c r="G2017">
        <v>-511.95870000000002</v>
      </c>
      <c r="H2017">
        <v>0.1376878</v>
      </c>
      <c r="I2017">
        <v>275.62869999999998</v>
      </c>
      <c r="J2017">
        <v>-437.58690000000001</v>
      </c>
      <c r="K2017">
        <v>1.1212139999999999</v>
      </c>
      <c r="L2017">
        <v>285.38780000000003</v>
      </c>
      <c r="M2017">
        <v>-0.99954240000000005</v>
      </c>
      <c r="N2017">
        <v>-1.4478960000000001E-2</v>
      </c>
      <c r="O2017">
        <v>2.656451E-2</v>
      </c>
      <c r="P2017">
        <v>-0.97760069999999999</v>
      </c>
      <c r="Q2017">
        <v>0.20531079999999999</v>
      </c>
      <c r="R2017">
        <v>4.631072E-2</v>
      </c>
      <c r="S2017">
        <v>-3.097229</v>
      </c>
      <c r="T2017">
        <v>-4.0723919999999997E-2</v>
      </c>
      <c r="U2017">
        <v>-0.40365600000000001</v>
      </c>
      <c r="V2017">
        <v>2.0222980000000002E-2</v>
      </c>
      <c r="W2017">
        <v>0.21946599999999999</v>
      </c>
      <c r="X2017">
        <v>0.97541049999999996</v>
      </c>
      <c r="Y2017">
        <v>-0.15550600000000001</v>
      </c>
      <c r="Z2017">
        <v>-2.1136919999999999E-3</v>
      </c>
      <c r="AA2017">
        <v>0.98783270000000001</v>
      </c>
      <c r="AB2017">
        <v>43</v>
      </c>
      <c r="AC2017">
        <v>-74.371799999999993</v>
      </c>
      <c r="AD2017">
        <v>-0.98352620000000002</v>
      </c>
      <c r="AE2017">
        <v>-9.7591000000000392</v>
      </c>
      <c r="AF2017">
        <v>-11.729495927561</v>
      </c>
      <c r="AG2017">
        <v>-0.98352620000000002</v>
      </c>
      <c r="AH2017">
        <v>74.073540785980896</v>
      </c>
      <c r="AI2017">
        <v>90.751350964141807</v>
      </c>
      <c r="AJ2017">
        <v>98.998037826833098</v>
      </c>
      <c r="AK2017">
        <v>75.002918897021203</v>
      </c>
      <c r="AL2017">
        <v>77.322329046674099</v>
      </c>
      <c r="AM2017">
        <v>88.812268859745203</v>
      </c>
      <c r="AN2017">
        <v>0.999999968793164</v>
      </c>
    </row>
    <row r="2018" spans="1:40" x14ac:dyDescent="0.25">
      <c r="A2018" t="str">
        <f>"20190303171017438"</f>
        <v>20190303171017438</v>
      </c>
      <c r="B2018" t="str">
        <f>"1551604217432675"</f>
        <v>1551604217432675</v>
      </c>
      <c r="C2018" t="s">
        <v>40</v>
      </c>
      <c r="D2018">
        <v>5.0167390000000003</v>
      </c>
      <c r="E2018">
        <v>0.43135020000000002</v>
      </c>
      <c r="F2018" t="s">
        <v>61</v>
      </c>
      <c r="G2018">
        <v>-512.82510000000002</v>
      </c>
      <c r="H2018">
        <v>-5.5549140000000002E-3</v>
      </c>
      <c r="I2018">
        <v>274.65859999999998</v>
      </c>
      <c r="J2018">
        <v>-438.02089999999998</v>
      </c>
      <c r="K2018">
        <v>1.1212169999999999</v>
      </c>
      <c r="L2018">
        <v>285.39920000000001</v>
      </c>
      <c r="M2018">
        <v>-0.99954690000000002</v>
      </c>
      <c r="N2018">
        <v>-1.4476340000000001E-2</v>
      </c>
      <c r="O2018">
        <v>2.6391870000000001E-2</v>
      </c>
      <c r="P2018">
        <v>-0.9776378</v>
      </c>
      <c r="Q2018">
        <v>0.20529030000000001</v>
      </c>
      <c r="R2018">
        <v>4.5610020000000001E-2</v>
      </c>
      <c r="S2018">
        <v>-3.0994259999999998</v>
      </c>
      <c r="T2018">
        <v>-4.6413660000000002E-2</v>
      </c>
      <c r="U2018">
        <v>-0.44198609999999999</v>
      </c>
      <c r="V2018">
        <v>1.9690590000000001E-2</v>
      </c>
      <c r="W2018">
        <v>0.21944269999999999</v>
      </c>
      <c r="X2018">
        <v>0.97542669999999998</v>
      </c>
      <c r="Y2018">
        <v>-0.16721900000000001</v>
      </c>
      <c r="Z2018">
        <v>-2.4756700000000001E-3</v>
      </c>
      <c r="AA2018">
        <v>0.98591669999999998</v>
      </c>
      <c r="AB2018">
        <v>43</v>
      </c>
      <c r="AC2018">
        <v>-74.804199999999994</v>
      </c>
      <c r="AD2018">
        <v>-1.1267719140000001</v>
      </c>
      <c r="AE2018">
        <v>-10.740600000000001</v>
      </c>
      <c r="AF2018">
        <v>-12.708462293995201</v>
      </c>
      <c r="AG2018">
        <v>-1.1267719140000001</v>
      </c>
      <c r="AH2018">
        <v>74.478086902930997</v>
      </c>
      <c r="AI2018">
        <v>90.854408996641794</v>
      </c>
      <c r="AJ2018">
        <v>99.683323205529305</v>
      </c>
      <c r="AK2018">
        <v>75.562954266919903</v>
      </c>
      <c r="AL2018">
        <v>77.323698215868205</v>
      </c>
      <c r="AM2018">
        <v>88.843547654699407</v>
      </c>
      <c r="AN2018">
        <v>1.00000003249536</v>
      </c>
    </row>
    <row r="2019" spans="1:40" x14ac:dyDescent="0.25">
      <c r="A2019" t="str">
        <f>"20190303171017460"</f>
        <v>20190303171017460</v>
      </c>
      <c r="B2019" t="str">
        <f>"1551604217452196"</f>
        <v>1551604217452196</v>
      </c>
      <c r="C2019" t="s">
        <v>40</v>
      </c>
      <c r="D2019">
        <v>5.0005410000000001</v>
      </c>
      <c r="E2019">
        <v>0.4309771</v>
      </c>
      <c r="F2019" t="s">
        <v>61</v>
      </c>
      <c r="G2019">
        <v>-512.8252</v>
      </c>
      <c r="H2019">
        <v>5.2399340000000003E-2</v>
      </c>
      <c r="I2019">
        <v>274.61540000000002</v>
      </c>
      <c r="J2019">
        <v>-438.44409999999999</v>
      </c>
      <c r="K2019">
        <v>1.121224</v>
      </c>
      <c r="L2019">
        <v>285.41019999999997</v>
      </c>
      <c r="M2019">
        <v>-0.99955130000000003</v>
      </c>
      <c r="N2019">
        <v>-1.447378E-2</v>
      </c>
      <c r="O2019">
        <v>2.6222929999999998E-2</v>
      </c>
      <c r="P2019">
        <v>-0.97744629999999999</v>
      </c>
      <c r="Q2019">
        <v>0.2064262</v>
      </c>
      <c r="R2019">
        <v>4.4574229999999999E-2</v>
      </c>
      <c r="S2019">
        <v>-3.0987550000000001</v>
      </c>
      <c r="T2019">
        <v>-4.4272180000000001E-2</v>
      </c>
      <c r="U2019">
        <v>-0.44671630000000001</v>
      </c>
      <c r="V2019">
        <v>1.8825330000000001E-2</v>
      </c>
      <c r="W2019">
        <v>0.22057209999999999</v>
      </c>
      <c r="X2019">
        <v>0.97518899999999997</v>
      </c>
      <c r="Y2019">
        <v>-0.16855889999999901</v>
      </c>
      <c r="Z2019">
        <v>-2.41954E-3</v>
      </c>
      <c r="AA2019">
        <v>0.98568860000000003</v>
      </c>
      <c r="AB2019">
        <v>43</v>
      </c>
      <c r="AC2019">
        <v>-74.381100000000004</v>
      </c>
      <c r="AD2019">
        <v>-1.06882466</v>
      </c>
      <c r="AE2019">
        <v>-10.794799999999899</v>
      </c>
      <c r="AF2019">
        <v>-12.739205694168399</v>
      </c>
      <c r="AG2019">
        <v>-1.06882466</v>
      </c>
      <c r="AH2019">
        <v>74.057439215080905</v>
      </c>
      <c r="AI2019">
        <v>90.814889892109093</v>
      </c>
      <c r="AJ2019">
        <v>99.760377781285101</v>
      </c>
      <c r="AK2019">
        <v>75.152738146840406</v>
      </c>
      <c r="AL2019">
        <v>77.257362803010295</v>
      </c>
      <c r="AM2019">
        <v>88.894083092293798</v>
      </c>
      <c r="AN2019">
        <v>1.0000000150345001</v>
      </c>
    </row>
    <row r="2020" spans="1:40" x14ac:dyDescent="0.25">
      <c r="A2020" t="str">
        <f>"20190303171017477"</f>
        <v>20190303171017477</v>
      </c>
      <c r="B2020" t="str">
        <f>"1551604217472691"</f>
        <v>1551604217472691</v>
      </c>
      <c r="C2020" t="s">
        <v>40</v>
      </c>
      <c r="D2020">
        <v>5.0354799999999997</v>
      </c>
      <c r="E2020">
        <v>0.4309075</v>
      </c>
      <c r="F2020" t="s">
        <v>61</v>
      </c>
      <c r="G2020">
        <v>-512.8252</v>
      </c>
      <c r="H2020">
        <v>0.13888819999999999</v>
      </c>
      <c r="I2020">
        <v>274.56619999999998</v>
      </c>
      <c r="J2020">
        <v>-438.75760000000002</v>
      </c>
      <c r="K2020">
        <v>1.1212249999999999</v>
      </c>
      <c r="L2020">
        <v>285.41829999999999</v>
      </c>
      <c r="M2020">
        <v>-0.99955459999999996</v>
      </c>
      <c r="N2020">
        <v>-1.447187E-2</v>
      </c>
      <c r="O2020">
        <v>2.609802E-2</v>
      </c>
      <c r="P2020">
        <v>-0.97736920000000005</v>
      </c>
      <c r="Q2020">
        <v>0.20686599999999999</v>
      </c>
      <c r="R2020">
        <v>4.4224649999999997E-2</v>
      </c>
      <c r="S2020">
        <v>-3.0984500000000001</v>
      </c>
      <c r="T2020">
        <v>-4.0917160000000001E-2</v>
      </c>
      <c r="U2020">
        <v>-0.45172119999999999</v>
      </c>
      <c r="V2020">
        <v>1.8599939999999999E-2</v>
      </c>
      <c r="W2020">
        <v>0.22100929999999999</v>
      </c>
      <c r="X2020">
        <v>0.97509429999999997</v>
      </c>
      <c r="Y2020">
        <v>-0.1700121</v>
      </c>
      <c r="Z2020">
        <v>-2.320828E-3</v>
      </c>
      <c r="AA2020">
        <v>0.98543919999999996</v>
      </c>
      <c r="AB2020">
        <v>43</v>
      </c>
      <c r="AC2020">
        <v>-74.067599999999899</v>
      </c>
      <c r="AD2020">
        <v>-0.98233680000000001</v>
      </c>
      <c r="AE2020">
        <v>-10.8521</v>
      </c>
      <c r="AF2020">
        <v>-12.7794224428094</v>
      </c>
      <c r="AG2020">
        <v>-0.98233680000000001</v>
      </c>
      <c r="AH2020">
        <v>73.7464191227334</v>
      </c>
      <c r="AI2020">
        <v>90.751956038758294</v>
      </c>
      <c r="AJ2020">
        <v>99.831082248858706</v>
      </c>
      <c r="AK2020">
        <v>74.851940235282299</v>
      </c>
      <c r="AL2020">
        <v>77.231678809738497</v>
      </c>
      <c r="AM2020">
        <v>88.907214578353901</v>
      </c>
      <c r="AN2020">
        <v>0.99999998117349098</v>
      </c>
    </row>
    <row r="2021" spans="1:40" x14ac:dyDescent="0.25">
      <c r="A2021" t="str">
        <f>"20190303171017495"</f>
        <v>20190303171017495</v>
      </c>
      <c r="B2021" t="str">
        <f>"1551604217482451"</f>
        <v>1551604217482451</v>
      </c>
      <c r="C2021" t="s">
        <v>40</v>
      </c>
      <c r="D2021">
        <v>5.1127820000000002</v>
      </c>
      <c r="E2021">
        <v>0.44625179999999998</v>
      </c>
      <c r="F2021" t="s">
        <v>61</v>
      </c>
      <c r="G2021">
        <v>-512.8252</v>
      </c>
      <c r="H2021">
        <v>0.1746568</v>
      </c>
      <c r="I2021">
        <v>274.59039999999999</v>
      </c>
      <c r="J2021">
        <v>-439.10759999999999</v>
      </c>
      <c r="K2021">
        <v>1.1212299999999999</v>
      </c>
      <c r="L2021">
        <v>285.4273</v>
      </c>
      <c r="M2021">
        <v>-0.99955839999999996</v>
      </c>
      <c r="N2021">
        <v>-1.4469360000000001E-2</v>
      </c>
      <c r="O2021">
        <v>2.5958459999999999E-2</v>
      </c>
      <c r="P2021">
        <v>-0.97698750000000001</v>
      </c>
      <c r="Q2021">
        <v>0.20879629999999999</v>
      </c>
      <c r="R2021">
        <v>4.3590940000000002E-2</v>
      </c>
      <c r="S2021">
        <v>-3.098328</v>
      </c>
      <c r="T2021">
        <v>-3.9592500000000003E-2</v>
      </c>
      <c r="U2021">
        <v>-0.45294190000000001</v>
      </c>
      <c r="V2021">
        <v>1.8112429999999999E-2</v>
      </c>
      <c r="W2021">
        <v>0.22293080000000001</v>
      </c>
      <c r="X2021">
        <v>0.97466600000000003</v>
      </c>
      <c r="Y2021">
        <v>-0.17026160000000001</v>
      </c>
      <c r="Z2021">
        <v>-2.2771190000000002E-3</v>
      </c>
      <c r="AA2021">
        <v>0.9853963</v>
      </c>
      <c r="AB2021">
        <v>43</v>
      </c>
      <c r="AC2021">
        <v>-73.717600000000004</v>
      </c>
      <c r="AD2021">
        <v>-0.9465732</v>
      </c>
      <c r="AE2021">
        <v>-10.8369</v>
      </c>
      <c r="AF2021">
        <v>-12.744986040389</v>
      </c>
      <c r="AG2021">
        <v>-0.9465732</v>
      </c>
      <c r="AH2021">
        <v>73.399568897110996</v>
      </c>
      <c r="AI2021">
        <v>90.727963593366397</v>
      </c>
      <c r="AJ2021">
        <v>99.850534065265293</v>
      </c>
      <c r="AK2021">
        <v>74.503874961470402</v>
      </c>
      <c r="AL2021">
        <v>77.118768554424904</v>
      </c>
      <c r="AM2021">
        <v>88.935382622160901</v>
      </c>
      <c r="AN2021">
        <v>1.00000000663257</v>
      </c>
    </row>
    <row r="2022" spans="1:40" x14ac:dyDescent="0.25">
      <c r="A2022" t="str">
        <f>"20190303171017510"</f>
        <v>20190303171017510</v>
      </c>
      <c r="B2022" t="str">
        <f>"1551604217502948"</f>
        <v>1551604217502948</v>
      </c>
      <c r="C2022" t="s">
        <v>40</v>
      </c>
      <c r="D2022">
        <v>4.9205030000000001</v>
      </c>
      <c r="E2022">
        <v>0.46064460000000002</v>
      </c>
      <c r="F2022" t="s">
        <v>52</v>
      </c>
      <c r="G2022">
        <v>-481.59140000000002</v>
      </c>
      <c r="H2022" s="1">
        <v>2.1585799999999998E-6</v>
      </c>
      <c r="I2022">
        <v>280.84769999999997</v>
      </c>
      <c r="J2022">
        <v>-439.39420000000001</v>
      </c>
      <c r="K2022">
        <v>1.121238</v>
      </c>
      <c r="L2022">
        <v>285.43459999999999</v>
      </c>
      <c r="M2022">
        <v>-0.99956129999999999</v>
      </c>
      <c r="N2022">
        <v>-1.4467529999999999E-2</v>
      </c>
      <c r="O2022">
        <v>2.5844510000000001E-2</v>
      </c>
      <c r="P2022">
        <v>-0.97685619999999995</v>
      </c>
      <c r="Q2022">
        <v>0.2094155</v>
      </c>
      <c r="R2022">
        <v>4.3555509999999999E-2</v>
      </c>
      <c r="S2022">
        <v>-3.1030880000000001</v>
      </c>
      <c r="T2022">
        <v>-8.189631E-2</v>
      </c>
      <c r="U2022">
        <v>-0.3345032</v>
      </c>
      <c r="V2022">
        <v>1.8191510000000001E-2</v>
      </c>
      <c r="W2022">
        <v>0.22354579999999999</v>
      </c>
      <c r="X2022">
        <v>0.97452369999999999</v>
      </c>
      <c r="Y2022">
        <v>-0.13276569999999999</v>
      </c>
      <c r="Z2022">
        <v>-3.0175409999999999E-3</v>
      </c>
      <c r="AA2022">
        <v>0.99114290000000005</v>
      </c>
      <c r="AB2022">
        <v>43</v>
      </c>
      <c r="AC2022">
        <v>-42.197200000000002</v>
      </c>
      <c r="AD2022">
        <v>-1.1212358414200001</v>
      </c>
      <c r="AE2022">
        <v>-4.5869000000000097</v>
      </c>
      <c r="AF2022">
        <v>-5.6720896944321497</v>
      </c>
      <c r="AG2022">
        <v>-1.1212358414200001</v>
      </c>
      <c r="AH2022">
        <v>42.035211758734398</v>
      </c>
      <c r="AI2022">
        <v>91.5142131349442</v>
      </c>
      <c r="AJ2022">
        <v>97.684881731123895</v>
      </c>
      <c r="AK2022">
        <v>42.430988662950199</v>
      </c>
      <c r="AL2022">
        <v>77.082619939648694</v>
      </c>
      <c r="AM2022">
        <v>88.9305794152544</v>
      </c>
      <c r="AN2022">
        <v>1.0000000487977001</v>
      </c>
    </row>
    <row r="2023" spans="1:40" x14ac:dyDescent="0.25">
      <c r="A2023" t="str">
        <f>"20190303171017530"</f>
        <v>20190303171017530</v>
      </c>
      <c r="B2023" t="str">
        <f>"1551604217522468"</f>
        <v>1551604217522468</v>
      </c>
      <c r="C2023" t="s">
        <v>40</v>
      </c>
      <c r="D2023">
        <v>4.930847</v>
      </c>
      <c r="E2023">
        <v>0.47072639999999999</v>
      </c>
      <c r="F2023" t="s">
        <v>52</v>
      </c>
      <c r="G2023">
        <v>-473.99779999999998</v>
      </c>
      <c r="H2023" s="1">
        <v>4.697573E-6</v>
      </c>
      <c r="I2023">
        <v>282.97300000000001</v>
      </c>
      <c r="J2023">
        <v>-439.76479999999998</v>
      </c>
      <c r="K2023">
        <v>1.1212439999999999</v>
      </c>
      <c r="L2023">
        <v>285.44409999999999</v>
      </c>
      <c r="M2023">
        <v>-0.99956520000000004</v>
      </c>
      <c r="N2023">
        <v>-1.446541E-2</v>
      </c>
      <c r="O2023">
        <v>2.5696610000000002E-2</v>
      </c>
      <c r="P2023">
        <v>-0.97660270000000005</v>
      </c>
      <c r="Q2023">
        <v>0.21071590000000001</v>
      </c>
      <c r="R2023">
        <v>4.2969199999999902E-2</v>
      </c>
      <c r="S2023">
        <v>-3.1024780000000001</v>
      </c>
      <c r="T2023">
        <v>-0.1005269</v>
      </c>
      <c r="U2023">
        <v>-0.22070310000000001</v>
      </c>
      <c r="V2023">
        <v>1.7756279999999999E-2</v>
      </c>
      <c r="W2023">
        <v>0.22484000000000001</v>
      </c>
      <c r="X2023">
        <v>0.97423389999999999</v>
      </c>
      <c r="Y2023">
        <v>-9.6492330000000001E-2</v>
      </c>
      <c r="Z2023">
        <v>-2.7203029999999999E-3</v>
      </c>
      <c r="AA2023">
        <v>0.99533000000000005</v>
      </c>
      <c r="AB2023">
        <v>43</v>
      </c>
      <c r="AC2023">
        <v>-34.232999999999997</v>
      </c>
      <c r="AD2023">
        <v>-1.121239302427</v>
      </c>
      <c r="AE2023">
        <v>-2.4710999999999701</v>
      </c>
      <c r="AF2023">
        <v>-3.3464764825376898</v>
      </c>
      <c r="AG2023">
        <v>-1.121239302427</v>
      </c>
      <c r="AH2023">
        <v>34.121772865877197</v>
      </c>
      <c r="AI2023">
        <v>91.873078292270606</v>
      </c>
      <c r="AJ2023">
        <v>95.601342839170997</v>
      </c>
      <c r="AK2023">
        <v>34.303811244991401</v>
      </c>
      <c r="AL2023">
        <v>77.006530250652006</v>
      </c>
      <c r="AM2023">
        <v>88.955849025180299</v>
      </c>
      <c r="AN2023">
        <v>1.00000000149432</v>
      </c>
    </row>
    <row r="2024" spans="1:40" x14ac:dyDescent="0.25">
      <c r="A2024" t="str">
        <f>"20190303171017552"</f>
        <v>20190303171017552</v>
      </c>
      <c r="B2024" t="str">
        <f>"1551604217542518"</f>
        <v>1551604217542518</v>
      </c>
      <c r="C2024" t="s">
        <v>40</v>
      </c>
      <c r="D2024">
        <v>4.894234</v>
      </c>
      <c r="E2024">
        <v>0.47535230000000001</v>
      </c>
      <c r="F2024" t="s">
        <v>52</v>
      </c>
      <c r="G2024">
        <v>-473.83249999999998</v>
      </c>
      <c r="H2024" s="1">
        <v>4.8511120000000004E-6</v>
      </c>
      <c r="I2024">
        <v>283.8904</v>
      </c>
      <c r="J2024">
        <v>-440.19009999999997</v>
      </c>
      <c r="K2024">
        <v>1.1212500000000001</v>
      </c>
      <c r="L2024">
        <v>285.45479999999998</v>
      </c>
      <c r="M2024">
        <v>-0.99956959999999995</v>
      </c>
      <c r="N2024">
        <v>-1.4463139999999999E-2</v>
      </c>
      <c r="O2024">
        <v>2.5526879999999998E-2</v>
      </c>
      <c r="P2024">
        <v>-0.97663750000000005</v>
      </c>
      <c r="Q2024">
        <v>0.2108334</v>
      </c>
      <c r="R2024">
        <v>4.157922E-2</v>
      </c>
      <c r="S2024">
        <v>-3.100098</v>
      </c>
      <c r="T2024">
        <v>-0.1020308</v>
      </c>
      <c r="U2024">
        <v>-0.14138789999999901</v>
      </c>
      <c r="V2024">
        <v>1.6531839999999999E-2</v>
      </c>
      <c r="W2024">
        <v>0.22495480000000001</v>
      </c>
      <c r="X2024">
        <v>0.97422900000000001</v>
      </c>
      <c r="Y2024">
        <v>-7.0988830000000003E-2</v>
      </c>
      <c r="Z2024">
        <v>-2.1517149999999998E-3</v>
      </c>
      <c r="AA2024">
        <v>0.99747479999999999</v>
      </c>
      <c r="AB2024">
        <v>43</v>
      </c>
      <c r="AC2024">
        <v>-33.642400000000002</v>
      </c>
      <c r="AD2024">
        <v>-1.121245148888</v>
      </c>
      <c r="AE2024">
        <v>-1.56439999999997</v>
      </c>
      <c r="AF2024">
        <v>-2.42008299943463</v>
      </c>
      <c r="AG2024">
        <v>-1.121245148888</v>
      </c>
      <c r="AH2024">
        <v>33.5543054792997</v>
      </c>
      <c r="AI2024">
        <v>91.908919290289404</v>
      </c>
      <c r="AJ2024">
        <v>94.125278522172593</v>
      </c>
      <c r="AK2024">
        <v>33.6601457009059</v>
      </c>
      <c r="AL2024">
        <v>76.999780460234902</v>
      </c>
      <c r="AM2024">
        <v>89.027832512930601</v>
      </c>
      <c r="AN2024">
        <v>1.00000005410891</v>
      </c>
    </row>
    <row r="2025" spans="1:40" x14ac:dyDescent="0.25">
      <c r="A2025" t="str">
        <f>"20190303171017573"</f>
        <v>20190303171017573</v>
      </c>
      <c r="B2025" t="str">
        <f>"1551604217563014"</f>
        <v>1551604217563014</v>
      </c>
      <c r="C2025" t="s">
        <v>40</v>
      </c>
      <c r="D2025">
        <v>4.7381729999999997</v>
      </c>
      <c r="E2025">
        <v>0.47690280000000002</v>
      </c>
      <c r="F2025" t="s">
        <v>52</v>
      </c>
      <c r="G2025">
        <v>-475.63099999999997</v>
      </c>
      <c r="H2025" s="1">
        <v>4.0828530000000001E-6</v>
      </c>
      <c r="I2025">
        <v>284.22570000000002</v>
      </c>
      <c r="J2025">
        <v>-440.60469999999998</v>
      </c>
      <c r="K2025">
        <v>1.121254</v>
      </c>
      <c r="L2025">
        <v>285.46530000000001</v>
      </c>
      <c r="M2025">
        <v>-0.99957379999999996</v>
      </c>
      <c r="N2025">
        <v>-1.446091E-2</v>
      </c>
      <c r="O2025">
        <v>2.536163E-2</v>
      </c>
      <c r="P2025">
        <v>-0.97656549999999998</v>
      </c>
      <c r="Q2025">
        <v>0.2115052</v>
      </c>
      <c r="R2025">
        <v>3.9816240000000003E-2</v>
      </c>
      <c r="S2025">
        <v>-3.097534</v>
      </c>
      <c r="T2025">
        <v>-9.7996829999999993E-2</v>
      </c>
      <c r="U2025">
        <v>-0.1074219</v>
      </c>
      <c r="V2025">
        <v>1.493264E-2</v>
      </c>
      <c r="W2025">
        <v>0.22562189999999999</v>
      </c>
      <c r="X2025">
        <v>0.97410050000000004</v>
      </c>
      <c r="Y2025">
        <v>-5.9949450000000001E-2</v>
      </c>
      <c r="Z2025">
        <v>-1.816911E-3</v>
      </c>
      <c r="AA2025">
        <v>0.99819979999999997</v>
      </c>
      <c r="AB2025">
        <v>43</v>
      </c>
      <c r="AC2025">
        <v>-35.0262999999999</v>
      </c>
      <c r="AD2025">
        <v>-1.1212499171470001</v>
      </c>
      <c r="AE2025">
        <v>-1.23959999999999</v>
      </c>
      <c r="AF2025">
        <v>-2.1254427826454401</v>
      </c>
      <c r="AG2025">
        <v>-1.1212499171470001</v>
      </c>
      <c r="AH2025">
        <v>34.947821747796503</v>
      </c>
      <c r="AI2025">
        <v>91.834234454307193</v>
      </c>
      <c r="AJ2025">
        <v>93.480305289405806</v>
      </c>
      <c r="AK2025">
        <v>35.0303433228217</v>
      </c>
      <c r="AL2025">
        <v>76.960549259015593</v>
      </c>
      <c r="AM2025">
        <v>89.121743353423199</v>
      </c>
      <c r="AN2025">
        <v>1.00000000479861</v>
      </c>
    </row>
    <row r="2026" spans="1:40" x14ac:dyDescent="0.25">
      <c r="A2026" t="str">
        <f>"20190303171017596"</f>
        <v>20190303171017596</v>
      </c>
      <c r="B2026" t="str">
        <f>"1551604217582535"</f>
        <v>1551604217582535</v>
      </c>
      <c r="C2026" t="s">
        <v>40</v>
      </c>
      <c r="D2026">
        <v>4.9414239999999996</v>
      </c>
      <c r="E2026">
        <v>0.47924460000000002</v>
      </c>
      <c r="F2026" t="s">
        <v>52</v>
      </c>
      <c r="G2026">
        <v>-476.71510000000001</v>
      </c>
      <c r="H2026" s="1">
        <v>3.6093290000000001E-6</v>
      </c>
      <c r="I2026">
        <v>284.30880000000002</v>
      </c>
      <c r="J2026">
        <v>-441.04390000000001</v>
      </c>
      <c r="K2026">
        <v>1.1212580000000001</v>
      </c>
      <c r="L2026">
        <v>285.47629999999998</v>
      </c>
      <c r="M2026">
        <v>-0.99957839999999998</v>
      </c>
      <c r="N2026">
        <v>-1.4458489999999999E-2</v>
      </c>
      <c r="O2026">
        <v>2.5186779999999999E-2</v>
      </c>
      <c r="P2026">
        <v>-0.97631009999999996</v>
      </c>
      <c r="Q2026">
        <v>0.2128844</v>
      </c>
      <c r="R2026">
        <v>3.8718429999999998E-2</v>
      </c>
      <c r="S2026">
        <v>-3.0968629999999999</v>
      </c>
      <c r="T2026">
        <v>-9.6159460000000002E-2</v>
      </c>
      <c r="U2026">
        <v>-9.9182129999999993E-2</v>
      </c>
      <c r="V2026">
        <v>1.401202E-2</v>
      </c>
      <c r="W2026">
        <v>0.2269939</v>
      </c>
      <c r="X2026">
        <v>0.97379539999999998</v>
      </c>
      <c r="Y2026">
        <v>-5.7132780000000001E-2</v>
      </c>
      <c r="Z2026">
        <v>-1.717522E-3</v>
      </c>
      <c r="AA2026">
        <v>0.99836510000000001</v>
      </c>
      <c r="AB2026">
        <v>43</v>
      </c>
      <c r="AC2026">
        <v>-35.671199999999999</v>
      </c>
      <c r="AD2026">
        <v>-1.121254390671</v>
      </c>
      <c r="AE2026">
        <v>-1.16749999999996</v>
      </c>
      <c r="AF2026">
        <v>-2.06362920027092</v>
      </c>
      <c r="AG2026">
        <v>-1.121254390671</v>
      </c>
      <c r="AH2026">
        <v>35.595340917422703</v>
      </c>
      <c r="AI2026">
        <v>91.801199879479199</v>
      </c>
      <c r="AJ2026">
        <v>93.317991607682501</v>
      </c>
      <c r="AK2026">
        <v>35.672735694257597</v>
      </c>
      <c r="AL2026">
        <v>76.8798459123567</v>
      </c>
      <c r="AM2026">
        <v>89.175623331264305</v>
      </c>
      <c r="AN2026">
        <v>1.00000002420142</v>
      </c>
    </row>
    <row r="2027" spans="1:40" x14ac:dyDescent="0.25">
      <c r="A2027" t="str">
        <f>"20190303171017619"</f>
        <v>20190303171017619</v>
      </c>
      <c r="B2027" t="str">
        <f>"1551604217612790"</f>
        <v>1551604217612790</v>
      </c>
      <c r="C2027" t="s">
        <v>40</v>
      </c>
      <c r="D2027">
        <v>4.8134980000000001</v>
      </c>
      <c r="E2027">
        <v>0.48210809999999998</v>
      </c>
      <c r="F2027" t="s">
        <v>52</v>
      </c>
      <c r="G2027">
        <v>-479.74889999999999</v>
      </c>
      <c r="H2027" s="1">
        <v>2.2748100000000001E-6</v>
      </c>
      <c r="I2027">
        <v>284.4323</v>
      </c>
      <c r="J2027">
        <v>-441.4717</v>
      </c>
      <c r="K2027">
        <v>1.1212599999999999</v>
      </c>
      <c r="L2027">
        <v>285.48689999999999</v>
      </c>
      <c r="M2027">
        <v>-0.99958259999999999</v>
      </c>
      <c r="N2027">
        <v>-1.445606E-2</v>
      </c>
      <c r="O2027">
        <v>2.5015510000000001E-2</v>
      </c>
      <c r="P2027">
        <v>-0.97607540000000004</v>
      </c>
      <c r="Q2027">
        <v>0.21412390000000001</v>
      </c>
      <c r="R2027">
        <v>3.7790560000000001E-2</v>
      </c>
      <c r="S2027">
        <v>-3.0956419999999998</v>
      </c>
      <c r="T2027">
        <v>-8.9678649999999999E-2</v>
      </c>
      <c r="U2027">
        <v>-8.3496089999999995E-2</v>
      </c>
      <c r="V2027">
        <v>1.325758E-2</v>
      </c>
      <c r="W2027">
        <v>0.2282267</v>
      </c>
      <c r="X2027">
        <v>0.97351779999999999</v>
      </c>
      <c r="Y2027">
        <v>-5.1927649999999999E-2</v>
      </c>
      <c r="Z2027">
        <v>-1.4902649999999999E-3</v>
      </c>
      <c r="AA2027">
        <v>0.99864969999999997</v>
      </c>
      <c r="AB2027">
        <v>43</v>
      </c>
      <c r="AC2027">
        <v>-38.277199999999901</v>
      </c>
      <c r="AD2027">
        <v>-1.12125772519</v>
      </c>
      <c r="AE2027">
        <v>-1.05459999999999</v>
      </c>
      <c r="AF2027">
        <v>-2.0101700029195602</v>
      </c>
      <c r="AG2027">
        <v>-1.12125772519</v>
      </c>
      <c r="AH2027">
        <v>38.206075826269</v>
      </c>
      <c r="AI2027">
        <v>91.678692203062496</v>
      </c>
      <c r="AJ2027">
        <v>93.011776400245793</v>
      </c>
      <c r="AK2027">
        <v>38.275347579996598</v>
      </c>
      <c r="AL2027">
        <v>76.807308037026601</v>
      </c>
      <c r="AM2027">
        <v>89.219781674118707</v>
      </c>
      <c r="AN2027">
        <v>1.00000004846859</v>
      </c>
    </row>
    <row r="2028" spans="1:40" x14ac:dyDescent="0.25">
      <c r="A2028" t="str">
        <f>"20190303171017640"</f>
        <v>20190303171017640</v>
      </c>
      <c r="B2028" t="str">
        <f>"1551604217632314"</f>
        <v>1551604217632314</v>
      </c>
      <c r="C2028" t="s">
        <v>40</v>
      </c>
      <c r="D2028">
        <v>4.9303109999999997</v>
      </c>
      <c r="E2028">
        <v>0.48310009999999998</v>
      </c>
      <c r="F2028" t="s">
        <v>52</v>
      </c>
      <c r="G2028">
        <v>-478.83170000000001</v>
      </c>
      <c r="H2028" s="1">
        <v>2.7069509999999998E-6</v>
      </c>
      <c r="I2028">
        <v>284.72280000000001</v>
      </c>
      <c r="J2028">
        <v>-441.89179999999999</v>
      </c>
      <c r="K2028">
        <v>1.121267</v>
      </c>
      <c r="L2028">
        <v>285.49720000000002</v>
      </c>
      <c r="M2028">
        <v>-0.9995868</v>
      </c>
      <c r="N2028">
        <v>-1.445342E-2</v>
      </c>
      <c r="O2028">
        <v>2.484776E-2</v>
      </c>
      <c r="P2028">
        <v>-0.97608300000000003</v>
      </c>
      <c r="Q2028">
        <v>0.21433170000000001</v>
      </c>
      <c r="R2028">
        <v>3.6389919999999999E-2</v>
      </c>
      <c r="S2028">
        <v>-3.0963440000000002</v>
      </c>
      <c r="T2028">
        <v>-9.2928410000000003E-2</v>
      </c>
      <c r="U2028">
        <v>-6.3323969999999993E-2</v>
      </c>
      <c r="V2028">
        <v>1.202109E-2</v>
      </c>
      <c r="W2028">
        <v>0.228431</v>
      </c>
      <c r="X2028">
        <v>0.97348590000000002</v>
      </c>
      <c r="Y2028">
        <v>-4.5252590000000002E-2</v>
      </c>
      <c r="Z2028">
        <v>-1.3924339999999999E-3</v>
      </c>
      <c r="AA2028">
        <v>0.99897460000000005</v>
      </c>
      <c r="AB2028">
        <v>43</v>
      </c>
      <c r="AC2028">
        <v>-36.939900000000002</v>
      </c>
      <c r="AD2028">
        <v>-1.121264293049</v>
      </c>
      <c r="AE2028">
        <v>-0.77440000000001397</v>
      </c>
      <c r="AF2028">
        <v>-1.69057354510658</v>
      </c>
      <c r="AG2028">
        <v>-1.121264293049</v>
      </c>
      <c r="AH2028">
        <v>36.875288073421899</v>
      </c>
      <c r="AI2028">
        <v>91.739825784007394</v>
      </c>
      <c r="AJ2028">
        <v>92.6249273334751</v>
      </c>
      <c r="AK2028">
        <v>36.931045788389604</v>
      </c>
      <c r="AL2028">
        <v>76.795284429935805</v>
      </c>
      <c r="AM2028">
        <v>89.292519062841706</v>
      </c>
      <c r="AN2028">
        <v>1.0000000129322899</v>
      </c>
    </row>
    <row r="2029" spans="1:40" x14ac:dyDescent="0.25">
      <c r="A2029" t="str">
        <f>"20190303171017662"</f>
        <v>20190303171017662</v>
      </c>
      <c r="B2029" t="str">
        <f>"1551604217652806"</f>
        <v>1551604217652806</v>
      </c>
      <c r="C2029" t="s">
        <v>40</v>
      </c>
      <c r="D2029">
        <v>4.906968</v>
      </c>
      <c r="E2029">
        <v>0.4838693</v>
      </c>
      <c r="F2029" t="s">
        <v>52</v>
      </c>
      <c r="G2029">
        <v>-479.245</v>
      </c>
      <c r="H2029" s="1">
        <v>2.529144E-6</v>
      </c>
      <c r="I2029">
        <v>284.78590000000003</v>
      </c>
      <c r="J2029">
        <v>-442.32429999999999</v>
      </c>
      <c r="K2029">
        <v>1.1212629999999999</v>
      </c>
      <c r="L2029">
        <v>285.50779999999997</v>
      </c>
      <c r="M2029">
        <v>-0.99959120000000001</v>
      </c>
      <c r="N2029">
        <v>-1.445073E-2</v>
      </c>
      <c r="O2029">
        <v>2.467447E-2</v>
      </c>
      <c r="P2029">
        <v>-0.97612469999999996</v>
      </c>
      <c r="Q2029">
        <v>0.2143622</v>
      </c>
      <c r="R2029">
        <v>3.5063320000000002E-2</v>
      </c>
      <c r="S2029">
        <v>-3.09613</v>
      </c>
      <c r="T2029">
        <v>-9.2939259999999996E-2</v>
      </c>
      <c r="U2029">
        <v>-5.8959959999999999E-2</v>
      </c>
      <c r="V2029">
        <v>1.0863350000000001E-2</v>
      </c>
      <c r="W2029">
        <v>0.22845840000000001</v>
      </c>
      <c r="X2029">
        <v>0.9734931</v>
      </c>
      <c r="Y2029">
        <v>-4.3674320000000003E-2</v>
      </c>
      <c r="Z2029">
        <v>-1.3549250000000001E-3</v>
      </c>
      <c r="AA2029">
        <v>0.99904490000000001</v>
      </c>
      <c r="AB2029">
        <v>43</v>
      </c>
      <c r="AC2029">
        <v>-36.920699999999997</v>
      </c>
      <c r="AD2029">
        <v>-1.1212604708559999</v>
      </c>
      <c r="AE2029">
        <v>-0.72189999999994803</v>
      </c>
      <c r="AF2029">
        <v>-1.6312699531580399</v>
      </c>
      <c r="AG2029">
        <v>-1.1212604708559999</v>
      </c>
      <c r="AH2029">
        <v>36.857661474618702</v>
      </c>
      <c r="AI2029">
        <v>91.740775520360003</v>
      </c>
      <c r="AJ2029">
        <v>92.534179442367801</v>
      </c>
      <c r="AK2029">
        <v>36.910777234856099</v>
      </c>
      <c r="AL2029">
        <v>76.793672172533505</v>
      </c>
      <c r="AM2029">
        <v>89.360654664933094</v>
      </c>
      <c r="AN2029">
        <v>1.0000000343256901</v>
      </c>
    </row>
    <row r="2030" spans="1:40" x14ac:dyDescent="0.25">
      <c r="A2030" t="str">
        <f>"20190303171017685"</f>
        <v>20190303171017685</v>
      </c>
      <c r="B2030" t="str">
        <f>"1551604217672326"</f>
        <v>1551604217672326</v>
      </c>
      <c r="C2030" t="s">
        <v>40</v>
      </c>
      <c r="D2030">
        <v>4.9167690000000004</v>
      </c>
      <c r="E2030">
        <v>0.48454619999999998</v>
      </c>
      <c r="F2030" t="s">
        <v>52</v>
      </c>
      <c r="G2030">
        <v>-479.13990000000001</v>
      </c>
      <c r="H2030" s="1">
        <v>2.5813569999999998E-6</v>
      </c>
      <c r="I2030">
        <v>284.84989999999999</v>
      </c>
      <c r="J2030">
        <v>-442.74009999999998</v>
      </c>
      <c r="K2030">
        <v>1.121264</v>
      </c>
      <c r="L2030">
        <v>285.5179</v>
      </c>
      <c r="M2030">
        <v>-0.99959529999999996</v>
      </c>
      <c r="N2030">
        <v>-1.4448249999999999E-2</v>
      </c>
      <c r="O2030">
        <v>2.4508499999999999E-2</v>
      </c>
      <c r="P2030">
        <v>-0.97602089999999997</v>
      </c>
      <c r="Q2030">
        <v>0.21505099999999999</v>
      </c>
      <c r="R2030">
        <v>3.3715139999999998E-2</v>
      </c>
      <c r="S2030">
        <v>-3.0960390000000002</v>
      </c>
      <c r="T2030">
        <v>-9.4293360000000007E-2</v>
      </c>
      <c r="U2030">
        <v>-5.5328370000000002E-2</v>
      </c>
      <c r="V2030">
        <v>9.6802710000000007E-3</v>
      </c>
      <c r="W2030">
        <v>0.2291426</v>
      </c>
      <c r="X2030">
        <v>0.97334469999999995</v>
      </c>
      <c r="Y2030">
        <v>-4.233754E-2</v>
      </c>
      <c r="Z2030">
        <v>-1.3426410000000001E-3</v>
      </c>
      <c r="AA2030">
        <v>0.9991025</v>
      </c>
      <c r="AB2030">
        <v>43</v>
      </c>
      <c r="AC2030">
        <v>-36.399799999999999</v>
      </c>
      <c r="AD2030">
        <v>-1.1212614186429899</v>
      </c>
      <c r="AE2030">
        <v>-0.66800000000000603</v>
      </c>
      <c r="AF2030">
        <v>-1.5585184868296</v>
      </c>
      <c r="AG2030">
        <v>-1.1212614186429899</v>
      </c>
      <c r="AH2030">
        <v>36.338021451556997</v>
      </c>
      <c r="AI2030">
        <v>91.765759834619004</v>
      </c>
      <c r="AJ2030">
        <v>92.455880494363001</v>
      </c>
      <c r="AK2030">
        <v>36.388707177592103</v>
      </c>
      <c r="AL2030">
        <v>76.753401329806593</v>
      </c>
      <c r="AM2030">
        <v>89.430191187738302</v>
      </c>
      <c r="AN2030">
        <v>0.99999997189974099</v>
      </c>
    </row>
    <row r="2031" spans="1:40" x14ac:dyDescent="0.25">
      <c r="A2031" t="str">
        <f>"20190303171017706"</f>
        <v>20190303171017706</v>
      </c>
      <c r="B2031" t="str">
        <f>"1551604217702585"</f>
        <v>1551604217702585</v>
      </c>
      <c r="C2031" t="s">
        <v>40</v>
      </c>
      <c r="D2031">
        <v>4.7350680000000001</v>
      </c>
      <c r="E2031">
        <v>0.48519669999999998</v>
      </c>
      <c r="F2031" t="s">
        <v>52</v>
      </c>
      <c r="G2031">
        <v>-479.81020000000001</v>
      </c>
      <c r="H2031" s="1">
        <v>2.286776E-6</v>
      </c>
      <c r="I2031">
        <v>284.88029999999998</v>
      </c>
      <c r="J2031">
        <v>-443.16899999999998</v>
      </c>
      <c r="K2031">
        <v>1.121273</v>
      </c>
      <c r="L2031">
        <v>285.52820000000003</v>
      </c>
      <c r="M2031">
        <v>-0.99959940000000003</v>
      </c>
      <c r="N2031">
        <v>-1.444573E-2</v>
      </c>
      <c r="O2031">
        <v>2.4337520000000001E-2</v>
      </c>
      <c r="P2031">
        <v>-0.97598799999999997</v>
      </c>
      <c r="Q2031">
        <v>0.2153825</v>
      </c>
      <c r="R2031">
        <v>3.2523860000000002E-2</v>
      </c>
      <c r="S2031">
        <v>-3.0961609999999999</v>
      </c>
      <c r="T2031">
        <v>-9.3649629999999998E-2</v>
      </c>
      <c r="U2031">
        <v>-5.3253170000000002E-2</v>
      </c>
      <c r="V2031">
        <v>8.6569799999999999E-3</v>
      </c>
      <c r="W2031">
        <v>0.22947029999999999</v>
      </c>
      <c r="X2031">
        <v>0.97327719999999995</v>
      </c>
      <c r="Y2031">
        <v>-4.1497510000000001E-2</v>
      </c>
      <c r="Z2031">
        <v>-1.311635E-3</v>
      </c>
      <c r="AA2031">
        <v>0.99913779999999996</v>
      </c>
      <c r="AB2031">
        <v>43</v>
      </c>
      <c r="AC2031">
        <v>-36.641199999999898</v>
      </c>
      <c r="AD2031">
        <v>-1.1212707132240001</v>
      </c>
      <c r="AE2031">
        <v>-0.64790000000004899</v>
      </c>
      <c r="AF2031">
        <v>-1.5381171596018399</v>
      </c>
      <c r="AG2031">
        <v>-1.1212707132240001</v>
      </c>
      <c r="AH2031">
        <v>36.580329932188</v>
      </c>
      <c r="AI2031">
        <v>91.754147844342796</v>
      </c>
      <c r="AJ2031">
        <v>92.407734980118803</v>
      </c>
      <c r="AK2031">
        <v>36.629818322737002</v>
      </c>
      <c r="AL2031">
        <v>76.734112362925003</v>
      </c>
      <c r="AM2031">
        <v>89.490386359246401</v>
      </c>
      <c r="AN2031">
        <v>1.0000000349623199</v>
      </c>
    </row>
    <row r="2032" spans="1:40" x14ac:dyDescent="0.25">
      <c r="A2032" t="str">
        <f>"20190303171017730"</f>
        <v>20190303171017730</v>
      </c>
      <c r="B2032" t="str">
        <f>"1551604217723077"</f>
        <v>1551604217723077</v>
      </c>
      <c r="C2032" t="s">
        <v>40</v>
      </c>
      <c r="D2032">
        <v>4.853205</v>
      </c>
      <c r="E2032">
        <v>0.48574319999999999</v>
      </c>
      <c r="F2032" t="s">
        <v>52</v>
      </c>
      <c r="G2032">
        <v>-479.9896</v>
      </c>
      <c r="H2032" s="1">
        <v>2.2303850000000001E-6</v>
      </c>
      <c r="I2032">
        <v>284.91930000000002</v>
      </c>
      <c r="J2032">
        <v>-443.62270000000001</v>
      </c>
      <c r="K2032">
        <v>1.121273</v>
      </c>
      <c r="L2032">
        <v>285.53910000000002</v>
      </c>
      <c r="M2032">
        <v>-0.99960400000000005</v>
      </c>
      <c r="N2032">
        <v>-1.4443020000000001E-2</v>
      </c>
      <c r="O2032">
        <v>2.4156239999999999E-2</v>
      </c>
      <c r="P2032">
        <v>-0.97607140000000003</v>
      </c>
      <c r="Q2032">
        <v>0.2153282</v>
      </c>
      <c r="R2032">
        <v>3.0315350000000001E-2</v>
      </c>
      <c r="S2032">
        <v>-3.0963129999999999</v>
      </c>
      <c r="T2032">
        <v>-9.4289899999999899E-2</v>
      </c>
      <c r="U2032">
        <v>-5.1208499999999997E-2</v>
      </c>
      <c r="V2032">
        <v>6.624413E-3</v>
      </c>
      <c r="W2032">
        <v>0.2294127</v>
      </c>
      <c r="X2032">
        <v>0.97330669999999997</v>
      </c>
      <c r="Y2032">
        <v>-4.0656030000000003E-2</v>
      </c>
      <c r="Z2032">
        <v>-1.29911E-3</v>
      </c>
      <c r="AA2032">
        <v>0.99917230000000001</v>
      </c>
      <c r="AB2032">
        <v>43</v>
      </c>
      <c r="AC2032">
        <v>-36.366900000000001</v>
      </c>
      <c r="AD2032">
        <v>-1.1212707696149999</v>
      </c>
      <c r="AE2032">
        <v>-0.61979999999999702</v>
      </c>
      <c r="AF2032">
        <v>-1.4967757268964199</v>
      </c>
      <c r="AG2032">
        <v>-1.1212707696149999</v>
      </c>
      <c r="AH2032">
        <v>36.306808090577299</v>
      </c>
      <c r="AI2032">
        <v>91.767415012664799</v>
      </c>
      <c r="AJ2032">
        <v>92.360725213185205</v>
      </c>
      <c r="AK2032">
        <v>36.354943260049701</v>
      </c>
      <c r="AL2032">
        <v>76.737502596633206</v>
      </c>
      <c r="AM2032">
        <v>89.610045789075002</v>
      </c>
      <c r="AN2032">
        <v>1.0000000010168799</v>
      </c>
    </row>
    <row r="2033" spans="1:40" x14ac:dyDescent="0.25">
      <c r="A2033" t="str">
        <f>"20190303171017752"</f>
        <v>20190303171017752</v>
      </c>
      <c r="B2033" t="str">
        <f>"1551604217742598"</f>
        <v>1551604217742598</v>
      </c>
      <c r="C2033" t="s">
        <v>40</v>
      </c>
      <c r="D2033">
        <v>4.8773470000000003</v>
      </c>
      <c r="E2033">
        <v>0.48637570000000002</v>
      </c>
      <c r="F2033" t="s">
        <v>52</v>
      </c>
      <c r="G2033">
        <v>-479.62479999999999</v>
      </c>
      <c r="H2033" s="1">
        <v>2.3727550000000002E-6</v>
      </c>
      <c r="I2033">
        <v>284.92309999999998</v>
      </c>
      <c r="J2033">
        <v>-444.03469999999999</v>
      </c>
      <c r="K2033">
        <v>1.12127</v>
      </c>
      <c r="L2033">
        <v>285.5489</v>
      </c>
      <c r="M2033">
        <v>-0.99960800000000005</v>
      </c>
      <c r="N2033">
        <v>-1.444051E-2</v>
      </c>
      <c r="O2033">
        <v>2.3991410000000001E-2</v>
      </c>
      <c r="P2033">
        <v>-0.97622390000000003</v>
      </c>
      <c r="Q2033">
        <v>0.214889</v>
      </c>
      <c r="R2033">
        <v>2.845522E-2</v>
      </c>
      <c r="S2033">
        <v>-3.0964360000000002</v>
      </c>
      <c r="T2033">
        <v>-9.6437449999999994E-2</v>
      </c>
      <c r="U2033">
        <v>-5.2978520000000001E-2</v>
      </c>
      <c r="V2033">
        <v>4.9225390000000001E-3</v>
      </c>
      <c r="W2033">
        <v>0.2289717</v>
      </c>
      <c r="X2033">
        <v>0.97342059999999997</v>
      </c>
      <c r="Y2033">
        <v>-4.1059999999999999E-2</v>
      </c>
      <c r="Z2033">
        <v>-1.336355E-3</v>
      </c>
      <c r="AA2033">
        <v>0.99915580000000004</v>
      </c>
      <c r="AB2033">
        <v>43</v>
      </c>
      <c r="AC2033">
        <v>-35.5901</v>
      </c>
      <c r="AD2033">
        <v>-1.121267627245</v>
      </c>
      <c r="AE2033">
        <v>-0.625800000000026</v>
      </c>
      <c r="AF2033">
        <v>-1.4780987818773399</v>
      </c>
      <c r="AG2033">
        <v>-1.121267627245</v>
      </c>
      <c r="AH2033">
        <v>35.529583772478702</v>
      </c>
      <c r="AI2033">
        <v>91.806019488326896</v>
      </c>
      <c r="AJ2033">
        <v>92.382240546038403</v>
      </c>
      <c r="AK2033">
        <v>35.577989546157298</v>
      </c>
      <c r="AL2033">
        <v>76.763460568262204</v>
      </c>
      <c r="AM2033">
        <v>89.710260595429304</v>
      </c>
      <c r="AN2033">
        <v>0.99999996764772703</v>
      </c>
    </row>
    <row r="2034" spans="1:40" x14ac:dyDescent="0.25">
      <c r="A2034" t="str">
        <f>"20190303171017773"</f>
        <v>20190303171017773</v>
      </c>
      <c r="B2034" t="str">
        <f>"1551604217763095"</f>
        <v>1551604217763095</v>
      </c>
      <c r="C2034" t="s">
        <v>40</v>
      </c>
      <c r="D2034">
        <v>4.8700080000000003</v>
      </c>
      <c r="E2034">
        <v>0.48699510000000001</v>
      </c>
      <c r="F2034" t="s">
        <v>52</v>
      </c>
      <c r="G2034">
        <v>-479.09809999999999</v>
      </c>
      <c r="H2034" s="1">
        <v>2.6090529999999999E-6</v>
      </c>
      <c r="I2034">
        <v>284.9545</v>
      </c>
      <c r="J2034">
        <v>-444.44799999999998</v>
      </c>
      <c r="K2034">
        <v>1.121267</v>
      </c>
      <c r="L2034">
        <v>285.55860000000001</v>
      </c>
      <c r="M2034">
        <v>-0.99961199999999995</v>
      </c>
      <c r="N2034">
        <v>-1.443794E-2</v>
      </c>
      <c r="O2034">
        <v>2.382604E-2</v>
      </c>
      <c r="P2034">
        <v>-0.97630729999999999</v>
      </c>
      <c r="Q2034">
        <v>0.2146779</v>
      </c>
      <c r="R2034">
        <v>2.7161769999999998E-2</v>
      </c>
      <c r="S2034">
        <v>-3.0964360000000002</v>
      </c>
      <c r="T2034">
        <v>-9.9018690000000006E-2</v>
      </c>
      <c r="U2034">
        <v>-5.2490229999999999E-2</v>
      </c>
      <c r="V2034">
        <v>3.789373E-3</v>
      </c>
      <c r="W2034">
        <v>0.22875870000000001</v>
      </c>
      <c r="X2034">
        <v>0.9734758</v>
      </c>
      <c r="Y2034">
        <v>-4.0735800000000003E-2</v>
      </c>
      <c r="Z2034">
        <v>-1.3630329999999901E-3</v>
      </c>
      <c r="AA2034">
        <v>0.99916910000000003</v>
      </c>
      <c r="AB2034">
        <v>43</v>
      </c>
      <c r="AC2034">
        <v>-34.650099999999902</v>
      </c>
      <c r="AD2034">
        <v>-1.1212643909469999</v>
      </c>
      <c r="AE2034">
        <v>-0.60410000000001596</v>
      </c>
      <c r="AF2034">
        <v>-1.42809411573078</v>
      </c>
      <c r="AG2034">
        <v>-1.1212643909469999</v>
      </c>
      <c r="AH2034">
        <v>34.589657257113799</v>
      </c>
      <c r="AI2034">
        <v>91.855080578318095</v>
      </c>
      <c r="AJ2034">
        <v>92.364213104031407</v>
      </c>
      <c r="AK2034">
        <v>34.637278700879399</v>
      </c>
      <c r="AL2034">
        <v>76.775997992234693</v>
      </c>
      <c r="AM2034">
        <v>89.776970333213697</v>
      </c>
      <c r="AN2034">
        <v>1.0000000176795301</v>
      </c>
    </row>
    <row r="2035" spans="1:40" x14ac:dyDescent="0.25">
      <c r="A2035" t="str">
        <f>"20190303171017797"</f>
        <v>20190303171017797</v>
      </c>
      <c r="B2035" t="str">
        <f>"1551604217782614"</f>
        <v>1551604217782614</v>
      </c>
      <c r="C2035" t="s">
        <v>40</v>
      </c>
      <c r="D2035">
        <v>4.9638280000000004</v>
      </c>
      <c r="E2035">
        <v>0.48732559999999903</v>
      </c>
      <c r="F2035" t="s">
        <v>52</v>
      </c>
      <c r="G2035">
        <v>-478.76569999999998</v>
      </c>
      <c r="H2035" s="1">
        <v>2.759486E-6</v>
      </c>
      <c r="I2035">
        <v>284.98899999999998</v>
      </c>
      <c r="J2035">
        <v>-444.88130000000001</v>
      </c>
      <c r="K2035">
        <v>1.12127</v>
      </c>
      <c r="L2035">
        <v>285.56880000000001</v>
      </c>
      <c r="M2035">
        <v>-0.99961610000000001</v>
      </c>
      <c r="N2035">
        <v>-1.443524E-2</v>
      </c>
      <c r="O2035">
        <v>2.365186E-2</v>
      </c>
      <c r="P2035">
        <v>-0.97628490000000001</v>
      </c>
      <c r="Q2035">
        <v>0.2148535</v>
      </c>
      <c r="R2035">
        <v>2.6570449999999999E-2</v>
      </c>
      <c r="S2035">
        <v>-3.0964659999999999</v>
      </c>
      <c r="T2035">
        <v>-0.101171</v>
      </c>
      <c r="U2035">
        <v>-5.1391600000000003E-2</v>
      </c>
      <c r="V2035">
        <v>3.3690809999999999E-3</v>
      </c>
      <c r="W2035">
        <v>0.22893089999999999</v>
      </c>
      <c r="X2035">
        <v>0.97343679999999999</v>
      </c>
      <c r="Y2035">
        <v>-4.020613E-2</v>
      </c>
      <c r="Z2035">
        <v>-1.3780800000000001E-3</v>
      </c>
      <c r="AA2035">
        <v>0.99919040000000003</v>
      </c>
      <c r="AB2035">
        <v>43</v>
      </c>
      <c r="AC2035">
        <v>-33.8843999999999</v>
      </c>
      <c r="AD2035">
        <v>-1.1212672405140001</v>
      </c>
      <c r="AE2035">
        <v>-0.579799999999977</v>
      </c>
      <c r="AF2035">
        <v>-1.3796400346342601</v>
      </c>
      <c r="AG2035">
        <v>-1.1212672405140001</v>
      </c>
      <c r="AH2035">
        <v>33.8241772579293</v>
      </c>
      <c r="AI2035">
        <v>91.897076353696605</v>
      </c>
      <c r="AJ2035">
        <v>92.335718530278996</v>
      </c>
      <c r="AK2035">
        <v>33.870866744528897</v>
      </c>
      <c r="AL2035">
        <v>76.765861862076505</v>
      </c>
      <c r="AM2035">
        <v>89.801699143301903</v>
      </c>
      <c r="AN2035">
        <v>0.99999995563791599</v>
      </c>
    </row>
    <row r="2036" spans="1:40" x14ac:dyDescent="0.25">
      <c r="A2036" t="str">
        <f>"20190303171017813"</f>
        <v>20190303171017813</v>
      </c>
      <c r="B2036" t="str">
        <f>"1551604217803082"</f>
        <v>1551604217803082</v>
      </c>
      <c r="C2036" t="s">
        <v>40</v>
      </c>
      <c r="D2036">
        <v>4.7985350000000002</v>
      </c>
      <c r="E2036">
        <v>0.52295539999999996</v>
      </c>
      <c r="F2036" t="s">
        <v>52</v>
      </c>
      <c r="G2036">
        <v>-479.48399999999998</v>
      </c>
      <c r="H2036" s="1">
        <v>2.4417549999999999E-6</v>
      </c>
      <c r="I2036">
        <v>284.99860000000001</v>
      </c>
      <c r="J2036">
        <v>-445.21269999999998</v>
      </c>
      <c r="K2036">
        <v>1.1212719999999901</v>
      </c>
      <c r="L2036">
        <v>285.57650000000001</v>
      </c>
      <c r="M2036">
        <v>-0.99961940000000005</v>
      </c>
      <c r="N2036">
        <v>-1.443318E-2</v>
      </c>
      <c r="O2036">
        <v>2.3519620000000001E-2</v>
      </c>
      <c r="P2036">
        <v>-0.97632529999999995</v>
      </c>
      <c r="Q2036">
        <v>0.21473829999999999</v>
      </c>
      <c r="R2036">
        <v>2.6011670000000001E-2</v>
      </c>
      <c r="S2036">
        <v>-3.0963129999999999</v>
      </c>
      <c r="T2036">
        <v>-0.10033300000000001</v>
      </c>
      <c r="U2036">
        <v>-5.1025389999999997E-2</v>
      </c>
      <c r="V2036">
        <v>2.9388349999999999E-3</v>
      </c>
      <c r="W2036">
        <v>0.2288135</v>
      </c>
      <c r="X2036">
        <v>0.9734659</v>
      </c>
      <c r="Y2036">
        <v>-3.9957369999999999E-2</v>
      </c>
      <c r="Z2036">
        <v>-1.3581229999999999E-3</v>
      </c>
      <c r="AA2036">
        <v>0.99920050000000005</v>
      </c>
      <c r="AB2036">
        <v>43</v>
      </c>
      <c r="AC2036">
        <v>-34.271299999999997</v>
      </c>
      <c r="AD2036">
        <v>-1.1212695582450001</v>
      </c>
      <c r="AE2036">
        <v>-0.57789999999999897</v>
      </c>
      <c r="AF2036">
        <v>-1.3823925171546101</v>
      </c>
      <c r="AG2036">
        <v>-1.1212695582450001</v>
      </c>
      <c r="AH2036">
        <v>34.211613564263899</v>
      </c>
      <c r="AI2036">
        <v>91.875640816119102</v>
      </c>
      <c r="AJ2036">
        <v>92.313898227479299</v>
      </c>
      <c r="AK2036">
        <v>34.257886058019601</v>
      </c>
      <c r="AL2036">
        <v>76.772773159339806</v>
      </c>
      <c r="AM2036">
        <v>89.827028013368306</v>
      </c>
      <c r="AN2036">
        <v>1.0000000564981</v>
      </c>
    </row>
    <row r="2037" spans="1:40" x14ac:dyDescent="0.25">
      <c r="A2037" t="str">
        <f>"20190303171017831"</f>
        <v>20190303171017831</v>
      </c>
      <c r="B2037" t="str">
        <f>"1551604217822601"</f>
        <v>1551604217822601</v>
      </c>
      <c r="C2037" t="s">
        <v>40</v>
      </c>
      <c r="D2037">
        <v>4.7676769999999999</v>
      </c>
      <c r="E2037">
        <v>0.52676820000000002</v>
      </c>
      <c r="F2037" t="s">
        <v>52</v>
      </c>
      <c r="G2037">
        <v>-478.42829999999998</v>
      </c>
      <c r="H2037" s="1">
        <v>3.1784360000000001E-6</v>
      </c>
      <c r="I2037">
        <v>288.06970000000001</v>
      </c>
      <c r="J2037">
        <v>-445.5378</v>
      </c>
      <c r="K2037">
        <v>1.1212690000000001</v>
      </c>
      <c r="L2037">
        <v>285.584</v>
      </c>
      <c r="M2037">
        <v>-0.99962240000000002</v>
      </c>
      <c r="N2037">
        <v>-1.443112E-2</v>
      </c>
      <c r="O2037">
        <v>2.338952E-2</v>
      </c>
      <c r="P2037">
        <v>-0.97655570000000003</v>
      </c>
      <c r="Q2037">
        <v>0.213862</v>
      </c>
      <c r="R2037">
        <v>2.4540240000000001E-2</v>
      </c>
      <c r="S2037">
        <v>-3.0895079999999999</v>
      </c>
      <c r="T2037">
        <v>-0.1042935</v>
      </c>
      <c r="U2037">
        <v>0.2319031</v>
      </c>
      <c r="V2037">
        <v>1.589912E-3</v>
      </c>
      <c r="W2037">
        <v>0.2279379</v>
      </c>
      <c r="X2037">
        <v>0.97367440000000005</v>
      </c>
      <c r="Y2037">
        <v>5.1466789999999998E-2</v>
      </c>
      <c r="Z2037">
        <v>7.8839190000000003E-4</v>
      </c>
      <c r="AA2037">
        <v>0.99867439999999996</v>
      </c>
      <c r="AB2037">
        <v>43</v>
      </c>
      <c r="AC2037">
        <v>-32.890499999999903</v>
      </c>
      <c r="AD2037">
        <v>-1.1212658215639999</v>
      </c>
      <c r="AE2037">
        <v>2.4857</v>
      </c>
      <c r="AF2037">
        <v>1.7136665268809601</v>
      </c>
      <c r="AG2037">
        <v>-1.1212658215639999</v>
      </c>
      <c r="AH2037">
        <v>32.901624876669501</v>
      </c>
      <c r="AI2037">
        <v>91.949207165673698</v>
      </c>
      <c r="AJ2037">
        <v>87.018468909820598</v>
      </c>
      <c r="AK2037">
        <v>32.965297049064098</v>
      </c>
      <c r="AL2037">
        <v>76.824302707284303</v>
      </c>
      <c r="AM2037">
        <v>89.906441859380195</v>
      </c>
      <c r="AN2037">
        <v>1.00000002564596</v>
      </c>
    </row>
    <row r="2038" spans="1:40" x14ac:dyDescent="0.25">
      <c r="A2038" t="str">
        <f>"20190303171017851"</f>
        <v>20190303171017851</v>
      </c>
      <c r="B2038" t="str">
        <f>"1551604217843098"</f>
        <v>1551604217843098</v>
      </c>
      <c r="C2038" t="s">
        <v>40</v>
      </c>
      <c r="D2038">
        <v>4.7728590000000004</v>
      </c>
      <c r="E2038">
        <v>0.528746099999999</v>
      </c>
      <c r="F2038" t="s">
        <v>52</v>
      </c>
      <c r="G2038">
        <v>-477.733</v>
      </c>
      <c r="H2038" s="1">
        <v>3.5052229999999999E-6</v>
      </c>
      <c r="I2038">
        <v>288.28089999999997</v>
      </c>
      <c r="J2038">
        <v>-445.93669999999997</v>
      </c>
      <c r="K2038">
        <v>1.121265</v>
      </c>
      <c r="L2038">
        <v>285.59320000000002</v>
      </c>
      <c r="M2038">
        <v>-0.99962609999999996</v>
      </c>
      <c r="N2038">
        <v>-1.442859E-2</v>
      </c>
      <c r="O2038">
        <v>2.323041E-2</v>
      </c>
      <c r="P2038">
        <v>-0.97670889999999999</v>
      </c>
      <c r="Q2038">
        <v>0.21334549999999999</v>
      </c>
      <c r="R2038">
        <v>2.2879259999999998E-2</v>
      </c>
      <c r="S2038">
        <v>-3.0890810000000002</v>
      </c>
      <c r="T2038">
        <v>-0.107584</v>
      </c>
      <c r="U2038">
        <v>0.2587585</v>
      </c>
      <c r="V2038" s="1">
        <v>8.1351030000000003E-5</v>
      </c>
      <c r="W2038">
        <v>0.2274197</v>
      </c>
      <c r="X2038">
        <v>0.97379680000000002</v>
      </c>
      <c r="Y2038">
        <v>6.0252350000000003E-2</v>
      </c>
      <c r="Z2038">
        <v>1.010223E-3</v>
      </c>
      <c r="AA2038">
        <v>0.99818269999999998</v>
      </c>
      <c r="AB2038">
        <v>43</v>
      </c>
      <c r="AC2038">
        <v>-31.796299999999999</v>
      </c>
      <c r="AD2038">
        <v>-1.1212614947770001</v>
      </c>
      <c r="AE2038">
        <v>2.6876999999999498</v>
      </c>
      <c r="AF2038">
        <v>1.9458540352084199</v>
      </c>
      <c r="AG2038">
        <v>-1.1212614947770001</v>
      </c>
      <c r="AH2038">
        <v>31.8108829128</v>
      </c>
      <c r="AI2038">
        <v>92.014947542462707</v>
      </c>
      <c r="AJ2038">
        <v>86.499610453898796</v>
      </c>
      <c r="AK2038">
        <v>31.890058748109499</v>
      </c>
      <c r="AL2038">
        <v>76.854793416502105</v>
      </c>
      <c r="AM2038">
        <v>89.995213507923594</v>
      </c>
      <c r="AN2038">
        <v>0.99999996712815897</v>
      </c>
    </row>
    <row r="2039" spans="1:40" x14ac:dyDescent="0.25">
      <c r="A2039" t="str">
        <f>"20190303171017874"</f>
        <v>20190303171017874</v>
      </c>
      <c r="B2039" t="str">
        <f>"1551604217862617"</f>
        <v>1551604217862617</v>
      </c>
      <c r="C2039" t="s">
        <v>40</v>
      </c>
      <c r="D2039">
        <v>4.745501</v>
      </c>
      <c r="E2039">
        <v>0.52987119999999999</v>
      </c>
      <c r="F2039" t="s">
        <v>52</v>
      </c>
      <c r="G2039">
        <v>-477.57839999999999</v>
      </c>
      <c r="H2039" s="1">
        <v>3.5805280000000002E-6</v>
      </c>
      <c r="I2039">
        <v>288.358</v>
      </c>
      <c r="J2039">
        <v>-446.363</v>
      </c>
      <c r="K2039">
        <v>1.121264</v>
      </c>
      <c r="L2039">
        <v>285.60289999999998</v>
      </c>
      <c r="M2039">
        <v>-0.99963000000000002</v>
      </c>
      <c r="N2039">
        <v>-1.442586E-2</v>
      </c>
      <c r="O2039">
        <v>2.305985E-2</v>
      </c>
      <c r="P2039">
        <v>-0.97682020000000003</v>
      </c>
      <c r="Q2039">
        <v>0.21288019999999999</v>
      </c>
      <c r="R2039">
        <v>2.2456429999999999E-2</v>
      </c>
      <c r="S2039">
        <v>-3.0891419999999998</v>
      </c>
      <c r="T2039">
        <v>-0.1094675</v>
      </c>
      <c r="U2039">
        <v>0.269928</v>
      </c>
      <c r="V2039">
        <v>-1.7676359999999999E-4</v>
      </c>
      <c r="W2039">
        <v>0.2269535</v>
      </c>
      <c r="X2039">
        <v>0.97390560000000004</v>
      </c>
      <c r="Y2039">
        <v>6.3998910000000006E-2</v>
      </c>
      <c r="Z2039">
        <v>1.111155E-3</v>
      </c>
      <c r="AA2039">
        <v>0.99794939999999999</v>
      </c>
      <c r="AB2039">
        <v>43</v>
      </c>
      <c r="AC2039">
        <v>-31.215399999999899</v>
      </c>
      <c r="AD2039">
        <v>-1.1212604194719999</v>
      </c>
      <c r="AE2039">
        <v>2.7551000000000201</v>
      </c>
      <c r="AF2039">
        <v>2.0318685137866699</v>
      </c>
      <c r="AG2039">
        <v>-1.1212604194719999</v>
      </c>
      <c r="AH2039">
        <v>31.230652478423401</v>
      </c>
      <c r="AI2039">
        <v>92.051847840170097</v>
      </c>
      <c r="AJ2039">
        <v>86.277578621552493</v>
      </c>
      <c r="AK2039">
        <v>31.316758593661099</v>
      </c>
      <c r="AL2039">
        <v>76.882222638369399</v>
      </c>
      <c r="AM2039">
        <v>90.010399168194795</v>
      </c>
      <c r="AN2039">
        <v>1.0000000200594901</v>
      </c>
    </row>
    <row r="2040" spans="1:40" x14ac:dyDescent="0.25">
      <c r="A2040" t="str">
        <f>"20190303171017890"</f>
        <v>20190303171017890</v>
      </c>
      <c r="B2040" t="str">
        <f>"1551604217883114"</f>
        <v>1551604217883114</v>
      </c>
      <c r="C2040" t="s">
        <v>40</v>
      </c>
      <c r="D2040">
        <v>4.7442890000000002</v>
      </c>
      <c r="E2040">
        <v>0.5307904</v>
      </c>
      <c r="F2040" t="s">
        <v>52</v>
      </c>
      <c r="G2040">
        <v>-477.34</v>
      </c>
      <c r="H2040" s="1">
        <v>3.687589E-6</v>
      </c>
      <c r="I2040">
        <v>288.37360000000001</v>
      </c>
      <c r="J2040">
        <v>-446.6705</v>
      </c>
      <c r="K2040">
        <v>1.1212629999999999</v>
      </c>
      <c r="L2040">
        <v>285.60989999999998</v>
      </c>
      <c r="M2040">
        <v>-0.99963299999999999</v>
      </c>
      <c r="N2040">
        <v>-1.442391E-2</v>
      </c>
      <c r="O2040">
        <v>2.293692E-2</v>
      </c>
      <c r="P2040">
        <v>-0.97683540000000002</v>
      </c>
      <c r="Q2040">
        <v>0.21282699999999999</v>
      </c>
      <c r="R2040">
        <v>2.2304919999999999E-2</v>
      </c>
      <c r="S2040">
        <v>-3.0892029999999999</v>
      </c>
      <c r="T2040">
        <v>-0.1118184</v>
      </c>
      <c r="U2040">
        <v>0.2763062</v>
      </c>
      <c r="V2040">
        <v>-2.0788100000000001E-4</v>
      </c>
      <c r="W2040">
        <v>0.2268983</v>
      </c>
      <c r="X2040">
        <v>0.97391839999999996</v>
      </c>
      <c r="Y2040">
        <v>6.6160549999999999E-2</v>
      </c>
      <c r="Z2040">
        <v>1.17515E-3</v>
      </c>
      <c r="AA2040">
        <v>0.99780829999999998</v>
      </c>
      <c r="AB2040">
        <v>43</v>
      </c>
      <c r="AC2040">
        <v>-30.6694999999999</v>
      </c>
      <c r="AD2040">
        <v>-1.121259312411</v>
      </c>
      <c r="AE2040">
        <v>2.76370000000002</v>
      </c>
      <c r="AF2040">
        <v>2.0567089651458099</v>
      </c>
      <c r="AG2040">
        <v>-1.121259312411</v>
      </c>
      <c r="AH2040">
        <v>30.6841451409238</v>
      </c>
      <c r="AI2040">
        <v>92.088088590473504</v>
      </c>
      <c r="AJ2040">
        <v>86.165291927101507</v>
      </c>
      <c r="AK2040">
        <v>30.773430703161001</v>
      </c>
      <c r="AL2040">
        <v>76.885469360448695</v>
      </c>
      <c r="AM2040">
        <v>90.0122296732047</v>
      </c>
      <c r="AN2040">
        <v>0.99999996580797901</v>
      </c>
    </row>
    <row r="2041" spans="1:40" x14ac:dyDescent="0.25">
      <c r="A2041" t="str">
        <f>"20190303171017908"</f>
        <v>20190303171017908</v>
      </c>
      <c r="B2041" t="str">
        <f>"1551604217902771"</f>
        <v>1551604217902771</v>
      </c>
      <c r="C2041" t="s">
        <v>40</v>
      </c>
      <c r="D2041">
        <v>4.7692509999999997</v>
      </c>
      <c r="E2041">
        <v>0.53155799999999997</v>
      </c>
      <c r="F2041" t="s">
        <v>52</v>
      </c>
      <c r="G2041">
        <v>-477.39870000000002</v>
      </c>
      <c r="H2041" s="1">
        <v>3.6657860000000002E-6</v>
      </c>
      <c r="I2041">
        <v>288.42169999999999</v>
      </c>
      <c r="J2041">
        <v>-447.01170000000002</v>
      </c>
      <c r="K2041">
        <v>1.1212580000000001</v>
      </c>
      <c r="L2041">
        <v>285.61759999999998</v>
      </c>
      <c r="M2041">
        <v>-0.99963610000000003</v>
      </c>
      <c r="N2041">
        <v>-1.4421750000000001E-2</v>
      </c>
      <c r="O2041">
        <v>2.2799969999999999E-2</v>
      </c>
      <c r="P2041">
        <v>-0.97687460000000004</v>
      </c>
      <c r="Q2041">
        <v>0.212725</v>
      </c>
      <c r="R2041">
        <v>2.1542869999999999E-2</v>
      </c>
      <c r="S2041">
        <v>-3.089264</v>
      </c>
      <c r="T2041">
        <v>-0.1127261</v>
      </c>
      <c r="U2041">
        <v>0.2826843</v>
      </c>
      <c r="V2041">
        <v>-8.3670070000000003E-4</v>
      </c>
      <c r="W2041">
        <v>0.2267942</v>
      </c>
      <c r="X2041">
        <v>0.97394230000000004</v>
      </c>
      <c r="Y2041">
        <v>6.8335969999999996E-2</v>
      </c>
      <c r="Z2041">
        <v>1.2363140000000001E-3</v>
      </c>
      <c r="AA2041">
        <v>0.99766160000000004</v>
      </c>
      <c r="AB2041">
        <v>43</v>
      </c>
      <c r="AC2041">
        <v>-30.386999999999901</v>
      </c>
      <c r="AD2041">
        <v>-1.121254334214</v>
      </c>
      <c r="AE2041">
        <v>2.8041</v>
      </c>
      <c r="AF2041">
        <v>2.10763081189896</v>
      </c>
      <c r="AG2041">
        <v>-1.121254334214</v>
      </c>
      <c r="AH2041">
        <v>30.401994973237901</v>
      </c>
      <c r="AI2041">
        <v>92.107112477024401</v>
      </c>
      <c r="AJ2041">
        <v>86.034291468252206</v>
      </c>
      <c r="AK2041">
        <v>30.4955835699867</v>
      </c>
      <c r="AL2041">
        <v>76.891593379661998</v>
      </c>
      <c r="AM2041">
        <v>90.049222019653598</v>
      </c>
      <c r="AN2041">
        <v>0.999999956475494</v>
      </c>
    </row>
    <row r="2042" spans="1:40" x14ac:dyDescent="0.25">
      <c r="A2042" t="str">
        <f>"20190303171017931"</f>
        <v>20190303171017931</v>
      </c>
      <c r="B2042" t="str">
        <f>"1551604217922295"</f>
        <v>1551604217922295</v>
      </c>
      <c r="C2042" t="s">
        <v>40</v>
      </c>
      <c r="D2042">
        <v>4.7795290000000001</v>
      </c>
      <c r="E2042">
        <v>0.5323329</v>
      </c>
      <c r="F2042" t="s">
        <v>52</v>
      </c>
      <c r="G2042">
        <v>-477.72609999999997</v>
      </c>
      <c r="H2042" s="1">
        <v>3.524628E-6</v>
      </c>
      <c r="I2042">
        <v>288.46789999999999</v>
      </c>
      <c r="J2042">
        <v>-447.4325</v>
      </c>
      <c r="K2042">
        <v>1.1212489999999999</v>
      </c>
      <c r="L2042">
        <v>285.62700000000001</v>
      </c>
      <c r="M2042">
        <v>-0.99963999999999997</v>
      </c>
      <c r="N2042">
        <v>-1.4419070000000001E-2</v>
      </c>
      <c r="O2042">
        <v>2.2630850000000001E-2</v>
      </c>
      <c r="P2042">
        <v>-0.97711219999999999</v>
      </c>
      <c r="Q2042">
        <v>0.2117868</v>
      </c>
      <c r="R2042">
        <v>1.995595E-2</v>
      </c>
      <c r="S2042">
        <v>-3.089264</v>
      </c>
      <c r="T2042">
        <v>-0.1127763</v>
      </c>
      <c r="U2042">
        <v>0.2866821</v>
      </c>
      <c r="V2042">
        <v>-2.2629500000000001E-3</v>
      </c>
      <c r="W2042">
        <v>0.22585549999999999</v>
      </c>
      <c r="X2042">
        <v>0.97415819999999997</v>
      </c>
      <c r="Y2042">
        <v>6.9783490000000004E-2</v>
      </c>
      <c r="Z2042">
        <v>1.2768740000000001E-3</v>
      </c>
      <c r="AA2042">
        <v>0.99756129999999998</v>
      </c>
      <c r="AB2042">
        <v>43</v>
      </c>
      <c r="AC2042">
        <v>-30.293599999999898</v>
      </c>
      <c r="AD2042">
        <v>-1.121245475372</v>
      </c>
      <c r="AE2042">
        <v>2.8408999999999698</v>
      </c>
      <c r="AF2042">
        <v>2.1516092679826002</v>
      </c>
      <c r="AG2042">
        <v>-1.121245475372</v>
      </c>
      <c r="AH2042">
        <v>30.308979214124498</v>
      </c>
      <c r="AI2042">
        <v>92.113311232846101</v>
      </c>
      <c r="AJ2042">
        <v>85.939432070568898</v>
      </c>
      <c r="AK2042">
        <v>30.405934204696599</v>
      </c>
      <c r="AL2042">
        <v>76.946810446210705</v>
      </c>
      <c r="AM2042">
        <v>90.133096709578595</v>
      </c>
      <c r="AN2042">
        <v>1.0000000132250899</v>
      </c>
    </row>
    <row r="2043" spans="1:40" x14ac:dyDescent="0.25">
      <c r="A2043" t="str">
        <f>"20190303171017953"</f>
        <v>20190303171017953</v>
      </c>
      <c r="B2043" t="str">
        <f>"1551604217942787"</f>
        <v>1551604217942787</v>
      </c>
      <c r="C2043" t="s">
        <v>40</v>
      </c>
      <c r="D2043">
        <v>4.7657499999999997</v>
      </c>
      <c r="E2043">
        <v>0.53286429999999996</v>
      </c>
      <c r="F2043" t="s">
        <v>52</v>
      </c>
      <c r="G2043">
        <v>-478.096</v>
      </c>
      <c r="H2043" s="1">
        <v>3.3629180000000001E-6</v>
      </c>
      <c r="I2043">
        <v>288.49439999999998</v>
      </c>
      <c r="J2043">
        <v>-447.85829999999999</v>
      </c>
      <c r="K2043">
        <v>1.1212420000000001</v>
      </c>
      <c r="L2043">
        <v>285.63650000000001</v>
      </c>
      <c r="M2043">
        <v>-0.99964379999999997</v>
      </c>
      <c r="N2043">
        <v>-1.4416379999999999E-2</v>
      </c>
      <c r="O2043">
        <v>2.2459710000000001E-2</v>
      </c>
      <c r="P2043">
        <v>-0.97740629999999995</v>
      </c>
      <c r="Q2043">
        <v>0.2104799</v>
      </c>
      <c r="R2043">
        <v>1.9376150000000002E-2</v>
      </c>
      <c r="S2043">
        <v>-3.0888979999999999</v>
      </c>
      <c r="T2043">
        <v>-0.1129493</v>
      </c>
      <c r="U2043">
        <v>0.28884890000000002</v>
      </c>
      <c r="V2043">
        <v>-2.680914E-3</v>
      </c>
      <c r="W2043">
        <v>0.22455049999999999</v>
      </c>
      <c r="X2043">
        <v>0.97445879999999996</v>
      </c>
      <c r="Y2043">
        <v>7.0657860000000003E-2</v>
      </c>
      <c r="Z2043">
        <v>1.3034909999999999E-3</v>
      </c>
      <c r="AA2043">
        <v>0.99749980000000005</v>
      </c>
      <c r="AB2043">
        <v>42</v>
      </c>
      <c r="AC2043">
        <v>-30.2377</v>
      </c>
      <c r="AD2043">
        <v>-1.121238637082</v>
      </c>
      <c r="AE2043">
        <v>2.8578999999999701</v>
      </c>
      <c r="AF2043">
        <v>2.1750142465050502</v>
      </c>
      <c r="AG2043">
        <v>-1.121238637082</v>
      </c>
      <c r="AH2043">
        <v>30.253035965487602</v>
      </c>
      <c r="AI2043">
        <v>92.117066617113096</v>
      </c>
      <c r="AJ2043">
        <v>85.887847702178206</v>
      </c>
      <c r="AK2043">
        <v>30.351837640954699</v>
      </c>
      <c r="AL2043">
        <v>77.023553081559101</v>
      </c>
      <c r="AM2043">
        <v>90.157630748363502</v>
      </c>
      <c r="AN2043">
        <v>1.00000003362378</v>
      </c>
    </row>
    <row r="2044" spans="1:40" x14ac:dyDescent="0.25">
      <c r="A2044" t="str">
        <f>"20190303171017974"</f>
        <v>20190303171017974</v>
      </c>
      <c r="B2044" t="str">
        <f>"1551604217962308"</f>
        <v>1551604217962308</v>
      </c>
      <c r="C2044" t="s">
        <v>40</v>
      </c>
      <c r="D2044">
        <v>4.7762320000000003</v>
      </c>
      <c r="E2044">
        <v>0.53336309999999998</v>
      </c>
      <c r="F2044" t="s">
        <v>52</v>
      </c>
      <c r="G2044">
        <v>-477.57729999999998</v>
      </c>
      <c r="H2044" s="1">
        <v>3.588038E-6</v>
      </c>
      <c r="I2044">
        <v>288.43869999999998</v>
      </c>
      <c r="J2044">
        <v>-448.27319999999997</v>
      </c>
      <c r="K2044">
        <v>1.121243</v>
      </c>
      <c r="L2044">
        <v>285.64569999999998</v>
      </c>
      <c r="M2044">
        <v>-0.99964770000000003</v>
      </c>
      <c r="N2044">
        <v>-1.441373E-2</v>
      </c>
      <c r="O2044">
        <v>2.2293199999999999E-2</v>
      </c>
      <c r="P2044">
        <v>-0.97748930000000001</v>
      </c>
      <c r="Q2044">
        <v>0.21019499999999999</v>
      </c>
      <c r="R2044">
        <v>1.8250450000000001E-2</v>
      </c>
      <c r="S2044">
        <v>-3.0886230000000001</v>
      </c>
      <c r="T2044">
        <v>-0.1165273</v>
      </c>
      <c r="U2044">
        <v>0.29122920000000002</v>
      </c>
      <c r="V2044">
        <v>-3.6448600000000002E-3</v>
      </c>
      <c r="W2044">
        <v>0.2242633</v>
      </c>
      <c r="X2044">
        <v>0.97452179999999999</v>
      </c>
      <c r="Y2044">
        <v>7.1590280000000006E-2</v>
      </c>
      <c r="Z2044">
        <v>1.3463959999999999E-3</v>
      </c>
      <c r="AA2044">
        <v>0.99743320000000002</v>
      </c>
      <c r="AB2044">
        <v>42</v>
      </c>
      <c r="AC2044">
        <v>-29.304099999999998</v>
      </c>
      <c r="AD2044">
        <v>-1.1212394119619999</v>
      </c>
      <c r="AE2044">
        <v>2.7930000000000001</v>
      </c>
      <c r="AF2044">
        <v>2.13585704347242</v>
      </c>
      <c r="AG2044">
        <v>-1.1212394119619999</v>
      </c>
      <c r="AH2044">
        <v>29.316554130730299</v>
      </c>
      <c r="AI2044">
        <v>92.184479756290798</v>
      </c>
      <c r="AJ2044">
        <v>85.833079031334805</v>
      </c>
      <c r="AK2044">
        <v>29.4156320555776</v>
      </c>
      <c r="AL2044">
        <v>77.040438993336707</v>
      </c>
      <c r="AM2044">
        <v>90.2142939451373</v>
      </c>
      <c r="AN2044">
        <v>1.00000002570327</v>
      </c>
    </row>
    <row r="2045" spans="1:40" x14ac:dyDescent="0.25">
      <c r="A2045" t="str">
        <f>"20190303171017998"</f>
        <v>20190303171017998</v>
      </c>
      <c r="B2045" t="str">
        <f>"1551604217992563"</f>
        <v>1551604217992563</v>
      </c>
      <c r="C2045" t="s">
        <v>40</v>
      </c>
      <c r="D2045">
        <v>4.7911590000000004</v>
      </c>
      <c r="E2045">
        <v>0.53393230000000003</v>
      </c>
      <c r="F2045" t="s">
        <v>52</v>
      </c>
      <c r="G2045">
        <v>-477.95159999999998</v>
      </c>
      <c r="H2045" s="1">
        <v>3.4229299999999999E-6</v>
      </c>
      <c r="I2045">
        <v>288.4486</v>
      </c>
      <c r="J2045">
        <v>-448.69959999999998</v>
      </c>
      <c r="K2045">
        <v>1.121246</v>
      </c>
      <c r="L2045">
        <v>285.65499999999997</v>
      </c>
      <c r="M2045">
        <v>-0.99965159999999997</v>
      </c>
      <c r="N2045">
        <v>-1.441102E-2</v>
      </c>
      <c r="O2045">
        <v>2.2122340000000001E-2</v>
      </c>
      <c r="P2045">
        <v>-0.97745579999999999</v>
      </c>
      <c r="Q2045">
        <v>0.21042739999999999</v>
      </c>
      <c r="R2045">
        <v>1.7341869999999999E-2</v>
      </c>
      <c r="S2045">
        <v>-3.0887449999999999</v>
      </c>
      <c r="T2045">
        <v>-0.11669160000000001</v>
      </c>
      <c r="U2045">
        <v>0.29171750000000002</v>
      </c>
      <c r="V2045">
        <v>-4.3858009999999999E-3</v>
      </c>
      <c r="W2045">
        <v>0.224492</v>
      </c>
      <c r="X2045">
        <v>0.9744661</v>
      </c>
      <c r="Y2045">
        <v>7.1912859999999995E-2</v>
      </c>
      <c r="Z2045">
        <v>1.3593170000000001E-3</v>
      </c>
      <c r="AA2045">
        <v>0.99741000000000002</v>
      </c>
      <c r="AB2045">
        <v>42</v>
      </c>
      <c r="AC2045">
        <v>-29.251999999999999</v>
      </c>
      <c r="AD2045">
        <v>-1.1212425770700001</v>
      </c>
      <c r="AE2045">
        <v>2.7936000000000201</v>
      </c>
      <c r="AF2045">
        <v>2.1426068973004102</v>
      </c>
      <c r="AG2045">
        <v>-1.1212425770700001</v>
      </c>
      <c r="AH2045">
        <v>29.264040243049099</v>
      </c>
      <c r="AI2045">
        <v>92.188344738044194</v>
      </c>
      <c r="AJ2045">
        <v>85.812482734242906</v>
      </c>
      <c r="AK2045">
        <v>29.363787231550901</v>
      </c>
      <c r="AL2045">
        <v>77.026992741161095</v>
      </c>
      <c r="AM2045">
        <v>90.257870633331706</v>
      </c>
      <c r="AN2045">
        <v>1.00000003668181</v>
      </c>
    </row>
    <row r="2046" spans="1:40" x14ac:dyDescent="0.25">
      <c r="A2046" t="str">
        <f>"20190303171018019"</f>
        <v>20190303171018019</v>
      </c>
      <c r="B2046" t="str">
        <f>"1551604218013060"</f>
        <v>1551604218013060</v>
      </c>
      <c r="C2046" t="s">
        <v>40</v>
      </c>
      <c r="D2046">
        <v>4.955616</v>
      </c>
      <c r="E2046">
        <v>0.48999900000000002</v>
      </c>
      <c r="F2046" t="s">
        <v>52</v>
      </c>
      <c r="G2046">
        <v>-478.72149999999999</v>
      </c>
      <c r="H2046" s="1">
        <v>3.0865239999999998E-6</v>
      </c>
      <c r="I2046">
        <v>288.50580000000002</v>
      </c>
      <c r="J2046">
        <v>-449.11930000000001</v>
      </c>
      <c r="K2046">
        <v>1.12124</v>
      </c>
      <c r="L2046">
        <v>285.66410000000002</v>
      </c>
      <c r="M2046">
        <v>-0.99965510000000002</v>
      </c>
      <c r="N2046">
        <v>-1.440811E-2</v>
      </c>
      <c r="O2046">
        <v>2.1954999999999999E-2</v>
      </c>
      <c r="P2046">
        <v>-0.97752410000000001</v>
      </c>
      <c r="Q2046">
        <v>0.2102378</v>
      </c>
      <c r="R2046">
        <v>1.5707140000000001E-2</v>
      </c>
      <c r="S2046">
        <v>-3.0888369999999998</v>
      </c>
      <c r="T2046">
        <v>-0.1153603</v>
      </c>
      <c r="U2046">
        <v>0.29330440000000002</v>
      </c>
      <c r="V2046">
        <v>-5.858111E-3</v>
      </c>
      <c r="W2046">
        <v>0.2242991</v>
      </c>
      <c r="X2046">
        <v>0.97450270000000005</v>
      </c>
      <c r="Y2046">
        <v>7.258539E-2</v>
      </c>
      <c r="Z2046">
        <v>1.3743830000000001E-3</v>
      </c>
      <c r="AA2046">
        <v>0.99736119999999995</v>
      </c>
      <c r="AB2046">
        <v>42</v>
      </c>
      <c r="AC2046">
        <v>-29.6021999999999</v>
      </c>
      <c r="AD2046">
        <v>-1.1212369134760001</v>
      </c>
      <c r="AE2046">
        <v>2.8416999999999999</v>
      </c>
      <c r="AF2046">
        <v>2.1879208572490101</v>
      </c>
      <c r="AG2046">
        <v>-1.1212369134760001</v>
      </c>
      <c r="AH2046">
        <v>29.615359408354202</v>
      </c>
      <c r="AI2046">
        <v>92.162294321907893</v>
      </c>
      <c r="AJ2046">
        <v>85.774783401821395</v>
      </c>
      <c r="AK2046">
        <v>29.717228719712701</v>
      </c>
      <c r="AL2046">
        <v>77.038333290720502</v>
      </c>
      <c r="AM2046">
        <v>90.344422845895096</v>
      </c>
      <c r="AN2046">
        <v>0.99999995801629304</v>
      </c>
    </row>
    <row r="2047" spans="1:40" x14ac:dyDescent="0.25">
      <c r="A2047" t="str">
        <f>"20190303171018042"</f>
        <v>20190303171018042</v>
      </c>
      <c r="B2047" t="str">
        <f>"1551604218032581"</f>
        <v>1551604218032581</v>
      </c>
      <c r="C2047" t="s">
        <v>40</v>
      </c>
      <c r="D2047">
        <v>4.8732949999999997</v>
      </c>
      <c r="E2047">
        <v>0.44877820000000002</v>
      </c>
      <c r="F2047" t="s">
        <v>52</v>
      </c>
      <c r="G2047">
        <v>-499.95780000000002</v>
      </c>
      <c r="H2047">
        <v>1.139737E-2</v>
      </c>
      <c r="I2047">
        <v>284.67270000000002</v>
      </c>
      <c r="J2047">
        <v>-449.5385</v>
      </c>
      <c r="K2047">
        <v>1.121245</v>
      </c>
      <c r="L2047">
        <v>285.67320000000001</v>
      </c>
      <c r="M2047">
        <v>-0.99965890000000002</v>
      </c>
      <c r="N2047">
        <v>-1.440548E-2</v>
      </c>
      <c r="O2047">
        <v>2.178712E-2</v>
      </c>
      <c r="P2047">
        <v>-0.97753639999999997</v>
      </c>
      <c r="Q2047">
        <v>0.21028469999999999</v>
      </c>
      <c r="R2047">
        <v>1.4247640000000001E-2</v>
      </c>
      <c r="S2047">
        <v>-3.0844420000000001</v>
      </c>
      <c r="T2047">
        <v>-6.7335720000000002E-2</v>
      </c>
      <c r="U2047">
        <v>-6.0150149999999999E-2</v>
      </c>
      <c r="V2047">
        <v>-7.1530910000000003E-3</v>
      </c>
      <c r="W2047">
        <v>0.22434280000000001</v>
      </c>
      <c r="X2047">
        <v>0.97448400000000002</v>
      </c>
      <c r="Y2047">
        <v>-4.126113E-2</v>
      </c>
      <c r="Z2047">
        <v>-9.092751E-4</v>
      </c>
      <c r="AA2047">
        <v>0.99914800000000004</v>
      </c>
      <c r="AB2047">
        <v>42</v>
      </c>
      <c r="AC2047">
        <v>-50.4193</v>
      </c>
      <c r="AD2047">
        <v>-1.10984763</v>
      </c>
      <c r="AE2047">
        <v>-1.00049999999998</v>
      </c>
      <c r="AF2047">
        <v>-2.0978516370192999</v>
      </c>
      <c r="AG2047">
        <v>-1.10984763</v>
      </c>
      <c r="AH2047">
        <v>50.361136766292901</v>
      </c>
      <c r="AI2047">
        <v>91.261373844089206</v>
      </c>
      <c r="AJ2047">
        <v>92.385343160847995</v>
      </c>
      <c r="AK2047">
        <v>50.417029262403197</v>
      </c>
      <c r="AL2047">
        <v>77.035764045509893</v>
      </c>
      <c r="AM2047">
        <v>90.420565718957107</v>
      </c>
      <c r="AN2047">
        <v>0.99999996243934597</v>
      </c>
    </row>
    <row r="2048" spans="1:40" x14ac:dyDescent="0.25">
      <c r="A2048" t="str">
        <f>"20190303171018063"</f>
        <v>20190303171018063</v>
      </c>
      <c r="B2048" t="str">
        <f>"1551604218053076"</f>
        <v>1551604218053076</v>
      </c>
      <c r="C2048" t="s">
        <v>40</v>
      </c>
      <c r="D2048">
        <v>4.896255</v>
      </c>
      <c r="E2048">
        <v>0.44093929999999998</v>
      </c>
      <c r="F2048" t="s">
        <v>61</v>
      </c>
      <c r="G2048">
        <v>-511.95859999999999</v>
      </c>
      <c r="H2048">
        <v>5.4777680000000002E-2</v>
      </c>
      <c r="I2048">
        <v>277.72820000000002</v>
      </c>
      <c r="J2048">
        <v>-449.9554</v>
      </c>
      <c r="K2048">
        <v>1.1212470000000001</v>
      </c>
      <c r="L2048">
        <v>285.68209999999999</v>
      </c>
      <c r="M2048">
        <v>-0.99966259999999996</v>
      </c>
      <c r="N2048">
        <v>-1.440309E-2</v>
      </c>
      <c r="O2048">
        <v>2.1620440000000001E-2</v>
      </c>
      <c r="P2048">
        <v>-0.97749629999999998</v>
      </c>
      <c r="Q2048">
        <v>0.21053810000000001</v>
      </c>
      <c r="R2048">
        <v>1.323327E-2</v>
      </c>
      <c r="S2048">
        <v>-3.0859990000000002</v>
      </c>
      <c r="T2048">
        <v>-5.272114E-2</v>
      </c>
      <c r="U2048">
        <v>-0.39279170000000002</v>
      </c>
      <c r="V2048">
        <v>-8.0034249999999998E-3</v>
      </c>
      <c r="W2048">
        <v>0.22459229999999999</v>
      </c>
      <c r="X2048">
        <v>0.97441999999999995</v>
      </c>
      <c r="Y2048">
        <v>-0.14764389999999999</v>
      </c>
      <c r="Z2048">
        <v>-2.3816330000000002E-3</v>
      </c>
      <c r="AA2048">
        <v>0.98903770000000002</v>
      </c>
      <c r="AB2048">
        <v>42</v>
      </c>
      <c r="AC2048">
        <v>-62.0031999999999</v>
      </c>
      <c r="AD2048">
        <v>-1.0664693199999999</v>
      </c>
      <c r="AE2048">
        <v>-7.9538999999999698</v>
      </c>
      <c r="AF2048">
        <v>-9.2900118593856504</v>
      </c>
      <c r="AG2048">
        <v>-1.0664693199999999</v>
      </c>
      <c r="AH2048">
        <v>61.798732140774703</v>
      </c>
      <c r="AI2048">
        <v>90.977680092453795</v>
      </c>
      <c r="AJ2048">
        <v>98.549082599539503</v>
      </c>
      <c r="AK2048">
        <v>62.502199732211402</v>
      </c>
      <c r="AL2048">
        <v>77.0210955078539</v>
      </c>
      <c r="AM2048">
        <v>90.470589851106894</v>
      </c>
      <c r="AN2048">
        <v>1.0000000462155001</v>
      </c>
    </row>
    <row r="2049" spans="1:40" x14ac:dyDescent="0.25">
      <c r="A2049" t="str">
        <f>"20190303171018087"</f>
        <v>20190303171018087</v>
      </c>
      <c r="B2049" t="str">
        <f>"1551604218082359"</f>
        <v>1551604218082359</v>
      </c>
      <c r="C2049" t="s">
        <v>40</v>
      </c>
      <c r="D2049">
        <v>4.8542519999999998</v>
      </c>
      <c r="E2049">
        <v>0.43772990000000001</v>
      </c>
      <c r="F2049" t="s">
        <v>61</v>
      </c>
      <c r="G2049">
        <v>-511.95870000000002</v>
      </c>
      <c r="H2049">
        <v>0.28370240000000002</v>
      </c>
      <c r="I2049">
        <v>276.49239999999998</v>
      </c>
      <c r="J2049">
        <v>-450.38170000000002</v>
      </c>
      <c r="K2049">
        <v>1.121245</v>
      </c>
      <c r="L2049">
        <v>285.69110000000001</v>
      </c>
      <c r="M2049">
        <v>-0.99966630000000001</v>
      </c>
      <c r="N2049">
        <v>-1.4400680000000001E-2</v>
      </c>
      <c r="O2049">
        <v>2.1449050000000001E-2</v>
      </c>
      <c r="P2049">
        <v>-0.97742830000000003</v>
      </c>
      <c r="Q2049">
        <v>0.21089749999999999</v>
      </c>
      <c r="R2049">
        <v>1.2501770000000001E-2</v>
      </c>
      <c r="S2049">
        <v>-3.0842589999999999</v>
      </c>
      <c r="T2049">
        <v>-4.1658279999999999E-2</v>
      </c>
      <c r="U2049">
        <v>-0.4571228</v>
      </c>
      <c r="V2049">
        <v>-8.5658469999999997E-3</v>
      </c>
      <c r="W2049">
        <v>0.2249487</v>
      </c>
      <c r="X2049">
        <v>0.97433289999999995</v>
      </c>
      <c r="Y2049">
        <v>-0.16776450000000001</v>
      </c>
      <c r="Z2049">
        <v>-2.3225720000000002E-3</v>
      </c>
      <c r="AA2049">
        <v>0.98582429999999999</v>
      </c>
      <c r="AB2049">
        <v>42</v>
      </c>
      <c r="AC2049">
        <v>-61.576999999999998</v>
      </c>
      <c r="AD2049">
        <v>-0.83754259999999903</v>
      </c>
      <c r="AE2049">
        <v>-9.1987000000000201</v>
      </c>
      <c r="AF2049">
        <v>-10.515585415491</v>
      </c>
      <c r="AG2049">
        <v>-0.83754259999999903</v>
      </c>
      <c r="AH2049">
        <v>61.354404076480797</v>
      </c>
      <c r="AI2049">
        <v>90.770851670798393</v>
      </c>
      <c r="AJ2049">
        <v>99.725480730067403</v>
      </c>
      <c r="AK2049">
        <v>62.254653752289002</v>
      </c>
      <c r="AL2049">
        <v>77.000137723860306</v>
      </c>
      <c r="AM2049">
        <v>90.503702828119501</v>
      </c>
      <c r="AN2049">
        <v>0.99999994569446204</v>
      </c>
    </row>
    <row r="2050" spans="1:40" x14ac:dyDescent="0.25">
      <c r="A2050" t="str">
        <f>"20190303171018108"</f>
        <v>20190303171018108</v>
      </c>
      <c r="B2050" t="str">
        <f>"1551604218102851"</f>
        <v>1551604218102851</v>
      </c>
      <c r="C2050" t="s">
        <v>40</v>
      </c>
      <c r="D2050">
        <v>4.845682</v>
      </c>
      <c r="E2050">
        <v>0.43694569999999999</v>
      </c>
      <c r="F2050" t="s">
        <v>61</v>
      </c>
      <c r="G2050">
        <v>-511.95870000000002</v>
      </c>
      <c r="H2050">
        <v>0.3664097</v>
      </c>
      <c r="I2050">
        <v>276.02949999999998</v>
      </c>
      <c r="J2050">
        <v>-450.80239999999998</v>
      </c>
      <c r="K2050">
        <v>1.1212549999999999</v>
      </c>
      <c r="L2050">
        <v>285.7</v>
      </c>
      <c r="M2050">
        <v>-0.9996699</v>
      </c>
      <c r="N2050">
        <v>-1.4398350000000001E-2</v>
      </c>
      <c r="O2050">
        <v>2.127981E-2</v>
      </c>
      <c r="P2050">
        <v>-0.97734379999999998</v>
      </c>
      <c r="Q2050">
        <v>0.21130550000000001</v>
      </c>
      <c r="R2050">
        <v>1.2209630000000001E-2</v>
      </c>
      <c r="S2050">
        <v>-3.083618</v>
      </c>
      <c r="T2050">
        <v>-3.779602E-2</v>
      </c>
      <c r="U2050">
        <v>-0.48382570000000003</v>
      </c>
      <c r="V2050">
        <v>-8.6904570000000004E-3</v>
      </c>
      <c r="W2050">
        <v>0.22535289999999999</v>
      </c>
      <c r="X2050">
        <v>0.97423850000000001</v>
      </c>
      <c r="Y2050">
        <v>-0.17596679999999901</v>
      </c>
      <c r="Z2050">
        <v>-2.3013920000000002E-3</v>
      </c>
      <c r="AA2050">
        <v>0.98439339999999997</v>
      </c>
      <c r="AB2050">
        <v>42</v>
      </c>
      <c r="AC2050">
        <v>-61.156300000000002</v>
      </c>
      <c r="AD2050">
        <v>-0.75484529999999905</v>
      </c>
      <c r="AE2050">
        <v>-9.6705000000000005</v>
      </c>
      <c r="AF2050">
        <v>-10.9682088696901</v>
      </c>
      <c r="AG2050">
        <v>-0.75484529999999905</v>
      </c>
      <c r="AH2050">
        <v>60.927585421479797</v>
      </c>
      <c r="AI2050">
        <v>90.6985854814818</v>
      </c>
      <c r="AJ2050">
        <v>100.20510639005801</v>
      </c>
      <c r="AK2050">
        <v>61.911566468050196</v>
      </c>
      <c r="AL2050">
        <v>76.976369905531996</v>
      </c>
      <c r="AM2050">
        <v>90.511079475855794</v>
      </c>
      <c r="AN2050">
        <v>1.00000005423176</v>
      </c>
    </row>
    <row r="2051" spans="1:40" x14ac:dyDescent="0.25">
      <c r="A2051" t="str">
        <f>"20190303171018131"</f>
        <v>20190303171018131</v>
      </c>
      <c r="B2051" t="str">
        <f>"1551604218122372"</f>
        <v>1551604218122372</v>
      </c>
      <c r="C2051" t="s">
        <v>40</v>
      </c>
      <c r="D2051">
        <v>4.8340170000000002</v>
      </c>
      <c r="E2051">
        <v>0.43641360000000001</v>
      </c>
      <c r="F2051" t="s">
        <v>61</v>
      </c>
      <c r="G2051">
        <v>-511.95870000000002</v>
      </c>
      <c r="H2051">
        <v>0.35608010000000001</v>
      </c>
      <c r="I2051">
        <v>275.97059999999999</v>
      </c>
      <c r="J2051">
        <v>-451.22210000000001</v>
      </c>
      <c r="K2051">
        <v>1.1212610000000001</v>
      </c>
      <c r="L2051">
        <v>285.70870000000002</v>
      </c>
      <c r="M2051">
        <v>-0.99967360000000005</v>
      </c>
      <c r="N2051">
        <v>-1.4396020000000001E-2</v>
      </c>
      <c r="O2051">
        <v>2.111068E-2</v>
      </c>
      <c r="P2051">
        <v>-0.97733990000000004</v>
      </c>
      <c r="Q2051">
        <v>0.21139730000000001</v>
      </c>
      <c r="R2051">
        <v>1.08714E-2</v>
      </c>
      <c r="S2051">
        <v>-3.0839840000000001</v>
      </c>
      <c r="T2051">
        <v>-3.858197E-2</v>
      </c>
      <c r="U2051">
        <v>-0.49063109999999999</v>
      </c>
      <c r="V2051">
        <v>-9.8627750000000007E-3</v>
      </c>
      <c r="W2051">
        <v>0.22544120000000001</v>
      </c>
      <c r="X2051">
        <v>0.97420689999999999</v>
      </c>
      <c r="Y2051">
        <v>-0.17790020000000001</v>
      </c>
      <c r="Z2051">
        <v>-2.3551309999999999E-3</v>
      </c>
      <c r="AA2051">
        <v>0.98404570000000002</v>
      </c>
      <c r="AB2051">
        <v>42</v>
      </c>
      <c r="AC2051">
        <v>-60.736600000000003</v>
      </c>
      <c r="AD2051">
        <v>-0.76518090000000005</v>
      </c>
      <c r="AE2051">
        <v>-9.7381000000000295</v>
      </c>
      <c r="AF2051">
        <v>-11.016548332692199</v>
      </c>
      <c r="AG2051">
        <v>-0.76518090000000005</v>
      </c>
      <c r="AH2051">
        <v>60.508099475446301</v>
      </c>
      <c r="AI2051">
        <v>90.712802898447293</v>
      </c>
      <c r="AJ2051">
        <v>100.31866439706501</v>
      </c>
      <c r="AK2051">
        <v>61.5075600321357</v>
      </c>
      <c r="AL2051">
        <v>76.971176958435606</v>
      </c>
      <c r="AM2051">
        <v>90.5800370299104</v>
      </c>
      <c r="AN2051">
        <v>1.00000004649787</v>
      </c>
    </row>
    <row r="2052" spans="1:40" x14ac:dyDescent="0.25">
      <c r="A2052" t="str">
        <f>"20190303171018153"</f>
        <v>20190303171018153</v>
      </c>
      <c r="B2052" t="str">
        <f>"1551604218142867"</f>
        <v>1551604218142867</v>
      </c>
      <c r="C2052" t="s">
        <v>40</v>
      </c>
      <c r="D2052">
        <v>4.8302959999999997</v>
      </c>
      <c r="E2052">
        <v>0.43583119999999997</v>
      </c>
      <c r="F2052" t="s">
        <v>61</v>
      </c>
      <c r="G2052">
        <v>-511.95870000000002</v>
      </c>
      <c r="H2052">
        <v>0.31882949999999999</v>
      </c>
      <c r="I2052">
        <v>275.90339999999998</v>
      </c>
      <c r="J2052">
        <v>-451.64429999999999</v>
      </c>
      <c r="K2052">
        <v>1.121265</v>
      </c>
      <c r="L2052">
        <v>285.71749999999997</v>
      </c>
      <c r="M2052">
        <v>-0.99967709999999999</v>
      </c>
      <c r="N2052">
        <v>-1.439344E-2</v>
      </c>
      <c r="O2052">
        <v>2.0940609999999998E-2</v>
      </c>
      <c r="P2052">
        <v>-0.97732750000000002</v>
      </c>
      <c r="Q2052">
        <v>0.2115341</v>
      </c>
      <c r="R2052">
        <v>9.1890549999999998E-3</v>
      </c>
      <c r="S2052">
        <v>-3.083923</v>
      </c>
      <c r="T2052">
        <v>-4.0739539999999998E-2</v>
      </c>
      <c r="U2052">
        <v>-0.49786380000000002</v>
      </c>
      <c r="V2052">
        <v>-1.1377719999999999E-2</v>
      </c>
      <c r="W2052">
        <v>0.22557450000000001</v>
      </c>
      <c r="X2052">
        <v>0.97415949999999996</v>
      </c>
      <c r="Y2052">
        <v>-0.1799827</v>
      </c>
      <c r="Z2052">
        <v>-2.4604819999999999E-3</v>
      </c>
      <c r="AA2052">
        <v>0.9836667</v>
      </c>
      <c r="AB2052">
        <v>42</v>
      </c>
      <c r="AC2052">
        <v>-60.314399999999999</v>
      </c>
      <c r="AD2052">
        <v>-0.80243549999999997</v>
      </c>
      <c r="AE2052">
        <v>-9.8140999999999892</v>
      </c>
      <c r="AF2052">
        <v>-11.0731892979477</v>
      </c>
      <c r="AG2052">
        <v>-0.80243549999999997</v>
      </c>
      <c r="AH2052">
        <v>60.0852761706142</v>
      </c>
      <c r="AI2052">
        <v>90.752466521431003</v>
      </c>
      <c r="AJ2052">
        <v>100.441947368494</v>
      </c>
      <c r="AK2052">
        <v>61.102371774414998</v>
      </c>
      <c r="AL2052">
        <v>76.9633371393234</v>
      </c>
      <c r="AM2052">
        <v>90.669157049686703</v>
      </c>
      <c r="AN2052">
        <v>1.00000001950144</v>
      </c>
    </row>
    <row r="2053" spans="1:40" x14ac:dyDescent="0.25">
      <c r="A2053" t="str">
        <f>"20190303171018176"</f>
        <v>20190303171018176</v>
      </c>
      <c r="B2053" t="str">
        <f>"1551604218173124"</f>
        <v>1551604218173124</v>
      </c>
      <c r="C2053" t="s">
        <v>40</v>
      </c>
      <c r="D2053">
        <v>4.8223779999999996</v>
      </c>
      <c r="E2053">
        <v>0.43530619999999998</v>
      </c>
      <c r="F2053" t="s">
        <v>61</v>
      </c>
      <c r="G2053">
        <v>-511.95870000000002</v>
      </c>
      <c r="H2053">
        <v>0.30675910000000001</v>
      </c>
      <c r="I2053">
        <v>275.8048</v>
      </c>
      <c r="J2053">
        <v>-452.06209999999999</v>
      </c>
      <c r="K2053">
        <v>1.12127</v>
      </c>
      <c r="L2053">
        <v>285.72609999999997</v>
      </c>
      <c r="M2053">
        <v>-0.99968060000000003</v>
      </c>
      <c r="N2053">
        <v>-1.439082E-2</v>
      </c>
      <c r="O2053">
        <v>2.0772490000000001E-2</v>
      </c>
      <c r="P2053">
        <v>-0.97729560000000004</v>
      </c>
      <c r="Q2053">
        <v>0.2117097</v>
      </c>
      <c r="R2053">
        <v>8.4971890000000005E-3</v>
      </c>
      <c r="S2053">
        <v>-3.0833439999999999</v>
      </c>
      <c r="T2053">
        <v>-4.1634200000000003E-2</v>
      </c>
      <c r="U2053">
        <v>-0.50674439999999998</v>
      </c>
      <c r="V2053">
        <v>-1.1904929999999999E-2</v>
      </c>
      <c r="W2053">
        <v>0.2257459</v>
      </c>
      <c r="X2053">
        <v>0.97411349999999997</v>
      </c>
      <c r="Y2053">
        <v>-0.18260409999999999</v>
      </c>
      <c r="Z2053">
        <v>-2.529299E-3</v>
      </c>
      <c r="AA2053">
        <v>0.98318329999999998</v>
      </c>
      <c r="AB2053">
        <v>42</v>
      </c>
      <c r="AC2053">
        <v>-59.896599999999999</v>
      </c>
      <c r="AD2053">
        <v>-0.81451089999999904</v>
      </c>
      <c r="AE2053">
        <v>-9.9212999999999703</v>
      </c>
      <c r="AF2053">
        <v>-11.161480377873399</v>
      </c>
      <c r="AG2053">
        <v>-0.81451089999999904</v>
      </c>
      <c r="AH2053">
        <v>59.666822800829799</v>
      </c>
      <c r="AI2053">
        <v>90.768762001391494</v>
      </c>
      <c r="AJ2053">
        <v>100.595489125827</v>
      </c>
      <c r="AK2053">
        <v>60.707263283543703</v>
      </c>
      <c r="AL2053">
        <v>76.953256697306003</v>
      </c>
      <c r="AM2053">
        <v>90.700193856079395</v>
      </c>
      <c r="AN2053">
        <v>1.00000002480368</v>
      </c>
    </row>
    <row r="2054" spans="1:40" x14ac:dyDescent="0.25">
      <c r="A2054" t="str">
        <f>"20190303171018198"</f>
        <v>20190303171018198</v>
      </c>
      <c r="B2054" t="str">
        <f>"1551604218192644"</f>
        <v>1551604218192644</v>
      </c>
      <c r="C2054" t="s">
        <v>40</v>
      </c>
      <c r="D2054">
        <v>4.8383500000000002</v>
      </c>
      <c r="E2054">
        <v>0.4350714</v>
      </c>
      <c r="F2054" t="s">
        <v>61</v>
      </c>
      <c r="G2054">
        <v>-511.95870000000002</v>
      </c>
      <c r="H2054">
        <v>0.31807920000000001</v>
      </c>
      <c r="I2054">
        <v>275.76159999999999</v>
      </c>
      <c r="J2054">
        <v>-452.48820000000001</v>
      </c>
      <c r="K2054">
        <v>1.1212690000000001</v>
      </c>
      <c r="L2054">
        <v>285.73469999999998</v>
      </c>
      <c r="M2054">
        <v>-0.99968429999999997</v>
      </c>
      <c r="N2054">
        <v>-1.438825E-2</v>
      </c>
      <c r="O2054">
        <v>2.0600509999999999E-2</v>
      </c>
      <c r="P2054">
        <v>-0.97729999999999995</v>
      </c>
      <c r="Q2054">
        <v>0.21171980000000001</v>
      </c>
      <c r="R2054">
        <v>7.7051949999999998E-3</v>
      </c>
      <c r="S2054">
        <v>-3.0830989999999998</v>
      </c>
      <c r="T2054">
        <v>-4.1338920000000001E-2</v>
      </c>
      <c r="U2054">
        <v>-0.5129089</v>
      </c>
      <c r="V2054">
        <v>-1.2528249999999999E-2</v>
      </c>
      <c r="W2054">
        <v>0.22575339999999999</v>
      </c>
      <c r="X2054">
        <v>0.97410390000000002</v>
      </c>
      <c r="Y2054">
        <v>-0.18436069999999999</v>
      </c>
      <c r="Z2054">
        <v>-2.5431770000000002E-3</v>
      </c>
      <c r="AA2054">
        <v>0.98285540000000005</v>
      </c>
      <c r="AB2054">
        <v>42</v>
      </c>
      <c r="AC2054">
        <v>-59.470500000000001</v>
      </c>
      <c r="AD2054">
        <v>-0.80318979999999995</v>
      </c>
      <c r="AE2054">
        <v>-9.9730999999999792</v>
      </c>
      <c r="AF2054">
        <v>-11.194246522981</v>
      </c>
      <c r="AG2054">
        <v>-0.80318979999999995</v>
      </c>
      <c r="AH2054">
        <v>59.241894417792203</v>
      </c>
      <c r="AI2054">
        <v>90.763252268332593</v>
      </c>
      <c r="AJ2054">
        <v>100.70034958511999</v>
      </c>
      <c r="AK2054">
        <v>60.295591242485898</v>
      </c>
      <c r="AL2054">
        <v>76.952815014736103</v>
      </c>
      <c r="AM2054">
        <v>90.736858023938595</v>
      </c>
      <c r="AN2054">
        <v>0.99999998132741597</v>
      </c>
    </row>
    <row r="2055" spans="1:40" x14ac:dyDescent="0.25">
      <c r="A2055" t="str">
        <f>"20190303171018219"</f>
        <v>20190303171018219</v>
      </c>
      <c r="B2055" t="str">
        <f>"1551604218213140"</f>
        <v>1551604218213140</v>
      </c>
      <c r="C2055" t="s">
        <v>40</v>
      </c>
      <c r="D2055">
        <v>4.8405820000000004</v>
      </c>
      <c r="E2055">
        <v>0.43482929999999997</v>
      </c>
      <c r="F2055" t="s">
        <v>61</v>
      </c>
      <c r="G2055">
        <v>-511.95870000000002</v>
      </c>
      <c r="H2055">
        <v>0.31845970000000001</v>
      </c>
      <c r="I2055">
        <v>275.75990000000002</v>
      </c>
      <c r="J2055">
        <v>-452.89769999999999</v>
      </c>
      <c r="K2055">
        <v>1.121262</v>
      </c>
      <c r="L2055">
        <v>285.74299999999999</v>
      </c>
      <c r="M2055">
        <v>-0.99968780000000002</v>
      </c>
      <c r="N2055">
        <v>-1.4385780000000001E-2</v>
      </c>
      <c r="O2055">
        <v>2.0436030000000001E-2</v>
      </c>
      <c r="P2055">
        <v>-0.97732399999999997</v>
      </c>
      <c r="Q2055">
        <v>0.21164269999999999</v>
      </c>
      <c r="R2055">
        <v>6.7230609999999998E-3</v>
      </c>
      <c r="S2055">
        <v>-3.0827640000000001</v>
      </c>
      <c r="T2055">
        <v>-4.1610840000000003E-2</v>
      </c>
      <c r="U2055">
        <v>-0.5170593</v>
      </c>
      <c r="V2055">
        <v>-1.335018E-2</v>
      </c>
      <c r="W2055">
        <v>0.22567390000000001</v>
      </c>
      <c r="X2055">
        <v>0.97411139999999996</v>
      </c>
      <c r="Y2055">
        <v>-0.1855029</v>
      </c>
      <c r="Z2055">
        <v>-2.569127E-3</v>
      </c>
      <c r="AA2055">
        <v>0.98264039999999997</v>
      </c>
      <c r="AB2055">
        <v>42</v>
      </c>
      <c r="AC2055">
        <v>-59.061</v>
      </c>
      <c r="AD2055">
        <v>-0.80280229999999997</v>
      </c>
      <c r="AE2055">
        <v>-9.9830999999999808</v>
      </c>
      <c r="AF2055">
        <v>-11.186102463486099</v>
      </c>
      <c r="AG2055">
        <v>-0.80280229999999997</v>
      </c>
      <c r="AH2055">
        <v>58.834058864312503</v>
      </c>
      <c r="AI2055">
        <v>90.7680071230034</v>
      </c>
      <c r="AJ2055">
        <v>100.76513973051701</v>
      </c>
      <c r="AK2055">
        <v>59.8934041636129</v>
      </c>
      <c r="AL2055">
        <v>76.957490647466201</v>
      </c>
      <c r="AM2055">
        <v>90.785188516492298</v>
      </c>
      <c r="AN2055">
        <v>0.99999997802860097</v>
      </c>
    </row>
    <row r="2056" spans="1:40" x14ac:dyDescent="0.25">
      <c r="A2056" t="str">
        <f>"20190303171018243"</f>
        <v>20190303171018243</v>
      </c>
      <c r="B2056" t="str">
        <f>"1551604218232659"</f>
        <v>1551604218232659</v>
      </c>
      <c r="C2056" t="s">
        <v>40</v>
      </c>
      <c r="D2056">
        <v>4.8420059999999996</v>
      </c>
      <c r="E2056">
        <v>0.4346025</v>
      </c>
      <c r="F2056" t="s">
        <v>61</v>
      </c>
      <c r="G2056">
        <v>-511.95870000000002</v>
      </c>
      <c r="H2056">
        <v>0.32258940000000003</v>
      </c>
      <c r="I2056">
        <v>275.73820000000001</v>
      </c>
      <c r="J2056">
        <v>-453.32229999999998</v>
      </c>
      <c r="K2056">
        <v>1.12127</v>
      </c>
      <c r="L2056">
        <v>285.7516</v>
      </c>
      <c r="M2056">
        <v>-0.99969129999999995</v>
      </c>
      <c r="N2056">
        <v>-1.4383099999999999E-2</v>
      </c>
      <c r="O2056">
        <v>2.026553E-2</v>
      </c>
      <c r="P2056">
        <v>-0.97732790000000003</v>
      </c>
      <c r="Q2056">
        <v>0.21164379999999999</v>
      </c>
      <c r="R2056">
        <v>6.1413290000000001E-3</v>
      </c>
      <c r="S2056">
        <v>-3.0822449999999999</v>
      </c>
      <c r="T2056">
        <v>-4.1676400000000002E-2</v>
      </c>
      <c r="U2056">
        <v>-0.52212519999999996</v>
      </c>
      <c r="V2056">
        <v>-1.376498E-2</v>
      </c>
      <c r="W2056">
        <v>0.22567200000000001</v>
      </c>
      <c r="X2056">
        <v>0.97410609999999997</v>
      </c>
      <c r="Y2056">
        <v>-0.18693219999999999</v>
      </c>
      <c r="Z2056">
        <v>-2.591683E-3</v>
      </c>
      <c r="AA2056">
        <v>0.98236939999999995</v>
      </c>
      <c r="AB2056">
        <v>42</v>
      </c>
      <c r="AC2056">
        <v>-58.636400000000002</v>
      </c>
      <c r="AD2056">
        <v>-0.79868059999999996</v>
      </c>
      <c r="AE2056">
        <v>-10.013399999999899</v>
      </c>
      <c r="AF2056">
        <v>-11.1977450180511</v>
      </c>
      <c r="AG2056">
        <v>-0.79868059999999996</v>
      </c>
      <c r="AH2056">
        <v>58.410877878415299</v>
      </c>
      <c r="AI2056">
        <v>90.769375971224704</v>
      </c>
      <c r="AJ2056">
        <v>100.85230607912899</v>
      </c>
      <c r="AK2056">
        <v>59.479896088655401</v>
      </c>
      <c r="AL2056">
        <v>76.957602818545894</v>
      </c>
      <c r="AM2056">
        <v>90.809586112490805</v>
      </c>
      <c r="AN2056">
        <v>1.0000000101577999</v>
      </c>
    </row>
    <row r="2057" spans="1:40" x14ac:dyDescent="0.25">
      <c r="A2057" t="str">
        <f>"20190303171018265"</f>
        <v>20190303171018265</v>
      </c>
      <c r="B2057" t="str">
        <f>"1551604218252180"</f>
        <v>1551604218252180</v>
      </c>
      <c r="C2057" t="s">
        <v>40</v>
      </c>
      <c r="D2057">
        <v>4.814762</v>
      </c>
      <c r="E2057">
        <v>0.43435750000000001</v>
      </c>
      <c r="F2057" t="s">
        <v>61</v>
      </c>
      <c r="G2057">
        <v>-511.95870000000002</v>
      </c>
      <c r="H2057">
        <v>0.31858880000000001</v>
      </c>
      <c r="I2057">
        <v>275.7552</v>
      </c>
      <c r="J2057">
        <v>-453.73689999999999</v>
      </c>
      <c r="K2057">
        <v>1.121278</v>
      </c>
      <c r="L2057">
        <v>285.75979999999998</v>
      </c>
      <c r="M2057">
        <v>-0.99969459999999999</v>
      </c>
      <c r="N2057">
        <v>-1.4380550000000001E-2</v>
      </c>
      <c r="O2057">
        <v>2.0099559999999999E-2</v>
      </c>
      <c r="P2057">
        <v>-0.97733760000000003</v>
      </c>
      <c r="Q2057">
        <v>0.2116131</v>
      </c>
      <c r="R2057">
        <v>5.584561E-3</v>
      </c>
      <c r="S2057">
        <v>-3.082001</v>
      </c>
      <c r="T2057">
        <v>-4.2185540000000001E-2</v>
      </c>
      <c r="U2057">
        <v>-0.52542109999999997</v>
      </c>
      <c r="V2057">
        <v>-1.41599E-2</v>
      </c>
      <c r="W2057">
        <v>0.22563859999999999</v>
      </c>
      <c r="X2057">
        <v>0.97410819999999998</v>
      </c>
      <c r="Y2057">
        <v>-0.1878021</v>
      </c>
      <c r="Z2057">
        <v>-2.6226029999999998E-3</v>
      </c>
      <c r="AA2057">
        <v>0.98220339999999995</v>
      </c>
      <c r="AB2057">
        <v>42</v>
      </c>
      <c r="AC2057">
        <v>-58.221800000000002</v>
      </c>
      <c r="AD2057">
        <v>-0.80268919999999999</v>
      </c>
      <c r="AE2057">
        <v>-10.0045999999999</v>
      </c>
      <c r="AF2057">
        <v>-11.170869621889199</v>
      </c>
      <c r="AG2057">
        <v>-0.80268919999999999</v>
      </c>
      <c r="AH2057">
        <v>57.998219155095299</v>
      </c>
      <c r="AI2057">
        <v>90.778608005964799</v>
      </c>
      <c r="AJ2057">
        <v>100.902069921598</v>
      </c>
      <c r="AK2057">
        <v>59.069671263885603</v>
      </c>
      <c r="AL2057">
        <v>76.959567465863302</v>
      </c>
      <c r="AM2057">
        <v>90.832808277333797</v>
      </c>
      <c r="AN2057">
        <v>1.0000000329426</v>
      </c>
    </row>
    <row r="2058" spans="1:40" x14ac:dyDescent="0.25">
      <c r="A2058" t="str">
        <f>"20190303171018288"</f>
        <v>20190303171018288</v>
      </c>
      <c r="B2058" t="str">
        <f>"1551604218282436"</f>
        <v>1551604218282436</v>
      </c>
      <c r="C2058" t="s">
        <v>40</v>
      </c>
      <c r="D2058">
        <v>4.8596529999999998</v>
      </c>
      <c r="E2058">
        <v>0.43395669999999997</v>
      </c>
      <c r="F2058" t="s">
        <v>61</v>
      </c>
      <c r="G2058">
        <v>-511.95870000000002</v>
      </c>
      <c r="H2058">
        <v>0.31442569999999997</v>
      </c>
      <c r="I2058">
        <v>275.77109999999999</v>
      </c>
      <c r="J2058">
        <v>-454.17059999999998</v>
      </c>
      <c r="K2058">
        <v>1.1212789999999999</v>
      </c>
      <c r="L2058">
        <v>285.76839999999999</v>
      </c>
      <c r="M2058">
        <v>-0.99969819999999998</v>
      </c>
      <c r="N2058">
        <v>-1.4377890000000001E-2</v>
      </c>
      <c r="O2058">
        <v>1.9925479999999999E-2</v>
      </c>
      <c r="P2058">
        <v>-0.97733349999999997</v>
      </c>
      <c r="Q2058">
        <v>0.2116459</v>
      </c>
      <c r="R2058">
        <v>5.0699250000000003E-3</v>
      </c>
      <c r="S2058">
        <v>-3.0817869999999998</v>
      </c>
      <c r="T2058">
        <v>-4.2703749999999999E-2</v>
      </c>
      <c r="U2058">
        <v>-0.52871699999999999</v>
      </c>
      <c r="V2058">
        <v>-1.4503530000000001E-2</v>
      </c>
      <c r="W2058">
        <v>0.22566839999999999</v>
      </c>
      <c r="X2058">
        <v>0.97409619999999997</v>
      </c>
      <c r="Y2058">
        <v>-0.188662</v>
      </c>
      <c r="Z2058">
        <v>-2.653781E-3</v>
      </c>
      <c r="AA2058">
        <v>0.98203850000000004</v>
      </c>
      <c r="AB2058">
        <v>42</v>
      </c>
      <c r="AC2058">
        <v>-57.7881</v>
      </c>
      <c r="AD2058">
        <v>-0.8068533</v>
      </c>
      <c r="AE2058">
        <v>-9.9972999999999903</v>
      </c>
      <c r="AF2058">
        <v>-11.1447798471611</v>
      </c>
      <c r="AG2058">
        <v>-0.8068533</v>
      </c>
      <c r="AH2058">
        <v>57.566507069134801</v>
      </c>
      <c r="AI2058">
        <v>90.788369821645404</v>
      </c>
      <c r="AJ2058">
        <v>100.956821016578</v>
      </c>
      <c r="AK2058">
        <v>58.640940188831799</v>
      </c>
      <c r="AL2058">
        <v>76.957814317347299</v>
      </c>
      <c r="AM2058">
        <v>90.853026280231305</v>
      </c>
      <c r="AN2058">
        <v>0.99999999299773001</v>
      </c>
    </row>
    <row r="2059" spans="1:40" x14ac:dyDescent="0.25">
      <c r="A2059" t="str">
        <f>"20190303171018309"</f>
        <v>20190303171018309</v>
      </c>
      <c r="B2059" t="str">
        <f>"1551604218302932"</f>
        <v>1551604218302932</v>
      </c>
      <c r="C2059" t="s">
        <v>40</v>
      </c>
      <c r="D2059">
        <v>4.8605729999999996</v>
      </c>
      <c r="E2059">
        <v>0.43376959999999998</v>
      </c>
      <c r="F2059" t="s">
        <v>61</v>
      </c>
      <c r="G2059">
        <v>-511.95870000000002</v>
      </c>
      <c r="H2059">
        <v>0.33118429999999999</v>
      </c>
      <c r="I2059">
        <v>275.75470000000001</v>
      </c>
      <c r="J2059">
        <v>-454.56900000000002</v>
      </c>
      <c r="K2059">
        <v>1.1212759999999999</v>
      </c>
      <c r="L2059">
        <v>285.77620000000002</v>
      </c>
      <c r="M2059">
        <v>-0.99970130000000001</v>
      </c>
      <c r="N2059">
        <v>-1.437542E-2</v>
      </c>
      <c r="O2059">
        <v>1.9765649999999999E-2</v>
      </c>
      <c r="P2059">
        <v>-0.97734889999999996</v>
      </c>
      <c r="Q2059">
        <v>0.21158270000000001</v>
      </c>
      <c r="R2059">
        <v>4.688757E-3</v>
      </c>
      <c r="S2059">
        <v>-3.0814819999999998</v>
      </c>
      <c r="T2059">
        <v>-4.2126419999999998E-2</v>
      </c>
      <c r="U2059">
        <v>-0.5339661</v>
      </c>
      <c r="V2059">
        <v>-1.4729030000000001E-2</v>
      </c>
      <c r="W2059">
        <v>0.2256029</v>
      </c>
      <c r="X2059">
        <v>0.97410799999999997</v>
      </c>
      <c r="Y2059">
        <v>-0.19014600000000001</v>
      </c>
      <c r="Z2059">
        <v>-2.6534359999999999E-3</v>
      </c>
      <c r="AA2059">
        <v>0.98175219999999996</v>
      </c>
      <c r="AB2059">
        <v>42</v>
      </c>
      <c r="AC2059">
        <v>-57.389699999999998</v>
      </c>
      <c r="AD2059">
        <v>-0.79009169999999995</v>
      </c>
      <c r="AE2059">
        <v>-10.0215</v>
      </c>
      <c r="AF2059">
        <v>-11.151952607107599</v>
      </c>
      <c r="AG2059">
        <v>-0.79009169999999995</v>
      </c>
      <c r="AH2059">
        <v>57.1698691266593</v>
      </c>
      <c r="AI2059">
        <v>90.777135824839704</v>
      </c>
      <c r="AJ2059">
        <v>101.037904974133</v>
      </c>
      <c r="AK2059">
        <v>58.252761546599203</v>
      </c>
      <c r="AL2059">
        <v>76.961666681935299</v>
      </c>
      <c r="AM2059">
        <v>90.866276582821399</v>
      </c>
      <c r="AN2059">
        <v>1.0000000042385699</v>
      </c>
    </row>
    <row r="2060" spans="1:40" x14ac:dyDescent="0.25">
      <c r="A2060" t="str">
        <f>"20190303171018332"</f>
        <v>20190303171018332</v>
      </c>
      <c r="B2060" t="str">
        <f>"1551604218322452"</f>
        <v>1551604218322452</v>
      </c>
      <c r="C2060" t="s">
        <v>40</v>
      </c>
      <c r="D2060">
        <v>4.8513769999999896</v>
      </c>
      <c r="E2060">
        <v>0.43355589999999999</v>
      </c>
      <c r="F2060" t="s">
        <v>61</v>
      </c>
      <c r="G2060">
        <v>-511.95870000000002</v>
      </c>
      <c r="H2060">
        <v>0.34789189999999998</v>
      </c>
      <c r="I2060">
        <v>275.7559</v>
      </c>
      <c r="J2060">
        <v>-454.98509999999999</v>
      </c>
      <c r="K2060">
        <v>1.1212789999999999</v>
      </c>
      <c r="L2060">
        <v>285.78429999999997</v>
      </c>
      <c r="M2060">
        <v>-0.9997045</v>
      </c>
      <c r="N2060">
        <v>-1.437279E-2</v>
      </c>
      <c r="O2060">
        <v>1.9598609999999999E-2</v>
      </c>
      <c r="P2060">
        <v>-0.97736319999999999</v>
      </c>
      <c r="Q2060">
        <v>0.21151590000000001</v>
      </c>
      <c r="R2060">
        <v>4.7486580000000002E-3</v>
      </c>
      <c r="S2060">
        <v>-3.0811160000000002</v>
      </c>
      <c r="T2060">
        <v>-4.1516659999999997E-2</v>
      </c>
      <c r="U2060">
        <v>-0.53796390000000005</v>
      </c>
      <c r="V2060">
        <v>-1.4505850000000001E-2</v>
      </c>
      <c r="W2060">
        <v>0.22553409999999999</v>
      </c>
      <c r="X2060">
        <v>0.97412730000000003</v>
      </c>
      <c r="Y2060">
        <v>-0.19123850000000001</v>
      </c>
      <c r="Z2060">
        <v>-2.6462349999999998E-3</v>
      </c>
      <c r="AA2060">
        <v>0.98153999999999997</v>
      </c>
      <c r="AB2060">
        <v>42</v>
      </c>
      <c r="AC2060">
        <v>-56.973599999999998</v>
      </c>
      <c r="AD2060">
        <v>-0.77338709999999999</v>
      </c>
      <c r="AE2060">
        <v>-10.0283999999999</v>
      </c>
      <c r="AF2060">
        <v>-11.1412010233608</v>
      </c>
      <c r="AG2060">
        <v>-0.77338709999999999</v>
      </c>
      <c r="AH2060">
        <v>56.755947782555502</v>
      </c>
      <c r="AI2060">
        <v>90.766076231094203</v>
      </c>
      <c r="AJ2060">
        <v>101.10595567486401</v>
      </c>
      <c r="AK2060">
        <v>57.844291823355803</v>
      </c>
      <c r="AL2060">
        <v>76.965713166341402</v>
      </c>
      <c r="AM2060">
        <v>90.853135476992804</v>
      </c>
      <c r="AN2060">
        <v>1.0000000232761601</v>
      </c>
    </row>
    <row r="2061" spans="1:40" x14ac:dyDescent="0.25">
      <c r="A2061" t="str">
        <f>"20190303171018354"</f>
        <v>20190303171018354</v>
      </c>
      <c r="B2061" t="str">
        <f>"1551604218342948"</f>
        <v>1551604218342948</v>
      </c>
      <c r="C2061" t="s">
        <v>40</v>
      </c>
      <c r="D2061">
        <v>4.860417</v>
      </c>
      <c r="E2061">
        <v>0.43340020000000001</v>
      </c>
      <c r="F2061" t="s">
        <v>61</v>
      </c>
      <c r="G2061">
        <v>-511.95870000000002</v>
      </c>
      <c r="H2061">
        <v>0.35677950000000003</v>
      </c>
      <c r="I2061">
        <v>275.78750000000002</v>
      </c>
      <c r="J2061">
        <v>-455.41090000000003</v>
      </c>
      <c r="K2061">
        <v>1.121283</v>
      </c>
      <c r="L2061">
        <v>285.79250000000002</v>
      </c>
      <c r="M2061">
        <v>-0.99970809999999999</v>
      </c>
      <c r="N2061">
        <v>-1.437009E-2</v>
      </c>
      <c r="O2061">
        <v>1.9427170000000001E-2</v>
      </c>
      <c r="P2061">
        <v>-0.97732220000000003</v>
      </c>
      <c r="Q2061">
        <v>0.21171200000000001</v>
      </c>
      <c r="R2061">
        <v>4.4099639999999997E-3</v>
      </c>
      <c r="S2061">
        <v>-3.0810849999999999</v>
      </c>
      <c r="T2061">
        <v>-4.1339040000000001E-2</v>
      </c>
      <c r="U2061">
        <v>-0.54061890000000001</v>
      </c>
      <c r="V2061">
        <v>-1.467565E-2</v>
      </c>
      <c r="W2061">
        <v>0.22572690000000001</v>
      </c>
      <c r="X2061">
        <v>0.9740801</v>
      </c>
      <c r="Y2061">
        <v>-0.19189249999999999</v>
      </c>
      <c r="Z2061">
        <v>-2.6487080000000001E-3</v>
      </c>
      <c r="AA2061">
        <v>0.98141239999999996</v>
      </c>
      <c r="AB2061">
        <v>42</v>
      </c>
      <c r="AC2061">
        <v>-56.547800000000002</v>
      </c>
      <c r="AD2061">
        <v>-0.7645035</v>
      </c>
      <c r="AE2061">
        <v>-10.0049999999999</v>
      </c>
      <c r="AF2061">
        <v>-11.099821234822</v>
      </c>
      <c r="AG2061">
        <v>-0.7645035</v>
      </c>
      <c r="AH2061">
        <v>56.332752976182199</v>
      </c>
      <c r="AI2061">
        <v>90.762859047706897</v>
      </c>
      <c r="AJ2061">
        <v>101.146782695383</v>
      </c>
      <c r="AK2061">
        <v>57.420985318279598</v>
      </c>
      <c r="AL2061">
        <v>76.954374158557698</v>
      </c>
      <c r="AM2061">
        <v>90.863162273564399</v>
      </c>
      <c r="AN2061">
        <v>1.0000000246512699</v>
      </c>
    </row>
    <row r="2062" spans="1:40" x14ac:dyDescent="0.25">
      <c r="A2062" t="str">
        <f>"20190303171018378"</f>
        <v>20190303171018378</v>
      </c>
      <c r="B2062" t="str">
        <f>"1551604218372231"</f>
        <v>1551604218372231</v>
      </c>
      <c r="C2062" t="s">
        <v>40</v>
      </c>
      <c r="D2062">
        <v>4.8447680000000002</v>
      </c>
      <c r="E2062">
        <v>0.43313499999999999</v>
      </c>
      <c r="F2062" t="s">
        <v>61</v>
      </c>
      <c r="G2062">
        <v>-511.95870000000002</v>
      </c>
      <c r="H2062">
        <v>0.37562380000000001</v>
      </c>
      <c r="I2062">
        <v>275.82819999999998</v>
      </c>
      <c r="J2062">
        <v>-455.83240000000001</v>
      </c>
      <c r="K2062">
        <v>1.121283</v>
      </c>
      <c r="L2062">
        <v>285.80059999999997</v>
      </c>
      <c r="M2062">
        <v>-0.99971140000000003</v>
      </c>
      <c r="N2062">
        <v>-1.4367400000000001E-2</v>
      </c>
      <c r="O2062">
        <v>1.925727E-2</v>
      </c>
      <c r="P2062">
        <v>-0.97743800000000003</v>
      </c>
      <c r="Q2062">
        <v>0.21119209999999999</v>
      </c>
      <c r="R2062">
        <v>3.6008070000000001E-3</v>
      </c>
      <c r="S2062">
        <v>-3.0808409999999999</v>
      </c>
      <c r="T2062">
        <v>-4.0620570000000002E-2</v>
      </c>
      <c r="U2062">
        <v>-0.54287719999999995</v>
      </c>
      <c r="V2062">
        <v>-1.532038E-2</v>
      </c>
      <c r="W2062">
        <v>0.22520519999999999</v>
      </c>
      <c r="X2062">
        <v>0.97419089999999997</v>
      </c>
      <c r="Y2062">
        <v>-0.19243750000000001</v>
      </c>
      <c r="Z2062">
        <v>-2.629635E-3</v>
      </c>
      <c r="AA2062">
        <v>0.98130569999999895</v>
      </c>
      <c r="AB2062">
        <v>42</v>
      </c>
      <c r="AC2062">
        <v>-56.126300000000001</v>
      </c>
      <c r="AD2062">
        <v>-0.74565919999999997</v>
      </c>
      <c r="AE2062">
        <v>-9.9723999999999897</v>
      </c>
      <c r="AF2062">
        <v>-11.0496105714201</v>
      </c>
      <c r="AG2062">
        <v>-0.74565919999999997</v>
      </c>
      <c r="AH2062">
        <v>55.914261952726797</v>
      </c>
      <c r="AI2062">
        <v>90.749543593066207</v>
      </c>
      <c r="AJ2062">
        <v>101.178589890193</v>
      </c>
      <c r="AK2062">
        <v>57.000478867643999</v>
      </c>
      <c r="AL2062">
        <v>76.985055088158006</v>
      </c>
      <c r="AM2062">
        <v>90.900974091824594</v>
      </c>
      <c r="AN2062">
        <v>1.0000000028965901</v>
      </c>
    </row>
    <row r="2063" spans="1:40" x14ac:dyDescent="0.25">
      <c r="A2063" t="str">
        <f>"20190303171018400"</f>
        <v>20190303171018400</v>
      </c>
      <c r="B2063" t="str">
        <f>"1551604218392451"</f>
        <v>1551604218392451</v>
      </c>
      <c r="C2063" t="s">
        <v>40</v>
      </c>
      <c r="D2063">
        <v>4.8487749999999998</v>
      </c>
      <c r="E2063">
        <v>0.43293310000000002</v>
      </c>
      <c r="F2063" t="s">
        <v>61</v>
      </c>
      <c r="G2063">
        <v>-511.95870000000002</v>
      </c>
      <c r="H2063">
        <v>0.35355300000000001</v>
      </c>
      <c r="I2063">
        <v>275.81670000000003</v>
      </c>
      <c r="J2063">
        <v>-456.2543</v>
      </c>
      <c r="K2063">
        <v>1.1212869999999999</v>
      </c>
      <c r="L2063">
        <v>285.80849999999998</v>
      </c>
      <c r="M2063">
        <v>-0.99971460000000001</v>
      </c>
      <c r="N2063">
        <v>-1.4364740000000001E-2</v>
      </c>
      <c r="O2063">
        <v>1.9087670000000001E-2</v>
      </c>
      <c r="P2063">
        <v>-0.97752700000000003</v>
      </c>
      <c r="Q2063">
        <v>0.2107937</v>
      </c>
      <c r="R2063">
        <v>2.6038200000000002E-3</v>
      </c>
      <c r="S2063">
        <v>-3.0803829999999999</v>
      </c>
      <c r="T2063">
        <v>-4.2130830000000001E-2</v>
      </c>
      <c r="U2063">
        <v>-0.54794309999999902</v>
      </c>
      <c r="V2063">
        <v>-1.6152949999999999E-2</v>
      </c>
      <c r="W2063">
        <v>0.22480510000000001</v>
      </c>
      <c r="X2063">
        <v>0.97426990000000002</v>
      </c>
      <c r="Y2063">
        <v>-0.19385839999999999</v>
      </c>
      <c r="Z2063">
        <v>-2.7058920000000001E-3</v>
      </c>
      <c r="AA2063">
        <v>0.98102579999999995</v>
      </c>
      <c r="AB2063">
        <v>42</v>
      </c>
      <c r="AC2063">
        <v>-55.7044</v>
      </c>
      <c r="AD2063">
        <v>-0.76773400000000003</v>
      </c>
      <c r="AE2063">
        <v>-9.9917999999999498</v>
      </c>
      <c r="AF2063">
        <v>-11.0513224173199</v>
      </c>
      <c r="AG2063">
        <v>-0.76773400000000003</v>
      </c>
      <c r="AH2063">
        <v>55.493297016578197</v>
      </c>
      <c r="AI2063">
        <v>90.777357266337006</v>
      </c>
      <c r="AJ2063">
        <v>101.262930021597</v>
      </c>
      <c r="AK2063">
        <v>56.588224538648397</v>
      </c>
      <c r="AL2063">
        <v>77.008582976508507</v>
      </c>
      <c r="AM2063">
        <v>90.9498508320751</v>
      </c>
      <c r="AN2063">
        <v>1.0000000444128601</v>
      </c>
    </row>
    <row r="2064" spans="1:40" x14ac:dyDescent="0.25">
      <c r="A2064" t="str">
        <f>"20190303171018421"</f>
        <v>20190303171018421</v>
      </c>
      <c r="B2064" t="str">
        <f>"1551604218412947"</f>
        <v>1551604218412947</v>
      </c>
      <c r="C2064" t="s">
        <v>40</v>
      </c>
      <c r="D2064">
        <v>4.8605269999999896</v>
      </c>
      <c r="E2064">
        <v>0.43273879999999998</v>
      </c>
      <c r="F2064" t="s">
        <v>61</v>
      </c>
      <c r="G2064">
        <v>-511.95870000000002</v>
      </c>
      <c r="H2064">
        <v>0.338972</v>
      </c>
      <c r="I2064">
        <v>275.81700000000001</v>
      </c>
      <c r="J2064">
        <v>-456.6558</v>
      </c>
      <c r="K2064">
        <v>1.1212869999999999</v>
      </c>
      <c r="L2064">
        <v>285.81610000000001</v>
      </c>
      <c r="M2064">
        <v>-0.99971779999999999</v>
      </c>
      <c r="N2064">
        <v>-1.436223E-2</v>
      </c>
      <c r="O2064">
        <v>1.8925930000000001E-2</v>
      </c>
      <c r="P2064">
        <v>-0.97753020000000002</v>
      </c>
      <c r="Q2064">
        <v>0.2107897</v>
      </c>
      <c r="R2064">
        <v>1.63726E-3</v>
      </c>
      <c r="S2064">
        <v>-3.079742</v>
      </c>
      <c r="T2064">
        <v>-4.3247460000000001E-2</v>
      </c>
      <c r="U2064">
        <v>-0.55239869999999902</v>
      </c>
      <c r="V2064">
        <v>-1.696131E-2</v>
      </c>
      <c r="W2064">
        <v>0.2247982</v>
      </c>
      <c r="X2064">
        <v>0.9742577</v>
      </c>
      <c r="Y2064">
        <v>-0.19510839999999999</v>
      </c>
      <c r="Z2064">
        <v>-2.765572E-3</v>
      </c>
      <c r="AA2064">
        <v>0.98077780000000003</v>
      </c>
      <c r="AB2064">
        <v>42</v>
      </c>
      <c r="AC2064">
        <v>-55.302900000000001</v>
      </c>
      <c r="AD2064">
        <v>-0.78231499999999998</v>
      </c>
      <c r="AE2064">
        <v>-9.9991000000000003</v>
      </c>
      <c r="AF2064">
        <v>-11.041935733596601</v>
      </c>
      <c r="AG2064">
        <v>-0.78231499999999998</v>
      </c>
      <c r="AH2064">
        <v>55.093055158022899</v>
      </c>
      <c r="AI2064">
        <v>90.797677440473393</v>
      </c>
      <c r="AJ2064">
        <v>101.33325486967</v>
      </c>
      <c r="AK2064">
        <v>56.194137489146101</v>
      </c>
      <c r="AL2064">
        <v>77.008988001157505</v>
      </c>
      <c r="AM2064">
        <v>90.997388384887699</v>
      </c>
      <c r="AN2064">
        <v>0.99999999138472295</v>
      </c>
    </row>
    <row r="2065" spans="1:40" x14ac:dyDescent="0.25">
      <c r="A2065" t="str">
        <f>"20190303171018444"</f>
        <v>20190303171018444</v>
      </c>
      <c r="B2065" t="str">
        <f>"1551604218432467"</f>
        <v>1551604218432467</v>
      </c>
      <c r="C2065" t="s">
        <v>40</v>
      </c>
      <c r="D2065">
        <v>4.8687550000000002</v>
      </c>
      <c r="E2065">
        <v>0.4325273</v>
      </c>
      <c r="F2065" t="s">
        <v>61</v>
      </c>
      <c r="G2065">
        <v>-511.95870000000002</v>
      </c>
      <c r="H2065">
        <v>0.36115429999999998</v>
      </c>
      <c r="I2065">
        <v>275.78730000000002</v>
      </c>
      <c r="J2065">
        <v>-457.07810000000001</v>
      </c>
      <c r="K2065">
        <v>1.121283</v>
      </c>
      <c r="L2065">
        <v>285.82389999999998</v>
      </c>
      <c r="M2065">
        <v>-0.99972110000000003</v>
      </c>
      <c r="N2065">
        <v>-1.435958E-2</v>
      </c>
      <c r="O2065">
        <v>1.875609E-2</v>
      </c>
      <c r="P2065">
        <v>-0.97750119999999896</v>
      </c>
      <c r="Q2065">
        <v>0.21093000000000001</v>
      </c>
      <c r="R2065">
        <v>2.4891639999999999E-4</v>
      </c>
      <c r="S2065">
        <v>-3.0789789999999999</v>
      </c>
      <c r="T2065">
        <v>-4.2315600000000002E-2</v>
      </c>
      <c r="U2065">
        <v>-0.5583496</v>
      </c>
      <c r="V2065">
        <v>-1.8182520000000001E-2</v>
      </c>
      <c r="W2065">
        <v>0.2249343</v>
      </c>
      <c r="X2065">
        <v>0.97420419999999996</v>
      </c>
      <c r="Y2065">
        <v>-0.19682050000000001</v>
      </c>
      <c r="Z2065">
        <v>-2.7549649999999998E-3</v>
      </c>
      <c r="AA2065">
        <v>0.98043570000000002</v>
      </c>
      <c r="AB2065">
        <v>42</v>
      </c>
      <c r="AC2065">
        <v>-54.880600000000001</v>
      </c>
      <c r="AD2065">
        <v>-0.76012869999999999</v>
      </c>
      <c r="AE2065">
        <v>-10.0365999999999</v>
      </c>
      <c r="AF2065">
        <v>-11.062232078811199</v>
      </c>
      <c r="AG2065">
        <v>-0.76012869999999999</v>
      </c>
      <c r="AH2065">
        <v>54.672528273009597</v>
      </c>
      <c r="AI2065">
        <v>90.780730036397301</v>
      </c>
      <c r="AJ2065">
        <v>101.438581080812</v>
      </c>
      <c r="AK2065">
        <v>55.785626481819499</v>
      </c>
      <c r="AL2065">
        <v>77.0009843200407</v>
      </c>
      <c r="AM2065">
        <v>91.069242686604497</v>
      </c>
      <c r="AN2065">
        <v>0.99999993332383796</v>
      </c>
    </row>
    <row r="2066" spans="1:40" x14ac:dyDescent="0.25">
      <c r="A2066" t="str">
        <f>"20190303171018465"</f>
        <v>20190303171018465</v>
      </c>
      <c r="B2066" t="str">
        <f>"1551604218462723"</f>
        <v>1551604218462723</v>
      </c>
      <c r="C2066" t="s">
        <v>40</v>
      </c>
      <c r="D2066">
        <v>4.8995369999999996</v>
      </c>
      <c r="E2066">
        <v>0.43226730000000002</v>
      </c>
      <c r="F2066" t="s">
        <v>61</v>
      </c>
      <c r="G2066">
        <v>-511.95870000000002</v>
      </c>
      <c r="H2066">
        <v>0.37302419999999997</v>
      </c>
      <c r="I2066">
        <v>275.76220000000001</v>
      </c>
      <c r="J2066">
        <v>-457.48399999999998</v>
      </c>
      <c r="K2066">
        <v>1.121286</v>
      </c>
      <c r="L2066">
        <v>285.83139999999997</v>
      </c>
      <c r="M2066">
        <v>-0.9997241</v>
      </c>
      <c r="N2066">
        <v>-1.435704E-2</v>
      </c>
      <c r="O2066">
        <v>1.85928E-2</v>
      </c>
      <c r="P2066">
        <v>-0.97763469999999997</v>
      </c>
      <c r="Q2066">
        <v>0.21029970000000001</v>
      </c>
      <c r="R2066">
        <v>-2.2062840000000002E-3</v>
      </c>
      <c r="S2066">
        <v>-3.0782780000000001</v>
      </c>
      <c r="T2066">
        <v>-4.1965479999999999E-2</v>
      </c>
      <c r="U2066">
        <v>-0.56436160000000002</v>
      </c>
      <c r="V2066">
        <v>-2.047941E-2</v>
      </c>
      <c r="W2066">
        <v>0.22430240000000001</v>
      </c>
      <c r="X2066">
        <v>0.97430439999999996</v>
      </c>
      <c r="Y2066">
        <v>-0.1985526</v>
      </c>
      <c r="Z2066">
        <v>-2.7662849999999998E-3</v>
      </c>
      <c r="AA2066">
        <v>0.98008629999999997</v>
      </c>
      <c r="AB2066">
        <v>42</v>
      </c>
      <c r="AC2066">
        <v>-54.474699999999899</v>
      </c>
      <c r="AD2066">
        <v>-0.74826179999999998</v>
      </c>
      <c r="AE2066">
        <v>-10.069199999999899</v>
      </c>
      <c r="AF2066">
        <v>-11.0783794535723</v>
      </c>
      <c r="AG2066">
        <v>-0.74826179999999998</v>
      </c>
      <c r="AH2066">
        <v>54.268146756107903</v>
      </c>
      <c r="AI2066">
        <v>90.773996396679195</v>
      </c>
      <c r="AJ2066">
        <v>101.537912163551</v>
      </c>
      <c r="AK2066">
        <v>55.392437564898202</v>
      </c>
      <c r="AL2066">
        <v>77.038140066926701</v>
      </c>
      <c r="AM2066">
        <v>91.204152416332505</v>
      </c>
      <c r="AN2066">
        <v>1.0000000183695299</v>
      </c>
    </row>
    <row r="2067" spans="1:40" x14ac:dyDescent="0.25">
      <c r="A2067" t="str">
        <f>"20190303171018488"</f>
        <v>20190303171018488</v>
      </c>
      <c r="B2067" t="str">
        <f>"1551604218482247"</f>
        <v>1551604218482247</v>
      </c>
      <c r="C2067" t="s">
        <v>40</v>
      </c>
      <c r="D2067">
        <v>4.8993159999999998</v>
      </c>
      <c r="E2067">
        <v>0.43213829999999998</v>
      </c>
      <c r="F2067" t="s">
        <v>61</v>
      </c>
      <c r="G2067">
        <v>-511.95870000000002</v>
      </c>
      <c r="H2067">
        <v>0.34715889999999999</v>
      </c>
      <c r="I2067">
        <v>275.67599999999999</v>
      </c>
      <c r="J2067">
        <v>-457.90789999999998</v>
      </c>
      <c r="K2067">
        <v>1.1212949999999999</v>
      </c>
      <c r="L2067">
        <v>285.83909999999997</v>
      </c>
      <c r="M2067">
        <v>-0.99972729999999999</v>
      </c>
      <c r="N2067">
        <v>-1.435443E-2</v>
      </c>
      <c r="O2067">
        <v>1.8422190000000001E-2</v>
      </c>
      <c r="P2067">
        <v>-0.97745990000000005</v>
      </c>
      <c r="Q2067">
        <v>0.2110766</v>
      </c>
      <c r="R2067">
        <v>-4.3586919999999999E-3</v>
      </c>
      <c r="S2067">
        <v>-3.0767519999999999</v>
      </c>
      <c r="T2067">
        <v>-4.3718340000000001E-2</v>
      </c>
      <c r="U2067">
        <v>-0.57357789999999997</v>
      </c>
      <c r="V2067">
        <v>-2.2461829999999999E-2</v>
      </c>
      <c r="W2067">
        <v>0.22507279999999999</v>
      </c>
      <c r="X2067">
        <v>0.97408300000000003</v>
      </c>
      <c r="Y2067">
        <v>-0.2013066</v>
      </c>
      <c r="Z2067">
        <v>-2.8728270000000001E-3</v>
      </c>
      <c r="AA2067">
        <v>0.97952410000000001</v>
      </c>
      <c r="AB2067">
        <v>42</v>
      </c>
      <c r="AC2067">
        <v>-54.050800000000002</v>
      </c>
      <c r="AD2067">
        <v>-0.77413609999999999</v>
      </c>
      <c r="AE2067">
        <v>-10.163099999999901</v>
      </c>
      <c r="AF2067">
        <v>-11.1550015003999</v>
      </c>
      <c r="AG2067">
        <v>-0.77413609999999999</v>
      </c>
      <c r="AH2067">
        <v>53.843711856464303</v>
      </c>
      <c r="AI2067">
        <v>90.806585806952199</v>
      </c>
      <c r="AJ2067">
        <v>101.704596432629</v>
      </c>
      <c r="AK2067">
        <v>54.992532689968101</v>
      </c>
      <c r="AL2067">
        <v>76.992840833620505</v>
      </c>
      <c r="AM2067">
        <v>91.320975750125598</v>
      </c>
      <c r="AN2067">
        <v>0.99999999499789405</v>
      </c>
    </row>
    <row r="2068" spans="1:40" x14ac:dyDescent="0.25">
      <c r="A2068" t="str">
        <f>"20190303171018510"</f>
        <v>20190303171018510</v>
      </c>
      <c r="B2068" t="str">
        <f>"1551604218502200"</f>
        <v>1551604218502200</v>
      </c>
      <c r="C2068" t="s">
        <v>40</v>
      </c>
      <c r="D2068">
        <v>4.8873280000000001</v>
      </c>
      <c r="E2068">
        <v>0.4319887</v>
      </c>
      <c r="F2068" t="s">
        <v>61</v>
      </c>
      <c r="G2068">
        <v>-511.95870000000002</v>
      </c>
      <c r="H2068">
        <v>0.37836809999999998</v>
      </c>
      <c r="I2068">
        <v>275.63920000000002</v>
      </c>
      <c r="J2068">
        <v>-458.31360000000001</v>
      </c>
      <c r="K2068">
        <v>1.1213059999999999</v>
      </c>
      <c r="L2068">
        <v>285.84649999999999</v>
      </c>
      <c r="M2068">
        <v>-0.99973040000000002</v>
      </c>
      <c r="N2068">
        <v>-1.435195E-2</v>
      </c>
      <c r="O2068">
        <v>1.8258670000000001E-2</v>
      </c>
      <c r="P2068">
        <v>-0.97707429999999995</v>
      </c>
      <c r="Q2068">
        <v>0.21283640000000001</v>
      </c>
      <c r="R2068">
        <v>-5.1669359999999996E-3</v>
      </c>
      <c r="S2068">
        <v>-3.0757140000000001</v>
      </c>
      <c r="T2068">
        <v>-4.22709E-2</v>
      </c>
      <c r="U2068">
        <v>-0.58041379999999998</v>
      </c>
      <c r="V2068">
        <v>-2.3103849999999999E-2</v>
      </c>
      <c r="W2068">
        <v>0.22682440000000001</v>
      </c>
      <c r="X2068">
        <v>0.97366160000000002</v>
      </c>
      <c r="Y2068">
        <v>-0.20331009999999999</v>
      </c>
      <c r="Z2068">
        <v>-2.8458889999999999E-3</v>
      </c>
      <c r="AA2068">
        <v>0.97911020000000004</v>
      </c>
      <c r="AB2068">
        <v>42</v>
      </c>
      <c r="AC2068">
        <v>-53.645099999999999</v>
      </c>
      <c r="AD2068">
        <v>-0.74293789999999904</v>
      </c>
      <c r="AE2068">
        <v>-10.207299999999901</v>
      </c>
      <c r="AF2068">
        <v>-11.1831170538227</v>
      </c>
      <c r="AG2068">
        <v>-0.74293789999999904</v>
      </c>
      <c r="AH2068">
        <v>53.439872878170497</v>
      </c>
      <c r="AI2068">
        <v>90.779607380541293</v>
      </c>
      <c r="AJ2068">
        <v>101.819462136917</v>
      </c>
      <c r="AK2068">
        <v>54.602509804932701</v>
      </c>
      <c r="AL2068">
        <v>76.889817378263302</v>
      </c>
      <c r="AM2068">
        <v>91.359306693177601</v>
      </c>
      <c r="AN2068">
        <v>1.00000000381737</v>
      </c>
    </row>
    <row r="2069" spans="1:40" x14ac:dyDescent="0.25">
      <c r="A2069" t="str">
        <f>"20190303171018528"</f>
        <v>20190303171018528</v>
      </c>
      <c r="B2069" t="str">
        <f>"1551604218522695"</f>
        <v>1551604218522695</v>
      </c>
      <c r="C2069" t="s">
        <v>40</v>
      </c>
      <c r="D2069">
        <v>4.9000120000000003</v>
      </c>
      <c r="E2069">
        <v>0.43185180000000001</v>
      </c>
      <c r="F2069" t="s">
        <v>61</v>
      </c>
      <c r="G2069">
        <v>-511.9588</v>
      </c>
      <c r="H2069">
        <v>0.48089500000000002</v>
      </c>
      <c r="I2069">
        <v>275.66210000000001</v>
      </c>
      <c r="J2069">
        <v>-458.6474</v>
      </c>
      <c r="K2069">
        <v>1.1213109999999999</v>
      </c>
      <c r="L2069">
        <v>285.85239999999999</v>
      </c>
      <c r="M2069">
        <v>-0.99973290000000004</v>
      </c>
      <c r="N2069">
        <v>-1.4349890000000001E-2</v>
      </c>
      <c r="O2069">
        <v>1.812393E-2</v>
      </c>
      <c r="P2069">
        <v>-0.97692999999999997</v>
      </c>
      <c r="Q2069">
        <v>0.2134916</v>
      </c>
      <c r="R2069">
        <v>-5.4069640000000002E-3</v>
      </c>
      <c r="S2069">
        <v>-3.0752869999999999</v>
      </c>
      <c r="T2069">
        <v>-3.6707759999999999E-2</v>
      </c>
      <c r="U2069">
        <v>-0.58383180000000001</v>
      </c>
      <c r="V2069">
        <v>-2.3209799999999999E-2</v>
      </c>
      <c r="W2069">
        <v>0.22747500000000001</v>
      </c>
      <c r="X2069">
        <v>0.97350729999999996</v>
      </c>
      <c r="Y2069">
        <v>-0.20426040000000001</v>
      </c>
      <c r="Z2069">
        <v>-2.6437560000000001E-3</v>
      </c>
      <c r="AA2069">
        <v>0.97891300000000003</v>
      </c>
      <c r="AB2069">
        <v>42</v>
      </c>
      <c r="AC2069">
        <v>-53.3113999999999</v>
      </c>
      <c r="AD2069">
        <v>-0.64041599999999999</v>
      </c>
      <c r="AE2069">
        <v>-10.190299999999899</v>
      </c>
      <c r="AF2069">
        <v>-11.153384562240699</v>
      </c>
      <c r="AG2069">
        <v>-0.64041599999999999</v>
      </c>
      <c r="AH2069">
        <v>53.110540411616597</v>
      </c>
      <c r="AI2069">
        <v>90.676102587345</v>
      </c>
      <c r="AJ2069">
        <v>101.859955882626</v>
      </c>
      <c r="AK2069">
        <v>54.272807396155997</v>
      </c>
      <c r="AL2069">
        <v>76.851540345383</v>
      </c>
      <c r="AM2069">
        <v>91.365754222922604</v>
      </c>
      <c r="AN2069">
        <v>1.0000000167971601</v>
      </c>
    </row>
    <row r="2070" spans="1:40" x14ac:dyDescent="0.25">
      <c r="A2070" t="str">
        <f>"20190303171018542"</f>
        <v>20190303171018542</v>
      </c>
      <c r="B2070" t="str">
        <f>"1551604218532456"</f>
        <v>1551604218532456</v>
      </c>
      <c r="C2070" t="s">
        <v>40</v>
      </c>
      <c r="D2070">
        <v>4.9057979999999999</v>
      </c>
      <c r="E2070">
        <v>0.43179220000000001</v>
      </c>
      <c r="F2070" t="s">
        <v>61</v>
      </c>
      <c r="G2070">
        <v>-511.9588</v>
      </c>
      <c r="H2070">
        <v>0.51157829999999904</v>
      </c>
      <c r="I2070">
        <v>275.69970000000001</v>
      </c>
      <c r="J2070">
        <v>-458.8938</v>
      </c>
      <c r="K2070">
        <v>1.1213139999999999</v>
      </c>
      <c r="L2070">
        <v>285.85680000000002</v>
      </c>
      <c r="M2070">
        <v>-0.99973460000000003</v>
      </c>
      <c r="N2070">
        <v>-1.434827E-2</v>
      </c>
      <c r="O2070">
        <v>1.802453E-2</v>
      </c>
      <c r="P2070">
        <v>-0.97672559999999997</v>
      </c>
      <c r="Q2070">
        <v>0.2144315</v>
      </c>
      <c r="R2070">
        <v>-5.1407420000000002E-3</v>
      </c>
      <c r="S2070">
        <v>-3.0752869999999999</v>
      </c>
      <c r="T2070">
        <v>-3.516793E-2</v>
      </c>
      <c r="U2070">
        <v>-0.58566280000000004</v>
      </c>
      <c r="V2070">
        <v>-2.2842589999999999E-2</v>
      </c>
      <c r="W2070">
        <v>0.228411</v>
      </c>
      <c r="X2070">
        <v>0.97329679999999996</v>
      </c>
      <c r="Y2070">
        <v>-0.2047274</v>
      </c>
      <c r="Z2070">
        <v>-2.5902659999999999E-3</v>
      </c>
      <c r="AA2070">
        <v>0.97881560000000001</v>
      </c>
      <c r="AB2070">
        <v>42</v>
      </c>
      <c r="AC2070">
        <v>-53.064999999999998</v>
      </c>
      <c r="AD2070">
        <v>-0.60973569999999999</v>
      </c>
      <c r="AE2070">
        <v>-10.1571</v>
      </c>
      <c r="AF2070">
        <v>-11.110604661168299</v>
      </c>
      <c r="AG2070">
        <v>-0.60973569999999999</v>
      </c>
      <c r="AH2070">
        <v>52.866548556270402</v>
      </c>
      <c r="AI2070">
        <v>90.646665282672799</v>
      </c>
      <c r="AJ2070">
        <v>101.868736256696</v>
      </c>
      <c r="AK2070">
        <v>54.0248949079322</v>
      </c>
      <c r="AL2070">
        <v>76.796461489363793</v>
      </c>
      <c r="AM2070">
        <v>91.344444760710303</v>
      </c>
      <c r="AN2070">
        <v>1.00000001486457</v>
      </c>
    </row>
    <row r="2071" spans="1:40" x14ac:dyDescent="0.25">
      <c r="A2071" t="str">
        <f>"20190303171018557"</f>
        <v>20190303171018557</v>
      </c>
      <c r="B2071" t="str">
        <f>"1551604218542215"</f>
        <v>1551604218542215</v>
      </c>
      <c r="C2071" t="s">
        <v>40</v>
      </c>
      <c r="D2071">
        <v>4.9036530000000003</v>
      </c>
      <c r="E2071">
        <v>0.4317394</v>
      </c>
      <c r="F2071" t="s">
        <v>61</v>
      </c>
      <c r="G2071">
        <v>-511.9588</v>
      </c>
      <c r="H2071">
        <v>0.55763509999999905</v>
      </c>
      <c r="I2071">
        <v>275.76190000000003</v>
      </c>
      <c r="J2071">
        <v>-459.17410000000001</v>
      </c>
      <c r="K2071">
        <v>1.121316</v>
      </c>
      <c r="L2071">
        <v>285.86180000000002</v>
      </c>
      <c r="M2071">
        <v>-0.99973670000000003</v>
      </c>
      <c r="N2071">
        <v>-1.4346329999999999E-2</v>
      </c>
      <c r="O2071">
        <v>1.79116E-2</v>
      </c>
      <c r="P2071">
        <v>-0.97650910000000002</v>
      </c>
      <c r="Q2071">
        <v>0.21544150000000001</v>
      </c>
      <c r="R2071">
        <v>-3.8688220000000001E-3</v>
      </c>
      <c r="S2071">
        <v>-3.0755620000000001</v>
      </c>
      <c r="T2071">
        <v>-3.2665130000000001E-2</v>
      </c>
      <c r="U2071">
        <v>-0.58508300000000002</v>
      </c>
      <c r="V2071">
        <v>-2.1457569999999999E-2</v>
      </c>
      <c r="W2071">
        <v>0.22941690000000001</v>
      </c>
      <c r="X2071">
        <v>0.9730917</v>
      </c>
      <c r="Y2071">
        <v>-0.20442560000000001</v>
      </c>
      <c r="Z2071">
        <v>-2.4895080000000001E-3</v>
      </c>
      <c r="AA2071">
        <v>0.97887900000000005</v>
      </c>
      <c r="AB2071">
        <v>41</v>
      </c>
      <c r="AC2071">
        <v>-52.784700000000001</v>
      </c>
      <c r="AD2071">
        <v>-0.56368090000000004</v>
      </c>
      <c r="AE2071">
        <v>-10.0998999999999</v>
      </c>
      <c r="AF2071">
        <v>-11.0426202696052</v>
      </c>
      <c r="AG2071">
        <v>-0.56368090000000004</v>
      </c>
      <c r="AH2071">
        <v>52.589520859339402</v>
      </c>
      <c r="AI2071">
        <v>90.600996191300197</v>
      </c>
      <c r="AJ2071">
        <v>101.858548744755</v>
      </c>
      <c r="AK2071">
        <v>53.739323616794898</v>
      </c>
      <c r="AL2071">
        <v>76.737255332510102</v>
      </c>
      <c r="AM2071">
        <v>91.263220095997497</v>
      </c>
      <c r="AN2071">
        <v>0.99999999896240199</v>
      </c>
    </row>
    <row r="2072" spans="1:40" x14ac:dyDescent="0.25">
      <c r="A2072" t="str">
        <f>"20190303171018581"</f>
        <v>20190303171018581</v>
      </c>
      <c r="B2072" t="str">
        <f>"1551604218572471"</f>
        <v>1551604218572471</v>
      </c>
      <c r="C2072" t="s">
        <v>40</v>
      </c>
      <c r="D2072">
        <v>4.8912000000000004</v>
      </c>
      <c r="E2072">
        <v>0.43152190000000001</v>
      </c>
      <c r="F2072" t="s">
        <v>61</v>
      </c>
      <c r="G2072">
        <v>-511.9588</v>
      </c>
      <c r="H2072">
        <v>0.59863480000000002</v>
      </c>
      <c r="I2072">
        <v>275.9058</v>
      </c>
      <c r="J2072">
        <v>-459.60120000000001</v>
      </c>
      <c r="K2072">
        <v>1.121318</v>
      </c>
      <c r="L2072">
        <v>285.86930000000001</v>
      </c>
      <c r="M2072">
        <v>-0.99973979999999996</v>
      </c>
      <c r="N2072">
        <v>-1.4343669999999999E-2</v>
      </c>
      <c r="O2072">
        <v>1.773955E-2</v>
      </c>
      <c r="P2072">
        <v>-0.97651200000000005</v>
      </c>
      <c r="Q2072">
        <v>0.2154549</v>
      </c>
      <c r="R2072">
        <v>-1.8825789999999999E-3</v>
      </c>
      <c r="S2072">
        <v>-3.0765989999999999</v>
      </c>
      <c r="T2072">
        <v>-3.046012E-2</v>
      </c>
      <c r="U2072">
        <v>-0.58029169999999997</v>
      </c>
      <c r="V2072">
        <v>-1.9303540000000001E-2</v>
      </c>
      <c r="W2072">
        <v>0.22942850000000001</v>
      </c>
      <c r="X2072">
        <v>0.9731341</v>
      </c>
      <c r="Y2072">
        <v>-0.2027272</v>
      </c>
      <c r="Z2072">
        <v>-2.3835710000000001E-3</v>
      </c>
      <c r="AA2072">
        <v>0.9792324</v>
      </c>
      <c r="AB2072">
        <v>41</v>
      </c>
      <c r="AC2072">
        <v>-52.357599999999898</v>
      </c>
      <c r="AD2072">
        <v>-0.52268319999999902</v>
      </c>
      <c r="AE2072">
        <v>-9.9634999999999998</v>
      </c>
      <c r="AF2072">
        <v>-10.889780276417699</v>
      </c>
      <c r="AG2072">
        <v>-0.52268319999999902</v>
      </c>
      <c r="AH2072">
        <v>52.1675759346899</v>
      </c>
      <c r="AI2072">
        <v>90.561933299231299</v>
      </c>
      <c r="AJ2072">
        <v>101.790955454439</v>
      </c>
      <c r="AK2072">
        <v>53.294619719985398</v>
      </c>
      <c r="AL2072">
        <v>76.736572770995195</v>
      </c>
      <c r="AM2072">
        <v>91.136396658474297</v>
      </c>
      <c r="AN2072">
        <v>1.0000000199257899</v>
      </c>
    </row>
    <row r="2073" spans="1:40" x14ac:dyDescent="0.25">
      <c r="A2073" t="str">
        <f>"20190303171018601"</f>
        <v>20190303171018601</v>
      </c>
      <c r="B2073" t="str">
        <f>"1551604218592498"</f>
        <v>1551604218592498</v>
      </c>
      <c r="C2073" t="s">
        <v>40</v>
      </c>
      <c r="D2073">
        <v>4.9174309999999997</v>
      </c>
      <c r="E2073">
        <v>0.42649029999999999</v>
      </c>
      <c r="F2073" t="s">
        <v>61</v>
      </c>
      <c r="G2073">
        <v>-511.9588</v>
      </c>
      <c r="H2073">
        <v>0.60729719999999998</v>
      </c>
      <c r="I2073">
        <v>276.0634</v>
      </c>
      <c r="J2073">
        <v>-459.99079999999998</v>
      </c>
      <c r="K2073">
        <v>1.1213200000000001</v>
      </c>
      <c r="L2073">
        <v>285.87619999999998</v>
      </c>
      <c r="M2073">
        <v>-0.99974249999999998</v>
      </c>
      <c r="N2073">
        <v>-1.434148E-2</v>
      </c>
      <c r="O2073">
        <v>1.758204E-2</v>
      </c>
      <c r="P2073">
        <v>-0.97664309999999999</v>
      </c>
      <c r="Q2073">
        <v>0.21486730000000001</v>
      </c>
      <c r="R2073" s="1">
        <v>-8.7847929999999998E-5</v>
      </c>
      <c r="S2073">
        <v>-3.077728</v>
      </c>
      <c r="T2073">
        <v>-3.0210730000000002E-2</v>
      </c>
      <c r="U2073">
        <v>-0.57641600000000004</v>
      </c>
      <c r="V2073">
        <v>-1.7357520000000001E-2</v>
      </c>
      <c r="W2073">
        <v>0.2288423</v>
      </c>
      <c r="X2073">
        <v>0.97330870000000003</v>
      </c>
      <c r="Y2073">
        <v>-0.20131669999999999</v>
      </c>
      <c r="Z2073">
        <v>-2.35696E-3</v>
      </c>
      <c r="AA2073">
        <v>0.97952340000000004</v>
      </c>
      <c r="AB2073">
        <v>41</v>
      </c>
      <c r="AC2073">
        <v>-51.968000000000004</v>
      </c>
      <c r="AD2073">
        <v>-0.5140228</v>
      </c>
      <c r="AE2073">
        <v>-9.8127999999999798</v>
      </c>
      <c r="AF2073">
        <v>-10.7240672908826</v>
      </c>
      <c r="AG2073">
        <v>-0.5140228</v>
      </c>
      <c r="AH2073">
        <v>51.782526826845903</v>
      </c>
      <c r="AI2073">
        <v>90.556915004327493</v>
      </c>
      <c r="AJ2073">
        <v>101.700447207758</v>
      </c>
      <c r="AK2073">
        <v>52.883834233831003</v>
      </c>
      <c r="AL2073">
        <v>76.771076679359695</v>
      </c>
      <c r="AM2073">
        <v>91.021677119678699</v>
      </c>
      <c r="AN2073">
        <v>0.99999995363276395</v>
      </c>
    </row>
    <row r="2074" spans="1:40" x14ac:dyDescent="0.25">
      <c r="A2074" t="str">
        <f>"20190303171018622"</f>
        <v>20190303171018622</v>
      </c>
      <c r="B2074" t="str">
        <f>"1551604218612994"</f>
        <v>1551604218612994</v>
      </c>
      <c r="C2074" t="s">
        <v>40</v>
      </c>
      <c r="D2074">
        <v>4.9194809999999896</v>
      </c>
      <c r="E2074">
        <v>0.4256085</v>
      </c>
      <c r="F2074" t="s">
        <v>61</v>
      </c>
      <c r="G2074">
        <v>-511.95870000000002</v>
      </c>
      <c r="H2074">
        <v>0.39326939999999999</v>
      </c>
      <c r="I2074">
        <v>275.57459999999998</v>
      </c>
      <c r="J2074">
        <v>-460.38780000000003</v>
      </c>
      <c r="K2074">
        <v>1.121326</v>
      </c>
      <c r="L2074">
        <v>285.88299999999998</v>
      </c>
      <c r="M2074">
        <v>-0.99974560000000001</v>
      </c>
      <c r="N2074">
        <v>-1.433924E-2</v>
      </c>
      <c r="O2074">
        <v>1.7415549999999998E-2</v>
      </c>
      <c r="P2074">
        <v>-0.9766977</v>
      </c>
      <c r="Q2074">
        <v>0.21461740000000001</v>
      </c>
      <c r="R2074">
        <v>1.001799E-3</v>
      </c>
      <c r="S2074">
        <v>-3.0811769999999998</v>
      </c>
      <c r="T2074">
        <v>-4.3161270000000002E-2</v>
      </c>
      <c r="U2074">
        <v>-0.61077879999999996</v>
      </c>
      <c r="V2074">
        <v>-1.6107239999999998E-2</v>
      </c>
      <c r="W2074">
        <v>0.22859160000000001</v>
      </c>
      <c r="X2074">
        <v>0.97338910000000001</v>
      </c>
      <c r="Y2074">
        <v>-0.2114598</v>
      </c>
      <c r="Z2074">
        <v>-2.9921050000000001E-3</v>
      </c>
      <c r="AA2074">
        <v>0.97738210000000003</v>
      </c>
      <c r="AB2074">
        <v>41</v>
      </c>
      <c r="AC2074">
        <v>-51.570900000000002</v>
      </c>
      <c r="AD2074">
        <v>-0.72805659999999905</v>
      </c>
      <c r="AE2074">
        <v>-10.308400000000001</v>
      </c>
      <c r="AF2074">
        <v>-11.2029171133555</v>
      </c>
      <c r="AG2074">
        <v>-0.72805659999999905</v>
      </c>
      <c r="AH2074">
        <v>51.373686429705302</v>
      </c>
      <c r="AI2074">
        <v>90.793288621822796</v>
      </c>
      <c r="AJ2074">
        <v>102.30174817675299</v>
      </c>
      <c r="AK2074">
        <v>52.586034986859502</v>
      </c>
      <c r="AL2074">
        <v>76.785831817526898</v>
      </c>
      <c r="AM2074">
        <v>90.948020324647402</v>
      </c>
      <c r="AN2074">
        <v>0.99999995138489195</v>
      </c>
    </row>
    <row r="2075" spans="1:40" x14ac:dyDescent="0.25">
      <c r="A2075" t="str">
        <f>"20190303171018645"</f>
        <v>20190303171018645</v>
      </c>
      <c r="B2075" t="str">
        <f>"1551604218632514"</f>
        <v>1551604218632514</v>
      </c>
      <c r="C2075" t="s">
        <v>40</v>
      </c>
      <c r="D2075">
        <v>4.9261239999999997</v>
      </c>
      <c r="E2075">
        <v>0.4254174</v>
      </c>
      <c r="F2075" t="s">
        <v>61</v>
      </c>
      <c r="G2075">
        <v>-511.95870000000002</v>
      </c>
      <c r="H2075">
        <v>0.36643419999999999</v>
      </c>
      <c r="I2075">
        <v>275.62630000000001</v>
      </c>
      <c r="J2075">
        <v>-460.79469999999998</v>
      </c>
      <c r="K2075">
        <v>1.1213340000000001</v>
      </c>
      <c r="L2075">
        <v>285.89</v>
      </c>
      <c r="M2075">
        <v>-0.99974890000000005</v>
      </c>
      <c r="N2075">
        <v>-1.433692E-2</v>
      </c>
      <c r="O2075">
        <v>1.7225560000000001E-2</v>
      </c>
      <c r="P2075">
        <v>-0.97654909999999995</v>
      </c>
      <c r="Q2075">
        <v>0.2152847</v>
      </c>
      <c r="R2075">
        <v>2.1167550000000001E-3</v>
      </c>
      <c r="S2075">
        <v>-3.0820919999999998</v>
      </c>
      <c r="T2075">
        <v>-4.5110459999999998E-2</v>
      </c>
      <c r="U2075">
        <v>-0.61297609999999902</v>
      </c>
      <c r="V2075">
        <v>-1.4809879999999999E-2</v>
      </c>
      <c r="W2075">
        <v>0.2292553</v>
      </c>
      <c r="X2075">
        <v>0.9732537</v>
      </c>
      <c r="Y2075">
        <v>-0.21188609999999999</v>
      </c>
      <c r="Z2075">
        <v>-3.0746380000000002E-3</v>
      </c>
      <c r="AA2075">
        <v>0.97728950000000003</v>
      </c>
      <c r="AB2075">
        <v>41</v>
      </c>
      <c r="AC2075">
        <v>-51.164000000000001</v>
      </c>
      <c r="AD2075">
        <v>-0.75489980000000001</v>
      </c>
      <c r="AE2075">
        <v>-10.263699999999901</v>
      </c>
      <c r="AF2075">
        <v>-11.1412643607677</v>
      </c>
      <c r="AG2075">
        <v>-0.75489980000000001</v>
      </c>
      <c r="AH2075">
        <v>50.968924575635903</v>
      </c>
      <c r="AI2075">
        <v>90.828973875180495</v>
      </c>
      <c r="AJ2075">
        <v>102.330303042917</v>
      </c>
      <c r="AK2075">
        <v>52.177858500147401</v>
      </c>
      <c r="AL2075">
        <v>76.746768484405393</v>
      </c>
      <c r="AM2075">
        <v>90.871795436110801</v>
      </c>
      <c r="AN2075">
        <v>1.0000000448436901</v>
      </c>
    </row>
    <row r="2076" spans="1:40" x14ac:dyDescent="0.25">
      <c r="A2076" t="str">
        <f>"20190303171018667"</f>
        <v>20190303171018667</v>
      </c>
      <c r="B2076" t="str">
        <f>"1551604218662769"</f>
        <v>1551604218662769</v>
      </c>
      <c r="C2076" t="s">
        <v>40</v>
      </c>
      <c r="D2076">
        <v>4.9168440000000002</v>
      </c>
      <c r="E2076">
        <v>0.42465969999999997</v>
      </c>
      <c r="F2076" t="s">
        <v>61</v>
      </c>
      <c r="G2076">
        <v>-511.95870000000002</v>
      </c>
      <c r="H2076">
        <v>0.40576699999999999</v>
      </c>
      <c r="I2076">
        <v>275.74270000000001</v>
      </c>
      <c r="J2076">
        <v>-461.22210000000001</v>
      </c>
      <c r="K2076">
        <v>1.121362</v>
      </c>
      <c r="L2076">
        <v>285.89710000000002</v>
      </c>
      <c r="M2076">
        <v>-0.99975309999999995</v>
      </c>
      <c r="N2076">
        <v>-1.433453E-2</v>
      </c>
      <c r="O2076">
        <v>1.6983809999999998E-2</v>
      </c>
      <c r="P2076">
        <v>-0.97649759999999997</v>
      </c>
      <c r="Q2076">
        <v>0.21549670000000001</v>
      </c>
      <c r="R2076">
        <v>3.7484430000000002E-3</v>
      </c>
      <c r="S2076">
        <v>-3.0828859999999998</v>
      </c>
      <c r="T2076">
        <v>-4.3111440000000001E-2</v>
      </c>
      <c r="U2076">
        <v>-0.61141969999999901</v>
      </c>
      <c r="V2076">
        <v>-1.2955650000000001E-2</v>
      </c>
      <c r="W2076">
        <v>0.22946420000000001</v>
      </c>
      <c r="X2076">
        <v>0.97323090000000001</v>
      </c>
      <c r="Y2076">
        <v>-0.21113000000000001</v>
      </c>
      <c r="Z2076">
        <v>-2.9842369999999998E-3</v>
      </c>
      <c r="AA2076">
        <v>0.97745340000000003</v>
      </c>
      <c r="AB2076">
        <v>41</v>
      </c>
      <c r="AC2076">
        <v>-50.736600000000003</v>
      </c>
      <c r="AD2076">
        <v>-0.71559499999999998</v>
      </c>
      <c r="AE2076">
        <v>-10.154400000000001</v>
      </c>
      <c r="AF2076">
        <v>-11.012617986311501</v>
      </c>
      <c r="AG2076">
        <v>-0.71559499999999998</v>
      </c>
      <c r="AH2076">
        <v>50.547134491988501</v>
      </c>
      <c r="AI2076">
        <v>90.792493304975494</v>
      </c>
      <c r="AJ2076">
        <v>102.290867386229</v>
      </c>
      <c r="AK2076">
        <v>51.737825973533397</v>
      </c>
      <c r="AL2076">
        <v>76.734471332298597</v>
      </c>
      <c r="AM2076">
        <v>90.762676383137403</v>
      </c>
      <c r="AN2076">
        <v>1.0000000263316799</v>
      </c>
    </row>
    <row r="2077" spans="1:40" x14ac:dyDescent="0.25">
      <c r="A2077" t="str">
        <f>"20190303171018689"</f>
        <v>20190303171018689</v>
      </c>
      <c r="B2077" t="str">
        <f>"1551604218682293"</f>
        <v>1551604218682293</v>
      </c>
      <c r="C2077" t="s">
        <v>40</v>
      </c>
      <c r="D2077">
        <v>4.9575199999999997</v>
      </c>
      <c r="E2077">
        <v>0.42418080000000002</v>
      </c>
      <c r="F2077" t="s">
        <v>61</v>
      </c>
      <c r="G2077">
        <v>-511.9588</v>
      </c>
      <c r="H2077">
        <v>0.43268509999999999</v>
      </c>
      <c r="I2077">
        <v>275.79750000000001</v>
      </c>
      <c r="J2077">
        <v>-461.62130000000002</v>
      </c>
      <c r="K2077">
        <v>1.1214090000000001</v>
      </c>
      <c r="L2077">
        <v>285.90370000000001</v>
      </c>
      <c r="M2077">
        <v>-0.99975789999999998</v>
      </c>
      <c r="N2077">
        <v>-1.433225E-2</v>
      </c>
      <c r="O2077">
        <v>1.6692530000000001E-2</v>
      </c>
      <c r="P2077">
        <v>-0.97660590000000003</v>
      </c>
      <c r="Q2077">
        <v>0.21499689999999999</v>
      </c>
      <c r="R2077">
        <v>4.1701639999999996E-3</v>
      </c>
      <c r="S2077">
        <v>-3.0838320000000001</v>
      </c>
      <c r="T2077">
        <v>-4.1853550000000003E-2</v>
      </c>
      <c r="U2077">
        <v>-0.61386109999999905</v>
      </c>
      <c r="V2077">
        <v>-1.227541E-2</v>
      </c>
      <c r="W2077">
        <v>0.22896340000000001</v>
      </c>
      <c r="X2077">
        <v>0.97335760000000004</v>
      </c>
      <c r="Y2077">
        <v>-0.2115341</v>
      </c>
      <c r="Z2077">
        <v>-2.9398649999999998E-3</v>
      </c>
      <c r="AA2077">
        <v>0.97736619999999996</v>
      </c>
      <c r="AB2077">
        <v>41</v>
      </c>
      <c r="AC2077">
        <v>-50.337499999999899</v>
      </c>
      <c r="AD2077">
        <v>-0.68872390000000006</v>
      </c>
      <c r="AE2077">
        <v>-10.106199999999999</v>
      </c>
      <c r="AF2077">
        <v>-10.9431690007656</v>
      </c>
      <c r="AG2077">
        <v>-0.68872390000000006</v>
      </c>
      <c r="AH2077">
        <v>50.152744807210198</v>
      </c>
      <c r="AI2077">
        <v>90.768682929070906</v>
      </c>
      <c r="AJ2077">
        <v>102.308835828623</v>
      </c>
      <c r="AK2077">
        <v>51.337365535123602</v>
      </c>
      <c r="AL2077">
        <v>76.763949144807498</v>
      </c>
      <c r="AM2077">
        <v>90.7225421579288</v>
      </c>
      <c r="AN2077">
        <v>0.99999997085399295</v>
      </c>
    </row>
    <row r="2078" spans="1:40" x14ac:dyDescent="0.25">
      <c r="A2078" t="str">
        <f>"20190303171018711"</f>
        <v>20190303171018711</v>
      </c>
      <c r="B2078" t="str">
        <f>"1551604218702787"</f>
        <v>1551604218702787</v>
      </c>
      <c r="C2078" t="s">
        <v>40</v>
      </c>
      <c r="D2078">
        <v>4.9631019999999904</v>
      </c>
      <c r="E2078">
        <v>0.42397390000000001</v>
      </c>
      <c r="F2078" t="s">
        <v>61</v>
      </c>
      <c r="G2078">
        <v>-511.9588</v>
      </c>
      <c r="H2078">
        <v>0.40838989999999997</v>
      </c>
      <c r="I2078">
        <v>275.83819999999997</v>
      </c>
      <c r="J2078">
        <v>-462.03559999999999</v>
      </c>
      <c r="K2078">
        <v>1.1214820000000001</v>
      </c>
      <c r="L2078">
        <v>285.91019999999997</v>
      </c>
      <c r="M2078">
        <v>-0.99976489999999996</v>
      </c>
      <c r="N2078">
        <v>-1.4330020000000001E-2</v>
      </c>
      <c r="O2078">
        <v>1.627756E-2</v>
      </c>
      <c r="P2078">
        <v>-0.97706210000000004</v>
      </c>
      <c r="Q2078">
        <v>0.2129335</v>
      </c>
      <c r="R2078">
        <v>3.0443359999999999E-3</v>
      </c>
      <c r="S2078">
        <v>-3.0841370000000001</v>
      </c>
      <c r="T2078">
        <v>-4.3681030000000003E-2</v>
      </c>
      <c r="U2078">
        <v>-0.616699199999999</v>
      </c>
      <c r="V2078">
        <v>-1.304491E-2</v>
      </c>
      <c r="W2078">
        <v>0.22690150000000001</v>
      </c>
      <c r="X2078">
        <v>0.97383030000000004</v>
      </c>
      <c r="Y2078">
        <v>-0.2119722</v>
      </c>
      <c r="Z2078">
        <v>-3.0176669999999999E-3</v>
      </c>
      <c r="AA2078">
        <v>0.977271</v>
      </c>
      <c r="AB2078">
        <v>41</v>
      </c>
      <c r="AC2078">
        <v>-49.923200000000001</v>
      </c>
      <c r="AD2078">
        <v>-0.71309209999999901</v>
      </c>
      <c r="AE2078">
        <v>-10.071999999999999</v>
      </c>
      <c r="AF2078">
        <v>-10.881243338273899</v>
      </c>
      <c r="AG2078">
        <v>-0.71309209999999901</v>
      </c>
      <c r="AH2078">
        <v>49.742868071296797</v>
      </c>
      <c r="AI2078">
        <v>90.802341359134402</v>
      </c>
      <c r="AJ2078">
        <v>102.339077327662</v>
      </c>
      <c r="AK2078">
        <v>50.924089396750603</v>
      </c>
      <c r="AL2078">
        <v>76.885280983458799</v>
      </c>
      <c r="AM2078">
        <v>90.767457725167603</v>
      </c>
      <c r="AN2078">
        <v>0.99999995678862297</v>
      </c>
    </row>
    <row r="2079" spans="1:40" x14ac:dyDescent="0.25">
      <c r="A2079" t="str">
        <f>"20190303171018734"</f>
        <v>20190303171018734</v>
      </c>
      <c r="B2079" t="str">
        <f>"1551604218722306"</f>
        <v>1551604218722306</v>
      </c>
      <c r="C2079" t="s">
        <v>40</v>
      </c>
      <c r="D2079">
        <v>4.9276109999999997</v>
      </c>
      <c r="E2079">
        <v>0.42006850000000001</v>
      </c>
      <c r="F2079" t="s">
        <v>61</v>
      </c>
      <c r="G2079">
        <v>-511.95870000000002</v>
      </c>
      <c r="H2079">
        <v>0.31061919999999998</v>
      </c>
      <c r="I2079">
        <v>275.84089999999998</v>
      </c>
      <c r="J2079">
        <v>-462.44069999999999</v>
      </c>
      <c r="K2079">
        <v>1.12161</v>
      </c>
      <c r="L2079">
        <v>285.91640000000001</v>
      </c>
      <c r="M2079">
        <v>-0.9997741</v>
      </c>
      <c r="N2079">
        <v>-1.4328260000000001E-2</v>
      </c>
      <c r="O2079">
        <v>1.569649E-2</v>
      </c>
      <c r="P2079">
        <v>-0.97735260000000002</v>
      </c>
      <c r="Q2079">
        <v>0.21161379999999999</v>
      </c>
      <c r="R2079">
        <v>1.195591E-3</v>
      </c>
      <c r="S2079">
        <v>-3.0832820000000001</v>
      </c>
      <c r="T2079">
        <v>-5.0074220000000003E-2</v>
      </c>
      <c r="U2079">
        <v>-0.62188719999999997</v>
      </c>
      <c r="V2079">
        <v>-1.4397E-2</v>
      </c>
      <c r="W2079">
        <v>0.22557869999999999</v>
      </c>
      <c r="X2079">
        <v>0.97411859999999995</v>
      </c>
      <c r="Y2079">
        <v>-0.21302699999999999</v>
      </c>
      <c r="Z2079">
        <v>-3.2839810000000001E-3</v>
      </c>
      <c r="AA2079">
        <v>0.97704080000000004</v>
      </c>
      <c r="AB2079">
        <v>41</v>
      </c>
      <c r="AC2079">
        <v>-49.518000000000001</v>
      </c>
      <c r="AD2079">
        <v>-0.81099080000000001</v>
      </c>
      <c r="AE2079">
        <v>-10.0755</v>
      </c>
      <c r="AF2079">
        <v>-10.8488028071479</v>
      </c>
      <c r="AG2079">
        <v>-0.81099080000000001</v>
      </c>
      <c r="AH2079">
        <v>49.341023477215401</v>
      </c>
      <c r="AI2079">
        <v>90.919689203866994</v>
      </c>
      <c r="AJ2079">
        <v>102.400526389785</v>
      </c>
      <c r="AK2079">
        <v>50.526140028753296</v>
      </c>
      <c r="AL2079">
        <v>76.963090338568904</v>
      </c>
      <c r="AM2079">
        <v>90.846742156817101</v>
      </c>
      <c r="AN2079">
        <v>1.0000000351843199</v>
      </c>
    </row>
    <row r="2080" spans="1:40" x14ac:dyDescent="0.25">
      <c r="A2080" t="str">
        <f>"20190303171018752"</f>
        <v>20190303171018752</v>
      </c>
      <c r="B2080" t="str">
        <f>"1551604218742802"</f>
        <v>1551604218742802</v>
      </c>
      <c r="C2080" t="s">
        <v>40</v>
      </c>
      <c r="D2080">
        <v>4.9322220000000003</v>
      </c>
      <c r="E2080">
        <v>0.41930260000000003</v>
      </c>
      <c r="F2080" t="s">
        <v>61</v>
      </c>
      <c r="G2080">
        <v>-512.8252</v>
      </c>
      <c r="H2080">
        <v>0.15726389999999901</v>
      </c>
      <c r="I2080">
        <v>275.15440000000001</v>
      </c>
      <c r="J2080">
        <v>-462.77679999999998</v>
      </c>
      <c r="K2080">
        <v>1.1217790000000001</v>
      </c>
      <c r="L2080">
        <v>285.92110000000002</v>
      </c>
      <c r="M2080">
        <v>-0.99978489999999998</v>
      </c>
      <c r="N2080">
        <v>-1.432772E-2</v>
      </c>
      <c r="O2080">
        <v>1.499994E-2</v>
      </c>
      <c r="P2080">
        <v>-0.97721499999999994</v>
      </c>
      <c r="Q2080">
        <v>0.2122523</v>
      </c>
      <c r="R2080">
        <v>1.043566E-4</v>
      </c>
      <c r="S2080">
        <v>-3.0830989999999998</v>
      </c>
      <c r="T2080">
        <v>-5.900466E-2</v>
      </c>
      <c r="U2080">
        <v>-0.65853879999999998</v>
      </c>
      <c r="V2080">
        <v>-1.4893170000000001E-2</v>
      </c>
      <c r="W2080">
        <v>0.22620860000000001</v>
      </c>
      <c r="X2080">
        <v>0.97396499999999997</v>
      </c>
      <c r="Y2080">
        <v>-0.22346170000000001</v>
      </c>
      <c r="Z2080">
        <v>-3.80482E-3</v>
      </c>
      <c r="AA2080">
        <v>0.9747053</v>
      </c>
      <c r="AB2080">
        <v>41</v>
      </c>
      <c r="AC2080">
        <v>-50.048400000000001</v>
      </c>
      <c r="AD2080">
        <v>-0.96451509999999996</v>
      </c>
      <c r="AE2080">
        <v>-10.7667</v>
      </c>
      <c r="AF2080">
        <v>-11.512201983731901</v>
      </c>
      <c r="AG2080">
        <v>-0.96451509999999996</v>
      </c>
      <c r="AH2080">
        <v>49.863551702438997</v>
      </c>
      <c r="AI2080">
        <v>91.079743032281797</v>
      </c>
      <c r="AJ2080">
        <v>103.00032072493001</v>
      </c>
      <c r="AK2080">
        <v>51.184322524325502</v>
      </c>
      <c r="AL2080">
        <v>76.926041359175699</v>
      </c>
      <c r="AM2080">
        <v>90.876057441035996</v>
      </c>
      <c r="AN2080">
        <v>0.99999997922580397</v>
      </c>
    </row>
    <row r="2081" spans="1:40" x14ac:dyDescent="0.25">
      <c r="A2081" t="str">
        <f>"20190303171018769"</f>
        <v>20190303171018769</v>
      </c>
      <c r="B2081" t="str">
        <f>"1551604218762323"</f>
        <v>1551604218762323</v>
      </c>
      <c r="C2081" t="s">
        <v>40</v>
      </c>
      <c r="D2081">
        <v>4.9535900000000002</v>
      </c>
      <c r="E2081">
        <v>0.41894049999999999</v>
      </c>
      <c r="F2081" t="s">
        <v>61</v>
      </c>
      <c r="G2081">
        <v>-512.82529999999997</v>
      </c>
      <c r="H2081">
        <v>0.2445039</v>
      </c>
      <c r="I2081">
        <v>275.0806</v>
      </c>
      <c r="J2081">
        <v>-463.07429999999999</v>
      </c>
      <c r="K2081">
        <v>1.1219809999999999</v>
      </c>
      <c r="L2081">
        <v>285.92500000000001</v>
      </c>
      <c r="M2081">
        <v>-0.99979700000000005</v>
      </c>
      <c r="N2081">
        <v>-1.4328540000000001E-2</v>
      </c>
      <c r="O2081">
        <v>1.4164049999999999E-2</v>
      </c>
      <c r="P2081">
        <v>-0.97655670000000006</v>
      </c>
      <c r="Q2081">
        <v>0.21525830000000001</v>
      </c>
      <c r="R2081">
        <v>-9.8815280000000001E-4</v>
      </c>
      <c r="S2081">
        <v>-3.0817570000000001</v>
      </c>
      <c r="T2081">
        <v>-5.4013489999999997E-2</v>
      </c>
      <c r="U2081">
        <v>-0.66751099999999997</v>
      </c>
      <c r="V2081">
        <v>-1.527046E-2</v>
      </c>
      <c r="W2081">
        <v>0.22919780000000001</v>
      </c>
      <c r="X2081">
        <v>0.97326009999999996</v>
      </c>
      <c r="Y2081">
        <v>-0.22545370000000001</v>
      </c>
      <c r="Z2081">
        <v>-3.6319009999999999E-3</v>
      </c>
      <c r="AA2081">
        <v>0.97424710000000003</v>
      </c>
      <c r="AB2081">
        <v>41</v>
      </c>
      <c r="AC2081">
        <v>-49.750999999999898</v>
      </c>
      <c r="AD2081">
        <v>-0.87747709999999901</v>
      </c>
      <c r="AE2081">
        <v>-10.8444</v>
      </c>
      <c r="AF2081">
        <v>-11.544631550664599</v>
      </c>
      <c r="AG2081">
        <v>-0.87747709999999901</v>
      </c>
      <c r="AH2081">
        <v>49.5776688468736</v>
      </c>
      <c r="AI2081">
        <v>90.987558779150106</v>
      </c>
      <c r="AJ2081">
        <v>103.108273139979</v>
      </c>
      <c r="AK2081">
        <v>50.911626687740899</v>
      </c>
      <c r="AL2081">
        <v>76.750152783487096</v>
      </c>
      <c r="AM2081">
        <v>90.898897554604403</v>
      </c>
      <c r="AN2081">
        <v>1.0000000203627299</v>
      </c>
    </row>
    <row r="2082" spans="1:40" x14ac:dyDescent="0.25">
      <c r="A2082" t="str">
        <f>"20190303171018790"</f>
        <v>20190303171018790</v>
      </c>
      <c r="B2082" t="str">
        <f>"1551604218782819"</f>
        <v>1551604218782819</v>
      </c>
      <c r="C2082" t="s">
        <v>40</v>
      </c>
      <c r="D2082">
        <v>4.9393690000000001</v>
      </c>
      <c r="E2082">
        <v>0.4182515</v>
      </c>
      <c r="F2082" t="s">
        <v>61</v>
      </c>
      <c r="G2082">
        <v>-512.82529999999997</v>
      </c>
      <c r="H2082">
        <v>0.4069276</v>
      </c>
      <c r="I2082">
        <v>275.0419</v>
      </c>
      <c r="J2082">
        <v>-463.47820000000002</v>
      </c>
      <c r="K2082">
        <v>1.1223179999999999</v>
      </c>
      <c r="L2082">
        <v>285.92950000000002</v>
      </c>
      <c r="M2082">
        <v>-0.99981710000000001</v>
      </c>
      <c r="N2082">
        <v>-1.4332589999999999E-2</v>
      </c>
      <c r="O2082">
        <v>1.2670539999999999E-2</v>
      </c>
      <c r="P2082">
        <v>-0.97574799999999995</v>
      </c>
      <c r="Q2082">
        <v>0.2188967</v>
      </c>
      <c r="R2082">
        <v>-5.1874199999999999E-4</v>
      </c>
      <c r="S2082">
        <v>-3.0810550000000001</v>
      </c>
      <c r="T2082">
        <v>-4.4277789999999997E-2</v>
      </c>
      <c r="U2082">
        <v>-0.67398069999999999</v>
      </c>
      <c r="V2082">
        <v>-1.3525570000000001E-2</v>
      </c>
      <c r="W2082">
        <v>0.23282159999999999</v>
      </c>
      <c r="X2082">
        <v>0.9724254</v>
      </c>
      <c r="Y2082">
        <v>-0.2260133</v>
      </c>
      <c r="Z2082">
        <v>-3.2443929999999999E-3</v>
      </c>
      <c r="AA2082">
        <v>0.97411879999999995</v>
      </c>
      <c r="AB2082">
        <v>41</v>
      </c>
      <c r="AC2082">
        <v>-49.347099999999898</v>
      </c>
      <c r="AD2082">
        <v>-0.71539039999999998</v>
      </c>
      <c r="AE2082">
        <v>-10.887600000000001</v>
      </c>
      <c r="AF2082">
        <v>-11.509737724774901</v>
      </c>
      <c r="AG2082">
        <v>-0.71539039999999998</v>
      </c>
      <c r="AH2082">
        <v>49.195312687756399</v>
      </c>
      <c r="AI2082">
        <v>90.811224092573497</v>
      </c>
      <c r="AJ2082">
        <v>103.168071639473</v>
      </c>
      <c r="AK2082">
        <v>50.528849545221703</v>
      </c>
      <c r="AL2082">
        <v>76.536751720376998</v>
      </c>
      <c r="AM2082">
        <v>90.796881803988697</v>
      </c>
      <c r="AN2082">
        <v>0.99999999851777199</v>
      </c>
    </row>
    <row r="2083" spans="1:40" x14ac:dyDescent="0.25">
      <c r="A2083" t="str">
        <f>"20190303171018813"</f>
        <v>20190303171018813</v>
      </c>
      <c r="B2083" t="str">
        <f>"1551604218802338"</f>
        <v>1551604218802338</v>
      </c>
      <c r="C2083" t="s">
        <v>40</v>
      </c>
      <c r="D2083">
        <v>4.9705279999999998</v>
      </c>
      <c r="E2083">
        <v>0.4176473</v>
      </c>
      <c r="F2083" t="s">
        <v>61</v>
      </c>
      <c r="G2083">
        <v>-512.82539999999995</v>
      </c>
      <c r="H2083">
        <v>0.64413480000000001</v>
      </c>
      <c r="I2083">
        <v>275.0462</v>
      </c>
      <c r="J2083">
        <v>-463.89260000000002</v>
      </c>
      <c r="K2083">
        <v>1.122733</v>
      </c>
      <c r="L2083">
        <v>285.93310000000002</v>
      </c>
      <c r="M2083">
        <v>-0.99984050000000002</v>
      </c>
      <c r="N2083">
        <v>-1.434122E-2</v>
      </c>
      <c r="O2083">
        <v>1.0640159999999999E-2</v>
      </c>
      <c r="P2083">
        <v>-0.97536959999999995</v>
      </c>
      <c r="Q2083">
        <v>0.2205741</v>
      </c>
      <c r="R2083">
        <v>1.1900840000000001E-3</v>
      </c>
      <c r="S2083">
        <v>-3.080902</v>
      </c>
      <c r="T2083">
        <v>-2.984941E-2</v>
      </c>
      <c r="U2083">
        <v>-0.67947389999999996</v>
      </c>
      <c r="V2083">
        <v>-1.006776E-2</v>
      </c>
      <c r="W2083">
        <v>0.23450280000000001</v>
      </c>
      <c r="X2083">
        <v>0.97206329999999996</v>
      </c>
      <c r="Y2083">
        <v>-0.2257217</v>
      </c>
      <c r="Z2083">
        <v>-2.6695460000000001E-3</v>
      </c>
      <c r="AA2083">
        <v>0.97418819999999995</v>
      </c>
      <c r="AB2083">
        <v>41</v>
      </c>
      <c r="AC2083">
        <v>-48.932799999999901</v>
      </c>
      <c r="AD2083">
        <v>-0.47859819999999897</v>
      </c>
      <c r="AE2083">
        <v>-10.886900000000001</v>
      </c>
      <c r="AF2083">
        <v>-11.4059503221791</v>
      </c>
      <c r="AG2083">
        <v>-0.47859819999999897</v>
      </c>
      <c r="AH2083">
        <v>48.809730124761899</v>
      </c>
      <c r="AI2083">
        <v>90.547052135461399</v>
      </c>
      <c r="AJ2083">
        <v>103.152960885558</v>
      </c>
      <c r="AK2083">
        <v>50.126983889330099</v>
      </c>
      <c r="AL2083">
        <v>76.437683519919702</v>
      </c>
      <c r="AM2083">
        <v>90.593397089136005</v>
      </c>
      <c r="AN2083">
        <v>0.99999999110307303</v>
      </c>
    </row>
    <row r="2084" spans="1:40" x14ac:dyDescent="0.25">
      <c r="A2084" t="str">
        <f>"20190303171018834"</f>
        <v>20190303171018834</v>
      </c>
      <c r="B2084" t="str">
        <f>"1551604218822833"</f>
        <v>1551604218822833</v>
      </c>
      <c r="C2084" t="s">
        <v>40</v>
      </c>
      <c r="D2084">
        <v>4.9795449999999999</v>
      </c>
      <c r="E2084">
        <v>0.41719840000000002</v>
      </c>
      <c r="F2084" t="s">
        <v>61</v>
      </c>
      <c r="G2084">
        <v>-512.82539999999995</v>
      </c>
      <c r="H2084">
        <v>0.78703239999999997</v>
      </c>
      <c r="I2084">
        <v>275.11919999999998</v>
      </c>
      <c r="J2084">
        <v>-464.28539999999998</v>
      </c>
      <c r="K2084">
        <v>1.1231690000000001</v>
      </c>
      <c r="L2084">
        <v>285.93529999999998</v>
      </c>
      <c r="M2084">
        <v>-0.99986359999999996</v>
      </c>
      <c r="N2084">
        <v>-1.435319E-2</v>
      </c>
      <c r="O2084">
        <v>8.1856189999999999E-3</v>
      </c>
      <c r="P2084">
        <v>-0.97558069999999997</v>
      </c>
      <c r="Q2084">
        <v>0.2196245</v>
      </c>
      <c r="R2084">
        <v>2.8275349999999999E-3</v>
      </c>
      <c r="S2084">
        <v>-3.0813899999999999</v>
      </c>
      <c r="T2084">
        <v>-2.1134610000000002E-2</v>
      </c>
      <c r="U2084">
        <v>-0.68096919999999905</v>
      </c>
      <c r="V2084">
        <v>-6.2831319999999899E-3</v>
      </c>
      <c r="W2084">
        <v>0.23357700000000001</v>
      </c>
      <c r="X2084">
        <v>0.97231800000000002</v>
      </c>
      <c r="Y2084">
        <v>-0.2237576</v>
      </c>
      <c r="Z2084">
        <v>-2.3227130000000001E-3</v>
      </c>
      <c r="AA2084">
        <v>0.97464200000000001</v>
      </c>
      <c r="AB2084">
        <v>41</v>
      </c>
      <c r="AC2084">
        <v>-48.5399999999999</v>
      </c>
      <c r="AD2084">
        <v>-0.33613660000000001</v>
      </c>
      <c r="AE2084">
        <v>-10.8161</v>
      </c>
      <c r="AF2084">
        <v>-11.212596127069901</v>
      </c>
      <c r="AG2084">
        <v>-0.33613660000000001</v>
      </c>
      <c r="AH2084">
        <v>48.447614463031599</v>
      </c>
      <c r="AI2084">
        <v>90.387283594591494</v>
      </c>
      <c r="AJ2084">
        <v>103.030966031312</v>
      </c>
      <c r="AK2084">
        <v>49.7293338672578</v>
      </c>
      <c r="AL2084">
        <v>76.4922432677741</v>
      </c>
      <c r="AM2084">
        <v>90.370240944811698</v>
      </c>
      <c r="AN2084">
        <v>0.99999999290036401</v>
      </c>
    </row>
    <row r="2085" spans="1:40" x14ac:dyDescent="0.25">
      <c r="A2085" t="str">
        <f>"20190303171018857"</f>
        <v>20190303171018857</v>
      </c>
      <c r="B2085" t="str">
        <f>"1551604218853090"</f>
        <v>1551604218853090</v>
      </c>
      <c r="C2085" t="s">
        <v>40</v>
      </c>
      <c r="D2085">
        <v>4.975009</v>
      </c>
      <c r="E2085">
        <v>0.41215770000000002</v>
      </c>
      <c r="F2085" t="s">
        <v>61</v>
      </c>
      <c r="G2085">
        <v>-512.82539999999995</v>
      </c>
      <c r="H2085">
        <v>0.76594530000000005</v>
      </c>
      <c r="I2085">
        <v>275.21469999999999</v>
      </c>
      <c r="J2085">
        <v>-464.69799999999998</v>
      </c>
      <c r="K2085">
        <v>1.1236699999999999</v>
      </c>
      <c r="L2085">
        <v>285.93610000000001</v>
      </c>
      <c r="M2085">
        <v>-0.99988440000000001</v>
      </c>
      <c r="N2085">
        <v>-1.4370269999999999E-2</v>
      </c>
      <c r="O2085">
        <v>4.9981440000000004E-3</v>
      </c>
      <c r="P2085">
        <v>-0.97620819999999997</v>
      </c>
      <c r="Q2085">
        <v>0.21682699999999999</v>
      </c>
      <c r="R2085">
        <v>2.0534680000000001E-3</v>
      </c>
      <c r="S2085">
        <v>-3.0821529999999999</v>
      </c>
      <c r="T2085">
        <v>-2.267754E-2</v>
      </c>
      <c r="U2085">
        <v>-0.68072509999999997</v>
      </c>
      <c r="V2085">
        <v>-4.2223340000000003E-3</v>
      </c>
      <c r="W2085">
        <v>0.2308113</v>
      </c>
      <c r="X2085">
        <v>0.9729894</v>
      </c>
      <c r="Y2085">
        <v>-0.22052369999999999</v>
      </c>
      <c r="Z2085">
        <v>-2.3704830000000001E-3</v>
      </c>
      <c r="AA2085">
        <v>0.97537879999999999</v>
      </c>
      <c r="AB2085">
        <v>41</v>
      </c>
      <c r="AC2085">
        <v>-48.127399999999803</v>
      </c>
      <c r="AD2085">
        <v>-0.35772470000000001</v>
      </c>
      <c r="AE2085">
        <v>-10.721399999999999</v>
      </c>
      <c r="AF2085">
        <v>-10.961261583435601</v>
      </c>
      <c r="AG2085">
        <v>-0.35772470000000001</v>
      </c>
      <c r="AH2085">
        <v>48.070675879405599</v>
      </c>
      <c r="AI2085">
        <v>90.415697006914698</v>
      </c>
      <c r="AJ2085">
        <v>102.84518294837299</v>
      </c>
      <c r="AK2085">
        <v>49.305852613704602</v>
      </c>
      <c r="AL2085">
        <v>76.655159322225401</v>
      </c>
      <c r="AM2085">
        <v>90.248636212597404</v>
      </c>
      <c r="AN2085">
        <v>1.0000000284122199</v>
      </c>
    </row>
    <row r="2086" spans="1:40" x14ac:dyDescent="0.25">
      <c r="A2086" t="str">
        <f>"20190303171018879"</f>
        <v>20190303171018879</v>
      </c>
      <c r="B2086" t="str">
        <f>"1551604218872613"</f>
        <v>1551604218872613</v>
      </c>
      <c r="C2086" t="s">
        <v>40</v>
      </c>
      <c r="D2086">
        <v>4.9747050000000002</v>
      </c>
      <c r="E2086">
        <v>0.4116784</v>
      </c>
      <c r="F2086" t="s">
        <v>61</v>
      </c>
      <c r="G2086">
        <v>-512.82539999999995</v>
      </c>
      <c r="H2086">
        <v>0.76168389999999997</v>
      </c>
      <c r="I2086">
        <v>274.62920000000003</v>
      </c>
      <c r="J2086">
        <v>-465.10270000000003</v>
      </c>
      <c r="K2086">
        <v>1.124185</v>
      </c>
      <c r="L2086">
        <v>285.935</v>
      </c>
      <c r="M2086">
        <v>-0.9998958</v>
      </c>
      <c r="N2086">
        <v>-1.439226E-2</v>
      </c>
      <c r="O2086">
        <v>1.225521E-3</v>
      </c>
      <c r="P2086">
        <v>-0.97663509999999998</v>
      </c>
      <c r="Q2086">
        <v>0.2149026</v>
      </c>
      <c r="R2086">
        <v>-9.9395819999999993E-4</v>
      </c>
      <c r="S2086">
        <v>-3.079742</v>
      </c>
      <c r="T2086">
        <v>-2.3158789999999999E-2</v>
      </c>
      <c r="U2086">
        <v>-0.72354130000000005</v>
      </c>
      <c r="V2086">
        <v>-3.869651E-3</v>
      </c>
      <c r="W2086">
        <v>0.22891420000000001</v>
      </c>
      <c r="X2086">
        <v>0.9734389</v>
      </c>
      <c r="Y2086">
        <v>-0.2298829</v>
      </c>
      <c r="Z2086">
        <v>-2.5210369999999998E-3</v>
      </c>
      <c r="AA2086">
        <v>0.97321500000000005</v>
      </c>
      <c r="AB2086">
        <v>41</v>
      </c>
      <c r="AC2086">
        <v>-47.722699999999897</v>
      </c>
      <c r="AD2086">
        <v>-0.36250110000000002</v>
      </c>
      <c r="AE2086">
        <v>-11.3057999999999</v>
      </c>
      <c r="AF2086">
        <v>-11.363661901266299</v>
      </c>
      <c r="AG2086">
        <v>-0.36250110000000002</v>
      </c>
      <c r="AH2086">
        <v>47.706200902655503</v>
      </c>
      <c r="AI2086">
        <v>90.423511501907797</v>
      </c>
      <c r="AJ2086">
        <v>103.398228985665</v>
      </c>
      <c r="AK2086">
        <v>49.042286074553303</v>
      </c>
      <c r="AL2086">
        <v>76.766845248091997</v>
      </c>
      <c r="AM2086">
        <v>90.227763142213107</v>
      </c>
      <c r="AN2086">
        <v>0.99999998859685502</v>
      </c>
    </row>
    <row r="2087" spans="1:40" x14ac:dyDescent="0.25">
      <c r="A2087" t="str">
        <f>"20190303171018898"</f>
        <v>20190303171018898</v>
      </c>
      <c r="B2087" t="str">
        <f>"1551604218893106"</f>
        <v>1551604218893106</v>
      </c>
      <c r="C2087" t="s">
        <v>40</v>
      </c>
      <c r="D2087">
        <v>4.9726869999999996</v>
      </c>
      <c r="E2087">
        <v>0.41102250000000001</v>
      </c>
      <c r="F2087" t="s">
        <v>61</v>
      </c>
      <c r="G2087">
        <v>-512.82539999999995</v>
      </c>
      <c r="H2087">
        <v>0.67609160000000001</v>
      </c>
      <c r="I2087">
        <v>274.48790000000002</v>
      </c>
      <c r="J2087">
        <v>-465.4554</v>
      </c>
      <c r="K2087">
        <v>1.1246320000000001</v>
      </c>
      <c r="L2087">
        <v>285.9325</v>
      </c>
      <c r="M2087">
        <v>-0.99989320000000004</v>
      </c>
      <c r="N2087">
        <v>-1.441403E-2</v>
      </c>
      <c r="O2087">
        <v>-2.470725E-3</v>
      </c>
      <c r="P2087">
        <v>-0.97671790000000003</v>
      </c>
      <c r="Q2087">
        <v>0.2144855</v>
      </c>
      <c r="R2087">
        <v>-4.2835260000000002E-3</v>
      </c>
      <c r="S2087">
        <v>-3.0773929999999998</v>
      </c>
      <c r="T2087">
        <v>-2.8890010000000001E-2</v>
      </c>
      <c r="U2087">
        <v>-0.73815920000000002</v>
      </c>
      <c r="V2087">
        <v>-3.7948180000000001E-3</v>
      </c>
      <c r="W2087">
        <v>0.2285182</v>
      </c>
      <c r="X2087">
        <v>0.97353230000000002</v>
      </c>
      <c r="Y2087">
        <v>-0.2308201</v>
      </c>
      <c r="Z2087">
        <v>-2.7674930000000002E-3</v>
      </c>
      <c r="AA2087">
        <v>0.97299250000000004</v>
      </c>
      <c r="AB2087">
        <v>41</v>
      </c>
      <c r="AC2087">
        <v>-47.369999999999898</v>
      </c>
      <c r="AD2087">
        <v>-0.44854040000000001</v>
      </c>
      <c r="AE2087">
        <v>-11.4445999999999</v>
      </c>
      <c r="AF2087">
        <v>-11.3265551488103</v>
      </c>
      <c r="AG2087">
        <v>-0.44854040000000001</v>
      </c>
      <c r="AH2087">
        <v>47.394119801565601</v>
      </c>
      <c r="AI2087">
        <v>90.527383387841198</v>
      </c>
      <c r="AJ2087">
        <v>103.440814402299</v>
      </c>
      <c r="AK2087">
        <v>48.730838611649503</v>
      </c>
      <c r="AL2087">
        <v>76.790153046855394</v>
      </c>
      <c r="AM2087">
        <v>90.223337175573704</v>
      </c>
      <c r="AN2087">
        <v>1.0000000537590901</v>
      </c>
    </row>
    <row r="2088" spans="1:40" x14ac:dyDescent="0.25">
      <c r="A2088" t="str">
        <f>"20190303171018912"</f>
        <v>20190303171018912</v>
      </c>
      <c r="B2088" t="str">
        <f>"1551604218902866"</f>
        <v>1551604218902866</v>
      </c>
      <c r="C2088" t="s">
        <v>40</v>
      </c>
      <c r="D2088">
        <v>4.9924530000000003</v>
      </c>
      <c r="E2088">
        <v>0.41078160000000002</v>
      </c>
      <c r="F2088" t="s">
        <v>61</v>
      </c>
      <c r="G2088">
        <v>-512.82539999999995</v>
      </c>
      <c r="H2088">
        <v>0.66838229999999998</v>
      </c>
      <c r="I2088">
        <v>274.29579999999999</v>
      </c>
      <c r="J2088">
        <v>-465.71519999999998</v>
      </c>
      <c r="K2088">
        <v>1.124941</v>
      </c>
      <c r="L2088">
        <v>285.92959999999999</v>
      </c>
      <c r="M2088">
        <v>-0.99988109999999997</v>
      </c>
      <c r="N2088">
        <v>-1.4429300000000001E-2</v>
      </c>
      <c r="O2088">
        <v>-5.4517599999999999E-3</v>
      </c>
      <c r="P2088">
        <v>-0.97659910000000005</v>
      </c>
      <c r="Q2088">
        <v>0.21494679999999999</v>
      </c>
      <c r="R2088">
        <v>-7.2389689999999996E-3</v>
      </c>
      <c r="S2088">
        <v>-3.0746769999999999</v>
      </c>
      <c r="T2088">
        <v>-2.9608849999999999E-2</v>
      </c>
      <c r="U2088">
        <v>-0.75531009999999998</v>
      </c>
      <c r="V2088">
        <v>-4.0213609999999898E-3</v>
      </c>
      <c r="W2088">
        <v>0.2289889</v>
      </c>
      <c r="X2088">
        <v>0.97342070000000003</v>
      </c>
      <c r="Y2088">
        <v>-0.23323749999999999</v>
      </c>
      <c r="Z2088">
        <v>-2.8399229999999998E-3</v>
      </c>
      <c r="AA2088">
        <v>0.97241569999999999</v>
      </c>
      <c r="AB2088">
        <v>41</v>
      </c>
      <c r="AC2088">
        <v>-47.110199999999899</v>
      </c>
      <c r="AD2088">
        <v>-0.45655869999999998</v>
      </c>
      <c r="AE2088">
        <v>-11.633800000000001</v>
      </c>
      <c r="AF2088">
        <v>-11.3757598345986</v>
      </c>
      <c r="AG2088">
        <v>-0.45655869999999998</v>
      </c>
      <c r="AH2088">
        <v>47.168755530779798</v>
      </c>
      <c r="AI2088">
        <v>90.539107770570894</v>
      </c>
      <c r="AJ2088">
        <v>103.55918308724399</v>
      </c>
      <c r="AK2088">
        <v>48.523271282792599</v>
      </c>
      <c r="AL2088">
        <v>76.762448260717093</v>
      </c>
      <c r="AM2088">
        <v>90.236696941479906</v>
      </c>
      <c r="AN2088">
        <v>0.99999997342799496</v>
      </c>
    </row>
    <row r="2089" spans="1:40" x14ac:dyDescent="0.25">
      <c r="A2089" t="str">
        <f>"20190303171018935"</f>
        <v>20190303171018935</v>
      </c>
      <c r="B2089" t="str">
        <f>"1551604218923362"</f>
        <v>1551604218923362</v>
      </c>
      <c r="C2089" t="s">
        <v>40</v>
      </c>
      <c r="D2089">
        <v>4.944858</v>
      </c>
      <c r="E2089">
        <v>0.41060059999999898</v>
      </c>
      <c r="F2089" t="s">
        <v>61</v>
      </c>
      <c r="G2089">
        <v>-512.82539999999995</v>
      </c>
      <c r="H2089">
        <v>0.71845459999999906</v>
      </c>
      <c r="I2089">
        <v>274.13709999999998</v>
      </c>
      <c r="J2089">
        <v>-466.11430000000001</v>
      </c>
      <c r="K2089">
        <v>1.1254139999999999</v>
      </c>
      <c r="L2089">
        <v>285.92360000000002</v>
      </c>
      <c r="M2089">
        <v>-0.99984150000000005</v>
      </c>
      <c r="N2089">
        <v>-1.4450879999999999E-2</v>
      </c>
      <c r="O2089">
        <v>-1.0398579999999999E-2</v>
      </c>
      <c r="P2089">
        <v>-0.9766783</v>
      </c>
      <c r="Q2089">
        <v>0.21438189999999999</v>
      </c>
      <c r="R2089">
        <v>-1.181958E-2</v>
      </c>
      <c r="S2089">
        <v>-3.0720519999999998</v>
      </c>
      <c r="T2089">
        <v>-2.650166E-2</v>
      </c>
      <c r="U2089">
        <v>-0.7689819</v>
      </c>
      <c r="V2089">
        <v>-4.0307110000000002E-3</v>
      </c>
      <c r="W2089">
        <v>0.22844490000000001</v>
      </c>
      <c r="X2089">
        <v>0.97354850000000004</v>
      </c>
      <c r="Y2089">
        <v>-0.2326994</v>
      </c>
      <c r="Z2089">
        <v>-2.7552539999999999E-3</v>
      </c>
      <c r="AA2089">
        <v>0.97254479999999999</v>
      </c>
      <c r="AB2089">
        <v>41</v>
      </c>
      <c r="AC2089">
        <v>-46.711099999999902</v>
      </c>
      <c r="AD2089">
        <v>-0.40695940000000003</v>
      </c>
      <c r="AE2089">
        <v>-11.7865</v>
      </c>
      <c r="AF2089">
        <v>-11.299276453314601</v>
      </c>
      <c r="AG2089">
        <v>-0.40695940000000003</v>
      </c>
      <c r="AH2089">
        <v>46.827807984538403</v>
      </c>
      <c r="AI2089">
        <v>90.484028556431795</v>
      </c>
      <c r="AJ2089">
        <v>103.565823985218</v>
      </c>
      <c r="AK2089">
        <v>48.173466399652803</v>
      </c>
      <c r="AL2089">
        <v>76.7944662199845</v>
      </c>
      <c r="AM2089">
        <v>90.237216131691795</v>
      </c>
      <c r="AN2089">
        <v>1.00000000040971</v>
      </c>
    </row>
    <row r="2090" spans="1:40" x14ac:dyDescent="0.25">
      <c r="A2090" t="str">
        <f>"20190303171018958"</f>
        <v>20190303171018958</v>
      </c>
      <c r="B2090" t="str">
        <f>"1551604218952642"</f>
        <v>1551604218952642</v>
      </c>
      <c r="C2090" t="s">
        <v>40</v>
      </c>
      <c r="D2090">
        <v>4.959816</v>
      </c>
      <c r="E2090">
        <v>0.40704610000000002</v>
      </c>
      <c r="F2090" t="s">
        <v>61</v>
      </c>
      <c r="G2090">
        <v>-512.82539999999995</v>
      </c>
      <c r="H2090">
        <v>0.71310949999999995</v>
      </c>
      <c r="I2090">
        <v>273.95699999999999</v>
      </c>
      <c r="J2090">
        <v>-466.53120000000001</v>
      </c>
      <c r="K2090">
        <v>1.1259189999999999</v>
      </c>
      <c r="L2090">
        <v>285.91460000000001</v>
      </c>
      <c r="M2090">
        <v>-0.99976560000000003</v>
      </c>
      <c r="N2090">
        <v>-1.447418E-2</v>
      </c>
      <c r="O2090">
        <v>-1.6108049999999999E-2</v>
      </c>
      <c r="P2090">
        <v>-0.97670270000000003</v>
      </c>
      <c r="Q2090">
        <v>0.21371799999999999</v>
      </c>
      <c r="R2090">
        <v>-1.9399349999999999E-2</v>
      </c>
      <c r="S2090">
        <v>-3.0680540000000001</v>
      </c>
      <c r="T2090">
        <v>-2.7075410000000001E-2</v>
      </c>
      <c r="U2090">
        <v>-0.78598020000000002</v>
      </c>
      <c r="V2090">
        <v>-6.3026940000000002E-3</v>
      </c>
      <c r="W2090">
        <v>0.2277777</v>
      </c>
      <c r="X2090">
        <v>0.97369280000000002</v>
      </c>
      <c r="Y2090">
        <v>-0.23250660000000001</v>
      </c>
      <c r="Z2090">
        <v>-2.808966E-3</v>
      </c>
      <c r="AA2090">
        <v>0.97259070000000003</v>
      </c>
      <c r="AB2090">
        <v>41</v>
      </c>
      <c r="AC2090">
        <v>-46.294199999999897</v>
      </c>
      <c r="AD2090">
        <v>-0.4128095</v>
      </c>
      <c r="AE2090">
        <v>-11.957599999999999</v>
      </c>
      <c r="AF2090">
        <v>-11.209425364313301</v>
      </c>
      <c r="AG2090">
        <v>-0.4128095</v>
      </c>
      <c r="AH2090">
        <v>46.477361684368901</v>
      </c>
      <c r="AI2090">
        <v>90.494700961407503</v>
      </c>
      <c r="AJ2090">
        <v>103.559660768367</v>
      </c>
      <c r="AK2090">
        <v>47.811784926114697</v>
      </c>
      <c r="AL2090">
        <v>76.833729615079605</v>
      </c>
      <c r="AM2090">
        <v>90.370869253979805</v>
      </c>
      <c r="AN2090">
        <v>1.0000000366703901</v>
      </c>
    </row>
    <row r="2091" spans="1:40" x14ac:dyDescent="0.25">
      <c r="A2091" t="str">
        <f>"20190303171018980"</f>
        <v>20190303171018980</v>
      </c>
      <c r="B2091" t="str">
        <f>"1551604218973140"</f>
        <v>1551604218973140</v>
      </c>
      <c r="C2091" t="s">
        <v>40</v>
      </c>
      <c r="D2091">
        <v>4.99038</v>
      </c>
      <c r="E2091">
        <v>0.40650320000000001</v>
      </c>
      <c r="F2091" t="s">
        <v>61</v>
      </c>
      <c r="G2091">
        <v>-512.82539999999995</v>
      </c>
      <c r="H2091">
        <v>0.87573400000000001</v>
      </c>
      <c r="I2091">
        <v>273.2405</v>
      </c>
      <c r="J2091">
        <v>-466.9357</v>
      </c>
      <c r="K2091">
        <v>1.1264110000000001</v>
      </c>
      <c r="L2091">
        <v>285.9033</v>
      </c>
      <c r="M2091">
        <v>-0.99964980000000003</v>
      </c>
      <c r="N2091">
        <v>-1.450137E-2</v>
      </c>
      <c r="O2091">
        <v>-2.2139659999999999E-2</v>
      </c>
      <c r="P2091">
        <v>-0.97633219999999998</v>
      </c>
      <c r="Q2091">
        <v>0.21470880000000001</v>
      </c>
      <c r="R2091">
        <v>-2.599769E-2</v>
      </c>
      <c r="S2091">
        <v>-3.0585330000000002</v>
      </c>
      <c r="T2091">
        <v>-1.6523719999999999E-2</v>
      </c>
      <c r="U2091">
        <v>-0.83734129999999996</v>
      </c>
      <c r="V2091">
        <v>-7.2963819999999997E-3</v>
      </c>
      <c r="W2091">
        <v>0.2287749</v>
      </c>
      <c r="X2091">
        <v>0.97345199999999998</v>
      </c>
      <c r="Y2091">
        <v>-0.24262220000000001</v>
      </c>
      <c r="Z2091">
        <v>-2.6328250000000001E-3</v>
      </c>
      <c r="AA2091">
        <v>0.97011729999999996</v>
      </c>
      <c r="AB2091">
        <v>41</v>
      </c>
      <c r="AC2091">
        <v>-45.889699999999898</v>
      </c>
      <c r="AD2091">
        <v>-0.25067699999999998</v>
      </c>
      <c r="AE2091">
        <v>-12.662800000000001</v>
      </c>
      <c r="AF2091">
        <v>-11.6432835792045</v>
      </c>
      <c r="AG2091">
        <v>-0.25067699999999998</v>
      </c>
      <c r="AH2091">
        <v>46.157549162999103</v>
      </c>
      <c r="AI2091">
        <v>90.301713658214396</v>
      </c>
      <c r="AJ2091">
        <v>104.15756011105999</v>
      </c>
      <c r="AK2091">
        <v>47.6040779366515</v>
      </c>
      <c r="AL2091">
        <v>76.775044199228603</v>
      </c>
      <c r="AM2091">
        <v>90.429444970869596</v>
      </c>
      <c r="AN2091">
        <v>0.99999999418214902</v>
      </c>
    </row>
    <row r="2092" spans="1:40" x14ac:dyDescent="0.25">
      <c r="A2092" t="str">
        <f>"20190303171019002"</f>
        <v>20190303171019002</v>
      </c>
      <c r="B2092" t="str">
        <f>"1551604218992657"</f>
        <v>1551604218992657</v>
      </c>
      <c r="C2092" t="s">
        <v>40</v>
      </c>
      <c r="D2092">
        <v>4.9725039999999998</v>
      </c>
      <c r="E2092">
        <v>0.40616910000000001</v>
      </c>
      <c r="F2092" t="s">
        <v>61</v>
      </c>
      <c r="G2092">
        <v>-512.82539999999995</v>
      </c>
      <c r="H2092">
        <v>0.91981089999999999</v>
      </c>
      <c r="I2092">
        <v>272.93270000000001</v>
      </c>
      <c r="J2092">
        <v>-467.33260000000001</v>
      </c>
      <c r="K2092">
        <v>1.126868</v>
      </c>
      <c r="L2092">
        <v>285.88959999999997</v>
      </c>
      <c r="M2092">
        <v>-0.99949010000000005</v>
      </c>
      <c r="N2092">
        <v>-1.452964E-2</v>
      </c>
      <c r="O2092">
        <v>-2.8435740000000001E-2</v>
      </c>
      <c r="P2092">
        <v>-0.97596499999999997</v>
      </c>
      <c r="Q2092">
        <v>0.21573110000000001</v>
      </c>
      <c r="R2092">
        <v>-3.0867889999999999E-2</v>
      </c>
      <c r="S2092">
        <v>-3.052765</v>
      </c>
      <c r="T2092">
        <v>-1.3738510000000001E-2</v>
      </c>
      <c r="U2092">
        <v>-0.86285400000000001</v>
      </c>
      <c r="V2092">
        <v>-6.2912169999999896E-3</v>
      </c>
      <c r="W2092">
        <v>0.2298308</v>
      </c>
      <c r="X2092">
        <v>0.97321029999999997</v>
      </c>
      <c r="Y2092">
        <v>-0.244505</v>
      </c>
      <c r="Z2092">
        <v>-2.630482E-3</v>
      </c>
      <c r="AA2092">
        <v>0.96964450000000002</v>
      </c>
      <c r="AB2092">
        <v>41</v>
      </c>
      <c r="AC2092">
        <v>-45.492799999999903</v>
      </c>
      <c r="AD2092">
        <v>-0.20705709999999999</v>
      </c>
      <c r="AE2092">
        <v>-12.9568999999999</v>
      </c>
      <c r="AF2092">
        <v>-11.6576781437512</v>
      </c>
      <c r="AG2092">
        <v>-0.20705709999999999</v>
      </c>
      <c r="AH2092">
        <v>45.841999377489799</v>
      </c>
      <c r="AI2092">
        <v>90.250806682473595</v>
      </c>
      <c r="AJ2092">
        <v>104.26795496412799</v>
      </c>
      <c r="AK2092">
        <v>47.301514132971803</v>
      </c>
      <c r="AL2092">
        <v>76.712889989266102</v>
      </c>
      <c r="AM2092">
        <v>90.370377462308497</v>
      </c>
      <c r="AN2092">
        <v>1.00000003203303</v>
      </c>
    </row>
    <row r="2093" spans="1:40" x14ac:dyDescent="0.25">
      <c r="A2093" t="str">
        <f>"20190303171019024"</f>
        <v>20190303171019024</v>
      </c>
      <c r="B2093" t="str">
        <f>"1551604219013154"</f>
        <v>1551604219013154</v>
      </c>
      <c r="C2093" t="s">
        <v>40</v>
      </c>
      <c r="D2093">
        <v>4.9823019999999998</v>
      </c>
      <c r="E2093">
        <v>0.40620099999999998</v>
      </c>
      <c r="F2093" t="s">
        <v>61</v>
      </c>
      <c r="G2093">
        <v>-512.82550000000003</v>
      </c>
      <c r="H2093">
        <v>0.99039049999999995</v>
      </c>
      <c r="I2093">
        <v>272.72219999999999</v>
      </c>
      <c r="J2093">
        <v>-467.72989999999999</v>
      </c>
      <c r="K2093">
        <v>1.127297</v>
      </c>
      <c r="L2093">
        <v>285.87310000000002</v>
      </c>
      <c r="M2093">
        <v>-0.99927790000000005</v>
      </c>
      <c r="N2093">
        <v>-1.455591E-2</v>
      </c>
      <c r="O2093">
        <v>-3.509665E-2</v>
      </c>
      <c r="P2093">
        <v>-0.97540499999999997</v>
      </c>
      <c r="Q2093">
        <v>0.21771750000000001</v>
      </c>
      <c r="R2093">
        <v>-3.4412499999999999E-2</v>
      </c>
      <c r="S2093">
        <v>-3.0480040000000002</v>
      </c>
      <c r="T2093">
        <v>-9.1385839999999999E-3</v>
      </c>
      <c r="U2093">
        <v>-0.88220209999999999</v>
      </c>
      <c r="V2093">
        <v>-3.6168580000000001E-3</v>
      </c>
      <c r="W2093">
        <v>0.2318732</v>
      </c>
      <c r="X2093">
        <v>0.97273929999999997</v>
      </c>
      <c r="Y2093">
        <v>-0.2441323</v>
      </c>
      <c r="Z2093">
        <v>-2.569637E-3</v>
      </c>
      <c r="AA2093">
        <v>0.96973849999999995</v>
      </c>
      <c r="AB2093">
        <v>41</v>
      </c>
      <c r="AC2093">
        <v>-45.095599999999997</v>
      </c>
      <c r="AD2093">
        <v>-0.13690649999999899</v>
      </c>
      <c r="AE2093">
        <v>-13.1509</v>
      </c>
      <c r="AF2093">
        <v>-11.559825912036899</v>
      </c>
      <c r="AG2093">
        <v>-0.13690649999999899</v>
      </c>
      <c r="AH2093">
        <v>45.529026441947501</v>
      </c>
      <c r="AI2093">
        <v>90.1669903430886</v>
      </c>
      <c r="AJ2093">
        <v>104.246366137286</v>
      </c>
      <c r="AK2093">
        <v>46.973828535237502</v>
      </c>
      <c r="AL2093">
        <v>76.592620071966607</v>
      </c>
      <c r="AM2093">
        <v>90.213037289135102</v>
      </c>
      <c r="AN2093">
        <v>1.0000000041522601</v>
      </c>
    </row>
    <row r="2094" spans="1:40" x14ac:dyDescent="0.25">
      <c r="A2094" t="str">
        <f>"20190303171019048"</f>
        <v>20190303171019048</v>
      </c>
      <c r="B2094" t="str">
        <f>"1551604219032674"</f>
        <v>1551604219032674</v>
      </c>
      <c r="C2094" t="s">
        <v>40</v>
      </c>
      <c r="D2094">
        <v>4.9807980000000001</v>
      </c>
      <c r="E2094">
        <v>0.4062772</v>
      </c>
      <c r="F2094" t="s">
        <v>61</v>
      </c>
      <c r="G2094">
        <v>-512.82550000000003</v>
      </c>
      <c r="H2094">
        <v>1.1146990000000001</v>
      </c>
      <c r="I2094">
        <v>272.61669999999998</v>
      </c>
      <c r="J2094">
        <v>-468.14620000000002</v>
      </c>
      <c r="K2094">
        <v>1.1277280000000001</v>
      </c>
      <c r="L2094">
        <v>285.8528</v>
      </c>
      <c r="M2094">
        <v>-0.99899190000000004</v>
      </c>
      <c r="N2094">
        <v>-1.458247E-2</v>
      </c>
      <c r="O2094">
        <v>-4.2459120000000003E-2</v>
      </c>
      <c r="P2094">
        <v>-0.97508539999999999</v>
      </c>
      <c r="Q2094">
        <v>0.21845539999999999</v>
      </c>
      <c r="R2094">
        <v>-3.8548979999999997E-2</v>
      </c>
      <c r="S2094">
        <v>-3.0442809999999998</v>
      </c>
      <c r="T2094">
        <v>-8.4507470000000004E-4</v>
      </c>
      <c r="U2094">
        <v>-0.89489750000000001</v>
      </c>
      <c r="V2094">
        <v>-8.3040539999999904E-4</v>
      </c>
      <c r="W2094">
        <v>0.23267879999999999</v>
      </c>
      <c r="X2094">
        <v>0.97255329999999995</v>
      </c>
      <c r="Y2094">
        <v>-0.241036</v>
      </c>
      <c r="Z2094">
        <v>-2.4226690000000001E-3</v>
      </c>
      <c r="AA2094">
        <v>0.97051319999999996</v>
      </c>
      <c r="AB2094">
        <v>41</v>
      </c>
      <c r="AC2094">
        <v>-44.679299999999998</v>
      </c>
      <c r="AD2094">
        <v>-1.30290000000001E-2</v>
      </c>
      <c r="AE2094">
        <v>-13.2361</v>
      </c>
      <c r="AF2094">
        <v>-11.326915063106</v>
      </c>
      <c r="AG2094">
        <v>-1.30290000000001E-2</v>
      </c>
      <c r="AH2094">
        <v>45.201049184101201</v>
      </c>
      <c r="AI2094">
        <v>90.016019922218405</v>
      </c>
      <c r="AJ2094">
        <v>104.068036151475</v>
      </c>
      <c r="AK2094">
        <v>46.598648284528601</v>
      </c>
      <c r="AL2094">
        <v>76.545164863926303</v>
      </c>
      <c r="AM2094">
        <v>90.048921445377303</v>
      </c>
      <c r="AN2094">
        <v>1.0000000174417201</v>
      </c>
    </row>
    <row r="2095" spans="1:40" x14ac:dyDescent="0.25">
      <c r="A2095" t="str">
        <f>"20190303171019069"</f>
        <v>20190303171019069</v>
      </c>
      <c r="B2095" t="str">
        <f>"1551604219062930"</f>
        <v>1551604219062930</v>
      </c>
      <c r="C2095" t="s">
        <v>40</v>
      </c>
      <c r="D2095">
        <v>4.9698140000000004</v>
      </c>
      <c r="E2095">
        <v>0.40620509999999999</v>
      </c>
      <c r="F2095" t="s">
        <v>61</v>
      </c>
      <c r="G2095">
        <v>-512.82560000000001</v>
      </c>
      <c r="H2095">
        <v>1.1579919999999999</v>
      </c>
      <c r="I2095">
        <v>272.49619999999999</v>
      </c>
      <c r="J2095">
        <v>-468.55270000000002</v>
      </c>
      <c r="K2095">
        <v>1.1281319999999999</v>
      </c>
      <c r="L2095">
        <v>285.8297</v>
      </c>
      <c r="M2095">
        <v>-0.9986408</v>
      </c>
      <c r="N2095">
        <v>-1.461027E-2</v>
      </c>
      <c r="O2095">
        <v>-5.0031480000000003E-2</v>
      </c>
      <c r="P2095">
        <v>-0.97502319999999998</v>
      </c>
      <c r="Q2095">
        <v>0.2180182</v>
      </c>
      <c r="R2095">
        <v>-4.2405209999999999E-2</v>
      </c>
      <c r="S2095">
        <v>-3.040222</v>
      </c>
      <c r="T2095">
        <v>2.064705E-3</v>
      </c>
      <c r="U2095">
        <v>-0.90884399999999999</v>
      </c>
      <c r="V2095">
        <v>2.481825E-3</v>
      </c>
      <c r="W2095">
        <v>0.23232910000000001</v>
      </c>
      <c r="X2095">
        <v>0.97263409999999995</v>
      </c>
      <c r="Y2095">
        <v>-0.23812259999999999</v>
      </c>
      <c r="Z2095">
        <v>-2.447847E-3</v>
      </c>
      <c r="AA2095">
        <v>0.97123199999999998</v>
      </c>
      <c r="AB2095">
        <v>41</v>
      </c>
      <c r="AC2095">
        <v>-44.2728999999999</v>
      </c>
      <c r="AD2095">
        <v>2.9860000000000001E-2</v>
      </c>
      <c r="AE2095">
        <v>-13.333500000000001</v>
      </c>
      <c r="AF2095">
        <v>-11.101518381520201</v>
      </c>
      <c r="AG2095">
        <v>2.9860000000000001E-2</v>
      </c>
      <c r="AH2095">
        <v>44.884589817070598</v>
      </c>
      <c r="AI2095">
        <v>89.962998296616306</v>
      </c>
      <c r="AJ2095">
        <v>103.89242829839699</v>
      </c>
      <c r="AK2095">
        <v>46.237117179183102</v>
      </c>
      <c r="AL2095">
        <v>76.565765945883797</v>
      </c>
      <c r="AM2095">
        <v>89.853801353070907</v>
      </c>
      <c r="AN2095">
        <v>1.00000003132247</v>
      </c>
    </row>
    <row r="2096" spans="1:40" x14ac:dyDescent="0.25">
      <c r="A2096" t="str">
        <f>"20190303171019091"</f>
        <v>20190303171019091</v>
      </c>
      <c r="B2096" t="str">
        <f>"1551604219082450"</f>
        <v>1551604219082450</v>
      </c>
      <c r="C2096" t="s">
        <v>40</v>
      </c>
      <c r="D2096">
        <v>4.9782799999999998</v>
      </c>
      <c r="E2096">
        <v>0.4061921</v>
      </c>
      <c r="F2096" t="s">
        <v>61</v>
      </c>
      <c r="G2096">
        <v>-512.82560000000001</v>
      </c>
      <c r="H2096">
        <v>1.1377649999999999</v>
      </c>
      <c r="I2096">
        <v>272.38839999999999</v>
      </c>
      <c r="J2096">
        <v>-468.93650000000002</v>
      </c>
      <c r="K2096">
        <v>1.1285149999999999</v>
      </c>
      <c r="L2096">
        <v>285.80470000000003</v>
      </c>
      <c r="M2096">
        <v>-0.99823539999999999</v>
      </c>
      <c r="N2096">
        <v>-1.4640469999999999E-2</v>
      </c>
      <c r="O2096">
        <v>-5.7549240000000002E-2</v>
      </c>
      <c r="P2096">
        <v>-0.97506800000000005</v>
      </c>
      <c r="Q2096">
        <v>0.21692310000000001</v>
      </c>
      <c r="R2096">
        <v>-4.6769329999999998E-2</v>
      </c>
      <c r="S2096">
        <v>-3.036591</v>
      </c>
      <c r="T2096">
        <v>6.6614149999999895E-4</v>
      </c>
      <c r="U2096">
        <v>-0.92190550000000004</v>
      </c>
      <c r="V2096">
        <v>5.268727E-3</v>
      </c>
      <c r="W2096">
        <v>0.23132349999999999</v>
      </c>
      <c r="X2096">
        <v>0.97286260000000002</v>
      </c>
      <c r="Y2096">
        <v>-0.23495640000000001</v>
      </c>
      <c r="Z2096">
        <v>-2.5712600000000001E-3</v>
      </c>
      <c r="AA2096">
        <v>0.97200249999999999</v>
      </c>
      <c r="AB2096">
        <v>41</v>
      </c>
      <c r="AC2096">
        <v>-43.8890999999999</v>
      </c>
      <c r="AD2096">
        <v>9.2499999999999805E-3</v>
      </c>
      <c r="AE2096">
        <v>-13.4163</v>
      </c>
      <c r="AF2096">
        <v>-10.868004675207301</v>
      </c>
      <c r="AG2096">
        <v>9.2499999999999805E-3</v>
      </c>
      <c r="AH2096">
        <v>44.588524395349502</v>
      </c>
      <c r="AI2096">
        <v>89.988451930293095</v>
      </c>
      <c r="AJ2096">
        <v>103.698173438333</v>
      </c>
      <c r="AK2096">
        <v>45.893900672502298</v>
      </c>
      <c r="AL2096">
        <v>76.6249954785917</v>
      </c>
      <c r="AM2096">
        <v>89.689706573935098</v>
      </c>
      <c r="AN2096">
        <v>0.99999997980760502</v>
      </c>
    </row>
    <row r="2097" spans="1:40" x14ac:dyDescent="0.25">
      <c r="A2097" t="str">
        <f>"20190303171019113"</f>
        <v>20190303171019113</v>
      </c>
      <c r="B2097" t="str">
        <f>"1551604219102946"</f>
        <v>1551604219102946</v>
      </c>
      <c r="C2097" t="s">
        <v>40</v>
      </c>
      <c r="D2097">
        <v>4.9508400000000004</v>
      </c>
      <c r="E2097">
        <v>0.40607480000000001</v>
      </c>
      <c r="F2097" t="s">
        <v>61</v>
      </c>
      <c r="G2097">
        <v>-512.82550000000003</v>
      </c>
      <c r="H2097">
        <v>1.075861</v>
      </c>
      <c r="I2097">
        <v>272.25139999999999</v>
      </c>
      <c r="J2097">
        <v>-469.33519999999999</v>
      </c>
      <c r="K2097">
        <v>1.1289129999999901</v>
      </c>
      <c r="L2097">
        <v>285.7756</v>
      </c>
      <c r="M2097">
        <v>-0.99772839999999996</v>
      </c>
      <c r="N2097">
        <v>-1.46762E-2</v>
      </c>
      <c r="O2097">
        <v>-6.5747470000000002E-2</v>
      </c>
      <c r="P2097">
        <v>-0.9750955</v>
      </c>
      <c r="Q2097">
        <v>0.21533179999999999</v>
      </c>
      <c r="R2097">
        <v>-5.3113349999999997E-2</v>
      </c>
      <c r="S2097">
        <v>-3.0325929999999999</v>
      </c>
      <c r="T2097">
        <v>-3.632784E-3</v>
      </c>
      <c r="U2097">
        <v>-0.93649289999999996</v>
      </c>
      <c r="V2097">
        <v>6.748904E-3</v>
      </c>
      <c r="W2097">
        <v>0.2298095</v>
      </c>
      <c r="X2097">
        <v>0.97321219999999997</v>
      </c>
      <c r="Y2097">
        <v>-0.23159779999999999</v>
      </c>
      <c r="Z2097">
        <v>-2.7430890000000002E-3</v>
      </c>
      <c r="AA2097">
        <v>0.9728078</v>
      </c>
      <c r="AB2097">
        <v>41</v>
      </c>
      <c r="AC2097">
        <v>-43.490299999999998</v>
      </c>
      <c r="AD2097">
        <v>-5.3051999999999801E-2</v>
      </c>
      <c r="AE2097">
        <v>-13.5242</v>
      </c>
      <c r="AF2097">
        <v>-10.635231801577699</v>
      </c>
      <c r="AG2097">
        <v>-5.3051999999999801E-2</v>
      </c>
      <c r="AH2097">
        <v>44.285397087965201</v>
      </c>
      <c r="AI2097">
        <v>90.066740266557701</v>
      </c>
      <c r="AJ2097">
        <v>103.503973902863</v>
      </c>
      <c r="AK2097">
        <v>45.544564606841398</v>
      </c>
      <c r="AL2097">
        <v>76.714143116317203</v>
      </c>
      <c r="AM2097">
        <v>89.602679130794002</v>
      </c>
      <c r="AN2097">
        <v>0.99999997011214503</v>
      </c>
    </row>
    <row r="2098" spans="1:40" x14ac:dyDescent="0.25">
      <c r="A2098" t="str">
        <f>"20190303171019136"</f>
        <v>20190303171019136</v>
      </c>
      <c r="B2098" t="str">
        <f>"1551604219122466"</f>
        <v>1551604219122466</v>
      </c>
      <c r="C2098" t="s">
        <v>40</v>
      </c>
      <c r="D2098">
        <v>4.9522490000000001</v>
      </c>
      <c r="E2098">
        <v>0.40604420000000002</v>
      </c>
      <c r="F2098" t="s">
        <v>61</v>
      </c>
      <c r="G2098">
        <v>-512.82550000000003</v>
      </c>
      <c r="H2098">
        <v>1.0138290000000001</v>
      </c>
      <c r="I2098">
        <v>272.00959999999998</v>
      </c>
      <c r="J2098">
        <v>-469.73829999999998</v>
      </c>
      <c r="K2098">
        <v>1.129327</v>
      </c>
      <c r="L2098">
        <v>285.74259999999998</v>
      </c>
      <c r="M2098">
        <v>-0.99711539999999999</v>
      </c>
      <c r="N2098">
        <v>-1.471771E-2</v>
      </c>
      <c r="O2098">
        <v>-7.4460819999999997E-2</v>
      </c>
      <c r="P2098">
        <v>-0.97500160000000002</v>
      </c>
      <c r="Q2098">
        <v>0.2133333</v>
      </c>
      <c r="R2098">
        <v>-6.2136520000000001E-2</v>
      </c>
      <c r="S2098">
        <v>-3.0262150000000001</v>
      </c>
      <c r="T2098">
        <v>-8.0023999999999998E-3</v>
      </c>
      <c r="U2098">
        <v>-0.95788569999999995</v>
      </c>
      <c r="V2098">
        <v>6.0669629999999999E-3</v>
      </c>
      <c r="W2098">
        <v>0.22785620000000001</v>
      </c>
      <c r="X2098">
        <v>0.97367590000000004</v>
      </c>
      <c r="Y2098">
        <v>-0.2299369</v>
      </c>
      <c r="Z2098">
        <v>-2.911608E-3</v>
      </c>
      <c r="AA2098">
        <v>0.97320119999999999</v>
      </c>
      <c r="AB2098">
        <v>41</v>
      </c>
      <c r="AC2098">
        <v>-43.087200000000003</v>
      </c>
      <c r="AD2098">
        <v>-0.115497999999999</v>
      </c>
      <c r="AE2098">
        <v>-13.733000000000001</v>
      </c>
      <c r="AF2098">
        <v>-10.4861441580498</v>
      </c>
      <c r="AG2098">
        <v>-0.115497999999999</v>
      </c>
      <c r="AH2098">
        <v>43.989955606042898</v>
      </c>
      <c r="AI2098">
        <v>90.1463327344986</v>
      </c>
      <c r="AJ2098">
        <v>103.407713476601</v>
      </c>
      <c r="AK2098">
        <v>45.222657521568003</v>
      </c>
      <c r="AL2098">
        <v>76.829110033629505</v>
      </c>
      <c r="AM2098">
        <v>89.642995296718794</v>
      </c>
      <c r="AN2098">
        <v>1.00000000707964</v>
      </c>
    </row>
    <row r="2099" spans="1:40" x14ac:dyDescent="0.25">
      <c r="A2099" t="str">
        <f>"20190303171019159"</f>
        <v>20190303171019159</v>
      </c>
      <c r="B2099" t="str">
        <f>"1551604219152722"</f>
        <v>1551604219152722</v>
      </c>
      <c r="C2099" t="s">
        <v>40</v>
      </c>
      <c r="D2099">
        <v>4.9277559999999996</v>
      </c>
      <c r="E2099">
        <v>0.40595920000000002</v>
      </c>
      <c r="F2099" t="s">
        <v>61</v>
      </c>
      <c r="G2099">
        <v>-512.82539999999995</v>
      </c>
      <c r="H2099">
        <v>0.93898870000000001</v>
      </c>
      <c r="I2099">
        <v>271.64440000000002</v>
      </c>
      <c r="J2099">
        <v>-470.14780000000002</v>
      </c>
      <c r="K2099">
        <v>1.1297740000000001</v>
      </c>
      <c r="L2099">
        <v>285.7047</v>
      </c>
      <c r="M2099">
        <v>-0.99637089999999995</v>
      </c>
      <c r="N2099">
        <v>-1.476706E-2</v>
      </c>
      <c r="O2099">
        <v>-8.3828059999999996E-2</v>
      </c>
      <c r="P2099">
        <v>-0.97445199999999998</v>
      </c>
      <c r="Q2099">
        <v>0.21241850000000001</v>
      </c>
      <c r="R2099">
        <v>-7.2951290000000002E-2</v>
      </c>
      <c r="S2099">
        <v>-3.0169679999999999</v>
      </c>
      <c r="T2099">
        <v>-1.3321879999999999E-2</v>
      </c>
      <c r="U2099">
        <v>-0.98715209999999998</v>
      </c>
      <c r="V2099">
        <v>4.1876789999999997E-3</v>
      </c>
      <c r="W2099">
        <v>0.22696469999999999</v>
      </c>
      <c r="X2099">
        <v>0.97389400000000004</v>
      </c>
      <c r="Y2099">
        <v>-0.2301956</v>
      </c>
      <c r="Z2099">
        <v>-3.0909169999999999E-3</v>
      </c>
      <c r="AA2099">
        <v>0.97313950000000005</v>
      </c>
      <c r="AB2099">
        <v>40</v>
      </c>
      <c r="AC2099">
        <v>-42.677599999999899</v>
      </c>
      <c r="AD2099">
        <v>-0.19078529999999999</v>
      </c>
      <c r="AE2099">
        <v>-14.0602999999999</v>
      </c>
      <c r="AF2099">
        <v>-10.432641921713399</v>
      </c>
      <c r="AG2099">
        <v>-0.19078529999999999</v>
      </c>
      <c r="AH2099">
        <v>43.705340226228898</v>
      </c>
      <c r="AI2099">
        <v>90.243274796818994</v>
      </c>
      <c r="AJ2099">
        <v>103.425504456011</v>
      </c>
      <c r="AK2099">
        <v>44.933653098627602</v>
      </c>
      <c r="AL2099">
        <v>76.881563696403902</v>
      </c>
      <c r="AM2099">
        <v>89.753633502300602</v>
      </c>
      <c r="AN2099">
        <v>1.00000001746874</v>
      </c>
    </row>
    <row r="2100" spans="1:40" x14ac:dyDescent="0.25">
      <c r="A2100" t="str">
        <f>"20190303171019181"</f>
        <v>20190303171019181</v>
      </c>
      <c r="B2100" t="str">
        <f>"1551604219173219"</f>
        <v>1551604219173219</v>
      </c>
      <c r="C2100" t="s">
        <v>40</v>
      </c>
      <c r="D2100">
        <v>4.9230400000000003</v>
      </c>
      <c r="E2100">
        <v>0.40604020000000002</v>
      </c>
      <c r="F2100" t="s">
        <v>61</v>
      </c>
      <c r="G2100">
        <v>-512.82539999999995</v>
      </c>
      <c r="H2100">
        <v>0.920323</v>
      </c>
      <c r="I2100">
        <v>271.18920000000003</v>
      </c>
      <c r="J2100">
        <v>-470.53609999999998</v>
      </c>
      <c r="K2100">
        <v>1.1302080000000001</v>
      </c>
      <c r="L2100">
        <v>285.66489999999999</v>
      </c>
      <c r="M2100">
        <v>-0.99554149999999997</v>
      </c>
      <c r="N2100">
        <v>-1.4819499999999999E-2</v>
      </c>
      <c r="O2100">
        <v>-9.3153440000000004E-2</v>
      </c>
      <c r="P2100">
        <v>-0.97367669999999995</v>
      </c>
      <c r="Q2100">
        <v>0.2120177</v>
      </c>
      <c r="R2100">
        <v>-8.367956E-2</v>
      </c>
      <c r="S2100">
        <v>-3.0053100000000001</v>
      </c>
      <c r="T2100">
        <v>-1.474369E-2</v>
      </c>
      <c r="U2100">
        <v>-1.0221559999999901</v>
      </c>
      <c r="V2100">
        <v>2.3464290000000001E-3</v>
      </c>
      <c r="W2100">
        <v>0.22658519999999999</v>
      </c>
      <c r="X2100">
        <v>0.97398850000000003</v>
      </c>
      <c r="Y2100">
        <v>-0.23239219999999999</v>
      </c>
      <c r="Z2100">
        <v>-3.2311340000000001E-3</v>
      </c>
      <c r="AA2100">
        <v>0.97261679999999995</v>
      </c>
      <c r="AB2100">
        <v>40</v>
      </c>
      <c r="AC2100">
        <v>-42.289299999999898</v>
      </c>
      <c r="AD2100">
        <v>-0.20988499999999999</v>
      </c>
      <c r="AE2100">
        <v>-14.4756999999999</v>
      </c>
      <c r="AF2100">
        <v>-10.472685184028199</v>
      </c>
      <c r="AG2100">
        <v>-0.20988499999999999</v>
      </c>
      <c r="AH2100">
        <v>43.453026931429498</v>
      </c>
      <c r="AI2100">
        <v>90.269042071526499</v>
      </c>
      <c r="AJ2100">
        <v>103.550526444452</v>
      </c>
      <c r="AK2100">
        <v>44.697726297659997</v>
      </c>
      <c r="AL2100">
        <v>76.903888562359001</v>
      </c>
      <c r="AM2100">
        <v>89.861969398465504</v>
      </c>
      <c r="AN2100">
        <v>0.99999997836016996</v>
      </c>
    </row>
    <row r="2101" spans="1:40" x14ac:dyDescent="0.25">
      <c r="A2101" t="str">
        <f>"20190303171019203"</f>
        <v>20190303171019203</v>
      </c>
      <c r="B2101" t="str">
        <f>"1551604219192738"</f>
        <v>1551604219192738</v>
      </c>
      <c r="C2101" t="s">
        <v>40</v>
      </c>
      <c r="D2101">
        <v>4.9421339999999896</v>
      </c>
      <c r="E2101">
        <v>0.4062288</v>
      </c>
      <c r="F2101" t="s">
        <v>61</v>
      </c>
      <c r="G2101">
        <v>-512.82539999999995</v>
      </c>
      <c r="H2101">
        <v>0.90748269999999998</v>
      </c>
      <c r="I2101">
        <v>270.7516</v>
      </c>
      <c r="J2101">
        <v>-470.93020000000001</v>
      </c>
      <c r="K2101">
        <v>1.13062</v>
      </c>
      <c r="L2101">
        <v>285.62049999999999</v>
      </c>
      <c r="M2101">
        <v>-0.99456699999999998</v>
      </c>
      <c r="N2101">
        <v>-1.487666E-2</v>
      </c>
      <c r="O2101">
        <v>-0.1030302</v>
      </c>
      <c r="P2101">
        <v>-0.97268619999999995</v>
      </c>
      <c r="Q2101">
        <v>0.21166740000000001</v>
      </c>
      <c r="R2101">
        <v>-9.5282019999999995E-2</v>
      </c>
      <c r="S2101">
        <v>-2.993805</v>
      </c>
      <c r="T2101">
        <v>-1.5761850000000001E-2</v>
      </c>
      <c r="U2101">
        <v>-1.0557559999999999</v>
      </c>
      <c r="V2101">
        <v>1.7224619999999999E-4</v>
      </c>
      <c r="W2101">
        <v>0.22624900000000001</v>
      </c>
      <c r="X2101">
        <v>0.97406950000000003</v>
      </c>
      <c r="Y2101">
        <v>-0.23361850000000001</v>
      </c>
      <c r="Z2101">
        <v>-3.359155E-3</v>
      </c>
      <c r="AA2101">
        <v>0.97232249999999998</v>
      </c>
      <c r="AB2101">
        <v>40</v>
      </c>
      <c r="AC2101">
        <v>-41.895199999999903</v>
      </c>
      <c r="AD2101">
        <v>-0.22313730000000001</v>
      </c>
      <c r="AE2101">
        <v>-14.868899999999901</v>
      </c>
      <c r="AF2101">
        <v>-10.4725412610282</v>
      </c>
      <c r="AG2101">
        <v>-0.22313730000000001</v>
      </c>
      <c r="AH2101">
        <v>43.203220632724097</v>
      </c>
      <c r="AI2101">
        <v>90.287591831888193</v>
      </c>
      <c r="AJ2101">
        <v>103.62578389657401</v>
      </c>
      <c r="AK2101">
        <v>44.4549455489311</v>
      </c>
      <c r="AL2101">
        <v>76.923665480032199</v>
      </c>
      <c r="AM2101">
        <v>89.989868299752402</v>
      </c>
      <c r="AN2101">
        <v>1.0000000152499999</v>
      </c>
    </row>
    <row r="2102" spans="1:40" x14ac:dyDescent="0.25">
      <c r="A2102" t="str">
        <f>"20190303171019225"</f>
        <v>20190303171019225</v>
      </c>
      <c r="B2102" t="str">
        <f>"1551604219212258"</f>
        <v>1551604219212258</v>
      </c>
      <c r="C2102" t="s">
        <v>40</v>
      </c>
      <c r="D2102">
        <v>4.9454659999999997</v>
      </c>
      <c r="E2102">
        <v>0.40643750000000001</v>
      </c>
      <c r="F2102" t="s">
        <v>61</v>
      </c>
      <c r="G2102">
        <v>-512.82539999999995</v>
      </c>
      <c r="H2102">
        <v>0.89524919999999997</v>
      </c>
      <c r="I2102">
        <v>270.29149999999998</v>
      </c>
      <c r="J2102">
        <v>-471.32619999999997</v>
      </c>
      <c r="K2102">
        <v>1.131016</v>
      </c>
      <c r="L2102">
        <v>285.57170000000002</v>
      </c>
      <c r="M2102">
        <v>-0.99343970000000004</v>
      </c>
      <c r="N2102">
        <v>-1.4933429999999999E-2</v>
      </c>
      <c r="O2102">
        <v>-0.1133789</v>
      </c>
      <c r="P2102">
        <v>-0.9714448</v>
      </c>
      <c r="Q2102">
        <v>0.2111722</v>
      </c>
      <c r="R2102">
        <v>-0.1081739</v>
      </c>
      <c r="S2102">
        <v>-2.9810490000000001</v>
      </c>
      <c r="T2102">
        <v>-1.6742110000000001E-2</v>
      </c>
      <c r="U2102">
        <v>-1.0907290000000001</v>
      </c>
      <c r="V2102">
        <v>-2.8232299999999999E-3</v>
      </c>
      <c r="W2102">
        <v>0.22574359999999999</v>
      </c>
      <c r="X2102">
        <v>0.97418269999999996</v>
      </c>
      <c r="Y2102">
        <v>-0.23489689999999999</v>
      </c>
      <c r="Z2102">
        <v>-3.4869319999999999E-3</v>
      </c>
      <c r="AA2102">
        <v>0.97201409999999999</v>
      </c>
      <c r="AB2102">
        <v>40</v>
      </c>
      <c r="AC2102">
        <v>-41.499199999999902</v>
      </c>
      <c r="AD2102">
        <v>-0.2357668</v>
      </c>
      <c r="AE2102">
        <v>-15.280200000000001</v>
      </c>
      <c r="AF2102">
        <v>-10.475692931166799</v>
      </c>
      <c r="AG2102">
        <v>-0.2357668</v>
      </c>
      <c r="AH2102">
        <v>42.962970137823497</v>
      </c>
      <c r="AI2102">
        <v>90.305468148812196</v>
      </c>
      <c r="AJ2102">
        <v>103.70308371188599</v>
      </c>
      <c r="AK2102">
        <v>44.222308074495601</v>
      </c>
      <c r="AL2102">
        <v>76.953392148287804</v>
      </c>
      <c r="AM2102">
        <v>90.166045558745594</v>
      </c>
      <c r="AN2102">
        <v>1.00000003827394</v>
      </c>
    </row>
    <row r="2103" spans="1:40" x14ac:dyDescent="0.25">
      <c r="A2103" t="str">
        <f>"20190303171019248"</f>
        <v>20190303171019248</v>
      </c>
      <c r="B2103" t="str">
        <f>"1551604219242514"</f>
        <v>1551604219242514</v>
      </c>
      <c r="C2103" t="s">
        <v>40</v>
      </c>
      <c r="D2103">
        <v>4.953881</v>
      </c>
      <c r="E2103">
        <v>0.4116399</v>
      </c>
      <c r="F2103" t="s">
        <v>61</v>
      </c>
      <c r="G2103">
        <v>-512.82539999999995</v>
      </c>
      <c r="H2103">
        <v>0.87477099999999997</v>
      </c>
      <c r="I2103">
        <v>269.78280000000001</v>
      </c>
      <c r="J2103">
        <v>-471.72199999999998</v>
      </c>
      <c r="K2103">
        <v>1.1314059999999999</v>
      </c>
      <c r="L2103">
        <v>285.51859999999999</v>
      </c>
      <c r="M2103">
        <v>-0.99214939999999996</v>
      </c>
      <c r="N2103">
        <v>-1.4991300000000001E-2</v>
      </c>
      <c r="O2103">
        <v>-0.1241579</v>
      </c>
      <c r="P2103">
        <v>-0.97011080000000005</v>
      </c>
      <c r="Q2103">
        <v>0.21069930000000001</v>
      </c>
      <c r="R2103">
        <v>-0.1203795</v>
      </c>
      <c r="S2103">
        <v>-2.9664920000000001</v>
      </c>
      <c r="T2103">
        <v>-1.8311500000000001E-2</v>
      </c>
      <c r="U2103">
        <v>-1.1286320000000001</v>
      </c>
      <c r="V2103">
        <v>-4.7059989999999998E-3</v>
      </c>
      <c r="W2103">
        <v>0.2252837</v>
      </c>
      <c r="X2103">
        <v>0.97428179999999998</v>
      </c>
      <c r="Y2103">
        <v>-0.23677419999999999</v>
      </c>
      <c r="Z2103">
        <v>-3.619223E-3</v>
      </c>
      <c r="AA2103">
        <v>0.97155800000000003</v>
      </c>
      <c r="AB2103">
        <v>40</v>
      </c>
      <c r="AC2103">
        <v>-41.103399999999901</v>
      </c>
      <c r="AD2103">
        <v>-0.256634999999999</v>
      </c>
      <c r="AE2103">
        <v>-15.7357999999999</v>
      </c>
      <c r="AF2103">
        <v>-10.509774588154199</v>
      </c>
      <c r="AG2103">
        <v>-0.256634999999999</v>
      </c>
      <c r="AH2103">
        <v>42.7377797151103</v>
      </c>
      <c r="AI2103">
        <v>90.334096397059</v>
      </c>
      <c r="AJ2103">
        <v>103.815637833758</v>
      </c>
      <c r="AK2103">
        <v>44.011805670687203</v>
      </c>
      <c r="AL2103">
        <v>76.980438156474193</v>
      </c>
      <c r="AM2103">
        <v>90.276749277440999</v>
      </c>
      <c r="AN2103">
        <v>0.99999995886175796</v>
      </c>
    </row>
    <row r="2104" spans="1:40" x14ac:dyDescent="0.25">
      <c r="A2104" t="str">
        <f>"20190303171019269"</f>
        <v>20190303171019269</v>
      </c>
      <c r="B2104" t="str">
        <f>"1551604219263014"</f>
        <v>1551604219263014</v>
      </c>
      <c r="C2104" t="s">
        <v>40</v>
      </c>
      <c r="D2104">
        <v>4.9606440000000003</v>
      </c>
      <c r="E2104">
        <v>0.41284510000000002</v>
      </c>
      <c r="F2104" t="s">
        <v>61</v>
      </c>
      <c r="G2104">
        <v>-512.82539999999995</v>
      </c>
      <c r="H2104">
        <v>0.68270030000000004</v>
      </c>
      <c r="I2104">
        <v>269.85750000000002</v>
      </c>
      <c r="J2104">
        <v>-472.11130000000003</v>
      </c>
      <c r="K2104">
        <v>1.1317980000000001</v>
      </c>
      <c r="L2104">
        <v>285.46179999999998</v>
      </c>
      <c r="M2104">
        <v>-0.99070519999999995</v>
      </c>
      <c r="N2104">
        <v>-1.505215E-2</v>
      </c>
      <c r="O2104">
        <v>-0.1351917</v>
      </c>
      <c r="P2104">
        <v>-0.96854499999999999</v>
      </c>
      <c r="Q2104">
        <v>0.21056279999999999</v>
      </c>
      <c r="R2104">
        <v>-0.1326041</v>
      </c>
      <c r="S2104">
        <v>-2.9595340000000001</v>
      </c>
      <c r="T2104">
        <v>-3.2302020000000001E-2</v>
      </c>
      <c r="U2104">
        <v>-1.1276250000000001</v>
      </c>
      <c r="V2104">
        <v>-6.3721339999999998E-3</v>
      </c>
      <c r="W2104">
        <v>0.2251638</v>
      </c>
      <c r="X2104">
        <v>0.9743001</v>
      </c>
      <c r="Y2104">
        <v>-0.2264003</v>
      </c>
      <c r="Z2104">
        <v>-3.5259089999999998E-3</v>
      </c>
      <c r="AA2104">
        <v>0.974028</v>
      </c>
      <c r="AB2104">
        <v>40</v>
      </c>
      <c r="AC2104">
        <v>-40.714099999999902</v>
      </c>
      <c r="AD2104">
        <v>-0.44909769999999899</v>
      </c>
      <c r="AE2104">
        <v>-15.604299999999901</v>
      </c>
      <c r="AF2104">
        <v>-9.9551237905274199</v>
      </c>
      <c r="AG2104">
        <v>-0.44909769999999899</v>
      </c>
      <c r="AH2104">
        <v>42.445545282262799</v>
      </c>
      <c r="AI2104">
        <v>90.590184806166206</v>
      </c>
      <c r="AJ2104">
        <v>103.19950231176399</v>
      </c>
      <c r="AK2104">
        <v>43.599661612648902</v>
      </c>
      <c r="AL2104">
        <v>76.987489795030498</v>
      </c>
      <c r="AM2104">
        <v>90.374721483891804</v>
      </c>
      <c r="AN2104">
        <v>1.00000001289108</v>
      </c>
    </row>
    <row r="2105" spans="1:40" x14ac:dyDescent="0.25">
      <c r="A2105" t="str">
        <f>"20190303171019292"</f>
        <v>20190303171019292</v>
      </c>
      <c r="B2105" t="str">
        <f>"1551604219282530"</f>
        <v>1551604219282530</v>
      </c>
      <c r="C2105" t="s">
        <v>40</v>
      </c>
      <c r="D2105">
        <v>4.9519590000000004</v>
      </c>
      <c r="E2105">
        <v>0.41343160000000001</v>
      </c>
      <c r="F2105" t="s">
        <v>61</v>
      </c>
      <c r="G2105">
        <v>-512.82539999999995</v>
      </c>
      <c r="H2105">
        <v>0.65215999999999996</v>
      </c>
      <c r="I2105">
        <v>269.44729999999998</v>
      </c>
      <c r="J2105">
        <v>-472.49990000000003</v>
      </c>
      <c r="K2105">
        <v>1.1321859999999999</v>
      </c>
      <c r="L2105">
        <v>285.40050000000002</v>
      </c>
      <c r="M2105">
        <v>-0.98907560000000005</v>
      </c>
      <c r="N2105">
        <v>-1.511736E-2</v>
      </c>
      <c r="O2105">
        <v>-0.14663219999999999</v>
      </c>
      <c r="P2105">
        <v>-0.96691510000000003</v>
      </c>
      <c r="Q2105">
        <v>0.20917939999999999</v>
      </c>
      <c r="R2105">
        <v>-0.14601229999999901</v>
      </c>
      <c r="S2105">
        <v>-2.9463200000000001</v>
      </c>
      <c r="T2105">
        <v>-3.4703730000000002E-2</v>
      </c>
      <c r="U2105">
        <v>-1.1589050000000001</v>
      </c>
      <c r="V2105">
        <v>-8.7633920000000001E-3</v>
      </c>
      <c r="W2105">
        <v>0.22378239999999999</v>
      </c>
      <c r="X2105">
        <v>0.97459969999999996</v>
      </c>
      <c r="Y2105">
        <v>-0.2255799</v>
      </c>
      <c r="Z2105">
        <v>-3.5574159999999999E-3</v>
      </c>
      <c r="AA2105">
        <v>0.97421820000000003</v>
      </c>
      <c r="AB2105">
        <v>40</v>
      </c>
      <c r="AC2105">
        <v>-40.325499999999899</v>
      </c>
      <c r="AD2105">
        <v>-0.48002600000000001</v>
      </c>
      <c r="AE2105">
        <v>-15.953200000000001</v>
      </c>
      <c r="AF2105">
        <v>-9.8658224327919299</v>
      </c>
      <c r="AG2105">
        <v>-0.48002600000000001</v>
      </c>
      <c r="AH2105">
        <v>42.2238714825777</v>
      </c>
      <c r="AI2105">
        <v>90.634262170714706</v>
      </c>
      <c r="AJ2105">
        <v>103.151504409434</v>
      </c>
      <c r="AK2105">
        <v>43.363812104256802</v>
      </c>
      <c r="AL2105">
        <v>77.0687103333903</v>
      </c>
      <c r="AM2105">
        <v>90.515177507610801</v>
      </c>
      <c r="AN2105">
        <v>0.99999996741459696</v>
      </c>
    </row>
    <row r="2106" spans="1:40" x14ac:dyDescent="0.25">
      <c r="A2106" t="str">
        <f>"20190303171019314"</f>
        <v>20190303171019314</v>
      </c>
      <c r="B2106" t="str">
        <f>"1551604219303026"</f>
        <v>1551604219303026</v>
      </c>
      <c r="C2106" t="s">
        <v>40</v>
      </c>
      <c r="D2106">
        <v>4.9310229999999997</v>
      </c>
      <c r="E2106">
        <v>0.4191086</v>
      </c>
      <c r="F2106" t="s">
        <v>61</v>
      </c>
      <c r="G2106">
        <v>-512.82529999999997</v>
      </c>
      <c r="H2106">
        <v>0.57850559999999995</v>
      </c>
      <c r="I2106">
        <v>268.92</v>
      </c>
      <c r="J2106">
        <v>-472.88889999999998</v>
      </c>
      <c r="K2106">
        <v>1.13256</v>
      </c>
      <c r="L2106">
        <v>285.33440000000002</v>
      </c>
      <c r="M2106">
        <v>-0.98724199999999995</v>
      </c>
      <c r="N2106">
        <v>-1.518654E-2</v>
      </c>
      <c r="O2106">
        <v>-0.15850049999999999</v>
      </c>
      <c r="P2106">
        <v>-0.96525559999999999</v>
      </c>
      <c r="Q2106">
        <v>0.2056019</v>
      </c>
      <c r="R2106">
        <v>-0.16127429999999901</v>
      </c>
      <c r="S2106">
        <v>-2.9305110000000001</v>
      </c>
      <c r="T2106">
        <v>-4.0230990000000001E-2</v>
      </c>
      <c r="U2106">
        <v>-1.197662</v>
      </c>
      <c r="V2106">
        <v>-1.2470709999999999E-2</v>
      </c>
      <c r="W2106">
        <v>0.22017490000000001</v>
      </c>
      <c r="X2106">
        <v>0.97538069999999999</v>
      </c>
      <c r="Y2106">
        <v>-0.22675029999999999</v>
      </c>
      <c r="Z2106">
        <v>-3.557068E-3</v>
      </c>
      <c r="AA2106">
        <v>0.97394650000000005</v>
      </c>
      <c r="AB2106">
        <v>40</v>
      </c>
      <c r="AC2106">
        <v>-39.9363999999999</v>
      </c>
      <c r="AD2106">
        <v>-0.55405439999999995</v>
      </c>
      <c r="AE2106">
        <v>-16.414400000000001</v>
      </c>
      <c r="AF2106">
        <v>-9.8745597113069099</v>
      </c>
      <c r="AG2106">
        <v>-0.55405439999999995</v>
      </c>
      <c r="AH2106">
        <v>42.026513558404197</v>
      </c>
      <c r="AI2106">
        <v>90.735290820322902</v>
      </c>
      <c r="AJ2106">
        <v>103.222392314844</v>
      </c>
      <c r="AK2106">
        <v>43.174549767716897</v>
      </c>
      <c r="AL2106">
        <v>77.280694181026405</v>
      </c>
      <c r="AM2106">
        <v>90.732514105074003</v>
      </c>
      <c r="AN2106">
        <v>1.0000000075652</v>
      </c>
    </row>
    <row r="2107" spans="1:40" x14ac:dyDescent="0.25">
      <c r="A2107" t="str">
        <f>"20190303171019338"</f>
        <v>20190303171019338</v>
      </c>
      <c r="B2107" t="str">
        <f>"1551604219332307"</f>
        <v>1551604219332307</v>
      </c>
      <c r="C2107" t="s">
        <v>40</v>
      </c>
      <c r="D2107">
        <v>5.0026960000000003</v>
      </c>
      <c r="E2107">
        <v>0.4202304</v>
      </c>
      <c r="F2107" t="s">
        <v>61</v>
      </c>
      <c r="G2107">
        <v>-512.8252</v>
      </c>
      <c r="H2107">
        <v>0.17420279999999999</v>
      </c>
      <c r="I2107">
        <v>268.9085</v>
      </c>
      <c r="J2107">
        <v>-473.29070000000002</v>
      </c>
      <c r="K2107">
        <v>1.1329400000000001</v>
      </c>
      <c r="L2107">
        <v>285.26069999999999</v>
      </c>
      <c r="M2107">
        <v>-0.98511859999999996</v>
      </c>
      <c r="N2107">
        <v>-1.526127E-2</v>
      </c>
      <c r="O2107">
        <v>-0.17119699999999999</v>
      </c>
      <c r="P2107">
        <v>-0.96316049999999997</v>
      </c>
      <c r="Q2107">
        <v>0.20214679999999999</v>
      </c>
      <c r="R2107">
        <v>-0.17736669999999999</v>
      </c>
      <c r="S2107">
        <v>-2.9221189999999999</v>
      </c>
      <c r="T2107">
        <v>-7.0116520000000002E-2</v>
      </c>
      <c r="U2107">
        <v>-1.2018740000000001</v>
      </c>
      <c r="V2107">
        <v>-1.6202959999999999E-2</v>
      </c>
      <c r="W2107">
        <v>0.21668680000000001</v>
      </c>
      <c r="X2107">
        <v>0.97610669999999999</v>
      </c>
      <c r="Y2107">
        <v>-0.21633430000000001</v>
      </c>
      <c r="Z2107">
        <v>-2.8534089999999999E-3</v>
      </c>
      <c r="AA2107">
        <v>0.97631520000000005</v>
      </c>
      <c r="AB2107">
        <v>40</v>
      </c>
      <c r="AC2107">
        <v>-39.534499999999902</v>
      </c>
      <c r="AD2107">
        <v>-0.95873719999999996</v>
      </c>
      <c r="AE2107">
        <v>-16.3521999999999</v>
      </c>
      <c r="AF2107">
        <v>-9.3370677357137204</v>
      </c>
      <c r="AG2107">
        <v>-0.95873719999999996</v>
      </c>
      <c r="AH2107">
        <v>41.729525889992402</v>
      </c>
      <c r="AI2107">
        <v>91.284392959485103</v>
      </c>
      <c r="AJ2107">
        <v>102.61230945193699</v>
      </c>
      <c r="AK2107">
        <v>42.772109392962101</v>
      </c>
      <c r="AL2107">
        <v>77.485492978829299</v>
      </c>
      <c r="AM2107">
        <v>90.950998460484897</v>
      </c>
      <c r="AN2107">
        <v>0.99999999749594504</v>
      </c>
    </row>
    <row r="2108" spans="1:40" x14ac:dyDescent="0.25">
      <c r="A2108" t="str">
        <f>"20190303171019359"</f>
        <v>20190303171019359</v>
      </c>
      <c r="B2108" t="str">
        <f>"1551604219352802"</f>
        <v>1551604219352802</v>
      </c>
      <c r="C2108" t="s">
        <v>40</v>
      </c>
      <c r="D2108">
        <v>4.8603350000000001</v>
      </c>
      <c r="E2108">
        <v>0.39436549999999998</v>
      </c>
      <c r="F2108" t="s">
        <v>61</v>
      </c>
      <c r="G2108">
        <v>-512.82510000000002</v>
      </c>
      <c r="H2108">
        <v>-2.5739999999999999E-2</v>
      </c>
      <c r="I2108">
        <v>268.36520000000002</v>
      </c>
      <c r="J2108">
        <v>-473.66809999999998</v>
      </c>
      <c r="K2108">
        <v>1.133289</v>
      </c>
      <c r="L2108">
        <v>285.18630000000002</v>
      </c>
      <c r="M2108">
        <v>-0.9829</v>
      </c>
      <c r="N2108">
        <v>-1.5332760000000001E-2</v>
      </c>
      <c r="O2108">
        <v>-0.18350069999999999</v>
      </c>
      <c r="P2108">
        <v>-0.96023029999999998</v>
      </c>
      <c r="Q2108">
        <v>0.20168249999999999</v>
      </c>
      <c r="R2108">
        <v>-0.19308639999999999</v>
      </c>
      <c r="S2108">
        <v>-2.904083</v>
      </c>
      <c r="T2108">
        <v>-8.5107089999999996E-2</v>
      </c>
      <c r="U2108">
        <v>-1.2410890000000001</v>
      </c>
      <c r="V2108">
        <v>-2.0127030000000001E-2</v>
      </c>
      <c r="W2108">
        <v>0.21616550000000001</v>
      </c>
      <c r="X2108">
        <v>0.9761493</v>
      </c>
      <c r="Y2108">
        <v>-0.21743470000000001</v>
      </c>
      <c r="Z2108">
        <v>-2.4427429999999998E-3</v>
      </c>
      <c r="AA2108">
        <v>0.97607180000000004</v>
      </c>
      <c r="AB2108">
        <v>40</v>
      </c>
      <c r="AC2108">
        <v>-39.156999999999996</v>
      </c>
      <c r="AD2108">
        <v>-1.1590290000000001</v>
      </c>
      <c r="AE2108">
        <v>-16.821100000000001</v>
      </c>
      <c r="AF2108">
        <v>-9.3423113235036208</v>
      </c>
      <c r="AG2108">
        <v>-1.1590290000000001</v>
      </c>
      <c r="AH2108">
        <v>41.548255736464696</v>
      </c>
      <c r="AI2108">
        <v>91.559001763353294</v>
      </c>
      <c r="AJ2108">
        <v>102.672447167954</v>
      </c>
      <c r="AK2108">
        <v>42.601404716637902</v>
      </c>
      <c r="AL2108">
        <v>77.516086880947796</v>
      </c>
      <c r="AM2108">
        <v>91.181203012457203</v>
      </c>
      <c r="AN2108">
        <v>1.00000003830867</v>
      </c>
    </row>
    <row r="2109" spans="1:40" x14ac:dyDescent="0.25">
      <c r="A2109" t="str">
        <f>"20190303171019382"</f>
        <v>20190303171019382</v>
      </c>
      <c r="B2109" t="str">
        <f>"1551604219372326"</f>
        <v>1551604219372326</v>
      </c>
      <c r="C2109" t="s">
        <v>40</v>
      </c>
      <c r="D2109">
        <v>4.870571</v>
      </c>
      <c r="E2109">
        <v>0.38143820000000001</v>
      </c>
      <c r="F2109" t="s">
        <v>61</v>
      </c>
      <c r="G2109">
        <v>-512.82550000000003</v>
      </c>
      <c r="H2109">
        <v>1.0674269999999999</v>
      </c>
      <c r="I2109">
        <v>264.6626</v>
      </c>
      <c r="J2109">
        <v>-474.05700000000002</v>
      </c>
      <c r="K2109">
        <v>1.1336120000000001</v>
      </c>
      <c r="L2109">
        <v>285.1044</v>
      </c>
      <c r="M2109">
        <v>-0.9803809</v>
      </c>
      <c r="N2109">
        <v>-1.5404370000000001E-2</v>
      </c>
      <c r="O2109">
        <v>-0.19650980000000001</v>
      </c>
      <c r="P2109">
        <v>-0.95708599999999999</v>
      </c>
      <c r="Q2109">
        <v>0.2021751</v>
      </c>
      <c r="R2109">
        <v>-0.20763470000000001</v>
      </c>
      <c r="S2109">
        <v>-2.8272400000000002</v>
      </c>
      <c r="T2109">
        <v>-4.7497750000000004E-3</v>
      </c>
      <c r="U2109">
        <v>-1.4818420000000001</v>
      </c>
      <c r="V2109">
        <v>-2.2230300000000001E-2</v>
      </c>
      <c r="W2109">
        <v>0.21664910000000001</v>
      </c>
      <c r="X2109">
        <v>0.97599639999999999</v>
      </c>
      <c r="Y2109">
        <v>-0.2811128</v>
      </c>
      <c r="Z2109">
        <v>-5.1110080000000002E-3</v>
      </c>
      <c r="AA2109">
        <v>0.95966110000000004</v>
      </c>
      <c r="AB2109">
        <v>40</v>
      </c>
      <c r="AC2109">
        <v>-38.768500000000003</v>
      </c>
      <c r="AD2109">
        <v>-6.6184999999999897E-2</v>
      </c>
      <c r="AE2109">
        <v>-20.441800000000001</v>
      </c>
      <c r="AF2109">
        <v>-12.4238052566366</v>
      </c>
      <c r="AG2109">
        <v>-6.6184999999999897E-2</v>
      </c>
      <c r="AH2109">
        <v>42.0297999228724</v>
      </c>
      <c r="AI2109">
        <v>90.086523600251795</v>
      </c>
      <c r="AJ2109">
        <v>106.467424101788</v>
      </c>
      <c r="AK2109">
        <v>43.827610008597802</v>
      </c>
      <c r="AL2109">
        <v>77.487705567817201</v>
      </c>
      <c r="AM2109">
        <v>91.304802121368297</v>
      </c>
      <c r="AN2109">
        <v>0.99999999579093002</v>
      </c>
    </row>
    <row r="2110" spans="1:40" x14ac:dyDescent="0.25">
      <c r="A2110" t="str">
        <f>"20190303171019404"</f>
        <v>20190303171019404</v>
      </c>
      <c r="B2110" t="str">
        <f>"1551604219392818"</f>
        <v>1551604219392818</v>
      </c>
      <c r="C2110" t="s">
        <v>40</v>
      </c>
      <c r="D2110">
        <v>4.8844099999999999</v>
      </c>
      <c r="E2110">
        <v>0.3764419</v>
      </c>
      <c r="F2110" t="s">
        <v>61</v>
      </c>
      <c r="G2110">
        <v>-512.82590000000005</v>
      </c>
      <c r="H2110">
        <v>2.125604</v>
      </c>
      <c r="I2110">
        <v>262.46140000000003</v>
      </c>
      <c r="J2110">
        <v>-474.43689999999998</v>
      </c>
      <c r="K2110">
        <v>1.1339090000000001</v>
      </c>
      <c r="L2110">
        <v>285.01909999999998</v>
      </c>
      <c r="M2110">
        <v>-0.97768560000000004</v>
      </c>
      <c r="N2110">
        <v>-1.5469220000000001E-2</v>
      </c>
      <c r="O2110">
        <v>-0.20950350000000001</v>
      </c>
      <c r="P2110">
        <v>-0.95372639999999997</v>
      </c>
      <c r="Q2110">
        <v>0.20222000000000001</v>
      </c>
      <c r="R2110">
        <v>-0.22251580000000001</v>
      </c>
      <c r="S2110">
        <v>-2.7687680000000001</v>
      </c>
      <c r="T2110">
        <v>7.0850730000000001E-2</v>
      </c>
      <c r="U2110">
        <v>-1.6170960000000001</v>
      </c>
      <c r="V2110">
        <v>-2.4656210000000001E-2</v>
      </c>
      <c r="W2110">
        <v>0.21666730000000001</v>
      </c>
      <c r="X2110">
        <v>0.97593410000000003</v>
      </c>
      <c r="Y2110">
        <v>-0.31231639999999999</v>
      </c>
      <c r="Z2110">
        <v>-6.8318390000000001E-3</v>
      </c>
      <c r="AA2110">
        <v>0.94995359999999995</v>
      </c>
      <c r="AB2110">
        <v>40</v>
      </c>
      <c r="AC2110">
        <v>-38.389000000000003</v>
      </c>
      <c r="AD2110">
        <v>0.99169499999999999</v>
      </c>
      <c r="AE2110">
        <v>-22.557699999999901</v>
      </c>
      <c r="AF2110">
        <v>-14.0064364095592</v>
      </c>
      <c r="AG2110">
        <v>0.99169499999999999</v>
      </c>
      <c r="AH2110">
        <v>42.242389066282698</v>
      </c>
      <c r="AI2110">
        <v>88.723471441931906</v>
      </c>
      <c r="AJ2110">
        <v>108.34412813648601</v>
      </c>
      <c r="AK2110">
        <v>44.5149767369955</v>
      </c>
      <c r="AL2110">
        <v>77.486637562990097</v>
      </c>
      <c r="AM2110">
        <v>91.447225095616702</v>
      </c>
      <c r="AN2110">
        <v>1.0000000075618301</v>
      </c>
    </row>
    <row r="2111" spans="1:40" x14ac:dyDescent="0.25">
      <c r="A2111" t="str">
        <f>"20190303171019426"</f>
        <v>20190303171019426</v>
      </c>
      <c r="B2111" t="str">
        <f>"1551604219412338"</f>
        <v>1551604219412338</v>
      </c>
      <c r="C2111" t="s">
        <v>40</v>
      </c>
      <c r="D2111">
        <v>4.84429</v>
      </c>
      <c r="E2111">
        <v>0.37438290000000002</v>
      </c>
      <c r="F2111" t="s">
        <v>61</v>
      </c>
      <c r="G2111">
        <v>-512.82600000000002</v>
      </c>
      <c r="H2111">
        <v>2.5851510000000002</v>
      </c>
      <c r="I2111">
        <v>261.17290000000003</v>
      </c>
      <c r="J2111">
        <v>-474.81630000000001</v>
      </c>
      <c r="K2111">
        <v>1.1341779999999999</v>
      </c>
      <c r="L2111">
        <v>284.92860000000002</v>
      </c>
      <c r="M2111">
        <v>-0.97475420000000002</v>
      </c>
      <c r="N2111">
        <v>-1.5529319999999999E-2</v>
      </c>
      <c r="O2111">
        <v>-0.22273989999999999</v>
      </c>
      <c r="P2111">
        <v>-0.95026200000000005</v>
      </c>
      <c r="Q2111">
        <v>0.20062720000000001</v>
      </c>
      <c r="R2111">
        <v>-0.2382252</v>
      </c>
      <c r="S2111">
        <v>-2.7283019999999998</v>
      </c>
      <c r="T2111">
        <v>0.1031444</v>
      </c>
      <c r="U2111">
        <v>-1.694733</v>
      </c>
      <c r="V2111">
        <v>-2.7566449999999999E-2</v>
      </c>
      <c r="W2111">
        <v>0.21502979999999999</v>
      </c>
      <c r="X2111">
        <v>0.97621829999999998</v>
      </c>
      <c r="Y2111">
        <v>-0.32530979999999998</v>
      </c>
      <c r="Z2111">
        <v>-7.9075240000000008E-3</v>
      </c>
      <c r="AA2111">
        <v>0.94557449999999998</v>
      </c>
      <c r="AB2111">
        <v>40</v>
      </c>
      <c r="AC2111">
        <v>-38.009700000000002</v>
      </c>
      <c r="AD2111">
        <v>1.4509729999999901</v>
      </c>
      <c r="AE2111">
        <v>-23.755699999999901</v>
      </c>
      <c r="AF2111">
        <v>-14.6760841731928</v>
      </c>
      <c r="AG2111">
        <v>1.4509729999999901</v>
      </c>
      <c r="AH2111">
        <v>42.302235094029797</v>
      </c>
      <c r="AI2111">
        <v>88.143960219493806</v>
      </c>
      <c r="AJ2111">
        <v>109.13339964149201</v>
      </c>
      <c r="AK2111">
        <v>44.799239538812898</v>
      </c>
      <c r="AL2111">
        <v>77.582723716355304</v>
      </c>
      <c r="AM2111">
        <v>91.617488255001206</v>
      </c>
      <c r="AN2111">
        <v>0.99999994665426395</v>
      </c>
    </row>
    <row r="2112" spans="1:40" x14ac:dyDescent="0.25">
      <c r="A2112" t="str">
        <f>"20190303171019449"</f>
        <v>20190303171019449</v>
      </c>
      <c r="B2112" t="str">
        <f>"1551604219442595"</f>
        <v>1551604219442595</v>
      </c>
      <c r="C2112" t="s">
        <v>40</v>
      </c>
      <c r="D2112">
        <v>4.9210750000000001</v>
      </c>
      <c r="E2112">
        <v>0.3737992</v>
      </c>
      <c r="F2112" t="s">
        <v>61</v>
      </c>
      <c r="G2112">
        <v>-512.82600000000002</v>
      </c>
      <c r="H2112">
        <v>2.6726459999999999</v>
      </c>
      <c r="I2112">
        <v>260.19159999999999</v>
      </c>
      <c r="J2112">
        <v>-475.20429999999999</v>
      </c>
      <c r="K2112">
        <v>1.134444</v>
      </c>
      <c r="L2112">
        <v>284.8306</v>
      </c>
      <c r="M2112">
        <v>-0.97150309999999995</v>
      </c>
      <c r="N2112">
        <v>-1.55867E-2</v>
      </c>
      <c r="O2112">
        <v>-0.23651359999999999</v>
      </c>
      <c r="P2112">
        <v>-0.94687600000000005</v>
      </c>
      <c r="Q2112">
        <v>0.19982359999999999</v>
      </c>
      <c r="R2112">
        <v>-0.2519845</v>
      </c>
      <c r="S2112">
        <v>-2.694458</v>
      </c>
      <c r="T2112">
        <v>0.1090648</v>
      </c>
      <c r="U2112">
        <v>-1.753571</v>
      </c>
      <c r="V2112">
        <v>-2.79884E-2</v>
      </c>
      <c r="W2112">
        <v>0.21425669999999999</v>
      </c>
      <c r="X2112">
        <v>0.97637640000000003</v>
      </c>
      <c r="Y2112">
        <v>-0.33188970000000001</v>
      </c>
      <c r="Z2112">
        <v>-8.6655810000000003E-3</v>
      </c>
      <c r="AA2112">
        <v>0.94327839999999996</v>
      </c>
      <c r="AB2112">
        <v>40</v>
      </c>
      <c r="AC2112">
        <v>-37.621699999999997</v>
      </c>
      <c r="AD2112">
        <v>1.5382019999999901</v>
      </c>
      <c r="AE2112">
        <v>-24.638999999999999</v>
      </c>
      <c r="AF2112">
        <v>-15.0230737486326</v>
      </c>
      <c r="AG2112">
        <v>1.5382019999999901</v>
      </c>
      <c r="AH2112">
        <v>42.332682969593201</v>
      </c>
      <c r="AI2112">
        <v>88.038750764807403</v>
      </c>
      <c r="AJ2112">
        <v>109.538817674982</v>
      </c>
      <c r="AK2112">
        <v>44.945687864952603</v>
      </c>
      <c r="AL2112">
        <v>77.628077804523301</v>
      </c>
      <c r="AM2112">
        <v>91.641967352549997</v>
      </c>
      <c r="AN2112">
        <v>1.0000000792532</v>
      </c>
    </row>
    <row r="2113" spans="1:40" x14ac:dyDescent="0.25">
      <c r="A2113" t="str">
        <f>"20190303171019470"</f>
        <v>20190303171019470</v>
      </c>
      <c r="B2113" t="str">
        <f>"1551604219463094"</f>
        <v>1551604219463094</v>
      </c>
      <c r="C2113" t="s">
        <v>40</v>
      </c>
      <c r="D2113">
        <v>4.9519799999999998</v>
      </c>
      <c r="E2113">
        <v>0.37395260000000002</v>
      </c>
      <c r="F2113" t="s">
        <v>61</v>
      </c>
      <c r="G2113">
        <v>-512.82600000000002</v>
      </c>
      <c r="H2113">
        <v>2.65509</v>
      </c>
      <c r="I2113">
        <v>259.49599999999998</v>
      </c>
      <c r="J2113">
        <v>-475.56900000000002</v>
      </c>
      <c r="K2113">
        <v>1.1346579999999999</v>
      </c>
      <c r="L2113">
        <v>284.733</v>
      </c>
      <c r="M2113">
        <v>-0.96821069999999998</v>
      </c>
      <c r="N2113">
        <v>-1.5636690000000002E-2</v>
      </c>
      <c r="O2113">
        <v>-0.24964700000000001</v>
      </c>
      <c r="P2113">
        <v>-0.94318159999999895</v>
      </c>
      <c r="Q2113">
        <v>0.19920009999999999</v>
      </c>
      <c r="R2113">
        <v>-0.2659473</v>
      </c>
      <c r="S2113">
        <v>-2.6675420000000001</v>
      </c>
      <c r="T2113">
        <v>0.1078254</v>
      </c>
      <c r="U2113">
        <v>-1.7963260000000001</v>
      </c>
      <c r="V2113">
        <v>-2.9264910000000002E-2</v>
      </c>
      <c r="W2113">
        <v>0.21362880000000001</v>
      </c>
      <c r="X2113">
        <v>0.97647649999999997</v>
      </c>
      <c r="Y2113">
        <v>-0.33394459999999998</v>
      </c>
      <c r="Z2113">
        <v>-9.2937869999999995E-3</v>
      </c>
      <c r="AA2113">
        <v>0.94254689999999997</v>
      </c>
      <c r="AB2113">
        <v>40</v>
      </c>
      <c r="AC2113">
        <v>-37.256999999999998</v>
      </c>
      <c r="AD2113">
        <v>1.520432</v>
      </c>
      <c r="AE2113">
        <v>-25.236999999999998</v>
      </c>
      <c r="AF2113">
        <v>-15.118226093553901</v>
      </c>
      <c r="AG2113">
        <v>1.520432</v>
      </c>
      <c r="AH2113">
        <v>42.329823244622197</v>
      </c>
      <c r="AI2113">
        <v>88.0626498724492</v>
      </c>
      <c r="AJ2113">
        <v>109.654342739054</v>
      </c>
      <c r="AK2113">
        <v>44.974286093315499</v>
      </c>
      <c r="AL2113">
        <v>77.664905894078203</v>
      </c>
      <c r="AM2113">
        <v>91.716635354886805</v>
      </c>
      <c r="AN2113">
        <v>1.00000002709949</v>
      </c>
    </row>
    <row r="2114" spans="1:40" x14ac:dyDescent="0.25">
      <c r="A2114" t="str">
        <f>"20190303171019483"</f>
        <v>20190303171019483</v>
      </c>
      <c r="B2114" t="str">
        <f>"1551604219472850"</f>
        <v>1551604219472850</v>
      </c>
      <c r="C2114" t="s">
        <v>40</v>
      </c>
      <c r="D2114">
        <v>4.921055</v>
      </c>
      <c r="E2114">
        <v>0.37404029999999999</v>
      </c>
      <c r="F2114" t="s">
        <v>61</v>
      </c>
      <c r="G2114">
        <v>-512.82600000000002</v>
      </c>
      <c r="H2114">
        <v>2.6166480000000001</v>
      </c>
      <c r="I2114">
        <v>258.87150000000003</v>
      </c>
      <c r="J2114">
        <v>-475.78269999999998</v>
      </c>
      <c r="K2114">
        <v>1.134771</v>
      </c>
      <c r="L2114">
        <v>284.67329999999998</v>
      </c>
      <c r="M2114">
        <v>-0.96617229999999998</v>
      </c>
      <c r="N2114">
        <v>-1.566391E-2</v>
      </c>
      <c r="O2114">
        <v>-0.25742140000000002</v>
      </c>
      <c r="P2114">
        <v>-0.94104929999999998</v>
      </c>
      <c r="Q2114">
        <v>0.19899259999999999</v>
      </c>
      <c r="R2114">
        <v>-0.27354780000000001</v>
      </c>
      <c r="S2114">
        <v>-2.6415410000000001</v>
      </c>
      <c r="T2114">
        <v>0.1050788</v>
      </c>
      <c r="U2114">
        <v>-1.833588</v>
      </c>
      <c r="V2114">
        <v>-2.934111E-2</v>
      </c>
      <c r="W2114">
        <v>0.2134392</v>
      </c>
      <c r="X2114">
        <v>0.97651569999999999</v>
      </c>
      <c r="Y2114">
        <v>-0.3396824</v>
      </c>
      <c r="Z2114">
        <v>-9.5646399999999993E-3</v>
      </c>
      <c r="AA2114">
        <v>0.94049159999999998</v>
      </c>
      <c r="AB2114">
        <v>40</v>
      </c>
      <c r="AC2114">
        <v>-37.043300000000002</v>
      </c>
      <c r="AD2114">
        <v>1.4818770000000001</v>
      </c>
      <c r="AE2114">
        <v>-25.801799999999901</v>
      </c>
      <c r="AF2114">
        <v>-15.3785636983001</v>
      </c>
      <c r="AG2114">
        <v>1.4818770000000001</v>
      </c>
      <c r="AH2114">
        <v>42.391672605998401</v>
      </c>
      <c r="AI2114">
        <v>88.117865443657195</v>
      </c>
      <c r="AJ2114">
        <v>109.939415788028</v>
      </c>
      <c r="AK2114">
        <v>45.119287308200697</v>
      </c>
      <c r="AL2114">
        <v>77.676025962644303</v>
      </c>
      <c r="AM2114">
        <v>91.721033398585405</v>
      </c>
      <c r="AN2114">
        <v>1.00000005258957</v>
      </c>
    </row>
    <row r="2115" spans="1:40" x14ac:dyDescent="0.25">
      <c r="A2115" t="str">
        <f>"20190303171019497"</f>
        <v>20190303171019497</v>
      </c>
      <c r="B2115" t="str">
        <f>"1551604219492371"</f>
        <v>1551604219492371</v>
      </c>
      <c r="C2115" t="s">
        <v>40</v>
      </c>
      <c r="D2115">
        <v>4.9066749999999999</v>
      </c>
      <c r="E2115">
        <v>0.37480740000000001</v>
      </c>
      <c r="F2115" t="s">
        <v>61</v>
      </c>
      <c r="G2115">
        <v>-512.82600000000002</v>
      </c>
      <c r="H2115">
        <v>2.596603</v>
      </c>
      <c r="I2115">
        <v>258.53460000000001</v>
      </c>
      <c r="J2115">
        <v>-476.00839999999999</v>
      </c>
      <c r="K2115">
        <v>1.134884</v>
      </c>
      <c r="L2115">
        <v>284.60879999999997</v>
      </c>
      <c r="M2115">
        <v>-0.96393819999999997</v>
      </c>
      <c r="N2115">
        <v>-1.5690679999999999E-2</v>
      </c>
      <c r="O2115">
        <v>-0.26566390000000001</v>
      </c>
      <c r="P2115">
        <v>-0.93870929999999997</v>
      </c>
      <c r="Q2115">
        <v>0.19857659999999999</v>
      </c>
      <c r="R2115">
        <v>-0.2817673</v>
      </c>
      <c r="S2115">
        <v>-2.627167</v>
      </c>
      <c r="T2115">
        <v>0.1036803</v>
      </c>
      <c r="U2115">
        <v>-1.85379</v>
      </c>
      <c r="V2115">
        <v>-2.9570079999999999E-2</v>
      </c>
      <c r="W2115">
        <v>0.21303569999999999</v>
      </c>
      <c r="X2115">
        <v>0.97659680000000004</v>
      </c>
      <c r="Y2115">
        <v>-0.33890769999999998</v>
      </c>
      <c r="Z2115">
        <v>-9.9461080000000004E-3</v>
      </c>
      <c r="AA2115">
        <v>0.94076700000000002</v>
      </c>
      <c r="AB2115">
        <v>40</v>
      </c>
      <c r="AC2115">
        <v>-36.817599999999999</v>
      </c>
      <c r="AD2115">
        <v>1.461719</v>
      </c>
      <c r="AE2115">
        <v>-26.074199999999902</v>
      </c>
      <c r="AF2115">
        <v>-15.338596313092401</v>
      </c>
      <c r="AG2115">
        <v>1.461719</v>
      </c>
      <c r="AH2115">
        <v>42.3775944681433</v>
      </c>
      <c r="AI2115">
        <v>88.142344729377101</v>
      </c>
      <c r="AJ2115">
        <v>109.897754162187</v>
      </c>
      <c r="AK2115">
        <v>45.091791627716198</v>
      </c>
      <c r="AL2115">
        <v>77.699687823844798</v>
      </c>
      <c r="AM2115">
        <v>91.734311753572399</v>
      </c>
      <c r="AN2115">
        <v>0.99999995443796696</v>
      </c>
    </row>
    <row r="2116" spans="1:40" x14ac:dyDescent="0.25">
      <c r="A2116" t="str">
        <f>"20190303171019515"</f>
        <v>20190303171019515</v>
      </c>
      <c r="B2116" t="str">
        <f>"1551604219503107"</f>
        <v>1551604219503107</v>
      </c>
      <c r="C2116" t="s">
        <v>40</v>
      </c>
      <c r="D2116">
        <v>4.9234710000000002</v>
      </c>
      <c r="E2116">
        <v>0.37525130000000001</v>
      </c>
      <c r="F2116" t="s">
        <v>61</v>
      </c>
      <c r="G2116">
        <v>-512.82600000000002</v>
      </c>
      <c r="H2116">
        <v>2.5018050000000001</v>
      </c>
      <c r="I2116">
        <v>258.24689999999998</v>
      </c>
      <c r="J2116">
        <v>-476.3304</v>
      </c>
      <c r="K2116">
        <v>1.135027</v>
      </c>
      <c r="L2116">
        <v>284.51249999999999</v>
      </c>
      <c r="M2116">
        <v>-0.960588</v>
      </c>
      <c r="N2116">
        <v>-1.5726029999999998E-2</v>
      </c>
      <c r="O2116">
        <v>-0.27753070000000002</v>
      </c>
      <c r="P2116">
        <v>-0.93517700000000004</v>
      </c>
      <c r="Q2116">
        <v>0.1971646</v>
      </c>
      <c r="R2116">
        <v>-0.29422759999999998</v>
      </c>
      <c r="S2116">
        <v>-2.6136170000000001</v>
      </c>
      <c r="T2116">
        <v>9.7040180000000004E-2</v>
      </c>
      <c r="U2116">
        <v>-1.8713679999999999</v>
      </c>
      <c r="V2116">
        <v>-3.047188E-2</v>
      </c>
      <c r="W2116">
        <v>0.211622</v>
      </c>
      <c r="X2116">
        <v>0.97687639999999998</v>
      </c>
      <c r="Y2116">
        <v>-0.33379330000000001</v>
      </c>
      <c r="Z2116">
        <v>-1.035353E-2</v>
      </c>
      <c r="AA2116">
        <v>0.94258949999999997</v>
      </c>
      <c r="AB2116">
        <v>40</v>
      </c>
      <c r="AC2116">
        <v>-36.495600000000003</v>
      </c>
      <c r="AD2116">
        <v>1.366778</v>
      </c>
      <c r="AE2116">
        <v>-26.265599999999999</v>
      </c>
      <c r="AF2116">
        <v>-15.089696878912401</v>
      </c>
      <c r="AG2116">
        <v>1.366778</v>
      </c>
      <c r="AH2116">
        <v>42.312889506334699</v>
      </c>
      <c r="AI2116">
        <v>88.257320517951896</v>
      </c>
      <c r="AJ2116">
        <v>109.62734017539699</v>
      </c>
      <c r="AK2116">
        <v>44.943827745020002</v>
      </c>
      <c r="AL2116">
        <v>77.782576883232494</v>
      </c>
      <c r="AM2116">
        <v>91.786658151396793</v>
      </c>
      <c r="AN2116">
        <v>0.99999995361584604</v>
      </c>
    </row>
    <row r="2117" spans="1:40" x14ac:dyDescent="0.25">
      <c r="A2117" t="str">
        <f>"20190303171019540"</f>
        <v>20190303171019540</v>
      </c>
      <c r="B2117" t="str">
        <f>"1551604219532387"</f>
        <v>1551604219532387</v>
      </c>
      <c r="C2117" t="s">
        <v>40</v>
      </c>
      <c r="D2117">
        <v>4.8986900000000002</v>
      </c>
      <c r="E2117">
        <v>0.3765812</v>
      </c>
      <c r="F2117" t="s">
        <v>61</v>
      </c>
      <c r="G2117">
        <v>-512.82590000000005</v>
      </c>
      <c r="H2117">
        <v>2.3824070000000002</v>
      </c>
      <c r="I2117">
        <v>257.71269999999998</v>
      </c>
      <c r="J2117">
        <v>-476.71289999999999</v>
      </c>
      <c r="K2117">
        <v>1.1351639999999901</v>
      </c>
      <c r="L2117">
        <v>284.39210000000003</v>
      </c>
      <c r="M2117">
        <v>-0.95636520000000003</v>
      </c>
      <c r="N2117">
        <v>-1.5763200000000002E-2</v>
      </c>
      <c r="O2117">
        <v>-0.29174879999999997</v>
      </c>
      <c r="P2117">
        <v>-0.93061389999999999</v>
      </c>
      <c r="Q2117">
        <v>0.19504350000000001</v>
      </c>
      <c r="R2117">
        <v>-0.30970409999999998</v>
      </c>
      <c r="S2117">
        <v>-2.5907589999999998</v>
      </c>
      <c r="T2117">
        <v>8.8554259999999996E-2</v>
      </c>
      <c r="U2117">
        <v>-1.902466</v>
      </c>
      <c r="V2117">
        <v>-3.2079620000000003E-2</v>
      </c>
      <c r="W2117">
        <v>0.20947540000000001</v>
      </c>
      <c r="X2117">
        <v>0.97728749999999998</v>
      </c>
      <c r="Y2117">
        <v>-0.331125</v>
      </c>
      <c r="Z2117">
        <v>-1.0714349999999999E-2</v>
      </c>
      <c r="AA2117">
        <v>0.94352599999999998</v>
      </c>
      <c r="AB2117">
        <v>40</v>
      </c>
      <c r="AC2117">
        <v>-36.113</v>
      </c>
      <c r="AD2117">
        <v>1.2472430000000001</v>
      </c>
      <c r="AE2117">
        <v>-26.679400000000001</v>
      </c>
      <c r="AF2117">
        <v>-14.9696334631042</v>
      </c>
      <c r="AG2117">
        <v>1.2472430000000001</v>
      </c>
      <c r="AH2117">
        <v>42.293517170412798</v>
      </c>
      <c r="AI2117">
        <v>88.407578064691407</v>
      </c>
      <c r="AJ2117">
        <v>109.49122832904899</v>
      </c>
      <c r="AK2117">
        <v>44.881924376799397</v>
      </c>
      <c r="AL2117">
        <v>77.908388279082999</v>
      </c>
      <c r="AM2117">
        <v>91.880068156243198</v>
      </c>
      <c r="AN2117">
        <v>0.99999995144037501</v>
      </c>
    </row>
    <row r="2118" spans="1:40" x14ac:dyDescent="0.25">
      <c r="A2118" t="str">
        <f>"20190303171019551"</f>
        <v>20190303171019551</v>
      </c>
      <c r="B2118" t="str">
        <f>"1551604219543123"</f>
        <v>1551604219543123</v>
      </c>
      <c r="C2118" t="s">
        <v>40</v>
      </c>
      <c r="D2118">
        <v>4.9550960000000002</v>
      </c>
      <c r="E2118">
        <v>0.37700899999999998</v>
      </c>
      <c r="F2118" t="s">
        <v>61</v>
      </c>
      <c r="G2118">
        <v>-512.82590000000005</v>
      </c>
      <c r="H2118">
        <v>2.1768839999999998</v>
      </c>
      <c r="I2118">
        <v>257.13200000000001</v>
      </c>
      <c r="J2118">
        <v>-476.93150000000003</v>
      </c>
      <c r="K2118">
        <v>1.135243</v>
      </c>
      <c r="L2118">
        <v>284.32060000000001</v>
      </c>
      <c r="M2118">
        <v>-0.95383569999999995</v>
      </c>
      <c r="N2118">
        <v>-1.578249E-2</v>
      </c>
      <c r="O2118">
        <v>-0.29991430000000002</v>
      </c>
      <c r="P2118">
        <v>-0.92782730000000002</v>
      </c>
      <c r="Q2118">
        <v>0.19383810000000001</v>
      </c>
      <c r="R2118">
        <v>-0.31869039999999998</v>
      </c>
      <c r="S2118">
        <v>-2.5640559999999999</v>
      </c>
      <c r="T2118">
        <v>7.3968049999999994E-2</v>
      </c>
      <c r="U2118">
        <v>-1.935486</v>
      </c>
      <c r="V2118">
        <v>-3.3107619999999997E-2</v>
      </c>
      <c r="W2118">
        <v>0.2082504</v>
      </c>
      <c r="X2118">
        <v>0.97751500000000002</v>
      </c>
      <c r="Y2118">
        <v>-0.33549370000000001</v>
      </c>
      <c r="Z2118">
        <v>-1.044431E-2</v>
      </c>
      <c r="AA2118">
        <v>0.9419845</v>
      </c>
      <c r="AB2118">
        <v>40</v>
      </c>
      <c r="AC2118">
        <v>-35.894399999999997</v>
      </c>
      <c r="AD2118">
        <v>1.04164099999999</v>
      </c>
      <c r="AE2118">
        <v>-27.188600000000001</v>
      </c>
      <c r="AF2118">
        <v>-15.1619878515558</v>
      </c>
      <c r="AG2118">
        <v>1.04164099999999</v>
      </c>
      <c r="AH2118">
        <v>42.374210958429899</v>
      </c>
      <c r="AI2118">
        <v>88.674128695001102</v>
      </c>
      <c r="AJ2118">
        <v>109.687802946483</v>
      </c>
      <c r="AK2118">
        <v>45.017159460955803</v>
      </c>
      <c r="AL2118">
        <v>77.980158612511403</v>
      </c>
      <c r="AM2118">
        <v>91.939818887617093</v>
      </c>
      <c r="AN2118">
        <v>0.99999995941361097</v>
      </c>
    </row>
    <row r="2119" spans="1:40" x14ac:dyDescent="0.25">
      <c r="A2119" t="str">
        <f>"20190303171019566"</f>
        <v>20190303171019566</v>
      </c>
      <c r="B2119" t="str">
        <f>"1551604219552883"</f>
        <v>1551604219552883</v>
      </c>
      <c r="C2119" t="s">
        <v>40</v>
      </c>
      <c r="D2119">
        <v>4.9496270000000004</v>
      </c>
      <c r="E2119">
        <v>0.3774093</v>
      </c>
      <c r="F2119" t="s">
        <v>61</v>
      </c>
      <c r="G2119">
        <v>-512.82590000000005</v>
      </c>
      <c r="H2119">
        <v>2.0877759999999999</v>
      </c>
      <c r="I2119">
        <v>256.75080000000003</v>
      </c>
      <c r="J2119">
        <v>-477.15820000000002</v>
      </c>
      <c r="K2119">
        <v>1.1353169999999999</v>
      </c>
      <c r="L2119">
        <v>284.24419999999998</v>
      </c>
      <c r="M2119">
        <v>-0.95111979999999996</v>
      </c>
      <c r="N2119">
        <v>-1.58009E-2</v>
      </c>
      <c r="O2119">
        <v>-0.30841770000000002</v>
      </c>
      <c r="P2119">
        <v>-0.92463510000000004</v>
      </c>
      <c r="Q2119">
        <v>0.19333420000000001</v>
      </c>
      <c r="R2119">
        <v>-0.32813429999999999</v>
      </c>
      <c r="S2119">
        <v>-2.5472410000000001</v>
      </c>
      <c r="T2119">
        <v>6.7601439999999999E-2</v>
      </c>
      <c r="U2119">
        <v>-1.9564820000000001</v>
      </c>
      <c r="V2119">
        <v>-3.434446E-2</v>
      </c>
      <c r="W2119">
        <v>0.20771590000000001</v>
      </c>
      <c r="X2119">
        <v>0.97758610000000001</v>
      </c>
      <c r="Y2119">
        <v>-0.33496239999999999</v>
      </c>
      <c r="Z2119">
        <v>-1.0503119999999999E-2</v>
      </c>
      <c r="AA2119">
        <v>0.94217289999999998</v>
      </c>
      <c r="AB2119">
        <v>40</v>
      </c>
      <c r="AC2119">
        <v>-35.667700000000004</v>
      </c>
      <c r="AD2119">
        <v>0.95245899999999994</v>
      </c>
      <c r="AE2119">
        <v>-27.493399999999902</v>
      </c>
      <c r="AF2119">
        <v>-15.1440843124581</v>
      </c>
      <c r="AG2119">
        <v>0.95245899999999994</v>
      </c>
      <c r="AH2119">
        <v>42.3900393670433</v>
      </c>
      <c r="AI2119">
        <v>88.787849142929105</v>
      </c>
      <c r="AJ2119">
        <v>109.659559239172</v>
      </c>
      <c r="AK2119">
        <v>45.024059183385504</v>
      </c>
      <c r="AL2119">
        <v>78.011468481567604</v>
      </c>
      <c r="AM2119">
        <v>92.012082233567199</v>
      </c>
      <c r="AN2119">
        <v>1.00000000997935</v>
      </c>
    </row>
    <row r="2120" spans="1:40" x14ac:dyDescent="0.25">
      <c r="A2120" t="str">
        <f>"20190303171019581"</f>
        <v>20190303171019581</v>
      </c>
      <c r="B2120" t="str">
        <f>"1551604219572402"</f>
        <v>1551604219572402</v>
      </c>
      <c r="C2120" t="s">
        <v>40</v>
      </c>
      <c r="D2120">
        <v>4.9888260000000004</v>
      </c>
      <c r="E2120">
        <v>0.37780560000000002</v>
      </c>
      <c r="F2120" t="s">
        <v>61</v>
      </c>
      <c r="G2120">
        <v>-512.82579999999996</v>
      </c>
      <c r="H2120">
        <v>2.0403989999999999</v>
      </c>
      <c r="I2120">
        <v>256.32900000000001</v>
      </c>
      <c r="J2120">
        <v>-477.3947</v>
      </c>
      <c r="K2120">
        <v>1.135391</v>
      </c>
      <c r="L2120">
        <v>284.16239999999999</v>
      </c>
      <c r="M2120">
        <v>-0.94819089999999995</v>
      </c>
      <c r="N2120">
        <v>-1.5818539999999999E-2</v>
      </c>
      <c r="O2120">
        <v>-0.31730760000000002</v>
      </c>
      <c r="P2120">
        <v>-0.92134950000000004</v>
      </c>
      <c r="Q2120">
        <v>0.19288920000000001</v>
      </c>
      <c r="R2120">
        <v>-0.33750449999999999</v>
      </c>
      <c r="S2120">
        <v>-2.5288089999999999</v>
      </c>
      <c r="T2120">
        <v>6.4174770000000006E-2</v>
      </c>
      <c r="U2120">
        <v>-1.9791559999999999</v>
      </c>
      <c r="V2120">
        <v>-3.5117559999999999E-2</v>
      </c>
      <c r="W2120">
        <v>0.20725550000000001</v>
      </c>
      <c r="X2120">
        <v>0.97765639999999998</v>
      </c>
      <c r="Y2120">
        <v>-0.33471050000000002</v>
      </c>
      <c r="Z2120">
        <v>-1.0679050000000001E-2</v>
      </c>
      <c r="AA2120">
        <v>0.94226049999999995</v>
      </c>
      <c r="AB2120">
        <v>39</v>
      </c>
      <c r="AC2120">
        <v>-35.431099999999901</v>
      </c>
      <c r="AD2120">
        <v>0.90500800000000003</v>
      </c>
      <c r="AE2120">
        <v>-27.833399999999902</v>
      </c>
      <c r="AF2120">
        <v>-15.144602346248501</v>
      </c>
      <c r="AG2120">
        <v>0.90500800000000003</v>
      </c>
      <c r="AH2120">
        <v>42.415385585764199</v>
      </c>
      <c r="AI2120">
        <v>88.848835875620694</v>
      </c>
      <c r="AJ2120">
        <v>109.64933178911799</v>
      </c>
      <c r="AK2120">
        <v>45.047119265221703</v>
      </c>
      <c r="AL2120">
        <v>78.038434904802997</v>
      </c>
      <c r="AM2120">
        <v>92.0571882657526</v>
      </c>
      <c r="AN2120">
        <v>1.00000006088078</v>
      </c>
    </row>
    <row r="2121" spans="1:40" x14ac:dyDescent="0.25">
      <c r="A2121" t="str">
        <f>"20190303171019594"</f>
        <v>20190303171019594</v>
      </c>
      <c r="B2121" t="str">
        <f>"1551604219583139"</f>
        <v>1551604219583139</v>
      </c>
      <c r="C2121" t="s">
        <v>40</v>
      </c>
      <c r="D2121">
        <v>4.9826059999999996</v>
      </c>
      <c r="E2121">
        <v>0.3907371</v>
      </c>
      <c r="F2121" t="s">
        <v>61</v>
      </c>
      <c r="G2121">
        <v>-512.82579999999996</v>
      </c>
      <c r="H2121">
        <v>1.9995860000000001</v>
      </c>
      <c r="I2121">
        <v>255.90430000000001</v>
      </c>
      <c r="J2121">
        <v>-477.6284</v>
      </c>
      <c r="K2121">
        <v>1.135451</v>
      </c>
      <c r="L2121">
        <v>284.07929999999999</v>
      </c>
      <c r="M2121">
        <v>-0.94519629999999999</v>
      </c>
      <c r="N2121">
        <v>-1.583466E-2</v>
      </c>
      <c r="O2121">
        <v>-0.32611830000000003</v>
      </c>
      <c r="P2121">
        <v>-0.91782370000000002</v>
      </c>
      <c r="Q2121">
        <v>0.1916283</v>
      </c>
      <c r="R2121">
        <v>-0.34767569999999998</v>
      </c>
      <c r="S2121">
        <v>-2.509979</v>
      </c>
      <c r="T2121">
        <v>6.122565E-2</v>
      </c>
      <c r="U2121">
        <v>-2.0018310000000001</v>
      </c>
      <c r="V2121">
        <v>-3.6745519999999997E-2</v>
      </c>
      <c r="W2121">
        <v>0.2059491</v>
      </c>
      <c r="X2121">
        <v>0.97787259999999998</v>
      </c>
      <c r="Y2121">
        <v>-0.33458529999999997</v>
      </c>
      <c r="Z2121">
        <v>-1.085562E-2</v>
      </c>
      <c r="AA2121">
        <v>0.94230290000000005</v>
      </c>
      <c r="AB2121">
        <v>39</v>
      </c>
      <c r="AC2121">
        <v>-35.197399999999902</v>
      </c>
      <c r="AD2121">
        <v>0.86413499999999999</v>
      </c>
      <c r="AE2121">
        <v>-28.174999999999901</v>
      </c>
      <c r="AF2121">
        <v>-15.148724990005499</v>
      </c>
      <c r="AG2121">
        <v>0.86413499999999999</v>
      </c>
      <c r="AH2121">
        <v>42.446567433592797</v>
      </c>
      <c r="AI2121">
        <v>88.901562851817602</v>
      </c>
      <c r="AJ2121">
        <v>109.64093778384201</v>
      </c>
      <c r="AK2121">
        <v>45.077063846435102</v>
      </c>
      <c r="AL2121">
        <v>78.114936426806807</v>
      </c>
      <c r="AM2121">
        <v>92.151991071898607</v>
      </c>
      <c r="AN2121">
        <v>1.0000000434308101</v>
      </c>
    </row>
    <row r="2122" spans="1:40" x14ac:dyDescent="0.25">
      <c r="A2122" t="str">
        <f>"20190303171019617"</f>
        <v>20190303171019617</v>
      </c>
      <c r="B2122" t="str">
        <f>"1551604219612419"</f>
        <v>1551604219612419</v>
      </c>
      <c r="C2122" t="s">
        <v>40</v>
      </c>
      <c r="D2122">
        <v>5.002281</v>
      </c>
      <c r="E2122">
        <v>0.39264870000000002</v>
      </c>
      <c r="F2122" t="s">
        <v>61</v>
      </c>
      <c r="G2122">
        <v>-512.82560000000001</v>
      </c>
      <c r="H2122">
        <v>1.216844</v>
      </c>
      <c r="I2122">
        <v>257.12979999999999</v>
      </c>
      <c r="J2122">
        <v>-477.98430000000002</v>
      </c>
      <c r="K2122">
        <v>1.135543</v>
      </c>
      <c r="L2122">
        <v>283.9477</v>
      </c>
      <c r="M2122">
        <v>-0.94044030000000001</v>
      </c>
      <c r="N2122">
        <v>-1.5856599999999998E-2</v>
      </c>
      <c r="O2122">
        <v>-0.33958899999999997</v>
      </c>
      <c r="P2122">
        <v>-0.91224179999999999</v>
      </c>
      <c r="Q2122">
        <v>0.19013949999999999</v>
      </c>
      <c r="R2122">
        <v>-0.36285230000000002</v>
      </c>
      <c r="S2122">
        <v>-2.5327760000000001</v>
      </c>
      <c r="T2122">
        <v>5.8623549999999996E-3</v>
      </c>
      <c r="U2122">
        <v>-1.93927</v>
      </c>
      <c r="V2122">
        <v>-3.8894869999999998E-2</v>
      </c>
      <c r="W2122">
        <v>0.20439879999999999</v>
      </c>
      <c r="X2122">
        <v>0.9781147</v>
      </c>
      <c r="Y2122">
        <v>-0.30216959999999998</v>
      </c>
      <c r="Z2122">
        <v>-8.0491709999999904E-3</v>
      </c>
      <c r="AA2122">
        <v>0.95322019999999996</v>
      </c>
      <c r="AB2122">
        <v>39</v>
      </c>
      <c r="AC2122">
        <v>-34.841299999999897</v>
      </c>
      <c r="AD2122">
        <v>8.1300999999999998E-2</v>
      </c>
      <c r="AE2122">
        <v>-26.817900000000002</v>
      </c>
      <c r="AF2122">
        <v>-13.390548899992501</v>
      </c>
      <c r="AG2122">
        <v>8.1300999999999998E-2</v>
      </c>
      <c r="AH2122">
        <v>41.878346751268801</v>
      </c>
      <c r="AI2122">
        <v>89.894052537843393</v>
      </c>
      <c r="AJ2122">
        <v>107.73161213081499</v>
      </c>
      <c r="AK2122">
        <v>43.967139278274601</v>
      </c>
      <c r="AL2122">
        <v>78.205692636041107</v>
      </c>
      <c r="AM2122">
        <v>92.277175044129507</v>
      </c>
      <c r="AN2122">
        <v>1.00000002335492</v>
      </c>
    </row>
    <row r="2123" spans="1:40" x14ac:dyDescent="0.25">
      <c r="A2123" t="str">
        <f>"20190303171019639"</f>
        <v>20190303171019639</v>
      </c>
      <c r="B2123" t="str">
        <f>"1551604219632915"</f>
        <v>1551604219632915</v>
      </c>
      <c r="C2123" t="s">
        <v>40</v>
      </c>
      <c r="D2123">
        <v>4.9538529999999996</v>
      </c>
      <c r="E2123">
        <v>0.39339990000000002</v>
      </c>
      <c r="F2123" t="s">
        <v>61</v>
      </c>
      <c r="G2123">
        <v>-512.82550000000003</v>
      </c>
      <c r="H2123">
        <v>1.0535749999999999</v>
      </c>
      <c r="I2123">
        <v>256.625</v>
      </c>
      <c r="J2123">
        <v>-478.34589999999997</v>
      </c>
      <c r="K2123">
        <v>1.1356170000000001</v>
      </c>
      <c r="L2123">
        <v>283.80770000000001</v>
      </c>
      <c r="M2123">
        <v>-0.93536200000000003</v>
      </c>
      <c r="N2123">
        <v>-1.5876990000000001E-2</v>
      </c>
      <c r="O2123">
        <v>-0.35333569999999997</v>
      </c>
      <c r="P2123">
        <v>-0.90603219999999995</v>
      </c>
      <c r="Q2123">
        <v>0.18949099999999999</v>
      </c>
      <c r="R2123">
        <v>-0.37841649999999999</v>
      </c>
      <c r="S2123">
        <v>-2.5076290000000001</v>
      </c>
      <c r="T2123">
        <v>-5.8940650000000004E-3</v>
      </c>
      <c r="U2123">
        <v>-1.9664919999999999</v>
      </c>
      <c r="V2123">
        <v>-4.128768E-2</v>
      </c>
      <c r="W2123">
        <v>0.2036762</v>
      </c>
      <c r="X2123">
        <v>0.97816740000000002</v>
      </c>
      <c r="Y2123">
        <v>-0.29921049999999999</v>
      </c>
      <c r="Z2123">
        <v>-7.4961169999999896E-3</v>
      </c>
      <c r="AA2123">
        <v>0.9541577</v>
      </c>
      <c r="AB2123">
        <v>39</v>
      </c>
      <c r="AC2123">
        <v>-34.479599999999998</v>
      </c>
      <c r="AD2123">
        <v>-8.2042000000000101E-2</v>
      </c>
      <c r="AE2123">
        <v>-27.182700000000001</v>
      </c>
      <c r="AF2123">
        <v>-13.244412453801999</v>
      </c>
      <c r="AG2123">
        <v>-8.2042000000000101E-2</v>
      </c>
      <c r="AH2123">
        <v>41.860650645857703</v>
      </c>
      <c r="AI2123">
        <v>90.107062018724804</v>
      </c>
      <c r="AJ2123">
        <v>107.557001302389</v>
      </c>
      <c r="AK2123">
        <v>43.905982105297902</v>
      </c>
      <c r="AL2123">
        <v>78.247984744754703</v>
      </c>
      <c r="AM2123">
        <v>92.416975293535302</v>
      </c>
      <c r="AN2123">
        <v>1.00000006469448</v>
      </c>
    </row>
    <row r="2124" spans="1:40" x14ac:dyDescent="0.25">
      <c r="A2124" t="str">
        <f>"20190303171019652"</f>
        <v>20190303171019652</v>
      </c>
      <c r="B2124" t="str">
        <f>"1551604219642674"</f>
        <v>1551604219642674</v>
      </c>
      <c r="C2124" t="s">
        <v>40</v>
      </c>
      <c r="D2124">
        <v>5.0219430000000003</v>
      </c>
      <c r="E2124">
        <v>0.39391229999999999</v>
      </c>
      <c r="F2124" t="s">
        <v>61</v>
      </c>
      <c r="G2124">
        <v>-512.82550000000003</v>
      </c>
      <c r="H2124">
        <v>0.96517940000000002</v>
      </c>
      <c r="I2124">
        <v>255.923</v>
      </c>
      <c r="J2124">
        <v>-478.5634</v>
      </c>
      <c r="K2124">
        <v>1.1356599999999999</v>
      </c>
      <c r="L2124">
        <v>283.72059999999999</v>
      </c>
      <c r="M2124">
        <v>-0.93218670000000003</v>
      </c>
      <c r="N2124">
        <v>-1.5888429999999999E-2</v>
      </c>
      <c r="O2124">
        <v>-0.36162929999999999</v>
      </c>
      <c r="P2124">
        <v>-0.90222360000000001</v>
      </c>
      <c r="Q2124">
        <v>0.18948119999999999</v>
      </c>
      <c r="R2124">
        <v>-0.38741439999999999</v>
      </c>
      <c r="S2124">
        <v>-2.47702</v>
      </c>
      <c r="T2124">
        <v>-1.2238860000000001E-2</v>
      </c>
      <c r="U2124">
        <v>-2.0032350000000001</v>
      </c>
      <c r="V2124">
        <v>-4.2362690000000001E-2</v>
      </c>
      <c r="W2124">
        <v>0.2036337</v>
      </c>
      <c r="X2124">
        <v>0.97813019999999995</v>
      </c>
      <c r="Y2124">
        <v>-0.30503400000000003</v>
      </c>
      <c r="Z2124">
        <v>-7.2311379999999998E-3</v>
      </c>
      <c r="AA2124">
        <v>0.95231399999999999</v>
      </c>
      <c r="AB2124">
        <v>39</v>
      </c>
      <c r="AC2124">
        <v>-34.262099999999997</v>
      </c>
      <c r="AD2124">
        <v>-0.17048060000000001</v>
      </c>
      <c r="AE2124">
        <v>-27.7975999999999</v>
      </c>
      <c r="AF2124">
        <v>-13.5238773871214</v>
      </c>
      <c r="AG2124">
        <v>-0.17048060000000001</v>
      </c>
      <c r="AH2124">
        <v>41.995769746724797</v>
      </c>
      <c r="AI2124">
        <v>90.221392944802602</v>
      </c>
      <c r="AJ2124">
        <v>107.850090784077</v>
      </c>
      <c r="AK2124">
        <v>44.119938801371802</v>
      </c>
      <c r="AL2124">
        <v>78.250470986941806</v>
      </c>
      <c r="AM2124">
        <v>92.479922863982495</v>
      </c>
      <c r="AN2124">
        <v>0.99999998471588203</v>
      </c>
    </row>
    <row r="2125" spans="1:40" x14ac:dyDescent="0.25">
      <c r="A2125" t="str">
        <f>"20190303171019665"</f>
        <v>20190303171019665</v>
      </c>
      <c r="B2125" t="str">
        <f>"1551604219652435"</f>
        <v>1551604219652435</v>
      </c>
      <c r="C2125" t="s">
        <v>40</v>
      </c>
      <c r="D2125">
        <v>5.0533890000000001</v>
      </c>
      <c r="E2125">
        <v>0.39452549999999997</v>
      </c>
      <c r="F2125" t="s">
        <v>61</v>
      </c>
      <c r="G2125">
        <v>-512.82550000000003</v>
      </c>
      <c r="H2125">
        <v>0.96666960000000002</v>
      </c>
      <c r="I2125">
        <v>255.52379999999999</v>
      </c>
      <c r="J2125">
        <v>-478.7559</v>
      </c>
      <c r="K2125">
        <v>1.1356980000000001</v>
      </c>
      <c r="L2125">
        <v>283.64150000000001</v>
      </c>
      <c r="M2125">
        <v>-0.92929859999999997</v>
      </c>
      <c r="N2125">
        <v>-1.5898260000000001E-2</v>
      </c>
      <c r="O2125">
        <v>-0.3689865</v>
      </c>
      <c r="P2125">
        <v>-0.89870689999999998</v>
      </c>
      <c r="Q2125">
        <v>0.18919250000000001</v>
      </c>
      <c r="R2125">
        <v>-0.39564110000000002</v>
      </c>
      <c r="S2125">
        <v>-2.458771</v>
      </c>
      <c r="T2125">
        <v>-1.2122040000000001E-2</v>
      </c>
      <c r="U2125">
        <v>-2.0234990000000002</v>
      </c>
      <c r="V2125">
        <v>-4.3559689999999998E-2</v>
      </c>
      <c r="W2125">
        <v>0.2033064</v>
      </c>
      <c r="X2125">
        <v>0.97814570000000001</v>
      </c>
      <c r="Y2125">
        <v>-0.30565029999999999</v>
      </c>
      <c r="Z2125">
        <v>-7.3298540000000002E-3</v>
      </c>
      <c r="AA2125">
        <v>0.95211559999999995</v>
      </c>
      <c r="AB2125">
        <v>39</v>
      </c>
      <c r="AC2125">
        <v>-34.069600000000001</v>
      </c>
      <c r="AD2125">
        <v>-0.169028399999999</v>
      </c>
      <c r="AE2125">
        <v>-28.117699999999999</v>
      </c>
      <c r="AF2125">
        <v>-13.560034231019699</v>
      </c>
      <c r="AG2125">
        <v>-0.169028399999999</v>
      </c>
      <c r="AH2125">
        <v>42.040587878364398</v>
      </c>
      <c r="AI2125">
        <v>90.219239992346303</v>
      </c>
      <c r="AJ2125">
        <v>107.876911944695</v>
      </c>
      <c r="AK2125">
        <v>44.173681396335098</v>
      </c>
      <c r="AL2125">
        <v>78.269624446694095</v>
      </c>
      <c r="AM2125">
        <v>92.549863980915404</v>
      </c>
      <c r="AN2125">
        <v>0.99999997465117196</v>
      </c>
    </row>
    <row r="2126" spans="1:40" x14ac:dyDescent="0.25">
      <c r="A2126" t="str">
        <f>"20190303171019677"</f>
        <v>20190303171019677</v>
      </c>
      <c r="B2126" t="str">
        <f>"1551604219663172"</f>
        <v>1551604219663172</v>
      </c>
      <c r="C2126" t="s">
        <v>40</v>
      </c>
      <c r="D2126">
        <v>4.9526279999999998</v>
      </c>
      <c r="E2126">
        <v>0.39452549999999997</v>
      </c>
      <c r="F2126" t="s">
        <v>61</v>
      </c>
      <c r="G2126">
        <v>-512.82539999999995</v>
      </c>
      <c r="H2126">
        <v>0.94753860000000001</v>
      </c>
      <c r="I2126">
        <v>255.16849999999999</v>
      </c>
      <c r="J2126">
        <v>-478.95049999999998</v>
      </c>
      <c r="K2126">
        <v>1.1357360000000001</v>
      </c>
      <c r="L2126">
        <v>283.56049999999999</v>
      </c>
      <c r="M2126">
        <v>-0.92631180000000002</v>
      </c>
      <c r="N2126">
        <v>-1.5907669999999999E-2</v>
      </c>
      <c r="O2126">
        <v>-0.37642219999999998</v>
      </c>
      <c r="P2126">
        <v>-0.89515689999999903</v>
      </c>
      <c r="Q2126">
        <v>0.18891859999999999</v>
      </c>
      <c r="R2126">
        <v>-0.40373789999999998</v>
      </c>
      <c r="S2126">
        <v>-2.4423520000000001</v>
      </c>
      <c r="T2126">
        <v>-1.348329E-2</v>
      </c>
      <c r="U2126">
        <v>-2.0411380000000001</v>
      </c>
      <c r="V2126">
        <v>-4.4542949999999998E-2</v>
      </c>
      <c r="W2126">
        <v>0.20300199999999999</v>
      </c>
      <c r="X2126">
        <v>0.9781647</v>
      </c>
      <c r="Y2126">
        <v>-0.30521189999999998</v>
      </c>
      <c r="Z2126">
        <v>-7.3117429999999999E-3</v>
      </c>
      <c r="AA2126">
        <v>0.9522564</v>
      </c>
      <c r="AB2126">
        <v>39</v>
      </c>
      <c r="AC2126">
        <v>-33.874899999999897</v>
      </c>
      <c r="AD2126">
        <v>-0.18819739999999999</v>
      </c>
      <c r="AE2126">
        <v>-28.391999999999999</v>
      </c>
      <c r="AF2126">
        <v>-13.5500472920434</v>
      </c>
      <c r="AG2126">
        <v>-0.18819739999999999</v>
      </c>
      <c r="AH2126">
        <v>42.0706536411898</v>
      </c>
      <c r="AI2126">
        <v>90.243961931999706</v>
      </c>
      <c r="AJ2126">
        <v>107.852626577256</v>
      </c>
      <c r="AK2126">
        <v>44.199311054301901</v>
      </c>
      <c r="AL2126">
        <v>78.287437423720903</v>
      </c>
      <c r="AM2126">
        <v>92.607292176513198</v>
      </c>
      <c r="AN2126">
        <v>1.00000003336239</v>
      </c>
    </row>
    <row r="2127" spans="1:40" x14ac:dyDescent="0.25">
      <c r="A2127" t="str">
        <f>"20190303171019689"</f>
        <v>20190303171019689</v>
      </c>
      <c r="B2127" t="str">
        <f>"1551604219682691"</f>
        <v>1551604219682691</v>
      </c>
      <c r="C2127" t="s">
        <v>40</v>
      </c>
      <c r="D2127">
        <v>4.943549</v>
      </c>
      <c r="E2127">
        <v>0.39497640000000001</v>
      </c>
      <c r="F2127" t="s">
        <v>61</v>
      </c>
      <c r="G2127">
        <v>-512.82539999999995</v>
      </c>
      <c r="H2127">
        <v>0.92695760000000005</v>
      </c>
      <c r="I2127">
        <v>254.73910000000001</v>
      </c>
      <c r="J2127">
        <v>-479.16180000000003</v>
      </c>
      <c r="K2127">
        <v>1.1357740000000001</v>
      </c>
      <c r="L2127">
        <v>283.46940000000001</v>
      </c>
      <c r="M2127">
        <v>-0.92296909999999999</v>
      </c>
      <c r="N2127">
        <v>-1.5917819999999999E-2</v>
      </c>
      <c r="O2127">
        <v>-0.38454480000000002</v>
      </c>
      <c r="P2127">
        <v>-0.89125919999999903</v>
      </c>
      <c r="Q2127">
        <v>0.1885628</v>
      </c>
      <c r="R2127">
        <v>-0.41243360000000001</v>
      </c>
      <c r="S2127">
        <v>-2.4242249999999999</v>
      </c>
      <c r="T2127">
        <v>-1.493561E-2</v>
      </c>
      <c r="U2127">
        <v>-2.0625610000000001</v>
      </c>
      <c r="V2127">
        <v>-4.5456610000000001E-2</v>
      </c>
      <c r="W2127">
        <v>0.20261870000000001</v>
      </c>
      <c r="X2127">
        <v>0.97820209999999996</v>
      </c>
      <c r="Y2127">
        <v>-0.30523939999999999</v>
      </c>
      <c r="Z2127">
        <v>-7.2920709999999998E-3</v>
      </c>
      <c r="AA2127">
        <v>0.95224770000000003</v>
      </c>
      <c r="AB2127">
        <v>39</v>
      </c>
      <c r="AC2127">
        <v>-33.663599999999903</v>
      </c>
      <c r="AD2127">
        <v>-0.20881640000000001</v>
      </c>
      <c r="AE2127">
        <v>-28.7303</v>
      </c>
      <c r="AF2127">
        <v>-13.573434105091099</v>
      </c>
      <c r="AG2127">
        <v>-0.20881640000000001</v>
      </c>
      <c r="AH2127">
        <v>42.122948424570403</v>
      </c>
      <c r="AI2127">
        <v>90.270341834520906</v>
      </c>
      <c r="AJ2127">
        <v>107.860690553579</v>
      </c>
      <c r="AK2127">
        <v>44.256349845792499</v>
      </c>
      <c r="AL2127">
        <v>78.309864525969402</v>
      </c>
      <c r="AM2127">
        <v>92.6605949975838</v>
      </c>
      <c r="AN2127">
        <v>0.99999999471339596</v>
      </c>
    </row>
    <row r="2128" spans="1:40" x14ac:dyDescent="0.25">
      <c r="A2128" t="str">
        <f>"20190303171019702"</f>
        <v>20190303171019702</v>
      </c>
      <c r="B2128" t="str">
        <f>"1551604219692451"</f>
        <v>1551604219692451</v>
      </c>
      <c r="C2128" t="s">
        <v>40</v>
      </c>
      <c r="D2128">
        <v>4.9484949999999897</v>
      </c>
      <c r="E2128">
        <v>0.40163140000000003</v>
      </c>
      <c r="F2128" t="s">
        <v>61</v>
      </c>
      <c r="G2128">
        <v>-512.82539999999995</v>
      </c>
      <c r="H2128">
        <v>0.9040376</v>
      </c>
      <c r="I2128">
        <v>254.31870000000001</v>
      </c>
      <c r="J2128">
        <v>-479.34399999999999</v>
      </c>
      <c r="K2128">
        <v>1.135807</v>
      </c>
      <c r="L2128">
        <v>283.38940000000002</v>
      </c>
      <c r="M2128">
        <v>-0.9200178</v>
      </c>
      <c r="N2128">
        <v>-1.5926590000000001E-2</v>
      </c>
      <c r="O2128">
        <v>-0.39155269999999998</v>
      </c>
      <c r="P2128">
        <v>-0.88772519999999999</v>
      </c>
      <c r="Q2128">
        <v>0.1883592</v>
      </c>
      <c r="R2128">
        <v>-0.42007709999999998</v>
      </c>
      <c r="S2128">
        <v>-2.4056090000000001</v>
      </c>
      <c r="T2128">
        <v>-1.6554590000000001E-2</v>
      </c>
      <c r="U2128">
        <v>-2.0830989999999998</v>
      </c>
      <c r="V2128">
        <v>-4.6421160000000003E-2</v>
      </c>
      <c r="W2128">
        <v>0.2023838</v>
      </c>
      <c r="X2128">
        <v>0.9782054</v>
      </c>
      <c r="Y2128">
        <v>-0.30628450000000002</v>
      </c>
      <c r="Z2128">
        <v>-7.2505879999999997E-3</v>
      </c>
      <c r="AA2128">
        <v>0.95191239999999999</v>
      </c>
      <c r="AB2128">
        <v>39</v>
      </c>
      <c r="AC2128">
        <v>-33.481399999999901</v>
      </c>
      <c r="AD2128">
        <v>-0.23176939999999999</v>
      </c>
      <c r="AE2128">
        <v>-29.070699999999999</v>
      </c>
      <c r="AF2128">
        <v>-13.637186544570699</v>
      </c>
      <c r="AG2128">
        <v>-0.23176939999999999</v>
      </c>
      <c r="AH2128">
        <v>42.190395327512</v>
      </c>
      <c r="AI2128">
        <v>90.299490300167193</v>
      </c>
      <c r="AJ2128">
        <v>107.91237050004599</v>
      </c>
      <c r="AK2128">
        <v>44.340230398566398</v>
      </c>
      <c r="AL2128">
        <v>78.323607698011998</v>
      </c>
      <c r="AM2128">
        <v>92.716957655336401</v>
      </c>
      <c r="AN2128">
        <v>0.99999996559367199</v>
      </c>
    </row>
    <row r="2129" spans="1:40" x14ac:dyDescent="0.25">
      <c r="A2129" t="str">
        <f>"20190303171019713"</f>
        <v>20190303171019713</v>
      </c>
      <c r="B2129" t="str">
        <f>"1551604219703187"</f>
        <v>1551604219703187</v>
      </c>
      <c r="C2129" t="s">
        <v>40</v>
      </c>
      <c r="D2129">
        <v>5.2307980000000001</v>
      </c>
      <c r="E2129">
        <v>0.40163140000000003</v>
      </c>
      <c r="F2129" t="s">
        <v>61</v>
      </c>
      <c r="G2129">
        <v>-512.56200000000001</v>
      </c>
      <c r="H2129">
        <v>5.525156</v>
      </c>
      <c r="I2129">
        <v>255.1619</v>
      </c>
      <c r="J2129">
        <v>-479.5369</v>
      </c>
      <c r="K2129">
        <v>1.1358459999999999</v>
      </c>
      <c r="L2129">
        <v>283.3032</v>
      </c>
      <c r="M2129">
        <v>-0.91681780000000002</v>
      </c>
      <c r="N2129">
        <v>-1.5935990000000001E-2</v>
      </c>
      <c r="O2129">
        <v>-0.3989876</v>
      </c>
      <c r="P2129">
        <v>-0.88397409999999998</v>
      </c>
      <c r="Q2129">
        <v>0.18825749999999999</v>
      </c>
      <c r="R2129">
        <v>-0.42795949999999999</v>
      </c>
      <c r="S2129">
        <v>-2.3630070000000001</v>
      </c>
      <c r="T2129">
        <v>0.31224669999999999</v>
      </c>
      <c r="U2129">
        <v>-2.0079959999999999</v>
      </c>
      <c r="V2129">
        <v>-4.7216290000000001E-2</v>
      </c>
      <c r="W2129">
        <v>0.20225770000000001</v>
      </c>
      <c r="X2129">
        <v>0.97819350000000005</v>
      </c>
      <c r="Y2129">
        <v>-0.29085939999999999</v>
      </c>
      <c r="Z2129">
        <v>-3.488525E-2</v>
      </c>
      <c r="AA2129">
        <v>0.95612960000000002</v>
      </c>
      <c r="AB2129">
        <v>39</v>
      </c>
      <c r="AC2129">
        <v>-33.025100000000002</v>
      </c>
      <c r="AD2129">
        <v>4.38931</v>
      </c>
      <c r="AE2129">
        <v>-28.141300000000001</v>
      </c>
      <c r="AF2129">
        <v>-12.497545669657001</v>
      </c>
      <c r="AG2129">
        <v>4.38931</v>
      </c>
      <c r="AH2129">
        <v>41.090787150512902</v>
      </c>
      <c r="AI2129">
        <v>84.164773276934497</v>
      </c>
      <c r="AJ2129">
        <v>106.91686151713699</v>
      </c>
      <c r="AK2129">
        <v>43.172994784819203</v>
      </c>
      <c r="AL2129">
        <v>78.330986142048801</v>
      </c>
      <c r="AM2129">
        <v>92.763457400681702</v>
      </c>
      <c r="AN2129">
        <v>1.0000000393464501</v>
      </c>
    </row>
    <row r="2130" spans="1:40" x14ac:dyDescent="0.25">
      <c r="A2130" t="str">
        <f>"20190303171019725"</f>
        <v>20190303171019725</v>
      </c>
      <c r="B2130" t="str">
        <f>"1551604219712948"</f>
        <v>1551604219712948</v>
      </c>
      <c r="C2130" t="s">
        <v>40</v>
      </c>
      <c r="D2130">
        <v>4.9777469999999999</v>
      </c>
      <c r="E2130">
        <v>0.4033043</v>
      </c>
      <c r="F2130" t="s">
        <v>61</v>
      </c>
      <c r="G2130">
        <v>-512.47569999999996</v>
      </c>
      <c r="H2130">
        <v>5.5251849999999996</v>
      </c>
      <c r="I2130">
        <v>254.8064</v>
      </c>
      <c r="J2130">
        <v>-479.71620000000001</v>
      </c>
      <c r="K2130">
        <v>1.135877</v>
      </c>
      <c r="L2130">
        <v>283.22070000000002</v>
      </c>
      <c r="M2130">
        <v>-0.91376199999999996</v>
      </c>
      <c r="N2130">
        <v>-1.5945460000000002E-2</v>
      </c>
      <c r="O2130">
        <v>-0.40593689999999999</v>
      </c>
      <c r="P2130">
        <v>-0.88017199999999995</v>
      </c>
      <c r="Q2130">
        <v>0.1882897</v>
      </c>
      <c r="R2130">
        <v>-0.43571110000000002</v>
      </c>
      <c r="S2130">
        <v>-2.3450009999999999</v>
      </c>
      <c r="T2130">
        <v>0.31249169999999998</v>
      </c>
      <c r="U2130">
        <v>-2.0287480000000002</v>
      </c>
      <c r="V2130">
        <v>-4.841181E-2</v>
      </c>
      <c r="W2130">
        <v>0.20225019999999999</v>
      </c>
      <c r="X2130">
        <v>0.97813660000000002</v>
      </c>
      <c r="Y2130">
        <v>-0.29210079999999999</v>
      </c>
      <c r="Z2130">
        <v>-3.570744E-2</v>
      </c>
      <c r="AA2130">
        <v>0.95572069999999998</v>
      </c>
      <c r="AB2130">
        <v>39</v>
      </c>
      <c r="AC2130">
        <v>-32.759499999999903</v>
      </c>
      <c r="AD2130">
        <v>4.3893079999999998</v>
      </c>
      <c r="AE2130">
        <v>-28.414300000000001</v>
      </c>
      <c r="AF2130">
        <v>-12.538770281564901</v>
      </c>
      <c r="AG2130">
        <v>4.3893079999999998</v>
      </c>
      <c r="AH2130">
        <v>41.053484889358003</v>
      </c>
      <c r="AI2130">
        <v>84.1615814366656</v>
      </c>
      <c r="AJ2130">
        <v>106.98399384442401</v>
      </c>
      <c r="AK2130">
        <v>43.149454300761001</v>
      </c>
      <c r="AL2130">
        <v>78.331424788601197</v>
      </c>
      <c r="AM2130">
        <v>92.833480289718494</v>
      </c>
      <c r="AN2130">
        <v>1.0000000275035299</v>
      </c>
    </row>
    <row r="2131" spans="1:40" x14ac:dyDescent="0.25">
      <c r="A2131" t="str">
        <f>"20190303171019738"</f>
        <v>20190303171019738</v>
      </c>
      <c r="B2131" t="str">
        <f>"1551604219732467"</f>
        <v>1551604219732467</v>
      </c>
      <c r="C2131" t="s">
        <v>40</v>
      </c>
      <c r="D2131">
        <v>5.0658820000000002</v>
      </c>
      <c r="E2131">
        <v>0.40453830000000002</v>
      </c>
      <c r="F2131" t="s">
        <v>61</v>
      </c>
      <c r="G2131">
        <v>-512.72469999999998</v>
      </c>
      <c r="H2131">
        <v>5.5251020000000004</v>
      </c>
      <c r="I2131">
        <v>254.3809</v>
      </c>
      <c r="J2131">
        <v>-479.90960000000001</v>
      </c>
      <c r="K2131">
        <v>1.1359140000000001</v>
      </c>
      <c r="L2131">
        <v>283.13080000000002</v>
      </c>
      <c r="M2131">
        <v>-0.91039700000000001</v>
      </c>
      <c r="N2131">
        <v>-1.5955540000000001E-2</v>
      </c>
      <c r="O2131">
        <v>-0.41342810000000002</v>
      </c>
      <c r="P2131">
        <v>-0.87610739999999998</v>
      </c>
      <c r="Q2131">
        <v>0.18849859999999999</v>
      </c>
      <c r="R2131">
        <v>-0.44373879999999999</v>
      </c>
      <c r="S2131">
        <v>-2.333008</v>
      </c>
      <c r="T2131">
        <v>0.3102299</v>
      </c>
      <c r="U2131">
        <v>-2.0383610000000001</v>
      </c>
      <c r="V2131">
        <v>-4.9368410000000001E-2</v>
      </c>
      <c r="W2131">
        <v>0.2024281</v>
      </c>
      <c r="X2131">
        <v>0.97805200000000003</v>
      </c>
      <c r="Y2131">
        <v>-0.28894710000000001</v>
      </c>
      <c r="Z2131">
        <v>-3.657908E-2</v>
      </c>
      <c r="AA2131">
        <v>0.956646</v>
      </c>
      <c r="AB2131">
        <v>39</v>
      </c>
      <c r="AC2131">
        <v>-32.815099999999902</v>
      </c>
      <c r="AD2131">
        <v>4.3891879999999999</v>
      </c>
      <c r="AE2131">
        <v>-28.7499</v>
      </c>
      <c r="AF2131">
        <v>-12.4824033255298</v>
      </c>
      <c r="AG2131">
        <v>4.3891879999999999</v>
      </c>
      <c r="AH2131">
        <v>41.347604202204799</v>
      </c>
      <c r="AI2131">
        <v>84.1973230107468</v>
      </c>
      <c r="AJ2131">
        <v>106.79850857899299</v>
      </c>
      <c r="AK2131">
        <v>43.413128628822903</v>
      </c>
      <c r="AL2131">
        <v>78.321016790116801</v>
      </c>
      <c r="AM2131">
        <v>92.889624389006499</v>
      </c>
      <c r="AN2131">
        <v>1.0000000451397599</v>
      </c>
    </row>
    <row r="2132" spans="1:40" x14ac:dyDescent="0.25">
      <c r="A2132" t="str">
        <f>"20190303171019750"</f>
        <v>20190303171019750</v>
      </c>
      <c r="B2132" t="str">
        <f>"1551604219743203"</f>
        <v>1551604219743203</v>
      </c>
      <c r="C2132" t="s">
        <v>40</v>
      </c>
      <c r="D2132">
        <v>5.066643</v>
      </c>
      <c r="E2132">
        <v>0.41057339999999998</v>
      </c>
      <c r="F2132" t="s">
        <v>61</v>
      </c>
      <c r="G2132">
        <v>-512.827</v>
      </c>
      <c r="H2132">
        <v>5.4957739999999999</v>
      </c>
      <c r="I2132">
        <v>254.02</v>
      </c>
      <c r="J2132">
        <v>-480.1</v>
      </c>
      <c r="K2132">
        <v>1.135953</v>
      </c>
      <c r="L2132">
        <v>283.03949999999998</v>
      </c>
      <c r="M2132">
        <v>-0.90699010000000002</v>
      </c>
      <c r="N2132">
        <v>-1.5966379999999999E-2</v>
      </c>
      <c r="O2132">
        <v>-0.42084929999999898</v>
      </c>
      <c r="P2132">
        <v>-0.8712356</v>
      </c>
      <c r="Q2132">
        <v>0.18905069999999999</v>
      </c>
      <c r="R2132">
        <v>-0.45299970000000001</v>
      </c>
      <c r="S2132">
        <v>-2.3193359999999998</v>
      </c>
      <c r="T2132">
        <v>0.30719649999999998</v>
      </c>
      <c r="U2132">
        <v>-2.0511170000000001</v>
      </c>
      <c r="V2132">
        <v>-5.1843809999999997E-2</v>
      </c>
      <c r="W2132">
        <v>0.20289090000000001</v>
      </c>
      <c r="X2132">
        <v>0.97782800000000003</v>
      </c>
      <c r="Y2132">
        <v>-0.28690470000000001</v>
      </c>
      <c r="Z2132">
        <v>-3.730613E-2</v>
      </c>
      <c r="AA2132">
        <v>0.95723250000000004</v>
      </c>
      <c r="AB2132">
        <v>39</v>
      </c>
      <c r="AC2132">
        <v>-32.726999999999897</v>
      </c>
      <c r="AD2132">
        <v>4.3598210000000002</v>
      </c>
      <c r="AE2132">
        <v>-29.019499999999901</v>
      </c>
      <c r="AF2132">
        <v>-12.4254133102209</v>
      </c>
      <c r="AG2132">
        <v>4.3598210000000002</v>
      </c>
      <c r="AH2132">
        <v>41.489035564173498</v>
      </c>
      <c r="AI2132">
        <v>84.251620654544197</v>
      </c>
      <c r="AJ2132">
        <v>106.67225752800999</v>
      </c>
      <c r="AK2132">
        <v>43.528599875565803</v>
      </c>
      <c r="AL2132">
        <v>78.293938439172706</v>
      </c>
      <c r="AM2132">
        <v>93.034943615975095</v>
      </c>
      <c r="AN2132">
        <v>1.00000004776106</v>
      </c>
    </row>
    <row r="2133" spans="1:40" x14ac:dyDescent="0.25">
      <c r="A2133" t="str">
        <f>"20190303171019762"</f>
        <v>20190303171019762</v>
      </c>
      <c r="B2133" t="str">
        <f>"1551604219752963"</f>
        <v>1551604219752963</v>
      </c>
      <c r="C2133" t="s">
        <v>40</v>
      </c>
      <c r="D2133">
        <v>5.078227</v>
      </c>
      <c r="E2133">
        <v>0.41155730000000001</v>
      </c>
      <c r="F2133" t="s">
        <v>61</v>
      </c>
      <c r="G2133">
        <v>-512.82529999999997</v>
      </c>
      <c r="H2133">
        <v>0.56105479999999996</v>
      </c>
      <c r="I2133">
        <v>254.19579999999999</v>
      </c>
      <c r="J2133">
        <v>-480.28579999999999</v>
      </c>
      <c r="K2133">
        <v>1.1359889999999999</v>
      </c>
      <c r="L2133">
        <v>282.94889999999998</v>
      </c>
      <c r="M2133">
        <v>-0.90358490000000002</v>
      </c>
      <c r="N2133">
        <v>-1.59773E-2</v>
      </c>
      <c r="O2133">
        <v>-0.42811100000000002</v>
      </c>
      <c r="P2133">
        <v>-0.86678690000000003</v>
      </c>
      <c r="Q2133">
        <v>0.18884020000000001</v>
      </c>
      <c r="R2133">
        <v>-0.46154119999999998</v>
      </c>
      <c r="S2133">
        <v>-2.3674620000000002</v>
      </c>
      <c r="T2133">
        <v>-4.1584490000000002E-2</v>
      </c>
      <c r="U2133">
        <v>-2.0866389999999999</v>
      </c>
      <c r="V2133">
        <v>-5.3607879999999997E-2</v>
      </c>
      <c r="W2133">
        <v>0.20261960000000001</v>
      </c>
      <c r="X2133">
        <v>0.97778909999999997</v>
      </c>
      <c r="Y2133">
        <v>-0.27626909999999999</v>
      </c>
      <c r="Z2133">
        <v>-4.9114459999999999E-3</v>
      </c>
      <c r="AA2133">
        <v>0.96106780000000003</v>
      </c>
      <c r="AB2133">
        <v>39</v>
      </c>
      <c r="AC2133">
        <v>-32.539499999999897</v>
      </c>
      <c r="AD2133">
        <v>-0.57493419999999895</v>
      </c>
      <c r="AE2133">
        <v>-28.7530999999999</v>
      </c>
      <c r="AF2133">
        <v>-12.0497752324146</v>
      </c>
      <c r="AG2133">
        <v>-0.57493419999999895</v>
      </c>
      <c r="AH2133">
        <v>41.709732819097702</v>
      </c>
      <c r="AI2133">
        <v>90.758702230560999</v>
      </c>
      <c r="AJ2133">
        <v>106.11379461442201</v>
      </c>
      <c r="AK2133">
        <v>43.419228969738299</v>
      </c>
      <c r="AL2133">
        <v>78.309812115007105</v>
      </c>
      <c r="AM2133">
        <v>93.138134102046294</v>
      </c>
      <c r="AN2133">
        <v>1.00000001559053</v>
      </c>
    </row>
    <row r="2134" spans="1:40" x14ac:dyDescent="0.25">
      <c r="A2134" t="str">
        <f>"20190303171019774"</f>
        <v>20190303171019774</v>
      </c>
      <c r="B2134" t="str">
        <f>"1551604219762724"</f>
        <v>1551604219762724</v>
      </c>
      <c r="C2134" t="s">
        <v>40</v>
      </c>
      <c r="D2134">
        <v>5.087663</v>
      </c>
      <c r="E2134">
        <v>0.41155730000000001</v>
      </c>
      <c r="F2134" t="s">
        <v>61</v>
      </c>
      <c r="G2134">
        <v>-512.82529999999997</v>
      </c>
      <c r="H2134">
        <v>0.46297260000000001</v>
      </c>
      <c r="I2134">
        <v>253.82329999999999</v>
      </c>
      <c r="J2134">
        <v>-480.47829999999999</v>
      </c>
      <c r="K2134">
        <v>1.13602</v>
      </c>
      <c r="L2134">
        <v>282.85340000000002</v>
      </c>
      <c r="M2134">
        <v>-0.89997689999999997</v>
      </c>
      <c r="N2134">
        <v>-1.5988949999999998E-2</v>
      </c>
      <c r="O2134">
        <v>-0.43564429999999998</v>
      </c>
      <c r="P2134">
        <v>-0.86225200000000002</v>
      </c>
      <c r="Q2134">
        <v>0.18835930000000001</v>
      </c>
      <c r="R2134">
        <v>-0.47015129999999999</v>
      </c>
      <c r="S2134">
        <v>-2.3510740000000001</v>
      </c>
      <c r="T2134">
        <v>-4.8621890000000001E-2</v>
      </c>
      <c r="U2134">
        <v>-2.1044010000000002</v>
      </c>
      <c r="V2134">
        <v>-5.5138149999999997E-2</v>
      </c>
      <c r="W2134">
        <v>0.20208809999999999</v>
      </c>
      <c r="X2134">
        <v>0.97781399999999996</v>
      </c>
      <c r="Y2134">
        <v>-0.27558660000000001</v>
      </c>
      <c r="Z2134">
        <v>-4.2247170000000002E-3</v>
      </c>
      <c r="AA2134">
        <v>0.96126699999999998</v>
      </c>
      <c r="AB2134">
        <v>39</v>
      </c>
      <c r="AC2134">
        <v>-32.346999999999902</v>
      </c>
      <c r="AD2134">
        <v>-0.67304739999999996</v>
      </c>
      <c r="AE2134">
        <v>-29.030100000000001</v>
      </c>
      <c r="AF2134">
        <v>-12.0332861593208</v>
      </c>
      <c r="AG2134">
        <v>-0.67304739999999996</v>
      </c>
      <c r="AH2134">
        <v>41.753676237980898</v>
      </c>
      <c r="AI2134">
        <v>90.887387020871103</v>
      </c>
      <c r="AJ2134">
        <v>106.076825195461</v>
      </c>
      <c r="AK2134">
        <v>43.458283997195302</v>
      </c>
      <c r="AL2134">
        <v>78.340908139910695</v>
      </c>
      <c r="AM2134">
        <v>93.227445297853194</v>
      </c>
      <c r="AN2134">
        <v>1.00000001717151</v>
      </c>
    </row>
    <row r="2135" spans="1:40" x14ac:dyDescent="0.25">
      <c r="A2135" t="str">
        <f>"20190303171019787"</f>
        <v>20190303171019787</v>
      </c>
      <c r="B2135" t="str">
        <f>"1551604219772483"</f>
        <v>1551604219772483</v>
      </c>
      <c r="C2135" t="s">
        <v>40</v>
      </c>
      <c r="D2135">
        <v>4.9085419999999997</v>
      </c>
      <c r="E2135">
        <v>0.40238309999999999</v>
      </c>
      <c r="F2135" t="s">
        <v>61</v>
      </c>
      <c r="G2135">
        <v>-512.82529999999997</v>
      </c>
      <c r="H2135">
        <v>0.44143470000000001</v>
      </c>
      <c r="I2135">
        <v>253.31960000000001</v>
      </c>
      <c r="J2135">
        <v>-480.64960000000002</v>
      </c>
      <c r="K2135">
        <v>1.1360509999999999</v>
      </c>
      <c r="L2135">
        <v>282.76589999999999</v>
      </c>
      <c r="M2135">
        <v>-0.89667669999999999</v>
      </c>
      <c r="N2135">
        <v>-1.6000130000000001E-2</v>
      </c>
      <c r="O2135">
        <v>-0.44239659999999897</v>
      </c>
      <c r="P2135">
        <v>-0.85774010000000001</v>
      </c>
      <c r="Q2135">
        <v>0.18821089999999999</v>
      </c>
      <c r="R2135">
        <v>-0.47839140000000002</v>
      </c>
      <c r="S2135">
        <v>-2.3301699999999999</v>
      </c>
      <c r="T2135">
        <v>-5.0030110000000003E-2</v>
      </c>
      <c r="U2135">
        <v>-2.1275019999999998</v>
      </c>
      <c r="V2135">
        <v>-5.7160490000000001E-2</v>
      </c>
      <c r="W2135">
        <v>0.20186960000000001</v>
      </c>
      <c r="X2135">
        <v>0.97774300000000003</v>
      </c>
      <c r="Y2135">
        <v>-0.27784880000000001</v>
      </c>
      <c r="Z2135">
        <v>-4.1135310000000001E-3</v>
      </c>
      <c r="AA2135">
        <v>0.96061600000000003</v>
      </c>
      <c r="AB2135">
        <v>39</v>
      </c>
      <c r="AC2135">
        <v>-32.1756999999999</v>
      </c>
      <c r="AD2135">
        <v>-0.69461629999999996</v>
      </c>
      <c r="AE2135">
        <v>-29.446299999999901</v>
      </c>
      <c r="AF2135">
        <v>-12.167863575439499</v>
      </c>
      <c r="AG2135">
        <v>-0.69461629999999996</v>
      </c>
      <c r="AH2135">
        <v>41.872887810338597</v>
      </c>
      <c r="AI2135">
        <v>90.9126297569711</v>
      </c>
      <c r="AJ2135">
        <v>106.20336281967499</v>
      </c>
      <c r="AK2135">
        <v>43.610527735535698</v>
      </c>
      <c r="AL2135">
        <v>78.353690698635504</v>
      </c>
      <c r="AM2135">
        <v>93.345798783255006</v>
      </c>
      <c r="AN2135">
        <v>1.0000000155351001</v>
      </c>
    </row>
    <row r="2136" spans="1:40" x14ac:dyDescent="0.25">
      <c r="A2136" t="str">
        <f>"20190303171019807"</f>
        <v>20190303171019807</v>
      </c>
      <c r="B2136" t="str">
        <f>"1551604219802738"</f>
        <v>1551604219802738</v>
      </c>
      <c r="C2136" t="s">
        <v>40</v>
      </c>
      <c r="D2136">
        <v>4.7947569999999997</v>
      </c>
      <c r="E2136">
        <v>0.33439419999999997</v>
      </c>
      <c r="F2136" t="s">
        <v>61</v>
      </c>
      <c r="G2136">
        <v>-512.82569999999998</v>
      </c>
      <c r="H2136">
        <v>1.575944</v>
      </c>
      <c r="I2136">
        <v>251.46960000000001</v>
      </c>
      <c r="J2136">
        <v>-480.96100000000001</v>
      </c>
      <c r="K2136">
        <v>1.136109</v>
      </c>
      <c r="L2136">
        <v>282.6035</v>
      </c>
      <c r="M2136">
        <v>-0.89049590000000001</v>
      </c>
      <c r="N2136">
        <v>-1.6020710000000001E-2</v>
      </c>
      <c r="O2136">
        <v>-0.45470919999999998</v>
      </c>
      <c r="P2136">
        <v>-0.84961869999999995</v>
      </c>
      <c r="Q2136">
        <v>0.1879084</v>
      </c>
      <c r="R2136">
        <v>-0.49278670000000002</v>
      </c>
      <c r="S2136">
        <v>-2.2630919999999999</v>
      </c>
      <c r="T2136">
        <v>3.094471E-2</v>
      </c>
      <c r="U2136">
        <v>-2.2012019999999999</v>
      </c>
      <c r="V2136">
        <v>-6.0173440000000002E-2</v>
      </c>
      <c r="W2136">
        <v>0.20146330000000001</v>
      </c>
      <c r="X2136">
        <v>0.97764600000000002</v>
      </c>
      <c r="Y2136">
        <v>-0.29508000000000001</v>
      </c>
      <c r="Z2136">
        <v>-1.2577720000000001E-2</v>
      </c>
      <c r="AA2136">
        <v>0.95538970000000001</v>
      </c>
      <c r="AB2136">
        <v>39</v>
      </c>
      <c r="AC2136">
        <v>-31.8646999999999</v>
      </c>
      <c r="AD2136">
        <v>0.43983499999999998</v>
      </c>
      <c r="AE2136">
        <v>-31.133899999999901</v>
      </c>
      <c r="AF2136">
        <v>-13.235846307174899</v>
      </c>
      <c r="AG2136">
        <v>0.43983499999999998</v>
      </c>
      <c r="AH2136">
        <v>42.533567387906103</v>
      </c>
      <c r="AI2136">
        <v>89.434287837203797</v>
      </c>
      <c r="AJ2136">
        <v>107.285405051171</v>
      </c>
      <c r="AK2136">
        <v>44.547563760950297</v>
      </c>
      <c r="AL2136">
        <v>78.377458145609907</v>
      </c>
      <c r="AM2136">
        <v>93.5220727938256</v>
      </c>
      <c r="AN2136">
        <v>1.0000000027221601</v>
      </c>
    </row>
    <row r="2137" spans="1:40" x14ac:dyDescent="0.25">
      <c r="A2137" t="str">
        <f>"20190303171019829"</f>
        <v>20190303171019829</v>
      </c>
      <c r="B2137" t="str">
        <f>"1551604219823235"</f>
        <v>1551604219823235</v>
      </c>
      <c r="C2137" t="s">
        <v>40</v>
      </c>
      <c r="D2137">
        <v>4.6367620000000001</v>
      </c>
      <c r="E2137">
        <v>0.3281366</v>
      </c>
      <c r="F2137" t="s">
        <v>61</v>
      </c>
      <c r="G2137">
        <v>-512.82690000000002</v>
      </c>
      <c r="H2137">
        <v>5.1886739999999998</v>
      </c>
      <c r="I2137">
        <v>238.3184</v>
      </c>
      <c r="J2137">
        <v>-481.30599999999998</v>
      </c>
      <c r="K2137">
        <v>1.1361760000000001</v>
      </c>
      <c r="L2137">
        <v>282.41699999999997</v>
      </c>
      <c r="M2137">
        <v>-0.88334769999999896</v>
      </c>
      <c r="N2137">
        <v>-1.604471E-2</v>
      </c>
      <c r="O2137">
        <v>-0.46844380000000002</v>
      </c>
      <c r="P2137">
        <v>-0.84041469999999896</v>
      </c>
      <c r="Q2137">
        <v>0.18853139999999999</v>
      </c>
      <c r="R2137">
        <v>-0.50809369999999998</v>
      </c>
      <c r="S2137">
        <v>-1.9251400000000001</v>
      </c>
      <c r="T2137">
        <v>0.2448341</v>
      </c>
      <c r="U2137">
        <v>-2.6754150000000001</v>
      </c>
      <c r="V2137">
        <v>-6.2871880000000005E-2</v>
      </c>
      <c r="W2137">
        <v>0.20199429999999999</v>
      </c>
      <c r="X2137">
        <v>0.97736659999999997</v>
      </c>
      <c r="Y2137">
        <v>-0.44407469999999999</v>
      </c>
      <c r="Z2137">
        <v>-3.0215849999999999E-2</v>
      </c>
      <c r="AA2137">
        <v>0.89548019999999995</v>
      </c>
      <c r="AB2137">
        <v>39</v>
      </c>
      <c r="AC2137">
        <v>-31.520900000000001</v>
      </c>
      <c r="AD2137">
        <v>4.0524979999999999</v>
      </c>
      <c r="AE2137">
        <v>-44.098599999999998</v>
      </c>
      <c r="AF2137">
        <v>-24.057275542398699</v>
      </c>
      <c r="AG2137">
        <v>4.0524979999999999</v>
      </c>
      <c r="AH2137">
        <v>48.238252542863201</v>
      </c>
      <c r="AI2137">
        <v>85.700625947471906</v>
      </c>
      <c r="AJ2137">
        <v>116.506249661506</v>
      </c>
      <c r="AK2137">
        <v>54.056491330384603</v>
      </c>
      <c r="AL2137">
        <v>78.346395694025901</v>
      </c>
      <c r="AM2137">
        <v>93.680642275221899</v>
      </c>
      <c r="AN2137">
        <v>1.0000000206613899</v>
      </c>
    </row>
    <row r="2138" spans="1:40" x14ac:dyDescent="0.25">
      <c r="A2138" t="str">
        <f>"20190303171019840"</f>
        <v>20190303171019840</v>
      </c>
      <c r="B2138" t="str">
        <f>"1551604219832995"</f>
        <v>1551604219832995</v>
      </c>
      <c r="C2138" t="s">
        <v>40</v>
      </c>
      <c r="D2138">
        <v>4.9675070000000003</v>
      </c>
      <c r="E2138">
        <v>0.33147789999999999</v>
      </c>
      <c r="F2138" t="s">
        <v>61</v>
      </c>
      <c r="G2138">
        <v>-511.07580000000002</v>
      </c>
      <c r="H2138">
        <v>6.3735049999999998</v>
      </c>
      <c r="I2138">
        <v>238.09479999999999</v>
      </c>
      <c r="J2138">
        <v>-481.4676</v>
      </c>
      <c r="K2138">
        <v>1.136209</v>
      </c>
      <c r="L2138">
        <v>282.32749999999999</v>
      </c>
      <c r="M2138">
        <v>-0.87989089999999903</v>
      </c>
      <c r="N2138">
        <v>-1.6056270000000001E-2</v>
      </c>
      <c r="O2138">
        <v>-0.47490470000000001</v>
      </c>
      <c r="P2138">
        <v>-0.83604750000000005</v>
      </c>
      <c r="Q2138">
        <v>0.1890164</v>
      </c>
      <c r="R2138">
        <v>-0.51507040000000004</v>
      </c>
      <c r="S2138">
        <v>-1.840454</v>
      </c>
      <c r="T2138">
        <v>0.3237894</v>
      </c>
      <c r="U2138">
        <v>-2.7401119999999999</v>
      </c>
      <c r="V2138">
        <v>-6.3932559999999999E-2</v>
      </c>
      <c r="W2138">
        <v>0.2024435</v>
      </c>
      <c r="X2138">
        <v>0.97720479999999998</v>
      </c>
      <c r="Y2138">
        <v>-0.46641250000000001</v>
      </c>
      <c r="Z2138">
        <v>-3.6246019999999997E-2</v>
      </c>
      <c r="AA2138">
        <v>0.88382450000000001</v>
      </c>
      <c r="AB2138">
        <v>39</v>
      </c>
      <c r="AC2138">
        <v>-29.6082</v>
      </c>
      <c r="AD2138">
        <v>5.2372959999999997</v>
      </c>
      <c r="AE2138">
        <v>-44.232700000000001</v>
      </c>
      <c r="AF2138">
        <v>-24.623685419252901</v>
      </c>
      <c r="AG2138">
        <v>5.2372959999999997</v>
      </c>
      <c r="AH2138">
        <v>46.613081197927102</v>
      </c>
      <c r="AI2138">
        <v>84.326454677961195</v>
      </c>
      <c r="AJ2138">
        <v>117.845566600455</v>
      </c>
      <c r="AK2138">
        <v>52.976735382453398</v>
      </c>
      <c r="AL2138">
        <v>78.320115032749499</v>
      </c>
      <c r="AM2138">
        <v>93.743179440867294</v>
      </c>
      <c r="AN2138">
        <v>0.99999998203172102</v>
      </c>
    </row>
    <row r="2139" spans="1:40" x14ac:dyDescent="0.25">
      <c r="A2139" t="str">
        <f>"20190303171019851"</f>
        <v>20190303171019851</v>
      </c>
      <c r="B2139" t="str">
        <f>"1551604219842754"</f>
        <v>1551604219842754</v>
      </c>
      <c r="C2139" t="s">
        <v>40</v>
      </c>
      <c r="D2139">
        <v>4.9768540000000003</v>
      </c>
      <c r="E2139">
        <v>0.33433239999999997</v>
      </c>
      <c r="F2139" t="s">
        <v>61</v>
      </c>
      <c r="G2139">
        <v>-511.07569999999998</v>
      </c>
      <c r="H2139">
        <v>5.9131220000000004</v>
      </c>
      <c r="I2139">
        <v>238.16640000000001</v>
      </c>
      <c r="J2139">
        <v>-481.64170000000001</v>
      </c>
      <c r="K2139">
        <v>1.1362429999999999</v>
      </c>
      <c r="L2139">
        <v>282.22890000000001</v>
      </c>
      <c r="M2139">
        <v>-0.87607769999999996</v>
      </c>
      <c r="N2139">
        <v>-1.6069050000000001E-2</v>
      </c>
      <c r="O2139">
        <v>-0.4819021</v>
      </c>
      <c r="P2139">
        <v>-0.83139079999999999</v>
      </c>
      <c r="Q2139">
        <v>0.18925349999999999</v>
      </c>
      <c r="R2139">
        <v>-0.52246769999999998</v>
      </c>
      <c r="S2139">
        <v>-1.8351139999999999</v>
      </c>
      <c r="T2139">
        <v>0.29607630000000001</v>
      </c>
      <c r="U2139">
        <v>-2.7370909999999999</v>
      </c>
      <c r="V2139">
        <v>-6.4868609999999993E-2</v>
      </c>
      <c r="W2139">
        <v>0.20265130000000001</v>
      </c>
      <c r="X2139">
        <v>0.97710010000000003</v>
      </c>
      <c r="Y2139">
        <v>-0.46007510000000001</v>
      </c>
      <c r="Z2139">
        <v>-3.5207290000000002E-2</v>
      </c>
      <c r="AA2139">
        <v>0.88718169999999996</v>
      </c>
      <c r="AB2139">
        <v>39</v>
      </c>
      <c r="AC2139">
        <v>-29.433999999999902</v>
      </c>
      <c r="AD2139">
        <v>4.7768790000000001</v>
      </c>
      <c r="AE2139">
        <v>-44.0625</v>
      </c>
      <c r="AF2139">
        <v>-24.224158932283601</v>
      </c>
      <c r="AG2139">
        <v>4.7768790000000001</v>
      </c>
      <c r="AH2139">
        <v>46.647267762099702</v>
      </c>
      <c r="AI2139">
        <v>84.807188906668998</v>
      </c>
      <c r="AJ2139">
        <v>117.443077367242</v>
      </c>
      <c r="AK2139">
        <v>52.778746088043903</v>
      </c>
      <c r="AL2139">
        <v>78.307957717405003</v>
      </c>
      <c r="AM2139">
        <v>93.798230640039293</v>
      </c>
      <c r="AN2139">
        <v>1.00000004568751</v>
      </c>
    </row>
    <row r="2140" spans="1:40" x14ac:dyDescent="0.25">
      <c r="A2140" t="str">
        <f>"20190303171019863"</f>
        <v>20190303171019863</v>
      </c>
      <c r="B2140" t="str">
        <f>"1551604219852515"</f>
        <v>1551604219852515</v>
      </c>
      <c r="C2140" t="s">
        <v>40</v>
      </c>
      <c r="D2140">
        <v>4.9405130000000002</v>
      </c>
      <c r="E2140">
        <v>0.33646900000000002</v>
      </c>
      <c r="F2140" t="s">
        <v>61</v>
      </c>
      <c r="G2140">
        <v>-511.07560000000001</v>
      </c>
      <c r="H2140">
        <v>5.5537769999999904</v>
      </c>
      <c r="I2140">
        <v>238.10300000000001</v>
      </c>
      <c r="J2140">
        <v>-481.79950000000002</v>
      </c>
      <c r="K2140">
        <v>1.136269</v>
      </c>
      <c r="L2140">
        <v>282.1379</v>
      </c>
      <c r="M2140">
        <v>-0.87254549999999997</v>
      </c>
      <c r="N2140">
        <v>-1.6080629999999999E-2</v>
      </c>
      <c r="O2140">
        <v>-0.48826829999999999</v>
      </c>
      <c r="P2140">
        <v>-0.82706829999999998</v>
      </c>
      <c r="Q2140">
        <v>0.18987039999999999</v>
      </c>
      <c r="R2140">
        <v>-0.52906249999999999</v>
      </c>
      <c r="S2140">
        <v>-1.8258669999999999</v>
      </c>
      <c r="T2140">
        <v>0.27403549999999999</v>
      </c>
      <c r="U2140">
        <v>-2.737244</v>
      </c>
      <c r="V2140">
        <v>-6.5632850000000006E-2</v>
      </c>
      <c r="W2140">
        <v>0.2032438</v>
      </c>
      <c r="X2140">
        <v>0.97692590000000001</v>
      </c>
      <c r="Y2140">
        <v>-0.45567800000000003</v>
      </c>
      <c r="Z2140">
        <v>-3.4310559999999997E-2</v>
      </c>
      <c r="AA2140">
        <v>0.88948320000000003</v>
      </c>
      <c r="AB2140">
        <v>39</v>
      </c>
      <c r="AC2140">
        <v>-29.2760999999999</v>
      </c>
      <c r="AD2140">
        <v>4.4175079999999998</v>
      </c>
      <c r="AE2140">
        <v>-44.0349</v>
      </c>
      <c r="AF2140">
        <v>-23.963737820779599</v>
      </c>
      <c r="AG2140">
        <v>4.4175079999999998</v>
      </c>
      <c r="AH2140">
        <v>46.725557970728701</v>
      </c>
      <c r="AI2140">
        <v>85.1914088783994</v>
      </c>
      <c r="AJ2140">
        <v>117.151539193278</v>
      </c>
      <c r="AK2140">
        <v>52.697750188685099</v>
      </c>
      <c r="AL2140">
        <v>78.273287513379998</v>
      </c>
      <c r="AM2140">
        <v>93.843528817250004</v>
      </c>
      <c r="AN2140">
        <v>0.99999996366418498</v>
      </c>
    </row>
    <row r="2141" spans="1:40" x14ac:dyDescent="0.25">
      <c r="A2141" t="str">
        <f>"20190303171019873"</f>
        <v>20190303171019873</v>
      </c>
      <c r="B2141" t="str">
        <f>"1551604219863251"</f>
        <v>1551604219863251</v>
      </c>
      <c r="C2141" t="s">
        <v>40</v>
      </c>
      <c r="D2141">
        <v>4.9282159999999999</v>
      </c>
      <c r="E2141">
        <v>0.3382136</v>
      </c>
      <c r="F2141" t="s">
        <v>61</v>
      </c>
      <c r="G2141">
        <v>-512.47540000000004</v>
      </c>
      <c r="H2141">
        <v>5.5251869999999998</v>
      </c>
      <c r="I2141">
        <v>235.8125</v>
      </c>
      <c r="J2141">
        <v>-481.96910000000003</v>
      </c>
      <c r="K2141">
        <v>1.1362950000000001</v>
      </c>
      <c r="L2141">
        <v>282.03890000000001</v>
      </c>
      <c r="M2141">
        <v>-0.86867629999999996</v>
      </c>
      <c r="N2141">
        <v>-1.60929E-2</v>
      </c>
      <c r="O2141">
        <v>-0.49511880000000003</v>
      </c>
      <c r="P2141">
        <v>-0.82245040000000003</v>
      </c>
      <c r="Q2141">
        <v>0.19042220000000001</v>
      </c>
      <c r="R2141">
        <v>-0.53601759999999998</v>
      </c>
      <c r="S2141">
        <v>-1.814667</v>
      </c>
      <c r="T2141">
        <v>0.25963380000000003</v>
      </c>
      <c r="U2141">
        <v>-2.7404169999999999</v>
      </c>
      <c r="V2141">
        <v>-6.6285419999999998E-2</v>
      </c>
      <c r="W2141">
        <v>0.2037765</v>
      </c>
      <c r="X2141">
        <v>0.9767709</v>
      </c>
      <c r="Y2141">
        <v>-0.45165820000000001</v>
      </c>
      <c r="Z2141">
        <v>-3.3973639999999999E-2</v>
      </c>
      <c r="AA2141">
        <v>0.891544</v>
      </c>
      <c r="AB2141">
        <v>39</v>
      </c>
      <c r="AC2141">
        <v>-30.5063</v>
      </c>
      <c r="AD2141">
        <v>4.3888920000000002</v>
      </c>
      <c r="AE2141">
        <v>-46.226399999999998</v>
      </c>
      <c r="AF2141">
        <v>-24.898429503089801</v>
      </c>
      <c r="AG2141">
        <v>4.3888920000000002</v>
      </c>
      <c r="AH2141">
        <v>49.085819918411701</v>
      </c>
      <c r="AI2141">
        <v>85.4408396991264</v>
      </c>
      <c r="AJ2141">
        <v>116.896074680474</v>
      </c>
      <c r="AK2141">
        <v>55.214236223737998</v>
      </c>
      <c r="AL2141">
        <v>78.242114162552298</v>
      </c>
      <c r="AM2141">
        <v>93.882241830002101</v>
      </c>
      <c r="AN2141">
        <v>1.0000000049718101</v>
      </c>
    </row>
    <row r="2142" spans="1:40" x14ac:dyDescent="0.25">
      <c r="A2142" t="str">
        <f>"20190303171019885"</f>
        <v>20190303171019885</v>
      </c>
      <c r="B2142" t="str">
        <f>"1551604219873011"</f>
        <v>1551604219873011</v>
      </c>
      <c r="C2142" t="s">
        <v>40</v>
      </c>
      <c r="D2142">
        <v>4.8773229999999996</v>
      </c>
      <c r="E2142">
        <v>0.33826709999999999</v>
      </c>
      <c r="F2142" t="s">
        <v>61</v>
      </c>
      <c r="G2142">
        <v>-512.827</v>
      </c>
      <c r="H2142">
        <v>5.4032429999999998</v>
      </c>
      <c r="I2142">
        <v>234.983</v>
      </c>
      <c r="J2142">
        <v>-482.12849999999997</v>
      </c>
      <c r="K2142">
        <v>1.13632</v>
      </c>
      <c r="L2142">
        <v>281.9434</v>
      </c>
      <c r="M2142">
        <v>-0.86494649999999995</v>
      </c>
      <c r="N2142">
        <v>-1.6104690000000001E-2</v>
      </c>
      <c r="O2142">
        <v>-0.50160559999999998</v>
      </c>
      <c r="P2142">
        <v>-0.81800879999999998</v>
      </c>
      <c r="Q2142">
        <v>0.19106989999999999</v>
      </c>
      <c r="R2142">
        <v>-0.54254440000000004</v>
      </c>
      <c r="S2142">
        <v>-1.8005369999999901</v>
      </c>
      <c r="T2142">
        <v>0.24897620000000001</v>
      </c>
      <c r="U2142">
        <v>-2.7456670000000001</v>
      </c>
      <c r="V2142">
        <v>-6.6862840000000007E-2</v>
      </c>
      <c r="W2142">
        <v>0.20440720000000001</v>
      </c>
      <c r="X2142">
        <v>0.97659980000000002</v>
      </c>
      <c r="Y2142">
        <v>-0.44895829999999998</v>
      </c>
      <c r="Z2142">
        <v>-3.3807940000000002E-2</v>
      </c>
      <c r="AA2142">
        <v>0.89291290000000001</v>
      </c>
      <c r="AB2142">
        <v>39</v>
      </c>
      <c r="AC2142">
        <v>-30.698499999999999</v>
      </c>
      <c r="AD2142">
        <v>4.2669230000000002</v>
      </c>
      <c r="AE2142">
        <v>-46.9603999999999</v>
      </c>
      <c r="AF2142">
        <v>-25.077911048377398</v>
      </c>
      <c r="AG2142">
        <v>4.2669230000000002</v>
      </c>
      <c r="AH2142">
        <v>49.826455770600901</v>
      </c>
      <c r="AI2142">
        <v>85.625763865384798</v>
      </c>
      <c r="AJ2142">
        <v>116.716347032813</v>
      </c>
      <c r="AK2142">
        <v>55.944472015543298</v>
      </c>
      <c r="AL2142">
        <v>78.205201362332701</v>
      </c>
      <c r="AM2142">
        <v>93.916639663310306</v>
      </c>
      <c r="AN2142">
        <v>1.0000000560723701</v>
      </c>
    </row>
    <row r="2143" spans="1:40" x14ac:dyDescent="0.25">
      <c r="A2143" t="str">
        <f>"20190303171019897"</f>
        <v>20190303171019897</v>
      </c>
      <c r="B2143" t="str">
        <f>"1551604219882771"</f>
        <v>1551604219882771</v>
      </c>
      <c r="C2143" t="s">
        <v>40</v>
      </c>
      <c r="D2143">
        <v>4.826568</v>
      </c>
      <c r="E2143">
        <v>0.33846349999999997</v>
      </c>
      <c r="F2143" t="s">
        <v>61</v>
      </c>
      <c r="G2143">
        <v>-512.827</v>
      </c>
      <c r="H2143">
        <v>5.4768049999999997</v>
      </c>
      <c r="I2143">
        <v>234.29910000000001</v>
      </c>
      <c r="J2143">
        <v>-482.29270000000002</v>
      </c>
      <c r="K2143">
        <v>1.1363479999999999</v>
      </c>
      <c r="L2143">
        <v>281.84440000000001</v>
      </c>
      <c r="M2143">
        <v>-0.86104340000000001</v>
      </c>
      <c r="N2143">
        <v>-1.6116490000000001E-2</v>
      </c>
      <c r="O2143">
        <v>-0.50827650000000002</v>
      </c>
      <c r="P2143">
        <v>-0.81349579999999999</v>
      </c>
      <c r="Q2143">
        <v>0.19143850000000001</v>
      </c>
      <c r="R2143">
        <v>-0.54915979999999998</v>
      </c>
      <c r="S2143">
        <v>-1.778259</v>
      </c>
      <c r="T2143">
        <v>0.2514323</v>
      </c>
      <c r="U2143">
        <v>-2.7598569999999998</v>
      </c>
      <c r="V2143">
        <v>-6.7307080000000005E-2</v>
      </c>
      <c r="W2143">
        <v>0.20476430000000001</v>
      </c>
      <c r="X2143">
        <v>0.97649439999999998</v>
      </c>
      <c r="Y2143">
        <v>-0.44925789999999999</v>
      </c>
      <c r="Z2143">
        <v>-3.4701570000000001E-2</v>
      </c>
      <c r="AA2143">
        <v>0.89272790000000002</v>
      </c>
      <c r="AB2143">
        <v>39</v>
      </c>
      <c r="AC2143">
        <v>-30.534299999999899</v>
      </c>
      <c r="AD2143">
        <v>4.3404569999999998</v>
      </c>
      <c r="AE2143">
        <v>-47.545299999999997</v>
      </c>
      <c r="AF2143">
        <v>-25.272873802160301</v>
      </c>
      <c r="AG2143">
        <v>4.3404569999999998</v>
      </c>
      <c r="AH2143">
        <v>50.1680438749163</v>
      </c>
      <c r="AI2143">
        <v>85.581667012706205</v>
      </c>
      <c r="AJ2143">
        <v>116.737337963858</v>
      </c>
      <c r="AK2143">
        <v>56.3417282608929</v>
      </c>
      <c r="AL2143">
        <v>78.184298102601403</v>
      </c>
      <c r="AM2143">
        <v>93.943004422675898</v>
      </c>
      <c r="AN2143">
        <v>0.99999998740198803</v>
      </c>
    </row>
    <row r="2144" spans="1:40" x14ac:dyDescent="0.25">
      <c r="A2144" t="str">
        <f>"20190303171019907"</f>
        <v>20190303171019907</v>
      </c>
      <c r="B2144" t="str">
        <f>"1551604219903267"</f>
        <v>1551604219903267</v>
      </c>
      <c r="C2144" t="s">
        <v>40</v>
      </c>
      <c r="D2144">
        <v>4.7649419999999996</v>
      </c>
      <c r="E2144">
        <v>0.33954600000000001</v>
      </c>
      <c r="F2144" t="s">
        <v>61</v>
      </c>
      <c r="G2144">
        <v>-512.827</v>
      </c>
      <c r="H2144">
        <v>5.5220739999999999</v>
      </c>
      <c r="I2144">
        <v>233.64400000000001</v>
      </c>
      <c r="J2144">
        <v>-482.44690000000003</v>
      </c>
      <c r="K2144">
        <v>1.136382</v>
      </c>
      <c r="L2144">
        <v>281.74849999999998</v>
      </c>
      <c r="M2144">
        <v>-0.85727949999999997</v>
      </c>
      <c r="N2144">
        <v>-1.6127699999999998E-2</v>
      </c>
      <c r="O2144">
        <v>-0.51459880000000002</v>
      </c>
      <c r="P2144">
        <v>-0.80932890000000002</v>
      </c>
      <c r="Q2144">
        <v>0.19169949999999999</v>
      </c>
      <c r="R2144">
        <v>-0.55519240000000003</v>
      </c>
      <c r="S2144">
        <v>-1.7565919999999999</v>
      </c>
      <c r="T2144">
        <v>0.25230720000000001</v>
      </c>
      <c r="U2144">
        <v>-2.772888</v>
      </c>
      <c r="V2144">
        <v>-6.7435990000000001E-2</v>
      </c>
      <c r="W2144">
        <v>0.20502699999999999</v>
      </c>
      <c r="X2144">
        <v>0.97643040000000003</v>
      </c>
      <c r="Y2144">
        <v>-0.44957530000000001</v>
      </c>
      <c r="Z2144">
        <v>-3.5425520000000002E-2</v>
      </c>
      <c r="AA2144">
        <v>0.89253969999999905</v>
      </c>
      <c r="AB2144">
        <v>39</v>
      </c>
      <c r="AC2144">
        <v>-30.380099999999899</v>
      </c>
      <c r="AD2144">
        <v>4.3856919999999997</v>
      </c>
      <c r="AE2144">
        <v>-48.104499999999902</v>
      </c>
      <c r="AF2144">
        <v>-25.457498134181201</v>
      </c>
      <c r="AG2144">
        <v>4.3856919999999997</v>
      </c>
      <c r="AH2144">
        <v>50.505254893739199</v>
      </c>
      <c r="AI2144">
        <v>85.566010946243907</v>
      </c>
      <c r="AJ2144">
        <v>116.75068207062399</v>
      </c>
      <c r="AK2144">
        <v>56.728293447381901</v>
      </c>
      <c r="AL2144">
        <v>78.168920449994204</v>
      </c>
      <c r="AM2144">
        <v>93.950790496574697</v>
      </c>
      <c r="AN2144">
        <v>1.00000000476022</v>
      </c>
    </row>
    <row r="2145" spans="1:40" x14ac:dyDescent="0.25">
      <c r="A2145" t="str">
        <f>"20190303171019918"</f>
        <v>20190303171019918</v>
      </c>
      <c r="B2145" t="str">
        <f>"1551604219913027"</f>
        <v>1551604219913027</v>
      </c>
      <c r="C2145" t="s">
        <v>40</v>
      </c>
      <c r="D2145">
        <v>4.7662809999999904</v>
      </c>
      <c r="E2145">
        <v>0.34027950000000001</v>
      </c>
      <c r="F2145" t="s">
        <v>61</v>
      </c>
      <c r="G2145">
        <v>-512.827</v>
      </c>
      <c r="H2145">
        <v>5.4853440000000004</v>
      </c>
      <c r="I2145">
        <v>233.2329</v>
      </c>
      <c r="J2145">
        <v>-482.60969999999998</v>
      </c>
      <c r="K2145">
        <v>1.1364069999999999</v>
      </c>
      <c r="L2145">
        <v>281.64670000000001</v>
      </c>
      <c r="M2145">
        <v>-0.85324439999999901</v>
      </c>
      <c r="N2145">
        <v>-1.61391E-2</v>
      </c>
      <c r="O2145">
        <v>-0.52126149999999905</v>
      </c>
      <c r="P2145">
        <v>-0.80485709999999999</v>
      </c>
      <c r="Q2145">
        <v>0.19200329999999999</v>
      </c>
      <c r="R2145">
        <v>-0.56155149999999998</v>
      </c>
      <c r="S2145">
        <v>-1.7407840000000001</v>
      </c>
      <c r="T2145">
        <v>0.2491988</v>
      </c>
      <c r="U2145">
        <v>-2.779938</v>
      </c>
      <c r="V2145">
        <v>-6.7584749999999999E-2</v>
      </c>
      <c r="W2145">
        <v>0.20533180000000001</v>
      </c>
      <c r="X2145">
        <v>0.97635609999999995</v>
      </c>
      <c r="Y2145">
        <v>-0.44728649999999998</v>
      </c>
      <c r="Z2145">
        <v>-3.5896959999999999E-2</v>
      </c>
      <c r="AA2145">
        <v>0.89367009999999902</v>
      </c>
      <c r="AB2145">
        <v>39</v>
      </c>
      <c r="AC2145">
        <v>-30.217300000000002</v>
      </c>
      <c r="AD2145">
        <v>4.3489370000000003</v>
      </c>
      <c r="AE2145">
        <v>-48.413800000000002</v>
      </c>
      <c r="AF2145">
        <v>-25.413441845574798</v>
      </c>
      <c r="AG2145">
        <v>4.3489370000000003</v>
      </c>
      <c r="AH2145">
        <v>50.731042485367396</v>
      </c>
      <c r="AI2145">
        <v>85.617070486442501</v>
      </c>
      <c r="AJ2145">
        <v>116.608332144559</v>
      </c>
      <c r="AK2145">
        <v>56.906897219234601</v>
      </c>
      <c r="AL2145">
        <v>78.151077494195505</v>
      </c>
      <c r="AM2145">
        <v>93.959778382812004</v>
      </c>
      <c r="AN2145">
        <v>1.0000000402655</v>
      </c>
    </row>
    <row r="2146" spans="1:40" x14ac:dyDescent="0.25">
      <c r="A2146" t="str">
        <f>"20190303171019929"</f>
        <v>20190303171019929</v>
      </c>
      <c r="B2146" t="str">
        <f>"1551604219922787"</f>
        <v>1551604219922787</v>
      </c>
      <c r="C2146" t="s">
        <v>40</v>
      </c>
      <c r="D2146">
        <v>4.7597759999999996</v>
      </c>
      <c r="E2146">
        <v>0.3411478</v>
      </c>
      <c r="F2146" t="s">
        <v>61</v>
      </c>
      <c r="G2146">
        <v>-512.827</v>
      </c>
      <c r="H2146">
        <v>5.4785409999999999</v>
      </c>
      <c r="I2146">
        <v>232.68819999999999</v>
      </c>
      <c r="J2146">
        <v>-482.77359999999999</v>
      </c>
      <c r="K2146">
        <v>1.1364299999999901</v>
      </c>
      <c r="L2146">
        <v>281.54160000000002</v>
      </c>
      <c r="M2146">
        <v>-0.84908399999999995</v>
      </c>
      <c r="N2146">
        <v>-1.6150270000000001E-2</v>
      </c>
      <c r="O2146">
        <v>-0.52801129999999996</v>
      </c>
      <c r="P2146">
        <v>-0.80037029999999998</v>
      </c>
      <c r="Q2146">
        <v>0.1914013</v>
      </c>
      <c r="R2146">
        <v>-0.56813130000000001</v>
      </c>
      <c r="S2146">
        <v>-1.7218929999999999</v>
      </c>
      <c r="T2146">
        <v>0.24743380000000001</v>
      </c>
      <c r="U2146">
        <v>-2.789825</v>
      </c>
      <c r="V2146">
        <v>-6.776153E-2</v>
      </c>
      <c r="W2146">
        <v>0.20473160000000001</v>
      </c>
      <c r="X2146">
        <v>0.97646980000000005</v>
      </c>
      <c r="Y2146">
        <v>-0.44600129999999999</v>
      </c>
      <c r="Z2146">
        <v>-3.6458659999999997E-2</v>
      </c>
      <c r="AA2146">
        <v>0.89428949999999996</v>
      </c>
      <c r="AB2146">
        <v>39</v>
      </c>
      <c r="AC2146">
        <v>-30.0534</v>
      </c>
      <c r="AD2146">
        <v>4.3421110000000001</v>
      </c>
      <c r="AE2146">
        <v>-48.853400000000001</v>
      </c>
      <c r="AF2146">
        <v>-25.469477691188199</v>
      </c>
      <c r="AG2146">
        <v>4.3421110000000001</v>
      </c>
      <c r="AH2146">
        <v>51.027258255399303</v>
      </c>
      <c r="AI2146">
        <v>85.646089737340802</v>
      </c>
      <c r="AJ2146">
        <v>116.525377222649</v>
      </c>
      <c r="AK2146">
        <v>57.195535724927701</v>
      </c>
      <c r="AL2146">
        <v>78.186211917209107</v>
      </c>
      <c r="AM2146">
        <v>93.969642012980898</v>
      </c>
      <c r="AN2146">
        <v>0.99999996164926896</v>
      </c>
    </row>
    <row r="2147" spans="1:40" x14ac:dyDescent="0.25">
      <c r="A2147" t="str">
        <f>"20190303171019940"</f>
        <v>20190303171019940</v>
      </c>
      <c r="B2147" t="str">
        <f>"1551604219932547"</f>
        <v>1551604219932547</v>
      </c>
      <c r="C2147" t="s">
        <v>40</v>
      </c>
      <c r="D2147">
        <v>4.7542939999999998</v>
      </c>
      <c r="E2147">
        <v>0.3419066</v>
      </c>
      <c r="F2147" t="s">
        <v>61</v>
      </c>
      <c r="G2147">
        <v>-512.827</v>
      </c>
      <c r="H2147">
        <v>5.4091509999999996</v>
      </c>
      <c r="I2147">
        <v>232.1558</v>
      </c>
      <c r="J2147">
        <v>-482.92239999999998</v>
      </c>
      <c r="K2147">
        <v>1.13645</v>
      </c>
      <c r="L2147">
        <v>281.44510000000002</v>
      </c>
      <c r="M2147">
        <v>-0.84524089999999996</v>
      </c>
      <c r="N2147">
        <v>-1.6159949999999999E-2</v>
      </c>
      <c r="O2147">
        <v>-0.53414090000000003</v>
      </c>
      <c r="P2147">
        <v>-0.79595229999999995</v>
      </c>
      <c r="Q2147">
        <v>0.1905791</v>
      </c>
      <c r="R2147">
        <v>-0.57457789999999997</v>
      </c>
      <c r="S2147">
        <v>-1.7034</v>
      </c>
      <c r="T2147">
        <v>0.2421769</v>
      </c>
      <c r="U2147">
        <v>-2.7991329999999999</v>
      </c>
      <c r="V2147">
        <v>-6.8459190000000003E-2</v>
      </c>
      <c r="W2147">
        <v>0.20388999999999999</v>
      </c>
      <c r="X2147">
        <v>0.97659720000000005</v>
      </c>
      <c r="Y2147">
        <v>-0.44515300000000002</v>
      </c>
      <c r="Z2147">
        <v>-3.6582860000000002E-2</v>
      </c>
      <c r="AA2147">
        <v>0.89470699999999903</v>
      </c>
      <c r="AB2147">
        <v>39</v>
      </c>
      <c r="AC2147">
        <v>-29.904599999999999</v>
      </c>
      <c r="AD2147">
        <v>4.2727009999999996</v>
      </c>
      <c r="AE2147">
        <v>-49.289299999999997</v>
      </c>
      <c r="AF2147">
        <v>-25.551076716874601</v>
      </c>
      <c r="AG2147">
        <v>4.2727009999999996</v>
      </c>
      <c r="AH2147">
        <v>51.328835547141303</v>
      </c>
      <c r="AI2147">
        <v>85.738231759430406</v>
      </c>
      <c r="AJ2147">
        <v>116.463748301287</v>
      </c>
      <c r="AK2147">
        <v>57.495763790495801</v>
      </c>
      <c r="AL2147">
        <v>78.235470883527</v>
      </c>
      <c r="AM2147">
        <v>94.009858560594495</v>
      </c>
      <c r="AN2147">
        <v>0.99999994192164599</v>
      </c>
    </row>
    <row r="2148" spans="1:40" x14ac:dyDescent="0.25">
      <c r="A2148" t="str">
        <f>"20190303171019951"</f>
        <v>20190303171019951</v>
      </c>
      <c r="B2148" t="str">
        <f>"1551604219942307"</f>
        <v>1551604219942307</v>
      </c>
      <c r="C2148" t="s">
        <v>40</v>
      </c>
      <c r="D2148">
        <v>4.7591869999999998</v>
      </c>
      <c r="E2148">
        <v>0.34270820000000002</v>
      </c>
      <c r="F2148" t="s">
        <v>46</v>
      </c>
      <c r="G2148">
        <v>-502.221</v>
      </c>
      <c r="H2148">
        <v>3.8348399999999998</v>
      </c>
      <c r="I2148">
        <v>249.27719999999999</v>
      </c>
      <c r="J2148">
        <v>-483.07650000000001</v>
      </c>
      <c r="K2148">
        <v>1.136466</v>
      </c>
      <c r="L2148">
        <v>281.34320000000002</v>
      </c>
      <c r="M2148">
        <v>-0.84117819999999899</v>
      </c>
      <c r="N2148">
        <v>-1.616952E-2</v>
      </c>
      <c r="O2148">
        <v>-0.54051629999999995</v>
      </c>
      <c r="P2148">
        <v>-0.79160399999999997</v>
      </c>
      <c r="Q2148">
        <v>0.18986120000000001</v>
      </c>
      <c r="R2148">
        <v>-0.58078940000000001</v>
      </c>
      <c r="S2148">
        <v>-1.6850889999999901</v>
      </c>
      <c r="T2148">
        <v>0.2356135</v>
      </c>
      <c r="U2148">
        <v>-2.8087770000000001</v>
      </c>
      <c r="V2148">
        <v>-6.8607899999999999E-2</v>
      </c>
      <c r="W2148">
        <v>0.20317470000000001</v>
      </c>
      <c r="X2148">
        <v>0.97673589999999999</v>
      </c>
      <c r="Y2148">
        <v>-0.44401829999999998</v>
      </c>
      <c r="Z2148">
        <v>-3.6575530000000002E-2</v>
      </c>
      <c r="AA2148">
        <v>0.89527089999999998</v>
      </c>
      <c r="AB2148">
        <v>39</v>
      </c>
      <c r="AC2148">
        <v>-19.144499999999901</v>
      </c>
      <c r="AD2148">
        <v>2.6983739999999998</v>
      </c>
      <c r="AE2148">
        <v>-32.066000000000003</v>
      </c>
      <c r="AF2148">
        <v>-16.541126198589101</v>
      </c>
      <c r="AG2148">
        <v>2.6983739999999998</v>
      </c>
      <c r="AH2148">
        <v>33.266833059365503</v>
      </c>
      <c r="AI2148">
        <v>85.845894443118397</v>
      </c>
      <c r="AJ2148">
        <v>116.437748114076</v>
      </c>
      <c r="AK2148">
        <v>37.250131005960498</v>
      </c>
      <c r="AL2148">
        <v>78.2773315751773</v>
      </c>
      <c r="AM2148">
        <v>94.017971663651394</v>
      </c>
      <c r="AN2148">
        <v>1.0000000105056499</v>
      </c>
    </row>
    <row r="2149" spans="1:40" x14ac:dyDescent="0.25">
      <c r="A2149" t="str">
        <f>"20190303171019962"</f>
        <v>20190303171019962</v>
      </c>
      <c r="B2149" t="str">
        <f>"1551604219953043"</f>
        <v>1551604219953043</v>
      </c>
      <c r="C2149" t="s">
        <v>40</v>
      </c>
      <c r="D2149">
        <v>4.7344229999999996</v>
      </c>
      <c r="E2149">
        <v>0.34350219999999998</v>
      </c>
      <c r="F2149" t="s">
        <v>46</v>
      </c>
      <c r="G2149">
        <v>-502.08530000000002</v>
      </c>
      <c r="H2149">
        <v>3.73149</v>
      </c>
      <c r="I2149">
        <v>249.24879999999999</v>
      </c>
      <c r="J2149">
        <v>-483.23649999999998</v>
      </c>
      <c r="K2149">
        <v>1.1364829999999999</v>
      </c>
      <c r="L2149">
        <v>281.23570000000001</v>
      </c>
      <c r="M2149">
        <v>-0.83687869999999998</v>
      </c>
      <c r="N2149">
        <v>-1.6178809999999998E-2</v>
      </c>
      <c r="O2149">
        <v>-0.54714940000000001</v>
      </c>
      <c r="P2149">
        <v>-0.78676159999999995</v>
      </c>
      <c r="Q2149">
        <v>0.18900310000000001</v>
      </c>
      <c r="R2149">
        <v>-0.58760859999999904</v>
      </c>
      <c r="S2149">
        <v>-1.668396</v>
      </c>
      <c r="T2149">
        <v>0.2277651</v>
      </c>
      <c r="U2149">
        <v>-2.8169249999999999</v>
      </c>
      <c r="V2149">
        <v>-6.9193060000000001E-2</v>
      </c>
      <c r="W2149">
        <v>0.2023016</v>
      </c>
      <c r="X2149">
        <v>0.97687579999999996</v>
      </c>
      <c r="Y2149">
        <v>-0.44198379999999998</v>
      </c>
      <c r="Z2149">
        <v>-3.6450070000000001E-2</v>
      </c>
      <c r="AA2149">
        <v>0.89628209999999997</v>
      </c>
      <c r="AB2149">
        <v>39</v>
      </c>
      <c r="AC2149">
        <v>-18.848800000000001</v>
      </c>
      <c r="AD2149">
        <v>2.5950069999999998</v>
      </c>
      <c r="AE2149">
        <v>-31.986899999999999</v>
      </c>
      <c r="AF2149">
        <v>-16.3781863161121</v>
      </c>
      <c r="AG2149">
        <v>2.5950069999999998</v>
      </c>
      <c r="AH2149">
        <v>33.118332955682497</v>
      </c>
      <c r="AI2149">
        <v>85.982357883399402</v>
      </c>
      <c r="AJ2149">
        <v>116.314022873708</v>
      </c>
      <c r="AK2149">
        <v>37.0378593617231</v>
      </c>
      <c r="AL2149">
        <v>78.328416975418193</v>
      </c>
      <c r="AM2149">
        <v>94.051549076566403</v>
      </c>
      <c r="AN2149">
        <v>0.99999997277018104</v>
      </c>
    </row>
    <row r="2150" spans="1:40" x14ac:dyDescent="0.25">
      <c r="A2150" t="str">
        <f>"20190303171019973"</f>
        <v>20190303171019973</v>
      </c>
      <c r="B2150" t="str">
        <f>"1551604219962804"</f>
        <v>1551604219962804</v>
      </c>
      <c r="C2150" t="s">
        <v>40</v>
      </c>
      <c r="D2150">
        <v>4.7022909999999998</v>
      </c>
      <c r="E2150">
        <v>0.34423330000000002</v>
      </c>
      <c r="F2150" t="s">
        <v>61</v>
      </c>
      <c r="G2150">
        <v>-512.82680000000005</v>
      </c>
      <c r="H2150">
        <v>5.0843740000000004</v>
      </c>
      <c r="I2150">
        <v>230.50559999999999</v>
      </c>
      <c r="J2150">
        <v>-483.38920000000002</v>
      </c>
      <c r="K2150">
        <v>1.1364939999999999</v>
      </c>
      <c r="L2150">
        <v>281.13170000000002</v>
      </c>
      <c r="M2150">
        <v>-0.83270350000000004</v>
      </c>
      <c r="N2150">
        <v>-1.6187130000000001E-2</v>
      </c>
      <c r="O2150">
        <v>-0.55348260000000005</v>
      </c>
      <c r="P2150">
        <v>-0.78197349999999999</v>
      </c>
      <c r="Q2150">
        <v>0.1885309</v>
      </c>
      <c r="R2150">
        <v>-0.59411569999999903</v>
      </c>
      <c r="S2150">
        <v>-1.648895</v>
      </c>
      <c r="T2150">
        <v>0.2199953</v>
      </c>
      <c r="U2150">
        <v>-2.8268740000000001</v>
      </c>
      <c r="V2150">
        <v>-6.9815589999999997E-2</v>
      </c>
      <c r="W2150">
        <v>0.2018112</v>
      </c>
      <c r="X2150">
        <v>0.97693289999999999</v>
      </c>
      <c r="Y2150">
        <v>-0.44114829999999999</v>
      </c>
      <c r="Z2150">
        <v>-3.6232260000000002E-2</v>
      </c>
      <c r="AA2150">
        <v>0.89670249999999996</v>
      </c>
      <c r="AB2150">
        <v>39</v>
      </c>
      <c r="AC2150">
        <v>-29.4376</v>
      </c>
      <c r="AD2150">
        <v>3.9478800000000001</v>
      </c>
      <c r="AE2150">
        <v>-50.626100000000001</v>
      </c>
      <c r="AF2150">
        <v>-25.749698721165998</v>
      </c>
      <c r="AG2150">
        <v>3.9478800000000001</v>
      </c>
      <c r="AH2150">
        <v>52.302648180121601</v>
      </c>
      <c r="AI2150">
        <v>86.125879796028698</v>
      </c>
      <c r="AJ2150">
        <v>116.211997620166</v>
      </c>
      <c r="AK2150">
        <v>58.431153911067</v>
      </c>
      <c r="AL2150">
        <v>78.357106125074495</v>
      </c>
      <c r="AM2150">
        <v>94.087639718069894</v>
      </c>
      <c r="AN2150">
        <v>0.99999993407744603</v>
      </c>
    </row>
    <row r="2151" spans="1:40" x14ac:dyDescent="0.25">
      <c r="A2151" t="str">
        <f>"20190303171019985"</f>
        <v>20190303171019985</v>
      </c>
      <c r="B2151" t="str">
        <f>"1551604219972562"</f>
        <v>1551604219972562</v>
      </c>
      <c r="C2151" t="s">
        <v>40</v>
      </c>
      <c r="D2151">
        <v>4.763064</v>
      </c>
      <c r="E2151">
        <v>0.3448775</v>
      </c>
      <c r="F2151" t="s">
        <v>61</v>
      </c>
      <c r="G2151">
        <v>-512.82680000000005</v>
      </c>
      <c r="H2151">
        <v>5.0002300000000002</v>
      </c>
      <c r="I2151">
        <v>229.9051</v>
      </c>
      <c r="J2151">
        <v>-483.548</v>
      </c>
      <c r="K2151">
        <v>1.1365080000000001</v>
      </c>
      <c r="L2151">
        <v>281.02100000000002</v>
      </c>
      <c r="M2151">
        <v>-0.82826270000000002</v>
      </c>
      <c r="N2151">
        <v>-1.6195049999999999E-2</v>
      </c>
      <c r="O2151">
        <v>-0.56010599999999999</v>
      </c>
      <c r="P2151">
        <v>-0.77696869999999996</v>
      </c>
      <c r="Q2151">
        <v>0.18868770000000001</v>
      </c>
      <c r="R2151">
        <v>-0.60059709999999999</v>
      </c>
      <c r="S2151">
        <v>-1.6299440000000001</v>
      </c>
      <c r="T2151">
        <v>0.21393529999999999</v>
      </c>
      <c r="U2151">
        <v>-2.8363649999999998</v>
      </c>
      <c r="V2151">
        <v>-7.0183750000000003E-2</v>
      </c>
      <c r="W2151">
        <v>0.20195830000000001</v>
      </c>
      <c r="X2151">
        <v>0.97687619999999997</v>
      </c>
      <c r="Y2151">
        <v>-0.43978040000000002</v>
      </c>
      <c r="Z2151">
        <v>-3.6207330000000003E-2</v>
      </c>
      <c r="AA2151">
        <v>0.89737520000000004</v>
      </c>
      <c r="AB2151">
        <v>39</v>
      </c>
      <c r="AC2151">
        <v>-29.2788</v>
      </c>
      <c r="AD2151">
        <v>3.8637220000000001</v>
      </c>
      <c r="AE2151">
        <v>-51.115899999999897</v>
      </c>
      <c r="AF2151">
        <v>-25.8304396314402</v>
      </c>
      <c r="AG2151">
        <v>3.8637220000000001</v>
      </c>
      <c r="AH2151">
        <v>52.661244022295399</v>
      </c>
      <c r="AI2151">
        <v>86.231262313266996</v>
      </c>
      <c r="AJ2151">
        <v>116.12803792686501</v>
      </c>
      <c r="AK2151">
        <v>58.782196124528298</v>
      </c>
      <c r="AL2151">
        <v>78.348501643591405</v>
      </c>
      <c r="AM2151">
        <v>94.109359194714699</v>
      </c>
      <c r="AN2151">
        <v>1.0000000119146899</v>
      </c>
    </row>
    <row r="2152" spans="1:40" x14ac:dyDescent="0.25">
      <c r="A2152" t="str">
        <f>"20190303171019998"</f>
        <v>20190303171019998</v>
      </c>
      <c r="B2152" t="str">
        <f>"1551604219982323"</f>
        <v>1551604219982323</v>
      </c>
      <c r="C2152" t="s">
        <v>40</v>
      </c>
      <c r="D2152">
        <v>4.7046070000000002</v>
      </c>
      <c r="E2152">
        <v>0.34555279999999999</v>
      </c>
      <c r="F2152" t="s">
        <v>61</v>
      </c>
      <c r="G2152">
        <v>-512.82680000000005</v>
      </c>
      <c r="H2152">
        <v>4.9790510000000001</v>
      </c>
      <c r="I2152">
        <v>229.2758</v>
      </c>
      <c r="J2152">
        <v>-483.7251</v>
      </c>
      <c r="K2152">
        <v>1.1365229999999999</v>
      </c>
      <c r="L2152">
        <v>280.89620000000002</v>
      </c>
      <c r="M2152">
        <v>-0.82322580000000001</v>
      </c>
      <c r="N2152">
        <v>-1.62033E-2</v>
      </c>
      <c r="O2152">
        <v>-0.56748310000000002</v>
      </c>
      <c r="P2152">
        <v>-0.77176060000000002</v>
      </c>
      <c r="Q2152">
        <v>0.18901319999999999</v>
      </c>
      <c r="R2152">
        <v>-0.60717369999999904</v>
      </c>
      <c r="S2152">
        <v>-1.610168</v>
      </c>
      <c r="T2152">
        <v>0.21132039999999999</v>
      </c>
      <c r="U2152">
        <v>-2.8456730000000001</v>
      </c>
      <c r="V2152">
        <v>-6.9817679999999993E-2</v>
      </c>
      <c r="W2152">
        <v>0.20230300000000001</v>
      </c>
      <c r="X2152">
        <v>0.97683109999999995</v>
      </c>
      <c r="Y2152">
        <v>-0.4377395</v>
      </c>
      <c r="Z2152">
        <v>-3.6632289999999998E-2</v>
      </c>
      <c r="AA2152">
        <v>0.89835529999999997</v>
      </c>
      <c r="AB2152">
        <v>38</v>
      </c>
      <c r="AC2152">
        <v>-29.101700000000001</v>
      </c>
      <c r="AD2152">
        <v>3.84252799999999</v>
      </c>
      <c r="AE2152">
        <v>-51.620399999999997</v>
      </c>
      <c r="AF2152">
        <v>-25.8751325866983</v>
      </c>
      <c r="AG2152">
        <v>3.84252799999999</v>
      </c>
      <c r="AH2152">
        <v>53.034963159885201</v>
      </c>
      <c r="AI2152">
        <v>86.274382491555997</v>
      </c>
      <c r="AJ2152">
        <v>116.007201968692</v>
      </c>
      <c r="AK2152">
        <v>59.135394013910002</v>
      </c>
      <c r="AL2152">
        <v>78.328335450242506</v>
      </c>
      <c r="AM2152">
        <v>94.088186230700003</v>
      </c>
      <c r="AN2152">
        <v>1.0000000050883899</v>
      </c>
    </row>
    <row r="2153" spans="1:40" x14ac:dyDescent="0.25">
      <c r="A2153" t="str">
        <f>"20190303171020010"</f>
        <v>20190303171020010</v>
      </c>
      <c r="B2153" t="str">
        <f>"1551604220002819"</f>
        <v>1551604220002819</v>
      </c>
      <c r="C2153" t="s">
        <v>40</v>
      </c>
      <c r="D2153">
        <v>4.7249860000000004</v>
      </c>
      <c r="E2153">
        <v>0.34677930000000001</v>
      </c>
      <c r="F2153" t="s">
        <v>61</v>
      </c>
      <c r="G2153">
        <v>-512.82680000000005</v>
      </c>
      <c r="H2153">
        <v>4.9804779999999997</v>
      </c>
      <c r="I2153">
        <v>228.6028</v>
      </c>
      <c r="J2153">
        <v>-483.90550000000002</v>
      </c>
      <c r="K2153">
        <v>1.1365369999999999</v>
      </c>
      <c r="L2153">
        <v>280.76569999999998</v>
      </c>
      <c r="M2153">
        <v>-0.81796459999999904</v>
      </c>
      <c r="N2153">
        <v>-1.6210800000000001E-2</v>
      </c>
      <c r="O2153">
        <v>-0.57504049999999995</v>
      </c>
      <c r="P2153">
        <v>-0.76620440000000001</v>
      </c>
      <c r="Q2153">
        <v>0.18948400000000001</v>
      </c>
      <c r="R2153">
        <v>-0.61402539999999906</v>
      </c>
      <c r="S2153">
        <v>-1.5892029999999999</v>
      </c>
      <c r="T2153">
        <v>0.2099153</v>
      </c>
      <c r="U2153">
        <v>-2.8556520000000001</v>
      </c>
      <c r="V2153">
        <v>-6.9616349999999994E-2</v>
      </c>
      <c r="W2153">
        <v>0.20278579999999999</v>
      </c>
      <c r="X2153">
        <v>0.97674539999999999</v>
      </c>
      <c r="Y2153">
        <v>-0.4358339</v>
      </c>
      <c r="Z2153">
        <v>-3.7196519999999997E-2</v>
      </c>
      <c r="AA2153">
        <v>0.89925809999999995</v>
      </c>
      <c r="AB2153">
        <v>38</v>
      </c>
      <c r="AC2153">
        <v>-28.921299999999999</v>
      </c>
      <c r="AD2153">
        <v>3.8439410000000001</v>
      </c>
      <c r="AE2153">
        <v>-52.162899999999901</v>
      </c>
      <c r="AF2153">
        <v>-25.932191973779499</v>
      </c>
      <c r="AG2153">
        <v>3.8439410000000001</v>
      </c>
      <c r="AH2153">
        <v>53.437463333002199</v>
      </c>
      <c r="AI2153">
        <v>86.297224907365901</v>
      </c>
      <c r="AJ2153">
        <v>115.886423436513</v>
      </c>
      <c r="AK2153">
        <v>59.521567103381898</v>
      </c>
      <c r="AL2153">
        <v>78.300088048971602</v>
      </c>
      <c r="AM2153">
        <v>94.076793580177394</v>
      </c>
      <c r="AN2153">
        <v>1.00000004664506</v>
      </c>
    </row>
    <row r="2154" spans="1:40" x14ac:dyDescent="0.25">
      <c r="A2154" t="str">
        <f>"20190303171020025"</f>
        <v>20190303171020025</v>
      </c>
      <c r="B2154" t="str">
        <f>"1551604220012579"</f>
        <v>1551604220012579</v>
      </c>
      <c r="C2154" t="s">
        <v>40</v>
      </c>
      <c r="D2154">
        <v>4.6915129999999996</v>
      </c>
      <c r="E2154">
        <v>0.34749609999999997</v>
      </c>
      <c r="F2154" t="s">
        <v>61</v>
      </c>
      <c r="G2154">
        <v>-512.82680000000005</v>
      </c>
      <c r="H2154">
        <v>4.9681810000000004</v>
      </c>
      <c r="I2154">
        <v>228.03100000000001</v>
      </c>
      <c r="J2154">
        <v>-484.08179999999999</v>
      </c>
      <c r="K2154">
        <v>1.136549</v>
      </c>
      <c r="L2154">
        <v>280.6361</v>
      </c>
      <c r="M2154">
        <v>-0.81271859999999996</v>
      </c>
      <c r="N2154">
        <v>-1.6217519999999999E-2</v>
      </c>
      <c r="O2154">
        <v>-0.58243100000000003</v>
      </c>
      <c r="P2154">
        <v>-0.760841199999999</v>
      </c>
      <c r="Q2154">
        <v>0.19007270000000001</v>
      </c>
      <c r="R2154">
        <v>-0.62047859999999999</v>
      </c>
      <c r="S2154">
        <v>-1.5699459999999901</v>
      </c>
      <c r="T2154">
        <v>0.2079973</v>
      </c>
      <c r="U2154">
        <v>-2.8626100000000001</v>
      </c>
      <c r="V2154">
        <v>-6.9131380000000006E-2</v>
      </c>
      <c r="W2154">
        <v>0.20339750000000001</v>
      </c>
      <c r="X2154">
        <v>0.97665259999999998</v>
      </c>
      <c r="Y2154">
        <v>-0.43324780000000002</v>
      </c>
      <c r="Z2154">
        <v>-3.7704399999999999E-2</v>
      </c>
      <c r="AA2154">
        <v>0.9004858</v>
      </c>
      <c r="AB2154">
        <v>38</v>
      </c>
      <c r="AC2154">
        <v>-28.745000000000001</v>
      </c>
      <c r="AD2154">
        <v>3.8316319999999999</v>
      </c>
      <c r="AE2154">
        <v>-52.6051</v>
      </c>
      <c r="AF2154">
        <v>-25.9087310029092</v>
      </c>
      <c r="AG2154">
        <v>3.8316319999999999</v>
      </c>
      <c r="AH2154">
        <v>53.787781019953997</v>
      </c>
      <c r="AI2154">
        <v>86.327864129360293</v>
      </c>
      <c r="AJ2154">
        <v>115.71938788969599</v>
      </c>
      <c r="AK2154">
        <v>59.825321837956402</v>
      </c>
      <c r="AL2154">
        <v>78.264293665733902</v>
      </c>
      <c r="AM2154">
        <v>94.048871485346595</v>
      </c>
      <c r="AN2154">
        <v>0.99999999589685695</v>
      </c>
    </row>
    <row r="2155" spans="1:40" x14ac:dyDescent="0.25">
      <c r="A2155" t="str">
        <f>"20190303171020038"</f>
        <v>20190303171020038</v>
      </c>
      <c r="B2155" t="str">
        <f>"1551604220022338"</f>
        <v>1551604220022338</v>
      </c>
      <c r="C2155" t="s">
        <v>40</v>
      </c>
      <c r="D2155">
        <v>4.6925819999999998</v>
      </c>
      <c r="E2155">
        <v>0.34749609999999997</v>
      </c>
      <c r="F2155" t="s">
        <v>61</v>
      </c>
      <c r="G2155">
        <v>-512.82680000000005</v>
      </c>
      <c r="H2155">
        <v>4.9976139999999996</v>
      </c>
      <c r="I2155">
        <v>227.33080000000001</v>
      </c>
      <c r="J2155">
        <v>-484.27710000000002</v>
      </c>
      <c r="K2155">
        <v>1.1365639999999999</v>
      </c>
      <c r="L2155">
        <v>280.49</v>
      </c>
      <c r="M2155">
        <v>-0.80678339999999904</v>
      </c>
      <c r="N2155">
        <v>-1.622432E-2</v>
      </c>
      <c r="O2155">
        <v>-0.590624699999999</v>
      </c>
      <c r="P2155">
        <v>-0.75486330000000001</v>
      </c>
      <c r="Q2155">
        <v>0.19021070000000001</v>
      </c>
      <c r="R2155">
        <v>-0.62769569999999997</v>
      </c>
      <c r="S2155">
        <v>-1.5487979999999999</v>
      </c>
      <c r="T2155">
        <v>0.2080388</v>
      </c>
      <c r="U2155">
        <v>-2.8721009999999998</v>
      </c>
      <c r="V2155">
        <v>-6.8580390000000005E-2</v>
      </c>
      <c r="W2155">
        <v>0.2035613</v>
      </c>
      <c r="X2155">
        <v>0.97665729999999995</v>
      </c>
      <c r="Y2155">
        <v>-0.43051790000000001</v>
      </c>
      <c r="Z2155">
        <v>-3.850729E-2</v>
      </c>
      <c r="AA2155">
        <v>0.90176020000000001</v>
      </c>
      <c r="AB2155">
        <v>38</v>
      </c>
      <c r="AC2155">
        <v>-28.549700000000001</v>
      </c>
      <c r="AD2155">
        <v>3.8610500000000001</v>
      </c>
      <c r="AE2155">
        <v>-53.159199999999998</v>
      </c>
      <c r="AF2155">
        <v>-25.923085439945002</v>
      </c>
      <c r="AG2155">
        <v>3.8610500000000001</v>
      </c>
      <c r="AH2155">
        <v>54.215738141615397</v>
      </c>
      <c r="AI2155">
        <v>86.323821545205902</v>
      </c>
      <c r="AJ2155">
        <v>115.554649092745</v>
      </c>
      <c r="AK2155">
        <v>60.218438439313601</v>
      </c>
      <c r="AL2155">
        <v>78.254707856353406</v>
      </c>
      <c r="AM2155">
        <v>94.016688007712503</v>
      </c>
      <c r="AN2155">
        <v>0.99999997719676503</v>
      </c>
    </row>
    <row r="2156" spans="1:40" x14ac:dyDescent="0.25">
      <c r="A2156" t="str">
        <f>"20190303171020051"</f>
        <v>20190303171020051</v>
      </c>
      <c r="B2156" t="str">
        <f>"1551604220042835"</f>
        <v>1551604220042835</v>
      </c>
      <c r="C2156" t="s">
        <v>40</v>
      </c>
      <c r="D2156">
        <v>4.6553279999999999</v>
      </c>
      <c r="E2156">
        <v>0.3650912</v>
      </c>
      <c r="F2156" t="s">
        <v>61</v>
      </c>
      <c r="G2156">
        <v>-512.82680000000005</v>
      </c>
      <c r="H2156">
        <v>5.0595759999999999</v>
      </c>
      <c r="I2156">
        <v>226.30410000000001</v>
      </c>
      <c r="J2156">
        <v>-484.4579</v>
      </c>
      <c r="K2156">
        <v>1.1365749999999999</v>
      </c>
      <c r="L2156">
        <v>280.35129999999998</v>
      </c>
      <c r="M2156">
        <v>-0.80115040000000004</v>
      </c>
      <c r="N2156">
        <v>-1.6229750000000001E-2</v>
      </c>
      <c r="O2156">
        <v>-0.59824319999999997</v>
      </c>
      <c r="P2156">
        <v>-0.74900649999999902</v>
      </c>
      <c r="Q2156">
        <v>0.18956619999999999</v>
      </c>
      <c r="R2156">
        <v>-0.63486560000000003</v>
      </c>
      <c r="S2156">
        <v>-1.5210570000000001</v>
      </c>
      <c r="T2156">
        <v>0.20901049999999999</v>
      </c>
      <c r="U2156">
        <v>-2.8868710000000002</v>
      </c>
      <c r="V2156">
        <v>-6.8522100000000002E-2</v>
      </c>
      <c r="W2156">
        <v>0.20292499999999999</v>
      </c>
      <c r="X2156">
        <v>0.97679380000000005</v>
      </c>
      <c r="Y2156">
        <v>-0.43066549999999998</v>
      </c>
      <c r="Z2156">
        <v>-3.9300290000000002E-2</v>
      </c>
      <c r="AA2156">
        <v>0.9016556</v>
      </c>
      <c r="AB2156">
        <v>38</v>
      </c>
      <c r="AC2156">
        <v>-28.3689</v>
      </c>
      <c r="AD2156">
        <v>3.9230010000000002</v>
      </c>
      <c r="AE2156">
        <v>-54.047199999999897</v>
      </c>
      <c r="AF2156">
        <v>-26.223581286173001</v>
      </c>
      <c r="AG2156">
        <v>3.9230010000000002</v>
      </c>
      <c r="AH2156">
        <v>54.841844307144299</v>
      </c>
      <c r="AI2156">
        <v>86.307554122347099</v>
      </c>
      <c r="AJ2156">
        <v>115.555605837089</v>
      </c>
      <c r="AK2156">
        <v>60.915466339244098</v>
      </c>
      <c r="AL2156">
        <v>78.291942351263302</v>
      </c>
      <c r="AM2156">
        <v>94.012726182617698</v>
      </c>
      <c r="AN2156">
        <v>0.999999980765924</v>
      </c>
    </row>
    <row r="2157" spans="1:40" x14ac:dyDescent="0.25">
      <c r="A2157" t="str">
        <f>"20190303171020063"</f>
        <v>20190303171020063</v>
      </c>
      <c r="B2157" t="str">
        <f>"1551604220052596"</f>
        <v>1551604220052596</v>
      </c>
      <c r="C2157" t="s">
        <v>40</v>
      </c>
      <c r="D2157">
        <v>4.6792959999999999</v>
      </c>
      <c r="E2157">
        <v>0.36202260000000003</v>
      </c>
      <c r="F2157" t="s">
        <v>46</v>
      </c>
      <c r="G2157">
        <v>-502.0992</v>
      </c>
      <c r="H2157">
        <v>2.6887349999999999</v>
      </c>
      <c r="I2157">
        <v>249.2593</v>
      </c>
      <c r="J2157">
        <v>-484.60649999999998</v>
      </c>
      <c r="K2157">
        <v>1.1365769999999999</v>
      </c>
      <c r="L2157">
        <v>280.23540000000003</v>
      </c>
      <c r="M2157">
        <v>-0.79643189999999997</v>
      </c>
      <c r="N2157">
        <v>-1.6233729999999998E-2</v>
      </c>
      <c r="O2157">
        <v>-0.6045102</v>
      </c>
      <c r="P2157">
        <v>-0.74381450000000005</v>
      </c>
      <c r="Q2157">
        <v>0.1892402</v>
      </c>
      <c r="R2157">
        <v>-0.64103699999999997</v>
      </c>
      <c r="S2157">
        <v>-1.5918270000000001</v>
      </c>
      <c r="T2157">
        <v>0.14005680000000001</v>
      </c>
      <c r="U2157">
        <v>-2.805542</v>
      </c>
      <c r="V2157">
        <v>-6.8877740000000007E-2</v>
      </c>
      <c r="W2157">
        <v>0.20258780000000001</v>
      </c>
      <c r="X2157">
        <v>0.97683880000000001</v>
      </c>
      <c r="Y2157">
        <v>-0.39490570000000003</v>
      </c>
      <c r="Z2157">
        <v>-3.1584040000000001E-2</v>
      </c>
      <c r="AA2157">
        <v>0.91817859999999996</v>
      </c>
      <c r="AB2157">
        <v>38</v>
      </c>
      <c r="AC2157">
        <v>-17.492699999999999</v>
      </c>
      <c r="AD2157">
        <v>1.5521579999999999</v>
      </c>
      <c r="AE2157">
        <v>-30.976099999999999</v>
      </c>
      <c r="AF2157">
        <v>-14.070909930880999</v>
      </c>
      <c r="AG2157">
        <v>1.5521579999999999</v>
      </c>
      <c r="AH2157">
        <v>32.599358181118603</v>
      </c>
      <c r="AI2157">
        <v>87.496919727118396</v>
      </c>
      <c r="AJ2157">
        <v>113.346549267776</v>
      </c>
      <c r="AK2157">
        <v>35.540369364439599</v>
      </c>
      <c r="AL2157">
        <v>78.311672528852498</v>
      </c>
      <c r="AM2157">
        <v>94.033299073555895</v>
      </c>
      <c r="AN2157">
        <v>1.00000000048089</v>
      </c>
    </row>
    <row r="2158" spans="1:40" x14ac:dyDescent="0.25">
      <c r="A2158" t="str">
        <f>"20190303171020074"</f>
        <v>20190303171020074</v>
      </c>
      <c r="B2158" t="str">
        <f>"1551604220062356"</f>
        <v>1551604220062356</v>
      </c>
      <c r="C2158" t="s">
        <v>40</v>
      </c>
      <c r="D2158">
        <v>4.6986080000000001</v>
      </c>
      <c r="E2158">
        <v>0.35923939999999999</v>
      </c>
      <c r="F2158" t="s">
        <v>61</v>
      </c>
      <c r="G2158">
        <v>-512.82640000000004</v>
      </c>
      <c r="H2158">
        <v>3.778953</v>
      </c>
      <c r="I2158">
        <v>228.66669999999999</v>
      </c>
      <c r="J2158">
        <v>-484.75310000000002</v>
      </c>
      <c r="K2158">
        <v>1.1365799999999999</v>
      </c>
      <c r="L2158">
        <v>280.1198</v>
      </c>
      <c r="M2158">
        <v>-0.7917052</v>
      </c>
      <c r="N2158">
        <v>-1.6237339999999999E-2</v>
      </c>
      <c r="O2158">
        <v>-0.6106876</v>
      </c>
      <c r="P2158">
        <v>-0.738683599999999</v>
      </c>
      <c r="Q2158">
        <v>0.18824569999999999</v>
      </c>
      <c r="R2158">
        <v>-0.64723280000000005</v>
      </c>
      <c r="S2158">
        <v>-1.5520320000000001</v>
      </c>
      <c r="T2158">
        <v>0.14532779999999901</v>
      </c>
      <c r="U2158">
        <v>-2.8361510000000001</v>
      </c>
      <c r="V2158">
        <v>-6.9256170000000006E-2</v>
      </c>
      <c r="W2158">
        <v>0.20158329999999999</v>
      </c>
      <c r="X2158">
        <v>0.97701979999999999</v>
      </c>
      <c r="Y2158">
        <v>-0.40189049999999998</v>
      </c>
      <c r="Z2158">
        <v>-3.2574789999999999E-2</v>
      </c>
      <c r="AA2158">
        <v>0.91510809999999998</v>
      </c>
      <c r="AB2158">
        <v>38</v>
      </c>
      <c r="AC2158">
        <v>-28.0733</v>
      </c>
      <c r="AD2158">
        <v>2.6423730000000001</v>
      </c>
      <c r="AE2158">
        <v>-51.453099999999999</v>
      </c>
      <c r="AF2158">
        <v>-23.546924685532499</v>
      </c>
      <c r="AG2158">
        <v>2.6423730000000001</v>
      </c>
      <c r="AH2158">
        <v>53.545795307965598</v>
      </c>
      <c r="AI2158">
        <v>87.413536434093103</v>
      </c>
      <c r="AJ2158">
        <v>113.737637300228</v>
      </c>
      <c r="AK2158">
        <v>58.554179973592198</v>
      </c>
      <c r="AL2158">
        <v>78.370438213804704</v>
      </c>
      <c r="AM2158">
        <v>94.054636418598093</v>
      </c>
      <c r="AN2158">
        <v>0.99999996675699898</v>
      </c>
    </row>
    <row r="2159" spans="1:40" x14ac:dyDescent="0.25">
      <c r="A2159" t="str">
        <f>"20190303171020085"</f>
        <v>20190303171020085</v>
      </c>
      <c r="B2159" t="str">
        <f>"1551604220073091"</f>
        <v>1551604220073091</v>
      </c>
      <c r="C2159" t="s">
        <v>40</v>
      </c>
      <c r="D2159">
        <v>4.6746759999999998</v>
      </c>
      <c r="E2159">
        <v>0.35687990000000003</v>
      </c>
      <c r="F2159" t="s">
        <v>61</v>
      </c>
      <c r="G2159">
        <v>-512.82640000000004</v>
      </c>
      <c r="H2159">
        <v>3.8428749999999998</v>
      </c>
      <c r="I2159">
        <v>227.0051</v>
      </c>
      <c r="J2159">
        <v>-484.90120000000002</v>
      </c>
      <c r="K2159">
        <v>1.136582</v>
      </c>
      <c r="L2159">
        <v>280</v>
      </c>
      <c r="M2159">
        <v>-0.78682390000000002</v>
      </c>
      <c r="N2159">
        <v>-1.6240460000000002E-2</v>
      </c>
      <c r="O2159">
        <v>-0.61696390000000001</v>
      </c>
      <c r="P2159">
        <v>-0.7333035</v>
      </c>
      <c r="Q2159">
        <v>0.1884363</v>
      </c>
      <c r="R2159">
        <v>-0.65326700000000004</v>
      </c>
      <c r="S2159">
        <v>-1.5140990000000001</v>
      </c>
      <c r="T2159">
        <v>0.14596310000000001</v>
      </c>
      <c r="U2159">
        <v>-2.864655</v>
      </c>
      <c r="V2159">
        <v>-6.9538180000000005E-2</v>
      </c>
      <c r="W2159">
        <v>0.2017641</v>
      </c>
      <c r="X2159">
        <v>0.97696249999999996</v>
      </c>
      <c r="Y2159">
        <v>-0.40786840000000002</v>
      </c>
      <c r="Z2159">
        <v>-3.2956600000000003E-2</v>
      </c>
      <c r="AA2159">
        <v>0.91244570000000003</v>
      </c>
      <c r="AB2159">
        <v>38</v>
      </c>
      <c r="AC2159">
        <v>-27.9252</v>
      </c>
      <c r="AD2159">
        <v>2.7062930000000001</v>
      </c>
      <c r="AE2159">
        <v>-52.994900000000001</v>
      </c>
      <c r="AF2159">
        <v>-24.422192329176099</v>
      </c>
      <c r="AG2159">
        <v>2.7062930000000001</v>
      </c>
      <c r="AH2159">
        <v>54.563993848257702</v>
      </c>
      <c r="AI2159">
        <v>87.407948514353805</v>
      </c>
      <c r="AJ2159">
        <v>114.11271957423899</v>
      </c>
      <c r="AK2159">
        <v>59.841431505586598</v>
      </c>
      <c r="AL2159">
        <v>78.359862431185505</v>
      </c>
      <c r="AM2159">
        <v>94.071329401355797</v>
      </c>
      <c r="AN2159">
        <v>1.00000001846638</v>
      </c>
    </row>
    <row r="2160" spans="1:40" x14ac:dyDescent="0.25">
      <c r="A2160" t="str">
        <f>"20190303171020097"</f>
        <v>20190303171020097</v>
      </c>
      <c r="B2160" t="str">
        <f>"1551604220092611"</f>
        <v>1551604220092611</v>
      </c>
      <c r="C2160" t="s">
        <v>40</v>
      </c>
      <c r="D2160">
        <v>4.6901250000000001</v>
      </c>
      <c r="E2160">
        <v>0.35445949999999998</v>
      </c>
      <c r="F2160" t="s">
        <v>61</v>
      </c>
      <c r="G2160">
        <v>-512.82650000000001</v>
      </c>
      <c r="H2160">
        <v>4.0057299999999998</v>
      </c>
      <c r="I2160">
        <v>225.38290000000001</v>
      </c>
      <c r="J2160">
        <v>-485.0514</v>
      </c>
      <c r="K2160">
        <v>1.1365860000000001</v>
      </c>
      <c r="L2160">
        <v>279.87779999999998</v>
      </c>
      <c r="M2160">
        <v>-0.78181020000000001</v>
      </c>
      <c r="N2160">
        <v>-1.6243380000000002E-2</v>
      </c>
      <c r="O2160">
        <v>-0.62330509999999995</v>
      </c>
      <c r="P2160">
        <v>-0.72812959999999904</v>
      </c>
      <c r="Q2160">
        <v>0.18830079999999999</v>
      </c>
      <c r="R2160">
        <v>-0.65906799999999999</v>
      </c>
      <c r="S2160">
        <v>-1.4775700000000001</v>
      </c>
      <c r="T2160">
        <v>0.1518139</v>
      </c>
      <c r="U2160">
        <v>-2.8898619999999999</v>
      </c>
      <c r="V2160">
        <v>-6.9370920000000003E-2</v>
      </c>
      <c r="W2160">
        <v>0.2016375</v>
      </c>
      <c r="X2160">
        <v>0.97700050000000005</v>
      </c>
      <c r="Y2160">
        <v>-0.41289749999999997</v>
      </c>
      <c r="Z2160">
        <v>-3.4094739999999998E-2</v>
      </c>
      <c r="AA2160">
        <v>0.91013909999999998</v>
      </c>
      <c r="AB2160">
        <v>38</v>
      </c>
      <c r="AC2160">
        <v>-27.775099999999998</v>
      </c>
      <c r="AD2160">
        <v>2.8691439999999999</v>
      </c>
      <c r="AE2160">
        <v>-54.494899999999902</v>
      </c>
      <c r="AF2160">
        <v>-25.240102854813198</v>
      </c>
      <c r="AG2160">
        <v>2.8691439999999999</v>
      </c>
      <c r="AH2160">
        <v>55.566876113869803</v>
      </c>
      <c r="AI2160">
        <v>87.308419765668802</v>
      </c>
      <c r="AJ2160">
        <v>114.428940109176</v>
      </c>
      <c r="AK2160">
        <v>61.098056437733199</v>
      </c>
      <c r="AL2160">
        <v>78.367267969564196</v>
      </c>
      <c r="AM2160">
        <v>94.061412011825098</v>
      </c>
      <c r="AN2160">
        <v>0.99999999147407304</v>
      </c>
    </row>
    <row r="2161" spans="1:40" x14ac:dyDescent="0.25">
      <c r="A2161" t="str">
        <f>"20190303171020108"</f>
        <v>20190303171020108</v>
      </c>
      <c r="B2161" t="str">
        <f>"1551604220102371"</f>
        <v>1551604220102371</v>
      </c>
      <c r="C2161" t="s">
        <v>40</v>
      </c>
      <c r="D2161">
        <v>4.6994809999999996</v>
      </c>
      <c r="E2161">
        <v>0.3539564</v>
      </c>
      <c r="F2161" t="s">
        <v>61</v>
      </c>
      <c r="G2161">
        <v>-512.82650000000001</v>
      </c>
      <c r="H2161">
        <v>4.1449470000000002</v>
      </c>
      <c r="I2161">
        <v>223.70609999999999</v>
      </c>
      <c r="J2161">
        <v>-485.20119999999997</v>
      </c>
      <c r="K2161">
        <v>1.136592</v>
      </c>
      <c r="L2161">
        <v>279.75259999999997</v>
      </c>
      <c r="M2161">
        <v>-0.77669469999999996</v>
      </c>
      <c r="N2161">
        <v>-1.6245800000000001E-2</v>
      </c>
      <c r="O2161">
        <v>-0.6296678</v>
      </c>
      <c r="P2161">
        <v>-0.72299480000000005</v>
      </c>
      <c r="Q2161">
        <v>0.18855849999999999</v>
      </c>
      <c r="R2161">
        <v>-0.66462339999999998</v>
      </c>
      <c r="S2161">
        <v>-1.4413450000000001</v>
      </c>
      <c r="T2161">
        <v>0.15611639999999999</v>
      </c>
      <c r="U2161">
        <v>-2.914917</v>
      </c>
      <c r="V2161">
        <v>-6.8927589999999997E-2</v>
      </c>
      <c r="W2161">
        <v>0.20191400000000001</v>
      </c>
      <c r="X2161">
        <v>0.97697480000000003</v>
      </c>
      <c r="Y2161">
        <v>-0.41769529999999999</v>
      </c>
      <c r="Z2161">
        <v>-3.5031310000000003E-2</v>
      </c>
      <c r="AA2161">
        <v>0.90791160000000004</v>
      </c>
      <c r="AB2161">
        <v>38</v>
      </c>
      <c r="AC2161">
        <v>-27.625299999999999</v>
      </c>
      <c r="AD2161">
        <v>3.0083549999999999</v>
      </c>
      <c r="AE2161">
        <v>-56.046499999999902</v>
      </c>
      <c r="AF2161">
        <v>-26.079254857161999</v>
      </c>
      <c r="AG2161">
        <v>3.0083549999999999</v>
      </c>
      <c r="AH2161">
        <v>56.623335905861801</v>
      </c>
      <c r="AI2161">
        <v>87.2372275465206</v>
      </c>
      <c r="AJ2161">
        <v>114.729583881728</v>
      </c>
      <c r="AK2161">
        <v>62.412978640815503</v>
      </c>
      <c r="AL2161">
        <v>78.351093308067107</v>
      </c>
      <c r="AM2161">
        <v>94.035648509269393</v>
      </c>
      <c r="AN2161">
        <v>1.00000001794712</v>
      </c>
    </row>
    <row r="2162" spans="1:40" x14ac:dyDescent="0.25">
      <c r="A2162" t="str">
        <f>"20190303171020119"</f>
        <v>20190303171020119</v>
      </c>
      <c r="B2162" t="str">
        <f>"1551604220113107"</f>
        <v>1551604220113107</v>
      </c>
      <c r="C2162" t="s">
        <v>40</v>
      </c>
      <c r="D2162">
        <v>4.7002540000000002</v>
      </c>
      <c r="E2162">
        <v>0.35299439999999999</v>
      </c>
      <c r="F2162" t="s">
        <v>61</v>
      </c>
      <c r="G2162">
        <v>-512.82650000000001</v>
      </c>
      <c r="H2162">
        <v>4.1832900000000004</v>
      </c>
      <c r="I2162">
        <v>222.62520000000001</v>
      </c>
      <c r="J2162">
        <v>-485.33859999999999</v>
      </c>
      <c r="K2162">
        <v>1.136598</v>
      </c>
      <c r="L2162">
        <v>279.63670000000002</v>
      </c>
      <c r="M2162">
        <v>-0.7719355</v>
      </c>
      <c r="N2162">
        <v>-1.6247859999999999E-2</v>
      </c>
      <c r="O2162">
        <v>-0.63549359999999999</v>
      </c>
      <c r="P2162">
        <v>-0.7180704</v>
      </c>
      <c r="Q2162">
        <v>0.18869839999999999</v>
      </c>
      <c r="R2162">
        <v>-0.66990150000000004</v>
      </c>
      <c r="S2162">
        <v>-1.41629</v>
      </c>
      <c r="T2162">
        <v>0.1561997</v>
      </c>
      <c r="U2162">
        <v>-2.9287719999999999</v>
      </c>
      <c r="V2162">
        <v>-6.8763790000000005E-2</v>
      </c>
      <c r="W2162">
        <v>0.20206160000000001</v>
      </c>
      <c r="X2162">
        <v>0.97695580000000004</v>
      </c>
      <c r="Y2162">
        <v>-0.41884539999999998</v>
      </c>
      <c r="Z2162">
        <v>-3.5425610000000003E-2</v>
      </c>
      <c r="AA2162">
        <v>0.90736629999999996</v>
      </c>
      <c r="AB2162">
        <v>38</v>
      </c>
      <c r="AC2162">
        <v>-27.4879</v>
      </c>
      <c r="AD2162">
        <v>3.04669199999999</v>
      </c>
      <c r="AE2162">
        <v>-57.011499999999998</v>
      </c>
      <c r="AF2162">
        <v>-26.4829478221606</v>
      </c>
      <c r="AG2162">
        <v>3.04669199999999</v>
      </c>
      <c r="AH2162">
        <v>57.324069258916801</v>
      </c>
      <c r="AI2162">
        <v>87.237706195752693</v>
      </c>
      <c r="AJ2162">
        <v>114.79630104595</v>
      </c>
      <c r="AK2162">
        <v>63.219283244080202</v>
      </c>
      <c r="AL2162">
        <v>78.342458164450605</v>
      </c>
      <c r="AM2162">
        <v>94.026167784374294</v>
      </c>
      <c r="AN2162">
        <v>0.999999992081682</v>
      </c>
    </row>
    <row r="2163" spans="1:40" x14ac:dyDescent="0.25">
      <c r="A2163" t="str">
        <f>"20190303171020129"</f>
        <v>20190303171020129</v>
      </c>
      <c r="B2163" t="str">
        <f>"1551604220122867"</f>
        <v>1551604220122867</v>
      </c>
      <c r="C2163" t="s">
        <v>40</v>
      </c>
      <c r="D2163">
        <v>4.6358009999999998</v>
      </c>
      <c r="E2163">
        <v>0.35279290000000002</v>
      </c>
      <c r="F2163" t="s">
        <v>61</v>
      </c>
      <c r="G2163">
        <v>-512.31989999999996</v>
      </c>
      <c r="H2163">
        <v>4.2511199999999896</v>
      </c>
      <c r="I2163">
        <v>222.446</v>
      </c>
      <c r="J2163">
        <v>-485.47750000000002</v>
      </c>
      <c r="K2163">
        <v>1.1366000000000001</v>
      </c>
      <c r="L2163">
        <v>279.5172</v>
      </c>
      <c r="M2163">
        <v>-0.76703569999999999</v>
      </c>
      <c r="N2163">
        <v>-1.6249659999999999E-2</v>
      </c>
      <c r="O2163">
        <v>-0.64139869999999899</v>
      </c>
      <c r="P2163">
        <v>-0.71292929999999999</v>
      </c>
      <c r="Q2163">
        <v>0.18873419999999999</v>
      </c>
      <c r="R2163">
        <v>-0.67536010000000002</v>
      </c>
      <c r="S2163">
        <v>-1.389008</v>
      </c>
      <c r="T2163">
        <v>0.1603395</v>
      </c>
      <c r="U2163">
        <v>-2.9441830000000002</v>
      </c>
      <c r="V2163">
        <v>-6.8728289999999997E-2</v>
      </c>
      <c r="W2163">
        <v>0.20210030000000001</v>
      </c>
      <c r="X2163">
        <v>0.97695030000000005</v>
      </c>
      <c r="Y2163">
        <v>-0.4206126</v>
      </c>
      <c r="Z2163">
        <v>-3.6398819999999998E-2</v>
      </c>
      <c r="AA2163">
        <v>0.90650989999999998</v>
      </c>
      <c r="AB2163">
        <v>38</v>
      </c>
      <c r="AC2163">
        <v>-26.842399999999898</v>
      </c>
      <c r="AD2163">
        <v>3.1145200000000002</v>
      </c>
      <c r="AE2163">
        <v>-57.071199999999997</v>
      </c>
      <c r="AF2163">
        <v>-26.497852956668101</v>
      </c>
      <c r="AG2163">
        <v>3.1145200000000002</v>
      </c>
      <c r="AH2163">
        <v>57.062863263783001</v>
      </c>
      <c r="AI2163">
        <v>87.165968600060594</v>
      </c>
      <c r="AJ2163">
        <v>114.90838728408001</v>
      </c>
      <c r="AK2163">
        <v>62.992117046538503</v>
      </c>
      <c r="AL2163">
        <v>78.340194188082705</v>
      </c>
      <c r="AM2163">
        <v>94.024118645301996</v>
      </c>
      <c r="AN2163">
        <v>0.99999999888825197</v>
      </c>
    </row>
    <row r="2164" spans="1:40" x14ac:dyDescent="0.25">
      <c r="A2164" t="str">
        <f>"20190303171020141"</f>
        <v>20190303171020141</v>
      </c>
      <c r="B2164" t="str">
        <f>"1551604220132627"</f>
        <v>1551604220132627</v>
      </c>
      <c r="C2164" t="s">
        <v>40</v>
      </c>
      <c r="D2164">
        <v>4.62235</v>
      </c>
      <c r="E2164">
        <v>0.35279290000000002</v>
      </c>
      <c r="F2164" t="s">
        <v>61</v>
      </c>
      <c r="G2164">
        <v>-511.96</v>
      </c>
      <c r="H2164">
        <v>4.2471249999999996</v>
      </c>
      <c r="I2164">
        <v>222.18100000000001</v>
      </c>
      <c r="J2164">
        <v>-485.61529999999999</v>
      </c>
      <c r="K2164">
        <v>1.1366069999999999</v>
      </c>
      <c r="L2164">
        <v>279.39710000000002</v>
      </c>
      <c r="M2164">
        <v>-0.76210069999999996</v>
      </c>
      <c r="N2164">
        <v>-1.6251149999999999E-2</v>
      </c>
      <c r="O2164">
        <v>-0.64725459999999901</v>
      </c>
      <c r="P2164">
        <v>-0.70781519999999898</v>
      </c>
      <c r="Q2164">
        <v>0.18847030000000001</v>
      </c>
      <c r="R2164">
        <v>-0.68079149999999999</v>
      </c>
      <c r="S2164">
        <v>-1.365326</v>
      </c>
      <c r="T2164">
        <v>0.1603677</v>
      </c>
      <c r="U2164">
        <v>-2.955994</v>
      </c>
      <c r="V2164">
        <v>-6.8660769999999996E-2</v>
      </c>
      <c r="W2164">
        <v>0.20184060000000001</v>
      </c>
      <c r="X2164">
        <v>0.97700869999999995</v>
      </c>
      <c r="Y2164">
        <v>-0.42103459999999998</v>
      </c>
      <c r="Z2164">
        <v>-3.6812030000000003E-2</v>
      </c>
      <c r="AA2164">
        <v>0.90629729999999997</v>
      </c>
      <c r="AB2164">
        <v>38</v>
      </c>
      <c r="AC2164">
        <v>-26.3446999999999</v>
      </c>
      <c r="AD2164">
        <v>3.1105179999999999</v>
      </c>
      <c r="AE2164">
        <v>-57.216099999999997</v>
      </c>
      <c r="AF2164">
        <v>-26.4916073838091</v>
      </c>
      <c r="AG2164">
        <v>3.1105179999999999</v>
      </c>
      <c r="AH2164">
        <v>56.979294148230601</v>
      </c>
      <c r="AI2164">
        <v>87.166077723753205</v>
      </c>
      <c r="AJ2164">
        <v>114.93531523821601</v>
      </c>
      <c r="AK2164">
        <v>62.913595872726901</v>
      </c>
      <c r="AL2164">
        <v>78.3553865955015</v>
      </c>
      <c r="AM2164">
        <v>94.019938726957406</v>
      </c>
      <c r="AN2164">
        <v>0.99999996451051998</v>
      </c>
    </row>
    <row r="2165" spans="1:40" x14ac:dyDescent="0.25">
      <c r="A2165" t="str">
        <f>"20190303171020152"</f>
        <v>20190303171020152</v>
      </c>
      <c r="B2165" t="str">
        <f>"1551604220142387"</f>
        <v>1551604220142387</v>
      </c>
      <c r="C2165" t="s">
        <v>40</v>
      </c>
      <c r="D2165">
        <v>4.6611219999999998</v>
      </c>
      <c r="E2165">
        <v>0.35285429999999901</v>
      </c>
      <c r="F2165" t="s">
        <v>61</v>
      </c>
      <c r="G2165">
        <v>-511.96</v>
      </c>
      <c r="H2165">
        <v>4.2609490000000001</v>
      </c>
      <c r="I2165">
        <v>221.20419999999999</v>
      </c>
      <c r="J2165">
        <v>-485.75920000000002</v>
      </c>
      <c r="K2165">
        <v>1.1366069999999999</v>
      </c>
      <c r="L2165">
        <v>279.2697</v>
      </c>
      <c r="M2165">
        <v>-0.75685909999999901</v>
      </c>
      <c r="N2165">
        <v>-1.6252369999999999E-2</v>
      </c>
      <c r="O2165">
        <v>-0.65337619999999996</v>
      </c>
      <c r="P2165">
        <v>-0.7019261</v>
      </c>
      <c r="Q2165">
        <v>0.18832360000000001</v>
      </c>
      <c r="R2165">
        <v>-0.68690220000000002</v>
      </c>
      <c r="S2165">
        <v>-1.3428960000000001</v>
      </c>
      <c r="T2165">
        <v>0.1592625</v>
      </c>
      <c r="U2165">
        <v>-2.9663089999999999</v>
      </c>
      <c r="V2165">
        <v>-6.9225999999999996E-2</v>
      </c>
      <c r="W2165">
        <v>0.20167299999999999</v>
      </c>
      <c r="X2165">
        <v>0.97700350000000002</v>
      </c>
      <c r="Y2165">
        <v>-0.42059609999999897</v>
      </c>
      <c r="Z2165">
        <v>-3.7093029999999999E-2</v>
      </c>
      <c r="AA2165">
        <v>0.9064894</v>
      </c>
      <c r="AB2165">
        <v>38</v>
      </c>
      <c r="AC2165">
        <v>-26.200799999999902</v>
      </c>
      <c r="AD2165">
        <v>3.124342</v>
      </c>
      <c r="AE2165">
        <v>-58.0655</v>
      </c>
      <c r="AF2165">
        <v>-26.767574864942301</v>
      </c>
      <c r="AG2165">
        <v>3.124342</v>
      </c>
      <c r="AH2165">
        <v>57.637907127827198</v>
      </c>
      <c r="AI2165">
        <v>87.185413794536004</v>
      </c>
      <c r="AJ2165">
        <v>114.91058949344</v>
      </c>
      <c r="AK2165">
        <v>63.626982602974998</v>
      </c>
      <c r="AL2165">
        <v>78.365191862486597</v>
      </c>
      <c r="AM2165">
        <v>94.052943379987994</v>
      </c>
      <c r="AN2165">
        <v>1.0000000385086201</v>
      </c>
    </row>
    <row r="2166" spans="1:40" x14ac:dyDescent="0.25">
      <c r="A2166" t="str">
        <f>"20190303171020163"</f>
        <v>20190303171020163</v>
      </c>
      <c r="B2166" t="str">
        <f>"1551604220153123"</f>
        <v>1551604220153123</v>
      </c>
      <c r="C2166" t="s">
        <v>40</v>
      </c>
      <c r="D2166">
        <v>4.5973790000000001</v>
      </c>
      <c r="E2166">
        <v>0.35244399999999998</v>
      </c>
      <c r="F2166" t="s">
        <v>61</v>
      </c>
      <c r="G2166">
        <v>-511.96</v>
      </c>
      <c r="H2166">
        <v>4.2585169999999897</v>
      </c>
      <c r="I2166">
        <v>220.09180000000001</v>
      </c>
      <c r="J2166">
        <v>-485.89389999999997</v>
      </c>
      <c r="K2166">
        <v>1.1366069999999999</v>
      </c>
      <c r="L2166">
        <v>279.14819999999997</v>
      </c>
      <c r="M2166">
        <v>-0.75186600000000003</v>
      </c>
      <c r="N2166">
        <v>-1.625304E-2</v>
      </c>
      <c r="O2166">
        <v>-0.65911560000000002</v>
      </c>
      <c r="P2166">
        <v>-0.69620280000000001</v>
      </c>
      <c r="Q2166">
        <v>0.18839600000000001</v>
      </c>
      <c r="R2166">
        <v>-0.69268240000000003</v>
      </c>
      <c r="S2166">
        <v>-1.3182069999999999</v>
      </c>
      <c r="T2166">
        <v>0.15707090000000001</v>
      </c>
      <c r="U2166">
        <v>-2.977325</v>
      </c>
      <c r="V2166">
        <v>-6.9888229999999996E-2</v>
      </c>
      <c r="W2166">
        <v>0.2017187</v>
      </c>
      <c r="X2166">
        <v>0.97694689999999995</v>
      </c>
      <c r="Y2166">
        <v>-0.42121579999999897</v>
      </c>
      <c r="Z2166">
        <v>-3.7163759999999997E-2</v>
      </c>
      <c r="AA2166">
        <v>0.90619870000000002</v>
      </c>
      <c r="AB2166">
        <v>38</v>
      </c>
      <c r="AC2166">
        <v>-26.066099999999999</v>
      </c>
      <c r="AD2166">
        <v>3.1219100000000002</v>
      </c>
      <c r="AE2166">
        <v>-59.056399999999897</v>
      </c>
      <c r="AF2166">
        <v>-27.161993583582401</v>
      </c>
      <c r="AG2166">
        <v>3.1219100000000002</v>
      </c>
      <c r="AH2166">
        <v>58.3943626068342</v>
      </c>
      <c r="AI2166">
        <v>87.224758378637702</v>
      </c>
      <c r="AJ2166">
        <v>114.945377372552</v>
      </c>
      <c r="AK2166">
        <v>64.478072255155993</v>
      </c>
      <c r="AL2166">
        <v>78.362518308573001</v>
      </c>
      <c r="AM2166">
        <v>94.091819846523293</v>
      </c>
      <c r="AN2166">
        <v>1.00000002202091</v>
      </c>
    </row>
    <row r="2167" spans="1:40" x14ac:dyDescent="0.25">
      <c r="A2167" t="str">
        <f>"20190303171020174"</f>
        <v>20190303171020174</v>
      </c>
      <c r="B2167" t="str">
        <f>"1551604220162883"</f>
        <v>1551604220162883</v>
      </c>
      <c r="C2167" t="s">
        <v>40</v>
      </c>
      <c r="D2167">
        <v>4.5914950000000001</v>
      </c>
      <c r="E2167">
        <v>0.35217280000000001</v>
      </c>
      <c r="F2167" t="s">
        <v>61</v>
      </c>
      <c r="G2167">
        <v>-511.96010000000001</v>
      </c>
      <c r="H2167">
        <v>4.3528929999999999</v>
      </c>
      <c r="I2167">
        <v>218.78550000000001</v>
      </c>
      <c r="J2167">
        <v>-486.03210000000001</v>
      </c>
      <c r="K2167">
        <v>1.136603</v>
      </c>
      <c r="L2167">
        <v>279.02229999999997</v>
      </c>
      <c r="M2167">
        <v>-0.74666880000000002</v>
      </c>
      <c r="N2167">
        <v>-1.6253509999999999E-2</v>
      </c>
      <c r="O2167">
        <v>-0.66499759999999997</v>
      </c>
      <c r="P2167">
        <v>-0.69027899999999998</v>
      </c>
      <c r="Q2167">
        <v>0.18844749999999999</v>
      </c>
      <c r="R2167">
        <v>-0.69857170000000002</v>
      </c>
      <c r="S2167">
        <v>-1.2911379999999999</v>
      </c>
      <c r="T2167">
        <v>0.15931439999999999</v>
      </c>
      <c r="U2167">
        <v>-2.9899290000000001</v>
      </c>
      <c r="V2167">
        <v>-7.0531150000000001E-2</v>
      </c>
      <c r="W2167">
        <v>0.2017449</v>
      </c>
      <c r="X2167">
        <v>0.97689530000000002</v>
      </c>
      <c r="Y2167">
        <v>-0.4224155</v>
      </c>
      <c r="Z2167">
        <v>-3.7900789999999997E-2</v>
      </c>
      <c r="AA2167">
        <v>0.90560949999999996</v>
      </c>
      <c r="AB2167">
        <v>38</v>
      </c>
      <c r="AC2167">
        <v>-25.928000000000001</v>
      </c>
      <c r="AD2167">
        <v>3.2162899999999999</v>
      </c>
      <c r="AE2167">
        <v>-60.236799999999903</v>
      </c>
      <c r="AF2167">
        <v>-27.671982461843999</v>
      </c>
      <c r="AG2167">
        <v>3.2162899999999999</v>
      </c>
      <c r="AH2167">
        <v>59.282206506413999</v>
      </c>
      <c r="AI2167">
        <v>87.185505416563501</v>
      </c>
      <c r="AJ2167">
        <v>115.02241130249</v>
      </c>
      <c r="AK2167">
        <v>65.501627025607604</v>
      </c>
      <c r="AL2167">
        <v>78.360985831363806</v>
      </c>
      <c r="AM2167">
        <v>94.129549300767906</v>
      </c>
      <c r="AN2167">
        <v>1.00000003747921</v>
      </c>
    </row>
    <row r="2168" spans="1:40" x14ac:dyDescent="0.25">
      <c r="A2168" t="str">
        <f>"20190303171020186"</f>
        <v>20190303171020186</v>
      </c>
      <c r="B2168" t="str">
        <f>"1551604220182406"</f>
        <v>1551604220182406</v>
      </c>
      <c r="C2168" t="s">
        <v>40</v>
      </c>
      <c r="D2168">
        <v>4.6328649999999998</v>
      </c>
      <c r="E2168">
        <v>0.35209639999999998</v>
      </c>
      <c r="F2168" t="s">
        <v>65</v>
      </c>
      <c r="G2168">
        <v>-515.44129999999996</v>
      </c>
      <c r="H2168">
        <v>4.8809420000000001</v>
      </c>
      <c r="I2168">
        <v>209.2</v>
      </c>
      <c r="J2168">
        <v>-486.17160000000001</v>
      </c>
      <c r="K2168">
        <v>1.1366000000000001</v>
      </c>
      <c r="L2168">
        <v>278.89210000000003</v>
      </c>
      <c r="M2168">
        <v>-0.74131539999999996</v>
      </c>
      <c r="N2168">
        <v>-1.625331E-2</v>
      </c>
      <c r="O2168">
        <v>-0.67096020000000001</v>
      </c>
      <c r="P2168">
        <v>-0.68414039999999998</v>
      </c>
      <c r="Q2168">
        <v>0.1886321</v>
      </c>
      <c r="R2168">
        <v>-0.70453549999999998</v>
      </c>
      <c r="S2168">
        <v>-1.264313</v>
      </c>
      <c r="T2168">
        <v>0.16097259999999999</v>
      </c>
      <c r="U2168">
        <v>-3.0016780000000001</v>
      </c>
      <c r="V2168">
        <v>-7.1220539999999999E-2</v>
      </c>
      <c r="W2168">
        <v>0.2019019</v>
      </c>
      <c r="X2168">
        <v>0.97681280000000004</v>
      </c>
      <c r="Y2168">
        <v>-0.42330449999999997</v>
      </c>
      <c r="Z2168">
        <v>-3.8569560000000003E-2</v>
      </c>
      <c r="AA2168">
        <v>0.90516609999999997</v>
      </c>
      <c r="AB2168">
        <v>38</v>
      </c>
      <c r="AC2168">
        <v>-29.269699999999901</v>
      </c>
      <c r="AD2168">
        <v>3.7443419999999898</v>
      </c>
      <c r="AE2168">
        <v>-69.692099999999996</v>
      </c>
      <c r="AF2168">
        <v>-31.9508496331614</v>
      </c>
      <c r="AG2168">
        <v>3.7443419999999898</v>
      </c>
      <c r="AH2168">
        <v>68.300146586295</v>
      </c>
      <c r="AI2168">
        <v>87.157195227276404</v>
      </c>
      <c r="AJ2168">
        <v>115.070221289085</v>
      </c>
      <c r="AK2168">
        <v>75.496933136407904</v>
      </c>
      <c r="AL2168">
        <v>78.351800887455198</v>
      </c>
      <c r="AM2168">
        <v>94.170121847285401</v>
      </c>
      <c r="AN2168">
        <v>0.99999999439266996</v>
      </c>
    </row>
    <row r="2169" spans="1:40" x14ac:dyDescent="0.25">
      <c r="A2169" t="str">
        <f>"20190303171020198"</f>
        <v>20190303171020198</v>
      </c>
      <c r="B2169" t="str">
        <f>"1551604220193139"</f>
        <v>1551604220193139</v>
      </c>
      <c r="C2169" t="s">
        <v>40</v>
      </c>
      <c r="D2169">
        <v>4.6441850000000002</v>
      </c>
      <c r="E2169">
        <v>0.35223209999999999</v>
      </c>
      <c r="F2169" t="s">
        <v>65</v>
      </c>
      <c r="G2169">
        <v>-514.28909999999996</v>
      </c>
      <c r="H2169">
        <v>4.8370389999999999</v>
      </c>
      <c r="I2169">
        <v>210.4255</v>
      </c>
      <c r="J2169">
        <v>-486.31549999999999</v>
      </c>
      <c r="K2169">
        <v>1.136598</v>
      </c>
      <c r="L2169">
        <v>278.75670000000002</v>
      </c>
      <c r="M2169">
        <v>-0.73572329999999997</v>
      </c>
      <c r="N2169">
        <v>-1.6252900000000001E-2</v>
      </c>
      <c r="O2169">
        <v>-0.677087199999999</v>
      </c>
      <c r="P2169">
        <v>-0.67798859999999905</v>
      </c>
      <c r="Q2169">
        <v>0.1890154</v>
      </c>
      <c r="R2169">
        <v>-0.71035530000000002</v>
      </c>
      <c r="S2169">
        <v>-1.237366</v>
      </c>
      <c r="T2169">
        <v>0.1628473</v>
      </c>
      <c r="U2169">
        <v>-3.0129999999999999</v>
      </c>
      <c r="V2169">
        <v>-7.1548459999999994E-2</v>
      </c>
      <c r="W2169">
        <v>0.20227120000000001</v>
      </c>
      <c r="X2169">
        <v>0.97671240000000004</v>
      </c>
      <c r="Y2169">
        <v>-0.42392249999999998</v>
      </c>
      <c r="Z2169">
        <v>-3.9296999999999999E-2</v>
      </c>
      <c r="AA2169">
        <v>0.90484549999999997</v>
      </c>
      <c r="AB2169">
        <v>38</v>
      </c>
      <c r="AC2169">
        <v>-27.973599999999902</v>
      </c>
      <c r="AD2169">
        <v>3.7004410000000001</v>
      </c>
      <c r="AE2169">
        <v>-68.331199999999995</v>
      </c>
      <c r="AF2169">
        <v>-31.257916305320901</v>
      </c>
      <c r="AG2169">
        <v>3.7004410000000001</v>
      </c>
      <c r="AH2169">
        <v>66.688336081264495</v>
      </c>
      <c r="AI2169">
        <v>87.123690869692297</v>
      </c>
      <c r="AJ2169">
        <v>115.11325617439</v>
      </c>
      <c r="AK2169">
        <v>73.743370987720795</v>
      </c>
      <c r="AL2169">
        <v>78.330195460976199</v>
      </c>
      <c r="AM2169">
        <v>94.189683191124402</v>
      </c>
      <c r="AN2169">
        <v>0.99999996639578503</v>
      </c>
    </row>
    <row r="2170" spans="1:40" x14ac:dyDescent="0.25">
      <c r="A2170" t="str">
        <f>"20190303171020209"</f>
        <v>20190303171020209</v>
      </c>
      <c r="B2170" t="str">
        <f>"1551604220202899"</f>
        <v>1551604220202899</v>
      </c>
      <c r="C2170" t="s">
        <v>40</v>
      </c>
      <c r="D2170">
        <v>4.6334619999999997</v>
      </c>
      <c r="E2170">
        <v>0.35242489999999999</v>
      </c>
      <c r="F2170" t="s">
        <v>65</v>
      </c>
      <c r="G2170">
        <v>-513.72280000000001</v>
      </c>
      <c r="H2170">
        <v>4.8430549999999997</v>
      </c>
      <c r="I2170">
        <v>210.4254</v>
      </c>
      <c r="J2170">
        <v>-486.45010000000002</v>
      </c>
      <c r="K2170">
        <v>1.136592</v>
      </c>
      <c r="L2170">
        <v>278.62700000000001</v>
      </c>
      <c r="M2170">
        <v>-0.73038359999999902</v>
      </c>
      <c r="N2170">
        <v>-1.6251809999999998E-2</v>
      </c>
      <c r="O2170">
        <v>-0.68284400000000001</v>
      </c>
      <c r="P2170">
        <v>-0.67213109999999998</v>
      </c>
      <c r="Q2170">
        <v>0.1895705</v>
      </c>
      <c r="R2170">
        <v>-0.71575349999999904</v>
      </c>
      <c r="S2170">
        <v>-1.2123109999999999</v>
      </c>
      <c r="T2170">
        <v>0.16395009999999999</v>
      </c>
      <c r="U2170">
        <v>-3.022491</v>
      </c>
      <c r="V2170">
        <v>-7.1813139999999998E-2</v>
      </c>
      <c r="W2170">
        <v>0.2028143</v>
      </c>
      <c r="X2170">
        <v>0.97658040000000002</v>
      </c>
      <c r="Y2170">
        <v>-0.42426039999999998</v>
      </c>
      <c r="Z2170">
        <v>-3.9892579999999997E-2</v>
      </c>
      <c r="AA2170">
        <v>0.9046611</v>
      </c>
      <c r="AB2170">
        <v>38</v>
      </c>
      <c r="AC2170">
        <v>-27.272699999999901</v>
      </c>
      <c r="AD2170">
        <v>3.7064629999999998</v>
      </c>
      <c r="AE2170">
        <v>-68.201599999999999</v>
      </c>
      <c r="AF2170">
        <v>-31.115218235230302</v>
      </c>
      <c r="AG2170">
        <v>3.7064629999999998</v>
      </c>
      <c r="AH2170">
        <v>66.330463985502007</v>
      </c>
      <c r="AI2170">
        <v>87.103920184894804</v>
      </c>
      <c r="AJ2170">
        <v>115.13098876093601</v>
      </c>
      <c r="AK2170">
        <v>73.3595605652621</v>
      </c>
      <c r="AL2170">
        <v>78.298420180889195</v>
      </c>
      <c r="AM2170">
        <v>94.205692985061603</v>
      </c>
      <c r="AN2170">
        <v>1.00000002251265</v>
      </c>
    </row>
    <row r="2171" spans="1:40" x14ac:dyDescent="0.25">
      <c r="A2171" t="str">
        <f>"20190303171020221"</f>
        <v>20190303171020221</v>
      </c>
      <c r="B2171" t="str">
        <f>"1551604220212659"</f>
        <v>1551604220212659</v>
      </c>
      <c r="C2171" t="s">
        <v>40</v>
      </c>
      <c r="D2171">
        <v>4.6601489999999997</v>
      </c>
      <c r="E2171">
        <v>0.35254629999999998</v>
      </c>
      <c r="F2171" t="s">
        <v>65</v>
      </c>
      <c r="G2171">
        <v>-513.19420000000002</v>
      </c>
      <c r="H2171">
        <v>4.8632849999999896</v>
      </c>
      <c r="I2171">
        <v>210.4254</v>
      </c>
      <c r="J2171">
        <v>-486.59339999999997</v>
      </c>
      <c r="K2171">
        <v>1.136585</v>
      </c>
      <c r="L2171">
        <v>278.4871</v>
      </c>
      <c r="M2171">
        <v>-0.72461690000000001</v>
      </c>
      <c r="N2171">
        <v>-1.6250230000000001E-2</v>
      </c>
      <c r="O2171">
        <v>-0.68896029999999997</v>
      </c>
      <c r="P2171">
        <v>-0.66585689999999997</v>
      </c>
      <c r="Q2171">
        <v>0.19028229999999999</v>
      </c>
      <c r="R2171">
        <v>-0.72140660000000001</v>
      </c>
      <c r="S2171">
        <v>-1.18866</v>
      </c>
      <c r="T2171">
        <v>0.16563739999999999</v>
      </c>
      <c r="U2171">
        <v>-3.03125</v>
      </c>
      <c r="V2171">
        <v>-7.2016629999999998E-2</v>
      </c>
      <c r="W2171">
        <v>0.203516</v>
      </c>
      <c r="X2171">
        <v>0.97641940000000005</v>
      </c>
      <c r="Y2171">
        <v>-0.42366369999999998</v>
      </c>
      <c r="Z2171">
        <v>-4.062735E-2</v>
      </c>
      <c r="AA2171">
        <v>0.90490800000000005</v>
      </c>
      <c r="AB2171">
        <v>38</v>
      </c>
      <c r="AC2171">
        <v>-26.6008</v>
      </c>
      <c r="AD2171">
        <v>3.7266999999999899</v>
      </c>
      <c r="AE2171">
        <v>-68.061700000000002</v>
      </c>
      <c r="AF2171">
        <v>-30.9154504020125</v>
      </c>
      <c r="AG2171">
        <v>3.7266999999999899</v>
      </c>
      <c r="AH2171">
        <v>66.004271800128805</v>
      </c>
      <c r="AI2171">
        <v>87.072974222231394</v>
      </c>
      <c r="AJ2171">
        <v>115.097715026879</v>
      </c>
      <c r="AK2171">
        <v>72.980937663985799</v>
      </c>
      <c r="AL2171">
        <v>78.257359131872406</v>
      </c>
      <c r="AM2171">
        <v>94.218260228310697</v>
      </c>
      <c r="AN2171">
        <v>1.0000000009744501</v>
      </c>
    </row>
    <row r="2172" spans="1:40" x14ac:dyDescent="0.25">
      <c r="A2172" t="str">
        <f>"20190303171020233"</f>
        <v>20190303171020233</v>
      </c>
      <c r="B2172" t="str">
        <f>"1551604220222420"</f>
        <v>1551604220222420</v>
      </c>
      <c r="C2172" t="s">
        <v>40</v>
      </c>
      <c r="D2172">
        <v>4.6662509999999999</v>
      </c>
      <c r="E2172">
        <v>0.35279369999999999</v>
      </c>
      <c r="F2172" t="s">
        <v>65</v>
      </c>
      <c r="G2172">
        <v>-512.62030000000004</v>
      </c>
      <c r="H2172">
        <v>4.9313799999999999</v>
      </c>
      <c r="I2172">
        <v>210.4254</v>
      </c>
      <c r="J2172">
        <v>-486.73070000000001</v>
      </c>
      <c r="K2172">
        <v>1.1365809999999901</v>
      </c>
      <c r="L2172">
        <v>278.35109999999997</v>
      </c>
      <c r="M2172">
        <v>-0.71900319999999995</v>
      </c>
      <c r="N2172">
        <v>-1.6248200000000001E-2</v>
      </c>
      <c r="O2172">
        <v>-0.69481689999999996</v>
      </c>
      <c r="P2172">
        <v>-0.65999019999999897</v>
      </c>
      <c r="Q2172">
        <v>0.19034400000000001</v>
      </c>
      <c r="R2172">
        <v>-0.72676160000000001</v>
      </c>
      <c r="S2172">
        <v>-1.16272</v>
      </c>
      <c r="T2172">
        <v>0.16952970000000001</v>
      </c>
      <c r="U2172">
        <v>-3.0405579999999999</v>
      </c>
      <c r="V2172">
        <v>-7.1991470000000002E-2</v>
      </c>
      <c r="W2172">
        <v>0.20357810000000001</v>
      </c>
      <c r="X2172">
        <v>0.97640830000000001</v>
      </c>
      <c r="Y2172">
        <v>-0.42399189999999998</v>
      </c>
      <c r="Z2172">
        <v>-4.1699119999999999E-2</v>
      </c>
      <c r="AA2172">
        <v>0.90470550000000005</v>
      </c>
      <c r="AB2172">
        <v>38</v>
      </c>
      <c r="AC2172">
        <v>-25.889600000000002</v>
      </c>
      <c r="AD2172">
        <v>3.7947989999999998</v>
      </c>
      <c r="AE2172">
        <v>-67.925699999999907</v>
      </c>
      <c r="AF2172">
        <v>-30.770479004818501</v>
      </c>
      <c r="AG2172">
        <v>3.7947989999999998</v>
      </c>
      <c r="AH2172">
        <v>65.640429908273504</v>
      </c>
      <c r="AI2172">
        <v>87.003538720149606</v>
      </c>
      <c r="AJ2172">
        <v>115.115927991177</v>
      </c>
      <c r="AK2172">
        <v>72.594000552244907</v>
      </c>
      <c r="AL2172">
        <v>78.253724869974903</v>
      </c>
      <c r="AM2172">
        <v>94.216839602211195</v>
      </c>
      <c r="AN2172">
        <v>0.99999999143063001</v>
      </c>
    </row>
    <row r="2173" spans="1:40" x14ac:dyDescent="0.25">
      <c r="A2173" t="str">
        <f>"20190303171020242"</f>
        <v>20190303171020242</v>
      </c>
      <c r="B2173" t="str">
        <f>"1551604220233156"</f>
        <v>1551604220233156</v>
      </c>
      <c r="C2173" t="s">
        <v>40</v>
      </c>
      <c r="D2173">
        <v>4.6909289999999997</v>
      </c>
      <c r="E2173">
        <v>0.3530856</v>
      </c>
      <c r="F2173" t="s">
        <v>65</v>
      </c>
      <c r="G2173">
        <v>-512.13</v>
      </c>
      <c r="H2173">
        <v>4.9253140000000002</v>
      </c>
      <c r="I2173">
        <v>210.4254</v>
      </c>
      <c r="J2173">
        <v>-486.84359999999998</v>
      </c>
      <c r="K2173">
        <v>1.1365700000000001</v>
      </c>
      <c r="L2173">
        <v>278.23719999999997</v>
      </c>
      <c r="M2173">
        <v>-0.71431230000000001</v>
      </c>
      <c r="N2173">
        <v>-1.6246E-2</v>
      </c>
      <c r="O2173">
        <v>-0.69963850000000005</v>
      </c>
      <c r="P2173">
        <v>-0.6547984</v>
      </c>
      <c r="Q2173">
        <v>0.19046350000000001</v>
      </c>
      <c r="R2173">
        <v>-0.73141160000000005</v>
      </c>
      <c r="S2173">
        <v>-1.139832</v>
      </c>
      <c r="T2173">
        <v>0.17002679999999901</v>
      </c>
      <c r="U2173">
        <v>-3.0482480000000001</v>
      </c>
      <c r="V2173">
        <v>-7.2353009999999995E-2</v>
      </c>
      <c r="W2173">
        <v>0.20368269999999999</v>
      </c>
      <c r="X2173">
        <v>0.9763598</v>
      </c>
      <c r="Y2173">
        <v>-0.42461100000000002</v>
      </c>
      <c r="Z2173">
        <v>-4.2144269999999998E-2</v>
      </c>
      <c r="AA2173">
        <v>0.90439449999999999</v>
      </c>
      <c r="AB2173">
        <v>38</v>
      </c>
      <c r="AC2173">
        <v>-25.2864</v>
      </c>
      <c r="AD2173">
        <v>3.7887439999999999</v>
      </c>
      <c r="AE2173">
        <v>-67.811799999999906</v>
      </c>
      <c r="AF2173">
        <v>-30.667476078422101</v>
      </c>
      <c r="AG2173">
        <v>3.7887439999999999</v>
      </c>
      <c r="AH2173">
        <v>65.335722094838005</v>
      </c>
      <c r="AI2173">
        <v>86.995087514066299</v>
      </c>
      <c r="AJ2173">
        <v>115.144561534644</v>
      </c>
      <c r="AK2173">
        <v>72.274513154860003</v>
      </c>
      <c r="AL2173">
        <v>78.247603931012904</v>
      </c>
      <c r="AM2173">
        <v>94.238149289640901</v>
      </c>
      <c r="AN2173">
        <v>1.0000000296956899</v>
      </c>
    </row>
    <row r="2174" spans="1:40" x14ac:dyDescent="0.25">
      <c r="A2174" t="str">
        <f>"20190303171020252"</f>
        <v>20190303171020252</v>
      </c>
      <c r="B2174" t="str">
        <f>"1551604220242916"</f>
        <v>1551604220242916</v>
      </c>
      <c r="C2174" t="s">
        <v>40</v>
      </c>
      <c r="D2174">
        <v>4.6779469999999996</v>
      </c>
      <c r="E2174">
        <v>0.35339559999999998</v>
      </c>
      <c r="F2174" t="s">
        <v>65</v>
      </c>
      <c r="G2174">
        <v>-511.69349999999997</v>
      </c>
      <c r="H2174">
        <v>4.9149349999999998</v>
      </c>
      <c r="I2174">
        <v>210.4254</v>
      </c>
      <c r="J2174">
        <v>-486.96600000000001</v>
      </c>
      <c r="K2174">
        <v>1.13656</v>
      </c>
      <c r="L2174">
        <v>278.11239999999998</v>
      </c>
      <c r="M2174">
        <v>-0.7091596</v>
      </c>
      <c r="N2174">
        <v>-1.624341E-2</v>
      </c>
      <c r="O2174">
        <v>-0.70486110000000002</v>
      </c>
      <c r="P2174">
        <v>-0.64904300000000004</v>
      </c>
      <c r="Q2174">
        <v>0.19012109999999999</v>
      </c>
      <c r="R2174">
        <v>-0.7366123</v>
      </c>
      <c r="S2174">
        <v>-1.1195679999999999</v>
      </c>
      <c r="T2174">
        <v>0.17022899999999999</v>
      </c>
      <c r="U2174">
        <v>-3.0551149999999998</v>
      </c>
      <c r="V2174">
        <v>-7.2889860000000001E-2</v>
      </c>
      <c r="W2174">
        <v>0.20331859999999999</v>
      </c>
      <c r="X2174">
        <v>0.97639569999999998</v>
      </c>
      <c r="Y2174">
        <v>-0.42391640000000003</v>
      </c>
      <c r="Z2174">
        <v>-4.2589729999999999E-2</v>
      </c>
      <c r="AA2174">
        <v>0.90469940000000004</v>
      </c>
      <c r="AB2174">
        <v>38</v>
      </c>
      <c r="AC2174">
        <v>-24.7274999999999</v>
      </c>
      <c r="AD2174">
        <v>3.778375</v>
      </c>
      <c r="AE2174">
        <v>-67.686999999999898</v>
      </c>
      <c r="AF2174">
        <v>-30.491636310967198</v>
      </c>
      <c r="AG2174">
        <v>3.778375</v>
      </c>
      <c r="AH2174">
        <v>65.075374875506697</v>
      </c>
      <c r="AI2174">
        <v>86.990377676551205</v>
      </c>
      <c r="AJ2174">
        <v>115.105850396975</v>
      </c>
      <c r="AK2174">
        <v>71.964021689651702</v>
      </c>
      <c r="AL2174">
        <v>78.268910518085903</v>
      </c>
      <c r="AM2174">
        <v>94.269323557362199</v>
      </c>
      <c r="AN2174">
        <v>0.99999997388763395</v>
      </c>
    </row>
    <row r="2175" spans="1:40" x14ac:dyDescent="0.25">
      <c r="A2175" t="str">
        <f>"20190303171020264"</f>
        <v>20190303171020264</v>
      </c>
      <c r="B2175" t="str">
        <f>"1551604220252675"</f>
        <v>1551604220252675</v>
      </c>
      <c r="C2175" t="s">
        <v>40</v>
      </c>
      <c r="D2175">
        <v>4.659662</v>
      </c>
      <c r="E2175">
        <v>0.35339559999999998</v>
      </c>
      <c r="F2175" t="s">
        <v>65</v>
      </c>
      <c r="G2175">
        <v>-511.2457</v>
      </c>
      <c r="H2175">
        <v>4.8554719999999998</v>
      </c>
      <c r="I2175">
        <v>210.4254</v>
      </c>
      <c r="J2175">
        <v>-487.0958</v>
      </c>
      <c r="K2175">
        <v>1.1365449999999999</v>
      </c>
      <c r="L2175">
        <v>277.97730000000001</v>
      </c>
      <c r="M2175">
        <v>-0.70360230000000001</v>
      </c>
      <c r="N2175">
        <v>-1.6239880000000002E-2</v>
      </c>
      <c r="O2175">
        <v>-0.7104085</v>
      </c>
      <c r="P2175">
        <v>-0.64302459999999995</v>
      </c>
      <c r="Q2175">
        <v>0.1895512</v>
      </c>
      <c r="R2175">
        <v>-0.7420175</v>
      </c>
      <c r="S2175">
        <v>-1.098236</v>
      </c>
      <c r="T2175">
        <v>0.16821839999999999</v>
      </c>
      <c r="U2175">
        <v>-3.0616460000000001</v>
      </c>
      <c r="V2175">
        <v>-7.324485E-2</v>
      </c>
      <c r="W2175">
        <v>0.20273450000000001</v>
      </c>
      <c r="X2175">
        <v>0.97649059999999999</v>
      </c>
      <c r="Y2175">
        <v>-0.42299589999999998</v>
      </c>
      <c r="Z2175">
        <v>-4.269328E-2</v>
      </c>
      <c r="AA2175">
        <v>0.90512530000000002</v>
      </c>
      <c r="AB2175">
        <v>38</v>
      </c>
      <c r="AC2175">
        <v>-24.149899999999999</v>
      </c>
      <c r="AD2175">
        <v>3.7189269999999999</v>
      </c>
      <c r="AE2175">
        <v>-67.551900000000003</v>
      </c>
      <c r="AF2175">
        <v>-30.2959654105886</v>
      </c>
      <c r="AG2175">
        <v>3.7189269999999999</v>
      </c>
      <c r="AH2175">
        <v>64.815751256928294</v>
      </c>
      <c r="AI2175">
        <v>87.024498722960999</v>
      </c>
      <c r="AJ2175">
        <v>115.052172609331</v>
      </c>
      <c r="AK2175">
        <v>71.643265902601897</v>
      </c>
      <c r="AL2175">
        <v>78.303088983533797</v>
      </c>
      <c r="AM2175">
        <v>94.289623313585494</v>
      </c>
      <c r="AN2175">
        <v>0.99999998871506601</v>
      </c>
    </row>
    <row r="2176" spans="1:40" x14ac:dyDescent="0.25">
      <c r="A2176" t="str">
        <f>"20190303171020276"</f>
        <v>20190303171020276</v>
      </c>
      <c r="B2176" t="str">
        <f>"1551604220262435"</f>
        <v>1551604220262435</v>
      </c>
      <c r="C2176" t="s">
        <v>40</v>
      </c>
      <c r="D2176">
        <v>4.7094269999999998</v>
      </c>
      <c r="E2176">
        <v>0.36694260000000001</v>
      </c>
      <c r="F2176" t="s">
        <v>65</v>
      </c>
      <c r="G2176">
        <v>-511.06029999999998</v>
      </c>
      <c r="H2176">
        <v>4.8319979999999996</v>
      </c>
      <c r="I2176">
        <v>209.38399999999999</v>
      </c>
      <c r="J2176">
        <v>-487.2278</v>
      </c>
      <c r="K2176">
        <v>1.1365339999999999</v>
      </c>
      <c r="L2176">
        <v>277.839</v>
      </c>
      <c r="M2176">
        <v>-0.69788799999999995</v>
      </c>
      <c r="N2176">
        <v>-1.6236199999999999E-2</v>
      </c>
      <c r="O2176">
        <v>-0.71602279999999996</v>
      </c>
      <c r="P2176">
        <v>-0.63664940000000003</v>
      </c>
      <c r="Q2176">
        <v>0.18904860000000001</v>
      </c>
      <c r="R2176">
        <v>-0.74762169999999994</v>
      </c>
      <c r="S2176">
        <v>-1.0729059999999999</v>
      </c>
      <c r="T2176">
        <v>0.16544990000000001</v>
      </c>
      <c r="U2176">
        <v>-3.0709529999999998</v>
      </c>
      <c r="V2176">
        <v>-7.3842519999999995E-2</v>
      </c>
      <c r="W2176">
        <v>0.2022082</v>
      </c>
      <c r="X2176">
        <v>0.97655479999999995</v>
      </c>
      <c r="Y2176">
        <v>-0.42323729999999998</v>
      </c>
      <c r="Z2176">
        <v>-4.2634070000000003E-2</v>
      </c>
      <c r="AA2176">
        <v>0.90501520000000002</v>
      </c>
      <c r="AB2176">
        <v>38</v>
      </c>
      <c r="AC2176">
        <v>-23.8324999999999</v>
      </c>
      <c r="AD2176">
        <v>3.6954639999999999</v>
      </c>
      <c r="AE2176">
        <v>-68.454999999999899</v>
      </c>
      <c r="AF2176">
        <v>-30.633735749888501</v>
      </c>
      <c r="AG2176">
        <v>3.6954639999999999</v>
      </c>
      <c r="AH2176">
        <v>65.486201043474097</v>
      </c>
      <c r="AI2176">
        <v>87.073873991152396</v>
      </c>
      <c r="AJ2176">
        <v>115.069684008141</v>
      </c>
      <c r="AK2176">
        <v>72.391468746500806</v>
      </c>
      <c r="AL2176">
        <v>78.333882550879594</v>
      </c>
      <c r="AM2176">
        <v>94.324210704196105</v>
      </c>
      <c r="AN2176">
        <v>1.00000007565511</v>
      </c>
    </row>
    <row r="2177" spans="1:40" x14ac:dyDescent="0.25">
      <c r="A2177" t="str">
        <f>"20190303171020287"</f>
        <v>20190303171020287</v>
      </c>
      <c r="B2177" t="str">
        <f>"1551604220282932"</f>
        <v>1551604220282932</v>
      </c>
      <c r="C2177" t="s">
        <v>40</v>
      </c>
      <c r="D2177">
        <v>4.6934550000000002</v>
      </c>
      <c r="E2177">
        <v>0.36831809999999998</v>
      </c>
      <c r="F2177" t="s">
        <v>65</v>
      </c>
      <c r="G2177">
        <v>-512.53219999999999</v>
      </c>
      <c r="H2177">
        <v>3.7271969999999999</v>
      </c>
      <c r="I2177">
        <v>210.4254</v>
      </c>
      <c r="J2177">
        <v>-487.35599999999999</v>
      </c>
      <c r="K2177">
        <v>1.1365130000000001</v>
      </c>
      <c r="L2177">
        <v>277.70080000000002</v>
      </c>
      <c r="M2177">
        <v>-0.69221449999999995</v>
      </c>
      <c r="N2177">
        <v>-1.6231550000000001E-2</v>
      </c>
      <c r="O2177">
        <v>-0.72150930000000002</v>
      </c>
      <c r="P2177">
        <v>-0.63028739999999905</v>
      </c>
      <c r="Q2177">
        <v>0.18886890000000001</v>
      </c>
      <c r="R2177">
        <v>-0.7530384</v>
      </c>
      <c r="S2177">
        <v>-1.133057</v>
      </c>
      <c r="T2177">
        <v>0.116004</v>
      </c>
      <c r="U2177">
        <v>-3.0185550000000001</v>
      </c>
      <c r="V2177">
        <v>-7.4431490000000003E-2</v>
      </c>
      <c r="W2177">
        <v>0.20200360000000001</v>
      </c>
      <c r="X2177">
        <v>0.97655239999999999</v>
      </c>
      <c r="Y2177">
        <v>-0.39490969999999997</v>
      </c>
      <c r="Z2177">
        <v>-3.4839679999999998E-2</v>
      </c>
      <c r="AA2177">
        <v>0.91805910000000002</v>
      </c>
      <c r="AB2177">
        <v>38</v>
      </c>
      <c r="AC2177">
        <v>-25.176199999999898</v>
      </c>
      <c r="AD2177">
        <v>2.590684</v>
      </c>
      <c r="AE2177">
        <v>-67.275400000000005</v>
      </c>
      <c r="AF2177">
        <v>-28.370983131803101</v>
      </c>
      <c r="AG2177">
        <v>2.590684</v>
      </c>
      <c r="AH2177">
        <v>65.890140884267495</v>
      </c>
      <c r="AI2177">
        <v>87.931785234701906</v>
      </c>
      <c r="AJ2177">
        <v>113.295749375884</v>
      </c>
      <c r="AK2177">
        <v>71.785339681591907</v>
      </c>
      <c r="AL2177">
        <v>78.345851921664007</v>
      </c>
      <c r="AM2177">
        <v>94.358579017280604</v>
      </c>
      <c r="AN2177">
        <v>1.00000004553116</v>
      </c>
    </row>
    <row r="2178" spans="1:40" x14ac:dyDescent="0.25">
      <c r="A2178" t="str">
        <f>"20190303171020300"</f>
        <v>20190303171020300</v>
      </c>
      <c r="B2178" t="str">
        <f>"1551604220292692"</f>
        <v>1551604220292692</v>
      </c>
      <c r="C2178" t="s">
        <v>40</v>
      </c>
      <c r="D2178">
        <v>4.6636410000000001</v>
      </c>
      <c r="E2178">
        <v>0.368454</v>
      </c>
      <c r="F2178" t="s">
        <v>65</v>
      </c>
      <c r="G2178">
        <v>-512.21410000000003</v>
      </c>
      <c r="H2178">
        <v>3.527193</v>
      </c>
      <c r="I2178">
        <v>210.4254</v>
      </c>
      <c r="J2178">
        <v>-487.49520000000001</v>
      </c>
      <c r="K2178">
        <v>1.1364920000000001</v>
      </c>
      <c r="L2178">
        <v>277.54950000000002</v>
      </c>
      <c r="M2178">
        <v>-0.68598190000000003</v>
      </c>
      <c r="N2178">
        <v>-1.6226419999999998E-2</v>
      </c>
      <c r="O2178">
        <v>-0.72743769999999996</v>
      </c>
      <c r="P2178">
        <v>-0.62361330000000004</v>
      </c>
      <c r="Q2178">
        <v>0.18879750000000001</v>
      </c>
      <c r="R2178">
        <v>-0.7585925</v>
      </c>
      <c r="S2178">
        <v>-1.11673</v>
      </c>
      <c r="T2178">
        <v>0.1074016</v>
      </c>
      <c r="U2178">
        <v>-3.022278</v>
      </c>
      <c r="V2178">
        <v>-7.4653510000000006E-2</v>
      </c>
      <c r="W2178">
        <v>0.20192189999999999</v>
      </c>
      <c r="X2178">
        <v>0.97655230000000004</v>
      </c>
      <c r="Y2178">
        <v>-0.3917023</v>
      </c>
      <c r="Z2178">
        <v>-3.364371E-2</v>
      </c>
      <c r="AA2178">
        <v>0.91947670000000004</v>
      </c>
      <c r="AB2178">
        <v>38</v>
      </c>
      <c r="AC2178">
        <v>-24.718900000000001</v>
      </c>
      <c r="AD2178">
        <v>2.390701</v>
      </c>
      <c r="AE2178">
        <v>-67.124099999999999</v>
      </c>
      <c r="AF2178">
        <v>-28.0368343925538</v>
      </c>
      <c r="AG2178">
        <v>2.390701</v>
      </c>
      <c r="AH2178">
        <v>65.720567230935899</v>
      </c>
      <c r="AI2178">
        <v>88.083639987018699</v>
      </c>
      <c r="AJ2178">
        <v>113.103420167216</v>
      </c>
      <c r="AK2178">
        <v>71.491065813728497</v>
      </c>
      <c r="AL2178">
        <v>78.350630909951406</v>
      </c>
      <c r="AM2178">
        <v>94.371530246931002</v>
      </c>
      <c r="AN2178">
        <v>0.99999999744511003</v>
      </c>
    </row>
    <row r="2179" spans="1:40" x14ac:dyDescent="0.25">
      <c r="A2179" t="str">
        <f>"20190303171020309"</f>
        <v>20190303171020309</v>
      </c>
      <c r="B2179" t="str">
        <f>"1551604220302958"</f>
        <v>1551604220302958</v>
      </c>
      <c r="C2179" t="s">
        <v>40</v>
      </c>
      <c r="D2179">
        <v>4.7226800000000004</v>
      </c>
      <c r="E2179">
        <v>0.3688613</v>
      </c>
      <c r="F2179" t="s">
        <v>65</v>
      </c>
      <c r="G2179">
        <v>-511.64699999999999</v>
      </c>
      <c r="H2179">
        <v>3.55423</v>
      </c>
      <c r="I2179">
        <v>210.4254</v>
      </c>
      <c r="J2179">
        <v>-487.6112</v>
      </c>
      <c r="K2179">
        <v>1.1364799999999999</v>
      </c>
      <c r="L2179">
        <v>277.42090000000002</v>
      </c>
      <c r="M2179">
        <v>-0.68069769999999996</v>
      </c>
      <c r="N2179">
        <v>-1.6221530000000001E-2</v>
      </c>
      <c r="O2179">
        <v>-0.73238499999999995</v>
      </c>
      <c r="P2179">
        <v>-0.61800459999999902</v>
      </c>
      <c r="Q2179">
        <v>0.18861420000000001</v>
      </c>
      <c r="R2179">
        <v>-0.7632139</v>
      </c>
      <c r="S2179">
        <v>-1.090576</v>
      </c>
      <c r="T2179">
        <v>0.1091752</v>
      </c>
      <c r="U2179">
        <v>-3.0309750000000002</v>
      </c>
      <c r="V2179">
        <v>-7.4796189999999999E-2</v>
      </c>
      <c r="W2179">
        <v>0.20173179999999999</v>
      </c>
      <c r="X2179">
        <v>0.97658069999999997</v>
      </c>
      <c r="Y2179">
        <v>-0.39291209999999999</v>
      </c>
      <c r="Z2179">
        <v>-3.4225619999999998E-2</v>
      </c>
      <c r="AA2179">
        <v>0.9189389</v>
      </c>
      <c r="AB2179">
        <v>38</v>
      </c>
      <c r="AC2179">
        <v>-24.035799999999899</v>
      </c>
      <c r="AD2179">
        <v>2.4177499999999998</v>
      </c>
      <c r="AE2179">
        <v>-66.995500000000007</v>
      </c>
      <c r="AF2179">
        <v>-27.971629140729</v>
      </c>
      <c r="AG2179">
        <v>2.4177499999999998</v>
      </c>
      <c r="AH2179">
        <v>65.360797412164999</v>
      </c>
      <c r="AI2179">
        <v>88.052264808391399</v>
      </c>
      <c r="AJ2179">
        <v>113.168856054617</v>
      </c>
      <c r="AK2179">
        <v>71.135725133037496</v>
      </c>
      <c r="AL2179">
        <v>78.361752031378899</v>
      </c>
      <c r="AM2179">
        <v>94.379725890384293</v>
      </c>
      <c r="AN2179">
        <v>1.00000002639112</v>
      </c>
    </row>
    <row r="2180" spans="1:40" x14ac:dyDescent="0.25">
      <c r="A2180" t="str">
        <f>"20190303171020320"</f>
        <v>20190303171020320</v>
      </c>
      <c r="B2180" t="str">
        <f>"1551604220312718"</f>
        <v>1551604220312718</v>
      </c>
      <c r="C2180" t="s">
        <v>40</v>
      </c>
      <c r="D2180">
        <v>4.7503909999999996</v>
      </c>
      <c r="E2180">
        <v>0.3692705</v>
      </c>
      <c r="F2180" t="s">
        <v>65</v>
      </c>
      <c r="G2180">
        <v>-511.23169999999999</v>
      </c>
      <c r="H2180">
        <v>3.5366490000000002</v>
      </c>
      <c r="I2180">
        <v>210.4255</v>
      </c>
      <c r="J2180">
        <v>-487.72160000000002</v>
      </c>
      <c r="K2180">
        <v>1.136463</v>
      </c>
      <c r="L2180">
        <v>277.2971</v>
      </c>
      <c r="M2180">
        <v>-0.67560900000000002</v>
      </c>
      <c r="N2180">
        <v>-1.6216709999999999E-2</v>
      </c>
      <c r="O2180">
        <v>-0.73708169999999995</v>
      </c>
      <c r="P2180">
        <v>-0.61250419999999905</v>
      </c>
      <c r="Q2180">
        <v>0.18879560000000001</v>
      </c>
      <c r="R2180">
        <v>-0.767590199999999</v>
      </c>
      <c r="S2180">
        <v>-1.0707089999999999</v>
      </c>
      <c r="T2180">
        <v>0.10880099999999999</v>
      </c>
      <c r="U2180">
        <v>-3.0368650000000001</v>
      </c>
      <c r="V2180">
        <v>-7.5018420000000002E-2</v>
      </c>
      <c r="W2180">
        <v>0.20190179999999999</v>
      </c>
      <c r="X2180">
        <v>0.97652850000000002</v>
      </c>
      <c r="Y2180">
        <v>-0.3924473</v>
      </c>
      <c r="Z2180">
        <v>-3.4415710000000002E-2</v>
      </c>
      <c r="AA2180">
        <v>0.91913040000000001</v>
      </c>
      <c r="AB2180">
        <v>38</v>
      </c>
      <c r="AC2180">
        <v>-23.510099999999898</v>
      </c>
      <c r="AD2180">
        <v>2.4001860000000002</v>
      </c>
      <c r="AE2180">
        <v>-66.871600000000001</v>
      </c>
      <c r="AF2180">
        <v>-27.821954676100901</v>
      </c>
      <c r="AG2180">
        <v>2.4001860000000002</v>
      </c>
      <c r="AH2180">
        <v>65.107392254235407</v>
      </c>
      <c r="AI2180">
        <v>88.058439443393596</v>
      </c>
      <c r="AJ2180">
        <v>113.138183924663</v>
      </c>
      <c r="AK2180">
        <v>70.843451221552399</v>
      </c>
      <c r="AL2180">
        <v>78.351806871625399</v>
      </c>
      <c r="AM2180">
        <v>94.392921706301607</v>
      </c>
      <c r="AN2180">
        <v>1.0000000057473899</v>
      </c>
    </row>
    <row r="2181" spans="1:40" x14ac:dyDescent="0.25">
      <c r="A2181" t="str">
        <f>"20190303171020331"</f>
        <v>20190303171020331</v>
      </c>
      <c r="B2181" t="str">
        <f>"1551604220322478"</f>
        <v>1551604220322478</v>
      </c>
      <c r="C2181" t="s">
        <v>40</v>
      </c>
      <c r="D2181">
        <v>4.7405249999999999</v>
      </c>
      <c r="E2181">
        <v>0.36988300000000002</v>
      </c>
      <c r="F2181" t="s">
        <v>65</v>
      </c>
      <c r="G2181">
        <v>-511.05990000000003</v>
      </c>
      <c r="H2181">
        <v>3.6533959999999999</v>
      </c>
      <c r="I2181">
        <v>209.7636</v>
      </c>
      <c r="J2181">
        <v>-487.84449999999998</v>
      </c>
      <c r="K2181">
        <v>1.1364430000000001</v>
      </c>
      <c r="L2181">
        <v>277.15690000000001</v>
      </c>
      <c r="M2181">
        <v>-0.66985289999999997</v>
      </c>
      <c r="N2181">
        <v>-1.621088E-2</v>
      </c>
      <c r="O2181">
        <v>-0.7423168</v>
      </c>
      <c r="P2181">
        <v>-0.60633539999999997</v>
      </c>
      <c r="Q2181">
        <v>0.1893823</v>
      </c>
      <c r="R2181">
        <v>-0.77232869999999998</v>
      </c>
      <c r="S2181">
        <v>-1.0511779999999999</v>
      </c>
      <c r="T2181">
        <v>0.1133668</v>
      </c>
      <c r="U2181">
        <v>-3.0417480000000001</v>
      </c>
      <c r="V2181">
        <v>-7.5157810000000005E-2</v>
      </c>
      <c r="W2181">
        <v>0.20247999999999999</v>
      </c>
      <c r="X2181">
        <v>0.97639810000000005</v>
      </c>
      <c r="Y2181">
        <v>-0.3910323</v>
      </c>
      <c r="Z2181">
        <v>-3.5571680000000001E-2</v>
      </c>
      <c r="AA2181">
        <v>0.91968930000000004</v>
      </c>
      <c r="AB2181">
        <v>38</v>
      </c>
      <c r="AC2181">
        <v>-23.215399999999999</v>
      </c>
      <c r="AD2181">
        <v>2.516953</v>
      </c>
      <c r="AE2181">
        <v>-67.393299999999996</v>
      </c>
      <c r="AF2181">
        <v>-27.8793234404638</v>
      </c>
      <c r="AG2181">
        <v>2.516953</v>
      </c>
      <c r="AH2181">
        <v>65.505026976166505</v>
      </c>
      <c r="AI2181">
        <v>87.975156315453305</v>
      </c>
      <c r="AJ2181">
        <v>113.054888079359</v>
      </c>
      <c r="AK2181">
        <v>71.235526860201603</v>
      </c>
      <c r="AL2181">
        <v>78.3179802948477</v>
      </c>
      <c r="AM2181">
        <v>94.401637513864799</v>
      </c>
      <c r="AN2181">
        <v>1.0000000482438001</v>
      </c>
    </row>
    <row r="2182" spans="1:40" x14ac:dyDescent="0.25">
      <c r="A2182" t="str">
        <f>"20190303171020342"</f>
        <v>20190303171020342</v>
      </c>
      <c r="B2182" t="str">
        <f>"1551604220333214"</f>
        <v>1551604220333214</v>
      </c>
      <c r="C2182" t="s">
        <v>40</v>
      </c>
      <c r="D2182">
        <v>4.7376319999999996</v>
      </c>
      <c r="E2182">
        <v>0.37051279999999998</v>
      </c>
      <c r="F2182" t="s">
        <v>65</v>
      </c>
      <c r="G2182">
        <v>-511.05990000000003</v>
      </c>
      <c r="H2182">
        <v>3.7047629999999998</v>
      </c>
      <c r="I2182">
        <v>208.5316</v>
      </c>
      <c r="J2182">
        <v>-487.96379999999999</v>
      </c>
      <c r="K2182">
        <v>1.1364209999999999</v>
      </c>
      <c r="L2182">
        <v>277.01870000000002</v>
      </c>
      <c r="M2182">
        <v>-0.66418529999999998</v>
      </c>
      <c r="N2182">
        <v>-1.6204779999999998E-2</v>
      </c>
      <c r="O2182">
        <v>-0.74739250000000002</v>
      </c>
      <c r="P2182">
        <v>-0.60043780000000002</v>
      </c>
      <c r="Q2182">
        <v>0.1893601</v>
      </c>
      <c r="R2182">
        <v>-0.77692830000000002</v>
      </c>
      <c r="S2182">
        <v>-1.030823</v>
      </c>
      <c r="T2182">
        <v>0.1140419</v>
      </c>
      <c r="U2182">
        <v>-3.0471189999999999</v>
      </c>
      <c r="V2182">
        <v>-7.5152609999999995E-2</v>
      </c>
      <c r="W2182">
        <v>0.20245569999999999</v>
      </c>
      <c r="X2182">
        <v>0.97640349999999998</v>
      </c>
      <c r="Y2182">
        <v>-0.39003500000000002</v>
      </c>
      <c r="Z2182">
        <v>-3.5994520000000002E-2</v>
      </c>
      <c r="AA2182">
        <v>0.92009620000000003</v>
      </c>
      <c r="AB2182">
        <v>38</v>
      </c>
      <c r="AC2182">
        <v>-23.0961</v>
      </c>
      <c r="AD2182">
        <v>2.5683419999999999</v>
      </c>
      <c r="AE2182">
        <v>-68.487099999999998</v>
      </c>
      <c r="AF2182">
        <v>-28.194374459011001</v>
      </c>
      <c r="AG2182">
        <v>2.5683419999999999</v>
      </c>
      <c r="AH2182">
        <v>66.451652616958896</v>
      </c>
      <c r="AI2182">
        <v>87.962289794031904</v>
      </c>
      <c r="AJ2182">
        <v>112.990736626687</v>
      </c>
      <c r="AK2182">
        <v>72.231165484774493</v>
      </c>
      <c r="AL2182">
        <v>78.319401575238501</v>
      </c>
      <c r="AM2182">
        <v>94.401309925200295</v>
      </c>
      <c r="AN2182">
        <v>1.0000000100322699</v>
      </c>
    </row>
    <row r="2183" spans="1:40" x14ac:dyDescent="0.25">
      <c r="A2183" t="str">
        <f>"20190303171020353"</f>
        <v>20190303171020353</v>
      </c>
      <c r="B2183" t="str">
        <f>"1551604220342974"</f>
        <v>1551604220342974</v>
      </c>
      <c r="C2183" t="s">
        <v>40</v>
      </c>
      <c r="D2183">
        <v>4.7759019999999897</v>
      </c>
      <c r="E2183">
        <v>0.37070839999999999</v>
      </c>
      <c r="F2183" t="s">
        <v>65</v>
      </c>
      <c r="G2183">
        <v>-511.05990000000003</v>
      </c>
      <c r="H2183">
        <v>3.695214</v>
      </c>
      <c r="I2183">
        <v>207.34190000000001</v>
      </c>
      <c r="J2183">
        <v>-488.08359999999999</v>
      </c>
      <c r="K2183">
        <v>1.136396</v>
      </c>
      <c r="L2183">
        <v>276.87819999999999</v>
      </c>
      <c r="M2183">
        <v>-0.65842219999999996</v>
      </c>
      <c r="N2183">
        <v>-1.619843E-2</v>
      </c>
      <c r="O2183">
        <v>-0.75247439999999999</v>
      </c>
      <c r="P2183">
        <v>-0.59402819999999901</v>
      </c>
      <c r="Q2183">
        <v>0.18962519999999999</v>
      </c>
      <c r="R2183">
        <v>-0.78177569999999996</v>
      </c>
      <c r="S2183">
        <v>-1.011719</v>
      </c>
      <c r="T2183">
        <v>0.1120893</v>
      </c>
      <c r="U2183">
        <v>-3.052155</v>
      </c>
      <c r="V2183">
        <v>-7.5635709999999995E-2</v>
      </c>
      <c r="W2183">
        <v>0.20269899999999999</v>
      </c>
      <c r="X2183">
        <v>0.97631570000000001</v>
      </c>
      <c r="Y2183">
        <v>-0.38859310000000002</v>
      </c>
      <c r="Z2183">
        <v>-3.5917600000000001E-2</v>
      </c>
      <c r="AA2183">
        <v>0.92070909999999995</v>
      </c>
      <c r="AB2183">
        <v>38</v>
      </c>
      <c r="AC2183">
        <v>-22.976299999999998</v>
      </c>
      <c r="AD2183">
        <v>2.558818</v>
      </c>
      <c r="AE2183">
        <v>-69.536299999999898</v>
      </c>
      <c r="AF2183">
        <v>-28.464156749201202</v>
      </c>
      <c r="AG2183">
        <v>2.558818</v>
      </c>
      <c r="AH2183">
        <v>67.378987838404996</v>
      </c>
      <c r="AI2183">
        <v>87.996439141079804</v>
      </c>
      <c r="AJ2183">
        <v>112.901557145797</v>
      </c>
      <c r="AK2183">
        <v>73.189369249421404</v>
      </c>
      <c r="AL2183">
        <v>78.305166192462707</v>
      </c>
      <c r="AM2183">
        <v>94.4298871780463</v>
      </c>
      <c r="AN2183">
        <v>0.99999999564734698</v>
      </c>
    </row>
    <row r="2184" spans="1:40" x14ac:dyDescent="0.25">
      <c r="A2184" t="str">
        <f>"20190303171020365"</f>
        <v>20190303171020365</v>
      </c>
      <c r="B2184" t="str">
        <f>"1551604220352734"</f>
        <v>1551604220352734</v>
      </c>
      <c r="C2184" t="s">
        <v>40</v>
      </c>
      <c r="D2184">
        <v>4.8115790000000001</v>
      </c>
      <c r="E2184">
        <v>0.3710598</v>
      </c>
      <c r="F2184" t="s">
        <v>65</v>
      </c>
      <c r="G2184">
        <v>-511.92649999999998</v>
      </c>
      <c r="H2184">
        <v>3.8911859999999998</v>
      </c>
      <c r="I2184">
        <v>203.0624</v>
      </c>
      <c r="J2184">
        <v>-488.20400000000001</v>
      </c>
      <c r="K2184">
        <v>1.136369</v>
      </c>
      <c r="L2184">
        <v>276.73360000000002</v>
      </c>
      <c r="M2184">
        <v>-0.65252049999999995</v>
      </c>
      <c r="N2184">
        <v>-1.6191279999999999E-2</v>
      </c>
      <c r="O2184">
        <v>-0.7575982</v>
      </c>
      <c r="P2184">
        <v>-0.58753250000000001</v>
      </c>
      <c r="Q2184">
        <v>0.1895038</v>
      </c>
      <c r="R2184">
        <v>-0.78669829999999996</v>
      </c>
      <c r="S2184">
        <v>-0.98806760000000005</v>
      </c>
      <c r="T2184">
        <v>0.1141621</v>
      </c>
      <c r="U2184">
        <v>-3.0589599999999999</v>
      </c>
      <c r="V2184">
        <v>-7.609233E-2</v>
      </c>
      <c r="W2184">
        <v>0.2025575</v>
      </c>
      <c r="X2184">
        <v>0.9763096</v>
      </c>
      <c r="Y2184">
        <v>-0.38844339999999999</v>
      </c>
      <c r="Z2184">
        <v>-3.6604490000000003E-2</v>
      </c>
      <c r="AA2184">
        <v>0.92074529999999999</v>
      </c>
      <c r="AB2184">
        <v>38</v>
      </c>
      <c r="AC2184">
        <v>-23.722499999999901</v>
      </c>
      <c r="AD2184">
        <v>2.7548169999999899</v>
      </c>
      <c r="AE2184">
        <v>-73.671199999999999</v>
      </c>
      <c r="AF2184">
        <v>-30.065697901696399</v>
      </c>
      <c r="AG2184">
        <v>2.7548169999999899</v>
      </c>
      <c r="AH2184">
        <v>71.211707513628696</v>
      </c>
      <c r="AI2184">
        <v>87.958916737790602</v>
      </c>
      <c r="AJ2184">
        <v>112.88954957011801</v>
      </c>
      <c r="AK2184">
        <v>77.347543555216802</v>
      </c>
      <c r="AL2184">
        <v>78.313445450558604</v>
      </c>
      <c r="AM2184">
        <v>94.456551149606199</v>
      </c>
      <c r="AN2184">
        <v>1.0000000092716099</v>
      </c>
    </row>
    <row r="2185" spans="1:40" x14ac:dyDescent="0.25">
      <c r="A2185" t="str">
        <f>"20190303171020378"</f>
        <v>20190303171020378</v>
      </c>
      <c r="B2185" t="str">
        <f>"1551604220373230"</f>
        <v>1551604220373230</v>
      </c>
      <c r="C2185" t="s">
        <v>40</v>
      </c>
      <c r="D2185">
        <v>4.7920930000000004</v>
      </c>
      <c r="E2185">
        <v>0.38337019999999999</v>
      </c>
      <c r="F2185" t="s">
        <v>65</v>
      </c>
      <c r="G2185">
        <v>-511.92649999999998</v>
      </c>
      <c r="H2185">
        <v>3.9452379999999998</v>
      </c>
      <c r="I2185">
        <v>201.3818</v>
      </c>
      <c r="J2185">
        <v>-488.3227</v>
      </c>
      <c r="K2185">
        <v>1.136341</v>
      </c>
      <c r="L2185">
        <v>276.59039999999999</v>
      </c>
      <c r="M2185">
        <v>-0.64665189999999995</v>
      </c>
      <c r="N2185">
        <v>-1.6184399999999901E-2</v>
      </c>
      <c r="O2185">
        <v>-0.7626136</v>
      </c>
      <c r="P2185">
        <v>-0.5811693</v>
      </c>
      <c r="Q2185">
        <v>0.18924150000000001</v>
      </c>
      <c r="R2185">
        <v>-0.79147349999999905</v>
      </c>
      <c r="S2185">
        <v>-0.96499630000000003</v>
      </c>
      <c r="T2185">
        <v>0.1142623</v>
      </c>
      <c r="U2185">
        <v>-3.0651860000000002</v>
      </c>
      <c r="V2185">
        <v>-7.6444120000000004E-2</v>
      </c>
      <c r="W2185">
        <v>0.20228009999999999</v>
      </c>
      <c r="X2185">
        <v>0.97633959999999997</v>
      </c>
      <c r="Y2185">
        <v>-0.3881694</v>
      </c>
      <c r="Z2185">
        <v>-3.6909490000000003E-2</v>
      </c>
      <c r="AA2185">
        <v>0.92084860000000002</v>
      </c>
      <c r="AB2185">
        <v>38</v>
      </c>
      <c r="AC2185">
        <v>-23.6037999999999</v>
      </c>
      <c r="AD2185">
        <v>2.808897</v>
      </c>
      <c r="AE2185">
        <v>-75.208599999999905</v>
      </c>
      <c r="AF2185">
        <v>-30.598362164055001</v>
      </c>
      <c r="AG2185">
        <v>2.808897</v>
      </c>
      <c r="AH2185">
        <v>72.535945031985605</v>
      </c>
      <c r="AI2185">
        <v>87.956577487103402</v>
      </c>
      <c r="AJ2185">
        <v>112.87182809246301</v>
      </c>
      <c r="AK2185">
        <v>78.775713206308197</v>
      </c>
      <c r="AL2185">
        <v>78.329674907478903</v>
      </c>
      <c r="AM2185">
        <v>94.4769340920936</v>
      </c>
      <c r="AN2185">
        <v>0.99999997843337096</v>
      </c>
    </row>
    <row r="2186" spans="1:40" x14ac:dyDescent="0.25">
      <c r="A2186" t="str">
        <f>"20190303171020387"</f>
        <v>20190303171020387</v>
      </c>
      <c r="B2186" t="str">
        <f>"1551604220382990"</f>
        <v>1551604220382990</v>
      </c>
      <c r="C2186" t="s">
        <v>40</v>
      </c>
      <c r="D2186">
        <v>4.8640869999999996</v>
      </c>
      <c r="E2186">
        <v>0.38337019999999999</v>
      </c>
      <c r="F2186" t="s">
        <v>65</v>
      </c>
      <c r="G2186">
        <v>-511.05939999999998</v>
      </c>
      <c r="H2186">
        <v>2.1778400000000002</v>
      </c>
      <c r="I2186">
        <v>209.34100000000001</v>
      </c>
      <c r="J2186">
        <v>-488.44670000000002</v>
      </c>
      <c r="K2186">
        <v>1.1363080000000001</v>
      </c>
      <c r="L2186">
        <v>276.43650000000002</v>
      </c>
      <c r="M2186">
        <v>-0.64039029999999997</v>
      </c>
      <c r="N2186">
        <v>-1.6175720000000001E-2</v>
      </c>
      <c r="O2186">
        <v>-0.76787919999999998</v>
      </c>
      <c r="P2186">
        <v>-0.57439890000000005</v>
      </c>
      <c r="Q2186">
        <v>0.18881149999999999</v>
      </c>
      <c r="R2186">
        <v>-0.79650269999999901</v>
      </c>
      <c r="S2186">
        <v>-1.0236209999999999</v>
      </c>
      <c r="T2186">
        <v>4.6891330000000002E-2</v>
      </c>
      <c r="U2186">
        <v>-3.0275880000000002</v>
      </c>
      <c r="V2186">
        <v>-7.6813069999999997E-2</v>
      </c>
      <c r="W2186">
        <v>0.2018337</v>
      </c>
      <c r="X2186">
        <v>0.97640309999999997</v>
      </c>
      <c r="Y2186">
        <v>-0.360875</v>
      </c>
      <c r="Z2186">
        <v>-2.3866470000000001E-2</v>
      </c>
      <c r="AA2186">
        <v>0.93230880000000005</v>
      </c>
      <c r="AB2186">
        <v>38</v>
      </c>
      <c r="AC2186">
        <v>-22.612699999999901</v>
      </c>
      <c r="AD2186">
        <v>1.0415319999999999</v>
      </c>
      <c r="AE2186">
        <v>-67.095500000000001</v>
      </c>
      <c r="AF2186">
        <v>-25.6012976733365</v>
      </c>
      <c r="AG2186">
        <v>1.0415319999999999</v>
      </c>
      <c r="AH2186">
        <v>65.996552979481507</v>
      </c>
      <c r="AI2186">
        <v>89.157047797148493</v>
      </c>
      <c r="AJ2186">
        <v>111.20220485023199</v>
      </c>
      <c r="AK2186">
        <v>70.795877257360999</v>
      </c>
      <c r="AL2186">
        <v>78.355791276071102</v>
      </c>
      <c r="AM2186">
        <v>94.498161742986895</v>
      </c>
      <c r="AN2186">
        <v>1.0000000519340599</v>
      </c>
    </row>
    <row r="2187" spans="1:40" x14ac:dyDescent="0.25">
      <c r="A2187" t="str">
        <f>"20190303171020401"</f>
        <v>20190303171020401</v>
      </c>
      <c r="B2187" t="str">
        <f>"1551604220392750"</f>
        <v>1551604220392750</v>
      </c>
      <c r="C2187" t="s">
        <v>40</v>
      </c>
      <c r="D2187">
        <v>4.8578510000000001</v>
      </c>
      <c r="E2187">
        <v>0.38124170000000002</v>
      </c>
      <c r="F2187" t="s">
        <v>65</v>
      </c>
      <c r="G2187">
        <v>-511.05939999999998</v>
      </c>
      <c r="H2187">
        <v>2.163888</v>
      </c>
      <c r="I2187">
        <v>207.6481</v>
      </c>
      <c r="J2187">
        <v>-488.56909999999999</v>
      </c>
      <c r="K2187">
        <v>1.136274</v>
      </c>
      <c r="L2187">
        <v>276.28320000000002</v>
      </c>
      <c r="M2187">
        <v>-0.63414619999999999</v>
      </c>
      <c r="N2187">
        <v>-1.6167049999999999E-2</v>
      </c>
      <c r="O2187">
        <v>-0.77304430000000002</v>
      </c>
      <c r="P2187">
        <v>-0.56771899999999997</v>
      </c>
      <c r="Q2187">
        <v>0.1887112</v>
      </c>
      <c r="R2187">
        <v>-0.80130109999999999</v>
      </c>
      <c r="S2187">
        <v>-0.99801640000000003</v>
      </c>
      <c r="T2187">
        <v>4.535496E-2</v>
      </c>
      <c r="U2187">
        <v>-3.0359799999999999</v>
      </c>
      <c r="V2187">
        <v>-7.7058379999999996E-2</v>
      </c>
      <c r="W2187">
        <v>0.2017215</v>
      </c>
      <c r="X2187">
        <v>0.97640689999999997</v>
      </c>
      <c r="Y2187">
        <v>-0.36117270000000001</v>
      </c>
      <c r="Z2187">
        <v>-2.370239E-2</v>
      </c>
      <c r="AA2187">
        <v>0.93219770000000002</v>
      </c>
      <c r="AB2187">
        <v>38</v>
      </c>
      <c r="AC2187">
        <v>-22.490299999999898</v>
      </c>
      <c r="AD2187">
        <v>1.027614</v>
      </c>
      <c r="AE2187">
        <v>-68.635099999999994</v>
      </c>
      <c r="AF2187">
        <v>-26.136811945256301</v>
      </c>
      <c r="AG2187">
        <v>1.027614</v>
      </c>
      <c r="AH2187">
        <v>67.315275142343395</v>
      </c>
      <c r="AI2187">
        <v>89.184699214255005</v>
      </c>
      <c r="AJ2187">
        <v>111.219926935582</v>
      </c>
      <c r="AK2187">
        <v>72.218662385037902</v>
      </c>
      <c r="AL2187">
        <v>78.362354205394993</v>
      </c>
      <c r="AM2187">
        <v>94.512450334905495</v>
      </c>
      <c r="AN2187">
        <v>0.99999999592904198</v>
      </c>
    </row>
    <row r="2188" spans="1:40" x14ac:dyDescent="0.25">
      <c r="A2188" t="str">
        <f>"20190303171020412"</f>
        <v>20190303171020412</v>
      </c>
      <c r="B2188" t="str">
        <f>"1551604220403018"</f>
        <v>1551604220403018</v>
      </c>
      <c r="C2188" t="s">
        <v>40</v>
      </c>
      <c r="D2188">
        <v>4.8287870000000002</v>
      </c>
      <c r="E2188">
        <v>0.38124170000000002</v>
      </c>
      <c r="F2188" t="s">
        <v>65</v>
      </c>
      <c r="G2188">
        <v>-511.92630000000003</v>
      </c>
      <c r="H2188">
        <v>3.4124469999999998</v>
      </c>
      <c r="I2188">
        <v>201.839</v>
      </c>
      <c r="J2188">
        <v>-488.69459999999998</v>
      </c>
      <c r="K2188">
        <v>1.1362300000000001</v>
      </c>
      <c r="L2188">
        <v>276.12299999999999</v>
      </c>
      <c r="M2188">
        <v>-0.62763169999999902</v>
      </c>
      <c r="N2188">
        <v>-1.6157250000000001E-2</v>
      </c>
      <c r="O2188">
        <v>-0.7783428</v>
      </c>
      <c r="P2188">
        <v>-0.56098380000000003</v>
      </c>
      <c r="Q2188">
        <v>0.1882556</v>
      </c>
      <c r="R2188">
        <v>-0.80613760000000001</v>
      </c>
      <c r="S2188">
        <v>-0.95541379999999998</v>
      </c>
      <c r="T2188">
        <v>9.3107220000000004E-2</v>
      </c>
      <c r="U2188">
        <v>-3.0450740000000001</v>
      </c>
      <c r="V2188">
        <v>-7.7070910000000006E-2</v>
      </c>
      <c r="W2188">
        <v>0.20126340000000001</v>
      </c>
      <c r="X2188">
        <v>0.97650049999999999</v>
      </c>
      <c r="Y2188">
        <v>-0.36613790000000002</v>
      </c>
      <c r="Z2188">
        <v>-3.3722740000000001E-2</v>
      </c>
      <c r="AA2188">
        <v>0.92994929999999998</v>
      </c>
      <c r="AB2188">
        <v>37</v>
      </c>
      <c r="AC2188">
        <v>-23.2317</v>
      </c>
      <c r="AD2188">
        <v>2.2762169999999999</v>
      </c>
      <c r="AE2188">
        <v>-74.283999999999907</v>
      </c>
      <c r="AF2188">
        <v>-28.5200983452469</v>
      </c>
      <c r="AG2188">
        <v>2.2762169999999999</v>
      </c>
      <c r="AH2188">
        <v>72.346938308193003</v>
      </c>
      <c r="AI2188">
        <v>88.323416238607393</v>
      </c>
      <c r="AJ2188">
        <v>111.514999953599</v>
      </c>
      <c r="AK2188">
        <v>77.798821687883802</v>
      </c>
      <c r="AL2188">
        <v>78.389151685617193</v>
      </c>
      <c r="AM2188">
        <v>94.512750233579396</v>
      </c>
      <c r="AN2188">
        <v>1.0000000539240099</v>
      </c>
    </row>
    <row r="2189" spans="1:40" x14ac:dyDescent="0.25">
      <c r="A2189" t="str">
        <f>"20190303171020424"</f>
        <v>20190303171020424</v>
      </c>
      <c r="B2189" t="str">
        <f>"1551604220412779"</f>
        <v>1551604220412779</v>
      </c>
      <c r="C2189" t="s">
        <v>40</v>
      </c>
      <c r="D2189">
        <v>4.8168739999999897</v>
      </c>
      <c r="E2189">
        <v>0.38725359999999998</v>
      </c>
      <c r="F2189" t="s">
        <v>65</v>
      </c>
      <c r="G2189">
        <v>-511.92630000000003</v>
      </c>
      <c r="H2189">
        <v>3.4369200000000002</v>
      </c>
      <c r="I2189">
        <v>199.82069999999999</v>
      </c>
      <c r="J2189">
        <v>-488.80560000000003</v>
      </c>
      <c r="K2189">
        <v>1.136196</v>
      </c>
      <c r="L2189">
        <v>275.97840000000002</v>
      </c>
      <c r="M2189">
        <v>-0.621776</v>
      </c>
      <c r="N2189">
        <v>-1.6147999999999999E-2</v>
      </c>
      <c r="O2189">
        <v>-0.78302899999999998</v>
      </c>
      <c r="P2189">
        <v>-0.55467949999999999</v>
      </c>
      <c r="Q2189">
        <v>0.18803800000000001</v>
      </c>
      <c r="R2189">
        <v>-0.81053850000000005</v>
      </c>
      <c r="S2189">
        <v>-0.92956539999999999</v>
      </c>
      <c r="T2189">
        <v>9.2058539999999994E-2</v>
      </c>
      <c r="U2189">
        <v>-3.0530400000000002</v>
      </c>
      <c r="V2189">
        <v>-7.7368030000000004E-2</v>
      </c>
      <c r="W2189">
        <v>0.20103170000000001</v>
      </c>
      <c r="X2189">
        <v>0.97652470000000002</v>
      </c>
      <c r="Y2189">
        <v>-0.36703639999999998</v>
      </c>
      <c r="Z2189">
        <v>-3.3719180000000001E-2</v>
      </c>
      <c r="AA2189">
        <v>0.92959519999999995</v>
      </c>
      <c r="AB2189">
        <v>37</v>
      </c>
      <c r="AC2189">
        <v>-23.120699999999999</v>
      </c>
      <c r="AD2189">
        <v>2.3007240000000002</v>
      </c>
      <c r="AE2189">
        <v>-76.157700000000006</v>
      </c>
      <c r="AF2189">
        <v>-29.228233460957</v>
      </c>
      <c r="AG2189">
        <v>2.3007240000000002</v>
      </c>
      <c r="AH2189">
        <v>73.957413419240595</v>
      </c>
      <c r="AI2189">
        <v>88.342816932085299</v>
      </c>
      <c r="AJ2189">
        <v>111.564108473179</v>
      </c>
      <c r="AK2189">
        <v>79.556784511673499</v>
      </c>
      <c r="AL2189">
        <v>78.402703753208698</v>
      </c>
      <c r="AM2189">
        <v>94.529963496965095</v>
      </c>
      <c r="AN2189">
        <v>1.0000000230905299</v>
      </c>
    </row>
    <row r="2190" spans="1:40" x14ac:dyDescent="0.25">
      <c r="A2190" t="str">
        <f>"20190303171020435"</f>
        <v>20190303171020435</v>
      </c>
      <c r="B2190" t="str">
        <f>"1551604220422537"</f>
        <v>1551604220422537</v>
      </c>
      <c r="C2190" t="s">
        <v>40</v>
      </c>
      <c r="D2190">
        <v>4.8343639999999999</v>
      </c>
      <c r="E2190">
        <v>0.38805040000000002</v>
      </c>
      <c r="F2190" t="s">
        <v>65</v>
      </c>
      <c r="G2190">
        <v>-511.92590000000001</v>
      </c>
      <c r="H2190">
        <v>2.1745480000000001</v>
      </c>
      <c r="I2190">
        <v>201.7757</v>
      </c>
      <c r="J2190">
        <v>-488.92110000000002</v>
      </c>
      <c r="K2190">
        <v>1.1361600000000001</v>
      </c>
      <c r="L2190">
        <v>275.82670000000002</v>
      </c>
      <c r="M2190">
        <v>-0.61562019999999995</v>
      </c>
      <c r="N2190">
        <v>-1.613848E-2</v>
      </c>
      <c r="O2190">
        <v>-0.78787779999999996</v>
      </c>
      <c r="P2190">
        <v>-0.54807839999999997</v>
      </c>
      <c r="Q2190">
        <v>0.18747659999999999</v>
      </c>
      <c r="R2190">
        <v>-0.81514589999999998</v>
      </c>
      <c r="S2190">
        <v>-0.9480286</v>
      </c>
      <c r="T2190">
        <v>4.2578940000000003E-2</v>
      </c>
      <c r="U2190">
        <v>-3.0426030000000002</v>
      </c>
      <c r="V2190">
        <v>-7.7685619999999997E-2</v>
      </c>
      <c r="W2190">
        <v>0.20045669999999999</v>
      </c>
      <c r="X2190">
        <v>0.97661770000000003</v>
      </c>
      <c r="Y2190">
        <v>-0.3535162</v>
      </c>
      <c r="Z2190">
        <v>-2.3553810000000001E-2</v>
      </c>
      <c r="AA2190">
        <v>0.93513179999999996</v>
      </c>
      <c r="AB2190">
        <v>37</v>
      </c>
      <c r="AC2190">
        <v>-23.0047999999999</v>
      </c>
      <c r="AD2190">
        <v>1.0383879999999901</v>
      </c>
      <c r="AE2190">
        <v>-74.051000000000002</v>
      </c>
      <c r="AF2190">
        <v>-27.4609712257576</v>
      </c>
      <c r="AG2190">
        <v>1.0383879999999901</v>
      </c>
      <c r="AH2190">
        <v>72.501796971101001</v>
      </c>
      <c r="AI2190">
        <v>89.232644073048704</v>
      </c>
      <c r="AJ2190">
        <v>110.744815085365</v>
      </c>
      <c r="AK2190">
        <v>77.5351130413775</v>
      </c>
      <c r="AL2190">
        <v>78.436333576873594</v>
      </c>
      <c r="AM2190">
        <v>94.548049471215194</v>
      </c>
      <c r="AN2190">
        <v>1.00000003804148</v>
      </c>
    </row>
    <row r="2191" spans="1:40" x14ac:dyDescent="0.25">
      <c r="A2191" t="str">
        <f>"20190303171020444"</f>
        <v>20190303171020444</v>
      </c>
      <c r="B2191" t="str">
        <f>"1551604220433275"</f>
        <v>1551604220433275</v>
      </c>
      <c r="C2191" t="s">
        <v>40</v>
      </c>
      <c r="D2191">
        <v>4.8394000000000004</v>
      </c>
      <c r="E2191">
        <v>0.38902599999999998</v>
      </c>
      <c r="F2191" t="s">
        <v>65</v>
      </c>
      <c r="G2191">
        <v>-511.92590000000001</v>
      </c>
      <c r="H2191">
        <v>2.0451579999999998</v>
      </c>
      <c r="I2191">
        <v>200.3716</v>
      </c>
      <c r="J2191">
        <v>-489.01060000000001</v>
      </c>
      <c r="K2191">
        <v>1.1361319999999999</v>
      </c>
      <c r="L2191">
        <v>275.7063</v>
      </c>
      <c r="M2191">
        <v>-0.610765</v>
      </c>
      <c r="N2191">
        <v>-1.6130289999999999E-2</v>
      </c>
      <c r="O2191">
        <v>-0.79164760000000001</v>
      </c>
      <c r="P2191">
        <v>-0.54281689999999905</v>
      </c>
      <c r="Q2191">
        <v>0.1873206</v>
      </c>
      <c r="R2191">
        <v>-0.81869449999999999</v>
      </c>
      <c r="S2191">
        <v>-0.92904659999999994</v>
      </c>
      <c r="T2191">
        <v>3.6712050000000003E-2</v>
      </c>
      <c r="U2191">
        <v>-3.0472410000000001</v>
      </c>
      <c r="V2191">
        <v>-7.7971970000000002E-2</v>
      </c>
      <c r="W2191">
        <v>0.20028699999999999</v>
      </c>
      <c r="X2191">
        <v>0.97662969999999905</v>
      </c>
      <c r="Y2191">
        <v>-0.35347450000000002</v>
      </c>
      <c r="Z2191">
        <v>-2.2406519999999999E-2</v>
      </c>
      <c r="AA2191">
        <v>0.9351758</v>
      </c>
      <c r="AB2191">
        <v>37</v>
      </c>
      <c r="AC2191">
        <v>-22.915299999999998</v>
      </c>
      <c r="AD2191">
        <v>0.909026</v>
      </c>
      <c r="AE2191">
        <v>-75.334699999999998</v>
      </c>
      <c r="AF2191">
        <v>-27.870868069316</v>
      </c>
      <c r="AG2191">
        <v>0.909026</v>
      </c>
      <c r="AH2191">
        <v>73.634165881198896</v>
      </c>
      <c r="AI2191">
        <v>89.338504824949197</v>
      </c>
      <c r="AJ2191">
        <v>110.73188318226001</v>
      </c>
      <c r="AK2191">
        <v>78.737551398464404</v>
      </c>
      <c r="AL2191">
        <v>78.446257968224401</v>
      </c>
      <c r="AM2191">
        <v>94.564687059398196</v>
      </c>
      <c r="AN2191">
        <v>1.00000004069838</v>
      </c>
    </row>
    <row r="2192" spans="1:40" x14ac:dyDescent="0.25">
      <c r="A2192" t="str">
        <f>"20190303171020454"</f>
        <v>20190303171020454</v>
      </c>
      <c r="B2192" t="str">
        <f>"1551604220443033"</f>
        <v>1551604220443033</v>
      </c>
      <c r="C2192" t="s">
        <v>40</v>
      </c>
      <c r="D2192">
        <v>4.8804069999999999</v>
      </c>
      <c r="E2192">
        <v>0.38995220000000003</v>
      </c>
      <c r="F2192" t="s">
        <v>65</v>
      </c>
      <c r="G2192">
        <v>-511.92579999999998</v>
      </c>
      <c r="H2192">
        <v>1.9325559999999999</v>
      </c>
      <c r="I2192">
        <v>199.39959999999999</v>
      </c>
      <c r="J2192">
        <v>-489.1157</v>
      </c>
      <c r="K2192">
        <v>1.1360939999999999</v>
      </c>
      <c r="L2192">
        <v>275.5643</v>
      </c>
      <c r="M2192">
        <v>-0.60502539999999905</v>
      </c>
      <c r="N2192">
        <v>-1.6121099999999999E-2</v>
      </c>
      <c r="O2192">
        <v>-0.79604299999999995</v>
      </c>
      <c r="P2192">
        <v>-0.53671559999999996</v>
      </c>
      <c r="Q2192">
        <v>0.18688479999999999</v>
      </c>
      <c r="R2192">
        <v>-0.8228065</v>
      </c>
      <c r="S2192">
        <v>-0.91589359999999997</v>
      </c>
      <c r="T2192">
        <v>3.183424E-2</v>
      </c>
      <c r="U2192">
        <v>-3.0498660000000002</v>
      </c>
      <c r="V2192">
        <v>-7.8196719999999997E-2</v>
      </c>
      <c r="W2192">
        <v>0.19984089999999999</v>
      </c>
      <c r="X2192">
        <v>0.97670299999999999</v>
      </c>
      <c r="Y2192">
        <v>-0.3506165</v>
      </c>
      <c r="Z2192">
        <v>-2.1462599999999998E-2</v>
      </c>
      <c r="AA2192">
        <v>0.93627320000000003</v>
      </c>
      <c r="AB2192">
        <v>37</v>
      </c>
      <c r="AC2192">
        <v>-22.810099999999899</v>
      </c>
      <c r="AD2192">
        <v>0.796462</v>
      </c>
      <c r="AE2192">
        <v>-76.164699999999996</v>
      </c>
      <c r="AF2192">
        <v>-27.924583511662298</v>
      </c>
      <c r="AG2192">
        <v>0.796462</v>
      </c>
      <c r="AH2192">
        <v>74.433267503934303</v>
      </c>
      <c r="AI2192">
        <v>89.426000643896302</v>
      </c>
      <c r="AJ2192">
        <v>110.564216101534</v>
      </c>
      <c r="AK2192">
        <v>79.503006404346095</v>
      </c>
      <c r="AL2192">
        <v>78.472343741962106</v>
      </c>
      <c r="AM2192">
        <v>94.577446584625093</v>
      </c>
      <c r="AN2192">
        <v>0.99999993127028097</v>
      </c>
    </row>
    <row r="2193" spans="1:40" x14ac:dyDescent="0.25">
      <c r="A2193" t="str">
        <f>"20190303171020466"</f>
        <v>20190303171020466</v>
      </c>
      <c r="B2193" t="str">
        <f>"1551604220452794"</f>
        <v>1551604220452794</v>
      </c>
      <c r="C2193" t="s">
        <v>40</v>
      </c>
      <c r="D2193">
        <v>4.8620580000000002</v>
      </c>
      <c r="E2193">
        <v>0.39092260000000001</v>
      </c>
      <c r="F2193" t="s">
        <v>65</v>
      </c>
      <c r="G2193">
        <v>-511.92579999999998</v>
      </c>
      <c r="H2193">
        <v>1.7952619999999999</v>
      </c>
      <c r="I2193">
        <v>198.18969999999999</v>
      </c>
      <c r="J2193">
        <v>-489.22160000000002</v>
      </c>
      <c r="K2193">
        <v>1.136055</v>
      </c>
      <c r="L2193">
        <v>275.41739999999999</v>
      </c>
      <c r="M2193">
        <v>-0.59912319999999997</v>
      </c>
      <c r="N2193">
        <v>-1.611098E-2</v>
      </c>
      <c r="O2193">
        <v>-0.800494699999999</v>
      </c>
      <c r="P2193">
        <v>-0.53017460000000005</v>
      </c>
      <c r="Q2193">
        <v>0.18649689999999999</v>
      </c>
      <c r="R2193">
        <v>-0.82712389999999902</v>
      </c>
      <c r="S2193">
        <v>-0.90005489999999999</v>
      </c>
      <c r="T2193">
        <v>2.6011940000000001E-2</v>
      </c>
      <c r="U2193">
        <v>-3.05307</v>
      </c>
      <c r="V2193">
        <v>-7.8739020000000007E-2</v>
      </c>
      <c r="W2193">
        <v>0.1994302</v>
      </c>
      <c r="X2193">
        <v>0.97674349999999999</v>
      </c>
      <c r="Y2193">
        <v>-0.34841</v>
      </c>
      <c r="Z2193">
        <v>-2.0295049999999999E-2</v>
      </c>
      <c r="AA2193">
        <v>0.93712249999999997</v>
      </c>
      <c r="AB2193">
        <v>37</v>
      </c>
      <c r="AC2193">
        <v>-22.704199999999901</v>
      </c>
      <c r="AD2193">
        <v>0.65920699999999899</v>
      </c>
      <c r="AE2193">
        <v>-77.227699999999999</v>
      </c>
      <c r="AF2193">
        <v>-28.0960784476536</v>
      </c>
      <c r="AG2193">
        <v>0.65920699999999899</v>
      </c>
      <c r="AH2193">
        <v>75.427711754220397</v>
      </c>
      <c r="AI2193">
        <v>89.530765630176504</v>
      </c>
      <c r="AJ2193">
        <v>110.42986591898401</v>
      </c>
      <c r="AK2193">
        <v>80.493253620929707</v>
      </c>
      <c r="AL2193">
        <v>78.496359933378997</v>
      </c>
      <c r="AM2193">
        <v>94.608864920160798</v>
      </c>
      <c r="AN2193">
        <v>1.0000000513674201</v>
      </c>
    </row>
    <row r="2194" spans="1:40" x14ac:dyDescent="0.25">
      <c r="A2194" t="str">
        <f>"20190303171020478"</f>
        <v>20190303171020478</v>
      </c>
      <c r="B2194" t="str">
        <f>"1551604220473290"</f>
        <v>1551604220473290</v>
      </c>
      <c r="C2194" t="s">
        <v>40</v>
      </c>
      <c r="D2194">
        <v>4.9185530000000002</v>
      </c>
      <c r="E2194">
        <v>0.39857429999999999</v>
      </c>
      <c r="F2194" t="s">
        <v>65</v>
      </c>
      <c r="G2194">
        <v>-511.92579999999998</v>
      </c>
      <c r="H2194">
        <v>1.6862630000000001</v>
      </c>
      <c r="I2194">
        <v>196.80099999999999</v>
      </c>
      <c r="J2194">
        <v>-489.3304</v>
      </c>
      <c r="K2194">
        <v>1.1360079999999999</v>
      </c>
      <c r="L2194">
        <v>275.26569999999998</v>
      </c>
      <c r="M2194">
        <v>-0.59301359999999903</v>
      </c>
      <c r="N2194">
        <v>-1.6100940000000001E-2</v>
      </c>
      <c r="O2194">
        <v>-0.80503139999999995</v>
      </c>
      <c r="P2194">
        <v>-0.52355189999999996</v>
      </c>
      <c r="Q2194">
        <v>0.1862799</v>
      </c>
      <c r="R2194">
        <v>-0.83138040000000002</v>
      </c>
      <c r="S2194">
        <v>-0.88269039999999999</v>
      </c>
      <c r="T2194">
        <v>2.1393059999999998E-2</v>
      </c>
      <c r="U2194">
        <v>-3.0564269999999998</v>
      </c>
      <c r="V2194">
        <v>-7.9107060000000007E-2</v>
      </c>
      <c r="W2194">
        <v>0.1991966</v>
      </c>
      <c r="X2194">
        <v>0.9767614</v>
      </c>
      <c r="Y2194">
        <v>-0.34645029999999999</v>
      </c>
      <c r="Z2194">
        <v>-1.937059E-2</v>
      </c>
      <c r="AA2194">
        <v>0.93786829999999999</v>
      </c>
      <c r="AB2194">
        <v>37</v>
      </c>
      <c r="AC2194">
        <v>-22.595399999999898</v>
      </c>
      <c r="AD2194">
        <v>0.55025500000000005</v>
      </c>
      <c r="AE2194">
        <v>-78.464699999999993</v>
      </c>
      <c r="AF2194">
        <v>-28.343015874997601</v>
      </c>
      <c r="AG2194">
        <v>0.55025500000000005</v>
      </c>
      <c r="AH2194">
        <v>76.572378691520498</v>
      </c>
      <c r="AI2194">
        <v>89.6138766716454</v>
      </c>
      <c r="AJ2194">
        <v>110.311868228577</v>
      </c>
      <c r="AK2194">
        <v>81.651445228685503</v>
      </c>
      <c r="AL2194">
        <v>78.510017933772303</v>
      </c>
      <c r="AM2194">
        <v>94.630229621236495</v>
      </c>
      <c r="AN2194">
        <v>1.0000000224616801</v>
      </c>
    </row>
    <row r="2195" spans="1:40" x14ac:dyDescent="0.25">
      <c r="A2195" t="str">
        <f>"20190303171020488"</f>
        <v>20190303171020488</v>
      </c>
      <c r="B2195" t="str">
        <f>"1551604220483049"</f>
        <v>1551604220483049</v>
      </c>
      <c r="C2195" t="s">
        <v>40</v>
      </c>
      <c r="D2195">
        <v>4.876417</v>
      </c>
      <c r="E2195">
        <v>0.3968932</v>
      </c>
      <c r="F2195" t="s">
        <v>65</v>
      </c>
      <c r="G2195">
        <v>-511.9255</v>
      </c>
      <c r="H2195">
        <v>1.029803</v>
      </c>
      <c r="I2195">
        <v>200.01310000000001</v>
      </c>
      <c r="J2195">
        <v>-489.44110000000001</v>
      </c>
      <c r="K2195">
        <v>1.1359649999999999</v>
      </c>
      <c r="L2195">
        <v>275.10730000000001</v>
      </c>
      <c r="M2195">
        <v>-0.58667190000000002</v>
      </c>
      <c r="N2195">
        <v>-1.608977E-2</v>
      </c>
      <c r="O2195">
        <v>-0.80966490000000002</v>
      </c>
      <c r="P2195">
        <v>-0.51703449999999995</v>
      </c>
      <c r="Q2195">
        <v>0.18589510000000001</v>
      </c>
      <c r="R2195">
        <v>-0.83553480000000002</v>
      </c>
      <c r="S2195">
        <v>-0.91140750000000004</v>
      </c>
      <c r="T2195">
        <v>-4.2815209999999999E-3</v>
      </c>
      <c r="U2195">
        <v>-3.0354000000000001</v>
      </c>
      <c r="V2195">
        <v>-7.9086859999999995E-2</v>
      </c>
      <c r="W2195">
        <v>0.1988106</v>
      </c>
      <c r="X2195">
        <v>0.97684170000000003</v>
      </c>
      <c r="Y2195">
        <v>-0.32907750000000002</v>
      </c>
      <c r="Z2195">
        <v>-1.366731E-2</v>
      </c>
      <c r="AA2195">
        <v>0.94420400000000004</v>
      </c>
      <c r="AB2195">
        <v>37</v>
      </c>
      <c r="AC2195">
        <v>-22.484399999999901</v>
      </c>
      <c r="AD2195">
        <v>-0.10616199999999899</v>
      </c>
      <c r="AE2195">
        <v>-75.094200000000001</v>
      </c>
      <c r="AF2195">
        <v>-25.85412624796</v>
      </c>
      <c r="AG2195">
        <v>-0.10616199999999899</v>
      </c>
      <c r="AH2195">
        <v>74.001545472213394</v>
      </c>
      <c r="AI2195">
        <v>90.077596542061698</v>
      </c>
      <c r="AJ2195">
        <v>109.258025164542</v>
      </c>
      <c r="AK2195">
        <v>78.387982795143799</v>
      </c>
      <c r="AL2195">
        <v>78.532585762451902</v>
      </c>
      <c r="AM2195">
        <v>94.628673558635199</v>
      </c>
      <c r="AN2195">
        <v>1.0000000464779499</v>
      </c>
    </row>
    <row r="2196" spans="1:40" x14ac:dyDescent="0.25">
      <c r="A2196" t="str">
        <f>"20190303171020500"</f>
        <v>20190303171020500</v>
      </c>
      <c r="B2196" t="str">
        <f>"1551604220492810"</f>
        <v>1551604220492810</v>
      </c>
      <c r="C2196" t="s">
        <v>40</v>
      </c>
      <c r="D2196">
        <v>4.9143129999999999</v>
      </c>
      <c r="E2196">
        <v>0.3968932</v>
      </c>
      <c r="F2196" t="s">
        <v>65</v>
      </c>
      <c r="G2196">
        <v>-511.92559999999997</v>
      </c>
      <c r="H2196">
        <v>1.0948469999999999</v>
      </c>
      <c r="I2196">
        <v>196.87819999999999</v>
      </c>
      <c r="J2196">
        <v>-489.54079999999999</v>
      </c>
      <c r="K2196">
        <v>1.1359250000000001</v>
      </c>
      <c r="L2196">
        <v>274.96300000000002</v>
      </c>
      <c r="M2196">
        <v>-0.58089329999999995</v>
      </c>
      <c r="N2196">
        <v>-1.6079960000000001E-2</v>
      </c>
      <c r="O2196">
        <v>-0.81382100000000002</v>
      </c>
      <c r="P2196">
        <v>-0.510934</v>
      </c>
      <c r="Q2196">
        <v>0.18580169999999999</v>
      </c>
      <c r="R2196">
        <v>-0.83930020000000005</v>
      </c>
      <c r="S2196">
        <v>-0.87625119999999901</v>
      </c>
      <c r="T2196">
        <v>-1.600146E-3</v>
      </c>
      <c r="U2196">
        <v>-3.0486759999999999</v>
      </c>
      <c r="V2196">
        <v>-7.9238020000000006E-2</v>
      </c>
      <c r="W2196">
        <v>0.19870869999999999</v>
      </c>
      <c r="X2196">
        <v>0.9768502</v>
      </c>
      <c r="Y2196">
        <v>-0.33351540000000002</v>
      </c>
      <c r="Z2196">
        <v>-1.433154E-2</v>
      </c>
      <c r="AA2196">
        <v>0.94263569999999997</v>
      </c>
      <c r="AB2196">
        <v>37</v>
      </c>
      <c r="AC2196">
        <v>-22.384799999999899</v>
      </c>
      <c r="AD2196">
        <v>-4.1078000000000101E-2</v>
      </c>
      <c r="AE2196">
        <v>-78.084799999999902</v>
      </c>
      <c r="AF2196">
        <v>-27.145216653840599</v>
      </c>
      <c r="AG2196">
        <v>-4.1078000000000101E-2</v>
      </c>
      <c r="AH2196">
        <v>76.560101228336706</v>
      </c>
      <c r="AI2196">
        <v>90.028974467694496</v>
      </c>
      <c r="AJ2196">
        <v>109.522515253818</v>
      </c>
      <c r="AK2196">
        <v>81.230004152894196</v>
      </c>
      <c r="AL2196">
        <v>78.538543243812796</v>
      </c>
      <c r="AM2196">
        <v>94.637441689766604</v>
      </c>
      <c r="AN2196">
        <v>1.0000000622546199</v>
      </c>
    </row>
    <row r="2197" spans="1:40" x14ac:dyDescent="0.25">
      <c r="A2197" t="str">
        <f>"20190303171020510"</f>
        <v>20190303171020510</v>
      </c>
      <c r="B2197" t="str">
        <f>"1551604220502570"</f>
        <v>1551604220502570</v>
      </c>
      <c r="C2197" t="s">
        <v>40</v>
      </c>
      <c r="D2197">
        <v>4.8855469999999999</v>
      </c>
      <c r="E2197">
        <v>0.37622250000000002</v>
      </c>
      <c r="F2197" t="s">
        <v>65</v>
      </c>
      <c r="G2197">
        <v>-511.9255</v>
      </c>
      <c r="H2197">
        <v>1.0913090000000001</v>
      </c>
      <c r="I2197">
        <v>194.87880000000001</v>
      </c>
      <c r="J2197">
        <v>-489.63650000000001</v>
      </c>
      <c r="K2197">
        <v>1.1358889999999999</v>
      </c>
      <c r="L2197">
        <v>274.82220000000001</v>
      </c>
      <c r="M2197">
        <v>-0.57526669999999902</v>
      </c>
      <c r="N2197">
        <v>-1.607039E-2</v>
      </c>
      <c r="O2197">
        <v>-0.81780819999999999</v>
      </c>
      <c r="P2197">
        <v>-0.50495900000000005</v>
      </c>
      <c r="Q2197">
        <v>0.18568180000000001</v>
      </c>
      <c r="R2197">
        <v>-0.84293449999999903</v>
      </c>
      <c r="S2197">
        <v>-0.85391240000000002</v>
      </c>
      <c r="T2197">
        <v>-1.699805E-3</v>
      </c>
      <c r="U2197">
        <v>-3.0549620000000002</v>
      </c>
      <c r="V2197">
        <v>-7.9431600000000005E-2</v>
      </c>
      <c r="W2197">
        <v>0.19857920000000001</v>
      </c>
      <c r="X2197">
        <v>0.97686079999999997</v>
      </c>
      <c r="Y2197">
        <v>-0.33390940000000002</v>
      </c>
      <c r="Z2197">
        <v>-1.4348319999999999E-2</v>
      </c>
      <c r="AA2197">
        <v>0.942496</v>
      </c>
      <c r="AB2197">
        <v>37</v>
      </c>
      <c r="AC2197">
        <v>-22.288999999999898</v>
      </c>
      <c r="AD2197">
        <v>-4.45799999999998E-2</v>
      </c>
      <c r="AE2197">
        <v>-79.943399999999997</v>
      </c>
      <c r="AF2197">
        <v>-27.764222350344799</v>
      </c>
      <c r="AG2197">
        <v>-4.45799999999998E-2</v>
      </c>
      <c r="AH2197">
        <v>78.210553681006004</v>
      </c>
      <c r="AI2197">
        <v>90.030776851967104</v>
      </c>
      <c r="AJ2197">
        <v>109.544521281001</v>
      </c>
      <c r="AK2197">
        <v>82.992437831318796</v>
      </c>
      <c r="AL2197">
        <v>78.546113776906495</v>
      </c>
      <c r="AM2197">
        <v>94.648671230978806</v>
      </c>
      <c r="AN2197">
        <v>1.0000000501639099</v>
      </c>
    </row>
    <row r="2198" spans="1:40" x14ac:dyDescent="0.25">
      <c r="A2198" t="str">
        <f>"20190303171020522"</f>
        <v>20190303171020522</v>
      </c>
      <c r="B2198" t="str">
        <f>"1551604220513306"</f>
        <v>1551604220513306</v>
      </c>
      <c r="C2198" t="s">
        <v>40</v>
      </c>
      <c r="D2198">
        <v>4.8613869999999997</v>
      </c>
      <c r="E2198">
        <v>0.37446089999999999</v>
      </c>
      <c r="F2198" t="s">
        <v>65</v>
      </c>
      <c r="G2198">
        <v>-511.92610000000002</v>
      </c>
      <c r="H2198">
        <v>2.6019779999999999</v>
      </c>
      <c r="I2198">
        <v>173.2328</v>
      </c>
      <c r="J2198">
        <v>-489.7389</v>
      </c>
      <c r="K2198">
        <v>1.1358459999999999</v>
      </c>
      <c r="L2198">
        <v>274.66930000000002</v>
      </c>
      <c r="M2198">
        <v>-0.56916449999999996</v>
      </c>
      <c r="N2198">
        <v>-1.606024E-2</v>
      </c>
      <c r="O2198">
        <v>-0.82206689999999905</v>
      </c>
      <c r="P2198">
        <v>-0.49856610000000001</v>
      </c>
      <c r="Q2198">
        <v>0.1859268</v>
      </c>
      <c r="R2198">
        <v>-0.84667760000000003</v>
      </c>
      <c r="S2198">
        <v>-0.68823239999999997</v>
      </c>
      <c r="T2198">
        <v>4.5269610000000002E-2</v>
      </c>
      <c r="U2198">
        <v>-3.136749</v>
      </c>
      <c r="V2198">
        <v>-7.9511520000000002E-2</v>
      </c>
      <c r="W2198">
        <v>0.1988181</v>
      </c>
      <c r="X2198">
        <v>0.9768057</v>
      </c>
      <c r="Y2198">
        <v>-0.37988640000000001</v>
      </c>
      <c r="Z2198">
        <v>-2.5010959999999999E-2</v>
      </c>
      <c r="AA2198">
        <v>0.92469500000000004</v>
      </c>
      <c r="AB2198">
        <v>37</v>
      </c>
      <c r="AC2198">
        <v>-22.187200000000001</v>
      </c>
      <c r="AD2198">
        <v>1.466132</v>
      </c>
      <c r="AE2198">
        <v>-101.4365</v>
      </c>
      <c r="AF2198">
        <v>-39.491910079278</v>
      </c>
      <c r="AG2198">
        <v>1.466132</v>
      </c>
      <c r="AH2198">
        <v>96.008992358132204</v>
      </c>
      <c r="AI2198">
        <v>89.190883437577298</v>
      </c>
      <c r="AJ2198">
        <v>112.359106891252</v>
      </c>
      <c r="AK2198">
        <v>103.82430889909701</v>
      </c>
      <c r="AL2198">
        <v>78.532147298532294</v>
      </c>
      <c r="AM2198">
        <v>94.653589289026499</v>
      </c>
      <c r="AN2198">
        <v>1.0000000471263999</v>
      </c>
    </row>
    <row r="2199" spans="1:40" x14ac:dyDescent="0.25">
      <c r="A2199" t="str">
        <f>"20190303171020531"</f>
        <v>20190303171020531</v>
      </c>
      <c r="B2199" t="str">
        <f>"1551604220523066"</f>
        <v>1551604220523066</v>
      </c>
      <c r="C2199" t="s">
        <v>40</v>
      </c>
      <c r="D2199">
        <v>4.9402410000000003</v>
      </c>
      <c r="E2199">
        <v>0.3734673</v>
      </c>
      <c r="F2199" t="s">
        <v>65</v>
      </c>
      <c r="G2199">
        <v>-511.92619999999999</v>
      </c>
      <c r="H2199">
        <v>3.0678969999999999</v>
      </c>
      <c r="I2199">
        <v>167.64410000000001</v>
      </c>
      <c r="J2199">
        <v>-489.83769999999998</v>
      </c>
      <c r="K2199">
        <v>1.13581</v>
      </c>
      <c r="L2199">
        <v>274.51949999999999</v>
      </c>
      <c r="M2199">
        <v>-0.56319629999999998</v>
      </c>
      <c r="N2199">
        <v>-1.605051E-2</v>
      </c>
      <c r="O2199">
        <v>-0.82616719999999899</v>
      </c>
      <c r="P2199">
        <v>-0.49236540000000001</v>
      </c>
      <c r="Q2199">
        <v>0.18576609999999999</v>
      </c>
      <c r="R2199">
        <v>-0.85033359999999902</v>
      </c>
      <c r="S2199">
        <v>-0.65234380000000003</v>
      </c>
      <c r="T2199">
        <v>5.6806559999999999E-2</v>
      </c>
      <c r="U2199">
        <v>-3.1466980000000002</v>
      </c>
      <c r="V2199">
        <v>-7.9570600000000005E-2</v>
      </c>
      <c r="W2199">
        <v>0.1986531</v>
      </c>
      <c r="X2199">
        <v>0.97683439999999999</v>
      </c>
      <c r="Y2199">
        <v>-0.38391160000000002</v>
      </c>
      <c r="Z2199">
        <v>-2.767932E-2</v>
      </c>
      <c r="AA2199">
        <v>0.92295490000000002</v>
      </c>
      <c r="AB2199">
        <v>37</v>
      </c>
      <c r="AC2199">
        <v>-22.0885</v>
      </c>
      <c r="AD2199">
        <v>1.9320870000000001</v>
      </c>
      <c r="AE2199">
        <v>-106.875399999999</v>
      </c>
      <c r="AF2199">
        <v>-41.935297208235397</v>
      </c>
      <c r="AG2199">
        <v>1.9320870000000001</v>
      </c>
      <c r="AH2199">
        <v>100.718525573245</v>
      </c>
      <c r="AI2199">
        <v>88.985435831881901</v>
      </c>
      <c r="AJ2199">
        <v>112.60495577772799</v>
      </c>
      <c r="AK2199">
        <v>109.117017489331</v>
      </c>
      <c r="AL2199">
        <v>78.541792847314994</v>
      </c>
      <c r="AM2199">
        <v>94.656895649704296</v>
      </c>
      <c r="AN2199">
        <v>0.999999989773665</v>
      </c>
    </row>
    <row r="2200" spans="1:40" x14ac:dyDescent="0.25">
      <c r="A2200" t="str">
        <f>"20190303171020544"</f>
        <v>20190303171020544</v>
      </c>
      <c r="B2200" t="str">
        <f>"1551604220532826"</f>
        <v>1551604220532826</v>
      </c>
      <c r="C2200" t="s">
        <v>40</v>
      </c>
      <c r="D2200">
        <v>4.9005369999999999</v>
      </c>
      <c r="E2200">
        <v>0.37355709999999998</v>
      </c>
      <c r="F2200" t="s">
        <v>65</v>
      </c>
      <c r="G2200">
        <v>-511.9264</v>
      </c>
      <c r="H2200">
        <v>3.4966599999999999</v>
      </c>
      <c r="I2200">
        <v>162.53550000000001</v>
      </c>
      <c r="J2200">
        <v>-489.93610000000001</v>
      </c>
      <c r="K2200">
        <v>1.135778</v>
      </c>
      <c r="L2200">
        <v>274.3673</v>
      </c>
      <c r="M2200">
        <v>-0.55714960000000002</v>
      </c>
      <c r="N2200">
        <v>-1.6040700000000001E-2</v>
      </c>
      <c r="O2200">
        <v>-0.83025720000000003</v>
      </c>
      <c r="P2200">
        <v>-0.48603679999999999</v>
      </c>
      <c r="Q2200">
        <v>0.1858747</v>
      </c>
      <c r="R2200">
        <v>-0.85394329999999996</v>
      </c>
      <c r="S2200">
        <v>-0.62200929999999999</v>
      </c>
      <c r="T2200">
        <v>6.6481589999999993E-2</v>
      </c>
      <c r="U2200">
        <v>-3.1534119999999999</v>
      </c>
      <c r="V2200">
        <v>-7.9663929999999994E-2</v>
      </c>
      <c r="W2200">
        <v>0.19875499999999999</v>
      </c>
      <c r="X2200">
        <v>0.97680610000000001</v>
      </c>
      <c r="Y2200">
        <v>-0.38611309999999999</v>
      </c>
      <c r="Z2200">
        <v>-2.9967009999999999E-2</v>
      </c>
      <c r="AA2200">
        <v>0.92196449999999996</v>
      </c>
      <c r="AB2200">
        <v>37</v>
      </c>
      <c r="AC2200">
        <v>-21.990299999999898</v>
      </c>
      <c r="AD2200">
        <v>2.3608820000000001</v>
      </c>
      <c r="AE2200">
        <v>-111.8318</v>
      </c>
      <c r="AF2200">
        <v>-44.036210681523599</v>
      </c>
      <c r="AG2200">
        <v>2.3608820000000001</v>
      </c>
      <c r="AH2200">
        <v>105.069484519703</v>
      </c>
      <c r="AI2200">
        <v>88.812816789867895</v>
      </c>
      <c r="AJ2200">
        <v>112.739295122795</v>
      </c>
      <c r="AK2200">
        <v>113.948927999527</v>
      </c>
      <c r="AL2200">
        <v>78.535836019552306</v>
      </c>
      <c r="AM2200">
        <v>94.662468234075106</v>
      </c>
      <c r="AN2200">
        <v>1.0000000243826199</v>
      </c>
    </row>
    <row r="2201" spans="1:40" x14ac:dyDescent="0.25">
      <c r="A2201" t="str">
        <f>"20190303171020555"</f>
        <v>20190303171020555</v>
      </c>
      <c r="B2201" t="str">
        <f>"1551604220542586"</f>
        <v>1551604220542586</v>
      </c>
      <c r="C2201" t="s">
        <v>40</v>
      </c>
      <c r="D2201">
        <v>4.9427960000000004</v>
      </c>
      <c r="E2201">
        <v>0.3739132</v>
      </c>
      <c r="F2201" t="s">
        <v>65</v>
      </c>
      <c r="G2201">
        <v>-511.9264</v>
      </c>
      <c r="H2201">
        <v>3.6224859999999999</v>
      </c>
      <c r="I2201">
        <v>158.48670000000001</v>
      </c>
      <c r="J2201">
        <v>-490.04090000000002</v>
      </c>
      <c r="K2201">
        <v>1.1357379999999999</v>
      </c>
      <c r="L2201">
        <v>274.20389999999998</v>
      </c>
      <c r="M2201">
        <v>-0.55064869999999899</v>
      </c>
      <c r="N2201">
        <v>-1.6030639999999999E-2</v>
      </c>
      <c r="O2201">
        <v>-0.83458319999999997</v>
      </c>
      <c r="P2201">
        <v>-0.47923529999999998</v>
      </c>
      <c r="Q2201">
        <v>0.1856129</v>
      </c>
      <c r="R2201">
        <v>-0.85783560000000003</v>
      </c>
      <c r="S2201">
        <v>-0.59915160000000001</v>
      </c>
      <c r="T2201">
        <v>6.7754149999999999E-2</v>
      </c>
      <c r="U2201">
        <v>-3.1572879999999999</v>
      </c>
      <c r="V2201">
        <v>-7.9798309999999997E-2</v>
      </c>
      <c r="W2201">
        <v>0.19848669999999999</v>
      </c>
      <c r="X2201">
        <v>0.97684970000000004</v>
      </c>
      <c r="Y2201">
        <v>-0.38556119999999999</v>
      </c>
      <c r="Z2201">
        <v>-3.0412160000000001E-2</v>
      </c>
      <c r="AA2201">
        <v>0.92218089999999997</v>
      </c>
      <c r="AB2201">
        <v>37</v>
      </c>
      <c r="AC2201">
        <v>-21.885499999999901</v>
      </c>
      <c r="AD2201">
        <v>2.486748</v>
      </c>
      <c r="AE2201">
        <v>-115.717199999999</v>
      </c>
      <c r="AF2201">
        <v>-45.439834572296199</v>
      </c>
      <c r="AG2201">
        <v>2.486748</v>
      </c>
      <c r="AH2201">
        <v>108.59239087330999</v>
      </c>
      <c r="AI2201">
        <v>88.789809152765898</v>
      </c>
      <c r="AJ2201">
        <v>112.706579780829</v>
      </c>
      <c r="AK2201">
        <v>117.742387597478</v>
      </c>
      <c r="AL2201">
        <v>78.551521139958894</v>
      </c>
      <c r="AM2201">
        <v>94.670090763845906</v>
      </c>
      <c r="AN2201">
        <v>1.00000003837291</v>
      </c>
    </row>
    <row r="2202" spans="1:40" x14ac:dyDescent="0.25">
      <c r="A2202" t="str">
        <f>"20190303171020567"</f>
        <v>20190303171020567</v>
      </c>
      <c r="B2202" t="str">
        <f>"1551604220563082"</f>
        <v>1551604220563082</v>
      </c>
      <c r="C2202" t="s">
        <v>40</v>
      </c>
      <c r="D2202">
        <v>4.9107969999999996</v>
      </c>
      <c r="E2202">
        <v>0.37570759999999997</v>
      </c>
      <c r="F2202" t="s">
        <v>65</v>
      </c>
      <c r="G2202">
        <v>-511.9264</v>
      </c>
      <c r="H2202">
        <v>3.591691</v>
      </c>
      <c r="I2202">
        <v>154.15379999999999</v>
      </c>
      <c r="J2202">
        <v>-490.14429999999999</v>
      </c>
      <c r="K2202">
        <v>1.135694</v>
      </c>
      <c r="L2202">
        <v>274.03789999999998</v>
      </c>
      <c r="M2202">
        <v>-0.54408339999999999</v>
      </c>
      <c r="N2202">
        <v>-1.6020039999999999E-2</v>
      </c>
      <c r="O2202">
        <v>-0.83887809999999896</v>
      </c>
      <c r="P2202">
        <v>-0.47238459999999899</v>
      </c>
      <c r="Q2202">
        <v>0.18555720000000001</v>
      </c>
      <c r="R2202">
        <v>-0.86163889999999999</v>
      </c>
      <c r="S2202">
        <v>-0.57629390000000003</v>
      </c>
      <c r="T2202">
        <v>6.4671400000000004E-2</v>
      </c>
      <c r="U2202">
        <v>-3.1611630000000002</v>
      </c>
      <c r="V2202">
        <v>-7.9899490000000004E-2</v>
      </c>
      <c r="W2202">
        <v>0.1984245</v>
      </c>
      <c r="X2202">
        <v>0.976854</v>
      </c>
      <c r="Y2202">
        <v>-0.3849668</v>
      </c>
      <c r="Z2202">
        <v>-2.9871209999999999E-2</v>
      </c>
      <c r="AA2202">
        <v>0.92244689999999996</v>
      </c>
      <c r="AB2202">
        <v>37</v>
      </c>
      <c r="AC2202">
        <v>-21.7821</v>
      </c>
      <c r="AD2202">
        <v>2.455997</v>
      </c>
      <c r="AE2202">
        <v>-119.8841</v>
      </c>
      <c r="AF2202">
        <v>-46.9413804686681</v>
      </c>
      <c r="AG2202">
        <v>2.455997</v>
      </c>
      <c r="AH2202">
        <v>112.388200530037</v>
      </c>
      <c r="AI2202">
        <v>88.844809311808405</v>
      </c>
      <c r="AJ2202">
        <v>112.668917442661</v>
      </c>
      <c r="AK2202">
        <v>121.822135673071</v>
      </c>
      <c r="AL2202">
        <v>78.555156513585999</v>
      </c>
      <c r="AM2202">
        <v>94.675965456659895</v>
      </c>
      <c r="AN2202">
        <v>0.999999974009254</v>
      </c>
    </row>
    <row r="2203" spans="1:40" x14ac:dyDescent="0.25">
      <c r="A2203" t="str">
        <f>"20190303171020578"</f>
        <v>20190303171020578</v>
      </c>
      <c r="B2203" t="str">
        <f>"1551604220572842"</f>
        <v>1551604220572842</v>
      </c>
      <c r="C2203" t="s">
        <v>40</v>
      </c>
      <c r="D2203">
        <v>4.9030940000000003</v>
      </c>
      <c r="E2203">
        <v>0.37660549999999998</v>
      </c>
      <c r="F2203" t="s">
        <v>65</v>
      </c>
      <c r="G2203">
        <v>-511.66379999999998</v>
      </c>
      <c r="H2203">
        <v>3.1554959999999999</v>
      </c>
      <c r="I2203">
        <v>153.596</v>
      </c>
      <c r="J2203">
        <v>-490.24079999999998</v>
      </c>
      <c r="K2203">
        <v>1.1356520000000001</v>
      </c>
      <c r="L2203">
        <v>273.88170000000002</v>
      </c>
      <c r="M2203">
        <v>-0.53789619999999905</v>
      </c>
      <c r="N2203">
        <v>-1.601052E-2</v>
      </c>
      <c r="O2203">
        <v>-0.84285909999999997</v>
      </c>
      <c r="P2203">
        <v>-0.46596199999999999</v>
      </c>
      <c r="Q2203">
        <v>0.1853754</v>
      </c>
      <c r="R2203">
        <v>-0.86516800000000005</v>
      </c>
      <c r="S2203">
        <v>-0.5647278</v>
      </c>
      <c r="T2203">
        <v>5.3005459999999997E-2</v>
      </c>
      <c r="U2203">
        <v>-3.1606749999999999</v>
      </c>
      <c r="V2203">
        <v>-7.9971940000000005E-2</v>
      </c>
      <c r="W2203">
        <v>0.19823950000000001</v>
      </c>
      <c r="X2203">
        <v>0.97688569999999997</v>
      </c>
      <c r="Y2203">
        <v>-0.38139030000000002</v>
      </c>
      <c r="Z2203">
        <v>-2.7354349999999999E-2</v>
      </c>
      <c r="AA2203">
        <v>0.92400930000000003</v>
      </c>
      <c r="AB2203">
        <v>37</v>
      </c>
      <c r="AC2203">
        <v>-21.422999999999998</v>
      </c>
      <c r="AD2203">
        <v>2.019844</v>
      </c>
      <c r="AE2203">
        <v>-120.28570000000001</v>
      </c>
      <c r="AF2203">
        <v>-46.637880821831303</v>
      </c>
      <c r="AG2203">
        <v>2.019844</v>
      </c>
      <c r="AH2203">
        <v>112.890860702726</v>
      </c>
      <c r="AI2203">
        <v>89.052619062250102</v>
      </c>
      <c r="AJ2203">
        <v>112.446675733623</v>
      </c>
      <c r="AK2203">
        <v>122.161852177912</v>
      </c>
      <c r="AL2203">
        <v>78.565971838176097</v>
      </c>
      <c r="AM2203">
        <v>94.680035430223796</v>
      </c>
      <c r="AN2203">
        <v>1.0000000407060501</v>
      </c>
    </row>
    <row r="2204" spans="1:40" x14ac:dyDescent="0.25">
      <c r="A2204" t="str">
        <f>"20190303171020590"</f>
        <v>20190303171020590</v>
      </c>
      <c r="B2204" t="str">
        <f>"1551604220582602"</f>
        <v>1551604220582602</v>
      </c>
      <c r="C2204" t="s">
        <v>40</v>
      </c>
      <c r="D2204">
        <v>4.9286779999999997</v>
      </c>
      <c r="E2204">
        <v>0.37751600000000002</v>
      </c>
      <c r="F2204" t="s">
        <v>65</v>
      </c>
      <c r="G2204">
        <v>-511.07380000000001</v>
      </c>
      <c r="H2204">
        <v>2.9690979999999998</v>
      </c>
      <c r="I2204">
        <v>153.596</v>
      </c>
      <c r="J2204">
        <v>-490.33629999999999</v>
      </c>
      <c r="K2204">
        <v>1.1356090000000001</v>
      </c>
      <c r="L2204">
        <v>273.7235</v>
      </c>
      <c r="M2204">
        <v>-0.53166000000000002</v>
      </c>
      <c r="N2204">
        <v>-1.60007E-2</v>
      </c>
      <c r="O2204">
        <v>-0.84680669999999902</v>
      </c>
      <c r="P2204">
        <v>-0.45971329999999999</v>
      </c>
      <c r="Q2204">
        <v>0.1853766</v>
      </c>
      <c r="R2204">
        <v>-0.8685039</v>
      </c>
      <c r="S2204">
        <v>-0.54769899999999905</v>
      </c>
      <c r="T2204">
        <v>4.8202160000000001E-2</v>
      </c>
      <c r="U2204">
        <v>-3.1622919999999999</v>
      </c>
      <c r="V2204">
        <v>-7.9780870000000004E-2</v>
      </c>
      <c r="W2204">
        <v>0.19824549999999999</v>
      </c>
      <c r="X2204">
        <v>0.97689999999999999</v>
      </c>
      <c r="Y2204">
        <v>-0.37946390000000002</v>
      </c>
      <c r="Z2204">
        <v>-2.6369670000000001E-2</v>
      </c>
      <c r="AA2204">
        <v>0.92483070000000001</v>
      </c>
      <c r="AB2204">
        <v>37</v>
      </c>
      <c r="AC2204">
        <v>-20.737500000000001</v>
      </c>
      <c r="AD2204">
        <v>1.8334889999999999</v>
      </c>
      <c r="AE2204">
        <v>-120.1275</v>
      </c>
      <c r="AF2204">
        <v>-46.301788293808499</v>
      </c>
      <c r="AG2204">
        <v>1.8334889999999999</v>
      </c>
      <c r="AH2204">
        <v>112.739006027881</v>
      </c>
      <c r="AI2204">
        <v>89.138118889415196</v>
      </c>
      <c r="AJ2204">
        <v>112.32790317763001</v>
      </c>
      <c r="AK2204">
        <v>121.890527775018</v>
      </c>
      <c r="AL2204">
        <v>78.565619909274602</v>
      </c>
      <c r="AM2204">
        <v>94.668835278904794</v>
      </c>
      <c r="AN2204">
        <v>0.99999993774410101</v>
      </c>
    </row>
    <row r="2205" spans="1:40" x14ac:dyDescent="0.25">
      <c r="A2205" t="str">
        <f>"20190303171020602"</f>
        <v>20190303171020602</v>
      </c>
      <c r="B2205" t="str">
        <f>"1551604220592362"</f>
        <v>1551604220592362</v>
      </c>
      <c r="C2205" t="s">
        <v>40</v>
      </c>
      <c r="D2205">
        <v>4.9472449999999997</v>
      </c>
      <c r="E2205">
        <v>0.37805810000000001</v>
      </c>
      <c r="F2205" t="s">
        <v>65</v>
      </c>
      <c r="G2205">
        <v>-511.05959999999999</v>
      </c>
      <c r="H2205">
        <v>2.8287110000000002</v>
      </c>
      <c r="I2205">
        <v>150.4496</v>
      </c>
      <c r="J2205">
        <v>-490.43619999999999</v>
      </c>
      <c r="K2205">
        <v>1.135564</v>
      </c>
      <c r="L2205">
        <v>273.5557</v>
      </c>
      <c r="M2205">
        <v>-0.52504569999999995</v>
      </c>
      <c r="N2205">
        <v>-1.5990259999999999E-2</v>
      </c>
      <c r="O2205">
        <v>-0.85092389999999996</v>
      </c>
      <c r="P2205">
        <v>-0.45302789999999998</v>
      </c>
      <c r="Q2205">
        <v>0.18559890000000001</v>
      </c>
      <c r="R2205">
        <v>-0.87196280000000004</v>
      </c>
      <c r="S2205">
        <v>-0.53179929999999997</v>
      </c>
      <c r="T2205">
        <v>4.3449040000000001E-2</v>
      </c>
      <c r="U2205">
        <v>-3.1634220000000002</v>
      </c>
      <c r="V2205">
        <v>-7.9632739999999994E-2</v>
      </c>
      <c r="W2205">
        <v>0.19847129999999999</v>
      </c>
      <c r="X2205">
        <v>0.97686629999999997</v>
      </c>
      <c r="Y2205">
        <v>-0.37681569999999998</v>
      </c>
      <c r="Z2205">
        <v>-2.538282E-2</v>
      </c>
      <c r="AA2205">
        <v>0.92594050000000006</v>
      </c>
      <c r="AB2205">
        <v>37</v>
      </c>
      <c r="AC2205">
        <v>-20.6234</v>
      </c>
      <c r="AD2205">
        <v>1.693147</v>
      </c>
      <c r="AE2205">
        <v>-123.1061</v>
      </c>
      <c r="AF2205">
        <v>-47.084738316379202</v>
      </c>
      <c r="AG2205">
        <v>1.693147</v>
      </c>
      <c r="AH2205">
        <v>115.57565483676601</v>
      </c>
      <c r="AI2205">
        <v>89.222714179622798</v>
      </c>
      <c r="AJ2205">
        <v>112.165648714737</v>
      </c>
      <c r="AK2205">
        <v>124.810141094515</v>
      </c>
      <c r="AL2205">
        <v>78.552420950387102</v>
      </c>
      <c r="AM2205">
        <v>94.660364878756297</v>
      </c>
      <c r="AN2205">
        <v>0.99999999913964299</v>
      </c>
    </row>
    <row r="2206" spans="1:40" x14ac:dyDescent="0.25">
      <c r="A2206" t="str">
        <f>"20190303171020615"</f>
        <v>20190303171020615</v>
      </c>
      <c r="B2206" t="str">
        <f>"1551604220602630"</f>
        <v>1551604220602630</v>
      </c>
      <c r="C2206" t="s">
        <v>40</v>
      </c>
      <c r="D2206">
        <v>4.9796120000000004</v>
      </c>
      <c r="E2206">
        <v>0.3787741</v>
      </c>
      <c r="F2206" t="s">
        <v>62</v>
      </c>
      <c r="G2206">
        <v>0</v>
      </c>
      <c r="H2206">
        <v>0</v>
      </c>
      <c r="I2206">
        <v>0</v>
      </c>
      <c r="J2206">
        <v>-490.54610000000002</v>
      </c>
      <c r="K2206">
        <v>1.1355139999999999</v>
      </c>
      <c r="L2206">
        <v>273.36810000000003</v>
      </c>
      <c r="M2206">
        <v>-0.51766089999999998</v>
      </c>
      <c r="N2206">
        <v>-1.597867E-2</v>
      </c>
      <c r="O2206">
        <v>-0.85543670000000005</v>
      </c>
      <c r="P2206">
        <v>-0.44594630000000002</v>
      </c>
      <c r="Q2206">
        <v>0.18524389999999999</v>
      </c>
      <c r="R2206">
        <v>-0.87568069999999898</v>
      </c>
      <c r="S2206">
        <v>-0.51095579999999996</v>
      </c>
      <c r="T2206">
        <v>4.3821449999999998E-2</v>
      </c>
      <c r="U2206">
        <v>-3.16568</v>
      </c>
      <c r="V2206">
        <v>-7.9092739999999995E-2</v>
      </c>
      <c r="W2206">
        <v>0.1981357</v>
      </c>
      <c r="X2206">
        <v>0.97697829999999997</v>
      </c>
      <c r="Y2206">
        <v>-0.3748417</v>
      </c>
      <c r="Z2206">
        <v>-2.5591389999999999E-2</v>
      </c>
      <c r="AA2206">
        <v>0.92673559999999999</v>
      </c>
      <c r="AB2206">
        <v>37</v>
      </c>
      <c r="AC2206">
        <v>-0.51095579999999996</v>
      </c>
      <c r="AD2206">
        <v>4.3821449999999998E-2</v>
      </c>
      <c r="AE2206">
        <v>-3.16568</v>
      </c>
      <c r="AF2206">
        <v>-1.2015874010154499</v>
      </c>
      <c r="AG2206">
        <v>4.3821449999999998E-2</v>
      </c>
      <c r="AH2206">
        <v>2.9723650257546601</v>
      </c>
      <c r="AI2206">
        <v>89.216909707244895</v>
      </c>
      <c r="AJ2206">
        <v>112.011167697215</v>
      </c>
      <c r="AK2206">
        <v>3.2063509552275602</v>
      </c>
      <c r="AL2206">
        <v>78.572039117358997</v>
      </c>
      <c r="AM2206">
        <v>94.628371787028001</v>
      </c>
      <c r="AN2206">
        <v>1.00000000790304</v>
      </c>
    </row>
    <row r="2207" spans="1:40" x14ac:dyDescent="0.25">
      <c r="A2207" t="str">
        <f>"20190303171020629"</f>
        <v>20190303171020629</v>
      </c>
      <c r="B2207" t="str">
        <f>"1551604220623126"</f>
        <v>1551604220623126</v>
      </c>
      <c r="C2207" t="s">
        <v>40</v>
      </c>
      <c r="D2207">
        <v>4.9828989999999997</v>
      </c>
      <c r="E2207">
        <v>0.37996380000000002</v>
      </c>
      <c r="F2207" t="s">
        <v>62</v>
      </c>
      <c r="G2207">
        <v>0</v>
      </c>
      <c r="H2207">
        <v>0</v>
      </c>
      <c r="I2207">
        <v>0</v>
      </c>
      <c r="J2207">
        <v>-490.65109999999999</v>
      </c>
      <c r="K2207">
        <v>1.135464</v>
      </c>
      <c r="L2207">
        <v>273.18389999999999</v>
      </c>
      <c r="M2207">
        <v>-0.51044449999999997</v>
      </c>
      <c r="N2207">
        <v>-1.5966629999999999E-2</v>
      </c>
      <c r="O2207">
        <v>-0.85976249999999999</v>
      </c>
      <c r="P2207">
        <v>-0.43887330000000002</v>
      </c>
      <c r="Q2207">
        <v>0.1849954</v>
      </c>
      <c r="R2207">
        <v>-0.87929930000000001</v>
      </c>
      <c r="S2207">
        <v>-0.48968509999999998</v>
      </c>
      <c r="T2207">
        <v>4.087913E-2</v>
      </c>
      <c r="U2207">
        <v>-3.1679379999999999</v>
      </c>
      <c r="V2207">
        <v>-7.873695E-2</v>
      </c>
      <c r="W2207">
        <v>0.1978983</v>
      </c>
      <c r="X2207">
        <v>0.97705509999999995</v>
      </c>
      <c r="Y2207">
        <v>-0.37320910000000002</v>
      </c>
      <c r="Z2207">
        <v>-2.5009179999999999E-2</v>
      </c>
      <c r="AA2207">
        <v>0.92741010000000002</v>
      </c>
      <c r="AB2207">
        <v>37</v>
      </c>
      <c r="AC2207">
        <v>-0.48968509999999998</v>
      </c>
      <c r="AD2207">
        <v>4.087913E-2</v>
      </c>
      <c r="AE2207">
        <v>-3.1679379999999999</v>
      </c>
      <c r="AF2207">
        <v>-1.19600157798379</v>
      </c>
      <c r="AG2207">
        <v>4.087913E-2</v>
      </c>
      <c r="AH2207">
        <v>2.9735267786005601</v>
      </c>
      <c r="AI2207">
        <v>89.269252603629695</v>
      </c>
      <c r="AJ2207">
        <v>111.910805870622</v>
      </c>
      <c r="AK2207">
        <v>3.2053006693388202</v>
      </c>
      <c r="AL2207">
        <v>78.585915320236197</v>
      </c>
      <c r="AM2207">
        <v>94.607280797380696</v>
      </c>
      <c r="AN2207">
        <v>0.99999995643710005</v>
      </c>
    </row>
    <row r="2208" spans="1:40" x14ac:dyDescent="0.25">
      <c r="A2208" t="str">
        <f>"20190303171020647"</f>
        <v>20190303171020647</v>
      </c>
      <c r="B2208" t="str">
        <f>"1551604220632886"</f>
        <v>1551604220632886</v>
      </c>
      <c r="C2208" t="s">
        <v>40</v>
      </c>
      <c r="D2208">
        <v>4.971298</v>
      </c>
      <c r="E2208">
        <v>0.37996380000000002</v>
      </c>
      <c r="F2208" t="s">
        <v>62</v>
      </c>
      <c r="G2208">
        <v>0</v>
      </c>
      <c r="H2208">
        <v>0</v>
      </c>
      <c r="I2208">
        <v>0</v>
      </c>
      <c r="J2208">
        <v>-490.78859999999997</v>
      </c>
      <c r="K2208">
        <v>1.135392</v>
      </c>
      <c r="L2208">
        <v>272.93779999999998</v>
      </c>
      <c r="M2208">
        <v>-0.5008203</v>
      </c>
      <c r="N2208">
        <v>-1.5950590000000001E-2</v>
      </c>
      <c r="O2208">
        <v>-0.86540439999999996</v>
      </c>
      <c r="P2208">
        <v>-0.42930469999999998</v>
      </c>
      <c r="Q2208">
        <v>0.18431900000000001</v>
      </c>
      <c r="R2208">
        <v>-0.88415169999999998</v>
      </c>
      <c r="S2208">
        <v>-0.4727478</v>
      </c>
      <c r="T2208">
        <v>3.6059140000000003E-2</v>
      </c>
      <c r="U2208">
        <v>-3.168304</v>
      </c>
      <c r="V2208">
        <v>-7.8448119999999996E-2</v>
      </c>
      <c r="W2208">
        <v>0.1972322</v>
      </c>
      <c r="X2208">
        <v>0.97721309999999995</v>
      </c>
      <c r="Y2208">
        <v>-0.36770449999999999</v>
      </c>
      <c r="Z2208">
        <v>-2.3993509999999999E-2</v>
      </c>
      <c r="AA2208">
        <v>0.92963309999999999</v>
      </c>
      <c r="AB2208">
        <v>37</v>
      </c>
      <c r="AC2208">
        <v>-0.4727478</v>
      </c>
      <c r="AD2208">
        <v>3.6059140000000003E-2</v>
      </c>
      <c r="AE2208">
        <v>-3.168304</v>
      </c>
      <c r="AF2208">
        <v>-1.17763345064792</v>
      </c>
      <c r="AG2208">
        <v>3.6059140000000003E-2</v>
      </c>
      <c r="AH2208">
        <v>2.9786272250432999</v>
      </c>
      <c r="AI2208">
        <v>89.354990258123095</v>
      </c>
      <c r="AJ2208">
        <v>111.571916725599</v>
      </c>
      <c r="AK2208">
        <v>3.2031766968794702</v>
      </c>
      <c r="AL2208">
        <v>78.624848430018602</v>
      </c>
      <c r="AM2208">
        <v>94.589713283956797</v>
      </c>
      <c r="AN2208">
        <v>1.00000004552999</v>
      </c>
    </row>
    <row r="2209" spans="1:40" x14ac:dyDescent="0.25">
      <c r="A2209" t="str">
        <f>"20190303171020657"</f>
        <v>20190303171020657</v>
      </c>
      <c r="B2209" t="str">
        <f>"1551604220652406"</f>
        <v>1551604220652406</v>
      </c>
      <c r="C2209" t="s">
        <v>40</v>
      </c>
      <c r="D2209">
        <v>5.0035020000000001</v>
      </c>
      <c r="E2209">
        <v>0.39193420000000001</v>
      </c>
      <c r="F2209" t="s">
        <v>62</v>
      </c>
      <c r="G2209">
        <v>0</v>
      </c>
      <c r="H2209">
        <v>0</v>
      </c>
      <c r="I2209">
        <v>0</v>
      </c>
      <c r="J2209">
        <v>-490.87380000000002</v>
      </c>
      <c r="K2209">
        <v>1.1353470000000001</v>
      </c>
      <c r="L2209">
        <v>272.78300000000002</v>
      </c>
      <c r="M2209">
        <v>-0.4947703</v>
      </c>
      <c r="N2209">
        <v>-1.5940679999999999E-2</v>
      </c>
      <c r="O2209">
        <v>-0.86887760000000003</v>
      </c>
      <c r="P2209">
        <v>-0.42330570000000001</v>
      </c>
      <c r="Q2209">
        <v>0.1843118</v>
      </c>
      <c r="R2209">
        <v>-0.88704079999999996</v>
      </c>
      <c r="S2209">
        <v>-0.4390869</v>
      </c>
      <c r="T2209">
        <v>3.3269170000000001E-2</v>
      </c>
      <c r="U2209">
        <v>-3.172974</v>
      </c>
      <c r="V2209">
        <v>-7.8225870000000003E-2</v>
      </c>
      <c r="W2209">
        <v>0.19723170000000001</v>
      </c>
      <c r="X2209">
        <v>0.97723099999999996</v>
      </c>
      <c r="Y2209">
        <v>-0.37107079999999998</v>
      </c>
      <c r="Z2209">
        <v>-2.340426E-2</v>
      </c>
      <c r="AA2209">
        <v>0.92830959999999996</v>
      </c>
      <c r="AB2209">
        <v>37</v>
      </c>
      <c r="AC2209">
        <v>-0.4390869</v>
      </c>
      <c r="AD2209">
        <v>3.3269170000000001E-2</v>
      </c>
      <c r="AE2209">
        <v>-3.172974</v>
      </c>
      <c r="AF2209">
        <v>-1.18840332194735</v>
      </c>
      <c r="AG2209">
        <v>3.3269170000000001E-2</v>
      </c>
      <c r="AH2209">
        <v>2.97423024287114</v>
      </c>
      <c r="AI2209">
        <v>89.404872161329806</v>
      </c>
      <c r="AJ2209">
        <v>111.780003654735</v>
      </c>
      <c r="AK2209">
        <v>3.2030383748711699</v>
      </c>
      <c r="AL2209">
        <v>78.624877458973899</v>
      </c>
      <c r="AM2209">
        <v>94.576682090776302</v>
      </c>
      <c r="AN2209">
        <v>1.00000002879157</v>
      </c>
    </row>
    <row r="2210" spans="1:40" x14ac:dyDescent="0.25">
      <c r="A2210" t="str">
        <f>"20190303171020668"</f>
        <v>20190303171020668</v>
      </c>
      <c r="B2210" t="str">
        <f>"1551604220663142"</f>
        <v>1551604220663142</v>
      </c>
      <c r="C2210" t="s">
        <v>40</v>
      </c>
      <c r="D2210">
        <v>4.9769889999999997</v>
      </c>
      <c r="E2210">
        <v>0.39251639999999999</v>
      </c>
      <c r="F2210" t="s">
        <v>66</v>
      </c>
      <c r="G2210">
        <v>-577.25739999999996</v>
      </c>
      <c r="H2210">
        <v>-0.1</v>
      </c>
      <c r="I2210">
        <v>-265.1816</v>
      </c>
      <c r="J2210">
        <v>-490.96300000000002</v>
      </c>
      <c r="K2210">
        <v>1.135294</v>
      </c>
      <c r="L2210">
        <v>272.61619999999999</v>
      </c>
      <c r="M2210">
        <v>-0.48829620000000001</v>
      </c>
      <c r="N2210">
        <v>-1.5928890000000001E-2</v>
      </c>
      <c r="O2210">
        <v>-0.87253250000000004</v>
      </c>
      <c r="P2210">
        <v>-0.41681829999999997</v>
      </c>
      <c r="Q2210">
        <v>0.1845214</v>
      </c>
      <c r="R2210">
        <v>-0.89006409999999903</v>
      </c>
      <c r="S2210">
        <v>-0.5046387</v>
      </c>
      <c r="T2210">
        <v>-7.2166919999999898E-3</v>
      </c>
      <c r="U2210">
        <v>-3.1427</v>
      </c>
      <c r="V2210">
        <v>-7.8054219999999994E-2</v>
      </c>
      <c r="W2210">
        <v>0.19744529999999999</v>
      </c>
      <c r="X2210">
        <v>0.9772016</v>
      </c>
      <c r="Y2210">
        <v>-0.34379470000000001</v>
      </c>
      <c r="Z2210">
        <v>-1.349763E-2</v>
      </c>
      <c r="AA2210">
        <v>0.93894789999999995</v>
      </c>
      <c r="AB2210">
        <v>37</v>
      </c>
      <c r="AC2210">
        <v>-86.294399999999897</v>
      </c>
      <c r="AD2210">
        <v>-1.2352939999999999</v>
      </c>
      <c r="AE2210">
        <v>-537.79780000000005</v>
      </c>
      <c r="AF2210">
        <v>-187.33276953295001</v>
      </c>
      <c r="AG2210">
        <v>-1.2352939999999999</v>
      </c>
      <c r="AH2210">
        <v>511.445577492197</v>
      </c>
      <c r="AI2210">
        <v>90.129943720645898</v>
      </c>
      <c r="AJ2210">
        <v>110.11681991102699</v>
      </c>
      <c r="AK2210">
        <v>544.67574870603403</v>
      </c>
      <c r="AL2210">
        <v>78.6123936899683</v>
      </c>
      <c r="AM2210">
        <v>94.566818872686596</v>
      </c>
      <c r="AN2210">
        <v>1.00000003739722</v>
      </c>
    </row>
    <row r="2211" spans="1:40" x14ac:dyDescent="0.25">
      <c r="A2211" t="str">
        <f>"20190303171020680"</f>
        <v>20190303171020680</v>
      </c>
      <c r="B2211" t="str">
        <f>"1551604220672902"</f>
        <v>1551604220672902</v>
      </c>
      <c r="C2211" t="s">
        <v>40</v>
      </c>
      <c r="D2211">
        <v>5.0130679999999996</v>
      </c>
      <c r="E2211">
        <v>0.39312520000000001</v>
      </c>
      <c r="F2211" t="s">
        <v>41</v>
      </c>
      <c r="G2211">
        <v>-541.12980000000005</v>
      </c>
      <c r="H2211">
        <v>-0.05</v>
      </c>
      <c r="I2211">
        <v>-51.953220000000002</v>
      </c>
      <c r="J2211">
        <v>-491.05239999999998</v>
      </c>
      <c r="K2211">
        <v>1.1352420000000001</v>
      </c>
      <c r="L2211">
        <v>272.44740000000002</v>
      </c>
      <c r="M2211">
        <v>-0.481738</v>
      </c>
      <c r="N2211">
        <v>-1.591714E-2</v>
      </c>
      <c r="O2211">
        <v>-0.87617060000000002</v>
      </c>
      <c r="P2211">
        <v>-0.41080179999999999</v>
      </c>
      <c r="Q2211">
        <v>0.1845067</v>
      </c>
      <c r="R2211">
        <v>-0.89286010000000005</v>
      </c>
      <c r="S2211">
        <v>-0.48614499999999999</v>
      </c>
      <c r="T2211">
        <v>-1.148617E-2</v>
      </c>
      <c r="U2211">
        <v>-3.1452640000000001</v>
      </c>
      <c r="V2211">
        <v>-7.7291219999999994E-2</v>
      </c>
      <c r="W2211">
        <v>0.19745660000000001</v>
      </c>
      <c r="X2211">
        <v>0.97725989999999996</v>
      </c>
      <c r="Y2211">
        <v>-0.34225169999999999</v>
      </c>
      <c r="Z2211">
        <v>-1.2445889999999999E-2</v>
      </c>
      <c r="AA2211">
        <v>0.93952590000000002</v>
      </c>
      <c r="AB2211">
        <v>37</v>
      </c>
      <c r="AC2211">
        <v>-50.077399999999997</v>
      </c>
      <c r="AD2211">
        <v>-1.1852419999999999</v>
      </c>
      <c r="AE2211">
        <v>-324.40062</v>
      </c>
      <c r="AF2211">
        <v>-112.412548421114</v>
      </c>
      <c r="AG2211">
        <v>-1.1852419999999999</v>
      </c>
      <c r="AH2211">
        <v>308.38955504745201</v>
      </c>
      <c r="AI2211">
        <v>90.206889230214898</v>
      </c>
      <c r="AJ2211">
        <v>110.027545230301</v>
      </c>
      <c r="AK2211">
        <v>328.24092295674097</v>
      </c>
      <c r="AL2211">
        <v>78.611732546723502</v>
      </c>
      <c r="AM2211">
        <v>94.522094466653996</v>
      </c>
      <c r="AN2211">
        <v>0.99999997686032804</v>
      </c>
    </row>
    <row r="2212" spans="1:40" x14ac:dyDescent="0.25">
      <c r="A2212" t="str">
        <f>"20190303171020691"</f>
        <v>20190303171020691</v>
      </c>
      <c r="B2212" t="str">
        <f>"1551604220682663"</f>
        <v>1551604220682663</v>
      </c>
      <c r="C2212" t="s">
        <v>40</v>
      </c>
      <c r="D2212">
        <v>5.0008980000000003</v>
      </c>
      <c r="E2212">
        <v>0.39376070000000002</v>
      </c>
      <c r="F2212" t="s">
        <v>41</v>
      </c>
      <c r="G2212">
        <v>-530.40480000000002</v>
      </c>
      <c r="H2212">
        <v>-0.05</v>
      </c>
      <c r="I2212">
        <v>8.5597689999999993</v>
      </c>
      <c r="J2212">
        <v>-491.1388</v>
      </c>
      <c r="K2212">
        <v>1.135189</v>
      </c>
      <c r="L2212">
        <v>272.28059999999999</v>
      </c>
      <c r="M2212">
        <v>-0.4752844</v>
      </c>
      <c r="N2212">
        <v>-1.5905030000000001E-2</v>
      </c>
      <c r="O2212">
        <v>-0.87968840000000004</v>
      </c>
      <c r="P2212">
        <v>-0.40447169999999999</v>
      </c>
      <c r="Q2212">
        <v>0.1846004</v>
      </c>
      <c r="R2212">
        <v>-0.89572619999999903</v>
      </c>
      <c r="S2212">
        <v>-0.46929929999999997</v>
      </c>
      <c r="T2212">
        <v>-1.413465E-2</v>
      </c>
      <c r="U2212">
        <v>-3.1470030000000002</v>
      </c>
      <c r="V2212">
        <v>-7.6990890000000006E-2</v>
      </c>
      <c r="W2212">
        <v>0.19755890000000001</v>
      </c>
      <c r="X2212">
        <v>0.97726299999999999</v>
      </c>
      <c r="Y2212">
        <v>-0.34033479999999999</v>
      </c>
      <c r="Z2212">
        <v>-1.1781939999999999E-2</v>
      </c>
      <c r="AA2212">
        <v>0.94023049999999997</v>
      </c>
      <c r="AB2212">
        <v>37</v>
      </c>
      <c r="AC2212">
        <v>-39.265999999999998</v>
      </c>
      <c r="AD2212">
        <v>-1.185189</v>
      </c>
      <c r="AE2212">
        <v>-263.72083099999998</v>
      </c>
      <c r="AF2212">
        <v>-90.810248985560506</v>
      </c>
      <c r="AG2212">
        <v>-1.185189</v>
      </c>
      <c r="AH2212">
        <v>250.681441027934</v>
      </c>
      <c r="AI2212">
        <v>90.254689003723797</v>
      </c>
      <c r="AJ2212">
        <v>109.913100572293</v>
      </c>
      <c r="AK2212">
        <v>266.62537551708601</v>
      </c>
      <c r="AL2212">
        <v>78.605754178314896</v>
      </c>
      <c r="AM2212">
        <v>94.5045812208418</v>
      </c>
      <c r="AN2212">
        <v>1.0000000436406</v>
      </c>
    </row>
    <row r="2213" spans="1:40" x14ac:dyDescent="0.25">
      <c r="A2213" t="str">
        <f>"20190303171020702"</f>
        <v>20190303171020702</v>
      </c>
      <c r="B2213" t="str">
        <f>"1551604220692422"</f>
        <v>1551604220692422</v>
      </c>
      <c r="C2213" t="s">
        <v>40</v>
      </c>
      <c r="D2213">
        <v>5.0257259999999997</v>
      </c>
      <c r="E2213">
        <v>0.39433170000000001</v>
      </c>
      <c r="F2213" t="s">
        <v>41</v>
      </c>
      <c r="G2213">
        <v>-522.84079999999994</v>
      </c>
      <c r="H2213">
        <v>-0.05</v>
      </c>
      <c r="I2213">
        <v>51.095170000000003</v>
      </c>
      <c r="J2213">
        <v>-491.21390000000002</v>
      </c>
      <c r="K2213">
        <v>1.1351439999999999</v>
      </c>
      <c r="L2213">
        <v>272.13319999999999</v>
      </c>
      <c r="M2213">
        <v>-0.46959299999999998</v>
      </c>
      <c r="N2213">
        <v>-1.589428E-2</v>
      </c>
      <c r="O2213">
        <v>-0.88273999999999997</v>
      </c>
      <c r="P2213">
        <v>-0.39905980000000002</v>
      </c>
      <c r="Q2213">
        <v>0.18448780000000001</v>
      </c>
      <c r="R2213">
        <v>-0.89817349999999996</v>
      </c>
      <c r="S2213">
        <v>-0.45132450000000002</v>
      </c>
      <c r="T2213">
        <v>-1.687288E-2</v>
      </c>
      <c r="U2213">
        <v>-3.148895</v>
      </c>
      <c r="V2213">
        <v>-7.6557200000000006E-2</v>
      </c>
      <c r="W2213">
        <v>0.19746030000000001</v>
      </c>
      <c r="X2213">
        <v>0.97731699999999999</v>
      </c>
      <c r="Y2213">
        <v>-0.33959519999999999</v>
      </c>
      <c r="Z2213">
        <v>-1.109241E-2</v>
      </c>
      <c r="AA2213">
        <v>0.94050630000000002</v>
      </c>
      <c r="AB2213">
        <v>37</v>
      </c>
      <c r="AC2213">
        <v>-31.6268999999999</v>
      </c>
      <c r="AD2213">
        <v>-1.185144</v>
      </c>
      <c r="AE2213">
        <v>-221.03802999999999</v>
      </c>
      <c r="AF2213">
        <v>-75.887025948209597</v>
      </c>
      <c r="AG2213">
        <v>-1.185144</v>
      </c>
      <c r="AH2213">
        <v>209.99148027652399</v>
      </c>
      <c r="AI2213">
        <v>90.304112430787697</v>
      </c>
      <c r="AJ2213">
        <v>109.868915722314</v>
      </c>
      <c r="AK2213">
        <v>223.28606553542599</v>
      </c>
      <c r="AL2213">
        <v>78.611517100825495</v>
      </c>
      <c r="AM2213">
        <v>94.479063961391006</v>
      </c>
      <c r="AN2213">
        <v>1.00000004671846</v>
      </c>
    </row>
    <row r="2214" spans="1:40" x14ac:dyDescent="0.25">
      <c r="A2214" t="str">
        <f>"20190303171020712"</f>
        <v>20190303171020712</v>
      </c>
      <c r="B2214" t="str">
        <f>"1551604220702689"</f>
        <v>1551604220702689</v>
      </c>
      <c r="C2214" t="s">
        <v>40</v>
      </c>
      <c r="D2214">
        <v>5.0160200000000001</v>
      </c>
      <c r="E2214">
        <v>0.39466240000000002</v>
      </c>
      <c r="F2214" t="s">
        <v>41</v>
      </c>
      <c r="G2214">
        <v>-519.04610000000002</v>
      </c>
      <c r="H2214">
        <v>-0.05</v>
      </c>
      <c r="I2214">
        <v>71.425539999999998</v>
      </c>
      <c r="J2214">
        <v>-491.29</v>
      </c>
      <c r="K2214">
        <v>1.1351009999999999</v>
      </c>
      <c r="L2214">
        <v>271.98160000000001</v>
      </c>
      <c r="M2214">
        <v>-0.46375349999999999</v>
      </c>
      <c r="N2214">
        <v>-1.5883379999999999E-2</v>
      </c>
      <c r="O2214">
        <v>-0.885821999999999</v>
      </c>
      <c r="P2214">
        <v>-0.39319969999999999</v>
      </c>
      <c r="Q2214">
        <v>0.18445149999999999</v>
      </c>
      <c r="R2214">
        <v>-0.90076199999999995</v>
      </c>
      <c r="S2214">
        <v>-0.43679810000000002</v>
      </c>
      <c r="T2214">
        <v>-1.8599629999999999E-2</v>
      </c>
      <c r="U2214">
        <v>-3.149902</v>
      </c>
      <c r="V2214">
        <v>-7.6447299999999996E-2</v>
      </c>
      <c r="W2214">
        <v>0.1974262</v>
      </c>
      <c r="X2214">
        <v>0.97733250000000005</v>
      </c>
      <c r="Y2214">
        <v>-0.33767629999999998</v>
      </c>
      <c r="Z2214">
        <v>-1.0643929999999999E-2</v>
      </c>
      <c r="AA2214">
        <v>0.94120219999999999</v>
      </c>
      <c r="AB2214">
        <v>37</v>
      </c>
      <c r="AC2214">
        <v>-27.7561</v>
      </c>
      <c r="AD2214">
        <v>-1.185101</v>
      </c>
      <c r="AE2214">
        <v>-200.55606</v>
      </c>
      <c r="AF2214">
        <v>-68.427891689761196</v>
      </c>
      <c r="AG2214">
        <v>-1.185101</v>
      </c>
      <c r="AH2214">
        <v>190.54644878458299</v>
      </c>
      <c r="AI2214">
        <v>90.335376287870403</v>
      </c>
      <c r="AJ2214">
        <v>109.753922292076</v>
      </c>
      <c r="AK2214">
        <v>202.46414489953901</v>
      </c>
      <c r="AL2214">
        <v>78.613510214480499</v>
      </c>
      <c r="AM2214">
        <v>94.472589601666101</v>
      </c>
      <c r="AN2214">
        <v>1.0000000548399799</v>
      </c>
    </row>
    <row r="2215" spans="1:40" x14ac:dyDescent="0.25">
      <c r="A2215" t="str">
        <f>"20190303171020723"</f>
        <v>20190303171020723</v>
      </c>
      <c r="B2215" t="str">
        <f>"1551604220712450"</f>
        <v>1551604220712450</v>
      </c>
      <c r="C2215" t="s">
        <v>40</v>
      </c>
      <c r="D2215">
        <v>5.024146</v>
      </c>
      <c r="E2215">
        <v>0.3950285</v>
      </c>
      <c r="F2215" t="s">
        <v>41</v>
      </c>
      <c r="G2215">
        <v>-519.74549999999999</v>
      </c>
      <c r="H2215">
        <v>-0.05</v>
      </c>
      <c r="I2215">
        <v>57.718240000000002</v>
      </c>
      <c r="J2215">
        <v>-491.36529999999999</v>
      </c>
      <c r="K2215">
        <v>1.1350530000000001</v>
      </c>
      <c r="L2215">
        <v>271.82870000000003</v>
      </c>
      <c r="M2215">
        <v>-0.45788030000000002</v>
      </c>
      <c r="N2215">
        <v>-1.587204E-2</v>
      </c>
      <c r="O2215">
        <v>-0.8888722</v>
      </c>
      <c r="P2215">
        <v>-0.38704339999999998</v>
      </c>
      <c r="Q2215">
        <v>0.18418290000000001</v>
      </c>
      <c r="R2215">
        <v>-0.90347889999999997</v>
      </c>
      <c r="S2215">
        <v>-0.4185181</v>
      </c>
      <c r="T2215">
        <v>-1.7430190000000002E-2</v>
      </c>
      <c r="U2215">
        <v>-3.1513369999999998</v>
      </c>
      <c r="V2215">
        <v>-7.6638510000000007E-2</v>
      </c>
      <c r="W2215">
        <v>0.1971494</v>
      </c>
      <c r="X2215">
        <v>0.97737339999999995</v>
      </c>
      <c r="Y2215">
        <v>-0.33686700000000003</v>
      </c>
      <c r="Z2215">
        <v>-1.0933160000000001E-2</v>
      </c>
      <c r="AA2215">
        <v>0.94148869999999896</v>
      </c>
      <c r="AB2215">
        <v>37</v>
      </c>
      <c r="AC2215">
        <v>-28.380199999999999</v>
      </c>
      <c r="AD2215">
        <v>-1.1850529999999999</v>
      </c>
      <c r="AE2215">
        <v>-214.11045999999999</v>
      </c>
      <c r="AF2215">
        <v>-72.817568837735905</v>
      </c>
      <c r="AG2215">
        <v>-1.1850529999999999</v>
      </c>
      <c r="AH2215">
        <v>203.331055000498</v>
      </c>
      <c r="AI2215">
        <v>90.314375891526197</v>
      </c>
      <c r="AJ2215">
        <v>109.703624263449</v>
      </c>
      <c r="AK2215">
        <v>215.97990788419801</v>
      </c>
      <c r="AL2215">
        <v>78.629687645598196</v>
      </c>
      <c r="AM2215">
        <v>94.483544019011902</v>
      </c>
      <c r="AN2215">
        <v>1.0000000550814601</v>
      </c>
    </row>
    <row r="2216" spans="1:40" x14ac:dyDescent="0.25">
      <c r="A2216" t="str">
        <f>"20190303171020733"</f>
        <v>20190303171020733</v>
      </c>
      <c r="B2216" t="str">
        <f>"1551604220723185"</f>
        <v>1551604220723185</v>
      </c>
      <c r="C2216" t="s">
        <v>40</v>
      </c>
      <c r="D2216">
        <v>5.017811</v>
      </c>
      <c r="E2216">
        <v>0.3950285</v>
      </c>
      <c r="F2216" t="s">
        <v>41</v>
      </c>
      <c r="G2216">
        <v>-517.63789999999995</v>
      </c>
      <c r="H2216">
        <v>-0.05</v>
      </c>
      <c r="I2216">
        <v>64.777730000000005</v>
      </c>
      <c r="J2216">
        <v>-491.4452</v>
      </c>
      <c r="K2216">
        <v>1.134998</v>
      </c>
      <c r="L2216">
        <v>271.66449999999998</v>
      </c>
      <c r="M2216">
        <v>-0.45157910000000001</v>
      </c>
      <c r="N2216">
        <v>-1.586011E-2</v>
      </c>
      <c r="O2216">
        <v>-0.8920903</v>
      </c>
      <c r="P2216">
        <v>-0.38033600000000001</v>
      </c>
      <c r="Q2216">
        <v>0.1838313</v>
      </c>
      <c r="R2216">
        <v>-0.90639449999999999</v>
      </c>
      <c r="S2216">
        <v>-0.40005489999999999</v>
      </c>
      <c r="T2216">
        <v>-1.8044830000000001E-2</v>
      </c>
      <c r="U2216">
        <v>-3.152771</v>
      </c>
      <c r="V2216">
        <v>-7.6960260000000003E-2</v>
      </c>
      <c r="W2216">
        <v>0.19678480000000001</v>
      </c>
      <c r="X2216">
        <v>0.97742150000000005</v>
      </c>
      <c r="Y2216">
        <v>-0.33568150000000002</v>
      </c>
      <c r="Z2216">
        <v>-1.0766629999999999E-2</v>
      </c>
      <c r="AA2216">
        <v>0.94191400000000003</v>
      </c>
      <c r="AB2216">
        <v>37</v>
      </c>
      <c r="AC2216">
        <v>-26.192699999999899</v>
      </c>
      <c r="AD2216">
        <v>-1.184998</v>
      </c>
      <c r="AE2216">
        <v>-206.88677000000001</v>
      </c>
      <c r="AF2216">
        <v>-70.066026975946201</v>
      </c>
      <c r="AG2216">
        <v>-1.184998</v>
      </c>
      <c r="AH2216">
        <v>196.40808713907001</v>
      </c>
      <c r="AI2216">
        <v>90.325584646072997</v>
      </c>
      <c r="AJ2216">
        <v>109.63319679422101</v>
      </c>
      <c r="AK2216">
        <v>208.53486291285299</v>
      </c>
      <c r="AL2216">
        <v>78.650994047998907</v>
      </c>
      <c r="AM2216">
        <v>94.502069315163695</v>
      </c>
      <c r="AN2216">
        <v>0.99999996389627799</v>
      </c>
    </row>
    <row r="2217" spans="1:40" x14ac:dyDescent="0.25">
      <c r="A2217" t="str">
        <f>"20190303171020746"</f>
        <v>20190303171020746</v>
      </c>
      <c r="B2217" t="str">
        <f>"1551604220732944"</f>
        <v>1551604220732944</v>
      </c>
      <c r="C2217" t="s">
        <v>40</v>
      </c>
      <c r="D2217">
        <v>5.0203329999999999</v>
      </c>
      <c r="E2217">
        <v>0.40122059999999998</v>
      </c>
      <c r="F2217" t="s">
        <v>41</v>
      </c>
      <c r="G2217">
        <v>-513.94640000000004</v>
      </c>
      <c r="H2217">
        <v>-0.05</v>
      </c>
      <c r="I2217">
        <v>83.344380000000001</v>
      </c>
      <c r="J2217">
        <v>-491.52480000000003</v>
      </c>
      <c r="K2217">
        <v>1.134944</v>
      </c>
      <c r="L2217">
        <v>271.49619999999999</v>
      </c>
      <c r="M2217">
        <v>-0.445162</v>
      </c>
      <c r="N2217">
        <v>-1.584731E-2</v>
      </c>
      <c r="O2217">
        <v>-0.89531000000000005</v>
      </c>
      <c r="P2217">
        <v>-0.37328030000000001</v>
      </c>
      <c r="Q2217">
        <v>0.18351590000000001</v>
      </c>
      <c r="R2217">
        <v>-0.90938680000000005</v>
      </c>
      <c r="S2217">
        <v>-0.37704470000000001</v>
      </c>
      <c r="T2217">
        <v>-1.985657E-2</v>
      </c>
      <c r="U2217">
        <v>-3.1556090000000001</v>
      </c>
      <c r="V2217">
        <v>-7.7529070000000005E-2</v>
      </c>
      <c r="W2217">
        <v>0.1964468</v>
      </c>
      <c r="X2217">
        <v>0.9774446</v>
      </c>
      <c r="Y2217">
        <v>-0.335787</v>
      </c>
      <c r="Z2217">
        <v>-1.029711E-2</v>
      </c>
      <c r="AA2217">
        <v>0.94188170000000004</v>
      </c>
      <c r="AB2217">
        <v>37</v>
      </c>
      <c r="AC2217">
        <v>-22.421600000000002</v>
      </c>
      <c r="AD2217">
        <v>-1.184944</v>
      </c>
      <c r="AE2217">
        <v>-188.15181999999999</v>
      </c>
      <c r="AF2217">
        <v>-63.689254472445803</v>
      </c>
      <c r="AG2217">
        <v>-1.184944</v>
      </c>
      <c r="AH2217">
        <v>178.45085138707199</v>
      </c>
      <c r="AI2217">
        <v>90.358312003882006</v>
      </c>
      <c r="AJ2217">
        <v>109.641523949345</v>
      </c>
      <c r="AK2217">
        <v>189.479369822443</v>
      </c>
      <c r="AL2217">
        <v>78.670746249678203</v>
      </c>
      <c r="AM2217">
        <v>94.535098877991302</v>
      </c>
      <c r="AN2217">
        <v>1.00000002399723</v>
      </c>
    </row>
    <row r="2218" spans="1:40" x14ac:dyDescent="0.25">
      <c r="A2218" t="str">
        <f>"20190303171020758"</f>
        <v>20190303171020758</v>
      </c>
      <c r="B2218" t="str">
        <f>"1551604220752465"</f>
        <v>1551604220752465</v>
      </c>
      <c r="C2218" t="s">
        <v>40</v>
      </c>
      <c r="D2218">
        <v>5.0225580000000001</v>
      </c>
      <c r="E2218">
        <v>0.4009703</v>
      </c>
      <c r="F2218" t="s">
        <v>42</v>
      </c>
      <c r="G2218">
        <v>-503.21980000000002</v>
      </c>
      <c r="H2218">
        <v>7.9985589999999995E-2</v>
      </c>
      <c r="I2218">
        <v>179.25370000000001</v>
      </c>
      <c r="J2218">
        <v>-491.60739999999998</v>
      </c>
      <c r="K2218">
        <v>1.1348879999999999</v>
      </c>
      <c r="L2218">
        <v>271.32010000000002</v>
      </c>
      <c r="M2218">
        <v>-0.4384402</v>
      </c>
      <c r="N2218">
        <v>-1.5834399999999998E-2</v>
      </c>
      <c r="O2218">
        <v>-0.8986208</v>
      </c>
      <c r="P2218">
        <v>-0.3661278</v>
      </c>
      <c r="Q2218">
        <v>0.18320939999999999</v>
      </c>
      <c r="R2218">
        <v>-0.91235129999999998</v>
      </c>
      <c r="S2218">
        <v>-0.3984375</v>
      </c>
      <c r="T2218">
        <v>-3.5941359999999999E-2</v>
      </c>
      <c r="U2218">
        <v>-3.1426090000000002</v>
      </c>
      <c r="V2218">
        <v>-7.7867430000000001E-2</v>
      </c>
      <c r="W2218">
        <v>0.19612650000000001</v>
      </c>
      <c r="X2218">
        <v>0.97748199999999996</v>
      </c>
      <c r="Y2218">
        <v>-0.32190170000000001</v>
      </c>
      <c r="Z2218">
        <v>-6.0057840000000001E-3</v>
      </c>
      <c r="AA2218">
        <v>0.94675399999999998</v>
      </c>
      <c r="AB2218">
        <v>37</v>
      </c>
      <c r="AC2218">
        <v>-11.612399999999999</v>
      </c>
      <c r="AD2218">
        <v>-1.05490241</v>
      </c>
      <c r="AE2218">
        <v>-92.066400000000002</v>
      </c>
      <c r="AF2218">
        <v>-29.9303534328597</v>
      </c>
      <c r="AG2218">
        <v>-1.05490241</v>
      </c>
      <c r="AH2218">
        <v>87.8237927857448</v>
      </c>
      <c r="AI2218">
        <v>90.651394023934799</v>
      </c>
      <c r="AJ2218">
        <v>108.81911300584601</v>
      </c>
      <c r="AK2218">
        <v>92.7898564229085</v>
      </c>
      <c r="AL2218">
        <v>78.6894619073218</v>
      </c>
      <c r="AM2218">
        <v>94.554634758939699</v>
      </c>
      <c r="AN2218">
        <v>1.0000000004905201</v>
      </c>
    </row>
    <row r="2219" spans="1:40" x14ac:dyDescent="0.25">
      <c r="A2219" t="str">
        <f>"20190303171020769"</f>
        <v>20190303171020769</v>
      </c>
      <c r="B2219" t="str">
        <f>"1551604220763201"</f>
        <v>1551604220763201</v>
      </c>
      <c r="C2219" t="s">
        <v>40</v>
      </c>
      <c r="D2219">
        <v>5.0459569999999996</v>
      </c>
      <c r="E2219">
        <v>0.40639690000000001</v>
      </c>
      <c r="F2219" t="s">
        <v>42</v>
      </c>
      <c r="G2219">
        <v>-502.25450000000001</v>
      </c>
      <c r="H2219">
        <v>7.9986420000000003E-2</v>
      </c>
      <c r="I2219">
        <v>181.32419999999999</v>
      </c>
      <c r="J2219">
        <v>-491.68329999999997</v>
      </c>
      <c r="K2219">
        <v>1.134835</v>
      </c>
      <c r="L2219">
        <v>271.15359999999998</v>
      </c>
      <c r="M2219">
        <v>-0.43212139999999999</v>
      </c>
      <c r="N2219">
        <v>-1.582161E-2</v>
      </c>
      <c r="O2219">
        <v>-0.90167649999999999</v>
      </c>
      <c r="P2219">
        <v>-0.35950910000000003</v>
      </c>
      <c r="Q2219">
        <v>0.1833313</v>
      </c>
      <c r="R2219">
        <v>-0.91495499999999996</v>
      </c>
      <c r="S2219">
        <v>-0.37222290000000002</v>
      </c>
      <c r="T2219">
        <v>-3.6879179999999998E-2</v>
      </c>
      <c r="U2219">
        <v>-3.1462400000000001</v>
      </c>
      <c r="V2219">
        <v>-7.8052990000000003E-2</v>
      </c>
      <c r="W2219">
        <v>0.1962392</v>
      </c>
      <c r="X2219">
        <v>0.9774446</v>
      </c>
      <c r="Y2219">
        <v>-0.32316230000000001</v>
      </c>
      <c r="Z2219">
        <v>-5.74225E-3</v>
      </c>
      <c r="AA2219">
        <v>0.94632609999999995</v>
      </c>
      <c r="AB2219">
        <v>37</v>
      </c>
      <c r="AC2219">
        <v>-10.571199999999999</v>
      </c>
      <c r="AD2219">
        <v>-1.05484858</v>
      </c>
      <c r="AE2219">
        <v>-89.829399999999893</v>
      </c>
      <c r="AF2219">
        <v>-29.285090345642999</v>
      </c>
      <c r="AG2219">
        <v>-1.05484858</v>
      </c>
      <c r="AH2219">
        <v>85.564185849736006</v>
      </c>
      <c r="AI2219">
        <v>90.668262413474494</v>
      </c>
      <c r="AJ2219">
        <v>108.893959184021</v>
      </c>
      <c r="AK2219">
        <v>90.443126450866203</v>
      </c>
      <c r="AL2219">
        <v>78.682876922501706</v>
      </c>
      <c r="AM2219">
        <v>94.565616685050898</v>
      </c>
      <c r="AN2219">
        <v>1.0000000194668699</v>
      </c>
    </row>
    <row r="2220" spans="1:40" x14ac:dyDescent="0.25">
      <c r="A2220" t="str">
        <f>"20190303171020781"</f>
        <v>20190303171020781</v>
      </c>
      <c r="B2220" t="str">
        <f>"1551604220772961"</f>
        <v>1551604220772961</v>
      </c>
      <c r="C2220" t="s">
        <v>40</v>
      </c>
      <c r="D2220">
        <v>5.0481610000000003</v>
      </c>
      <c r="E2220">
        <v>0.40670400000000001</v>
      </c>
      <c r="F2220" t="s">
        <v>52</v>
      </c>
      <c r="G2220">
        <v>-499.02850000000001</v>
      </c>
      <c r="H2220" s="1">
        <v>1.597011E-6</v>
      </c>
      <c r="I2220">
        <v>212.09049999999999</v>
      </c>
      <c r="J2220">
        <v>-491.76249999999999</v>
      </c>
      <c r="K2220">
        <v>1.134779</v>
      </c>
      <c r="L2220">
        <v>270.9776</v>
      </c>
      <c r="M2220">
        <v>-0.42545179999999999</v>
      </c>
      <c r="N2220">
        <v>-1.5808490000000001E-2</v>
      </c>
      <c r="O2220">
        <v>-0.90484299999999995</v>
      </c>
      <c r="P2220">
        <v>-0.35229909999999998</v>
      </c>
      <c r="Q2220">
        <v>0.1836382</v>
      </c>
      <c r="R2220">
        <v>-0.91769440000000002</v>
      </c>
      <c r="S2220">
        <v>-0.39019779999999998</v>
      </c>
      <c r="T2220">
        <v>-6.0285690000000003E-2</v>
      </c>
      <c r="U2220">
        <v>-3.1376040000000001</v>
      </c>
      <c r="V2220">
        <v>-7.8481819999999994E-2</v>
      </c>
      <c r="W2220">
        <v>0.1965277</v>
      </c>
      <c r="X2220">
        <v>0.97735229999999995</v>
      </c>
      <c r="Y2220">
        <v>-0.31048039999999999</v>
      </c>
      <c r="Z2220">
        <v>5.8425000000000003E-4</v>
      </c>
      <c r="AA2220">
        <v>0.95057959999999997</v>
      </c>
      <c r="AB2220">
        <v>37</v>
      </c>
      <c r="AC2220">
        <v>-7.2660000000000098</v>
      </c>
      <c r="AD2220">
        <v>-1.1347774029890001</v>
      </c>
      <c r="AE2220">
        <v>-58.887099999999997</v>
      </c>
      <c r="AF2220">
        <v>-18.474585329442402</v>
      </c>
      <c r="AG2220">
        <v>-1.1347774029890001</v>
      </c>
      <c r="AH2220">
        <v>56.3613428883693</v>
      </c>
      <c r="AI2220">
        <v>91.0960689832132</v>
      </c>
      <c r="AJ2220">
        <v>108.148535292272</v>
      </c>
      <c r="AK2220">
        <v>59.322837044678899</v>
      </c>
      <c r="AL2220">
        <v>78.666018886146603</v>
      </c>
      <c r="AM2220">
        <v>94.591025342279494</v>
      </c>
      <c r="AN2220">
        <v>1.00000002562654</v>
      </c>
    </row>
    <row r="2221" spans="1:40" x14ac:dyDescent="0.25">
      <c r="A2221" t="str">
        <f>"20190303171020791"</f>
        <v>20190303171020791</v>
      </c>
      <c r="B2221" t="str">
        <f>"1551604220782721"</f>
        <v>1551604220782721</v>
      </c>
      <c r="C2221" t="s">
        <v>40</v>
      </c>
      <c r="D2221">
        <v>5.0231870000000001</v>
      </c>
      <c r="E2221">
        <v>0.4074237</v>
      </c>
      <c r="F2221" t="s">
        <v>52</v>
      </c>
      <c r="G2221">
        <v>-499.7038</v>
      </c>
      <c r="H2221" s="1">
        <v>4.9129450000000002E-7</v>
      </c>
      <c r="I2221">
        <v>203.1568</v>
      </c>
      <c r="J2221">
        <v>-491.8329</v>
      </c>
      <c r="K2221">
        <v>1.13473</v>
      </c>
      <c r="L2221">
        <v>270.81779999999998</v>
      </c>
      <c r="M2221">
        <v>-0.41941529999999999</v>
      </c>
      <c r="N2221">
        <v>-1.5796640000000001E-2</v>
      </c>
      <c r="O2221">
        <v>-0.90765709999999999</v>
      </c>
      <c r="P2221">
        <v>-0.3462674</v>
      </c>
      <c r="Q2221">
        <v>0.18388959999999999</v>
      </c>
      <c r="R2221">
        <v>-0.91993689999999995</v>
      </c>
      <c r="S2221">
        <v>-0.36749270000000001</v>
      </c>
      <c r="T2221">
        <v>-5.2512759999999999E-2</v>
      </c>
      <c r="U2221">
        <v>-3.138458</v>
      </c>
      <c r="V2221">
        <v>-7.8348639999999997E-2</v>
      </c>
      <c r="W2221">
        <v>0.19678109999999999</v>
      </c>
      <c r="X2221">
        <v>0.97731199999999996</v>
      </c>
      <c r="Y2221">
        <v>-0.3109653</v>
      </c>
      <c r="Z2221">
        <v>-1.423744E-3</v>
      </c>
      <c r="AA2221">
        <v>0.95042020000000005</v>
      </c>
      <c r="AB2221">
        <v>37</v>
      </c>
      <c r="AC2221">
        <v>-7.8708999999999998</v>
      </c>
      <c r="AD2221">
        <v>-1.1347295087055</v>
      </c>
      <c r="AE2221">
        <v>-67.660999999999902</v>
      </c>
      <c r="AF2221">
        <v>-21.230737035573899</v>
      </c>
      <c r="AG2221">
        <v>-1.1347295087055</v>
      </c>
      <c r="AH2221">
        <v>64.704278391603594</v>
      </c>
      <c r="AI2221">
        <v>90.954636601596405</v>
      </c>
      <c r="AJ2221">
        <v>108.165673281151</v>
      </c>
      <c r="AK2221">
        <v>68.107822225569393</v>
      </c>
      <c r="AL2221">
        <v>78.651211007625406</v>
      </c>
      <c r="AM2221">
        <v>94.583455994382504</v>
      </c>
      <c r="AN2221">
        <v>1.0000000280255199</v>
      </c>
    </row>
    <row r="2222" spans="1:40" x14ac:dyDescent="0.25">
      <c r="A2222" t="str">
        <f>"20190303171020803"</f>
        <v>20190303171020803</v>
      </c>
      <c r="B2222" t="str">
        <f>"1551604220792481"</f>
        <v>1551604220792481</v>
      </c>
      <c r="C2222" t="s">
        <v>40</v>
      </c>
      <c r="D2222">
        <v>5.02773</v>
      </c>
      <c r="E2222">
        <v>0.40746939999999998</v>
      </c>
      <c r="F2222" t="s">
        <v>52</v>
      </c>
      <c r="G2222">
        <v>-499.45679999999999</v>
      </c>
      <c r="H2222" s="1">
        <v>4.881417E-7</v>
      </c>
      <c r="I2222">
        <v>202.9675</v>
      </c>
      <c r="J2222">
        <v>-491.9042</v>
      </c>
      <c r="K2222">
        <v>1.134679</v>
      </c>
      <c r="L2222">
        <v>270.65280000000001</v>
      </c>
      <c r="M2222">
        <v>-0.41320200000000001</v>
      </c>
      <c r="N2222">
        <v>-1.5784380000000001E-2</v>
      </c>
      <c r="O2222">
        <v>-0.9105027</v>
      </c>
      <c r="P2222">
        <v>-0.33976479999999998</v>
      </c>
      <c r="Q2222">
        <v>0.1843264</v>
      </c>
      <c r="R2222">
        <v>-0.92227110000000001</v>
      </c>
      <c r="S2222">
        <v>-0.3526917</v>
      </c>
      <c r="T2222">
        <v>-5.2494760000000001E-2</v>
      </c>
      <c r="U2222">
        <v>-3.1388850000000001</v>
      </c>
      <c r="V2222">
        <v>-7.8520720000000002E-2</v>
      </c>
      <c r="W2222">
        <v>0.19720840000000001</v>
      </c>
      <c r="X2222">
        <v>0.97721199999999997</v>
      </c>
      <c r="Y2222">
        <v>-0.30890770000000001</v>
      </c>
      <c r="Z2222">
        <v>-1.361667E-3</v>
      </c>
      <c r="AA2222">
        <v>0.95109109999999997</v>
      </c>
      <c r="AB2222">
        <v>37</v>
      </c>
      <c r="AC2222">
        <v>-7.5525999999999804</v>
      </c>
      <c r="AD2222">
        <v>-1.1346785118583</v>
      </c>
      <c r="AE2222">
        <v>-67.685299999999998</v>
      </c>
      <c r="AF2222">
        <v>-21.0878108516556</v>
      </c>
      <c r="AG2222">
        <v>-1.1346785118583</v>
      </c>
      <c r="AH2222">
        <v>64.738488686588099</v>
      </c>
      <c r="AI2222">
        <v>90.954760471312895</v>
      </c>
      <c r="AJ2222">
        <v>108.042418017774</v>
      </c>
      <c r="AK2222">
        <v>68.095926304471206</v>
      </c>
      <c r="AL2222">
        <v>78.6262385729584</v>
      </c>
      <c r="AM2222">
        <v>94.5939478215478</v>
      </c>
      <c r="AN2222">
        <v>0.99999997472193802</v>
      </c>
    </row>
    <row r="2223" spans="1:40" x14ac:dyDescent="0.25">
      <c r="A2223" t="str">
        <f>"20190303171020817"</f>
        <v>20190303171020817</v>
      </c>
      <c r="B2223" t="str">
        <f>"1551604220802747"</f>
        <v>1551604220802747</v>
      </c>
      <c r="C2223" t="s">
        <v>40</v>
      </c>
      <c r="D2223">
        <v>5.0325639999999998</v>
      </c>
      <c r="E2223">
        <v>0.40771790000000002</v>
      </c>
      <c r="F2223" t="s">
        <v>52</v>
      </c>
      <c r="G2223">
        <v>-499.25760000000002</v>
      </c>
      <c r="H2223" s="1">
        <v>2.0853989999999999E-7</v>
      </c>
      <c r="I2223">
        <v>200.72229999999999</v>
      </c>
      <c r="J2223">
        <v>-491.9905</v>
      </c>
      <c r="K2223">
        <v>1.1346069999999999</v>
      </c>
      <c r="L2223">
        <v>270.45</v>
      </c>
      <c r="M2223">
        <v>-0.40557490000000002</v>
      </c>
      <c r="N2223">
        <v>-1.5769780000000001E-2</v>
      </c>
      <c r="O2223">
        <v>-0.91392580000000001</v>
      </c>
      <c r="P2223">
        <v>-0.33180799999999999</v>
      </c>
      <c r="Q2223">
        <v>0.18444669999999999</v>
      </c>
      <c r="R2223">
        <v>-0.9251395</v>
      </c>
      <c r="S2223">
        <v>-0.33032230000000001</v>
      </c>
      <c r="T2223">
        <v>-5.0971030000000001E-2</v>
      </c>
      <c r="U2223">
        <v>-3.1413570000000002</v>
      </c>
      <c r="V2223">
        <v>-7.8729090000000002E-2</v>
      </c>
      <c r="W2223">
        <v>0.1973191</v>
      </c>
      <c r="X2223">
        <v>0.97717290000000001</v>
      </c>
      <c r="Y2223">
        <v>-0.307733799999999</v>
      </c>
      <c r="Z2223">
        <v>-1.7072319999999999E-3</v>
      </c>
      <c r="AA2223">
        <v>0.95147099999999996</v>
      </c>
      <c r="AB2223">
        <v>37</v>
      </c>
      <c r="AC2223">
        <v>-7.2671000000000197</v>
      </c>
      <c r="AD2223">
        <v>-1.1346067914600999</v>
      </c>
      <c r="AE2223">
        <v>-69.727699999999999</v>
      </c>
      <c r="AF2223">
        <v>-21.635238301509101</v>
      </c>
      <c r="AG2223">
        <v>-1.1346067914600999</v>
      </c>
      <c r="AH2223">
        <v>66.664126030581102</v>
      </c>
      <c r="AI2223">
        <v>90.927454328842998</v>
      </c>
      <c r="AJ2223">
        <v>107.98036909209701</v>
      </c>
      <c r="AK2223">
        <v>70.096195106121996</v>
      </c>
      <c r="AL2223">
        <v>78.619768939672397</v>
      </c>
      <c r="AM2223">
        <v>94.606269879444199</v>
      </c>
      <c r="AN2223">
        <v>0.99999998666572398</v>
      </c>
    </row>
    <row r="2224" spans="1:40" x14ac:dyDescent="0.25">
      <c r="A2224" t="str">
        <f>"20190303171020837"</f>
        <v>20190303171020837</v>
      </c>
      <c r="B2224" t="str">
        <f>"1551604220833003"</f>
        <v>1551604220833003</v>
      </c>
      <c r="C2224" t="s">
        <v>40</v>
      </c>
      <c r="D2224">
        <v>4.9355549999999999</v>
      </c>
      <c r="E2224">
        <v>0.3917194</v>
      </c>
      <c r="F2224" t="s">
        <v>42</v>
      </c>
      <c r="G2224">
        <v>-499.00729999999999</v>
      </c>
      <c r="H2224" s="1">
        <v>-5.4349999999999996E-6</v>
      </c>
      <c r="I2224">
        <v>198.2628</v>
      </c>
      <c r="J2224">
        <v>-492.11329999999998</v>
      </c>
      <c r="K2224">
        <v>1.1345149999999999</v>
      </c>
      <c r="L2224">
        <v>270.15159999999997</v>
      </c>
      <c r="M2224">
        <v>-0.39441959999999998</v>
      </c>
      <c r="N2224">
        <v>-1.5747799999999999E-2</v>
      </c>
      <c r="O2224">
        <v>-0.91879560000000005</v>
      </c>
      <c r="P2224">
        <v>-0.32005339999999999</v>
      </c>
      <c r="Q2224">
        <v>0.1844171</v>
      </c>
      <c r="R2224">
        <v>-0.92927740000000003</v>
      </c>
      <c r="S2224">
        <v>-0.30551149999999999</v>
      </c>
      <c r="T2224">
        <v>-4.940104E-2</v>
      </c>
      <c r="U2224">
        <v>-3.1430359999999999</v>
      </c>
      <c r="V2224">
        <v>-7.9173930000000003E-2</v>
      </c>
      <c r="W2224">
        <v>0.19727049999999999</v>
      </c>
      <c r="X2224">
        <v>0.97714679999999998</v>
      </c>
      <c r="Y2224">
        <v>-0.30363859999999998</v>
      </c>
      <c r="Z2224">
        <v>-2.0226710000000002E-3</v>
      </c>
      <c r="AA2224">
        <v>0.95278510000000005</v>
      </c>
      <c r="AB2224">
        <v>37</v>
      </c>
      <c r="AC2224">
        <v>-6.8940000000000001</v>
      </c>
      <c r="AD2224">
        <v>-1.134520435</v>
      </c>
      <c r="AE2224">
        <v>-71.888799999999904</v>
      </c>
      <c r="AF2224">
        <v>-22.017470273572499</v>
      </c>
      <c r="AG2224">
        <v>-1.134520435</v>
      </c>
      <c r="AH2224">
        <v>68.761795232519503</v>
      </c>
      <c r="AI2224">
        <v>90.900237894830795</v>
      </c>
      <c r="AJ2224">
        <v>107.755023010654</v>
      </c>
      <c r="AK2224">
        <v>72.209698915478199</v>
      </c>
      <c r="AL2224">
        <v>78.622609672340204</v>
      </c>
      <c r="AM2224">
        <v>94.632306754777304</v>
      </c>
      <c r="AN2224">
        <v>1.00000001505606</v>
      </c>
    </row>
    <row r="2225" spans="1:40" x14ac:dyDescent="0.25">
      <c r="A2225" t="str">
        <f>"20190303171020851"</f>
        <v>20190303171020851</v>
      </c>
      <c r="B2225" t="str">
        <f>"1551604220842764"</f>
        <v>1551604220842764</v>
      </c>
      <c r="C2225" t="s">
        <v>40</v>
      </c>
      <c r="D2225">
        <v>4.9530129999999897</v>
      </c>
      <c r="E2225">
        <v>0.38869520000000002</v>
      </c>
      <c r="F2225" t="s">
        <v>62</v>
      </c>
      <c r="G2225">
        <v>0</v>
      </c>
      <c r="H2225">
        <v>0</v>
      </c>
      <c r="I2225">
        <v>0</v>
      </c>
      <c r="J2225">
        <v>-492.1986</v>
      </c>
      <c r="K2225">
        <v>1.134452</v>
      </c>
      <c r="L2225">
        <v>269.93680000000001</v>
      </c>
      <c r="M2225">
        <v>-0.38643569999999999</v>
      </c>
      <c r="N2225">
        <v>-1.573107E-2</v>
      </c>
      <c r="O2225">
        <v>-0.92218239999999996</v>
      </c>
      <c r="P2225">
        <v>-0.31169279999999999</v>
      </c>
      <c r="Q2225">
        <v>0.18451580000000001</v>
      </c>
      <c r="R2225">
        <v>-0.93209529999999996</v>
      </c>
      <c r="S2225">
        <v>-0.1446838</v>
      </c>
      <c r="T2225">
        <v>2.084041E-2</v>
      </c>
      <c r="U2225">
        <v>-3.1744080000000001</v>
      </c>
      <c r="V2225">
        <v>-7.943625E-2</v>
      </c>
      <c r="W2225">
        <v>0.19735610000000001</v>
      </c>
      <c r="X2225">
        <v>0.97710819999999998</v>
      </c>
      <c r="Y2225">
        <v>-0.3440761</v>
      </c>
      <c r="Z2225">
        <v>-2.118542E-2</v>
      </c>
      <c r="AA2225">
        <v>0.93870279999999995</v>
      </c>
      <c r="AB2225">
        <v>37</v>
      </c>
      <c r="AC2225">
        <v>-0.1446838</v>
      </c>
      <c r="AD2225">
        <v>2.084041E-2</v>
      </c>
      <c r="AE2225">
        <v>-3.1744080000000001</v>
      </c>
      <c r="AF2225">
        <v>-1.0933677799563499</v>
      </c>
      <c r="AG2225">
        <v>2.084041E-2</v>
      </c>
      <c r="AH2225">
        <v>2.9835344577968801</v>
      </c>
      <c r="AI2225">
        <v>89.624224924495607</v>
      </c>
      <c r="AJ2225">
        <v>110.126233018845</v>
      </c>
      <c r="AK2225">
        <v>3.1776351719159002</v>
      </c>
      <c r="AL2225">
        <v>78.6176065251978</v>
      </c>
      <c r="AM2225">
        <v>94.647770239204306</v>
      </c>
      <c r="AN2225">
        <v>0.99999999126425598</v>
      </c>
    </row>
    <row r="2226" spans="1:40" x14ac:dyDescent="0.25">
      <c r="A2226" t="str">
        <f>"20190303171020862"</f>
        <v>20190303171020862</v>
      </c>
      <c r="B2226" t="str">
        <f>"1551604220852524"</f>
        <v>1551604220852524</v>
      </c>
      <c r="C2226" t="s">
        <v>40</v>
      </c>
      <c r="D2226">
        <v>4.9182519999999998</v>
      </c>
      <c r="E2226">
        <v>0.38762920000000001</v>
      </c>
      <c r="F2226" t="s">
        <v>62</v>
      </c>
      <c r="G2226">
        <v>0</v>
      </c>
      <c r="H2226">
        <v>0</v>
      </c>
      <c r="I2226">
        <v>0</v>
      </c>
      <c r="J2226">
        <v>-492.26530000000002</v>
      </c>
      <c r="K2226">
        <v>1.134398</v>
      </c>
      <c r="L2226">
        <v>269.76569999999998</v>
      </c>
      <c r="M2226">
        <v>-0.38008920000000002</v>
      </c>
      <c r="N2226">
        <v>-1.5718030000000001E-2</v>
      </c>
      <c r="O2226">
        <v>-0.92481659999999999</v>
      </c>
      <c r="P2226">
        <v>-0.305214599999999</v>
      </c>
      <c r="Q2226">
        <v>0.18465239999999999</v>
      </c>
      <c r="R2226">
        <v>-0.93421010000000004</v>
      </c>
      <c r="S2226">
        <v>-9.3505859999999996E-2</v>
      </c>
      <c r="T2226">
        <v>4.079878E-2</v>
      </c>
      <c r="U2226">
        <v>-3.1791689999999999</v>
      </c>
      <c r="V2226">
        <v>-7.9470429999999995E-2</v>
      </c>
      <c r="W2226">
        <v>0.19748879999999999</v>
      </c>
      <c r="X2226">
        <v>0.97707860000000002</v>
      </c>
      <c r="Y2226">
        <v>-0.35278280000000001</v>
      </c>
      <c r="Z2226">
        <v>-2.6599439999999999E-2</v>
      </c>
      <c r="AA2226">
        <v>0.93532709999999997</v>
      </c>
      <c r="AB2226">
        <v>37</v>
      </c>
      <c r="AC2226">
        <v>-9.3505859999999996E-2</v>
      </c>
      <c r="AD2226">
        <v>4.079878E-2</v>
      </c>
      <c r="AE2226">
        <v>-3.1791689999999999</v>
      </c>
      <c r="AF2226">
        <v>-1.12184570761352</v>
      </c>
      <c r="AG2226">
        <v>4.079878E-2</v>
      </c>
      <c r="AH2226">
        <v>2.9755659672293802</v>
      </c>
      <c r="AI2226">
        <v>89.2649513954334</v>
      </c>
      <c r="AJ2226">
        <v>110.657409602583</v>
      </c>
      <c r="AK2226">
        <v>3.18028224493897</v>
      </c>
      <c r="AL2226">
        <v>78.609850633854805</v>
      </c>
      <c r="AM2226">
        <v>94.649901568609295</v>
      </c>
      <c r="AN2226">
        <v>0.99999998297389203</v>
      </c>
    </row>
    <row r="2227" spans="1:40" x14ac:dyDescent="0.25">
      <c r="A2227" t="str">
        <f>"20190303171020873"</f>
        <v>20190303171020873</v>
      </c>
      <c r="B2227" t="str">
        <f>"1551604220863260"</f>
        <v>1551604220863260</v>
      </c>
      <c r="C2227" t="s">
        <v>40</v>
      </c>
      <c r="D2227">
        <v>4.9690919999999998</v>
      </c>
      <c r="E2227">
        <v>0.3873375</v>
      </c>
      <c r="F2227" t="s">
        <v>62</v>
      </c>
      <c r="G2227">
        <v>0</v>
      </c>
      <c r="H2227">
        <v>0</v>
      </c>
      <c r="I2227">
        <v>0</v>
      </c>
      <c r="J2227">
        <v>-492.32819999999998</v>
      </c>
      <c r="K2227">
        <v>1.134347</v>
      </c>
      <c r="L2227">
        <v>269.60169999999999</v>
      </c>
      <c r="M2227">
        <v>-0.37402079999999999</v>
      </c>
      <c r="N2227">
        <v>-1.5705839999999999E-2</v>
      </c>
      <c r="O2227">
        <v>-0.92728750000000004</v>
      </c>
      <c r="P2227">
        <v>-0.29904269999999999</v>
      </c>
      <c r="Q2227">
        <v>0.18464939999999999</v>
      </c>
      <c r="R2227">
        <v>-0.93620429999999999</v>
      </c>
      <c r="S2227">
        <v>-6.3232419999999998E-2</v>
      </c>
      <c r="T2227">
        <v>5.0227050000000002E-2</v>
      </c>
      <c r="U2227">
        <v>-3.1806640000000002</v>
      </c>
      <c r="V2227">
        <v>-7.9488219999999998E-2</v>
      </c>
      <c r="W2227">
        <v>0.1974832</v>
      </c>
      <c r="X2227">
        <v>0.97707829999999996</v>
      </c>
      <c r="Y2227">
        <v>-0.35556910000000003</v>
      </c>
      <c r="Z2227">
        <v>-2.9196699999999999E-2</v>
      </c>
      <c r="AA2227">
        <v>0.93419390000000002</v>
      </c>
      <c r="AB2227">
        <v>37</v>
      </c>
      <c r="AC2227">
        <v>-6.3232419999999998E-2</v>
      </c>
      <c r="AD2227">
        <v>5.0227050000000002E-2</v>
      </c>
      <c r="AE2227">
        <v>-3.1806640000000002</v>
      </c>
      <c r="AF2227">
        <v>-1.13085730088804</v>
      </c>
      <c r="AG2227">
        <v>5.0227050000000002E-2</v>
      </c>
      <c r="AH2227">
        <v>2.9726654634632999</v>
      </c>
      <c r="AI2227">
        <v>89.095249465058203</v>
      </c>
      <c r="AJ2227">
        <v>110.82774694611</v>
      </c>
      <c r="AK2227">
        <v>3.1808962493597601</v>
      </c>
      <c r="AL2227">
        <v>78.610178108102303</v>
      </c>
      <c r="AM2227">
        <v>94.650939336645905</v>
      </c>
      <c r="AN2227">
        <v>0.99999999786594895</v>
      </c>
    </row>
    <row r="2228" spans="1:40" x14ac:dyDescent="0.25">
      <c r="A2228" t="str">
        <f>"20190303171020884"</f>
        <v>20190303171020884</v>
      </c>
      <c r="B2228" t="str">
        <f>"1551604220873019"</f>
        <v>1551604220873019</v>
      </c>
      <c r="C2228" t="s">
        <v>40</v>
      </c>
      <c r="D2228">
        <v>4.9809970000000003</v>
      </c>
      <c r="E2228">
        <v>0.38768740000000002</v>
      </c>
      <c r="F2228" t="s">
        <v>62</v>
      </c>
      <c r="G2228">
        <v>0</v>
      </c>
      <c r="H2228">
        <v>0</v>
      </c>
      <c r="I2228">
        <v>0</v>
      </c>
      <c r="J2228">
        <v>-492.38799999999998</v>
      </c>
      <c r="K2228">
        <v>1.1342950000000001</v>
      </c>
      <c r="L2228">
        <v>269.44159999999999</v>
      </c>
      <c r="M2228">
        <v>-0.36813319999999999</v>
      </c>
      <c r="N2228">
        <v>-1.569363E-2</v>
      </c>
      <c r="O2228">
        <v>-0.92964080000000004</v>
      </c>
      <c r="P2228">
        <v>-0.29334749999999998</v>
      </c>
      <c r="Q2228">
        <v>0.18454980000000001</v>
      </c>
      <c r="R2228">
        <v>-0.93802390000000002</v>
      </c>
      <c r="S2228">
        <v>-4.058838E-2</v>
      </c>
      <c r="T2228">
        <v>5.4304720000000001E-2</v>
      </c>
      <c r="U2228">
        <v>-3.1807560000000001</v>
      </c>
      <c r="V2228">
        <v>-7.9205970000000001E-2</v>
      </c>
      <c r="W2228">
        <v>0.19739200000000001</v>
      </c>
      <c r="X2228">
        <v>0.97711959999999998</v>
      </c>
      <c r="Y2228">
        <v>-0.35629519999999998</v>
      </c>
      <c r="Z2228">
        <v>-3.0363879999999999E-2</v>
      </c>
      <c r="AA2228">
        <v>0.93387989999999999</v>
      </c>
      <c r="AB2228">
        <v>37</v>
      </c>
      <c r="AC2228">
        <v>-4.058838E-2</v>
      </c>
      <c r="AD2228">
        <v>5.4304720000000001E-2</v>
      </c>
      <c r="AE2228">
        <v>-3.1807560000000001</v>
      </c>
      <c r="AF2228">
        <v>-1.13301843867832</v>
      </c>
      <c r="AG2228">
        <v>5.4304720000000001E-2</v>
      </c>
      <c r="AH2228">
        <v>2.9714020155225702</v>
      </c>
      <c r="AI2228">
        <v>89.021684708058402</v>
      </c>
      <c r="AJ2228">
        <v>110.872233661198</v>
      </c>
      <c r="AK2228">
        <v>3.18055179534164</v>
      </c>
      <c r="AL2228">
        <v>78.615507855805603</v>
      </c>
      <c r="AM2228">
        <v>94.634301626496693</v>
      </c>
      <c r="AN2228">
        <v>0.99999995002589903</v>
      </c>
    </row>
    <row r="2229" spans="1:40" x14ac:dyDescent="0.25">
      <c r="A2229" t="str">
        <f>"20190303171020895"</f>
        <v>20190303171020895</v>
      </c>
      <c r="B2229" t="str">
        <f>"1551604220882779"</f>
        <v>1551604220882779</v>
      </c>
      <c r="C2229" t="s">
        <v>40</v>
      </c>
      <c r="D2229">
        <v>4.9686250000000003</v>
      </c>
      <c r="E2229">
        <v>0.38816729999999999</v>
      </c>
      <c r="F2229" t="s">
        <v>62</v>
      </c>
      <c r="G2229">
        <v>0</v>
      </c>
      <c r="H2229">
        <v>0</v>
      </c>
      <c r="I2229">
        <v>0</v>
      </c>
      <c r="J2229">
        <v>-492.44909999999999</v>
      </c>
      <c r="K2229">
        <v>1.1342410000000001</v>
      </c>
      <c r="L2229">
        <v>269.2765</v>
      </c>
      <c r="M2229">
        <v>-0.3620604</v>
      </c>
      <c r="N2229">
        <v>-1.5681549999999999E-2</v>
      </c>
      <c r="O2229">
        <v>-0.93202289999999999</v>
      </c>
      <c r="P2229">
        <v>-0.28750419999999999</v>
      </c>
      <c r="Q2229">
        <v>0.184672</v>
      </c>
      <c r="R2229">
        <v>-0.93980750000000002</v>
      </c>
      <c r="S2229">
        <v>-2.368164E-2</v>
      </c>
      <c r="T2229">
        <v>5.5252080000000002E-2</v>
      </c>
      <c r="U2229">
        <v>-3.1799620000000002</v>
      </c>
      <c r="V2229">
        <v>-7.8877669999999997E-2</v>
      </c>
      <c r="W2229">
        <v>0.19752339999999999</v>
      </c>
      <c r="X2229">
        <v>0.97711970000000004</v>
      </c>
      <c r="Y2229">
        <v>-0.35516150000000002</v>
      </c>
      <c r="Z2229">
        <v>-3.069384E-2</v>
      </c>
      <c r="AA2229">
        <v>0.93430089999999999</v>
      </c>
      <c r="AB2229">
        <v>36</v>
      </c>
      <c r="AC2229">
        <v>-2.368164E-2</v>
      </c>
      <c r="AD2229">
        <v>5.5252080000000002E-2</v>
      </c>
      <c r="AE2229">
        <v>-3.1799620000000002</v>
      </c>
      <c r="AF2229">
        <v>-1.1290643334471999</v>
      </c>
      <c r="AG2229">
        <v>5.5252080000000002E-2</v>
      </c>
      <c r="AH2229">
        <v>2.97183950632472</v>
      </c>
      <c r="AI2229">
        <v>89.004308835798199</v>
      </c>
      <c r="AJ2229">
        <v>110.802837301295</v>
      </c>
      <c r="AK2229">
        <v>3.1795705862206001</v>
      </c>
      <c r="AL2229">
        <v>78.607829071911198</v>
      </c>
      <c r="AM2229">
        <v>94.615175639217895</v>
      </c>
      <c r="AN2229">
        <v>1.00000004425013</v>
      </c>
    </row>
    <row r="2230" spans="1:40" x14ac:dyDescent="0.25">
      <c r="A2230" t="str">
        <f>"20190303171020906"</f>
        <v>20190303171020906</v>
      </c>
      <c r="B2230" t="str">
        <f>"1551604220892540"</f>
        <v>1551604220892540</v>
      </c>
      <c r="C2230" t="s">
        <v>40</v>
      </c>
      <c r="D2230">
        <v>4.9615080000000003</v>
      </c>
      <c r="E2230">
        <v>0.38864140000000003</v>
      </c>
      <c r="F2230" t="s">
        <v>62</v>
      </c>
      <c r="G2230">
        <v>0</v>
      </c>
      <c r="H2230">
        <v>0</v>
      </c>
      <c r="I2230">
        <v>0</v>
      </c>
      <c r="J2230">
        <v>-492.5061</v>
      </c>
      <c r="K2230">
        <v>1.1341859999999999</v>
      </c>
      <c r="L2230">
        <v>269.1173</v>
      </c>
      <c r="M2230">
        <v>-0.35625590000000001</v>
      </c>
      <c r="N2230">
        <v>-1.5668649999999999E-2</v>
      </c>
      <c r="O2230">
        <v>-0.93425709999999995</v>
      </c>
      <c r="P2230">
        <v>-0.282001</v>
      </c>
      <c r="Q2230">
        <v>0.18495809999999999</v>
      </c>
      <c r="R2230">
        <v>-0.94141719999999895</v>
      </c>
      <c r="S2230">
        <v>-8.0261229999999996E-3</v>
      </c>
      <c r="T2230">
        <v>5.5135610000000002E-2</v>
      </c>
      <c r="U2230">
        <v>-3.178833</v>
      </c>
      <c r="V2230">
        <v>-7.8474039999999995E-2</v>
      </c>
      <c r="W2230">
        <v>0.1978212</v>
      </c>
      <c r="X2230">
        <v>0.97709190000000001</v>
      </c>
      <c r="Y2230">
        <v>-0.35394510000000001</v>
      </c>
      <c r="Z2230">
        <v>-3.073093E-2</v>
      </c>
      <c r="AA2230">
        <v>0.93476119999999996</v>
      </c>
      <c r="AB2230">
        <v>36</v>
      </c>
      <c r="AC2230">
        <v>-8.0261229999999996E-3</v>
      </c>
      <c r="AD2230">
        <v>5.5135610000000002E-2</v>
      </c>
      <c r="AE2230">
        <v>-3.178833</v>
      </c>
      <c r="AF2230">
        <v>-1.1247792408192201</v>
      </c>
      <c r="AG2230">
        <v>5.5135610000000002E-2</v>
      </c>
      <c r="AH2230">
        <v>2.9721773485820902</v>
      </c>
      <c r="AI2230">
        <v>89.006031138871094</v>
      </c>
      <c r="AJ2230">
        <v>110.728452438174</v>
      </c>
      <c r="AK2230">
        <v>3.17836537665077</v>
      </c>
      <c r="AL2230">
        <v>78.590422325366106</v>
      </c>
      <c r="AM2230">
        <v>94.591790353544994</v>
      </c>
      <c r="AN2230">
        <v>0.99999999158448505</v>
      </c>
    </row>
    <row r="2231" spans="1:40" x14ac:dyDescent="0.25">
      <c r="A2231" t="str">
        <f>"20190303171020916"</f>
        <v>20190303171020916</v>
      </c>
      <c r="B2231" t="str">
        <f>"1551604220913036"</f>
        <v>1551604220913036</v>
      </c>
      <c r="C2231" t="s">
        <v>40</v>
      </c>
      <c r="D2231">
        <v>4.9761769999999999</v>
      </c>
      <c r="E2231">
        <v>0.3897891</v>
      </c>
      <c r="F2231" t="s">
        <v>62</v>
      </c>
      <c r="G2231">
        <v>0</v>
      </c>
      <c r="H2231">
        <v>0</v>
      </c>
      <c r="I2231">
        <v>0</v>
      </c>
      <c r="J2231">
        <v>-492.5643</v>
      </c>
      <c r="K2231">
        <v>1.134128</v>
      </c>
      <c r="L2231">
        <v>268.95389999999998</v>
      </c>
      <c r="M2231">
        <v>-0.35028930000000003</v>
      </c>
      <c r="N2231">
        <v>-1.565604E-2</v>
      </c>
      <c r="O2231">
        <v>-0.93651070000000003</v>
      </c>
      <c r="P2231">
        <v>-0.27615790000000001</v>
      </c>
      <c r="Q2231">
        <v>0.1853243</v>
      </c>
      <c r="R2231">
        <v>-0.94307549999999996</v>
      </c>
      <c r="S2231">
        <v>7.5073240000000001E-3</v>
      </c>
      <c r="T2231">
        <v>5.5278059999999997E-2</v>
      </c>
      <c r="U2231">
        <v>-3.17807</v>
      </c>
      <c r="V2231">
        <v>-7.8255599999999995E-2</v>
      </c>
      <c r="W2231">
        <v>0.19819229999999999</v>
      </c>
      <c r="X2231">
        <v>0.97703419999999996</v>
      </c>
      <c r="Y2231">
        <v>-0.35254720000000001</v>
      </c>
      <c r="Z2231">
        <v>-3.0837710000000001E-2</v>
      </c>
      <c r="AA2231">
        <v>0.93528579999999994</v>
      </c>
      <c r="AB2231">
        <v>36</v>
      </c>
      <c r="AC2231">
        <v>7.5073240000000001E-3</v>
      </c>
      <c r="AD2231">
        <v>5.5278059999999997E-2</v>
      </c>
      <c r="AE2231">
        <v>-3.17807</v>
      </c>
      <c r="AF2231">
        <v>-1.12007306646785</v>
      </c>
      <c r="AG2231">
        <v>5.5278059999999997E-2</v>
      </c>
      <c r="AH2231">
        <v>2.97313185966813</v>
      </c>
      <c r="AI2231">
        <v>89.003222313945997</v>
      </c>
      <c r="AJ2231">
        <v>110.642983054016</v>
      </c>
      <c r="AK2231">
        <v>3.1775985261070598</v>
      </c>
      <c r="AL2231">
        <v>78.568730209854195</v>
      </c>
      <c r="AM2231">
        <v>94.579332369646707</v>
      </c>
      <c r="AN2231">
        <v>0.99999997734014401</v>
      </c>
    </row>
    <row r="2232" spans="1:40" x14ac:dyDescent="0.25">
      <c r="A2232" t="str">
        <f>"20190303171020927"</f>
        <v>20190303171020927</v>
      </c>
      <c r="B2232" t="str">
        <f>"1551604220922796"</f>
        <v>1551604220922796</v>
      </c>
      <c r="C2232" t="s">
        <v>40</v>
      </c>
      <c r="D2232">
        <v>4.9794090000000004</v>
      </c>
      <c r="E2232">
        <v>0.39030949999999998</v>
      </c>
      <c r="F2232" t="s">
        <v>62</v>
      </c>
      <c r="G2232">
        <v>0</v>
      </c>
      <c r="H2232">
        <v>0</v>
      </c>
      <c r="I2232">
        <v>0</v>
      </c>
      <c r="J2232">
        <v>-492.62180000000001</v>
      </c>
      <c r="K2232">
        <v>1.1340619999999999</v>
      </c>
      <c r="L2232">
        <v>268.78649999999999</v>
      </c>
      <c r="M2232">
        <v>-0.34424329999999997</v>
      </c>
      <c r="N2232">
        <v>-1.5640899999999999E-2</v>
      </c>
      <c r="O2232">
        <v>-0.93875019999999998</v>
      </c>
      <c r="P2232">
        <v>-0.27052549999999997</v>
      </c>
      <c r="Q2232">
        <v>0.18588379999999999</v>
      </c>
      <c r="R2232">
        <v>-0.94459709999999997</v>
      </c>
      <c r="S2232">
        <v>1.8157960000000001E-2</v>
      </c>
      <c r="T2232">
        <v>5.4183839999999997E-2</v>
      </c>
      <c r="U2232">
        <v>-3.1757200000000001</v>
      </c>
      <c r="V2232">
        <v>-7.773062E-2</v>
      </c>
      <c r="W2232">
        <v>0.1987662</v>
      </c>
      <c r="X2232">
        <v>0.97695949999999998</v>
      </c>
      <c r="Y2232">
        <v>-0.34964879999999998</v>
      </c>
      <c r="Z2232">
        <v>-3.0608679999999999E-2</v>
      </c>
      <c r="AA2232">
        <v>0.93638069999999896</v>
      </c>
      <c r="AB2232">
        <v>36</v>
      </c>
      <c r="AC2232">
        <v>1.8157960000000001E-2</v>
      </c>
      <c r="AD2232">
        <v>5.4183839999999997E-2</v>
      </c>
      <c r="AE2232">
        <v>-3.1757200000000001</v>
      </c>
      <c r="AF2232">
        <v>-1.1100787956018501</v>
      </c>
      <c r="AG2232">
        <v>5.4183839999999997E-2</v>
      </c>
      <c r="AH2232">
        <v>2.9744550901537301</v>
      </c>
      <c r="AI2232">
        <v>89.022251060292305</v>
      </c>
      <c r="AJ2232">
        <v>110.46577983586999</v>
      </c>
      <c r="AK2232">
        <v>3.17531004853124</v>
      </c>
      <c r="AL2232">
        <v>78.535180472485393</v>
      </c>
      <c r="AM2232">
        <v>94.549087482899694</v>
      </c>
      <c r="AN2232">
        <v>0.999999958094136</v>
      </c>
    </row>
    <row r="2233" spans="1:40" x14ac:dyDescent="0.25">
      <c r="A2233" t="str">
        <f>"20190303171020938"</f>
        <v>20190303171020938</v>
      </c>
      <c r="B2233" t="str">
        <f>"1551604220932555"</f>
        <v>1551604220932555</v>
      </c>
      <c r="C2233" t="s">
        <v>40</v>
      </c>
      <c r="D2233">
        <v>4.9858570000000002</v>
      </c>
      <c r="E2233">
        <v>0.39101960000000002</v>
      </c>
      <c r="F2233" t="s">
        <v>62</v>
      </c>
      <c r="G2233">
        <v>0</v>
      </c>
      <c r="H2233">
        <v>0</v>
      </c>
      <c r="I2233">
        <v>0</v>
      </c>
      <c r="J2233">
        <v>-492.67360000000002</v>
      </c>
      <c r="K2233">
        <v>1.1340030000000001</v>
      </c>
      <c r="L2233">
        <v>268.63459999999998</v>
      </c>
      <c r="M2233">
        <v>-0.33875690000000003</v>
      </c>
      <c r="N2233">
        <v>-1.5627769999999999E-2</v>
      </c>
      <c r="O2233">
        <v>-0.94074449999999998</v>
      </c>
      <c r="P2233">
        <v>-0.26523409999999997</v>
      </c>
      <c r="Q2233">
        <v>0.18606500000000001</v>
      </c>
      <c r="R2233">
        <v>-0.94606100000000004</v>
      </c>
      <c r="S2233">
        <v>3.2745360000000001E-2</v>
      </c>
      <c r="T2233">
        <v>5.5718660000000003E-2</v>
      </c>
      <c r="U2233">
        <v>-3.174347</v>
      </c>
      <c r="V2233">
        <v>-7.7456479999999994E-2</v>
      </c>
      <c r="W2233">
        <v>0.19895409999999999</v>
      </c>
      <c r="X2233">
        <v>0.97694309999999995</v>
      </c>
      <c r="Y2233">
        <v>-0.34848499999999999</v>
      </c>
      <c r="Z2233">
        <v>-3.109342E-2</v>
      </c>
      <c r="AA2233">
        <v>0.93679849999999998</v>
      </c>
      <c r="AB2233">
        <v>36</v>
      </c>
      <c r="AC2233">
        <v>3.2745360000000001E-2</v>
      </c>
      <c r="AD2233">
        <v>5.5718660000000003E-2</v>
      </c>
      <c r="AE2233">
        <v>-3.174347</v>
      </c>
      <c r="AF2233">
        <v>-1.1059309883969</v>
      </c>
      <c r="AG2233">
        <v>5.5718660000000003E-2</v>
      </c>
      <c r="AH2233">
        <v>2.9746027489136799</v>
      </c>
      <c r="AI2233">
        <v>88.994146009660298</v>
      </c>
      <c r="AJ2233">
        <v>110.39468893183999</v>
      </c>
      <c r="AK2233">
        <v>3.1740273209305498</v>
      </c>
      <c r="AL2233">
        <v>78.524196037002</v>
      </c>
      <c r="AM2233">
        <v>94.533186547437097</v>
      </c>
      <c r="AN2233">
        <v>1.0000000304192</v>
      </c>
    </row>
    <row r="2234" spans="1:40" x14ac:dyDescent="0.25">
      <c r="A2234" t="str">
        <f>"20190303171020948"</f>
        <v>20190303171020948</v>
      </c>
      <c r="B2234" t="str">
        <f>"1551604220942315"</f>
        <v>1551604220942315</v>
      </c>
      <c r="C2234" t="s">
        <v>40</v>
      </c>
      <c r="D2234">
        <v>4.9795499999999997</v>
      </c>
      <c r="E2234">
        <v>0.39166040000000002</v>
      </c>
      <c r="F2234" t="s">
        <v>62</v>
      </c>
      <c r="G2234">
        <v>0</v>
      </c>
      <c r="H2234">
        <v>0</v>
      </c>
      <c r="I2234">
        <v>0</v>
      </c>
      <c r="J2234">
        <v>-492.72770000000003</v>
      </c>
      <c r="K2234">
        <v>1.1339300000000001</v>
      </c>
      <c r="L2234">
        <v>268.47089999999997</v>
      </c>
      <c r="M2234">
        <v>-0.33289289999999999</v>
      </c>
      <c r="N2234">
        <v>-1.561216E-2</v>
      </c>
      <c r="O2234">
        <v>-0.94283550000000005</v>
      </c>
      <c r="P2234">
        <v>-0.25941959999999997</v>
      </c>
      <c r="Q2234">
        <v>0.18604799999999999</v>
      </c>
      <c r="R2234">
        <v>-0.94767489999999999</v>
      </c>
      <c r="S2234">
        <v>4.4525149999999999E-2</v>
      </c>
      <c r="T2234">
        <v>5.4547430000000001E-2</v>
      </c>
      <c r="U2234">
        <v>-3.1728519999999998</v>
      </c>
      <c r="V2234">
        <v>-7.7337470000000005E-2</v>
      </c>
      <c r="W2234">
        <v>0.19893859999999999</v>
      </c>
      <c r="X2234">
        <v>0.97695569999999998</v>
      </c>
      <c r="Y2234">
        <v>-0.34612890000000002</v>
      </c>
      <c r="Z2234">
        <v>-3.083079E-2</v>
      </c>
      <c r="AA2234">
        <v>0.93768019999999996</v>
      </c>
      <c r="AB2234">
        <v>36</v>
      </c>
      <c r="AC2234">
        <v>4.4525149999999999E-2</v>
      </c>
      <c r="AD2234">
        <v>5.4547430000000001E-2</v>
      </c>
      <c r="AE2234">
        <v>-3.1728519999999998</v>
      </c>
      <c r="AF2234">
        <v>-1.09800908009112</v>
      </c>
      <c r="AG2234">
        <v>5.4547430000000001E-2</v>
      </c>
      <c r="AH2234">
        <v>2.97613846374689</v>
      </c>
      <c r="AI2234">
        <v>89.014878332526806</v>
      </c>
      <c r="AJ2234">
        <v>110.25090884938599</v>
      </c>
      <c r="AK2234">
        <v>3.17269593838992</v>
      </c>
      <c r="AL2234">
        <v>78.525102409197103</v>
      </c>
      <c r="AM2234">
        <v>94.526192247072203</v>
      </c>
      <c r="AN2234">
        <v>1.0000000452992199</v>
      </c>
    </row>
    <row r="2235" spans="1:40" x14ac:dyDescent="0.25">
      <c r="A2235" t="str">
        <f>"20190303171020959"</f>
        <v>20190303171020959</v>
      </c>
      <c r="B2235" t="str">
        <f>"1551604220953051"</f>
        <v>1551604220953051</v>
      </c>
      <c r="C2235" t="s">
        <v>40</v>
      </c>
      <c r="D2235">
        <v>5.0216180000000001</v>
      </c>
      <c r="E2235">
        <v>0.39166040000000002</v>
      </c>
      <c r="F2235" t="s">
        <v>62</v>
      </c>
      <c r="G2235">
        <v>0</v>
      </c>
      <c r="H2235">
        <v>0</v>
      </c>
      <c r="I2235">
        <v>0</v>
      </c>
      <c r="J2235">
        <v>-492.78309999999999</v>
      </c>
      <c r="K2235">
        <v>1.133858</v>
      </c>
      <c r="L2235">
        <v>268.30130000000003</v>
      </c>
      <c r="M2235">
        <v>-0.3268297</v>
      </c>
      <c r="N2235">
        <v>-1.55964E-2</v>
      </c>
      <c r="O2235">
        <v>-0.94495450000000003</v>
      </c>
      <c r="P2235">
        <v>-0.25360830000000001</v>
      </c>
      <c r="Q2235">
        <v>0.1859538</v>
      </c>
      <c r="R2235">
        <v>-0.94926489999999997</v>
      </c>
      <c r="S2235">
        <v>5.941772E-2</v>
      </c>
      <c r="T2235">
        <v>5.2741290000000003E-2</v>
      </c>
      <c r="U2235">
        <v>-3.1716000000000002</v>
      </c>
      <c r="V2235">
        <v>-7.7012289999999997E-2</v>
      </c>
      <c r="W2235">
        <v>0.19885259999999999</v>
      </c>
      <c r="X2235">
        <v>0.9769989</v>
      </c>
      <c r="Y2235">
        <v>-0.34450779999999998</v>
      </c>
      <c r="Z2235">
        <v>-3.038689E-2</v>
      </c>
      <c r="AA2235">
        <v>0.93829149999999995</v>
      </c>
      <c r="AB2235">
        <v>36</v>
      </c>
      <c r="AC2235">
        <v>5.941772E-2</v>
      </c>
      <c r="AD2235">
        <v>5.2741290000000003E-2</v>
      </c>
      <c r="AE2235">
        <v>-3.1716000000000002</v>
      </c>
      <c r="AF2235">
        <v>-1.0925510751751999</v>
      </c>
      <c r="AG2235">
        <v>5.2741290000000003E-2</v>
      </c>
      <c r="AH2235">
        <v>2.9771375836898799</v>
      </c>
      <c r="AI2235">
        <v>89.047206526555399</v>
      </c>
      <c r="AJ2235">
        <v>110.152145984724</v>
      </c>
      <c r="AK2235">
        <v>3.1717184124313702</v>
      </c>
      <c r="AL2235">
        <v>78.530130354116906</v>
      </c>
      <c r="AM2235">
        <v>94.507041123377903</v>
      </c>
      <c r="AN2235">
        <v>1.0000000499695001</v>
      </c>
    </row>
    <row r="2236" spans="1:40" x14ac:dyDescent="0.25">
      <c r="A2236" t="str">
        <f>"20190303171020970"</f>
        <v>20190303171020970</v>
      </c>
      <c r="B2236" t="str">
        <f>"1551604220962811"</f>
        <v>1551604220962811</v>
      </c>
      <c r="C2236" t="s">
        <v>40</v>
      </c>
      <c r="D2236">
        <v>4.9775850000000004</v>
      </c>
      <c r="E2236">
        <v>0.4025609</v>
      </c>
      <c r="F2236" t="s">
        <v>62</v>
      </c>
      <c r="G2236">
        <v>0</v>
      </c>
      <c r="H2236">
        <v>0</v>
      </c>
      <c r="I2236">
        <v>0</v>
      </c>
      <c r="J2236">
        <v>-492.83690000000001</v>
      </c>
      <c r="K2236">
        <v>1.1337839999999999</v>
      </c>
      <c r="L2236">
        <v>268.13229999999999</v>
      </c>
      <c r="M2236">
        <v>-0.32083289999999998</v>
      </c>
      <c r="N2236">
        <v>-1.558007E-2</v>
      </c>
      <c r="O2236">
        <v>-0.94700779999999996</v>
      </c>
      <c r="P2236">
        <v>-0.24775839999999999</v>
      </c>
      <c r="Q2236">
        <v>0.18575</v>
      </c>
      <c r="R2236">
        <v>-0.95084849999999999</v>
      </c>
      <c r="S2236">
        <v>7.8704830000000003E-2</v>
      </c>
      <c r="T2236">
        <v>5.2278640000000001E-2</v>
      </c>
      <c r="U2236">
        <v>-3.1711429999999998</v>
      </c>
      <c r="V2236">
        <v>-7.6803010000000005E-2</v>
      </c>
      <c r="W2236">
        <v>0.198654</v>
      </c>
      <c r="X2236">
        <v>0.97705569999999997</v>
      </c>
      <c r="Y2236">
        <v>-0.34426289999999998</v>
      </c>
      <c r="Z2236">
        <v>-3.030824E-2</v>
      </c>
      <c r="AA2236">
        <v>0.938384</v>
      </c>
      <c r="AB2236">
        <v>36</v>
      </c>
      <c r="AC2236">
        <v>7.8704830000000003E-2</v>
      </c>
      <c r="AD2236">
        <v>5.2278640000000001E-2</v>
      </c>
      <c r="AE2236">
        <v>-3.1711429999999998</v>
      </c>
      <c r="AF2236">
        <v>-1.09177696222361</v>
      </c>
      <c r="AG2236">
        <v>5.2278640000000001E-2</v>
      </c>
      <c r="AH2236">
        <v>2.9773984542315799</v>
      </c>
      <c r="AI2236">
        <v>89.055556514235803</v>
      </c>
      <c r="AJ2236">
        <v>110.13739237129001</v>
      </c>
      <c r="AK2236">
        <v>3.1716890684149801</v>
      </c>
      <c r="AL2236">
        <v>78.541740089735896</v>
      </c>
      <c r="AM2236">
        <v>94.494583317797805</v>
      </c>
      <c r="AN2236">
        <v>0.99999997748177405</v>
      </c>
    </row>
    <row r="2237" spans="1:40" x14ac:dyDescent="0.25">
      <c r="A2237" t="str">
        <f>"20190303171020981"</f>
        <v>20190303171020981</v>
      </c>
      <c r="B2237" t="str">
        <f>"1551604220972572"</f>
        <v>1551604220972572</v>
      </c>
      <c r="C2237" t="s">
        <v>40</v>
      </c>
      <c r="D2237">
        <v>5.0018630000000002</v>
      </c>
      <c r="E2237">
        <v>0.40293380000000001</v>
      </c>
      <c r="F2237" t="s">
        <v>62</v>
      </c>
      <c r="G2237">
        <v>0</v>
      </c>
      <c r="H2237">
        <v>0</v>
      </c>
      <c r="I2237">
        <v>0</v>
      </c>
      <c r="J2237">
        <v>-492.89</v>
      </c>
      <c r="K2237">
        <v>1.1337029999999999</v>
      </c>
      <c r="L2237">
        <v>267.9615</v>
      </c>
      <c r="M2237">
        <v>-0.3148029</v>
      </c>
      <c r="N2237">
        <v>-1.5563530000000001E-2</v>
      </c>
      <c r="O2237">
        <v>-0.94902940000000002</v>
      </c>
      <c r="P2237">
        <v>-0.2422079</v>
      </c>
      <c r="Q2237">
        <v>0.1856912</v>
      </c>
      <c r="R2237">
        <v>-0.95228880000000005</v>
      </c>
      <c r="S2237">
        <v>1.3916019999999999E-2</v>
      </c>
      <c r="T2237">
        <v>2.6801350000000002E-2</v>
      </c>
      <c r="U2237">
        <v>-3.1534420000000001</v>
      </c>
      <c r="V2237">
        <v>-7.6248330000000003E-2</v>
      </c>
      <c r="W2237">
        <v>0.19861100000000001</v>
      </c>
      <c r="X2237">
        <v>0.97710790000000003</v>
      </c>
      <c r="Y2237">
        <v>-0.31900800000000001</v>
      </c>
      <c r="Z2237">
        <v>-2.3201360000000001E-2</v>
      </c>
      <c r="AA2237">
        <v>0.94746799999999998</v>
      </c>
      <c r="AB2237">
        <v>36</v>
      </c>
      <c r="AC2237">
        <v>1.3916019999999999E-2</v>
      </c>
      <c r="AD2237">
        <v>2.6801350000000002E-2</v>
      </c>
      <c r="AE2237">
        <v>-3.1534420000000001</v>
      </c>
      <c r="AF2237">
        <v>-1.00596864006813</v>
      </c>
      <c r="AG2237">
        <v>2.6801350000000002E-2</v>
      </c>
      <c r="AH2237">
        <v>2.9884746492307501</v>
      </c>
      <c r="AI2237">
        <v>89.513019986275907</v>
      </c>
      <c r="AJ2237">
        <v>108.604060880323</v>
      </c>
      <c r="AK2237">
        <v>3.1533588356318099</v>
      </c>
      <c r="AL2237">
        <v>78.544254075001007</v>
      </c>
      <c r="AM2237">
        <v>94.462017078658306</v>
      </c>
      <c r="AN2237">
        <v>0.99999999269559903</v>
      </c>
    </row>
    <row r="2238" spans="1:40" x14ac:dyDescent="0.25">
      <c r="A2238" t="str">
        <f>"20190303171020992"</f>
        <v>20190303171020992</v>
      </c>
      <c r="B2238" t="str">
        <f>"1551604220982331"</f>
        <v>1551604220982331</v>
      </c>
      <c r="C2238" t="s">
        <v>40</v>
      </c>
      <c r="D2238">
        <v>5.0034999999999998</v>
      </c>
      <c r="E2238">
        <v>0.40388439999999998</v>
      </c>
      <c r="F2238" t="s">
        <v>62</v>
      </c>
      <c r="G2238">
        <v>0</v>
      </c>
      <c r="H2238">
        <v>0</v>
      </c>
      <c r="I2238">
        <v>0</v>
      </c>
      <c r="J2238">
        <v>-492.93819999999999</v>
      </c>
      <c r="K2238">
        <v>1.133629</v>
      </c>
      <c r="L2238">
        <v>267.8039</v>
      </c>
      <c r="M2238">
        <v>-0.3092685</v>
      </c>
      <c r="N2238">
        <v>-1.554818E-2</v>
      </c>
      <c r="O2238">
        <v>-0.95084789999999997</v>
      </c>
      <c r="P2238">
        <v>-0.23648269999999999</v>
      </c>
      <c r="Q2238">
        <v>0.1859683</v>
      </c>
      <c r="R2238">
        <v>-0.95367290000000005</v>
      </c>
      <c r="S2238">
        <v>2.9052729999999999E-2</v>
      </c>
      <c r="T2238">
        <v>2.6612400000000001E-2</v>
      </c>
      <c r="U2238">
        <v>-3.1524960000000002</v>
      </c>
      <c r="V2238">
        <v>-7.6380550000000005E-2</v>
      </c>
      <c r="W2238">
        <v>0.19888110000000001</v>
      </c>
      <c r="X2238">
        <v>0.97704259999999998</v>
      </c>
      <c r="Y2238">
        <v>-0.31803629999999999</v>
      </c>
      <c r="Z2238">
        <v>-2.3170280000000001E-2</v>
      </c>
      <c r="AA2238">
        <v>0.94779539999999995</v>
      </c>
      <c r="AB2238">
        <v>36</v>
      </c>
      <c r="AC2238">
        <v>2.9052729999999999E-2</v>
      </c>
      <c r="AD2238">
        <v>2.6612400000000001E-2</v>
      </c>
      <c r="AE2238">
        <v>-3.1524960000000002</v>
      </c>
      <c r="AF2238">
        <v>-1.0026419597289</v>
      </c>
      <c r="AG2238">
        <v>2.6612400000000001E-2</v>
      </c>
      <c r="AH2238">
        <v>2.9887067275730601</v>
      </c>
      <c r="AI2238">
        <v>89.516324245775493</v>
      </c>
      <c r="AJ2238">
        <v>108.54541137516399</v>
      </c>
      <c r="AK2238">
        <v>3.1525175689729701</v>
      </c>
      <c r="AL2238">
        <v>78.528463113315993</v>
      </c>
      <c r="AM2238">
        <v>94.470020725266096</v>
      </c>
      <c r="AN2238">
        <v>0.99999996128513502</v>
      </c>
    </row>
    <row r="2239" spans="1:40" x14ac:dyDescent="0.25">
      <c r="A2239" t="str">
        <f>"20190303171021003"</f>
        <v>20190303171021003</v>
      </c>
      <c r="B2239" t="str">
        <f>"1551604220993068"</f>
        <v>1551604220993068</v>
      </c>
      <c r="C2239" t="s">
        <v>40</v>
      </c>
      <c r="D2239">
        <v>4.98184</v>
      </c>
      <c r="E2239">
        <v>0.4030243</v>
      </c>
      <c r="F2239" t="s">
        <v>62</v>
      </c>
      <c r="G2239">
        <v>0</v>
      </c>
      <c r="H2239">
        <v>0</v>
      </c>
      <c r="I2239">
        <v>0</v>
      </c>
      <c r="J2239">
        <v>-492.99160000000001</v>
      </c>
      <c r="K2239">
        <v>1.133548</v>
      </c>
      <c r="L2239">
        <v>267.6241</v>
      </c>
      <c r="M2239">
        <v>-0.30299799999999999</v>
      </c>
      <c r="N2239">
        <v>-1.55301E-2</v>
      </c>
      <c r="O2239">
        <v>-0.95286479999999996</v>
      </c>
      <c r="P2239">
        <v>-0.23057720000000001</v>
      </c>
      <c r="Q2239">
        <v>0.1855531</v>
      </c>
      <c r="R2239">
        <v>-0.95519889999999996</v>
      </c>
      <c r="S2239">
        <v>4.0893550000000001E-2</v>
      </c>
      <c r="T2239">
        <v>2.731776E-2</v>
      </c>
      <c r="U2239">
        <v>-3.1505429999999999</v>
      </c>
      <c r="V2239">
        <v>-7.5957799999999895E-2</v>
      </c>
      <c r="W2239">
        <v>0.1984774</v>
      </c>
      <c r="X2239">
        <v>0.97715770000000002</v>
      </c>
      <c r="Y2239">
        <v>-0.3153572</v>
      </c>
      <c r="Z2239">
        <v>-2.3396839999999999E-2</v>
      </c>
      <c r="AA2239">
        <v>0.94868459999999999</v>
      </c>
      <c r="AB2239">
        <v>36</v>
      </c>
      <c r="AC2239">
        <v>4.0893550000000001E-2</v>
      </c>
      <c r="AD2239">
        <v>2.731776E-2</v>
      </c>
      <c r="AE2239">
        <v>-3.1505429999999999</v>
      </c>
      <c r="AF2239">
        <v>-0.99361925176539001</v>
      </c>
      <c r="AG2239">
        <v>2.731776E-2</v>
      </c>
      <c r="AH2239">
        <v>2.9897862646102</v>
      </c>
      <c r="AI2239">
        <v>89.503216129687999</v>
      </c>
      <c r="AJ2239">
        <v>108.383602151098</v>
      </c>
      <c r="AK2239">
        <v>3.1506899856288602</v>
      </c>
      <c r="AL2239">
        <v>78.552064572918198</v>
      </c>
      <c r="AM2239">
        <v>94.4448580330928</v>
      </c>
      <c r="AN2239">
        <v>1.00000001818044</v>
      </c>
    </row>
    <row r="2240" spans="1:40" x14ac:dyDescent="0.25">
      <c r="A2240" t="str">
        <f>"20190303171021017"</f>
        <v>20190303171021017</v>
      </c>
      <c r="B2240" t="str">
        <f>"1551604221012587"</f>
        <v>1551604221012587</v>
      </c>
      <c r="C2240" t="s">
        <v>40</v>
      </c>
      <c r="D2240">
        <v>5.0050980000000003</v>
      </c>
      <c r="E2240">
        <v>0.40314470000000002</v>
      </c>
      <c r="F2240" t="s">
        <v>62</v>
      </c>
      <c r="G2240">
        <v>0</v>
      </c>
      <c r="H2240">
        <v>0</v>
      </c>
      <c r="I2240">
        <v>0</v>
      </c>
      <c r="J2240">
        <v>-493.04930000000002</v>
      </c>
      <c r="K2240">
        <v>1.1334610000000001</v>
      </c>
      <c r="L2240">
        <v>267.4271</v>
      </c>
      <c r="M2240">
        <v>-0.29615740000000002</v>
      </c>
      <c r="N2240">
        <v>-1.5510680000000001E-2</v>
      </c>
      <c r="O2240">
        <v>-0.95501340000000001</v>
      </c>
      <c r="P2240">
        <v>-0.22363130000000001</v>
      </c>
      <c r="Q2240">
        <v>0.18577350000000001</v>
      </c>
      <c r="R2240">
        <v>-0.95680580000000004</v>
      </c>
      <c r="S2240">
        <v>6.6864010000000001E-2</v>
      </c>
      <c r="T2240">
        <v>3.3093089999999999E-2</v>
      </c>
      <c r="U2240">
        <v>-3.1504210000000001</v>
      </c>
      <c r="V2240">
        <v>-7.5996339999999996E-2</v>
      </c>
      <c r="W2240">
        <v>0.1986937</v>
      </c>
      <c r="X2240">
        <v>0.9771107</v>
      </c>
      <c r="Y2240">
        <v>-0.31637419999999999</v>
      </c>
      <c r="Z2240">
        <v>-2.508378E-2</v>
      </c>
      <c r="AA2240">
        <v>0.9483028</v>
      </c>
      <c r="AB2240">
        <v>36</v>
      </c>
      <c r="AC2240">
        <v>6.6864010000000001E-2</v>
      </c>
      <c r="AD2240">
        <v>3.3093089999999999E-2</v>
      </c>
      <c r="AE2240">
        <v>-3.1504210000000001</v>
      </c>
      <c r="AF2240">
        <v>-0.99688631631514002</v>
      </c>
      <c r="AG2240">
        <v>3.3093089999999999E-2</v>
      </c>
      <c r="AH2240">
        <v>2.9889213777734298</v>
      </c>
      <c r="AI2240">
        <v>89.398236982019398</v>
      </c>
      <c r="AJ2240">
        <v>108.44494069229199</v>
      </c>
      <c r="AK2240">
        <v>3.1509567567285202</v>
      </c>
      <c r="AL2240">
        <v>78.539419153610297</v>
      </c>
      <c r="AM2240">
        <v>94.447317303815595</v>
      </c>
      <c r="AN2240">
        <v>0.99999997508378702</v>
      </c>
    </row>
    <row r="2241" spans="1:40" x14ac:dyDescent="0.25">
      <c r="A2241" t="str">
        <f>"20190303171021031"</f>
        <v>20190303171021031</v>
      </c>
      <c r="B2241" t="str">
        <f>"1551604221022347"</f>
        <v>1551604221022347</v>
      </c>
      <c r="C2241" t="s">
        <v>40</v>
      </c>
      <c r="D2241">
        <v>4.9838230000000001</v>
      </c>
      <c r="E2241">
        <v>0.40360980000000002</v>
      </c>
      <c r="F2241" t="s">
        <v>62</v>
      </c>
      <c r="G2241">
        <v>0</v>
      </c>
      <c r="H2241">
        <v>0</v>
      </c>
      <c r="I2241">
        <v>0</v>
      </c>
      <c r="J2241">
        <v>-493.1105</v>
      </c>
      <c r="K2241">
        <v>1.133359</v>
      </c>
      <c r="L2241">
        <v>267.2097</v>
      </c>
      <c r="M2241">
        <v>-0.28869800000000001</v>
      </c>
      <c r="N2241">
        <v>-1.5487839999999999E-2</v>
      </c>
      <c r="O2241">
        <v>-0.95729500000000001</v>
      </c>
      <c r="P2241">
        <v>-0.21636939999999999</v>
      </c>
      <c r="Q2241">
        <v>0.18580389999999999</v>
      </c>
      <c r="R2241">
        <v>-0.95846830000000005</v>
      </c>
      <c r="S2241">
        <v>8.8439939999999995E-2</v>
      </c>
      <c r="T2241">
        <v>3.6893490000000001E-2</v>
      </c>
      <c r="U2241">
        <v>-3.148987</v>
      </c>
      <c r="V2241">
        <v>-7.5727890000000006E-2</v>
      </c>
      <c r="W2241">
        <v>0.1987293</v>
      </c>
      <c r="X2241">
        <v>0.97712429999999995</v>
      </c>
      <c r="Y2241">
        <v>-0.31547819999999999</v>
      </c>
      <c r="Z2241">
        <v>-2.6214230000000002E-2</v>
      </c>
      <c r="AA2241">
        <v>0.94857069999999999</v>
      </c>
      <c r="AB2241">
        <v>36</v>
      </c>
      <c r="AC2241">
        <v>8.8439939999999995E-2</v>
      </c>
      <c r="AD2241">
        <v>3.6893490000000001E-2</v>
      </c>
      <c r="AE2241">
        <v>-3.148987</v>
      </c>
      <c r="AF2241">
        <v>-0.99375221047043705</v>
      </c>
      <c r="AG2241">
        <v>3.6893490000000001E-2</v>
      </c>
      <c r="AH2241">
        <v>2.9889254915591401</v>
      </c>
      <c r="AI2241">
        <v>89.3289266480935</v>
      </c>
      <c r="AJ2241">
        <v>108.390835378022</v>
      </c>
      <c r="AK2241">
        <v>3.15001272688085</v>
      </c>
      <c r="AL2241">
        <v>78.537337893677602</v>
      </c>
      <c r="AM2241">
        <v>94.431608825164801</v>
      </c>
      <c r="AN2241">
        <v>0.99999997282641495</v>
      </c>
    </row>
    <row r="2242" spans="1:40" x14ac:dyDescent="0.25">
      <c r="A2242" t="str">
        <f>"20190303171021042"</f>
        <v>20190303171021042</v>
      </c>
      <c r="B2242" t="str">
        <f>"1551604221033084"</f>
        <v>1551604221033084</v>
      </c>
      <c r="C2242" t="s">
        <v>40</v>
      </c>
      <c r="D2242">
        <v>4.9688049999999997</v>
      </c>
      <c r="E2242">
        <v>0.40424389999999999</v>
      </c>
      <c r="F2242" t="s">
        <v>67</v>
      </c>
      <c r="G2242">
        <v>-484.21539999999999</v>
      </c>
      <c r="H2242">
        <v>4.020556</v>
      </c>
      <c r="I2242">
        <v>8.8459990000000008</v>
      </c>
      <c r="J2242">
        <v>-493.16149999999999</v>
      </c>
      <c r="K2242">
        <v>1.1332709999999999</v>
      </c>
      <c r="L2242">
        <v>267.024</v>
      </c>
      <c r="M2242">
        <v>-0.28236869999999997</v>
      </c>
      <c r="N2242">
        <v>-1.546847E-2</v>
      </c>
      <c r="O2242">
        <v>-0.95918119999999996</v>
      </c>
      <c r="P2242">
        <v>-0.20982419999999999</v>
      </c>
      <c r="Q2242">
        <v>0.18626429999999999</v>
      </c>
      <c r="R2242">
        <v>-0.95983300000000005</v>
      </c>
      <c r="S2242">
        <v>0.1083679</v>
      </c>
      <c r="T2242">
        <v>3.5174730000000001E-2</v>
      </c>
      <c r="U2242">
        <v>-3.1476440000000001</v>
      </c>
      <c r="V2242">
        <v>-7.588433E-2</v>
      </c>
      <c r="W2242">
        <v>0.1991802</v>
      </c>
      <c r="X2242">
        <v>0.97702040000000001</v>
      </c>
      <c r="Y2242">
        <v>-0.31522050000000001</v>
      </c>
      <c r="Z2242">
        <v>-2.5746169999999999E-2</v>
      </c>
      <c r="AA2242">
        <v>0.94866919999999999</v>
      </c>
      <c r="AB2242">
        <v>36</v>
      </c>
      <c r="AC2242">
        <v>8.9460999999999995</v>
      </c>
      <c r="AD2242">
        <v>2.8872849999999999</v>
      </c>
      <c r="AE2242">
        <v>-258.17800099999999</v>
      </c>
      <c r="AF2242">
        <v>-81.481891868817002</v>
      </c>
      <c r="AG2242">
        <v>2.8872849999999999</v>
      </c>
      <c r="AH2242">
        <v>245.11210597856601</v>
      </c>
      <c r="AI2242">
        <v>89.359574458346898</v>
      </c>
      <c r="AJ2242">
        <v>108.388202020842</v>
      </c>
      <c r="AK2242">
        <v>258.31682023136</v>
      </c>
      <c r="AL2242">
        <v>78.510976803131399</v>
      </c>
      <c r="AM2242">
        <v>94.441197493270593</v>
      </c>
      <c r="AN2242">
        <v>1.0000000228138699</v>
      </c>
    </row>
    <row r="2243" spans="1:40" x14ac:dyDescent="0.25">
      <c r="A2243" t="str">
        <f>"20190303171021061"</f>
        <v>20190303171021061</v>
      </c>
      <c r="B2243" t="str">
        <f>"1551604221052603"</f>
        <v>1551604221052603</v>
      </c>
      <c r="C2243" t="s">
        <v>40</v>
      </c>
      <c r="D2243">
        <v>4.982761</v>
      </c>
      <c r="E2243">
        <v>0.40537669999999998</v>
      </c>
      <c r="F2243" t="s">
        <v>67</v>
      </c>
      <c r="G2243">
        <v>-484.05180000000001</v>
      </c>
      <c r="H2243">
        <v>3.7186089999999998</v>
      </c>
      <c r="I2243">
        <v>37.867820000000002</v>
      </c>
      <c r="J2243">
        <v>-493.23570000000001</v>
      </c>
      <c r="K2243">
        <v>1.1331389999999999</v>
      </c>
      <c r="L2243">
        <v>266.74599999999998</v>
      </c>
      <c r="M2243">
        <v>-0.27297369999999999</v>
      </c>
      <c r="N2243">
        <v>-1.5439430000000001E-2</v>
      </c>
      <c r="O2243">
        <v>-0.96189789999999997</v>
      </c>
      <c r="P2243">
        <v>-0.20052519999999999</v>
      </c>
      <c r="Q2243">
        <v>0.18704390000000001</v>
      </c>
      <c r="R2243">
        <v>-0.96166770000000001</v>
      </c>
      <c r="S2243">
        <v>0.12506099999999901</v>
      </c>
      <c r="T2243">
        <v>3.5492900000000001E-2</v>
      </c>
      <c r="U2243">
        <v>-3.145966</v>
      </c>
      <c r="V2243">
        <v>-7.5695499999999999E-2</v>
      </c>
      <c r="W2243">
        <v>0.1999601</v>
      </c>
      <c r="X2243">
        <v>0.97687570000000001</v>
      </c>
      <c r="Y2243">
        <v>-0.31097960000000002</v>
      </c>
      <c r="Z2243">
        <v>-2.587631E-2</v>
      </c>
      <c r="AA2243">
        <v>0.95006420000000003</v>
      </c>
      <c r="AB2243">
        <v>36</v>
      </c>
      <c r="AC2243">
        <v>9.1838999999999906</v>
      </c>
      <c r="AD2243">
        <v>2.5854699999999999</v>
      </c>
      <c r="AE2243">
        <v>-228.87817999999999</v>
      </c>
      <c r="AF2243">
        <v>-71.311092774308804</v>
      </c>
      <c r="AG2243">
        <v>2.5854699999999999</v>
      </c>
      <c r="AH2243">
        <v>217.648631033756</v>
      </c>
      <c r="AI2243">
        <v>89.353236829592404</v>
      </c>
      <c r="AJ2243">
        <v>108.141030826126</v>
      </c>
      <c r="AK2243">
        <v>229.047774926226</v>
      </c>
      <c r="AL2243">
        <v>78.465374104064793</v>
      </c>
      <c r="AM2243">
        <v>94.430843710812496</v>
      </c>
      <c r="AN2243">
        <v>0.999999991781375</v>
      </c>
    </row>
    <row r="2244" spans="1:40" x14ac:dyDescent="0.25">
      <c r="A2244" t="str">
        <f>"20190303171021072"</f>
        <v>20190303171021072</v>
      </c>
      <c r="B2244" t="str">
        <f>"1551604221062364"</f>
        <v>1551604221062364</v>
      </c>
      <c r="C2244" t="s">
        <v>40</v>
      </c>
      <c r="D2244">
        <v>5.0115439999999998</v>
      </c>
      <c r="E2244">
        <v>0.40537669999999998</v>
      </c>
      <c r="F2244" t="s">
        <v>67</v>
      </c>
      <c r="G2244">
        <v>-483.8972</v>
      </c>
      <c r="H2244">
        <v>3.4720589999999998</v>
      </c>
      <c r="I2244">
        <v>65.675449999999998</v>
      </c>
      <c r="J2244">
        <v>-493.28089999999997</v>
      </c>
      <c r="K2244">
        <v>1.133054</v>
      </c>
      <c r="L2244">
        <v>266.57040000000001</v>
      </c>
      <c r="M2244">
        <v>-0.26709620000000001</v>
      </c>
      <c r="N2244">
        <v>-1.542105E-2</v>
      </c>
      <c r="O2244">
        <v>-0.96354680000000004</v>
      </c>
      <c r="P2244">
        <v>-0.19464509999999999</v>
      </c>
      <c r="Q2244">
        <v>0.18727260000000001</v>
      </c>
      <c r="R2244">
        <v>-0.96283050000000003</v>
      </c>
      <c r="S2244">
        <v>0.1459656</v>
      </c>
      <c r="T2244">
        <v>3.6559340000000003E-2</v>
      </c>
      <c r="U2244">
        <v>-3.1428829999999999</v>
      </c>
      <c r="V2244">
        <v>-7.5650480000000006E-2</v>
      </c>
      <c r="W2244">
        <v>0.20018620000000001</v>
      </c>
      <c r="X2244">
        <v>0.9768329</v>
      </c>
      <c r="Y2244">
        <v>-0.31152210000000002</v>
      </c>
      <c r="Z2244">
        <v>-2.621747E-2</v>
      </c>
      <c r="AA2244">
        <v>0.94987710000000003</v>
      </c>
      <c r="AB2244">
        <v>36</v>
      </c>
      <c r="AC2244">
        <v>9.3836999999999708</v>
      </c>
      <c r="AD2244">
        <v>2.3390049999999998</v>
      </c>
      <c r="AE2244">
        <v>-200.89494999999999</v>
      </c>
      <c r="AF2244">
        <v>-62.698868074683404</v>
      </c>
      <c r="AG2244">
        <v>2.3390049999999998</v>
      </c>
      <c r="AH2244">
        <v>191.06215489784501</v>
      </c>
      <c r="AI2244">
        <v>89.333575942246</v>
      </c>
      <c r="AJ2244">
        <v>108.167742933832</v>
      </c>
      <c r="AK2244">
        <v>201.10038795697201</v>
      </c>
      <c r="AL2244">
        <v>78.452152432428207</v>
      </c>
      <c r="AM2244">
        <v>94.428412196161702</v>
      </c>
      <c r="AN2244">
        <v>1.00000001215854</v>
      </c>
    </row>
    <row r="2245" spans="1:40" x14ac:dyDescent="0.25">
      <c r="A2245" t="str">
        <f>"20190303171021081"</f>
        <v>20190303171021081</v>
      </c>
      <c r="B2245" t="str">
        <f>"1551604221073100"</f>
        <v>1551604221073100</v>
      </c>
      <c r="C2245" t="s">
        <v>40</v>
      </c>
      <c r="D2245">
        <v>5.0240210000000003</v>
      </c>
      <c r="E2245">
        <v>0.41498180000000001</v>
      </c>
      <c r="F2245" t="s">
        <v>67</v>
      </c>
      <c r="G2245">
        <v>-482.71850000000001</v>
      </c>
      <c r="H2245">
        <v>3.5132729999999999</v>
      </c>
      <c r="I2245">
        <v>65.675449999999998</v>
      </c>
      <c r="J2245">
        <v>-493.31889999999999</v>
      </c>
      <c r="K2245">
        <v>1.132986</v>
      </c>
      <c r="L2245">
        <v>266.41950000000003</v>
      </c>
      <c r="M2245">
        <v>-0.26208229999999999</v>
      </c>
      <c r="N2245">
        <v>-1.540498E-2</v>
      </c>
      <c r="O2245">
        <v>-0.96492270000000002</v>
      </c>
      <c r="P2245">
        <v>-0.1901899</v>
      </c>
      <c r="Q2245">
        <v>0.18747639999999999</v>
      </c>
      <c r="R2245">
        <v>-0.9636808</v>
      </c>
      <c r="S2245">
        <v>0.1651917</v>
      </c>
      <c r="T2245">
        <v>3.7226200000000001E-2</v>
      </c>
      <c r="U2245">
        <v>-3.141937</v>
      </c>
      <c r="V2245">
        <v>-7.5044280000000005E-2</v>
      </c>
      <c r="W2245">
        <v>0.20040620000000001</v>
      </c>
      <c r="X2245">
        <v>0.97683450000000005</v>
      </c>
      <c r="Y2245">
        <v>-0.31239260000000002</v>
      </c>
      <c r="Z2245">
        <v>-2.6431429999999999E-2</v>
      </c>
      <c r="AA2245">
        <v>0.94958529999999997</v>
      </c>
      <c r="AB2245">
        <v>36</v>
      </c>
      <c r="AC2245">
        <v>10.600399999999899</v>
      </c>
      <c r="AD2245">
        <v>2.380287</v>
      </c>
      <c r="AE2245">
        <v>-200.74404999999999</v>
      </c>
      <c r="AF2245">
        <v>-62.838668091293101</v>
      </c>
      <c r="AG2245">
        <v>2.380287</v>
      </c>
      <c r="AH2245">
        <v>190.92017895794399</v>
      </c>
      <c r="AI2245">
        <v>89.321507261924694</v>
      </c>
      <c r="AJ2245">
        <v>108.218226705291</v>
      </c>
      <c r="AK2245">
        <v>201.009648293368</v>
      </c>
      <c r="AL2245">
        <v>78.439286084281406</v>
      </c>
      <c r="AM2245">
        <v>94.393058887939105</v>
      </c>
      <c r="AN2245">
        <v>0.99999996467470298</v>
      </c>
    </row>
    <row r="2246" spans="1:40" x14ac:dyDescent="0.25">
      <c r="A2246" t="str">
        <f>"20190303171021092"</f>
        <v>20190303171021092</v>
      </c>
      <c r="B2246" t="str">
        <f>"1551604221082860"</f>
        <v>1551604221082860</v>
      </c>
      <c r="C2246" t="s">
        <v>40</v>
      </c>
      <c r="D2246">
        <v>4.9885519999999897</v>
      </c>
      <c r="E2246">
        <v>0.41599839999999999</v>
      </c>
      <c r="F2246" t="s">
        <v>62</v>
      </c>
      <c r="G2246">
        <v>0</v>
      </c>
      <c r="H2246">
        <v>0</v>
      </c>
      <c r="I2246">
        <v>0</v>
      </c>
      <c r="J2246">
        <v>-493.35989999999998</v>
      </c>
      <c r="K2246">
        <v>1.1329049999999901</v>
      </c>
      <c r="L2246">
        <v>266.2534</v>
      </c>
      <c r="M2246">
        <v>-0.25659080000000001</v>
      </c>
      <c r="N2246">
        <v>-1.5387420000000001E-2</v>
      </c>
      <c r="O2246">
        <v>-0.96639779999999997</v>
      </c>
      <c r="P2246">
        <v>-0.185089</v>
      </c>
      <c r="Q2246">
        <v>0.1875637</v>
      </c>
      <c r="R2246">
        <v>-0.96465650000000003</v>
      </c>
      <c r="S2246">
        <v>0.1044617</v>
      </c>
      <c r="T2246">
        <v>2.889562E-2</v>
      </c>
      <c r="U2246">
        <v>-3.1280209999999999</v>
      </c>
      <c r="V2246">
        <v>-7.4610949999999995E-2</v>
      </c>
      <c r="W2246">
        <v>0.2005043</v>
      </c>
      <c r="X2246">
        <v>0.97684760000000004</v>
      </c>
      <c r="Y2246">
        <v>-0.28871380000000002</v>
      </c>
      <c r="Z2246">
        <v>-2.402642E-2</v>
      </c>
      <c r="AA2246">
        <v>0.95711389999999996</v>
      </c>
      <c r="AB2246">
        <v>36</v>
      </c>
      <c r="AC2246">
        <v>0.1044617</v>
      </c>
      <c r="AD2246">
        <v>2.889562E-2</v>
      </c>
      <c r="AE2246">
        <v>-3.1280209999999999</v>
      </c>
      <c r="AF2246">
        <v>-0.90360279071538396</v>
      </c>
      <c r="AG2246">
        <v>2.889562E-2</v>
      </c>
      <c r="AH2246">
        <v>2.9962075895368798</v>
      </c>
      <c r="AI2246">
        <v>89.4709854392203</v>
      </c>
      <c r="AJ2246">
        <v>106.782374711168</v>
      </c>
      <c r="AK2246">
        <v>3.12963142875358</v>
      </c>
      <c r="AL2246">
        <v>78.433549344881698</v>
      </c>
      <c r="AM2246">
        <v>94.367732041169603</v>
      </c>
      <c r="AN2246">
        <v>1.00000000090207</v>
      </c>
    </row>
    <row r="2247" spans="1:40" x14ac:dyDescent="0.25">
      <c r="A2247" t="str">
        <f>"20190303171021103"</f>
        <v>20190303171021103</v>
      </c>
      <c r="B2247" t="str">
        <f>"1551604221092620"</f>
        <v>1551604221092620</v>
      </c>
      <c r="C2247" t="s">
        <v>40</v>
      </c>
      <c r="D2247">
        <v>4.9902819999999997</v>
      </c>
      <c r="E2247">
        <v>0.41692750000000001</v>
      </c>
      <c r="F2247" t="s">
        <v>67</v>
      </c>
      <c r="G2247">
        <v>-484.05520000000001</v>
      </c>
      <c r="H2247">
        <v>3.0216919999999998</v>
      </c>
      <c r="I2247">
        <v>8.8459970000000006</v>
      </c>
      <c r="J2247">
        <v>-493.39929999999998</v>
      </c>
      <c r="K2247">
        <v>1.1328229999999999</v>
      </c>
      <c r="L2247">
        <v>266.08859999999999</v>
      </c>
      <c r="M2247">
        <v>-0.25119730000000001</v>
      </c>
      <c r="N2247">
        <v>-1.536965E-2</v>
      </c>
      <c r="O2247">
        <v>-0.96781399999999995</v>
      </c>
      <c r="P2247">
        <v>-0.1800119</v>
      </c>
      <c r="Q2247">
        <v>0.18749469999999999</v>
      </c>
      <c r="R2247">
        <v>-0.96563010000000005</v>
      </c>
      <c r="S2247">
        <v>0.1130371</v>
      </c>
      <c r="T2247">
        <v>2.294612E-2</v>
      </c>
      <c r="U2247">
        <v>-3.1271360000000001</v>
      </c>
      <c r="V2247">
        <v>-7.4258820000000003E-2</v>
      </c>
      <c r="W2247">
        <v>0.20044310000000001</v>
      </c>
      <c r="X2247">
        <v>0.97688699999999995</v>
      </c>
      <c r="Y2247">
        <v>-0.28600130000000001</v>
      </c>
      <c r="Z2247">
        <v>-2.2268E-2</v>
      </c>
      <c r="AA2247">
        <v>0.9579704</v>
      </c>
      <c r="AB2247">
        <v>36</v>
      </c>
      <c r="AC2247">
        <v>9.3440999999999601</v>
      </c>
      <c r="AD2247">
        <v>1.8888689999999999</v>
      </c>
      <c r="AE2247">
        <v>-257.24260299999997</v>
      </c>
      <c r="AF2247">
        <v>-73.666724371962502</v>
      </c>
      <c r="AG2247">
        <v>1.8888689999999999</v>
      </c>
      <c r="AH2247">
        <v>246.63160309948</v>
      </c>
      <c r="AI2247">
        <v>89.579553403908804</v>
      </c>
      <c r="AJ2247">
        <v>106.630429929012</v>
      </c>
      <c r="AK2247">
        <v>257.405325805845</v>
      </c>
      <c r="AL2247">
        <v>78.437128610303006</v>
      </c>
      <c r="AM2247">
        <v>94.347022864335798</v>
      </c>
      <c r="AN2247">
        <v>1.0000000097271999</v>
      </c>
    </row>
    <row r="2248" spans="1:40" x14ac:dyDescent="0.25">
      <c r="A2248" t="str">
        <f>"20190303171021115"</f>
        <v>20190303171021115</v>
      </c>
      <c r="B2248" t="str">
        <f>"1551604221102380"</f>
        <v>1551604221102380</v>
      </c>
      <c r="C2248" t="s">
        <v>40</v>
      </c>
      <c r="D2248">
        <v>4.9980650000000004</v>
      </c>
      <c r="E2248">
        <v>0.41784640000000001</v>
      </c>
      <c r="F2248" t="s">
        <v>67</v>
      </c>
      <c r="G2248">
        <v>-483.3528</v>
      </c>
      <c r="H2248">
        <v>2.4675060000000002</v>
      </c>
      <c r="I2248">
        <v>8.8459970000000006</v>
      </c>
      <c r="J2248">
        <v>-493.4436</v>
      </c>
      <c r="K2248">
        <v>1.1327259999999999</v>
      </c>
      <c r="L2248">
        <v>265.90089999999998</v>
      </c>
      <c r="M2248">
        <v>-0.2450782</v>
      </c>
      <c r="N2248">
        <v>-1.5350020000000001E-2</v>
      </c>
      <c r="O2248">
        <v>-0.96938190000000002</v>
      </c>
      <c r="P2248">
        <v>-0.17390600000000001</v>
      </c>
      <c r="Q2248">
        <v>0.1875213</v>
      </c>
      <c r="R2248">
        <v>-0.96674340000000003</v>
      </c>
      <c r="S2248">
        <v>0.1221008</v>
      </c>
      <c r="T2248">
        <v>1.6221280000000001E-2</v>
      </c>
      <c r="U2248">
        <v>-3.1264340000000002</v>
      </c>
      <c r="V2248">
        <v>-7.4209979999999995E-2</v>
      </c>
      <c r="W2248">
        <v>0.20046929999999999</v>
      </c>
      <c r="X2248">
        <v>0.97688529999999996</v>
      </c>
      <c r="Y2248">
        <v>-0.28272439999999999</v>
      </c>
      <c r="Z2248">
        <v>-2.0266880000000001E-2</v>
      </c>
      <c r="AA2248">
        <v>0.95898709999999998</v>
      </c>
      <c r="AB2248">
        <v>36</v>
      </c>
      <c r="AC2248">
        <v>10.0908</v>
      </c>
      <c r="AD2248">
        <v>1.3347799999999901</v>
      </c>
      <c r="AE2248">
        <v>-257.05490300000002</v>
      </c>
      <c r="AF2248">
        <v>-72.787000321519201</v>
      </c>
      <c r="AG2248">
        <v>1.3347799999999901</v>
      </c>
      <c r="AH2248">
        <v>246.73373675637799</v>
      </c>
      <c r="AI2248">
        <v>89.702710300809102</v>
      </c>
      <c r="AJ2248">
        <v>106.436176287118</v>
      </c>
      <c r="AK2248">
        <v>257.24942353136299</v>
      </c>
      <c r="AL2248">
        <v>78.435595957440597</v>
      </c>
      <c r="AM2248">
        <v>94.344182307954</v>
      </c>
      <c r="AN2248">
        <v>0.999999975365089</v>
      </c>
    </row>
    <row r="2249" spans="1:40" x14ac:dyDescent="0.25">
      <c r="A2249" t="str">
        <f>"20190303171021127"</f>
        <v>20190303171021127</v>
      </c>
      <c r="B2249" t="str">
        <f>"1551604221122876"</f>
        <v>1551604221122876</v>
      </c>
      <c r="C2249" t="s">
        <v>40</v>
      </c>
      <c r="D2249">
        <v>5.0337399999999999</v>
      </c>
      <c r="E2249">
        <v>0.41944680000000001</v>
      </c>
      <c r="F2249" t="s">
        <v>67</v>
      </c>
      <c r="G2249">
        <v>-483.64960000000002</v>
      </c>
      <c r="H2249">
        <v>2.0131009999999998</v>
      </c>
      <c r="I2249">
        <v>37.867820000000002</v>
      </c>
      <c r="J2249">
        <v>-493.48200000000003</v>
      </c>
      <c r="K2249">
        <v>1.1326350000000001</v>
      </c>
      <c r="L2249">
        <v>265.73079999999999</v>
      </c>
      <c r="M2249">
        <v>-0.2396143</v>
      </c>
      <c r="N2249">
        <v>-1.533093E-2</v>
      </c>
      <c r="O2249">
        <v>-0.97074740000000004</v>
      </c>
      <c r="P2249">
        <v>-0.16881640000000001</v>
      </c>
      <c r="Q2249">
        <v>0.18770529999999999</v>
      </c>
      <c r="R2249">
        <v>-0.96760959999999996</v>
      </c>
      <c r="S2249">
        <v>0.13421629999999901</v>
      </c>
      <c r="T2249">
        <v>1.206481E-2</v>
      </c>
      <c r="U2249">
        <v>-3.1249690000000001</v>
      </c>
      <c r="V2249">
        <v>-7.3797050000000003E-2</v>
      </c>
      <c r="W2249">
        <v>0.20066220000000001</v>
      </c>
      <c r="X2249">
        <v>0.976877</v>
      </c>
      <c r="Y2249">
        <v>-0.28104889999999999</v>
      </c>
      <c r="Z2249">
        <v>-1.9022850000000001E-2</v>
      </c>
      <c r="AA2249">
        <v>0.95950489999999999</v>
      </c>
      <c r="AB2249">
        <v>36</v>
      </c>
      <c r="AC2249">
        <v>9.8323999999999394</v>
      </c>
      <c r="AD2249">
        <v>0.88046599999999897</v>
      </c>
      <c r="AE2249">
        <v>-227.86297999999999</v>
      </c>
      <c r="AF2249">
        <v>-64.150570486573699</v>
      </c>
      <c r="AG2249">
        <v>0.88046599999999897</v>
      </c>
      <c r="AH2249">
        <v>218.86381072345301</v>
      </c>
      <c r="AI2249">
        <v>89.778811868631706</v>
      </c>
      <c r="AJ2249">
        <v>106.336243672715</v>
      </c>
      <c r="AK2249">
        <v>228.073318383632</v>
      </c>
      <c r="AL2249">
        <v>78.424314628966897</v>
      </c>
      <c r="AM2249">
        <v>94.320138108268793</v>
      </c>
      <c r="AN2249">
        <v>0.999999998113271</v>
      </c>
    </row>
    <row r="2250" spans="1:40" x14ac:dyDescent="0.25">
      <c r="A2250" t="str">
        <f>"20190303171021138"</f>
        <v>20190303171021138</v>
      </c>
      <c r="B2250" t="str">
        <f>"1551604221132636"</f>
        <v>1551604221132636</v>
      </c>
      <c r="C2250" t="s">
        <v>40</v>
      </c>
      <c r="D2250">
        <v>5.0047350000000002</v>
      </c>
      <c r="E2250">
        <v>0.42022290000000001</v>
      </c>
      <c r="F2250" t="s">
        <v>67</v>
      </c>
      <c r="G2250">
        <v>-483.45549999999997</v>
      </c>
      <c r="H2250">
        <v>1.8890020000000001</v>
      </c>
      <c r="I2250">
        <v>37.867820000000002</v>
      </c>
      <c r="J2250">
        <v>-493.524</v>
      </c>
      <c r="K2250">
        <v>1.1325339999999999</v>
      </c>
      <c r="L2250">
        <v>265.5419</v>
      </c>
      <c r="M2250">
        <v>-0.23356759999999999</v>
      </c>
      <c r="N2250">
        <v>-1.5310399999999899E-2</v>
      </c>
      <c r="O2250">
        <v>-0.97222019999999998</v>
      </c>
      <c r="P2250">
        <v>-0.16286210000000001</v>
      </c>
      <c r="Q2250">
        <v>0.18781239999999999</v>
      </c>
      <c r="R2250">
        <v>-0.96860869999999999</v>
      </c>
      <c r="S2250">
        <v>0.13739009999999999</v>
      </c>
      <c r="T2250">
        <v>1.036453E-2</v>
      </c>
      <c r="U2250">
        <v>-3.1223749999999999</v>
      </c>
      <c r="V2250">
        <v>-7.3669180000000001E-2</v>
      </c>
      <c r="W2250">
        <v>0.20077010000000001</v>
      </c>
      <c r="X2250">
        <v>0.97686450000000002</v>
      </c>
      <c r="Y2250">
        <v>-0.27607939999999997</v>
      </c>
      <c r="Z2250">
        <v>-1.8505310000000001E-2</v>
      </c>
      <c r="AA2250">
        <v>0.9609567</v>
      </c>
      <c r="AB2250">
        <v>36</v>
      </c>
      <c r="AC2250">
        <v>10.0685</v>
      </c>
      <c r="AD2250">
        <v>0.75646800000000003</v>
      </c>
      <c r="AE2250">
        <v>-227.67407999999901</v>
      </c>
      <c r="AF2250">
        <v>-62.972763875095502</v>
      </c>
      <c r="AG2250">
        <v>0.75646800000000003</v>
      </c>
      <c r="AH2250">
        <v>219.02088470571101</v>
      </c>
      <c r="AI2250">
        <v>89.809814004956095</v>
      </c>
      <c r="AJ2250">
        <v>106.040972518804</v>
      </c>
      <c r="AK2250">
        <v>227.89534697131501</v>
      </c>
      <c r="AL2250">
        <v>78.418004202241903</v>
      </c>
      <c r="AM2250">
        <v>94.312735739842594</v>
      </c>
      <c r="AN2250">
        <v>1.00000001624806</v>
      </c>
    </row>
    <row r="2251" spans="1:40" x14ac:dyDescent="0.25">
      <c r="A2251" t="str">
        <f>"20190303171021150"</f>
        <v>20190303171021150</v>
      </c>
      <c r="B2251" t="str">
        <f>"1551604221142396"</f>
        <v>1551604221142396</v>
      </c>
      <c r="C2251" t="s">
        <v>40</v>
      </c>
      <c r="D2251">
        <v>5.0209570000000001</v>
      </c>
      <c r="E2251">
        <v>0.42022290000000001</v>
      </c>
      <c r="F2251" t="s">
        <v>67</v>
      </c>
      <c r="G2251">
        <v>-483.8802</v>
      </c>
      <c r="H2251">
        <v>1.757957</v>
      </c>
      <c r="I2251">
        <v>65.675449999999998</v>
      </c>
      <c r="J2251">
        <v>-493.56369999999998</v>
      </c>
      <c r="K2251">
        <v>1.1324320000000001</v>
      </c>
      <c r="L2251">
        <v>265.35669999999999</v>
      </c>
      <c r="M2251">
        <v>-0.227714</v>
      </c>
      <c r="N2251">
        <v>-1.5289280000000001E-2</v>
      </c>
      <c r="O2251">
        <v>-0.97360800000000003</v>
      </c>
      <c r="P2251">
        <v>-0.15701479999999901</v>
      </c>
      <c r="Q2251">
        <v>0.18812809999999999</v>
      </c>
      <c r="R2251">
        <v>-0.9695125</v>
      </c>
      <c r="S2251">
        <v>0.1505737</v>
      </c>
      <c r="T2251">
        <v>9.7653870000000004E-3</v>
      </c>
      <c r="U2251">
        <v>-3.1206360000000002</v>
      </c>
      <c r="V2251">
        <v>-7.362755E-2</v>
      </c>
      <c r="W2251">
        <v>0.20108400000000001</v>
      </c>
      <c r="X2251">
        <v>0.97680310000000004</v>
      </c>
      <c r="Y2251">
        <v>-0.27437070000000002</v>
      </c>
      <c r="Z2251">
        <v>-1.83181E-2</v>
      </c>
      <c r="AA2251">
        <v>0.96144949999999996</v>
      </c>
      <c r="AB2251">
        <v>36</v>
      </c>
      <c r="AC2251">
        <v>9.6834999999999791</v>
      </c>
      <c r="AD2251">
        <v>0.625525</v>
      </c>
      <c r="AE2251">
        <v>-199.68125000000001</v>
      </c>
      <c r="AF2251">
        <v>-54.904030329462998</v>
      </c>
      <c r="AG2251">
        <v>0.625525</v>
      </c>
      <c r="AH2251">
        <v>192.22678449122199</v>
      </c>
      <c r="AI2251">
        <v>89.820723742878201</v>
      </c>
      <c r="AJ2251">
        <v>105.940460879339</v>
      </c>
      <c r="AK2251">
        <v>199.914933168532</v>
      </c>
      <c r="AL2251">
        <v>78.399644958626993</v>
      </c>
      <c r="AM2251">
        <v>94.310577743293393</v>
      </c>
      <c r="AN2251">
        <v>1.0000000436723</v>
      </c>
    </row>
    <row r="2252" spans="1:40" x14ac:dyDescent="0.25">
      <c r="A2252" t="str">
        <f>"20190303171021161"</f>
        <v>20190303171021161</v>
      </c>
      <c r="B2252" t="str">
        <f>"1551604221153132"</f>
        <v>1551604221153132</v>
      </c>
      <c r="C2252" t="s">
        <v>40</v>
      </c>
      <c r="D2252">
        <v>5.0061410000000004</v>
      </c>
      <c r="E2252">
        <v>0.4286488</v>
      </c>
      <c r="F2252" t="s">
        <v>67</v>
      </c>
      <c r="G2252">
        <v>-482.76170000000002</v>
      </c>
      <c r="H2252">
        <v>1.801193</v>
      </c>
      <c r="I2252">
        <v>65.675449999999998</v>
      </c>
      <c r="J2252">
        <v>-493.59949999999998</v>
      </c>
      <c r="K2252">
        <v>1.132336</v>
      </c>
      <c r="L2252">
        <v>265.1859</v>
      </c>
      <c r="M2252">
        <v>-0.2223531</v>
      </c>
      <c r="N2252">
        <v>-1.5269899999999901E-2</v>
      </c>
      <c r="O2252">
        <v>-0.97484680000000001</v>
      </c>
      <c r="P2252">
        <v>-0.15180080000000001</v>
      </c>
      <c r="Q2252">
        <v>0.1888234</v>
      </c>
      <c r="R2252">
        <v>-0.97020759999999995</v>
      </c>
      <c r="S2252">
        <v>0.1687622</v>
      </c>
      <c r="T2252">
        <v>1.0448580000000001E-2</v>
      </c>
      <c r="U2252">
        <v>-3.1196899999999999</v>
      </c>
      <c r="V2252">
        <v>-7.3442599999999997E-2</v>
      </c>
      <c r="W2252">
        <v>0.2017804</v>
      </c>
      <c r="X2252">
        <v>0.97667340000000002</v>
      </c>
      <c r="Y2252">
        <v>-0.27468429999999999</v>
      </c>
      <c r="Z2252">
        <v>-1.85191E-2</v>
      </c>
      <c r="AA2252">
        <v>0.96135610000000005</v>
      </c>
      <c r="AB2252">
        <v>36</v>
      </c>
      <c r="AC2252">
        <v>10.8377999999999</v>
      </c>
      <c r="AD2252">
        <v>0.66885699999999904</v>
      </c>
      <c r="AE2252">
        <v>-199.51044999999999</v>
      </c>
      <c r="AF2252">
        <v>-54.932741144908803</v>
      </c>
      <c r="AG2252">
        <v>0.66885699999999904</v>
      </c>
      <c r="AH2252">
        <v>192.10251636565201</v>
      </c>
      <c r="AI2252">
        <v>89.808197760274297</v>
      </c>
      <c r="AJ2252">
        <v>105.958164321894</v>
      </c>
      <c r="AK2252">
        <v>199.80347898221299</v>
      </c>
      <c r="AL2252">
        <v>78.358909126309996</v>
      </c>
      <c r="AM2252">
        <v>94.3003592327794</v>
      </c>
      <c r="AN2252">
        <v>1.0000000377932301</v>
      </c>
    </row>
    <row r="2253" spans="1:40" x14ac:dyDescent="0.25">
      <c r="A2253" t="str">
        <f>"20190303171021172"</f>
        <v>20190303171021172</v>
      </c>
      <c r="B2253" t="str">
        <f>"1551604221162891"</f>
        <v>1551604221162891</v>
      </c>
      <c r="C2253" t="s">
        <v>40</v>
      </c>
      <c r="D2253">
        <v>5.0016179999999997</v>
      </c>
      <c r="E2253">
        <v>0.42926229999999999</v>
      </c>
      <c r="F2253" t="s">
        <v>67</v>
      </c>
      <c r="G2253">
        <v>-483.76299999999998</v>
      </c>
      <c r="H2253">
        <v>0.96795390000000003</v>
      </c>
      <c r="I2253">
        <v>8.8459950000000003</v>
      </c>
      <c r="J2253">
        <v>-493.63400000000001</v>
      </c>
      <c r="K2253">
        <v>1.1322430000000001</v>
      </c>
      <c r="L2253">
        <v>265.017</v>
      </c>
      <c r="M2253">
        <v>-0.2170938</v>
      </c>
      <c r="N2253">
        <v>-1.5250690000000001E-2</v>
      </c>
      <c r="O2253">
        <v>-0.9760318</v>
      </c>
      <c r="P2253">
        <v>-0.14682020000000001</v>
      </c>
      <c r="Q2253">
        <v>0.1894238</v>
      </c>
      <c r="R2253">
        <v>-0.97085670000000002</v>
      </c>
      <c r="S2253">
        <v>0.1193848</v>
      </c>
      <c r="T2253">
        <v>-1.995087E-3</v>
      </c>
      <c r="U2253">
        <v>-3.1112060000000001</v>
      </c>
      <c r="V2253">
        <v>-7.3129609999999998E-2</v>
      </c>
      <c r="W2253">
        <v>0.20238610000000001</v>
      </c>
      <c r="X2253">
        <v>0.97657150000000004</v>
      </c>
      <c r="Y2253">
        <v>-0.25435400000000002</v>
      </c>
      <c r="Z2253">
        <v>-1.4707659999999999E-2</v>
      </c>
      <c r="AA2253">
        <v>0.96699939999999995</v>
      </c>
      <c r="AB2253">
        <v>36</v>
      </c>
      <c r="AC2253">
        <v>9.8709999999999791</v>
      </c>
      <c r="AD2253">
        <v>-0.16428909999999999</v>
      </c>
      <c r="AE2253">
        <v>-256.17100499999998</v>
      </c>
      <c r="AF2253">
        <v>-65.255096824364003</v>
      </c>
      <c r="AG2253">
        <v>-0.16428909999999999</v>
      </c>
      <c r="AH2253">
        <v>247.91679814076599</v>
      </c>
      <c r="AI2253">
        <v>90.036718028346101</v>
      </c>
      <c r="AJ2253">
        <v>104.746552919658</v>
      </c>
      <c r="AK2253">
        <v>256.361060718734</v>
      </c>
      <c r="AL2253">
        <v>78.323473350650204</v>
      </c>
      <c r="AM2253">
        <v>94.282545875901903</v>
      </c>
      <c r="AN2253">
        <v>0.99999998397210599</v>
      </c>
    </row>
    <row r="2254" spans="1:40" x14ac:dyDescent="0.25">
      <c r="A2254" t="str">
        <f>"20190303171021183"</f>
        <v>20190303171021183</v>
      </c>
      <c r="B2254" t="str">
        <f>"1551604221172652"</f>
        <v>1551604221172652</v>
      </c>
      <c r="C2254" t="s">
        <v>40</v>
      </c>
      <c r="D2254">
        <v>4.9896029999999998</v>
      </c>
      <c r="E2254">
        <v>0.43035679999999998</v>
      </c>
      <c r="F2254" t="s">
        <v>67</v>
      </c>
      <c r="G2254">
        <v>-484.12889999999999</v>
      </c>
      <c r="H2254">
        <v>1.1229769999999999</v>
      </c>
      <c r="I2254">
        <v>37.867820000000002</v>
      </c>
      <c r="J2254">
        <v>-493.66770000000002</v>
      </c>
      <c r="K2254">
        <v>1.1321429999999999</v>
      </c>
      <c r="L2254">
        <v>264.84640000000002</v>
      </c>
      <c r="M2254">
        <v>-0.21184049999999999</v>
      </c>
      <c r="N2254">
        <v>-1.523122E-2</v>
      </c>
      <c r="O2254">
        <v>-0.97718570000000005</v>
      </c>
      <c r="P2254">
        <v>-0.1419359</v>
      </c>
      <c r="Q2254">
        <v>0.18979380000000001</v>
      </c>
      <c r="R2254">
        <v>-0.9715106</v>
      </c>
      <c r="S2254">
        <v>0.13012699999999999</v>
      </c>
      <c r="T2254">
        <v>-1.267195E-4</v>
      </c>
      <c r="U2254">
        <v>-3.1097410000000001</v>
      </c>
      <c r="V2254">
        <v>-7.2730320000000001E-2</v>
      </c>
      <c r="W2254">
        <v>0.2027639</v>
      </c>
      <c r="X2254">
        <v>0.97652300000000003</v>
      </c>
      <c r="Y2254">
        <v>-0.25250479999999997</v>
      </c>
      <c r="Z2254">
        <v>-1.5260950000000001E-2</v>
      </c>
      <c r="AA2254">
        <v>0.96747530000000004</v>
      </c>
      <c r="AB2254">
        <v>36</v>
      </c>
      <c r="AC2254">
        <v>9.5388000000000304</v>
      </c>
      <c r="AD2254">
        <v>-9.1660000000000005E-3</v>
      </c>
      <c r="AE2254">
        <v>-226.97857999999999</v>
      </c>
      <c r="AF2254">
        <v>-57.411086492871597</v>
      </c>
      <c r="AG2254">
        <v>-9.1660000000000005E-3</v>
      </c>
      <c r="AH2254">
        <v>219.80498507525499</v>
      </c>
      <c r="AI2254">
        <v>90.002311715811402</v>
      </c>
      <c r="AJ2254">
        <v>104.638116670711</v>
      </c>
      <c r="AK2254">
        <v>227.17892595978299</v>
      </c>
      <c r="AL2254">
        <v>78.301369297718097</v>
      </c>
      <c r="AM2254">
        <v>94.259460084394604</v>
      </c>
      <c r="AN2254">
        <v>1.0000000340597499</v>
      </c>
    </row>
    <row r="2255" spans="1:40" x14ac:dyDescent="0.25">
      <c r="A2255" t="str">
        <f>"20190303171021194"</f>
        <v>20190303171021194</v>
      </c>
      <c r="B2255" t="str">
        <f>"1551604221182411"</f>
        <v>1551604221182411</v>
      </c>
      <c r="C2255" t="s">
        <v>40</v>
      </c>
      <c r="D2255">
        <v>5.0082909999999998</v>
      </c>
      <c r="E2255">
        <v>0.4313362</v>
      </c>
      <c r="F2255" t="s">
        <v>67</v>
      </c>
      <c r="G2255">
        <v>-483.61829999999998</v>
      </c>
      <c r="H2255">
        <v>0.91176440000000003</v>
      </c>
      <c r="I2255">
        <v>37.867820000000002</v>
      </c>
      <c r="J2255">
        <v>-493.70089999999999</v>
      </c>
      <c r="K2255">
        <v>1.1320460000000001</v>
      </c>
      <c r="L2255">
        <v>264.67529999999999</v>
      </c>
      <c r="M2255">
        <v>-0.206595</v>
      </c>
      <c r="N2255">
        <v>-1.521227E-2</v>
      </c>
      <c r="O2255">
        <v>-0.97830830000000002</v>
      </c>
      <c r="P2255">
        <v>-0.13688829999999999</v>
      </c>
      <c r="Q2255">
        <v>0.1903408</v>
      </c>
      <c r="R2255">
        <v>-0.97212759999999998</v>
      </c>
      <c r="S2255">
        <v>0.13763429999999999</v>
      </c>
      <c r="T2255">
        <v>-3.0181409999999998E-3</v>
      </c>
      <c r="U2255">
        <v>-3.108673</v>
      </c>
      <c r="V2255">
        <v>-7.2503949999999998E-2</v>
      </c>
      <c r="W2255">
        <v>0.20331440000000001</v>
      </c>
      <c r="X2255">
        <v>0.97642530000000005</v>
      </c>
      <c r="Y2255">
        <v>-0.24965789999999999</v>
      </c>
      <c r="Z2255">
        <v>-1.435926E-2</v>
      </c>
      <c r="AA2255">
        <v>0.96822759999999997</v>
      </c>
      <c r="AB2255">
        <v>36</v>
      </c>
      <c r="AC2255">
        <v>10.082599999999999</v>
      </c>
      <c r="AD2255">
        <v>-0.22028159999999899</v>
      </c>
      <c r="AE2255">
        <v>-226.807479999999</v>
      </c>
      <c r="AF2255">
        <v>-56.7276922941682</v>
      </c>
      <c r="AG2255">
        <v>-0.22028159999999899</v>
      </c>
      <c r="AH2255">
        <v>219.829851671375</v>
      </c>
      <c r="AI2255">
        <v>90.055592352394598</v>
      </c>
      <c r="AJ2255">
        <v>104.46966070732</v>
      </c>
      <c r="AK2255">
        <v>227.031370702077</v>
      </c>
      <c r="AL2255">
        <v>78.2691562148554</v>
      </c>
      <c r="AM2255">
        <v>94.246674584099395</v>
      </c>
      <c r="AN2255">
        <v>0.99999996724652496</v>
      </c>
    </row>
    <row r="2256" spans="1:40" x14ac:dyDescent="0.25">
      <c r="A2256" t="str">
        <f>"20190303171021204"</f>
        <v>20190303171021204</v>
      </c>
      <c r="B2256" t="str">
        <f>"1551604221193148"</f>
        <v>1551604221193148</v>
      </c>
      <c r="C2256" t="s">
        <v>40</v>
      </c>
      <c r="D2256">
        <v>5.0260280000000002</v>
      </c>
      <c r="E2256">
        <v>0.4313362</v>
      </c>
      <c r="F2256" t="s">
        <v>67</v>
      </c>
      <c r="G2256">
        <v>-484.3218</v>
      </c>
      <c r="H2256">
        <v>0.88445929999999995</v>
      </c>
      <c r="I2256">
        <v>64.762950000000004</v>
      </c>
      <c r="J2256">
        <v>-493.72989999999999</v>
      </c>
      <c r="K2256">
        <v>1.1319589999999999</v>
      </c>
      <c r="L2256">
        <v>264.51920000000001</v>
      </c>
      <c r="M2256">
        <v>-0.20188439999999999</v>
      </c>
      <c r="N2256">
        <v>-1.5194289999999999E-2</v>
      </c>
      <c r="O2256">
        <v>-0.97929169999999999</v>
      </c>
      <c r="P2256">
        <v>-0.13265759999999999</v>
      </c>
      <c r="Q2256">
        <v>0.19047929999999999</v>
      </c>
      <c r="R2256">
        <v>-0.97268699999999997</v>
      </c>
      <c r="S2256">
        <v>0.14578250000000001</v>
      </c>
      <c r="T2256">
        <v>-3.8480760000000002E-3</v>
      </c>
      <c r="U2256">
        <v>-3.1073300000000001</v>
      </c>
      <c r="V2256">
        <v>-7.2001579999999996E-2</v>
      </c>
      <c r="W2256">
        <v>0.20346510000000001</v>
      </c>
      <c r="X2256">
        <v>0.9764311</v>
      </c>
      <c r="Y2256">
        <v>-0.2475492</v>
      </c>
      <c r="Z2256">
        <v>-1.408712E-2</v>
      </c>
      <c r="AA2256">
        <v>0.96877290000000005</v>
      </c>
      <c r="AB2256">
        <v>36</v>
      </c>
      <c r="AC2256">
        <v>9.4080999999999904</v>
      </c>
      <c r="AD2256">
        <v>-0.24749969999999899</v>
      </c>
      <c r="AE2256">
        <v>-199.75624999999999</v>
      </c>
      <c r="AF2256">
        <v>-49.546578502272098</v>
      </c>
      <c r="AG2256">
        <v>-0.24749969999999899</v>
      </c>
      <c r="AH2256">
        <v>193.74231805795301</v>
      </c>
      <c r="AI2256">
        <v>90.070911427977606</v>
      </c>
      <c r="AJ2256">
        <v>104.34505468893499</v>
      </c>
      <c r="AK2256">
        <v>199.97752499681599</v>
      </c>
      <c r="AL2256">
        <v>78.260337605040704</v>
      </c>
      <c r="AM2256">
        <v>94.217331527259404</v>
      </c>
      <c r="AN2256">
        <v>0.99999998374385801</v>
      </c>
    </row>
    <row r="2257" spans="1:40" x14ac:dyDescent="0.25">
      <c r="A2257" t="str">
        <f>"20190303171021217"</f>
        <v>20190303171021217</v>
      </c>
      <c r="B2257" t="str">
        <f>"1551604221202908"</f>
        <v>1551604221202908</v>
      </c>
      <c r="C2257" t="s">
        <v>40</v>
      </c>
      <c r="D2257">
        <v>5.040438</v>
      </c>
      <c r="E2257">
        <v>0.43959779999999998</v>
      </c>
      <c r="F2257" t="s">
        <v>67</v>
      </c>
      <c r="G2257">
        <v>-483.52960000000002</v>
      </c>
      <c r="H2257">
        <v>0.90760640000000004</v>
      </c>
      <c r="I2257">
        <v>65.675449999999998</v>
      </c>
      <c r="J2257">
        <v>-493.76499999999999</v>
      </c>
      <c r="K2257">
        <v>1.1318469999999901</v>
      </c>
      <c r="L2257">
        <v>264.32920000000001</v>
      </c>
      <c r="M2257">
        <v>-0.1961677</v>
      </c>
      <c r="N2257">
        <v>-1.517333E-2</v>
      </c>
      <c r="O2257">
        <v>-0.98045309999999997</v>
      </c>
      <c r="P2257">
        <v>-0.12711600000000001</v>
      </c>
      <c r="Q2257">
        <v>0.19042400000000001</v>
      </c>
      <c r="R2257">
        <v>-0.97343749999999996</v>
      </c>
      <c r="S2257">
        <v>0.1593628</v>
      </c>
      <c r="T2257">
        <v>-3.504872E-3</v>
      </c>
      <c r="U2257">
        <v>-3.1066280000000002</v>
      </c>
      <c r="V2257">
        <v>-7.1805880000000002E-2</v>
      </c>
      <c r="W2257">
        <v>0.20341380000000001</v>
      </c>
      <c r="X2257">
        <v>0.9764562</v>
      </c>
      <c r="Y2257">
        <v>-0.24613170000000001</v>
      </c>
      <c r="Z2257">
        <v>-1.41735E-2</v>
      </c>
      <c r="AA2257">
        <v>0.96913280000000002</v>
      </c>
      <c r="AB2257">
        <v>36</v>
      </c>
      <c r="AC2257">
        <v>10.235399999999901</v>
      </c>
      <c r="AD2257">
        <v>-0.22424059999999901</v>
      </c>
      <c r="AE2257">
        <v>-198.65375</v>
      </c>
      <c r="AF2257">
        <v>-49.0103519600599</v>
      </c>
      <c r="AG2257">
        <v>-0.22424059999999901</v>
      </c>
      <c r="AH2257">
        <v>192.784752082398</v>
      </c>
      <c r="AI2257">
        <v>90.064589925205595</v>
      </c>
      <c r="AJ2257">
        <v>104.26375282001101</v>
      </c>
      <c r="AK2257">
        <v>198.91713229022599</v>
      </c>
      <c r="AL2257">
        <v>78.263339667655899</v>
      </c>
      <c r="AM2257">
        <v>94.205802301440897</v>
      </c>
      <c r="AN2257">
        <v>0.99999998447572702</v>
      </c>
    </row>
    <row r="2258" spans="1:40" x14ac:dyDescent="0.25">
      <c r="A2258" t="str">
        <f>"20190303171021241"</f>
        <v>20190303171021241</v>
      </c>
      <c r="B2258" t="str">
        <f>"1551604221233163"</f>
        <v>1551604221233163</v>
      </c>
      <c r="C2258" t="s">
        <v>40</v>
      </c>
      <c r="D2258">
        <v>5.018618</v>
      </c>
      <c r="E2258">
        <v>0.44107590000000002</v>
      </c>
      <c r="F2258" t="s">
        <v>42</v>
      </c>
      <c r="G2258">
        <v>-490.26240000000001</v>
      </c>
      <c r="H2258" s="1">
        <v>-3.860257E-6</v>
      </c>
      <c r="I2258">
        <v>167.61019999999999</v>
      </c>
      <c r="J2258">
        <v>-493.83190000000002</v>
      </c>
      <c r="K2258">
        <v>1.131605</v>
      </c>
      <c r="L2258">
        <v>263.94159999999999</v>
      </c>
      <c r="M2258">
        <v>-0.18477160000000001</v>
      </c>
      <c r="N2258">
        <v>-1.5127369999999999E-2</v>
      </c>
      <c r="O2258">
        <v>-0.98266529999999996</v>
      </c>
      <c r="P2258">
        <v>-0.11657380000000001</v>
      </c>
      <c r="Q2258">
        <v>0.19029779999999999</v>
      </c>
      <c r="R2258">
        <v>-0.97478109999999996</v>
      </c>
      <c r="S2258">
        <v>0.1123962</v>
      </c>
      <c r="T2258">
        <v>-3.6320570000000003E-2</v>
      </c>
      <c r="U2258">
        <v>-3.1036679999999999</v>
      </c>
      <c r="V2258">
        <v>-7.090834E-2</v>
      </c>
      <c r="W2258">
        <v>0.20330870000000001</v>
      </c>
      <c r="X2258">
        <v>0.97654370000000001</v>
      </c>
      <c r="Y2258">
        <v>-0.22019340000000001</v>
      </c>
      <c r="Z2258">
        <v>-3.9270119999999997E-3</v>
      </c>
      <c r="AA2258">
        <v>0.97544830000000005</v>
      </c>
      <c r="AB2258">
        <v>36</v>
      </c>
      <c r="AC2258">
        <v>3.5695000000000001</v>
      </c>
      <c r="AD2258">
        <v>-1.131608860257</v>
      </c>
      <c r="AE2258">
        <v>-96.331400000000002</v>
      </c>
      <c r="AF2258">
        <v>-21.306427875690101</v>
      </c>
      <c r="AG2258">
        <v>-1.131608860257</v>
      </c>
      <c r="AH2258">
        <v>93.999763507439795</v>
      </c>
      <c r="AI2258">
        <v>90.672656038084099</v>
      </c>
      <c r="AJ2258">
        <v>102.77113520418401</v>
      </c>
      <c r="AK2258">
        <v>96.390870661537306</v>
      </c>
      <c r="AL2258">
        <v>78.269490265216902</v>
      </c>
      <c r="AM2258">
        <v>94.153046017303097</v>
      </c>
      <c r="AN2258">
        <v>1.00000000909346</v>
      </c>
    </row>
    <row r="2259" spans="1:40" x14ac:dyDescent="0.25">
      <c r="A2259" t="str">
        <f>"20190303171021254"</f>
        <v>20190303171021254</v>
      </c>
      <c r="B2259" t="str">
        <f>"1551604221242923"</f>
        <v>1551604221242923</v>
      </c>
      <c r="C2259" t="s">
        <v>40</v>
      </c>
      <c r="D2259">
        <v>5.0590449999999896</v>
      </c>
      <c r="E2259">
        <v>0.44155460000000002</v>
      </c>
      <c r="F2259" t="s">
        <v>42</v>
      </c>
      <c r="G2259">
        <v>-489.50819999999999</v>
      </c>
      <c r="H2259" s="1">
        <v>-2.085241E-6</v>
      </c>
      <c r="I2259">
        <v>163.858</v>
      </c>
      <c r="J2259">
        <v>-493.86660000000001</v>
      </c>
      <c r="K2259">
        <v>1.131472</v>
      </c>
      <c r="L2259">
        <v>263.73180000000002</v>
      </c>
      <c r="M2259">
        <v>-0.1786932</v>
      </c>
      <c r="N2259">
        <v>-1.510237E-2</v>
      </c>
      <c r="O2259">
        <v>-0.98378900000000002</v>
      </c>
      <c r="P2259">
        <v>-0.111258</v>
      </c>
      <c r="Q2259">
        <v>0.19055320000000001</v>
      </c>
      <c r="R2259">
        <v>-0.97535210000000006</v>
      </c>
      <c r="S2259">
        <v>0.1339417</v>
      </c>
      <c r="T2259">
        <v>-3.5055759999999998E-2</v>
      </c>
      <c r="U2259">
        <v>-3.1004640000000001</v>
      </c>
      <c r="V2259">
        <v>-7.0120550000000004E-2</v>
      </c>
      <c r="W2259">
        <v>0.20358229999999999</v>
      </c>
      <c r="X2259">
        <v>0.97654350000000001</v>
      </c>
      <c r="Y2259">
        <v>-0.22096779999999999</v>
      </c>
      <c r="Z2259">
        <v>-4.2738000000000003E-3</v>
      </c>
      <c r="AA2259">
        <v>0.97527180000000002</v>
      </c>
      <c r="AB2259">
        <v>36</v>
      </c>
      <c r="AC2259">
        <v>4.3584000000000103</v>
      </c>
      <c r="AD2259">
        <v>-1.1314740852409999</v>
      </c>
      <c r="AE2259">
        <v>-99.873800000000003</v>
      </c>
      <c r="AF2259">
        <v>-22.134202578272301</v>
      </c>
      <c r="AG2259">
        <v>-1.1314740852409999</v>
      </c>
      <c r="AH2259">
        <v>97.474554002235394</v>
      </c>
      <c r="AI2259">
        <v>90.648544255534603</v>
      </c>
      <c r="AJ2259">
        <v>102.79358713412999</v>
      </c>
      <c r="AK2259">
        <v>99.962452127367698</v>
      </c>
      <c r="AL2259">
        <v>78.253478299702607</v>
      </c>
      <c r="AM2259">
        <v>94.107065385416405</v>
      </c>
      <c r="AN2259">
        <v>0.99999992589891795</v>
      </c>
    </row>
    <row r="2260" spans="1:40" x14ac:dyDescent="0.25">
      <c r="A2260" t="str">
        <f>"20190303171021272"</f>
        <v>20190303171021272</v>
      </c>
      <c r="B2260" t="str">
        <f>"1551604221263419"</f>
        <v>1551604221263419</v>
      </c>
      <c r="C2260" t="s">
        <v>40</v>
      </c>
      <c r="D2260">
        <v>5.0303709999999997</v>
      </c>
      <c r="E2260">
        <v>0.44277929999999999</v>
      </c>
      <c r="F2260" t="s">
        <v>42</v>
      </c>
      <c r="G2260">
        <v>-489.12200000000001</v>
      </c>
      <c r="H2260" s="1">
        <v>-1.9114839999999998E-6</v>
      </c>
      <c r="I2260">
        <v>163.34549999999999</v>
      </c>
      <c r="J2260">
        <v>-493.9083</v>
      </c>
      <c r="K2260">
        <v>1.1313059999999999</v>
      </c>
      <c r="L2260">
        <v>263.4658</v>
      </c>
      <c r="M2260">
        <v>-0.171122</v>
      </c>
      <c r="N2260">
        <v>-1.5070510000000001E-2</v>
      </c>
      <c r="O2260">
        <v>-0.98513470000000003</v>
      </c>
      <c r="P2260">
        <v>-0.1052583</v>
      </c>
      <c r="Q2260">
        <v>0.19054119999999999</v>
      </c>
      <c r="R2260">
        <v>-0.97602009999999995</v>
      </c>
      <c r="S2260">
        <v>0.14648439999999999</v>
      </c>
      <c r="T2260">
        <v>-3.4933209999999999E-2</v>
      </c>
      <c r="U2260">
        <v>-3.099335</v>
      </c>
      <c r="V2260">
        <v>-6.8522410000000006E-2</v>
      </c>
      <c r="W2260">
        <v>0.2036094</v>
      </c>
      <c r="X2260">
        <v>0.97665139999999995</v>
      </c>
      <c r="Y2260">
        <v>-0.21742069999999999</v>
      </c>
      <c r="Z2260">
        <v>-4.2524379999999999E-3</v>
      </c>
      <c r="AA2260">
        <v>0.97606870000000001</v>
      </c>
      <c r="AB2260">
        <v>36</v>
      </c>
      <c r="AC2260">
        <v>4.7863000000000397</v>
      </c>
      <c r="AD2260">
        <v>-1.1313079114839999</v>
      </c>
      <c r="AE2260">
        <v>-100.1203</v>
      </c>
      <c r="AF2260">
        <v>-21.847631976466399</v>
      </c>
      <c r="AG2260">
        <v>-1.1313079114839999</v>
      </c>
      <c r="AH2260">
        <v>97.811578510160402</v>
      </c>
      <c r="AI2260">
        <v>90.646729237547405</v>
      </c>
      <c r="AJ2260">
        <v>102.59115909382599</v>
      </c>
      <c r="AK2260">
        <v>100.22825834673</v>
      </c>
      <c r="AL2260">
        <v>78.251893640182601</v>
      </c>
      <c r="AM2260">
        <v>94.013327440985606</v>
      </c>
      <c r="AN2260">
        <v>1.0000000327812599</v>
      </c>
    </row>
    <row r="2261" spans="1:40" x14ac:dyDescent="0.25">
      <c r="A2261" t="str">
        <f>"20190303171021283"</f>
        <v>20190303171021283</v>
      </c>
      <c r="B2261" t="str">
        <f>"1551604221273180"</f>
        <v>1551604221273180</v>
      </c>
      <c r="C2261" t="s">
        <v>40</v>
      </c>
      <c r="D2261">
        <v>4.9984070000000003</v>
      </c>
      <c r="E2261">
        <v>0.44338250000000001</v>
      </c>
      <c r="F2261" t="s">
        <v>42</v>
      </c>
      <c r="G2261">
        <v>-489.37200000000001</v>
      </c>
      <c r="H2261" s="1">
        <v>-1.582475E-6</v>
      </c>
      <c r="I2261">
        <v>173.06190000000001</v>
      </c>
      <c r="J2261">
        <v>-493.93630000000002</v>
      </c>
      <c r="K2261">
        <v>1.131181</v>
      </c>
      <c r="L2261">
        <v>263.2799</v>
      </c>
      <c r="M2261">
        <v>-0.1659205</v>
      </c>
      <c r="N2261">
        <v>-1.504847E-2</v>
      </c>
      <c r="O2261">
        <v>-0.98602449999999997</v>
      </c>
      <c r="P2261">
        <v>-0.1007513</v>
      </c>
      <c r="Q2261">
        <v>0.19065199999999999</v>
      </c>
      <c r="R2261">
        <v>-0.97647419999999996</v>
      </c>
      <c r="S2261">
        <v>0.1554565</v>
      </c>
      <c r="T2261">
        <v>-3.8768770000000001E-2</v>
      </c>
      <c r="U2261">
        <v>-3.0980530000000002</v>
      </c>
      <c r="V2261">
        <v>-6.7809430000000004E-2</v>
      </c>
      <c r="W2261">
        <v>0.2037369</v>
      </c>
      <c r="X2261">
        <v>0.97667459999999995</v>
      </c>
      <c r="Y2261">
        <v>-0.21510660000000001</v>
      </c>
      <c r="Z2261">
        <v>-3.0135579999999999E-3</v>
      </c>
      <c r="AA2261">
        <v>0.97658590000000001</v>
      </c>
      <c r="AB2261">
        <v>36</v>
      </c>
      <c r="AC2261">
        <v>4.5643000000000598</v>
      </c>
      <c r="AD2261">
        <v>-1.1311825824749999</v>
      </c>
      <c r="AE2261">
        <v>-90.218000000000004</v>
      </c>
      <c r="AF2261">
        <v>-19.468675586996099</v>
      </c>
      <c r="AG2261">
        <v>-1.1311825824749999</v>
      </c>
      <c r="AH2261">
        <v>88.195989042166204</v>
      </c>
      <c r="AI2261">
        <v>90.7175504634763</v>
      </c>
      <c r="AJ2261">
        <v>102.448035229423</v>
      </c>
      <c r="AK2261">
        <v>90.326305062658804</v>
      </c>
      <c r="AL2261">
        <v>78.244432334842699</v>
      </c>
      <c r="AM2261">
        <v>93.971608816306997</v>
      </c>
      <c r="AN2261">
        <v>1.0000000587518401</v>
      </c>
    </row>
    <row r="2262" spans="1:40" x14ac:dyDescent="0.25">
      <c r="A2262" t="str">
        <f>"20190303171021295"</f>
        <v>20190303171021295</v>
      </c>
      <c r="B2262" t="str">
        <f>"1551604221282939"</f>
        <v>1551604221282939</v>
      </c>
      <c r="C2262" t="s">
        <v>40</v>
      </c>
      <c r="D2262">
        <v>5.0104119999999996</v>
      </c>
      <c r="E2262">
        <v>0.44400240000000002</v>
      </c>
      <c r="F2262" t="s">
        <v>42</v>
      </c>
      <c r="G2262">
        <v>-489.4042</v>
      </c>
      <c r="H2262" s="1">
        <v>-3.7241999999999999E-6</v>
      </c>
      <c r="I2262">
        <v>178.0676</v>
      </c>
      <c r="J2262">
        <v>-493.96350000000001</v>
      </c>
      <c r="K2262">
        <v>1.1310530000000001</v>
      </c>
      <c r="L2262">
        <v>263.09519999999998</v>
      </c>
      <c r="M2262">
        <v>-0.16079589999999999</v>
      </c>
      <c r="N2262">
        <v>-1.502733E-2</v>
      </c>
      <c r="O2262">
        <v>-0.98687329999999995</v>
      </c>
      <c r="P2262">
        <v>-9.6058089999999999E-2</v>
      </c>
      <c r="Q2262">
        <v>0.19065209999999999</v>
      </c>
      <c r="R2262">
        <v>-0.97694650000000005</v>
      </c>
      <c r="S2262">
        <v>0.16473389999999999</v>
      </c>
      <c r="T2262">
        <v>-4.1116600000000003E-2</v>
      </c>
      <c r="U2262">
        <v>-3.097321</v>
      </c>
      <c r="V2262">
        <v>-6.7361240000000003E-2</v>
      </c>
      <c r="W2262">
        <v>0.20374809999999999</v>
      </c>
      <c r="X2262">
        <v>0.97670319999999999</v>
      </c>
      <c r="Y2262">
        <v>-0.21296109999999999</v>
      </c>
      <c r="Z2262">
        <v>-2.2393500000000002E-3</v>
      </c>
      <c r="AA2262">
        <v>0.97705810000000004</v>
      </c>
      <c r="AB2262">
        <v>36</v>
      </c>
      <c r="AC2262">
        <v>4.5593000000000004</v>
      </c>
      <c r="AD2262">
        <v>-1.1310567242</v>
      </c>
      <c r="AE2262">
        <v>-85.027599999999893</v>
      </c>
      <c r="AF2262">
        <v>-18.170386510141601</v>
      </c>
      <c r="AG2262">
        <v>-1.1310567242</v>
      </c>
      <c r="AH2262">
        <v>83.173067339717804</v>
      </c>
      <c r="AI2262">
        <v>90.7611578153994</v>
      </c>
      <c r="AJ2262">
        <v>102.32349115152699</v>
      </c>
      <c r="AK2262">
        <v>85.142241959784698</v>
      </c>
      <c r="AL2262">
        <v>78.243775969059499</v>
      </c>
      <c r="AM2262">
        <v>93.945326271845701</v>
      </c>
      <c r="AN2262">
        <v>0.99999998289909298</v>
      </c>
    </row>
    <row r="2263" spans="1:40" x14ac:dyDescent="0.25">
      <c r="A2263" t="str">
        <f>"20190303171021308"</f>
        <v>20190303171021308</v>
      </c>
      <c r="B2263" t="str">
        <f>"1551604221302460"</f>
        <v>1551604221302460</v>
      </c>
      <c r="C2263" t="s">
        <v>40</v>
      </c>
      <c r="D2263">
        <v>5.0148840000000003</v>
      </c>
      <c r="E2263">
        <v>0.4513355</v>
      </c>
      <c r="F2263" t="s">
        <v>42</v>
      </c>
      <c r="G2263">
        <v>-489.24930000000001</v>
      </c>
      <c r="H2263" s="1">
        <v>-4.3387100000000003E-6</v>
      </c>
      <c r="I2263">
        <v>179.43599999999901</v>
      </c>
      <c r="J2263">
        <v>-493.98939999999999</v>
      </c>
      <c r="K2263">
        <v>1.130914</v>
      </c>
      <c r="L2263">
        <v>262.90940000000001</v>
      </c>
      <c r="M2263">
        <v>-0.15577639999999901</v>
      </c>
      <c r="N2263">
        <v>-1.5003300000000001E-2</v>
      </c>
      <c r="O2263">
        <v>-0.98767859999999996</v>
      </c>
      <c r="P2263">
        <v>-9.1681289999999999E-2</v>
      </c>
      <c r="Q2263">
        <v>0.19041079999999999</v>
      </c>
      <c r="R2263">
        <v>-0.97741440000000002</v>
      </c>
      <c r="S2263">
        <v>0.17446900000000001</v>
      </c>
      <c r="T2263">
        <v>-4.1859149999999998E-2</v>
      </c>
      <c r="U2263">
        <v>-3.09613</v>
      </c>
      <c r="V2263">
        <v>-6.6697489999999998E-2</v>
      </c>
      <c r="W2263">
        <v>0.20352300000000001</v>
      </c>
      <c r="X2263">
        <v>0.97679570000000004</v>
      </c>
      <c r="Y2263">
        <v>-0.21107609999999999</v>
      </c>
      <c r="Z2263">
        <v>-1.9618190000000001E-3</v>
      </c>
      <c r="AA2263">
        <v>0.97746770000000005</v>
      </c>
      <c r="AB2263">
        <v>36</v>
      </c>
      <c r="AC2263">
        <v>4.7400999999999804</v>
      </c>
      <c r="AD2263">
        <v>-1.1309183387099999</v>
      </c>
      <c r="AE2263">
        <v>-83.473399999999998</v>
      </c>
      <c r="AF2263">
        <v>-17.683632791731</v>
      </c>
      <c r="AG2263">
        <v>-1.1309183387099999</v>
      </c>
      <c r="AH2263">
        <v>81.700727880063297</v>
      </c>
      <c r="AI2263">
        <v>90.775103402531798</v>
      </c>
      <c r="AJ2263">
        <v>102.21293660902199</v>
      </c>
      <c r="AK2263">
        <v>83.600231944258198</v>
      </c>
      <c r="AL2263">
        <v>78.2569495134871</v>
      </c>
      <c r="AM2263">
        <v>93.906202818764598</v>
      </c>
      <c r="AN2263">
        <v>1.0000000031198899</v>
      </c>
    </row>
    <row r="2264" spans="1:40" x14ac:dyDescent="0.25">
      <c r="A2264" t="str">
        <f>"20190303171021320"</f>
        <v>20190303171021320</v>
      </c>
      <c r="B2264" t="str">
        <f>"1551604221313196"</f>
        <v>1551604221313196</v>
      </c>
      <c r="C2264" t="s">
        <v>40</v>
      </c>
      <c r="D2264">
        <v>5.0107119999999998</v>
      </c>
      <c r="E2264">
        <v>0.45226749999999999</v>
      </c>
      <c r="F2264" t="s">
        <v>42</v>
      </c>
      <c r="G2264">
        <v>-491.1875</v>
      </c>
      <c r="H2264" s="1">
        <v>-3.349895E-6</v>
      </c>
      <c r="I2264">
        <v>196.66130000000001</v>
      </c>
      <c r="J2264">
        <v>-494.0163</v>
      </c>
      <c r="K2264">
        <v>1.1307640000000001</v>
      </c>
      <c r="L2264">
        <v>262.71280000000002</v>
      </c>
      <c r="M2264">
        <v>-0.15052009999999999</v>
      </c>
      <c r="N2264">
        <v>-1.497797E-2</v>
      </c>
      <c r="O2264">
        <v>-0.98849370000000003</v>
      </c>
      <c r="P2264">
        <v>-8.6911909999999995E-2</v>
      </c>
      <c r="Q2264">
        <v>0.1900743</v>
      </c>
      <c r="R2264">
        <v>-0.97791550000000005</v>
      </c>
      <c r="S2264">
        <v>0.13076779999999999</v>
      </c>
      <c r="T2264">
        <v>-5.2780870000000001E-2</v>
      </c>
      <c r="U2264">
        <v>-3.0918580000000002</v>
      </c>
      <c r="V2264">
        <v>-6.6187350000000006E-2</v>
      </c>
      <c r="W2264">
        <v>0.20319899999999999</v>
      </c>
      <c r="X2264">
        <v>0.97689780000000004</v>
      </c>
      <c r="Y2264">
        <v>-0.192131</v>
      </c>
      <c r="Z2264">
        <v>1.5842919999999999E-3</v>
      </c>
      <c r="AA2264">
        <v>0.98136800000000002</v>
      </c>
      <c r="AB2264">
        <v>36</v>
      </c>
      <c r="AC2264">
        <v>2.8288000000000002</v>
      </c>
      <c r="AD2264">
        <v>-1.1307673498949999</v>
      </c>
      <c r="AE2264">
        <v>-66.051500000000004</v>
      </c>
      <c r="AF2264">
        <v>-12.736029889577701</v>
      </c>
      <c r="AG2264">
        <v>-1.1307673498949999</v>
      </c>
      <c r="AH2264">
        <v>64.853991060386306</v>
      </c>
      <c r="AI2264">
        <v>90.980166711953601</v>
      </c>
      <c r="AJ2264">
        <v>101.110363620115</v>
      </c>
      <c r="AK2264">
        <v>66.102384590939494</v>
      </c>
      <c r="AL2264">
        <v>78.275908969116401</v>
      </c>
      <c r="AM2264">
        <v>93.876013508248306</v>
      </c>
      <c r="AN2264">
        <v>0.99999995527292995</v>
      </c>
    </row>
    <row r="2265" spans="1:40" x14ac:dyDescent="0.25">
      <c r="A2265" t="str">
        <f>"20190303171021331"</f>
        <v>20190303171021331</v>
      </c>
      <c r="B2265" t="str">
        <f>"1551604221322956"</f>
        <v>1551604221322956</v>
      </c>
      <c r="C2265" t="s">
        <v>40</v>
      </c>
      <c r="D2265">
        <v>4.995152</v>
      </c>
      <c r="E2265">
        <v>0.45304889999999998</v>
      </c>
      <c r="F2265" t="s">
        <v>52</v>
      </c>
      <c r="G2265">
        <v>-491.29640000000001</v>
      </c>
      <c r="H2265" s="1">
        <v>7.3016930000000003E-7</v>
      </c>
      <c r="I2265">
        <v>201.97329999999999</v>
      </c>
      <c r="J2265">
        <v>-494.04129999999998</v>
      </c>
      <c r="K2265">
        <v>1.1306039999999999</v>
      </c>
      <c r="L2265">
        <v>262.52170000000001</v>
      </c>
      <c r="M2265">
        <v>-0.1455246</v>
      </c>
      <c r="N2265">
        <v>-1.495171E-2</v>
      </c>
      <c r="O2265">
        <v>-0.9892417</v>
      </c>
      <c r="P2265">
        <v>-8.2657579999999994E-2</v>
      </c>
      <c r="Q2265">
        <v>0.18978490000000001</v>
      </c>
      <c r="R2265">
        <v>-0.97834030000000005</v>
      </c>
      <c r="S2265">
        <v>0.13842769999999999</v>
      </c>
      <c r="T2265">
        <v>-5.7549120000000002E-2</v>
      </c>
      <c r="U2265">
        <v>-3.091278</v>
      </c>
      <c r="V2265">
        <v>-6.5418270000000001E-2</v>
      </c>
      <c r="W2265">
        <v>0.2029282</v>
      </c>
      <c r="X2265">
        <v>0.97700600000000004</v>
      </c>
      <c r="Y2265">
        <v>-0.189606</v>
      </c>
      <c r="Z2265">
        <v>3.137693E-3</v>
      </c>
      <c r="AA2265">
        <v>0.98185520000000004</v>
      </c>
      <c r="AB2265">
        <v>36</v>
      </c>
      <c r="AC2265">
        <v>2.7448999999999701</v>
      </c>
      <c r="AD2265">
        <v>-1.1306032698307</v>
      </c>
      <c r="AE2265">
        <v>-60.548400000000001</v>
      </c>
      <c r="AF2265">
        <v>-11.523929449926399</v>
      </c>
      <c r="AG2265">
        <v>-1.1306032698307</v>
      </c>
      <c r="AH2265">
        <v>59.483502543250601</v>
      </c>
      <c r="AI2265">
        <v>91.069018131704496</v>
      </c>
      <c r="AJ2265">
        <v>100.964269083627</v>
      </c>
      <c r="AK2265">
        <v>60.600051885568</v>
      </c>
      <c r="AL2265">
        <v>78.291756099931902</v>
      </c>
      <c r="AM2265">
        <v>93.830687116992294</v>
      </c>
      <c r="AN2265">
        <v>1.00000006422051</v>
      </c>
    </row>
    <row r="2266" spans="1:40" x14ac:dyDescent="0.25">
      <c r="A2266" t="str">
        <f>"20190303171021343"</f>
        <v>20190303171021343</v>
      </c>
      <c r="B2266" t="str">
        <f>"1551604221332716"</f>
        <v>1551604221332716</v>
      </c>
      <c r="C2266" t="s">
        <v>40</v>
      </c>
      <c r="D2266">
        <v>5.0286799999999996</v>
      </c>
      <c r="E2266">
        <v>0.45343060000000002</v>
      </c>
      <c r="F2266" t="s">
        <v>52</v>
      </c>
      <c r="G2266">
        <v>-491.3424</v>
      </c>
      <c r="H2266" s="1">
        <v>1.6874210000000001E-6</v>
      </c>
      <c r="I2266">
        <v>205.4598</v>
      </c>
      <c r="J2266">
        <v>-494.06290000000001</v>
      </c>
      <c r="K2266">
        <v>1.1304559999999999</v>
      </c>
      <c r="L2266">
        <v>262.34960000000001</v>
      </c>
      <c r="M2266">
        <v>-0.14111019999999999</v>
      </c>
      <c r="N2266">
        <v>-1.492747E-2</v>
      </c>
      <c r="O2266">
        <v>-0.98988149999999997</v>
      </c>
      <c r="P2266">
        <v>-7.8796690000000003E-2</v>
      </c>
      <c r="Q2266">
        <v>0.18972020000000001</v>
      </c>
      <c r="R2266">
        <v>-0.97867130000000002</v>
      </c>
      <c r="S2266">
        <v>0.14617920000000001</v>
      </c>
      <c r="T2266">
        <v>-6.1237220000000002E-2</v>
      </c>
      <c r="U2266">
        <v>-3.090668</v>
      </c>
      <c r="V2266">
        <v>-6.4837099999999995E-2</v>
      </c>
      <c r="W2266">
        <v>0.2028769</v>
      </c>
      <c r="X2266">
        <v>0.97705529999999996</v>
      </c>
      <c r="Y2266">
        <v>-0.1876902</v>
      </c>
      <c r="Z2266">
        <v>4.3483460000000003E-3</v>
      </c>
      <c r="AA2266">
        <v>0.9822187</v>
      </c>
      <c r="AB2266">
        <v>36</v>
      </c>
      <c r="AC2266">
        <v>2.7205000000000101</v>
      </c>
      <c r="AD2266">
        <v>-1.1304543125790001</v>
      </c>
      <c r="AE2266">
        <v>-56.889800000000001</v>
      </c>
      <c r="AF2266">
        <v>-10.7176744333581</v>
      </c>
      <c r="AG2266">
        <v>-1.1304543125790001</v>
      </c>
      <c r="AH2266">
        <v>55.914466595543601</v>
      </c>
      <c r="AI2266">
        <v>91.137520486337195</v>
      </c>
      <c r="AJ2266">
        <v>100.850831100338</v>
      </c>
      <c r="AK2266">
        <v>56.943604091034203</v>
      </c>
      <c r="AL2266">
        <v>78.294756725297006</v>
      </c>
      <c r="AM2266">
        <v>93.796564605178204</v>
      </c>
      <c r="AN2266">
        <v>0.99999997267405405</v>
      </c>
    </row>
    <row r="2267" spans="1:40" x14ac:dyDescent="0.25">
      <c r="A2267" t="str">
        <f>"20190303171021354"</f>
        <v>20190303171021354</v>
      </c>
      <c r="B2267" t="str">
        <f>"1551604221342476"</f>
        <v>1551604221342476</v>
      </c>
      <c r="C2267" t="s">
        <v>40</v>
      </c>
      <c r="D2267">
        <v>5.0212190000000003</v>
      </c>
      <c r="E2267">
        <v>0.4541654</v>
      </c>
      <c r="F2267" t="s">
        <v>52</v>
      </c>
      <c r="G2267">
        <v>-491.21690000000001</v>
      </c>
      <c r="H2267" s="1">
        <v>1.8020920000000001E-6</v>
      </c>
      <c r="I2267">
        <v>205.79400000000001</v>
      </c>
      <c r="J2267">
        <v>-494.0847</v>
      </c>
      <c r="K2267">
        <v>1.130301</v>
      </c>
      <c r="L2267">
        <v>262.17219999999998</v>
      </c>
      <c r="M2267">
        <v>-0.1366126</v>
      </c>
      <c r="N2267">
        <v>-1.4902810000000001E-2</v>
      </c>
      <c r="O2267">
        <v>-0.99051250000000002</v>
      </c>
      <c r="P2267">
        <v>-7.4907680000000004E-2</v>
      </c>
      <c r="Q2267">
        <v>0.18956490000000001</v>
      </c>
      <c r="R2267">
        <v>-0.97900670000000001</v>
      </c>
      <c r="S2267">
        <v>0.15548709999999999</v>
      </c>
      <c r="T2267">
        <v>-6.1761499999999997E-2</v>
      </c>
      <c r="U2267">
        <v>-3.089874</v>
      </c>
      <c r="V2267">
        <v>-6.4201179999999997E-2</v>
      </c>
      <c r="W2267">
        <v>0.20273630000000001</v>
      </c>
      <c r="X2267">
        <v>0.97712650000000001</v>
      </c>
      <c r="Y2267">
        <v>-0.18619250000000001</v>
      </c>
      <c r="Z2267">
        <v>4.562343E-3</v>
      </c>
      <c r="AA2267">
        <v>0.98250269999999995</v>
      </c>
      <c r="AB2267">
        <v>36</v>
      </c>
      <c r="AC2267">
        <v>2.8677999999999799</v>
      </c>
      <c r="AD2267">
        <v>-1.1302991979079999</v>
      </c>
      <c r="AE2267">
        <v>-56.3781999999999</v>
      </c>
      <c r="AF2267">
        <v>-10.539509223943501</v>
      </c>
      <c r="AG2267">
        <v>-1.1302991979079999</v>
      </c>
      <c r="AH2267">
        <v>55.435465548567699</v>
      </c>
      <c r="AI2267">
        <v>91.147518543495593</v>
      </c>
      <c r="AJ2267">
        <v>100.764721096434</v>
      </c>
      <c r="AK2267">
        <v>56.4397880182485</v>
      </c>
      <c r="AL2267">
        <v>78.302983773288105</v>
      </c>
      <c r="AM2267">
        <v>93.759162190604101</v>
      </c>
      <c r="AN2267">
        <v>0.99999999792666605</v>
      </c>
    </row>
    <row r="2268" spans="1:40" x14ac:dyDescent="0.25">
      <c r="A2268" t="str">
        <f>"20190303171021368"</f>
        <v>20190303171021368</v>
      </c>
      <c r="B2268" t="str">
        <f>"1551604221362972"</f>
        <v>1551604221362972</v>
      </c>
      <c r="C2268" t="s">
        <v>40</v>
      </c>
      <c r="D2268">
        <v>5.0146369999999996</v>
      </c>
      <c r="E2268">
        <v>0.45474999999999999</v>
      </c>
      <c r="F2268" t="s">
        <v>52</v>
      </c>
      <c r="G2268">
        <v>-491.16559999999998</v>
      </c>
      <c r="H2268" s="1">
        <v>2.060238E-6</v>
      </c>
      <c r="I2268">
        <v>206.61259999999999</v>
      </c>
      <c r="J2268">
        <v>-494.11070000000001</v>
      </c>
      <c r="K2268">
        <v>1.130099</v>
      </c>
      <c r="L2268">
        <v>261.94810000000001</v>
      </c>
      <c r="M2268">
        <v>-0.13110729999999901</v>
      </c>
      <c r="N2268">
        <v>-1.487132E-2</v>
      </c>
      <c r="O2268">
        <v>-0.99125669999999999</v>
      </c>
      <c r="P2268">
        <v>-6.9969530000000002E-2</v>
      </c>
      <c r="Q2268">
        <v>0.1894054</v>
      </c>
      <c r="R2268">
        <v>-0.97940300000000002</v>
      </c>
      <c r="S2268">
        <v>0.16229250000000001</v>
      </c>
      <c r="T2268">
        <v>-6.2841530000000007E-2</v>
      </c>
      <c r="U2268">
        <v>-3.088959</v>
      </c>
      <c r="V2268">
        <v>-6.3594620000000004E-2</v>
      </c>
      <c r="W2268">
        <v>0.2025911</v>
      </c>
      <c r="X2268">
        <v>0.97719630000000002</v>
      </c>
      <c r="Y2268">
        <v>-0.1829066</v>
      </c>
      <c r="Z2268">
        <v>4.968798E-3</v>
      </c>
      <c r="AA2268">
        <v>0.98311780000000004</v>
      </c>
      <c r="AB2268">
        <v>36</v>
      </c>
      <c r="AC2268">
        <v>2.94510000000002</v>
      </c>
      <c r="AD2268">
        <v>-1.130096939762</v>
      </c>
      <c r="AE2268">
        <v>-55.335500000000003</v>
      </c>
      <c r="AF2268">
        <v>-10.1711324659718</v>
      </c>
      <c r="AG2268">
        <v>-1.130096939762</v>
      </c>
      <c r="AH2268">
        <v>54.448935646481502</v>
      </c>
      <c r="AI2268">
        <v>91.168801072068604</v>
      </c>
      <c r="AJ2268">
        <v>100.580977934402</v>
      </c>
      <c r="AK2268">
        <v>55.402307242282603</v>
      </c>
      <c r="AL2268">
        <v>78.311479669884093</v>
      </c>
      <c r="AM2268">
        <v>93.723481538477799</v>
      </c>
      <c r="AN2268">
        <v>1.0000000191129199</v>
      </c>
    </row>
    <row r="2269" spans="1:40" x14ac:dyDescent="0.25">
      <c r="A2269" t="str">
        <f>"20190303171021383"</f>
        <v>20190303171021383</v>
      </c>
      <c r="B2269" t="str">
        <f>"1551604221372732"</f>
        <v>1551604221372732</v>
      </c>
      <c r="C2269" t="s">
        <v>40</v>
      </c>
      <c r="D2269">
        <v>5.0224820000000001</v>
      </c>
      <c r="E2269">
        <v>0.46063989999999999</v>
      </c>
      <c r="F2269" t="s">
        <v>52</v>
      </c>
      <c r="G2269">
        <v>-491.03519999999997</v>
      </c>
      <c r="H2269" s="1">
        <v>2.206785E-6</v>
      </c>
      <c r="I2269">
        <v>207.04839999999999</v>
      </c>
      <c r="J2269">
        <v>-494.13650000000001</v>
      </c>
      <c r="K2269">
        <v>1.1298859999999999</v>
      </c>
      <c r="L2269">
        <v>261.71789999999999</v>
      </c>
      <c r="M2269">
        <v>-0.12558469999999999</v>
      </c>
      <c r="N2269">
        <v>-1.483928E-2</v>
      </c>
      <c r="O2269">
        <v>-0.99197210000000002</v>
      </c>
      <c r="P2269">
        <v>-6.6093620000000006E-2</v>
      </c>
      <c r="Q2269">
        <v>0.18864400000000001</v>
      </c>
      <c r="R2269">
        <v>-0.9798192</v>
      </c>
      <c r="S2269">
        <v>0.17297360000000001</v>
      </c>
      <c r="T2269">
        <v>-6.3560249999999999E-2</v>
      </c>
      <c r="U2269">
        <v>-3.0877379999999999</v>
      </c>
      <c r="V2269">
        <v>-6.1905969999999998E-2</v>
      </c>
      <c r="W2269">
        <v>0.20187050000000001</v>
      </c>
      <c r="X2269">
        <v>0.97745380000000004</v>
      </c>
      <c r="Y2269">
        <v>-0.18084230000000001</v>
      </c>
      <c r="Z2269">
        <v>5.2593669999999896E-3</v>
      </c>
      <c r="AA2269">
        <v>0.98349799999999998</v>
      </c>
      <c r="AB2269">
        <v>36</v>
      </c>
      <c r="AC2269">
        <v>3.1013000000000299</v>
      </c>
      <c r="AD2269">
        <v>-1.1298837932150001</v>
      </c>
      <c r="AE2269">
        <v>-54.669499999999999</v>
      </c>
      <c r="AF2269">
        <v>-9.93891706083466</v>
      </c>
      <c r="AG2269">
        <v>-1.1298837932150001</v>
      </c>
      <c r="AH2269">
        <v>53.824144903454197</v>
      </c>
      <c r="AI2269">
        <v>91.182597150661394</v>
      </c>
      <c r="AJ2269">
        <v>100.462124219928</v>
      </c>
      <c r="AK2269">
        <v>54.745751290089601</v>
      </c>
      <c r="AL2269">
        <v>78.353637741185196</v>
      </c>
      <c r="AM2269">
        <v>93.623925445946995</v>
      </c>
      <c r="AN2269">
        <v>0.99999998951316504</v>
      </c>
    </row>
    <row r="2270" spans="1:40" x14ac:dyDescent="0.25">
      <c r="A2270" t="str">
        <f>"20190303171021394"</f>
        <v>20190303171021394</v>
      </c>
      <c r="B2270" t="str">
        <f>"1551604221382492"</f>
        <v>1551604221382492</v>
      </c>
      <c r="C2270" t="s">
        <v>40</v>
      </c>
      <c r="D2270">
        <v>5.0390769999999998</v>
      </c>
      <c r="E2270">
        <v>0.4610649</v>
      </c>
      <c r="F2270" t="s">
        <v>52</v>
      </c>
      <c r="G2270">
        <v>-491.9323</v>
      </c>
      <c r="H2270" s="1">
        <v>2.8756239999999999E-6</v>
      </c>
      <c r="I2270">
        <v>212.54480000000001</v>
      </c>
      <c r="J2270">
        <v>-494.1558</v>
      </c>
      <c r="K2270">
        <v>1.1297159999999999</v>
      </c>
      <c r="L2270">
        <v>261.5401</v>
      </c>
      <c r="M2270">
        <v>-0.121404</v>
      </c>
      <c r="N2270">
        <v>-1.481479E-2</v>
      </c>
      <c r="O2270">
        <v>-0.99249270000000001</v>
      </c>
      <c r="P2270">
        <v>-6.2524070000000001E-2</v>
      </c>
      <c r="Q2270">
        <v>0.18824579999999999</v>
      </c>
      <c r="R2270">
        <v>-0.98012960000000005</v>
      </c>
      <c r="S2270">
        <v>0.13827509999999901</v>
      </c>
      <c r="T2270">
        <v>-7.0880289999999999E-2</v>
      </c>
      <c r="U2270">
        <v>-3.0847470000000001</v>
      </c>
      <c r="V2270">
        <v>-6.1260670000000003E-2</v>
      </c>
      <c r="W2270">
        <v>0.201488</v>
      </c>
      <c r="X2270">
        <v>0.97757340000000004</v>
      </c>
      <c r="Y2270">
        <v>-0.16569679999999901</v>
      </c>
      <c r="Z2270">
        <v>7.6925209999999999E-3</v>
      </c>
      <c r="AA2270">
        <v>0.98614669999999904</v>
      </c>
      <c r="AB2270">
        <v>36</v>
      </c>
      <c r="AC2270">
        <v>2.2235</v>
      </c>
      <c r="AD2270">
        <v>-1.1297131243759999</v>
      </c>
      <c r="AE2270">
        <v>-48.995299999999901</v>
      </c>
      <c r="AF2270">
        <v>-8.1516023947305101</v>
      </c>
      <c r="AG2270">
        <v>-1.1297131243759999</v>
      </c>
      <c r="AH2270">
        <v>48.3371935386958</v>
      </c>
      <c r="AI2270">
        <v>91.320210293376505</v>
      </c>
      <c r="AJ2270">
        <v>99.5723156124198</v>
      </c>
      <c r="AK2270">
        <v>49.032735519676002</v>
      </c>
      <c r="AL2270">
        <v>78.376013492766504</v>
      </c>
      <c r="AM2270">
        <v>93.585811597608</v>
      </c>
      <c r="AN2270">
        <v>1.0000000181102</v>
      </c>
    </row>
    <row r="2271" spans="1:40" x14ac:dyDescent="0.25">
      <c r="A2271" t="str">
        <f>"20190303171021407"</f>
        <v>20190303171021407</v>
      </c>
      <c r="B2271" t="str">
        <f>"1551604221402988"</f>
        <v>1551604221402988</v>
      </c>
      <c r="C2271" t="s">
        <v>40</v>
      </c>
      <c r="D2271">
        <v>5.0349120000000003</v>
      </c>
      <c r="E2271">
        <v>0.46221600000000002</v>
      </c>
      <c r="F2271" t="s">
        <v>52</v>
      </c>
      <c r="G2271">
        <v>-491.66829999999999</v>
      </c>
      <c r="H2271" s="1">
        <v>2.6972729999999999E-6</v>
      </c>
      <c r="I2271">
        <v>208.88239999999999</v>
      </c>
      <c r="J2271">
        <v>-494.17430000000002</v>
      </c>
      <c r="K2271">
        <v>1.12954</v>
      </c>
      <c r="L2271">
        <v>261.35950000000003</v>
      </c>
      <c r="M2271">
        <v>-0.117312</v>
      </c>
      <c r="N2271">
        <v>-1.478848E-2</v>
      </c>
      <c r="O2271">
        <v>-0.99298509999999995</v>
      </c>
      <c r="P2271">
        <v>-5.9523569999999998E-2</v>
      </c>
      <c r="Q2271">
        <v>0.18816379999999999</v>
      </c>
      <c r="R2271">
        <v>-0.98033239999999999</v>
      </c>
      <c r="S2271">
        <v>0.14562990000000001</v>
      </c>
      <c r="T2271">
        <v>-6.6138630000000004E-2</v>
      </c>
      <c r="U2271">
        <v>-3.0828250000000001</v>
      </c>
      <c r="V2271">
        <v>-6.0130959999999997E-2</v>
      </c>
      <c r="W2271">
        <v>0.2014301</v>
      </c>
      <c r="X2271">
        <v>0.97765550000000001</v>
      </c>
      <c r="Y2271">
        <v>-0.16400960000000001</v>
      </c>
      <c r="Z2271">
        <v>6.2410719999999899E-3</v>
      </c>
      <c r="AA2271">
        <v>0.98643899999999995</v>
      </c>
      <c r="AB2271">
        <v>36</v>
      </c>
      <c r="AC2271">
        <v>2.5060000000000202</v>
      </c>
      <c r="AD2271">
        <v>-1.1295373027269999</v>
      </c>
      <c r="AE2271">
        <v>-52.4771</v>
      </c>
      <c r="AF2271">
        <v>-8.6415642134504402</v>
      </c>
      <c r="AG2271">
        <v>-1.1295373027269999</v>
      </c>
      <c r="AH2271">
        <v>51.796713095530201</v>
      </c>
      <c r="AI2271">
        <v>91.232232021361696</v>
      </c>
      <c r="AJ2271">
        <v>99.471770196473798</v>
      </c>
      <c r="AK2271">
        <v>52.524774859813597</v>
      </c>
      <c r="AL2271">
        <v>78.379400701151198</v>
      </c>
      <c r="AM2271">
        <v>93.519558491872601</v>
      </c>
      <c r="AN2271">
        <v>1.0000000471083801</v>
      </c>
    </row>
    <row r="2272" spans="1:40" x14ac:dyDescent="0.25">
      <c r="A2272" t="str">
        <f>"20190303171021419"</f>
        <v>20190303171021419</v>
      </c>
      <c r="B2272" t="str">
        <f>"1551604221412747"</f>
        <v>1551604221412747</v>
      </c>
      <c r="C2272" t="s">
        <v>40</v>
      </c>
      <c r="D2272">
        <v>4.9765090000000001</v>
      </c>
      <c r="E2272">
        <v>0.46233069999999998</v>
      </c>
      <c r="F2272" t="s">
        <v>52</v>
      </c>
      <c r="G2272">
        <v>-491.80509999999998</v>
      </c>
      <c r="H2272" s="1">
        <v>2.8405569999999998E-6</v>
      </c>
      <c r="I2272">
        <v>211.22649999999999</v>
      </c>
      <c r="J2272">
        <v>-494.19459999999998</v>
      </c>
      <c r="K2272">
        <v>1.1293409999999999</v>
      </c>
      <c r="L2272">
        <v>261.15559999999999</v>
      </c>
      <c r="M2272">
        <v>-0.1127639</v>
      </c>
      <c r="N2272">
        <v>-1.4759649999999999E-2</v>
      </c>
      <c r="O2272">
        <v>-0.99351219999999996</v>
      </c>
      <c r="P2272">
        <v>-5.6068020000000003E-2</v>
      </c>
      <c r="Q2272">
        <v>0.1875743</v>
      </c>
      <c r="R2272">
        <v>-0.98064890000000005</v>
      </c>
      <c r="S2272">
        <v>0.1456604</v>
      </c>
      <c r="T2272">
        <v>-6.9446800000000003E-2</v>
      </c>
      <c r="U2272">
        <v>-3.082306</v>
      </c>
      <c r="V2272">
        <v>-5.8995279999999997E-2</v>
      </c>
      <c r="W2272">
        <v>0.20086680000000001</v>
      </c>
      <c r="X2272">
        <v>0.9778405</v>
      </c>
      <c r="Y2272">
        <v>-0.15950819999999999</v>
      </c>
      <c r="Z2272">
        <v>7.3549879999999998E-3</v>
      </c>
      <c r="AA2272">
        <v>0.98716919999999997</v>
      </c>
      <c r="AB2272">
        <v>36</v>
      </c>
      <c r="AC2272">
        <v>2.3894999999999902</v>
      </c>
      <c r="AD2272">
        <v>-1.1293381594430001</v>
      </c>
      <c r="AE2272">
        <v>-49.929099999999998</v>
      </c>
      <c r="AF2272">
        <v>-8.0009852419151795</v>
      </c>
      <c r="AG2272">
        <v>-1.1293381594430001</v>
      </c>
      <c r="AH2272">
        <v>49.315921512189298</v>
      </c>
      <c r="AI2272">
        <v>91.294922539423098</v>
      </c>
      <c r="AJ2272">
        <v>99.215338188295206</v>
      </c>
      <c r="AK2272">
        <v>49.973505821746599</v>
      </c>
      <c r="AL2272">
        <v>78.412348046357593</v>
      </c>
      <c r="AM2272">
        <v>93.452596032408394</v>
      </c>
      <c r="AN2272">
        <v>0.99999997892238401</v>
      </c>
    </row>
    <row r="2273" spans="1:40" x14ac:dyDescent="0.25">
      <c r="A2273" t="str">
        <f>"20190303171021432"</f>
        <v>20190303171021432</v>
      </c>
      <c r="B2273" t="str">
        <f>"1551604221422508"</f>
        <v>1551604221422508</v>
      </c>
      <c r="C2273" t="s">
        <v>40</v>
      </c>
      <c r="D2273">
        <v>4.6882060000000001</v>
      </c>
      <c r="E2273">
        <v>0.46289360000000002</v>
      </c>
      <c r="F2273" t="s">
        <v>52</v>
      </c>
      <c r="G2273">
        <v>-491.7328</v>
      </c>
      <c r="H2273" s="1">
        <v>2.9009750000000002E-6</v>
      </c>
      <c r="I2273">
        <v>212.3152</v>
      </c>
      <c r="J2273">
        <v>-494.21460000000002</v>
      </c>
      <c r="K2273">
        <v>1.1291249999999999</v>
      </c>
      <c r="L2273">
        <v>260.94529999999997</v>
      </c>
      <c r="M2273">
        <v>-0.1082375</v>
      </c>
      <c r="N2273">
        <v>-1.472973E-2</v>
      </c>
      <c r="O2273">
        <v>-0.99401609999999996</v>
      </c>
      <c r="P2273">
        <v>-5.2386500000000003E-2</v>
      </c>
      <c r="Q2273">
        <v>0.18765109999999999</v>
      </c>
      <c r="R2273">
        <v>-0.98083810000000005</v>
      </c>
      <c r="S2273">
        <v>0.15533449999999999</v>
      </c>
      <c r="T2273">
        <v>-7.1258189999999999E-2</v>
      </c>
      <c r="U2273">
        <v>-3.081696</v>
      </c>
      <c r="V2273">
        <v>-5.8101659999999999E-2</v>
      </c>
      <c r="W2273">
        <v>0.20096159999999999</v>
      </c>
      <c r="X2273">
        <v>0.97787449999999998</v>
      </c>
      <c r="Y2273">
        <v>-0.1581119</v>
      </c>
      <c r="Z2273">
        <v>7.9845160000000005E-3</v>
      </c>
      <c r="AA2273">
        <v>0.98738890000000001</v>
      </c>
      <c r="AB2273">
        <v>36</v>
      </c>
      <c r="AC2273">
        <v>2.4818000000000202</v>
      </c>
      <c r="AD2273">
        <v>-1.1291220990249999</v>
      </c>
      <c r="AE2273">
        <v>-48.630099999999899</v>
      </c>
      <c r="AF2273">
        <v>-7.7272321515336504</v>
      </c>
      <c r="AG2273">
        <v>-1.1291220990249999</v>
      </c>
      <c r="AH2273">
        <v>48.049849762517901</v>
      </c>
      <c r="AI2273">
        <v>91.329073829042002</v>
      </c>
      <c r="AJ2273">
        <v>99.1359126807114</v>
      </c>
      <c r="AK2273">
        <v>48.680315278752502</v>
      </c>
      <c r="AL2273">
        <v>78.406803034735304</v>
      </c>
      <c r="AM2273">
        <v>93.400304182217695</v>
      </c>
      <c r="AN2273">
        <v>0.99999995265978103</v>
      </c>
    </row>
    <row r="2274" spans="1:40" x14ac:dyDescent="0.25">
      <c r="A2274" t="str">
        <f>"20190303171021446"</f>
        <v>20190303171021446</v>
      </c>
      <c r="B2274" t="str">
        <f>"1551604221433244"</f>
        <v>1551604221433244</v>
      </c>
      <c r="C2274" t="s">
        <v>40</v>
      </c>
      <c r="D2274">
        <v>5.0423460000000002</v>
      </c>
      <c r="E2274">
        <v>0.46345609999999998</v>
      </c>
      <c r="F2274" t="s">
        <v>52</v>
      </c>
      <c r="G2274">
        <v>-491.80250000000001</v>
      </c>
      <c r="H2274" s="1">
        <v>3.015848E-6</v>
      </c>
      <c r="I2274">
        <v>215.22579999999999</v>
      </c>
      <c r="J2274">
        <v>-494.23390000000001</v>
      </c>
      <c r="K2274">
        <v>1.1289020000000001</v>
      </c>
      <c r="L2274">
        <v>260.73250000000002</v>
      </c>
      <c r="M2274">
        <v>-0.1038144</v>
      </c>
      <c r="N2274">
        <v>-1.4699129999999999E-2</v>
      </c>
      <c r="O2274">
        <v>-0.99448809999999999</v>
      </c>
      <c r="P2274">
        <v>-4.9067529999999998E-2</v>
      </c>
      <c r="Q2274">
        <v>0.18764690000000001</v>
      </c>
      <c r="R2274">
        <v>-0.98101039999999995</v>
      </c>
      <c r="S2274">
        <v>0.16259770000000001</v>
      </c>
      <c r="T2274">
        <v>-7.6111670000000006E-2</v>
      </c>
      <c r="U2274">
        <v>-3.0818479999999999</v>
      </c>
      <c r="V2274">
        <v>-5.6947339999999999E-2</v>
      </c>
      <c r="W2274">
        <v>0.2009803</v>
      </c>
      <c r="X2274">
        <v>0.97793859999999999</v>
      </c>
      <c r="Y2274">
        <v>-0.15603529999999999</v>
      </c>
      <c r="Z2274">
        <v>9.5831470000000002E-3</v>
      </c>
      <c r="AA2274">
        <v>0.98770500000000006</v>
      </c>
      <c r="AB2274">
        <v>36</v>
      </c>
      <c r="AC2274">
        <v>2.4313999999999898</v>
      </c>
      <c r="AD2274">
        <v>-1.1288989841519901</v>
      </c>
      <c r="AE2274">
        <v>-45.506700000000002</v>
      </c>
      <c r="AF2274">
        <v>-7.1386399388539301</v>
      </c>
      <c r="AG2274">
        <v>-1.1288989841519901</v>
      </c>
      <c r="AH2274">
        <v>44.980715746381499</v>
      </c>
      <c r="AI2274">
        <v>91.419910154977501</v>
      </c>
      <c r="AJ2274">
        <v>99.017885855264396</v>
      </c>
      <c r="AK2274">
        <v>45.557648997174901</v>
      </c>
      <c r="AL2274">
        <v>78.405709761680498</v>
      </c>
      <c r="AM2274">
        <v>93.332685362195406</v>
      </c>
      <c r="AN2274">
        <v>0.99999999294556197</v>
      </c>
    </row>
    <row r="2275" spans="1:40" x14ac:dyDescent="0.25">
      <c r="A2275" t="str">
        <f>"20190303171021465"</f>
        <v>20190303171021465</v>
      </c>
      <c r="B2275" t="str">
        <f>"1551604221452764"</f>
        <v>1551604221452764</v>
      </c>
      <c r="C2275" t="s">
        <v>40</v>
      </c>
      <c r="D2275">
        <v>5.0318430000000003</v>
      </c>
      <c r="E2275">
        <v>0.46462340000000002</v>
      </c>
      <c r="F2275" t="s">
        <v>52</v>
      </c>
      <c r="G2275">
        <v>-491.84089999999998</v>
      </c>
      <c r="H2275" s="1">
        <v>3.082225E-6</v>
      </c>
      <c r="I2275">
        <v>216.90020000000001</v>
      </c>
      <c r="J2275">
        <v>-494.25970000000001</v>
      </c>
      <c r="K2275">
        <v>1.128595</v>
      </c>
      <c r="L2275">
        <v>260.43369999999999</v>
      </c>
      <c r="M2275">
        <v>-9.7829680000000002E-2</v>
      </c>
      <c r="N2275">
        <v>-1.465674E-2</v>
      </c>
      <c r="O2275">
        <v>-0.99509539999999996</v>
      </c>
      <c r="P2275">
        <v>-4.4858460000000003E-2</v>
      </c>
      <c r="Q2275">
        <v>0.18748970000000001</v>
      </c>
      <c r="R2275">
        <v>-0.98124210000000001</v>
      </c>
      <c r="S2275">
        <v>0.16824339999999999</v>
      </c>
      <c r="T2275">
        <v>-7.9368229999999998E-2</v>
      </c>
      <c r="U2275">
        <v>-3.0816650000000001</v>
      </c>
      <c r="V2275">
        <v>-5.509783E-2</v>
      </c>
      <c r="W2275">
        <v>0.20085890000000001</v>
      </c>
      <c r="X2275">
        <v>0.97806950000000004</v>
      </c>
      <c r="Y2275">
        <v>-0.15189859999999999</v>
      </c>
      <c r="Z2275">
        <v>1.0698859999999999E-2</v>
      </c>
      <c r="AA2275">
        <v>0.98833819999999994</v>
      </c>
      <c r="AB2275">
        <v>36</v>
      </c>
      <c r="AC2275">
        <v>2.4188000000000298</v>
      </c>
      <c r="AD2275">
        <v>-1.1285919177749999</v>
      </c>
      <c r="AE2275">
        <v>-43.533499999999897</v>
      </c>
      <c r="AF2275">
        <v>-6.6620564318305897</v>
      </c>
      <c r="AG2275">
        <v>-1.1285919177749999</v>
      </c>
      <c r="AH2275">
        <v>43.059126074791301</v>
      </c>
      <c r="AI2275">
        <v>91.483749033500004</v>
      </c>
      <c r="AJ2275">
        <v>98.794998893977095</v>
      </c>
      <c r="AK2275">
        <v>43.586064905454997</v>
      </c>
      <c r="AL2275">
        <v>78.412810438101104</v>
      </c>
      <c r="AM2275">
        <v>93.224249489936895</v>
      </c>
      <c r="AN2275">
        <v>1.0000000077050799</v>
      </c>
    </row>
    <row r="2276" spans="1:40" x14ac:dyDescent="0.25">
      <c r="A2276" t="str">
        <f>"20190303171021484"</f>
        <v>20190303171021484</v>
      </c>
      <c r="B2276" t="str">
        <f>"1551604221473260"</f>
        <v>1551604221473260</v>
      </c>
      <c r="C2276" t="s">
        <v>40</v>
      </c>
      <c r="D2276">
        <v>5.0209460000000004</v>
      </c>
      <c r="E2276">
        <v>0.47250180000000003</v>
      </c>
      <c r="F2276" t="s">
        <v>52</v>
      </c>
      <c r="G2276">
        <v>-491.76139999999998</v>
      </c>
      <c r="H2276" s="1">
        <v>3.0443740000000002E-6</v>
      </c>
      <c r="I2276">
        <v>215.71209999999999</v>
      </c>
      <c r="J2276">
        <v>-494.28379999999999</v>
      </c>
      <c r="K2276">
        <v>1.1282810000000001</v>
      </c>
      <c r="L2276">
        <v>260.13600000000002</v>
      </c>
      <c r="M2276">
        <v>-9.2153219999999994E-2</v>
      </c>
      <c r="N2276">
        <v>-1.4615110000000001E-2</v>
      </c>
      <c r="O2276">
        <v>-0.99563780000000002</v>
      </c>
      <c r="P2276">
        <v>-4.0437689999999998E-2</v>
      </c>
      <c r="Q2276">
        <v>0.18712500000000001</v>
      </c>
      <c r="R2276">
        <v>-0.98150349999999997</v>
      </c>
      <c r="S2276">
        <v>0.17205809999999999</v>
      </c>
      <c r="T2276">
        <v>-7.7727790000000005E-2</v>
      </c>
      <c r="U2276">
        <v>-3.0800480000000001</v>
      </c>
      <c r="V2276">
        <v>-5.3763539999999999E-2</v>
      </c>
      <c r="W2276">
        <v>0.2005197</v>
      </c>
      <c r="X2276">
        <v>0.97821329999999995</v>
      </c>
      <c r="Y2276">
        <v>-0.14751139999999999</v>
      </c>
      <c r="Z2276">
        <v>1.025846E-2</v>
      </c>
      <c r="AA2276">
        <v>0.98900719999999998</v>
      </c>
      <c r="AB2276">
        <v>36</v>
      </c>
      <c r="AC2276">
        <v>2.5224000000000002</v>
      </c>
      <c r="AD2276">
        <v>-1.1282779556260001</v>
      </c>
      <c r="AE2276">
        <v>-44.423899999999897</v>
      </c>
      <c r="AF2276">
        <v>-6.6016615258323998</v>
      </c>
      <c r="AG2276">
        <v>-1.1282779556260001</v>
      </c>
      <c r="AH2276">
        <v>43.974082017209099</v>
      </c>
      <c r="AI2276">
        <v>91.453480054383803</v>
      </c>
      <c r="AJ2276">
        <v>98.537836705223796</v>
      </c>
      <c r="AK2276">
        <v>44.481173942501101</v>
      </c>
      <c r="AL2276">
        <v>78.4326482697507</v>
      </c>
      <c r="AM2276">
        <v>93.145865893681005</v>
      </c>
      <c r="AN2276">
        <v>0.99999996430915505</v>
      </c>
    </row>
    <row r="2277" spans="1:40" x14ac:dyDescent="0.25">
      <c r="A2277" t="str">
        <f>"20190303171021497"</f>
        <v>20190303171021497</v>
      </c>
      <c r="B2277" t="str">
        <f>"1551604221483022"</f>
        <v>1551604221483022</v>
      </c>
      <c r="C2277" t="s">
        <v>40</v>
      </c>
      <c r="D2277">
        <v>5.0899789999999996</v>
      </c>
      <c r="E2277">
        <v>0.47250180000000003</v>
      </c>
      <c r="F2277" t="s">
        <v>52</v>
      </c>
      <c r="G2277">
        <v>-492.94810000000001</v>
      </c>
      <c r="H2277" s="1">
        <v>5.1002909999999996E-6</v>
      </c>
      <c r="I2277">
        <v>226.80950000000001</v>
      </c>
      <c r="J2277">
        <v>-494.29860000000002</v>
      </c>
      <c r="K2277">
        <v>1.1280749999999999</v>
      </c>
      <c r="L2277">
        <v>259.94439999999997</v>
      </c>
      <c r="M2277">
        <v>-8.8615490000000005E-2</v>
      </c>
      <c r="N2277">
        <v>-1.4589110000000001E-2</v>
      </c>
      <c r="O2277">
        <v>-0.99595919999999905</v>
      </c>
      <c r="P2277">
        <v>-3.7585540000000001E-2</v>
      </c>
      <c r="Q2277">
        <v>0.1870387</v>
      </c>
      <c r="R2277">
        <v>-0.98163350000000005</v>
      </c>
      <c r="S2277">
        <v>0.12350460000000001</v>
      </c>
      <c r="T2277">
        <v>-0.1043264</v>
      </c>
      <c r="U2277">
        <v>-3.0815429999999999</v>
      </c>
      <c r="V2277">
        <v>-5.3026879999999998E-2</v>
      </c>
      <c r="W2277">
        <v>0.20044690000000001</v>
      </c>
      <c r="X2277">
        <v>0.97826840000000004</v>
      </c>
      <c r="Y2277">
        <v>-0.12839020000000001</v>
      </c>
      <c r="Z2277">
        <v>1.887233E-2</v>
      </c>
      <c r="AA2277">
        <v>0.99154410000000004</v>
      </c>
      <c r="AB2277">
        <v>36</v>
      </c>
      <c r="AC2277">
        <v>1.35050000000001</v>
      </c>
      <c r="AD2277">
        <v>-1.128069899709</v>
      </c>
      <c r="AE2277">
        <v>-33.134899999999902</v>
      </c>
      <c r="AF2277">
        <v>-4.27681459968412</v>
      </c>
      <c r="AG2277">
        <v>-1.128069899709</v>
      </c>
      <c r="AH2277">
        <v>32.846820735075603</v>
      </c>
      <c r="AI2277">
        <v>91.950504625358207</v>
      </c>
      <c r="AJ2277">
        <v>97.4184524912651</v>
      </c>
      <c r="AK2277">
        <v>33.143284647434903</v>
      </c>
      <c r="AL2277">
        <v>78.436905512751693</v>
      </c>
      <c r="AM2277">
        <v>93.102672095175095</v>
      </c>
      <c r="AN2277">
        <v>0.99999993608034998</v>
      </c>
    </row>
    <row r="2278" spans="1:40" x14ac:dyDescent="0.25">
      <c r="A2278" t="str">
        <f>"20190303171021508"</f>
        <v>20190303171021508</v>
      </c>
      <c r="B2278" t="str">
        <f>"1551604221502540"</f>
        <v>1551604221502540</v>
      </c>
      <c r="C2278" t="s">
        <v>40</v>
      </c>
      <c r="D2278">
        <v>5.1191430000000002</v>
      </c>
      <c r="E2278">
        <v>0.4422739</v>
      </c>
      <c r="F2278" t="s">
        <v>52</v>
      </c>
      <c r="G2278">
        <v>-492.87439999999998</v>
      </c>
      <c r="H2278" s="1">
        <v>5.0964750000000002E-6</v>
      </c>
      <c r="I2278">
        <v>226.74440000000001</v>
      </c>
      <c r="J2278">
        <v>-494.31279999999998</v>
      </c>
      <c r="K2278">
        <v>1.127866</v>
      </c>
      <c r="L2278">
        <v>259.74889999999999</v>
      </c>
      <c r="M2278">
        <v>-8.5192809999999994E-2</v>
      </c>
      <c r="N2278">
        <v>-1.4562189999999999E-2</v>
      </c>
      <c r="O2278">
        <v>-0.99625810000000004</v>
      </c>
      <c r="P2278">
        <v>-3.4443029999999999E-2</v>
      </c>
      <c r="Q2278">
        <v>0.18710950000000001</v>
      </c>
      <c r="R2278">
        <v>-0.98173509999999997</v>
      </c>
      <c r="S2278">
        <v>0.1321716</v>
      </c>
      <c r="T2278">
        <v>-0.1046914</v>
      </c>
      <c r="U2278">
        <v>-3.0811459999999999</v>
      </c>
      <c r="V2278">
        <v>-5.2693440000000001E-2</v>
      </c>
      <c r="W2278">
        <v>0.20052249999999999</v>
      </c>
      <c r="X2278">
        <v>0.978271</v>
      </c>
      <c r="Y2278">
        <v>-0.1277721</v>
      </c>
      <c r="Z2278">
        <v>1.9034530000000001E-2</v>
      </c>
      <c r="AA2278">
        <v>0.99162090000000003</v>
      </c>
      <c r="AB2278">
        <v>35</v>
      </c>
      <c r="AC2278">
        <v>1.4383999999999999</v>
      </c>
      <c r="AD2278">
        <v>-1.127860903525</v>
      </c>
      <c r="AE2278">
        <v>-33.004499999999901</v>
      </c>
      <c r="AF2278">
        <v>-4.2402713705032804</v>
      </c>
      <c r="AG2278">
        <v>-1.127860903525</v>
      </c>
      <c r="AH2278">
        <v>32.723789729500403</v>
      </c>
      <c r="AI2278">
        <v>91.957626467107104</v>
      </c>
      <c r="AJ2278">
        <v>97.383113445041303</v>
      </c>
      <c r="AK2278">
        <v>33.0166380143976</v>
      </c>
      <c r="AL2278">
        <v>78.432485057696496</v>
      </c>
      <c r="AM2278">
        <v>93.083191666888794</v>
      </c>
      <c r="AN2278">
        <v>1.0000000105331399</v>
      </c>
    </row>
    <row r="2279" spans="1:40" x14ac:dyDescent="0.25">
      <c r="A2279" t="str">
        <f>"20190303171021521"</f>
        <v>20190303171021521</v>
      </c>
      <c r="B2279" t="str">
        <f>"1551604221513275"</f>
        <v>1551604221513275</v>
      </c>
      <c r="C2279" t="s">
        <v>40</v>
      </c>
      <c r="D2279">
        <v>5.1135630000000001</v>
      </c>
      <c r="E2279">
        <v>0.43626769999999998</v>
      </c>
      <c r="F2279" t="s">
        <v>42</v>
      </c>
      <c r="G2279">
        <v>-484.20650000000001</v>
      </c>
      <c r="H2279" s="1">
        <v>-4.6788449999999998E-6</v>
      </c>
      <c r="I2279">
        <v>178.1438</v>
      </c>
      <c r="J2279">
        <v>-494.32569999999998</v>
      </c>
      <c r="K2279">
        <v>1.127677</v>
      </c>
      <c r="L2279">
        <v>259.56610000000001</v>
      </c>
      <c r="M2279">
        <v>-8.2054810000000006E-2</v>
      </c>
      <c r="N2279">
        <v>-1.453806E-2</v>
      </c>
      <c r="O2279">
        <v>-0.99652189999999996</v>
      </c>
      <c r="P2279">
        <v>-3.1702479999999998E-2</v>
      </c>
      <c r="Q2279">
        <v>0.1871488</v>
      </c>
      <c r="R2279">
        <v>-0.98182000000000003</v>
      </c>
      <c r="S2279">
        <v>0.38110349999999998</v>
      </c>
      <c r="T2279">
        <v>-4.2531609999999997E-2</v>
      </c>
      <c r="U2279">
        <v>-3.0773009999999998</v>
      </c>
      <c r="V2279">
        <v>-5.2246519999999998E-2</v>
      </c>
      <c r="W2279">
        <v>0.20056879999999999</v>
      </c>
      <c r="X2279">
        <v>0.97828550000000003</v>
      </c>
      <c r="Y2279">
        <v>-0.2038894</v>
      </c>
      <c r="Z2279">
        <v>-1.0591999999999999E-3</v>
      </c>
      <c r="AA2279">
        <v>0.97899340000000001</v>
      </c>
      <c r="AB2279">
        <v>35</v>
      </c>
      <c r="AC2279">
        <v>10.1191999999999</v>
      </c>
      <c r="AD2279">
        <v>-1.1276816788449999</v>
      </c>
      <c r="AE2279">
        <v>-81.422300000000007</v>
      </c>
      <c r="AF2279">
        <v>-16.763699048988499</v>
      </c>
      <c r="AG2279">
        <v>-1.1276816788449999</v>
      </c>
      <c r="AH2279">
        <v>80.302085456450797</v>
      </c>
      <c r="AI2279">
        <v>90.787575376537205</v>
      </c>
      <c r="AJ2279">
        <v>101.79160389687399</v>
      </c>
      <c r="AK2279">
        <v>82.040954409544696</v>
      </c>
      <c r="AL2279">
        <v>78.429777491798106</v>
      </c>
      <c r="AM2279">
        <v>93.057046130897106</v>
      </c>
      <c r="AN2279">
        <v>1.00000003094789</v>
      </c>
    </row>
    <row r="2280" spans="1:40" x14ac:dyDescent="0.25">
      <c r="A2280" t="str">
        <f>"20190303171021531"</f>
        <v>20190303171021531</v>
      </c>
      <c r="B2280" t="str">
        <f>"1551604221523037"</f>
        <v>1551604221523037</v>
      </c>
      <c r="C2280" t="s">
        <v>40</v>
      </c>
      <c r="D2280">
        <v>4.9988549999999998</v>
      </c>
      <c r="E2280">
        <v>0.43626769999999998</v>
      </c>
      <c r="F2280" t="s">
        <v>68</v>
      </c>
      <c r="G2280">
        <v>-476.99959999999999</v>
      </c>
      <c r="H2280" s="1">
        <v>-4.6706120000000001E-6</v>
      </c>
      <c r="I2280">
        <v>137.63939999999999</v>
      </c>
      <c r="J2280">
        <v>-494.33850000000001</v>
      </c>
      <c r="K2280">
        <v>1.1274879999999901</v>
      </c>
      <c r="L2280">
        <v>259.37830000000002</v>
      </c>
      <c r="M2280">
        <v>-7.8944970000000003E-2</v>
      </c>
      <c r="N2280">
        <v>-1.451384E-2</v>
      </c>
      <c r="O2280">
        <v>-0.99677329999999997</v>
      </c>
      <c r="P2280">
        <v>-2.901571E-2</v>
      </c>
      <c r="Q2280">
        <v>0.1873647</v>
      </c>
      <c r="R2280">
        <v>-0.98186180000000001</v>
      </c>
      <c r="S2280">
        <v>0.43698120000000001</v>
      </c>
      <c r="T2280">
        <v>-2.8441190000000002E-2</v>
      </c>
      <c r="U2280">
        <v>-3.0751040000000001</v>
      </c>
      <c r="V2280">
        <v>-5.1772020000000002E-2</v>
      </c>
      <c r="W2280">
        <v>0.2007921</v>
      </c>
      <c r="X2280">
        <v>0.97826489999999999</v>
      </c>
      <c r="Y2280">
        <v>-0.21837880000000001</v>
      </c>
      <c r="Z2280">
        <v>-5.5475239999999999E-3</v>
      </c>
      <c r="AA2280">
        <v>0.9758483</v>
      </c>
      <c r="AB2280">
        <v>35</v>
      </c>
      <c r="AC2280">
        <v>17.338899999999999</v>
      </c>
      <c r="AD2280">
        <v>-1.1274926706120001</v>
      </c>
      <c r="AE2280">
        <v>-121.7389</v>
      </c>
      <c r="AF2280">
        <v>-26.894198777229999</v>
      </c>
      <c r="AG2280">
        <v>-1.1274926706120001</v>
      </c>
      <c r="AH2280">
        <v>119.979819718543</v>
      </c>
      <c r="AI2280">
        <v>90.525376303916502</v>
      </c>
      <c r="AJ2280">
        <v>102.634348734471</v>
      </c>
      <c r="AK2280">
        <v>122.96229628339501</v>
      </c>
      <c r="AL2280">
        <v>78.416717443131901</v>
      </c>
      <c r="AM2280">
        <v>93.029397828075702</v>
      </c>
      <c r="AN2280">
        <v>1.0000000120246499</v>
      </c>
    </row>
    <row r="2281" spans="1:40" x14ac:dyDescent="0.25">
      <c r="A2281" t="str">
        <f>"20190303171021543"</f>
        <v>20190303171021543</v>
      </c>
      <c r="B2281" t="str">
        <f>"1551604221532797"</f>
        <v>1551604221532797</v>
      </c>
      <c r="C2281" t="s">
        <v>40</v>
      </c>
      <c r="D2281">
        <v>5.1136339999999896</v>
      </c>
      <c r="E2281">
        <v>0.43273699999999998</v>
      </c>
      <c r="F2281" t="s">
        <v>68</v>
      </c>
      <c r="G2281">
        <v>-476.18830000000003</v>
      </c>
      <c r="H2281" s="1">
        <v>-4.450454E-6</v>
      </c>
      <c r="I2281">
        <v>134.10929999999999</v>
      </c>
      <c r="J2281">
        <v>-494.3492</v>
      </c>
      <c r="K2281">
        <v>1.127324</v>
      </c>
      <c r="L2281">
        <v>259.2133</v>
      </c>
      <c r="M2281">
        <v>-7.6311399999999904E-2</v>
      </c>
      <c r="N2281">
        <v>-1.449289E-2</v>
      </c>
      <c r="O2281">
        <v>-0.9969789</v>
      </c>
      <c r="P2281">
        <v>-2.6889659999999999E-2</v>
      </c>
      <c r="Q2281">
        <v>0.1876302</v>
      </c>
      <c r="R2281">
        <v>-0.98187170000000001</v>
      </c>
      <c r="S2281">
        <v>0.44537349999999998</v>
      </c>
      <c r="T2281">
        <v>-2.7666690000000001E-2</v>
      </c>
      <c r="U2281">
        <v>-3.0738829999999999</v>
      </c>
      <c r="V2281">
        <v>-5.121908E-2</v>
      </c>
      <c r="W2281">
        <v>0.2010663</v>
      </c>
      <c r="X2281">
        <v>0.97823769999999999</v>
      </c>
      <c r="Y2281">
        <v>-0.21846550000000001</v>
      </c>
      <c r="Z2281">
        <v>-5.7671950000000001E-3</v>
      </c>
      <c r="AA2281">
        <v>0.97582760000000002</v>
      </c>
      <c r="AB2281">
        <v>35</v>
      </c>
      <c r="AC2281">
        <v>18.160899999999899</v>
      </c>
      <c r="AD2281">
        <v>-1.127328450454</v>
      </c>
      <c r="AE2281">
        <v>-125.104</v>
      </c>
      <c r="AF2281">
        <v>-27.653595425192002</v>
      </c>
      <c r="AG2281">
        <v>-1.127328450454</v>
      </c>
      <c r="AH2281">
        <v>123.343286518413</v>
      </c>
      <c r="AI2281">
        <v>90.510971253622898</v>
      </c>
      <c r="AJ2281">
        <v>102.63676159480799</v>
      </c>
      <c r="AK2281">
        <v>126.410278611111</v>
      </c>
      <c r="AL2281">
        <v>78.400680012286202</v>
      </c>
      <c r="AM2281">
        <v>92.997185480592293</v>
      </c>
      <c r="AN2281">
        <v>1.0000000244265099</v>
      </c>
    </row>
    <row r="2282" spans="1:40" x14ac:dyDescent="0.25">
      <c r="A2282" t="str">
        <f>"20190303171021554"</f>
        <v>20190303171021554</v>
      </c>
      <c r="B2282" t="str">
        <f>"1551604221542555"</f>
        <v>1551604221542555</v>
      </c>
      <c r="C2282" t="s">
        <v>40</v>
      </c>
      <c r="D2282">
        <v>5.07775</v>
      </c>
      <c r="E2282">
        <v>0.4303999</v>
      </c>
      <c r="F2282" t="s">
        <v>69</v>
      </c>
      <c r="G2282">
        <v>-472.57369999999997</v>
      </c>
      <c r="H2282">
        <v>0.29716330000000002</v>
      </c>
      <c r="I2282">
        <v>119.8177</v>
      </c>
      <c r="J2282">
        <v>-494.36059999999998</v>
      </c>
      <c r="K2282">
        <v>1.1271409999999999</v>
      </c>
      <c r="L2282">
        <v>259.03269999999998</v>
      </c>
      <c r="M2282">
        <v>-7.3491219999999996E-2</v>
      </c>
      <c r="N2282">
        <v>-1.447065E-2</v>
      </c>
      <c r="O2282">
        <v>-0.99719100000000005</v>
      </c>
      <c r="P2282">
        <v>-2.4532620000000002E-2</v>
      </c>
      <c r="Q2282">
        <v>0.18767110000000001</v>
      </c>
      <c r="R2282">
        <v>-0.98192579999999996</v>
      </c>
      <c r="S2282">
        <v>0.47988890000000001</v>
      </c>
      <c r="T2282">
        <v>-1.829457E-2</v>
      </c>
      <c r="U2282">
        <v>-3.0720209999999999</v>
      </c>
      <c r="V2282">
        <v>-5.0705930000000003E-2</v>
      </c>
      <c r="W2282">
        <v>0.2011153</v>
      </c>
      <c r="X2282">
        <v>0.97825430000000002</v>
      </c>
      <c r="Y2282">
        <v>-0.2265027</v>
      </c>
      <c r="Z2282">
        <v>-8.7356780000000002E-3</v>
      </c>
      <c r="AA2282">
        <v>0.97397140000000004</v>
      </c>
      <c r="AB2282">
        <v>35</v>
      </c>
      <c r="AC2282">
        <v>21.786899999999999</v>
      </c>
      <c r="AD2282">
        <v>-0.82997769999999904</v>
      </c>
      <c r="AE2282">
        <v>-139.21499999999901</v>
      </c>
      <c r="AF2282">
        <v>-31.9590144156275</v>
      </c>
      <c r="AG2282">
        <v>-0.82997769999999904</v>
      </c>
      <c r="AH2282">
        <v>137.232390418302</v>
      </c>
      <c r="AI2282">
        <v>90.337488398482506</v>
      </c>
      <c r="AJ2282">
        <v>103.10951968067801</v>
      </c>
      <c r="AK2282">
        <v>140.90704895540901</v>
      </c>
      <c r="AL2282">
        <v>78.397813278513496</v>
      </c>
      <c r="AM2282">
        <v>92.967161166776194</v>
      </c>
      <c r="AN2282">
        <v>0.99999996534987101</v>
      </c>
    </row>
    <row r="2283" spans="1:40" x14ac:dyDescent="0.25">
      <c r="A2283" t="str">
        <f>"20190303171021567"</f>
        <v>20190303171021567</v>
      </c>
      <c r="B2283" t="str">
        <f>"1551604221563052"</f>
        <v>1551604221563052</v>
      </c>
      <c r="C2283" t="s">
        <v>40</v>
      </c>
      <c r="D2283">
        <v>5.104768</v>
      </c>
      <c r="E2283">
        <v>0.42825530000000001</v>
      </c>
      <c r="F2283" t="s">
        <v>69</v>
      </c>
      <c r="G2283">
        <v>-471.41969999999998</v>
      </c>
      <c r="H2283">
        <v>0.57441739999999997</v>
      </c>
      <c r="I2283">
        <v>119.8177</v>
      </c>
      <c r="J2283">
        <v>-494.37270000000001</v>
      </c>
      <c r="K2283">
        <v>1.126935</v>
      </c>
      <c r="L2283">
        <v>258.82909999999998</v>
      </c>
      <c r="M2283">
        <v>-7.0469599999999993E-2</v>
      </c>
      <c r="N2283">
        <v>-1.444551E-2</v>
      </c>
      <c r="O2283">
        <v>-0.99740949999999995</v>
      </c>
      <c r="P2283">
        <v>-2.2146099999999998E-2</v>
      </c>
      <c r="Q2283">
        <v>0.187587</v>
      </c>
      <c r="R2283">
        <v>-0.98199860000000005</v>
      </c>
      <c r="S2283">
        <v>0.50592040000000005</v>
      </c>
      <c r="T2283">
        <v>-1.218879E-2</v>
      </c>
      <c r="U2283">
        <v>-3.07016</v>
      </c>
      <c r="V2283">
        <v>-5.0014450000000002E-2</v>
      </c>
      <c r="W2283">
        <v>0.20104150000000001</v>
      </c>
      <c r="X2283">
        <v>0.97830510000000004</v>
      </c>
      <c r="Y2283">
        <v>-0.23168859999999999</v>
      </c>
      <c r="Z2283">
        <v>-1.065439E-2</v>
      </c>
      <c r="AA2283">
        <v>0.97273160000000003</v>
      </c>
      <c r="AB2283">
        <v>35</v>
      </c>
      <c r="AC2283">
        <v>22.952999999999999</v>
      </c>
      <c r="AD2283">
        <v>-0.55251759999999905</v>
      </c>
      <c r="AE2283">
        <v>-139.01139999999901</v>
      </c>
      <c r="AF2283">
        <v>-32.692520810972297</v>
      </c>
      <c r="AG2283">
        <v>-0.55251759999999905</v>
      </c>
      <c r="AH2283">
        <v>137.045970698416</v>
      </c>
      <c r="AI2283">
        <v>90.224689047113202</v>
      </c>
      <c r="AJ2283">
        <v>103.41723420666</v>
      </c>
      <c r="AK2283">
        <v>140.892527400658</v>
      </c>
      <c r="AL2283">
        <v>78.402130272301306</v>
      </c>
      <c r="AM2283">
        <v>92.926616924849796</v>
      </c>
      <c r="AN2283">
        <v>0.99999999930853101</v>
      </c>
    </row>
    <row r="2284" spans="1:40" x14ac:dyDescent="0.25">
      <c r="A2284" t="str">
        <f>"20190303171021586"</f>
        <v>20190303171021586</v>
      </c>
      <c r="B2284" t="str">
        <f>"1551604221582572"</f>
        <v>1551604221582572</v>
      </c>
      <c r="C2284" t="s">
        <v>40</v>
      </c>
      <c r="D2284">
        <v>5.1139640000000002</v>
      </c>
      <c r="E2284">
        <v>0.42735630000000002</v>
      </c>
      <c r="F2284" t="s">
        <v>69</v>
      </c>
      <c r="G2284">
        <v>-470.29759999999999</v>
      </c>
      <c r="H2284">
        <v>0.79596889999999998</v>
      </c>
      <c r="I2284">
        <v>119.395</v>
      </c>
      <c r="J2284">
        <v>-494.38920000000002</v>
      </c>
      <c r="K2284">
        <v>1.126652</v>
      </c>
      <c r="L2284">
        <v>258.53960000000001</v>
      </c>
      <c r="M2284">
        <v>-6.6332799999999997E-2</v>
      </c>
      <c r="N2284">
        <v>-1.4411119999999999E-2</v>
      </c>
      <c r="O2284">
        <v>-0.99769359999999996</v>
      </c>
      <c r="P2284">
        <v>-1.872337E-2</v>
      </c>
      <c r="Q2284">
        <v>0.18755240000000001</v>
      </c>
      <c r="R2284">
        <v>-0.98207619999999896</v>
      </c>
      <c r="S2284">
        <v>0.52978519999999996</v>
      </c>
      <c r="T2284">
        <v>-7.2824949999999999E-3</v>
      </c>
      <c r="U2284">
        <v>-3.0683289999999999</v>
      </c>
      <c r="V2284">
        <v>-4.9220699999999999E-2</v>
      </c>
      <c r="W2284">
        <v>0.20101859999999999</v>
      </c>
      <c r="X2284">
        <v>0.97835000000000005</v>
      </c>
      <c r="Y2284">
        <v>-0.2351017</v>
      </c>
      <c r="Z2284">
        <v>-1.2178380000000001E-2</v>
      </c>
      <c r="AA2284">
        <v>0.97189449999999999</v>
      </c>
      <c r="AB2284">
        <v>35</v>
      </c>
      <c r="AC2284">
        <v>24.0916</v>
      </c>
      <c r="AD2284">
        <v>-0.33068309999999901</v>
      </c>
      <c r="AE2284">
        <v>-139.1446</v>
      </c>
      <c r="AF2284">
        <v>-33.2691545001883</v>
      </c>
      <c r="AG2284">
        <v>-0.33068309999999901</v>
      </c>
      <c r="AH2284">
        <v>137.23909631637801</v>
      </c>
      <c r="AI2284">
        <v>90.134170163453902</v>
      </c>
      <c r="AJ2284">
        <v>103.626628361109</v>
      </c>
      <c r="AK2284">
        <v>141.21443109755501</v>
      </c>
      <c r="AL2284">
        <v>78.403468976886401</v>
      </c>
      <c r="AM2284">
        <v>92.880117179969403</v>
      </c>
      <c r="AN2284">
        <v>0.99999993867722303</v>
      </c>
    </row>
    <row r="2285" spans="1:40" x14ac:dyDescent="0.25">
      <c r="A2285" t="str">
        <f>"20190303171021601"</f>
        <v>20190303171021601</v>
      </c>
      <c r="B2285" t="str">
        <f>"1551604221593308"</f>
        <v>1551604221593308</v>
      </c>
      <c r="C2285" t="s">
        <v>40</v>
      </c>
      <c r="D2285">
        <v>5.1288019999999896</v>
      </c>
      <c r="E2285">
        <v>0.42714819999999998</v>
      </c>
      <c r="F2285" t="s">
        <v>69</v>
      </c>
      <c r="G2285">
        <v>-469.54450000000003</v>
      </c>
      <c r="H2285">
        <v>0.84041520000000003</v>
      </c>
      <c r="I2285">
        <v>119.395</v>
      </c>
      <c r="J2285">
        <v>-494.40170000000001</v>
      </c>
      <c r="K2285">
        <v>1.1264350000000001</v>
      </c>
      <c r="L2285">
        <v>258.3082</v>
      </c>
      <c r="M2285">
        <v>-6.3164330000000005E-2</v>
      </c>
      <c r="N2285">
        <v>-1.438481E-2</v>
      </c>
      <c r="O2285">
        <v>-0.99789939999999999</v>
      </c>
      <c r="P2285">
        <v>-1.5966069999999999E-2</v>
      </c>
      <c r="Q2285">
        <v>0.18756539999999999</v>
      </c>
      <c r="R2285">
        <v>-0.98212219999999995</v>
      </c>
      <c r="S2285">
        <v>0.54751590000000006</v>
      </c>
      <c r="T2285">
        <v>-6.3073640000000002E-3</v>
      </c>
      <c r="U2285">
        <v>-3.0664220000000002</v>
      </c>
      <c r="V2285">
        <v>-4.8749319999999999E-2</v>
      </c>
      <c r="W2285">
        <v>0.20103779999999999</v>
      </c>
      <c r="X2285">
        <v>0.97836970000000001</v>
      </c>
      <c r="Y2285">
        <v>-0.237567</v>
      </c>
      <c r="Z2285">
        <v>-1.246034E-2</v>
      </c>
      <c r="AA2285">
        <v>0.97129120000000002</v>
      </c>
      <c r="AB2285">
        <v>35</v>
      </c>
      <c r="AC2285">
        <v>24.857199999999899</v>
      </c>
      <c r="AD2285">
        <v>-0.28601979999999999</v>
      </c>
      <c r="AE2285">
        <v>-138.91319999999999</v>
      </c>
      <c r="AF2285">
        <v>-33.582683142126498</v>
      </c>
      <c r="AG2285">
        <v>-0.28601979999999999</v>
      </c>
      <c r="AH2285">
        <v>137.06493827894701</v>
      </c>
      <c r="AI2285">
        <v>90.116126786668303</v>
      </c>
      <c r="AJ2285">
        <v>103.766999967218</v>
      </c>
      <c r="AK2285">
        <v>141.11936691950601</v>
      </c>
      <c r="AL2285">
        <v>78.402346476390804</v>
      </c>
      <c r="AM2285">
        <v>92.852523120045205</v>
      </c>
      <c r="AN2285">
        <v>0.99999998155369596</v>
      </c>
    </row>
    <row r="2286" spans="1:40" x14ac:dyDescent="0.25">
      <c r="A2286" t="str">
        <f>"20190303171021619"</f>
        <v>20190303171021619</v>
      </c>
      <c r="B2286" t="str">
        <f>"1551604221612828"</f>
        <v>1551604221612828</v>
      </c>
      <c r="C2286" t="s">
        <v>40</v>
      </c>
      <c r="D2286">
        <v>5.1383140000000003</v>
      </c>
      <c r="E2286">
        <v>0.42709999999999998</v>
      </c>
      <c r="F2286" t="s">
        <v>69</v>
      </c>
      <c r="G2286">
        <v>-469.12950000000001</v>
      </c>
      <c r="H2286">
        <v>0.86782499999999996</v>
      </c>
      <c r="I2286">
        <v>119.395</v>
      </c>
      <c r="J2286">
        <v>-494.41719999999998</v>
      </c>
      <c r="K2286">
        <v>1.1261749999999999</v>
      </c>
      <c r="L2286">
        <v>258.00360000000001</v>
      </c>
      <c r="M2286">
        <v>-5.9178410000000001E-2</v>
      </c>
      <c r="N2286">
        <v>-1.435203E-2</v>
      </c>
      <c r="O2286">
        <v>-0.99814429999999998</v>
      </c>
      <c r="P2286">
        <v>-1.326665E-2</v>
      </c>
      <c r="Q2286">
        <v>0.18800249999999999</v>
      </c>
      <c r="R2286">
        <v>-0.98207909999999998</v>
      </c>
      <c r="S2286">
        <v>0.55755619999999995</v>
      </c>
      <c r="T2286">
        <v>-5.7048799999999998E-3</v>
      </c>
      <c r="U2286">
        <v>-3.0647280000000001</v>
      </c>
      <c r="V2286">
        <v>-4.7393730000000002E-2</v>
      </c>
      <c r="W2286">
        <v>0.2014899</v>
      </c>
      <c r="X2286">
        <v>0.97834330000000003</v>
      </c>
      <c r="Y2286">
        <v>-0.2368624</v>
      </c>
      <c r="Z2286">
        <v>-1.2613910000000001E-2</v>
      </c>
      <c r="AA2286">
        <v>0.97146129999999997</v>
      </c>
      <c r="AB2286">
        <v>35</v>
      </c>
      <c r="AC2286">
        <v>25.287699999999901</v>
      </c>
      <c r="AD2286">
        <v>-0.25835000000000002</v>
      </c>
      <c r="AE2286">
        <v>-138.6086</v>
      </c>
      <c r="AF2286">
        <v>-33.446740787855902</v>
      </c>
      <c r="AG2286">
        <v>-0.25835000000000002</v>
      </c>
      <c r="AH2286">
        <v>136.86852745298299</v>
      </c>
      <c r="AI2286">
        <v>90.105058693932506</v>
      </c>
      <c r="AJ2286">
        <v>103.732313986752</v>
      </c>
      <c r="AK2286">
        <v>140.89622074846699</v>
      </c>
      <c r="AL2286">
        <v>78.375901890992793</v>
      </c>
      <c r="AM2286">
        <v>92.773402299816496</v>
      </c>
      <c r="AN2286">
        <v>0.99999997905010596</v>
      </c>
    </row>
    <row r="2287" spans="1:40" x14ac:dyDescent="0.25">
      <c r="A2287" t="str">
        <f>"20190303171021632"</f>
        <v>20190303171021632</v>
      </c>
      <c r="B2287" t="str">
        <f>"1551604221622588"</f>
        <v>1551604221622588</v>
      </c>
      <c r="C2287" t="s">
        <v>40</v>
      </c>
      <c r="D2287">
        <v>5.1206019999999999</v>
      </c>
      <c r="E2287">
        <v>0.42713190000000001</v>
      </c>
      <c r="F2287" t="s">
        <v>69</v>
      </c>
      <c r="G2287">
        <v>-468.77</v>
      </c>
      <c r="H2287">
        <v>0.89141669999999995</v>
      </c>
      <c r="I2287">
        <v>119.395</v>
      </c>
      <c r="J2287">
        <v>-494.42619999999999</v>
      </c>
      <c r="K2287">
        <v>1.1260269999999999</v>
      </c>
      <c r="L2287">
        <v>257.81360000000001</v>
      </c>
      <c r="M2287">
        <v>-5.678039E-2</v>
      </c>
      <c r="N2287">
        <v>-1.4332879999999999E-2</v>
      </c>
      <c r="O2287">
        <v>-0.9982839</v>
      </c>
      <c r="P2287">
        <v>-1.129984E-2</v>
      </c>
      <c r="Q2287">
        <v>0.18809600000000001</v>
      </c>
      <c r="R2287">
        <v>-0.98208589999999996</v>
      </c>
      <c r="S2287">
        <v>0.56683349999999999</v>
      </c>
      <c r="T2287">
        <v>-5.1878690000000003E-3</v>
      </c>
      <c r="U2287">
        <v>-3.063431</v>
      </c>
      <c r="V2287">
        <v>-4.692532E-2</v>
      </c>
      <c r="W2287">
        <v>0.20158709999999999</v>
      </c>
      <c r="X2287">
        <v>0.97834589999999999</v>
      </c>
      <c r="Y2287">
        <v>-0.23744689999999999</v>
      </c>
      <c r="Z2287">
        <v>-1.275679E-2</v>
      </c>
      <c r="AA2287">
        <v>0.97131679999999998</v>
      </c>
      <c r="AB2287">
        <v>35</v>
      </c>
      <c r="AC2287">
        <v>25.656199999999998</v>
      </c>
      <c r="AD2287">
        <v>-0.23461029999999999</v>
      </c>
      <c r="AE2287">
        <v>-138.4186</v>
      </c>
      <c r="AF2287">
        <v>-33.4749759402332</v>
      </c>
      <c r="AG2287">
        <v>-0.23461029999999999</v>
      </c>
      <c r="AH2287">
        <v>136.73794399022401</v>
      </c>
      <c r="AI2287">
        <v>90.0954863194209</v>
      </c>
      <c r="AJ2287">
        <v>103.756093680135</v>
      </c>
      <c r="AK2287">
        <v>140.77604335562799</v>
      </c>
      <c r="AL2287">
        <v>78.370216581410901</v>
      </c>
      <c r="AM2287">
        <v>92.746026603549694</v>
      </c>
      <c r="AN2287">
        <v>1.0000000222951599</v>
      </c>
    </row>
    <row r="2288" spans="1:40" x14ac:dyDescent="0.25">
      <c r="A2288" t="str">
        <f>"20190303171021646"</f>
        <v>20190303171021646</v>
      </c>
      <c r="B2288" t="str">
        <f>"1551604221633324"</f>
        <v>1551604221633324</v>
      </c>
      <c r="C2288" t="s">
        <v>40</v>
      </c>
      <c r="D2288">
        <v>5.1376559999999998</v>
      </c>
      <c r="E2288">
        <v>0.42722320000000003</v>
      </c>
      <c r="F2288" t="s">
        <v>69</v>
      </c>
      <c r="G2288">
        <v>-468.52809999999999</v>
      </c>
      <c r="H2288">
        <v>0.91390090000000002</v>
      </c>
      <c r="I2288">
        <v>119.395</v>
      </c>
      <c r="J2288">
        <v>-494.43540000000002</v>
      </c>
      <c r="K2288">
        <v>1.125888</v>
      </c>
      <c r="L2288">
        <v>257.61160000000001</v>
      </c>
      <c r="M2288">
        <v>-5.4299670000000001E-2</v>
      </c>
      <c r="N2288">
        <v>-1.4313660000000001E-2</v>
      </c>
      <c r="O2288">
        <v>-0.99842220000000004</v>
      </c>
      <c r="P2288">
        <v>-9.1867779999999996E-3</v>
      </c>
      <c r="Q2288">
        <v>0.188058</v>
      </c>
      <c r="R2288">
        <v>-0.98211499999999996</v>
      </c>
      <c r="S2288">
        <v>0.57293700000000003</v>
      </c>
      <c r="T2288">
        <v>-4.6921970000000004E-3</v>
      </c>
      <c r="U2288">
        <v>-3.0622099999999999</v>
      </c>
      <c r="V2288">
        <v>-4.6524000000000003E-2</v>
      </c>
      <c r="W2288">
        <v>0.20155200000000001</v>
      </c>
      <c r="X2288">
        <v>0.97837229999999997</v>
      </c>
      <c r="Y2288">
        <v>-0.23697370000000001</v>
      </c>
      <c r="Z2288">
        <v>-1.2892010000000001E-2</v>
      </c>
      <c r="AA2288">
        <v>0.97143049999999997</v>
      </c>
      <c r="AB2288">
        <v>35</v>
      </c>
      <c r="AC2288">
        <v>25.907299999999999</v>
      </c>
      <c r="AD2288">
        <v>-0.21198710000000001</v>
      </c>
      <c r="AE2288">
        <v>-138.2166</v>
      </c>
      <c r="AF2288">
        <v>-33.374878760032601</v>
      </c>
      <c r="AG2288">
        <v>-0.21198710000000001</v>
      </c>
      <c r="AH2288">
        <v>136.60543290750999</v>
      </c>
      <c r="AI2288">
        <v>90.086372262207504</v>
      </c>
      <c r="AJ2288">
        <v>103.72931810838</v>
      </c>
      <c r="AK2288">
        <v>140.62351073211599</v>
      </c>
      <c r="AL2288">
        <v>78.372269831472806</v>
      </c>
      <c r="AM2288">
        <v>92.722503859494296</v>
      </c>
      <c r="AN2288">
        <v>1.00000002434364</v>
      </c>
    </row>
    <row r="2289" spans="1:40" x14ac:dyDescent="0.25">
      <c r="A2289" t="str">
        <f>"20190303171021659"</f>
        <v>20190303171021659</v>
      </c>
      <c r="B2289" t="str">
        <f>"1551604221652844"</f>
        <v>1551604221652844</v>
      </c>
      <c r="C2289" t="s">
        <v>40</v>
      </c>
      <c r="D2289">
        <v>5.1409279999999997</v>
      </c>
      <c r="E2289">
        <v>0.42756420000000001</v>
      </c>
      <c r="F2289" t="s">
        <v>69</v>
      </c>
      <c r="G2289">
        <v>-468.30259999999998</v>
      </c>
      <c r="H2289">
        <v>0.87323519999999899</v>
      </c>
      <c r="I2289">
        <v>119.395</v>
      </c>
      <c r="J2289">
        <v>-494.44490000000002</v>
      </c>
      <c r="K2289">
        <v>1.1257410000000001</v>
      </c>
      <c r="L2289">
        <v>257.39370000000002</v>
      </c>
      <c r="M2289">
        <v>-5.1676189999999997E-2</v>
      </c>
      <c r="N2289">
        <v>-1.4293989999999999E-2</v>
      </c>
      <c r="O2289">
        <v>-0.9985617</v>
      </c>
      <c r="P2289">
        <v>-6.6069019999999996E-3</v>
      </c>
      <c r="Q2289">
        <v>0.1883059</v>
      </c>
      <c r="R2289">
        <v>-0.98208830000000003</v>
      </c>
      <c r="S2289">
        <v>0.57876590000000006</v>
      </c>
      <c r="T2289">
        <v>-5.594969E-3</v>
      </c>
      <c r="U2289">
        <v>-3.0611109999999999</v>
      </c>
      <c r="V2289">
        <v>-4.6449289999999997E-2</v>
      </c>
      <c r="W2289">
        <v>0.20179720000000001</v>
      </c>
      <c r="X2289">
        <v>0.97832529999999995</v>
      </c>
      <c r="Y2289">
        <v>-0.23627100000000001</v>
      </c>
      <c r="Z2289">
        <v>-1.2581149999999999E-2</v>
      </c>
      <c r="AA2289">
        <v>0.97160579999999996</v>
      </c>
      <c r="AB2289">
        <v>35</v>
      </c>
      <c r="AC2289">
        <v>26.142299999999999</v>
      </c>
      <c r="AD2289">
        <v>-0.2525058</v>
      </c>
      <c r="AE2289">
        <v>-137.99870000000001</v>
      </c>
      <c r="AF2289">
        <v>-33.239231431624397</v>
      </c>
      <c r="AG2289">
        <v>-0.2525058</v>
      </c>
      <c r="AH2289">
        <v>136.46276791519</v>
      </c>
      <c r="AI2289">
        <v>90.103006286847702</v>
      </c>
      <c r="AJ2289">
        <v>103.689376138309</v>
      </c>
      <c r="AK2289">
        <v>140.452829421194</v>
      </c>
      <c r="AL2289">
        <v>78.357926124997306</v>
      </c>
      <c r="AM2289">
        <v>92.718268908660704</v>
      </c>
      <c r="AN2289">
        <v>1.0000000195447101</v>
      </c>
    </row>
    <row r="2290" spans="1:40" x14ac:dyDescent="0.25">
      <c r="A2290" t="str">
        <f>"20190303171021675"</f>
        <v>20190303171021675</v>
      </c>
      <c r="B2290" t="str">
        <f>"1551604221662604"</f>
        <v>1551604221662604</v>
      </c>
      <c r="C2290" t="s">
        <v>40</v>
      </c>
      <c r="D2290">
        <v>5.1284769999999904</v>
      </c>
      <c r="E2290">
        <v>0.42766290000000001</v>
      </c>
      <c r="F2290" t="s">
        <v>69</v>
      </c>
      <c r="G2290">
        <v>-468.12610000000001</v>
      </c>
      <c r="H2290">
        <v>0.84901759999999904</v>
      </c>
      <c r="I2290">
        <v>119.395</v>
      </c>
      <c r="J2290">
        <v>-494.45519999999999</v>
      </c>
      <c r="K2290">
        <v>1.12558799999999</v>
      </c>
      <c r="L2290">
        <v>257.13850000000002</v>
      </c>
      <c r="M2290">
        <v>-4.8699930000000002E-2</v>
      </c>
      <c r="N2290">
        <v>-1.4272150000000001E-2</v>
      </c>
      <c r="O2290">
        <v>-0.99871160000000003</v>
      </c>
      <c r="P2290">
        <v>-3.8455389999999998E-3</v>
      </c>
      <c r="Q2290">
        <v>0.188666</v>
      </c>
      <c r="R2290">
        <v>-0.98203399999999996</v>
      </c>
      <c r="S2290">
        <v>0.58355709999999905</v>
      </c>
      <c r="T2290">
        <v>-6.1351060000000004E-3</v>
      </c>
      <c r="U2290">
        <v>-3.0598139999999998</v>
      </c>
      <c r="V2290">
        <v>-4.6203220000000003E-2</v>
      </c>
      <c r="W2290">
        <v>0.20215540000000001</v>
      </c>
      <c r="X2290">
        <v>0.97826299999999999</v>
      </c>
      <c r="Y2290">
        <v>-0.23491880000000001</v>
      </c>
      <c r="Z2290">
        <v>-1.238239E-2</v>
      </c>
      <c r="AA2290">
        <v>0.97193609999999997</v>
      </c>
      <c r="AB2290">
        <v>35</v>
      </c>
      <c r="AC2290">
        <v>26.329099999999901</v>
      </c>
      <c r="AD2290">
        <v>-0.27657039999999899</v>
      </c>
      <c r="AE2290">
        <v>-137.74350000000001</v>
      </c>
      <c r="AF2290">
        <v>-33.0065059030781</v>
      </c>
      <c r="AG2290">
        <v>-0.27657039999999899</v>
      </c>
      <c r="AH2290">
        <v>136.297141883644</v>
      </c>
      <c r="AI2290">
        <v>90.112996760289406</v>
      </c>
      <c r="AJ2290">
        <v>103.61300810855801</v>
      </c>
      <c r="AK2290">
        <v>140.23700228101799</v>
      </c>
      <c r="AL2290">
        <v>78.3369709065108</v>
      </c>
      <c r="AM2290">
        <v>92.704061960495906</v>
      </c>
      <c r="AN2290">
        <v>1.00000002022826</v>
      </c>
    </row>
    <row r="2291" spans="1:40" x14ac:dyDescent="0.25">
      <c r="A2291" t="str">
        <f>"20190303171021687"</f>
        <v>20190303171021687</v>
      </c>
      <c r="B2291" t="str">
        <f>"1551604221683101"</f>
        <v>1551604221683101</v>
      </c>
      <c r="C2291" t="s">
        <v>40</v>
      </c>
      <c r="D2291">
        <v>5.1234209999999996</v>
      </c>
      <c r="E2291">
        <v>0.42809130000000001</v>
      </c>
      <c r="F2291" t="s">
        <v>69</v>
      </c>
      <c r="G2291">
        <v>-467.83260000000001</v>
      </c>
      <c r="H2291">
        <v>0.86547929999999995</v>
      </c>
      <c r="I2291">
        <v>119.395</v>
      </c>
      <c r="J2291">
        <v>-494.46230000000003</v>
      </c>
      <c r="K2291">
        <v>1.1254789999999999</v>
      </c>
      <c r="L2291">
        <v>256.94970000000001</v>
      </c>
      <c r="M2291">
        <v>-4.6570819999999999E-2</v>
      </c>
      <c r="N2291">
        <v>-1.425644E-2</v>
      </c>
      <c r="O2291">
        <v>-0.99881330000000002</v>
      </c>
      <c r="P2291">
        <v>-2.0659620000000002E-3</v>
      </c>
      <c r="Q2291">
        <v>0.1891108</v>
      </c>
      <c r="R2291">
        <v>-0.98195390000000005</v>
      </c>
      <c r="S2291">
        <v>0.59109500000000004</v>
      </c>
      <c r="T2291">
        <v>-5.7744980000000003E-3</v>
      </c>
      <c r="U2291">
        <v>-3.0583040000000001</v>
      </c>
      <c r="V2291">
        <v>-4.5834600000000003E-2</v>
      </c>
      <c r="W2291">
        <v>0.2026</v>
      </c>
      <c r="X2291">
        <v>0.97818830000000001</v>
      </c>
      <c r="Y2291">
        <v>-0.23524539999999999</v>
      </c>
      <c r="Z2291">
        <v>-1.247882E-2</v>
      </c>
      <c r="AA2291">
        <v>0.97185589999999999</v>
      </c>
      <c r="AB2291">
        <v>35</v>
      </c>
      <c r="AC2291">
        <v>26.6297</v>
      </c>
      <c r="AD2291">
        <v>-0.2599997</v>
      </c>
      <c r="AE2291">
        <v>-137.5547</v>
      </c>
      <c r="AF2291">
        <v>-33.007372957345403</v>
      </c>
      <c r="AG2291">
        <v>-0.2599997</v>
      </c>
      <c r="AH2291">
        <v>136.16465967953999</v>
      </c>
      <c r="AI2291">
        <v>90.106324047044595</v>
      </c>
      <c r="AJ2291">
        <v>103.62610402093701</v>
      </c>
      <c r="AK2291">
        <v>140.10841807341299</v>
      </c>
      <c r="AL2291">
        <v>78.310958242898295</v>
      </c>
      <c r="AM2291">
        <v>92.682724519357706</v>
      </c>
      <c r="AN2291">
        <v>0.99999996040702399</v>
      </c>
    </row>
    <row r="2292" spans="1:40" x14ac:dyDescent="0.25">
      <c r="A2292" t="str">
        <f>"20190303171021700"</f>
        <v>20190303171021700</v>
      </c>
      <c r="B2292" t="str">
        <f>"1551604221692860"</f>
        <v>1551604221692860</v>
      </c>
      <c r="C2292" t="s">
        <v>40</v>
      </c>
      <c r="D2292">
        <v>5.1435740000000001</v>
      </c>
      <c r="E2292">
        <v>0.42832140000000002</v>
      </c>
      <c r="F2292" t="s">
        <v>69</v>
      </c>
      <c r="G2292">
        <v>-467.76209999999998</v>
      </c>
      <c r="H2292">
        <v>0.90922990000000004</v>
      </c>
      <c r="I2292">
        <v>119.395</v>
      </c>
      <c r="J2292">
        <v>-494.46980000000002</v>
      </c>
      <c r="K2292">
        <v>1.125362</v>
      </c>
      <c r="L2292">
        <v>256.74439999999998</v>
      </c>
      <c r="M2292">
        <v>-4.4292480000000002E-2</v>
      </c>
      <c r="N2292">
        <v>-1.423986E-2</v>
      </c>
      <c r="O2292">
        <v>-0.99891719999999895</v>
      </c>
      <c r="P2292">
        <v>-2.216958E-4</v>
      </c>
      <c r="Q2292">
        <v>0.1892808</v>
      </c>
      <c r="R2292">
        <v>-0.9819232</v>
      </c>
      <c r="S2292">
        <v>0.59344479999999999</v>
      </c>
      <c r="T2292">
        <v>-4.805803E-3</v>
      </c>
      <c r="U2292">
        <v>-3.0573429999999999</v>
      </c>
      <c r="V2292">
        <v>-4.5378179999999997E-2</v>
      </c>
      <c r="W2292">
        <v>0.20277129999999999</v>
      </c>
      <c r="X2292">
        <v>0.97817410000000005</v>
      </c>
      <c r="Y2292">
        <v>-0.23380519999999999</v>
      </c>
      <c r="Z2292">
        <v>-1.276732E-2</v>
      </c>
      <c r="AA2292">
        <v>0.97219960000000005</v>
      </c>
      <c r="AB2292">
        <v>35</v>
      </c>
      <c r="AC2292">
        <v>26.707699999999999</v>
      </c>
      <c r="AD2292">
        <v>-0.21613209999999899</v>
      </c>
      <c r="AE2292">
        <v>-137.3494</v>
      </c>
      <c r="AF2292">
        <v>-32.765567666636997</v>
      </c>
      <c r="AG2292">
        <v>-0.21613209999999899</v>
      </c>
      <c r="AH2292">
        <v>136.031184179577</v>
      </c>
      <c r="AI2292">
        <v>90.0885027308844</v>
      </c>
      <c r="AJ2292">
        <v>103.542751497648</v>
      </c>
      <c r="AK2292">
        <v>139.921807474388</v>
      </c>
      <c r="AL2292">
        <v>78.300935609307999</v>
      </c>
      <c r="AM2292">
        <v>92.656086953874507</v>
      </c>
      <c r="AN2292">
        <v>0.99999997461730505</v>
      </c>
    </row>
    <row r="2293" spans="1:40" x14ac:dyDescent="0.25">
      <c r="A2293" t="str">
        <f>"20190303171021712"</f>
        <v>20190303171021712</v>
      </c>
      <c r="B2293" t="str">
        <f>"1551604221702620"</f>
        <v>1551604221702620</v>
      </c>
      <c r="C2293" t="s">
        <v>40</v>
      </c>
      <c r="D2293">
        <v>5.1667059999999996</v>
      </c>
      <c r="E2293">
        <v>0.42850450000000001</v>
      </c>
      <c r="F2293" t="s">
        <v>69</v>
      </c>
      <c r="G2293">
        <v>-467.62619999999998</v>
      </c>
      <c r="H2293">
        <v>0.87033799999999995</v>
      </c>
      <c r="I2293">
        <v>119.395</v>
      </c>
      <c r="J2293">
        <v>-494.47629999999998</v>
      </c>
      <c r="K2293">
        <v>1.125251</v>
      </c>
      <c r="L2293">
        <v>256.5523</v>
      </c>
      <c r="M2293">
        <v>-4.2221939999999999E-2</v>
      </c>
      <c r="N2293">
        <v>-1.422471E-2</v>
      </c>
      <c r="O2293">
        <v>-0.99900699999999998</v>
      </c>
      <c r="P2293">
        <v>1.5585E-3</v>
      </c>
      <c r="Q2293">
        <v>0.18978139999999999</v>
      </c>
      <c r="R2293">
        <v>-0.98182539999999996</v>
      </c>
      <c r="S2293">
        <v>0.59735109999999902</v>
      </c>
      <c r="T2293">
        <v>-5.6744810000000003E-3</v>
      </c>
      <c r="U2293">
        <v>-3.0564580000000001</v>
      </c>
      <c r="V2293">
        <v>-4.5066019999999998E-2</v>
      </c>
      <c r="W2293">
        <v>0.20327139999999999</v>
      </c>
      <c r="X2293">
        <v>0.97808470000000003</v>
      </c>
      <c r="Y2293">
        <v>-0.23304</v>
      </c>
      <c r="Z2293">
        <v>-1.247178E-2</v>
      </c>
      <c r="AA2293">
        <v>0.97238720000000001</v>
      </c>
      <c r="AB2293">
        <v>35</v>
      </c>
      <c r="AC2293">
        <v>26.850100000000001</v>
      </c>
      <c r="AD2293">
        <v>-0.254913</v>
      </c>
      <c r="AE2293">
        <v>-137.15729999999999</v>
      </c>
      <c r="AF2293">
        <v>-32.617676442900098</v>
      </c>
      <c r="AG2293">
        <v>-0.254913</v>
      </c>
      <c r="AH2293">
        <v>135.900735966144</v>
      </c>
      <c r="AI2293">
        <v>90.104503423376698</v>
      </c>
      <c r="AJ2293">
        <v>103.49633116191001</v>
      </c>
      <c r="AK2293">
        <v>139.76046591690701</v>
      </c>
      <c r="AL2293">
        <v>78.271672205144696</v>
      </c>
      <c r="AM2293">
        <v>92.638082190094593</v>
      </c>
      <c r="AN2293">
        <v>0.999999944295343</v>
      </c>
    </row>
    <row r="2294" spans="1:40" x14ac:dyDescent="0.25">
      <c r="A2294" t="str">
        <f>"20190303171021723"</f>
        <v>20190303171021723</v>
      </c>
      <c r="B2294" t="str">
        <f>"1551604221713356"</f>
        <v>1551604221713356</v>
      </c>
      <c r="C2294" t="s">
        <v>40</v>
      </c>
      <c r="D2294">
        <v>5.1624270000000001</v>
      </c>
      <c r="E2294">
        <v>0.4287743</v>
      </c>
      <c r="F2294" t="s">
        <v>69</v>
      </c>
      <c r="G2294">
        <v>-467.48790000000002</v>
      </c>
      <c r="H2294">
        <v>0.9113116</v>
      </c>
      <c r="I2294">
        <v>119.395</v>
      </c>
      <c r="J2294">
        <v>-494.48160000000001</v>
      </c>
      <c r="K2294">
        <v>1.1251549999999999</v>
      </c>
      <c r="L2294">
        <v>256.38850000000002</v>
      </c>
      <c r="M2294">
        <v>-4.050289E-2</v>
      </c>
      <c r="N2294">
        <v>-1.4211959999999999E-2</v>
      </c>
      <c r="O2294">
        <v>-0.99907849999999998</v>
      </c>
      <c r="P2294">
        <v>2.8453929999999999E-3</v>
      </c>
      <c r="Q2294">
        <v>0.18980459999999999</v>
      </c>
      <c r="R2294">
        <v>-0.98181799999999997</v>
      </c>
      <c r="S2294">
        <v>0.60122679999999995</v>
      </c>
      <c r="T2294">
        <v>-4.7653909999999999E-3</v>
      </c>
      <c r="U2294">
        <v>-3.0554960000000002</v>
      </c>
      <c r="V2294">
        <v>-4.4613380000000001E-2</v>
      </c>
      <c r="W2294">
        <v>0.20329710000000001</v>
      </c>
      <c r="X2294">
        <v>0.97810019999999998</v>
      </c>
      <c r="Y2294">
        <v>-0.23261190000000001</v>
      </c>
      <c r="Z2294">
        <v>-1.274661E-2</v>
      </c>
      <c r="AA2294">
        <v>0.97248610000000002</v>
      </c>
      <c r="AB2294">
        <v>35</v>
      </c>
      <c r="AC2294">
        <v>26.993699999999901</v>
      </c>
      <c r="AD2294">
        <v>-0.21384339999999899</v>
      </c>
      <c r="AE2294">
        <v>-136.99350000000001</v>
      </c>
      <c r="AF2294">
        <v>-32.520661027962497</v>
      </c>
      <c r="AG2294">
        <v>-0.21384339999999899</v>
      </c>
      <c r="AH2294">
        <v>135.78731174364799</v>
      </c>
      <c r="AI2294">
        <v>90.087750126924504</v>
      </c>
      <c r="AJ2294">
        <v>103.468482888712</v>
      </c>
      <c r="AK2294">
        <v>139.62747993594201</v>
      </c>
      <c r="AL2294">
        <v>78.270169355654104</v>
      </c>
      <c r="AM2294">
        <v>92.611581016430804</v>
      </c>
      <c r="AN2294">
        <v>1.00000003289173</v>
      </c>
    </row>
    <row r="2295" spans="1:40" x14ac:dyDescent="0.25">
      <c r="A2295" t="str">
        <f>"20190303171021734"</f>
        <v>20190303171021734</v>
      </c>
      <c r="B2295" t="str">
        <f>"1551604221723117"</f>
        <v>1551604221723117</v>
      </c>
      <c r="C2295" t="s">
        <v>40</v>
      </c>
      <c r="D2295">
        <v>5.1776350000000004</v>
      </c>
      <c r="E2295">
        <v>0.42903340000000001</v>
      </c>
      <c r="F2295" t="s">
        <v>69</v>
      </c>
      <c r="G2295">
        <v>-467.43560000000002</v>
      </c>
      <c r="H2295">
        <v>0.86433859999999996</v>
      </c>
      <c r="I2295">
        <v>119.395</v>
      </c>
      <c r="J2295">
        <v>-494.48719999999997</v>
      </c>
      <c r="K2295">
        <v>1.125048</v>
      </c>
      <c r="L2295">
        <v>256.20830000000001</v>
      </c>
      <c r="M2295">
        <v>-3.8640479999999998E-2</v>
      </c>
      <c r="N2295">
        <v>-1.4198270000000001E-2</v>
      </c>
      <c r="O2295">
        <v>-0.99915240000000005</v>
      </c>
      <c r="P2295">
        <v>4.1083659999999996E-3</v>
      </c>
      <c r="Q2295">
        <v>0.18961919999999999</v>
      </c>
      <c r="R2295">
        <v>-0.98184919999999998</v>
      </c>
      <c r="S2295">
        <v>0.60311890000000001</v>
      </c>
      <c r="T2295">
        <v>-5.8155059999999998E-3</v>
      </c>
      <c r="U2295">
        <v>-3.054932</v>
      </c>
      <c r="V2295">
        <v>-4.3991009999999997E-2</v>
      </c>
      <c r="W2295">
        <v>0.2031173</v>
      </c>
      <c r="X2295">
        <v>0.97816570000000003</v>
      </c>
      <c r="Y2295">
        <v>-0.23141310000000001</v>
      </c>
      <c r="Z2295">
        <v>-1.239444E-2</v>
      </c>
      <c r="AA2295">
        <v>0.97277670000000005</v>
      </c>
      <c r="AB2295">
        <v>35</v>
      </c>
      <c r="AC2295">
        <v>27.051599999999901</v>
      </c>
      <c r="AD2295">
        <v>-0.26070939999999998</v>
      </c>
      <c r="AE2295">
        <v>-136.8133</v>
      </c>
      <c r="AF2295">
        <v>-32.318344255341302</v>
      </c>
      <c r="AG2295">
        <v>-0.26070939999999998</v>
      </c>
      <c r="AH2295">
        <v>135.66523801612999</v>
      </c>
      <c r="AI2295">
        <v>90.107108573866299</v>
      </c>
      <c r="AJ2295">
        <v>103.399330842499</v>
      </c>
      <c r="AK2295">
        <v>139.461823273508</v>
      </c>
      <c r="AL2295">
        <v>78.280690164497898</v>
      </c>
      <c r="AM2295">
        <v>92.575025862707093</v>
      </c>
      <c r="AN2295">
        <v>0.9999999915883</v>
      </c>
    </row>
    <row r="2296" spans="1:40" x14ac:dyDescent="0.25">
      <c r="A2296" t="str">
        <f>"20190303171021753"</f>
        <v>20190303171021753</v>
      </c>
      <c r="B2296" t="str">
        <f>"1551604221742636"</f>
        <v>1551604221742636</v>
      </c>
      <c r="C2296" t="s">
        <v>40</v>
      </c>
      <c r="D2296">
        <v>5.1812120000000004</v>
      </c>
      <c r="E2296">
        <v>0.42951309999999898</v>
      </c>
      <c r="F2296" t="s">
        <v>69</v>
      </c>
      <c r="G2296">
        <v>-467.39319999999998</v>
      </c>
      <c r="H2296">
        <v>0.77273019999999903</v>
      </c>
      <c r="I2296">
        <v>119.395</v>
      </c>
      <c r="J2296">
        <v>-494.49540000000002</v>
      </c>
      <c r="K2296">
        <v>1.1248739999999999</v>
      </c>
      <c r="L2296">
        <v>255.92410000000001</v>
      </c>
      <c r="M2296">
        <v>-3.5826190000000001E-2</v>
      </c>
      <c r="N2296">
        <v>-1.417741E-2</v>
      </c>
      <c r="O2296">
        <v>-0.99925759999999997</v>
      </c>
      <c r="P2296">
        <v>5.7143799999999998E-3</v>
      </c>
      <c r="Q2296">
        <v>0.1892712</v>
      </c>
      <c r="R2296">
        <v>-0.98190869999999997</v>
      </c>
      <c r="S2296">
        <v>0.60488889999999995</v>
      </c>
      <c r="T2296">
        <v>-7.8650709999999995E-3</v>
      </c>
      <c r="U2296">
        <v>-3.054443</v>
      </c>
      <c r="V2296">
        <v>-4.2741210000000002E-2</v>
      </c>
      <c r="W2296">
        <v>0.20278019999999999</v>
      </c>
      <c r="X2296">
        <v>0.97829100000000002</v>
      </c>
      <c r="Y2296">
        <v>-0.22924530000000001</v>
      </c>
      <c r="Z2296">
        <v>-1.171375E-2</v>
      </c>
      <c r="AA2296">
        <v>0.9732982</v>
      </c>
      <c r="AB2296">
        <v>35</v>
      </c>
      <c r="AC2296">
        <v>27.1022</v>
      </c>
      <c r="AD2296">
        <v>-0.35214380000000001</v>
      </c>
      <c r="AE2296">
        <v>-136.5291</v>
      </c>
      <c r="AF2296">
        <v>-31.9764016836642</v>
      </c>
      <c r="AG2296">
        <v>-0.35214380000000001</v>
      </c>
      <c r="AH2296">
        <v>135.46950254165699</v>
      </c>
      <c r="AI2296">
        <v>90.144952852188197</v>
      </c>
      <c r="AJ2296">
        <v>103.281079436163</v>
      </c>
      <c r="AK2296">
        <v>139.19267361745401</v>
      </c>
      <c r="AL2296">
        <v>78.300414573546703</v>
      </c>
      <c r="AM2296">
        <v>92.501642751626605</v>
      </c>
      <c r="AN2296">
        <v>0.99999995061265001</v>
      </c>
    </row>
    <row r="2297" spans="1:40" x14ac:dyDescent="0.25">
      <c r="A2297" t="str">
        <f>"20190303171021765"</f>
        <v>20190303171021765</v>
      </c>
      <c r="B2297" t="str">
        <f>"1551604221752396"</f>
        <v>1551604221752396</v>
      </c>
      <c r="C2297" t="s">
        <v>40</v>
      </c>
      <c r="D2297">
        <v>5.163945</v>
      </c>
      <c r="E2297">
        <v>0.42973139999999999</v>
      </c>
      <c r="F2297" t="s">
        <v>69</v>
      </c>
      <c r="G2297">
        <v>-467.41879999999998</v>
      </c>
      <c r="H2297">
        <v>0.62407619999999997</v>
      </c>
      <c r="I2297">
        <v>119.395</v>
      </c>
      <c r="J2297">
        <v>-494.50029999999998</v>
      </c>
      <c r="K2297">
        <v>1.1247560000000001</v>
      </c>
      <c r="L2297">
        <v>255.73990000000001</v>
      </c>
      <c r="M2297">
        <v>-3.4076229999999999E-2</v>
      </c>
      <c r="N2297">
        <v>-1.4164299999999999E-2</v>
      </c>
      <c r="O2297">
        <v>-0.99931899999999996</v>
      </c>
      <c r="P2297">
        <v>6.9722309999999997E-3</v>
      </c>
      <c r="Q2297">
        <v>0.18917429999999999</v>
      </c>
      <c r="R2297">
        <v>-0.98191879999999998</v>
      </c>
      <c r="S2297">
        <v>0.60565190000000002</v>
      </c>
      <c r="T2297">
        <v>-1.1201259999999999E-2</v>
      </c>
      <c r="U2297">
        <v>-3.053909</v>
      </c>
      <c r="V2297">
        <v>-4.2220500000000001E-2</v>
      </c>
      <c r="W2297">
        <v>0.2026878</v>
      </c>
      <c r="X2297">
        <v>0.9783328</v>
      </c>
      <c r="Y2297">
        <v>-0.2278078</v>
      </c>
      <c r="Z2297">
        <v>-1.0630529999999999E-2</v>
      </c>
      <c r="AA2297">
        <v>0.97364810000000002</v>
      </c>
      <c r="AB2297">
        <v>35</v>
      </c>
      <c r="AC2297">
        <v>27.081499999999998</v>
      </c>
      <c r="AD2297">
        <v>-0.50067979999999901</v>
      </c>
      <c r="AE2297">
        <v>-136.3449</v>
      </c>
      <c r="AF2297">
        <v>-31.7119431668347</v>
      </c>
      <c r="AG2297">
        <v>-0.50067979999999901</v>
      </c>
      <c r="AH2297">
        <v>135.34101635526099</v>
      </c>
      <c r="AI2297">
        <v>90.206369431351902</v>
      </c>
      <c r="AJ2297">
        <v>103.18715645924701</v>
      </c>
      <c r="AK2297">
        <v>139.007513206135</v>
      </c>
      <c r="AL2297">
        <v>78.305821455597197</v>
      </c>
      <c r="AM2297">
        <v>92.471098160728701</v>
      </c>
      <c r="AN2297">
        <v>0.99999999122246497</v>
      </c>
    </row>
    <row r="2298" spans="1:40" x14ac:dyDescent="0.25">
      <c r="A2298" t="str">
        <f>"20190303171021776"</f>
        <v>20190303171021776</v>
      </c>
      <c r="B2298" t="str">
        <f>"1551604221772893"</f>
        <v>1551604221772893</v>
      </c>
      <c r="C2298" t="s">
        <v>40</v>
      </c>
      <c r="D2298">
        <v>5.1776759999999999</v>
      </c>
      <c r="E2298">
        <v>0.4301623</v>
      </c>
      <c r="F2298" t="s">
        <v>69</v>
      </c>
      <c r="G2298">
        <v>-467.3571</v>
      </c>
      <c r="H2298">
        <v>0.56455319999999998</v>
      </c>
      <c r="I2298">
        <v>119.395</v>
      </c>
      <c r="J2298">
        <v>-494.50510000000003</v>
      </c>
      <c r="K2298">
        <v>1.1246400000000001</v>
      </c>
      <c r="L2298">
        <v>255.5566</v>
      </c>
      <c r="M2298">
        <v>-3.2363379999999997E-2</v>
      </c>
      <c r="N2298">
        <v>-1.415167E-2</v>
      </c>
      <c r="O2298">
        <v>-0.99937600000000004</v>
      </c>
      <c r="P2298">
        <v>7.8300330000000001E-3</v>
      </c>
      <c r="Q2298">
        <v>0.1892326</v>
      </c>
      <c r="R2298">
        <v>-0.98190129999999998</v>
      </c>
      <c r="S2298">
        <v>0.60784910000000003</v>
      </c>
      <c r="T2298">
        <v>-1.254475E-2</v>
      </c>
      <c r="U2298">
        <v>-3.0533450000000002</v>
      </c>
      <c r="V2298">
        <v>-4.1337749999999999E-2</v>
      </c>
      <c r="W2298">
        <v>0.20275309999999999</v>
      </c>
      <c r="X2298">
        <v>0.97835700000000003</v>
      </c>
      <c r="Y2298">
        <v>-0.22684760000000001</v>
      </c>
      <c r="Z2298">
        <v>-1.0184840000000001E-2</v>
      </c>
      <c r="AA2298">
        <v>0.97387699999999999</v>
      </c>
      <c r="AB2298">
        <v>35</v>
      </c>
      <c r="AC2298">
        <v>27.148</v>
      </c>
      <c r="AD2298">
        <v>-0.560086799999999</v>
      </c>
      <c r="AE2298">
        <v>-136.16159999999999</v>
      </c>
      <c r="AF2298">
        <v>-31.540353739537299</v>
      </c>
      <c r="AG2298">
        <v>-0.560086799999999</v>
      </c>
      <c r="AH2298">
        <v>135.20937070119001</v>
      </c>
      <c r="AI2298">
        <v>90.231133561574197</v>
      </c>
      <c r="AJ2298">
        <v>103.13060654381</v>
      </c>
      <c r="AK2298">
        <v>138.84048954339801</v>
      </c>
      <c r="AL2298">
        <v>78.302001101991806</v>
      </c>
      <c r="AM2298">
        <v>92.4194344963052</v>
      </c>
      <c r="AN2298">
        <v>1.0000000242918301</v>
      </c>
    </row>
    <row r="2299" spans="1:40" x14ac:dyDescent="0.25">
      <c r="A2299" t="str">
        <f>"20190303171021788"</f>
        <v>20190303171021788</v>
      </c>
      <c r="B2299" t="str">
        <f>"1551604221782652"</f>
        <v>1551604221782652</v>
      </c>
      <c r="C2299" t="s">
        <v>40</v>
      </c>
      <c r="D2299">
        <v>5.1910249999999998</v>
      </c>
      <c r="E2299">
        <v>0.43035190000000001</v>
      </c>
      <c r="F2299" t="s">
        <v>69</v>
      </c>
      <c r="G2299">
        <v>-467.44850000000002</v>
      </c>
      <c r="H2299">
        <v>0.49631229999999998</v>
      </c>
      <c r="I2299">
        <v>119.395</v>
      </c>
      <c r="J2299">
        <v>-494.5095</v>
      </c>
      <c r="K2299">
        <v>1.1245259999999999</v>
      </c>
      <c r="L2299">
        <v>255.37119999999999</v>
      </c>
      <c r="M2299">
        <v>-3.072457E-2</v>
      </c>
      <c r="N2299">
        <v>-1.4139260000000001E-2</v>
      </c>
      <c r="O2299">
        <v>-0.99942799999999998</v>
      </c>
      <c r="P2299">
        <v>8.7440780000000006E-3</v>
      </c>
      <c r="Q2299">
        <v>0.18966649999999999</v>
      </c>
      <c r="R2299">
        <v>-0.98181010000000002</v>
      </c>
      <c r="S2299">
        <v>0.60668949999999999</v>
      </c>
      <c r="T2299">
        <v>-1.4088389999999999E-2</v>
      </c>
      <c r="U2299">
        <v>-3.0531619999999999</v>
      </c>
      <c r="V2299">
        <v>-4.0585209999999997E-2</v>
      </c>
      <c r="W2299">
        <v>0.2031916</v>
      </c>
      <c r="X2299">
        <v>0.97829750000000004</v>
      </c>
      <c r="Y2299">
        <v>-0.22490599999999999</v>
      </c>
      <c r="Z2299">
        <v>-9.6745059999999994E-3</v>
      </c>
      <c r="AA2299">
        <v>0.97433250000000005</v>
      </c>
      <c r="AB2299">
        <v>35</v>
      </c>
      <c r="AC2299">
        <v>27.0609999999999</v>
      </c>
      <c r="AD2299">
        <v>-0.62821369999999899</v>
      </c>
      <c r="AE2299">
        <v>-135.97620000000001</v>
      </c>
      <c r="AF2299">
        <v>-31.2258079758878</v>
      </c>
      <c r="AG2299">
        <v>-0.62821369999999899</v>
      </c>
      <c r="AH2299">
        <v>135.07769735635401</v>
      </c>
      <c r="AI2299">
        <v>90.259620315838205</v>
      </c>
      <c r="AJ2299">
        <v>103.016374639907</v>
      </c>
      <c r="AK2299">
        <v>138.641372105496</v>
      </c>
      <c r="AL2299">
        <v>78.276342428726693</v>
      </c>
      <c r="AM2299">
        <v>92.375584725349398</v>
      </c>
      <c r="AN2299">
        <v>0.99999999204377699</v>
      </c>
    </row>
    <row r="2300" spans="1:40" x14ac:dyDescent="0.25">
      <c r="A2300" t="str">
        <f>"20190303171021800"</f>
        <v>20190303171021800</v>
      </c>
      <c r="B2300" t="str">
        <f>"1551604221793388"</f>
        <v>1551604221793388</v>
      </c>
      <c r="C2300" t="s">
        <v>40</v>
      </c>
      <c r="D2300">
        <v>5.1990850000000002</v>
      </c>
      <c r="E2300">
        <v>0.4305428</v>
      </c>
      <c r="F2300" t="s">
        <v>69</v>
      </c>
      <c r="G2300">
        <v>-467.43920000000003</v>
      </c>
      <c r="H2300">
        <v>0.50749089999999997</v>
      </c>
      <c r="I2300">
        <v>119.395</v>
      </c>
      <c r="J2300">
        <v>-494.5136</v>
      </c>
      <c r="K2300">
        <v>1.1244190000000001</v>
      </c>
      <c r="L2300">
        <v>255.18860000000001</v>
      </c>
      <c r="M2300">
        <v>-2.913752E-2</v>
      </c>
      <c r="N2300">
        <v>-1.412747E-2</v>
      </c>
      <c r="O2300">
        <v>-0.99947569999999997</v>
      </c>
      <c r="P2300">
        <v>9.8254310000000008E-3</v>
      </c>
      <c r="Q2300">
        <v>0.18997790000000001</v>
      </c>
      <c r="R2300">
        <v>-0.98173960000000005</v>
      </c>
      <c r="S2300">
        <v>0.60775760000000001</v>
      </c>
      <c r="T2300">
        <v>-1.38526E-2</v>
      </c>
      <c r="U2300">
        <v>-3.0528409999999999</v>
      </c>
      <c r="V2300">
        <v>-4.0052600000000001E-2</v>
      </c>
      <c r="W2300">
        <v>0.20350579999999999</v>
      </c>
      <c r="X2300">
        <v>0.97825410000000002</v>
      </c>
      <c r="Y2300">
        <v>-0.22370619999999999</v>
      </c>
      <c r="Z2300">
        <v>-9.7347400000000004E-3</v>
      </c>
      <c r="AA2300">
        <v>0.97460800000000003</v>
      </c>
      <c r="AB2300">
        <v>35</v>
      </c>
      <c r="AC2300">
        <v>27.074399999999901</v>
      </c>
      <c r="AD2300">
        <v>-0.61692809999999998</v>
      </c>
      <c r="AE2300">
        <v>-135.7936</v>
      </c>
      <c r="AF2300">
        <v>-31.019369626302598</v>
      </c>
      <c r="AG2300">
        <v>-0.61692809999999998</v>
      </c>
      <c r="AH2300">
        <v>134.94429393794599</v>
      </c>
      <c r="AI2300">
        <v>90.255281148892394</v>
      </c>
      <c r="AJ2300">
        <v>102.94557909667699</v>
      </c>
      <c r="AK2300">
        <v>138.464957150553</v>
      </c>
      <c r="AL2300">
        <v>78.2579554666044</v>
      </c>
      <c r="AM2300">
        <v>92.344548236673702</v>
      </c>
      <c r="AN2300">
        <v>0.99999995278360299</v>
      </c>
    </row>
    <row r="2301" spans="1:40" x14ac:dyDescent="0.25">
      <c r="A2301" t="str">
        <f>"20190303171021812"</f>
        <v>20190303171021812</v>
      </c>
      <c r="B2301" t="str">
        <f>"1551604221803148"</f>
        <v>1551604221803148</v>
      </c>
      <c r="C2301" t="s">
        <v>40</v>
      </c>
      <c r="D2301">
        <v>5.2103250000000001</v>
      </c>
      <c r="E2301">
        <v>0.43067129999999998</v>
      </c>
      <c r="F2301" t="s">
        <v>69</v>
      </c>
      <c r="G2301">
        <v>-467.35719999999998</v>
      </c>
      <c r="H2301">
        <v>0.51401390000000002</v>
      </c>
      <c r="I2301">
        <v>119.395</v>
      </c>
      <c r="J2301">
        <v>-494.51780000000002</v>
      </c>
      <c r="K2301">
        <v>1.124306</v>
      </c>
      <c r="L2301">
        <v>254.9896</v>
      </c>
      <c r="M2301">
        <v>-2.7474129999999999E-2</v>
      </c>
      <c r="N2301">
        <v>-1.411508E-2</v>
      </c>
      <c r="O2301">
        <v>-0.99952289999999999</v>
      </c>
      <c r="P2301">
        <v>1.079773E-2</v>
      </c>
      <c r="Q2301">
        <v>0.19043489999999999</v>
      </c>
      <c r="R2301">
        <v>-0.98164070000000003</v>
      </c>
      <c r="S2301">
        <v>0.61041259999999997</v>
      </c>
      <c r="T2301">
        <v>-1.371992E-2</v>
      </c>
      <c r="U2301">
        <v>-3.0523380000000002</v>
      </c>
      <c r="V2301">
        <v>-3.9334580000000001E-2</v>
      </c>
      <c r="W2301">
        <v>0.20396600000000001</v>
      </c>
      <c r="X2301">
        <v>0.97818740000000004</v>
      </c>
      <c r="Y2301">
        <v>-0.2229304</v>
      </c>
      <c r="Z2301">
        <v>-9.7615840000000002E-3</v>
      </c>
      <c r="AA2301">
        <v>0.97478549999999997</v>
      </c>
      <c r="AB2301">
        <v>35</v>
      </c>
      <c r="AC2301">
        <v>27.160599999999999</v>
      </c>
      <c r="AD2301">
        <v>-0.610292099999999</v>
      </c>
      <c r="AE2301">
        <v>-135.59460000000001</v>
      </c>
      <c r="AF2301">
        <v>-30.8754585590952</v>
      </c>
      <c r="AG2301">
        <v>-0.610292099999999</v>
      </c>
      <c r="AH2301">
        <v>134.794491390236</v>
      </c>
      <c r="AI2301">
        <v>90.2528606586759</v>
      </c>
      <c r="AJ2301">
        <v>102.90137268168</v>
      </c>
      <c r="AK2301">
        <v>138.28673583115</v>
      </c>
      <c r="AL2301">
        <v>78.231023197032897</v>
      </c>
      <c r="AM2301">
        <v>92.3027201813902</v>
      </c>
      <c r="AN2301">
        <v>0.99999996392926704</v>
      </c>
    </row>
    <row r="2302" spans="1:40" x14ac:dyDescent="0.25">
      <c r="A2302" t="str">
        <f>"20190303171021825"</f>
        <v>20190303171021825</v>
      </c>
      <c r="B2302" t="str">
        <f>"1551604221812908"</f>
        <v>1551604221812908</v>
      </c>
      <c r="C2302" t="s">
        <v>40</v>
      </c>
      <c r="D2302">
        <v>5.2009879999999997</v>
      </c>
      <c r="E2302">
        <v>0.43076340000000002</v>
      </c>
      <c r="F2302" t="s">
        <v>69</v>
      </c>
      <c r="G2302">
        <v>-467.32190000000003</v>
      </c>
      <c r="H2302">
        <v>0.5320433</v>
      </c>
      <c r="I2302">
        <v>119.395</v>
      </c>
      <c r="J2302">
        <v>-494.52170000000001</v>
      </c>
      <c r="K2302">
        <v>1.1242030000000001</v>
      </c>
      <c r="L2302">
        <v>254.79159999999999</v>
      </c>
      <c r="M2302">
        <v>-2.588596E-2</v>
      </c>
      <c r="N2302">
        <v>-1.4103340000000001E-2</v>
      </c>
      <c r="O2302">
        <v>-0.99956560000000005</v>
      </c>
      <c r="P2302">
        <v>1.197135E-2</v>
      </c>
      <c r="Q2302">
        <v>0.19076979999999999</v>
      </c>
      <c r="R2302">
        <v>-0.98156209999999999</v>
      </c>
      <c r="S2302">
        <v>0.61212159999999904</v>
      </c>
      <c r="T2302">
        <v>-1.332998E-2</v>
      </c>
      <c r="U2302">
        <v>-3.0519560000000001</v>
      </c>
      <c r="V2302">
        <v>-3.8894270000000002E-2</v>
      </c>
      <c r="W2302">
        <v>0.2043026</v>
      </c>
      <c r="X2302">
        <v>0.97813479999999997</v>
      </c>
      <c r="Y2302">
        <v>-0.22192970000000001</v>
      </c>
      <c r="Z2302">
        <v>-9.8714449999999995E-3</v>
      </c>
      <c r="AA2302">
        <v>0.97501269999999995</v>
      </c>
      <c r="AB2302">
        <v>35</v>
      </c>
      <c r="AC2302">
        <v>27.1997999999999</v>
      </c>
      <c r="AD2302">
        <v>-0.59215969999999996</v>
      </c>
      <c r="AE2302">
        <v>-135.39659999999901</v>
      </c>
      <c r="AF2302">
        <v>-30.695338178702801</v>
      </c>
      <c r="AG2302">
        <v>-0.59215969999999996</v>
      </c>
      <c r="AH2302">
        <v>134.64458154272299</v>
      </c>
      <c r="AI2302">
        <v>90.245678926200895</v>
      </c>
      <c r="AJ2302">
        <v>102.842415933672</v>
      </c>
      <c r="AK2302">
        <v>138.10039021606701</v>
      </c>
      <c r="AL2302">
        <v>78.211323051931998</v>
      </c>
      <c r="AM2302">
        <v>92.277093208546503</v>
      </c>
      <c r="AN2302">
        <v>1.0000000017883099</v>
      </c>
    </row>
    <row r="2303" spans="1:40" x14ac:dyDescent="0.25">
      <c r="A2303" t="str">
        <f>"20190303171021844"</f>
        <v>20190303171021844</v>
      </c>
      <c r="B2303" t="str">
        <f>"1551604221832431"</f>
        <v>1551604221832431</v>
      </c>
      <c r="C2303" t="s">
        <v>40</v>
      </c>
      <c r="D2303">
        <v>5.2068279999999998</v>
      </c>
      <c r="E2303">
        <v>0.43100709999999998</v>
      </c>
      <c r="F2303" t="s">
        <v>69</v>
      </c>
      <c r="G2303">
        <v>-467.2355</v>
      </c>
      <c r="H2303">
        <v>0.55630979999999997</v>
      </c>
      <c r="I2303">
        <v>119.395</v>
      </c>
      <c r="J2303">
        <v>-494.52699999999999</v>
      </c>
      <c r="K2303">
        <v>1.1240520000000001</v>
      </c>
      <c r="L2303">
        <v>254.50229999999999</v>
      </c>
      <c r="M2303">
        <v>-2.3657810000000001E-2</v>
      </c>
      <c r="N2303">
        <v>-1.4086990000000001E-2</v>
      </c>
      <c r="O2303">
        <v>-0.99962090000000003</v>
      </c>
      <c r="P2303">
        <v>1.320609E-2</v>
      </c>
      <c r="Q2303">
        <v>0.19124050000000001</v>
      </c>
      <c r="R2303">
        <v>-0.98145459999999995</v>
      </c>
      <c r="S2303">
        <v>0.61492919999999995</v>
      </c>
      <c r="T2303">
        <v>-1.2797589999999999E-2</v>
      </c>
      <c r="U2303">
        <v>-3.0513460000000001</v>
      </c>
      <c r="V2303">
        <v>-3.7866179999999999E-2</v>
      </c>
      <c r="W2303">
        <v>0.2047773</v>
      </c>
      <c r="X2303">
        <v>0.9780759</v>
      </c>
      <c r="Y2303">
        <v>-0.22065609999999999</v>
      </c>
      <c r="Z2303">
        <v>-1.0021169999999999E-2</v>
      </c>
      <c r="AA2303">
        <v>0.97530019999999995</v>
      </c>
      <c r="AB2303">
        <v>35</v>
      </c>
      <c r="AC2303">
        <v>27.2914999999999</v>
      </c>
      <c r="AD2303">
        <v>-0.56774219999999997</v>
      </c>
      <c r="AE2303">
        <v>-135.10730000000001</v>
      </c>
      <c r="AF2303">
        <v>-30.480002779345099</v>
      </c>
      <c r="AG2303">
        <v>-0.56774219999999997</v>
      </c>
      <c r="AH2303">
        <v>134.421476223501</v>
      </c>
      <c r="AI2303">
        <v>90.2360019211186</v>
      </c>
      <c r="AJ2303">
        <v>102.77575666537599</v>
      </c>
      <c r="AK2303">
        <v>137.83499617564399</v>
      </c>
      <c r="AL2303">
        <v>78.183537621168298</v>
      </c>
      <c r="AM2303">
        <v>92.217097180610594</v>
      </c>
      <c r="AN2303">
        <v>1.0000000281719399</v>
      </c>
    </row>
    <row r="2304" spans="1:40" x14ac:dyDescent="0.25">
      <c r="A2304" t="str">
        <f>"20190303171021858"</f>
        <v>20190303171021858</v>
      </c>
      <c r="B2304" t="str">
        <f>"1551604221843164"</f>
        <v>1551604221843164</v>
      </c>
      <c r="C2304" t="s">
        <v>40</v>
      </c>
      <c r="D2304">
        <v>5.2036290000000003</v>
      </c>
      <c r="E2304">
        <v>0.43108600000000002</v>
      </c>
      <c r="F2304" t="s">
        <v>69</v>
      </c>
      <c r="G2304">
        <v>-467.20639999999997</v>
      </c>
      <c r="H2304">
        <v>0.54961919999999898</v>
      </c>
      <c r="I2304">
        <v>119.395</v>
      </c>
      <c r="J2304">
        <v>-494.53070000000002</v>
      </c>
      <c r="K2304">
        <v>1.1239459999999999</v>
      </c>
      <c r="L2304">
        <v>254.28309999999999</v>
      </c>
      <c r="M2304">
        <v>-2.203894E-2</v>
      </c>
      <c r="N2304">
        <v>-1.407516E-2</v>
      </c>
      <c r="O2304">
        <v>-0.99965820000000005</v>
      </c>
      <c r="P2304">
        <v>1.43398E-2</v>
      </c>
      <c r="Q2304">
        <v>0.19130610000000001</v>
      </c>
      <c r="R2304">
        <v>-0.98142609999999997</v>
      </c>
      <c r="S2304">
        <v>0.61694340000000003</v>
      </c>
      <c r="T2304">
        <v>-1.297104E-2</v>
      </c>
      <c r="U2304">
        <v>-3.0509490000000001</v>
      </c>
      <c r="V2304">
        <v>-3.7356340000000002E-2</v>
      </c>
      <c r="W2304">
        <v>0.20484450000000001</v>
      </c>
      <c r="X2304">
        <v>0.97808139999999999</v>
      </c>
      <c r="Y2304">
        <v>-0.2197199</v>
      </c>
      <c r="Z2304">
        <v>-9.9506430000000003E-3</v>
      </c>
      <c r="AA2304">
        <v>0.9755123</v>
      </c>
      <c r="AB2304">
        <v>35</v>
      </c>
      <c r="AC2304">
        <v>27.324300000000001</v>
      </c>
      <c r="AD2304">
        <v>-0.57432680000000003</v>
      </c>
      <c r="AE2304">
        <v>-134.88810000000001</v>
      </c>
      <c r="AF2304">
        <v>-30.290219237093201</v>
      </c>
      <c r="AG2304">
        <v>-0.57432680000000003</v>
      </c>
      <c r="AH2304">
        <v>134.25073491550901</v>
      </c>
      <c r="AI2304">
        <v>90.239100522518498</v>
      </c>
      <c r="AJ2304">
        <v>102.71442150922699</v>
      </c>
      <c r="AK2304">
        <v>137.626621908912</v>
      </c>
      <c r="AL2304">
        <v>78.179603561664095</v>
      </c>
      <c r="AM2304">
        <v>92.187262517218002</v>
      </c>
      <c r="AN2304">
        <v>0.99999999517220195</v>
      </c>
    </row>
    <row r="2305" spans="1:40" x14ac:dyDescent="0.25">
      <c r="A2305" t="str">
        <f>"20190303171021877"</f>
        <v>20190303171021877</v>
      </c>
      <c r="B2305" t="str">
        <f>"1551604221862684"</f>
        <v>1551604221862684</v>
      </c>
      <c r="C2305" t="s">
        <v>40</v>
      </c>
      <c r="D2305">
        <v>5.213374</v>
      </c>
      <c r="E2305">
        <v>0.43123830000000002</v>
      </c>
      <c r="F2305" t="s">
        <v>69</v>
      </c>
      <c r="G2305">
        <v>-467.1293</v>
      </c>
      <c r="H2305">
        <v>0.52022420000000003</v>
      </c>
      <c r="I2305">
        <v>119.395</v>
      </c>
      <c r="J2305">
        <v>-494.5351</v>
      </c>
      <c r="K2305">
        <v>1.1238140000000001</v>
      </c>
      <c r="L2305">
        <v>253.99270000000001</v>
      </c>
      <c r="M2305">
        <v>-1.9992510000000002E-2</v>
      </c>
      <c r="N2305">
        <v>-1.4060370000000001E-2</v>
      </c>
      <c r="O2305">
        <v>-0.99970130000000001</v>
      </c>
      <c r="P2305">
        <v>1.5555589999999999E-2</v>
      </c>
      <c r="Q2305">
        <v>0.1916429</v>
      </c>
      <c r="R2305">
        <v>-0.98134140000000003</v>
      </c>
      <c r="S2305">
        <v>0.61965939999999997</v>
      </c>
      <c r="T2305">
        <v>-1.365209E-2</v>
      </c>
      <c r="U2305">
        <v>-3.0503999999999998</v>
      </c>
      <c r="V2305">
        <v>-3.6496920000000002E-2</v>
      </c>
      <c r="W2305">
        <v>0.20518429999999999</v>
      </c>
      <c r="X2305">
        <v>0.97804259999999998</v>
      </c>
      <c r="Y2305">
        <v>-0.21859149999999999</v>
      </c>
      <c r="Z2305">
        <v>-9.7136359999999995E-3</v>
      </c>
      <c r="AA2305">
        <v>0.97576810000000003</v>
      </c>
      <c r="AB2305">
        <v>35</v>
      </c>
      <c r="AC2305">
        <v>27.405799999999999</v>
      </c>
      <c r="AD2305">
        <v>-0.60358979999999895</v>
      </c>
      <c r="AE2305">
        <v>-134.5977</v>
      </c>
      <c r="AF2305">
        <v>-30.090952061002302</v>
      </c>
      <c r="AG2305">
        <v>-0.60358979999999895</v>
      </c>
      <c r="AH2305">
        <v>134.020239899811</v>
      </c>
      <c r="AI2305">
        <v>90.251774399755902</v>
      </c>
      <c r="AJ2305">
        <v>102.65450024081299</v>
      </c>
      <c r="AK2305">
        <v>137.35812469376199</v>
      </c>
      <c r="AL2305">
        <v>78.159711691712701</v>
      </c>
      <c r="AM2305">
        <v>92.137074253885402</v>
      </c>
      <c r="AN2305">
        <v>0.99999997477536695</v>
      </c>
    </row>
    <row r="2306" spans="1:40" x14ac:dyDescent="0.25">
      <c r="A2306" t="str">
        <f>"20190303171021889"</f>
        <v>20190303171021889</v>
      </c>
      <c r="B2306" t="str">
        <f>"1551604221883180"</f>
        <v>1551604221883180</v>
      </c>
      <c r="C2306" t="s">
        <v>40</v>
      </c>
      <c r="D2306">
        <v>5.2277610000000001</v>
      </c>
      <c r="E2306">
        <v>0.4313842</v>
      </c>
      <c r="F2306" t="s">
        <v>69</v>
      </c>
      <c r="G2306">
        <v>-467.06290000000001</v>
      </c>
      <c r="H2306">
        <v>0.51242659999999995</v>
      </c>
      <c r="I2306">
        <v>119.395</v>
      </c>
      <c r="J2306">
        <v>-494.5376</v>
      </c>
      <c r="K2306">
        <v>1.123739</v>
      </c>
      <c r="L2306">
        <v>253.7998</v>
      </c>
      <c r="M2306">
        <v>-1.8688900000000001E-2</v>
      </c>
      <c r="N2306">
        <v>-1.405125E-2</v>
      </c>
      <c r="O2306">
        <v>-0.99972669999999997</v>
      </c>
      <c r="P2306">
        <v>1.6398679999999999E-2</v>
      </c>
      <c r="Q2306">
        <v>0.19190689999999999</v>
      </c>
      <c r="R2306">
        <v>-0.98127629999999999</v>
      </c>
      <c r="S2306">
        <v>0.62249759999999998</v>
      </c>
      <c r="T2306">
        <v>-1.3852949999999999E-2</v>
      </c>
      <c r="U2306">
        <v>-3.0498959999999999</v>
      </c>
      <c r="V2306">
        <v>-3.6021989999999997E-2</v>
      </c>
      <c r="W2306">
        <v>0.2054484</v>
      </c>
      <c r="X2306">
        <v>0.97800480000000001</v>
      </c>
      <c r="Y2306">
        <v>-0.21822250000000001</v>
      </c>
      <c r="Z2306">
        <v>-9.6377349999999997E-3</v>
      </c>
      <c r="AA2306">
        <v>0.97585149999999998</v>
      </c>
      <c r="AB2306">
        <v>35</v>
      </c>
      <c r="AC2306">
        <v>27.474699999999899</v>
      </c>
      <c r="AD2306">
        <v>-0.61131239999999998</v>
      </c>
      <c r="AE2306">
        <v>-134.40479999999999</v>
      </c>
      <c r="AF2306">
        <v>-29.981430811817699</v>
      </c>
      <c r="AG2306">
        <v>-0.61131239999999998</v>
      </c>
      <c r="AH2306">
        <v>133.86514044428</v>
      </c>
      <c r="AI2306">
        <v>90.255321529723204</v>
      </c>
      <c r="AJ2306">
        <v>102.624059634877</v>
      </c>
      <c r="AK2306">
        <v>137.18285506046701</v>
      </c>
      <c r="AL2306">
        <v>78.144250894643207</v>
      </c>
      <c r="AM2306">
        <v>92.1093715009672</v>
      </c>
      <c r="AN2306">
        <v>1.00000000882458</v>
      </c>
    </row>
    <row r="2307" spans="1:40" x14ac:dyDescent="0.25">
      <c r="A2307" t="str">
        <f>"20190303171021902"</f>
        <v>20190303171021902</v>
      </c>
      <c r="B2307" t="str">
        <f>"1551604221892940"</f>
        <v>1551604221892940</v>
      </c>
      <c r="C2307" t="s">
        <v>40</v>
      </c>
      <c r="D2307">
        <v>5.2238639999999998</v>
      </c>
      <c r="E2307">
        <v>0.43142950000000002</v>
      </c>
      <c r="F2307" t="s">
        <v>69</v>
      </c>
      <c r="G2307">
        <v>-467.03519999999997</v>
      </c>
      <c r="H2307">
        <v>0.48864730000000001</v>
      </c>
      <c r="I2307">
        <v>119.395</v>
      </c>
      <c r="J2307">
        <v>-494.54020000000003</v>
      </c>
      <c r="K2307">
        <v>1.1236649999999999</v>
      </c>
      <c r="L2307">
        <v>253.5949</v>
      </c>
      <c r="M2307">
        <v>-1.7323620000000001E-2</v>
      </c>
      <c r="N2307">
        <v>-1.404203E-2</v>
      </c>
      <c r="O2307">
        <v>-0.99975139999999996</v>
      </c>
      <c r="P2307">
        <v>1.7414599999999999E-2</v>
      </c>
      <c r="Q2307">
        <v>0.1920413</v>
      </c>
      <c r="R2307">
        <v>-0.98123229999999995</v>
      </c>
      <c r="S2307">
        <v>0.62402340000000001</v>
      </c>
      <c r="T2307">
        <v>-1.440954E-2</v>
      </c>
      <c r="U2307">
        <v>-3.0496370000000002</v>
      </c>
      <c r="V2307">
        <v>-3.5659999999999997E-2</v>
      </c>
      <c r="W2307">
        <v>0.2055824</v>
      </c>
      <c r="X2307">
        <v>0.97798989999999997</v>
      </c>
      <c r="Y2307">
        <v>-0.21737480000000001</v>
      </c>
      <c r="Z2307">
        <v>-9.4474490000000001E-3</v>
      </c>
      <c r="AA2307">
        <v>0.97604250000000004</v>
      </c>
      <c r="AB2307">
        <v>35</v>
      </c>
      <c r="AC2307">
        <v>27.504999999999999</v>
      </c>
      <c r="AD2307">
        <v>-0.63501769999999902</v>
      </c>
      <c r="AE2307">
        <v>-134.19990000000001</v>
      </c>
      <c r="AF2307">
        <v>-29.825287893646301</v>
      </c>
      <c r="AG2307">
        <v>-0.63501769999999902</v>
      </c>
      <c r="AH2307">
        <v>133.70035122656401</v>
      </c>
      <c r="AI2307">
        <v>90.265599485438102</v>
      </c>
      <c r="AJ2307">
        <v>102.575394030992</v>
      </c>
      <c r="AK2307">
        <v>136.98808329020699</v>
      </c>
      <c r="AL2307">
        <v>78.136405711486304</v>
      </c>
      <c r="AM2307">
        <v>92.088224779888407</v>
      </c>
      <c r="AN2307">
        <v>1.0000000016458801</v>
      </c>
    </row>
    <row r="2308" spans="1:40" x14ac:dyDescent="0.25">
      <c r="A2308" t="str">
        <f>"20190303171021921"</f>
        <v>20190303171021921</v>
      </c>
      <c r="B2308" t="str">
        <f>"1551604221913436"</f>
        <v>1551604221913436</v>
      </c>
      <c r="C2308" t="s">
        <v>40</v>
      </c>
      <c r="D2308">
        <v>5.2171750000000001</v>
      </c>
      <c r="E2308">
        <v>0.43160579999999998</v>
      </c>
      <c r="F2308" t="s">
        <v>69</v>
      </c>
      <c r="G2308">
        <v>-466.94589999999999</v>
      </c>
      <c r="H2308">
        <v>0.48687740000000002</v>
      </c>
      <c r="I2308">
        <v>119.395</v>
      </c>
      <c r="J2308">
        <v>-494.54329999999999</v>
      </c>
      <c r="K2308">
        <v>1.1235759999999999</v>
      </c>
      <c r="L2308">
        <v>253.297</v>
      </c>
      <c r="M2308">
        <v>-1.5386520000000001E-2</v>
      </c>
      <c r="N2308">
        <v>-1.40296E-2</v>
      </c>
      <c r="O2308">
        <v>-0.99978330000000004</v>
      </c>
      <c r="P2308">
        <v>1.8595879999999999E-2</v>
      </c>
      <c r="Q2308">
        <v>0.19209850000000001</v>
      </c>
      <c r="R2308">
        <v>-0.98119970000000001</v>
      </c>
      <c r="S2308">
        <v>0.62695310000000004</v>
      </c>
      <c r="T2308">
        <v>-1.446748E-2</v>
      </c>
      <c r="U2308">
        <v>-3.0490879999999998</v>
      </c>
      <c r="V2308">
        <v>-3.489242E-2</v>
      </c>
      <c r="W2308">
        <v>0.20563980000000001</v>
      </c>
      <c r="X2308">
        <v>0.97800549999999997</v>
      </c>
      <c r="Y2308">
        <v>-0.21641820000000001</v>
      </c>
      <c r="Z2308">
        <v>-9.4126739999999993E-3</v>
      </c>
      <c r="AA2308">
        <v>0.9762554</v>
      </c>
      <c r="AB2308">
        <v>35</v>
      </c>
      <c r="AC2308">
        <v>27.5974</v>
      </c>
      <c r="AD2308">
        <v>-0.6366986</v>
      </c>
      <c r="AE2308">
        <v>-133.90199999999999</v>
      </c>
      <c r="AF2308">
        <v>-29.653977609914801</v>
      </c>
      <c r="AG2308">
        <v>-0.6366986</v>
      </c>
      <c r="AH2308">
        <v>133.45858143570899</v>
      </c>
      <c r="AI2308">
        <v>90.266834715523601</v>
      </c>
      <c r="AJ2308">
        <v>102.52738197402201</v>
      </c>
      <c r="AK2308">
        <v>136.71487385075699</v>
      </c>
      <c r="AL2308">
        <v>78.133044908446607</v>
      </c>
      <c r="AM2308">
        <v>92.043281784488997</v>
      </c>
      <c r="AN2308">
        <v>0.99999998317387295</v>
      </c>
    </row>
    <row r="2309" spans="1:40" x14ac:dyDescent="0.25">
      <c r="A2309" t="str">
        <f>"20190303171021932"</f>
        <v>20190303171021932</v>
      </c>
      <c r="B2309" t="str">
        <f>"1551604221923196"</f>
        <v>1551604221923196</v>
      </c>
      <c r="C2309" t="s">
        <v>40</v>
      </c>
      <c r="D2309">
        <v>5.2254690000000004</v>
      </c>
      <c r="E2309">
        <v>0.43169839999999998</v>
      </c>
      <c r="F2309" t="s">
        <v>69</v>
      </c>
      <c r="G2309">
        <v>-466.90050000000002</v>
      </c>
      <c r="H2309">
        <v>0.46863539999999998</v>
      </c>
      <c r="I2309">
        <v>119.395</v>
      </c>
      <c r="J2309">
        <v>-494.54500000000002</v>
      </c>
      <c r="K2309">
        <v>1.123523</v>
      </c>
      <c r="L2309">
        <v>253.1146</v>
      </c>
      <c r="M2309">
        <v>-1.422025E-2</v>
      </c>
      <c r="N2309">
        <v>-1.402251E-2</v>
      </c>
      <c r="O2309">
        <v>-0.99980060000000004</v>
      </c>
      <c r="P2309">
        <v>1.9569860000000001E-2</v>
      </c>
      <c r="Q2309">
        <v>0.19193460000000001</v>
      </c>
      <c r="R2309">
        <v>-0.98121259999999999</v>
      </c>
      <c r="S2309">
        <v>0.62933349999999999</v>
      </c>
      <c r="T2309">
        <v>-1.491022E-2</v>
      </c>
      <c r="U2309">
        <v>-3.048508</v>
      </c>
      <c r="V2309">
        <v>-3.4695919999999998E-2</v>
      </c>
      <c r="W2309">
        <v>0.20547499999999999</v>
      </c>
      <c r="X2309">
        <v>0.97804709999999995</v>
      </c>
      <c r="Y2309">
        <v>-0.2160473</v>
      </c>
      <c r="Z2309">
        <v>-9.2611810000000003E-3</v>
      </c>
      <c r="AA2309">
        <v>0.97633899999999996</v>
      </c>
      <c r="AB2309">
        <v>35</v>
      </c>
      <c r="AC2309">
        <v>27.644499999999901</v>
      </c>
      <c r="AD2309">
        <v>-0.65488760000000001</v>
      </c>
      <c r="AE2309">
        <v>-133.71960000000001</v>
      </c>
      <c r="AF2309">
        <v>-29.5427377274763</v>
      </c>
      <c r="AG2309">
        <v>-0.65488760000000001</v>
      </c>
      <c r="AH2309">
        <v>133.30985982301701</v>
      </c>
      <c r="AI2309">
        <v>90.274797717294206</v>
      </c>
      <c r="AJ2309">
        <v>102.495351640219</v>
      </c>
      <c r="AK2309">
        <v>136.54567351708999</v>
      </c>
      <c r="AL2309">
        <v>78.1426929687333</v>
      </c>
      <c r="AM2309">
        <v>92.031698172294995</v>
      </c>
      <c r="AN2309">
        <v>0.99999995615402704</v>
      </c>
    </row>
    <row r="2310" spans="1:40" x14ac:dyDescent="0.25">
      <c r="A2310" t="str">
        <f>"20190303171021944"</f>
        <v>20190303171021944</v>
      </c>
      <c r="B2310" t="str">
        <f>"1551604221932957"</f>
        <v>1551604221932957</v>
      </c>
      <c r="C2310" t="s">
        <v>40</v>
      </c>
      <c r="D2310">
        <v>5.2255060000000002</v>
      </c>
      <c r="E2310">
        <v>0.43177569999999998</v>
      </c>
      <c r="F2310" t="s">
        <v>69</v>
      </c>
      <c r="G2310">
        <v>-466.80970000000002</v>
      </c>
      <c r="H2310">
        <v>0.43505100000000002</v>
      </c>
      <c r="I2310">
        <v>119.395</v>
      </c>
      <c r="J2310">
        <v>-494.54640000000001</v>
      </c>
      <c r="K2310">
        <v>1.123489</v>
      </c>
      <c r="L2310">
        <v>252.9434</v>
      </c>
      <c r="M2310">
        <v>-1.3136510000000001E-2</v>
      </c>
      <c r="N2310">
        <v>-1.4016320000000001E-2</v>
      </c>
      <c r="O2310">
        <v>-0.99981580000000003</v>
      </c>
      <c r="P2310">
        <v>2.0594700000000001E-2</v>
      </c>
      <c r="Q2310">
        <v>0.19161700000000001</v>
      </c>
      <c r="R2310">
        <v>-0.98125399999999996</v>
      </c>
      <c r="S2310">
        <v>0.63217159999999994</v>
      </c>
      <c r="T2310">
        <v>-1.5691759999999999E-2</v>
      </c>
      <c r="U2310">
        <v>-3.047882</v>
      </c>
      <c r="V2310">
        <v>-3.4636729999999998E-2</v>
      </c>
      <c r="W2310">
        <v>0.20515530000000001</v>
      </c>
      <c r="X2310">
        <v>0.97811630000000005</v>
      </c>
      <c r="Y2310">
        <v>-0.2159006</v>
      </c>
      <c r="Z2310">
        <v>-9.0021319999999995E-3</v>
      </c>
      <c r="AA2310">
        <v>0.97637390000000002</v>
      </c>
      <c r="AB2310">
        <v>35</v>
      </c>
      <c r="AC2310">
        <v>27.7366999999999</v>
      </c>
      <c r="AD2310">
        <v>-0.688437999999999</v>
      </c>
      <c r="AE2310">
        <v>-133.54839999999999</v>
      </c>
      <c r="AF2310">
        <v>-29.488086658945502</v>
      </c>
      <c r="AG2310">
        <v>-0.688437999999999</v>
      </c>
      <c r="AH2310">
        <v>133.169082587156</v>
      </c>
      <c r="AI2310">
        <v>90.289191713534606</v>
      </c>
      <c r="AJ2310">
        <v>102.485732827226</v>
      </c>
      <c r="AK2310">
        <v>136.39657531914099</v>
      </c>
      <c r="AL2310">
        <v>78.161409066914501</v>
      </c>
      <c r="AM2310">
        <v>92.028091690864301</v>
      </c>
      <c r="AN2310">
        <v>0.99999994825443494</v>
      </c>
    </row>
    <row r="2311" spans="1:40" x14ac:dyDescent="0.25">
      <c r="A2311" t="str">
        <f>"20190303171021955"</f>
        <v>20190303171021955</v>
      </c>
      <c r="B2311" t="str">
        <f>"1551604221942716"</f>
        <v>1551604221942716</v>
      </c>
      <c r="C2311" t="s">
        <v>40</v>
      </c>
      <c r="D2311">
        <v>5.210458</v>
      </c>
      <c r="E2311">
        <v>0.43186340000000001</v>
      </c>
      <c r="F2311" t="s">
        <v>69</v>
      </c>
      <c r="G2311">
        <v>-466.71420000000001</v>
      </c>
      <c r="H2311">
        <v>0.38634869999999999</v>
      </c>
      <c r="I2311">
        <v>119.395</v>
      </c>
      <c r="J2311">
        <v>-494.5478</v>
      </c>
      <c r="K2311">
        <v>1.1234500000000001</v>
      </c>
      <c r="L2311">
        <v>252.76439999999999</v>
      </c>
      <c r="M2311">
        <v>-1.2008670000000001E-2</v>
      </c>
      <c r="N2311">
        <v>-1.4010099999999999E-2</v>
      </c>
      <c r="O2311">
        <v>-0.99982969999999904</v>
      </c>
      <c r="P2311">
        <v>2.176281E-2</v>
      </c>
      <c r="Q2311">
        <v>0.19173270000000001</v>
      </c>
      <c r="R2311">
        <v>-0.98120580000000002</v>
      </c>
      <c r="S2311">
        <v>0.63507080000000005</v>
      </c>
      <c r="T2311">
        <v>-1.6819480000000001E-2</v>
      </c>
      <c r="U2311">
        <v>-3.0473020000000002</v>
      </c>
      <c r="V2311">
        <v>-3.4678800000000003E-2</v>
      </c>
      <c r="W2311">
        <v>0.2052678</v>
      </c>
      <c r="X2311">
        <v>0.97809120000000005</v>
      </c>
      <c r="Y2311">
        <v>-0.21572669999999999</v>
      </c>
      <c r="Z2311">
        <v>-8.6319369999999992E-3</v>
      </c>
      <c r="AA2311">
        <v>0.97641560000000005</v>
      </c>
      <c r="AB2311">
        <v>35</v>
      </c>
      <c r="AC2311">
        <v>27.833599999999901</v>
      </c>
      <c r="AD2311">
        <v>-0.73710129999999996</v>
      </c>
      <c r="AE2311">
        <v>-133.36939999999899</v>
      </c>
      <c r="AF2311">
        <v>-29.432477502248201</v>
      </c>
      <c r="AG2311">
        <v>-0.73710129999999996</v>
      </c>
      <c r="AH2311">
        <v>133.02161036633899</v>
      </c>
      <c r="AI2311">
        <v>90.309987839960996</v>
      </c>
      <c r="AJ2311">
        <v>102.476307786277</v>
      </c>
      <c r="AK2311">
        <v>136.24082675432101</v>
      </c>
      <c r="AL2311">
        <v>78.154823054293402</v>
      </c>
      <c r="AM2311">
        <v>92.030605028424802</v>
      </c>
      <c r="AN2311">
        <v>0.99999994220185795</v>
      </c>
    </row>
    <row r="2312" spans="1:40" x14ac:dyDescent="0.25">
      <c r="A2312" t="str">
        <f>"20190303171021967"</f>
        <v>20190303171021967</v>
      </c>
      <c r="B2312" t="str">
        <f>"1551604221963212"</f>
        <v>1551604221963212</v>
      </c>
      <c r="C2312" t="s">
        <v>40</v>
      </c>
      <c r="D2312">
        <v>5.2198599999999997</v>
      </c>
      <c r="E2312">
        <v>0.4320639</v>
      </c>
      <c r="F2312" t="s">
        <v>69</v>
      </c>
      <c r="G2312">
        <v>-466.59100000000001</v>
      </c>
      <c r="H2312">
        <v>0.40086719999999998</v>
      </c>
      <c r="I2312">
        <v>119.395</v>
      </c>
      <c r="J2312">
        <v>-494.54880000000003</v>
      </c>
      <c r="K2312">
        <v>1.1234230000000001</v>
      </c>
      <c r="L2312">
        <v>252.59139999999999</v>
      </c>
      <c r="M2312">
        <v>-1.092662E-2</v>
      </c>
      <c r="N2312">
        <v>-1.4004569999999999E-2</v>
      </c>
      <c r="O2312">
        <v>-0.99984240000000002</v>
      </c>
      <c r="P2312">
        <v>2.264E-2</v>
      </c>
      <c r="Q2312">
        <v>0.19142410000000001</v>
      </c>
      <c r="R2312">
        <v>-0.98124650000000002</v>
      </c>
      <c r="S2312">
        <v>0.63861080000000003</v>
      </c>
      <c r="T2312">
        <v>-1.6505240000000001E-2</v>
      </c>
      <c r="U2312">
        <v>-3.0465390000000001</v>
      </c>
      <c r="V2312">
        <v>-3.4478679999999998E-2</v>
      </c>
      <c r="W2312">
        <v>0.20495840000000001</v>
      </c>
      <c r="X2312">
        <v>0.97816320000000001</v>
      </c>
      <c r="Y2312">
        <v>-0.21580589999999999</v>
      </c>
      <c r="Z2312">
        <v>-8.7249939999999998E-3</v>
      </c>
      <c r="AA2312">
        <v>0.97639730000000002</v>
      </c>
      <c r="AB2312">
        <v>35</v>
      </c>
      <c r="AC2312">
        <v>27.957799999999999</v>
      </c>
      <c r="AD2312">
        <v>-0.72255579999999997</v>
      </c>
      <c r="AE2312">
        <v>-133.19639999999899</v>
      </c>
      <c r="AF2312">
        <v>-29.410830634560199</v>
      </c>
      <c r="AG2312">
        <v>-0.72255579999999997</v>
      </c>
      <c r="AH2312">
        <v>132.879187480816</v>
      </c>
      <c r="AI2312">
        <v>90.304191772830293</v>
      </c>
      <c r="AJ2312">
        <v>102.480363163793</v>
      </c>
      <c r="AK2312">
        <v>136.09701507035601</v>
      </c>
      <c r="AL2312">
        <v>78.172935989923602</v>
      </c>
      <c r="AM2312">
        <v>92.018748314070606</v>
      </c>
      <c r="AN2312">
        <v>0.99999998546967095</v>
      </c>
    </row>
    <row r="2313" spans="1:40" x14ac:dyDescent="0.25">
      <c r="A2313" t="str">
        <f>"20190303171021977"</f>
        <v>20190303171021977</v>
      </c>
      <c r="B2313" t="str">
        <f>"1551604221972973"</f>
        <v>1551604221972973</v>
      </c>
      <c r="C2313" t="s">
        <v>40</v>
      </c>
      <c r="D2313">
        <v>5.0770650000000002</v>
      </c>
      <c r="E2313">
        <v>0.4320639</v>
      </c>
      <c r="F2313" t="s">
        <v>69</v>
      </c>
      <c r="G2313">
        <v>-466.56110000000001</v>
      </c>
      <c r="H2313">
        <v>0.31101089999999998</v>
      </c>
      <c r="I2313">
        <v>119.395</v>
      </c>
      <c r="J2313">
        <v>-494.54969999999997</v>
      </c>
      <c r="K2313">
        <v>1.123391</v>
      </c>
      <c r="L2313">
        <v>252.42089999999999</v>
      </c>
      <c r="M2313">
        <v>-9.8608970000000004E-3</v>
      </c>
      <c r="N2313">
        <v>-1.3999259999999999E-2</v>
      </c>
      <c r="O2313">
        <v>-0.9998534</v>
      </c>
      <c r="P2313">
        <v>2.3924810000000001E-2</v>
      </c>
      <c r="Q2313">
        <v>0.19124430000000001</v>
      </c>
      <c r="R2313">
        <v>-0.98125110000000004</v>
      </c>
      <c r="S2313">
        <v>0.64007569999999903</v>
      </c>
      <c r="T2313">
        <v>-1.857924E-2</v>
      </c>
      <c r="U2313">
        <v>-3.0462039999999999</v>
      </c>
      <c r="V2313">
        <v>-3.4702990000000003E-2</v>
      </c>
      <c r="W2313">
        <v>0.20477500000000001</v>
      </c>
      <c r="X2313">
        <v>0.97819370000000005</v>
      </c>
      <c r="Y2313">
        <v>-0.2152367</v>
      </c>
      <c r="Z2313">
        <v>-8.0519230000000008E-3</v>
      </c>
      <c r="AA2313">
        <v>0.97652870000000003</v>
      </c>
      <c r="AB2313">
        <v>35</v>
      </c>
      <c r="AC2313">
        <v>27.988599999999899</v>
      </c>
      <c r="AD2313">
        <v>-0.81238009999999905</v>
      </c>
      <c r="AE2313">
        <v>-133.02589999999901</v>
      </c>
      <c r="AF2313">
        <v>-29.298075821888698</v>
      </c>
      <c r="AG2313">
        <v>-0.81238009999999905</v>
      </c>
      <c r="AH2313">
        <v>132.73867070961799</v>
      </c>
      <c r="AI2313">
        <v>90.342412851864594</v>
      </c>
      <c r="AJ2313">
        <v>102.446759598867</v>
      </c>
      <c r="AK2313">
        <v>135.93598460322599</v>
      </c>
      <c r="AL2313">
        <v>78.183671993877297</v>
      </c>
      <c r="AM2313">
        <v>92.031807531697794</v>
      </c>
      <c r="AN2313">
        <v>1.00000000642981</v>
      </c>
    </row>
    <row r="2314" spans="1:40" x14ac:dyDescent="0.25">
      <c r="A2314" t="str">
        <f>"20190303171021989"</f>
        <v>20190303171021989</v>
      </c>
      <c r="B2314" t="str">
        <f>"1551604221982732"</f>
        <v>1551604221982732</v>
      </c>
      <c r="C2314" t="s">
        <v>40</v>
      </c>
      <c r="D2314">
        <v>5.1813079999999996</v>
      </c>
      <c r="E2314">
        <v>0.4321719</v>
      </c>
      <c r="F2314" t="s">
        <v>69</v>
      </c>
      <c r="G2314">
        <v>-466.42939999999999</v>
      </c>
      <c r="H2314">
        <v>0.29938700000000001</v>
      </c>
      <c r="I2314">
        <v>119.395</v>
      </c>
      <c r="J2314">
        <v>-494.55040000000002</v>
      </c>
      <c r="K2314">
        <v>1.123364</v>
      </c>
      <c r="L2314">
        <v>252.226</v>
      </c>
      <c r="M2314">
        <v>-8.6463240000000004E-3</v>
      </c>
      <c r="N2314">
        <v>-1.39937E-2</v>
      </c>
      <c r="O2314">
        <v>-0.999865</v>
      </c>
      <c r="P2314">
        <v>2.5409020000000001E-2</v>
      </c>
      <c r="Q2314">
        <v>0.19109979999999999</v>
      </c>
      <c r="R2314">
        <v>-0.98124210000000001</v>
      </c>
      <c r="S2314">
        <v>0.64373780000000003</v>
      </c>
      <c r="T2314">
        <v>-1.8862839999999999E-2</v>
      </c>
      <c r="U2314">
        <v>-3.0452880000000002</v>
      </c>
      <c r="V2314">
        <v>-3.498163E-2</v>
      </c>
      <c r="W2314">
        <v>0.20462559999999999</v>
      </c>
      <c r="X2314">
        <v>0.97821499999999995</v>
      </c>
      <c r="Y2314">
        <v>-0.21523390000000001</v>
      </c>
      <c r="Z2314">
        <v>-7.9525169999999992E-3</v>
      </c>
      <c r="AA2314">
        <v>0.97653009999999996</v>
      </c>
      <c r="AB2314">
        <v>35</v>
      </c>
      <c r="AC2314">
        <v>28.120999999999999</v>
      </c>
      <c r="AD2314">
        <v>-0.82397699999999996</v>
      </c>
      <c r="AE2314">
        <v>-132.83099999999999</v>
      </c>
      <c r="AF2314">
        <v>-29.267482720864901</v>
      </c>
      <c r="AG2314">
        <v>-0.82397699999999996</v>
      </c>
      <c r="AH2314">
        <v>132.57798405467199</v>
      </c>
      <c r="AI2314">
        <v>90.347718983177302</v>
      </c>
      <c r="AJ2314">
        <v>102.44876797033</v>
      </c>
      <c r="AK2314">
        <v>135.772553702556</v>
      </c>
      <c r="AL2314">
        <v>78.1924167096562</v>
      </c>
      <c r="AM2314">
        <v>92.048063085237303</v>
      </c>
      <c r="AN2314">
        <v>0.99999996841890704</v>
      </c>
    </row>
    <row r="2315" spans="1:40" x14ac:dyDescent="0.25">
      <c r="A2315" t="str">
        <f>"20190303171022001"</f>
        <v>20190303171022001</v>
      </c>
      <c r="B2315" t="str">
        <f>"1551604221992492"</f>
        <v>1551604221992492</v>
      </c>
      <c r="C2315" t="s">
        <v>40</v>
      </c>
      <c r="D2315">
        <v>5.178553</v>
      </c>
      <c r="E2315">
        <v>0.43228549999999899</v>
      </c>
      <c r="F2315" t="s">
        <v>69</v>
      </c>
      <c r="G2315">
        <v>-466.28809999999999</v>
      </c>
      <c r="H2315">
        <v>0.24842420000000001</v>
      </c>
      <c r="I2315">
        <v>119.395</v>
      </c>
      <c r="J2315">
        <v>-494.55090000000001</v>
      </c>
      <c r="K2315">
        <v>1.1233420000000001</v>
      </c>
      <c r="L2315">
        <v>252.0505</v>
      </c>
      <c r="M2315">
        <v>-7.551678E-3</v>
      </c>
      <c r="N2315">
        <v>-1.39889E-2</v>
      </c>
      <c r="O2315">
        <v>-0.99987369999999998</v>
      </c>
      <c r="P2315">
        <v>2.669413E-2</v>
      </c>
      <c r="Q2315">
        <v>0.19094240000000001</v>
      </c>
      <c r="R2315">
        <v>-0.98123830000000001</v>
      </c>
      <c r="S2315">
        <v>0.64776610000000001</v>
      </c>
      <c r="T2315">
        <v>-2.005291E-2</v>
      </c>
      <c r="U2315">
        <v>-3.0444789999999999</v>
      </c>
      <c r="V2315">
        <v>-3.5181560000000001E-2</v>
      </c>
      <c r="W2315">
        <v>0.2044646</v>
      </c>
      <c r="X2315">
        <v>0.97824149999999999</v>
      </c>
      <c r="Y2315">
        <v>-0.2154538</v>
      </c>
      <c r="Z2315">
        <v>-7.5635119999999997E-3</v>
      </c>
      <c r="AA2315">
        <v>0.97648480000000004</v>
      </c>
      <c r="AB2315">
        <v>35</v>
      </c>
      <c r="AC2315">
        <v>28.262799999999999</v>
      </c>
      <c r="AD2315">
        <v>-0.87491779999999997</v>
      </c>
      <c r="AE2315">
        <v>-132.65549999999999</v>
      </c>
      <c r="AF2315">
        <v>-29.262645895757299</v>
      </c>
      <c r="AG2315">
        <v>-0.87491779999999997</v>
      </c>
      <c r="AH2315">
        <v>132.43275362427201</v>
      </c>
      <c r="AI2315">
        <v>90.369604349095795</v>
      </c>
      <c r="AJ2315">
        <v>102.45999827509399</v>
      </c>
      <c r="AK2315">
        <v>135.630019385401</v>
      </c>
      <c r="AL2315">
        <v>78.201840639639002</v>
      </c>
      <c r="AM2315">
        <v>92.059702546908497</v>
      </c>
      <c r="AN2315">
        <v>0.99999997356972103</v>
      </c>
    </row>
    <row r="2316" spans="1:40" x14ac:dyDescent="0.25">
      <c r="A2316" t="str">
        <f>"20190303171022012"</f>
        <v>20190303171022012</v>
      </c>
      <c r="B2316" t="str">
        <f>"1551604222003228"</f>
        <v>1551604222003228</v>
      </c>
      <c r="C2316" t="s">
        <v>40</v>
      </c>
      <c r="D2316">
        <v>5.1625120000000004</v>
      </c>
      <c r="E2316">
        <v>0.4323787</v>
      </c>
      <c r="F2316" t="s">
        <v>69</v>
      </c>
      <c r="G2316">
        <v>-466.21089999999998</v>
      </c>
      <c r="H2316">
        <v>0.19073029999999999</v>
      </c>
      <c r="I2316">
        <v>119.395</v>
      </c>
      <c r="J2316">
        <v>-494.55110000000002</v>
      </c>
      <c r="K2316">
        <v>1.123327</v>
      </c>
      <c r="L2316">
        <v>251.8835</v>
      </c>
      <c r="M2316">
        <v>-6.5097200000000001E-3</v>
      </c>
      <c r="N2316">
        <v>-1.398453E-2</v>
      </c>
      <c r="O2316">
        <v>-0.99988109999999997</v>
      </c>
      <c r="P2316">
        <v>2.8178849999999998E-2</v>
      </c>
      <c r="Q2316">
        <v>0.19109280000000001</v>
      </c>
      <c r="R2316">
        <v>-0.98116740000000002</v>
      </c>
      <c r="S2316">
        <v>0.65026859999999997</v>
      </c>
      <c r="T2316">
        <v>-2.1398540000000001E-2</v>
      </c>
      <c r="U2316">
        <v>-3.0438390000000002</v>
      </c>
      <c r="V2316">
        <v>-3.563525E-2</v>
      </c>
      <c r="W2316">
        <v>0.20460880000000001</v>
      </c>
      <c r="X2316">
        <v>0.97819500000000004</v>
      </c>
      <c r="Y2316">
        <v>-0.21524599999999999</v>
      </c>
      <c r="Z2316">
        <v>-7.1246520000000004E-3</v>
      </c>
      <c r="AA2316">
        <v>0.97653389999999995</v>
      </c>
      <c r="AB2316">
        <v>35</v>
      </c>
      <c r="AC2316">
        <v>28.340199999999999</v>
      </c>
      <c r="AD2316">
        <v>-0.93259669999999895</v>
      </c>
      <c r="AE2316">
        <v>-132.48849999999999</v>
      </c>
      <c r="AF2316">
        <v>-29.2007631639908</v>
      </c>
      <c r="AG2316">
        <v>-0.93259669999999895</v>
      </c>
      <c r="AH2316">
        <v>132.29491921211101</v>
      </c>
      <c r="AI2316">
        <v>90.394399928472296</v>
      </c>
      <c r="AJ2316">
        <v>102.447020663518</v>
      </c>
      <c r="AK2316">
        <v>135.48247102597199</v>
      </c>
      <c r="AL2316">
        <v>78.193401002777904</v>
      </c>
      <c r="AM2316">
        <v>92.086339567194401</v>
      </c>
      <c r="AN2316">
        <v>1.0000000450525</v>
      </c>
    </row>
    <row r="2317" spans="1:40" x14ac:dyDescent="0.25">
      <c r="A2317" t="str">
        <f>"20190303171022023"</f>
        <v>20190303171022023</v>
      </c>
      <c r="B2317" t="str">
        <f>"1551604222012989"</f>
        <v>1551604222012989</v>
      </c>
      <c r="C2317" t="s">
        <v>40</v>
      </c>
      <c r="D2317">
        <v>5.1794909999999996</v>
      </c>
      <c r="E2317">
        <v>0.43248389999999998</v>
      </c>
      <c r="F2317" t="s">
        <v>69</v>
      </c>
      <c r="G2317">
        <v>-466.04559999999998</v>
      </c>
      <c r="H2317">
        <v>0.19485340000000001</v>
      </c>
      <c r="I2317">
        <v>119.395</v>
      </c>
      <c r="J2317">
        <v>-494.55130000000003</v>
      </c>
      <c r="K2317">
        <v>1.1233120000000001</v>
      </c>
      <c r="L2317">
        <v>251.7098</v>
      </c>
      <c r="M2317">
        <v>-5.4248869999999998E-3</v>
      </c>
      <c r="N2317">
        <v>-1.398025E-2</v>
      </c>
      <c r="O2317">
        <v>-0.99988779999999999</v>
      </c>
      <c r="P2317">
        <v>2.952339E-2</v>
      </c>
      <c r="Q2317">
        <v>0.19125780000000001</v>
      </c>
      <c r="R2317">
        <v>-0.98109610000000003</v>
      </c>
      <c r="S2317">
        <v>0.65469359999999999</v>
      </c>
      <c r="T2317">
        <v>-2.132392E-2</v>
      </c>
      <c r="U2317">
        <v>-3.0429080000000002</v>
      </c>
      <c r="V2317">
        <v>-3.590782E-2</v>
      </c>
      <c r="W2317">
        <v>0.2047689</v>
      </c>
      <c r="X2317">
        <v>0.97815149999999995</v>
      </c>
      <c r="Y2317">
        <v>-0.21560509999999999</v>
      </c>
      <c r="Z2317">
        <v>-7.1419710000000004E-3</v>
      </c>
      <c r="AA2317">
        <v>0.9764545</v>
      </c>
      <c r="AB2317">
        <v>35</v>
      </c>
      <c r="AC2317">
        <v>28.505700000000001</v>
      </c>
      <c r="AD2317">
        <v>-0.92845860000000002</v>
      </c>
      <c r="AE2317">
        <v>-132.31479999999999</v>
      </c>
      <c r="AF2317">
        <v>-29.221768253484299</v>
      </c>
      <c r="AG2317">
        <v>-0.92845860000000002</v>
      </c>
      <c r="AH2317">
        <v>132.15197895834601</v>
      </c>
      <c r="AI2317">
        <v>90.393041724772104</v>
      </c>
      <c r="AJ2317">
        <v>102.468746264411</v>
      </c>
      <c r="AK2317">
        <v>135.34740233133101</v>
      </c>
      <c r="AL2317">
        <v>78.184029172660303</v>
      </c>
      <c r="AM2317">
        <v>92.102376886137804</v>
      </c>
      <c r="AN2317">
        <v>1.0000000154483</v>
      </c>
    </row>
    <row r="2318" spans="1:40" x14ac:dyDescent="0.25">
      <c r="A2318" t="str">
        <f>"20190303171022035"</f>
        <v>20190303171022035</v>
      </c>
      <c r="B2318" t="str">
        <f>"1551604222022748"</f>
        <v>1551604222022748</v>
      </c>
      <c r="C2318" t="s">
        <v>40</v>
      </c>
      <c r="D2318">
        <v>5.1816180000000003</v>
      </c>
      <c r="E2318">
        <v>0.43259639999999999</v>
      </c>
      <c r="F2318" t="s">
        <v>69</v>
      </c>
      <c r="G2318">
        <v>-465.9366</v>
      </c>
      <c r="H2318">
        <v>0.1991619</v>
      </c>
      <c r="I2318">
        <v>119.395</v>
      </c>
      <c r="J2318">
        <v>-494.55119999999999</v>
      </c>
      <c r="K2318">
        <v>1.123299</v>
      </c>
      <c r="L2318">
        <v>251.52330000000001</v>
      </c>
      <c r="M2318">
        <v>-4.2595150000000002E-3</v>
      </c>
      <c r="N2318">
        <v>-1.397583E-2</v>
      </c>
      <c r="O2318">
        <v>-0.99989320000000004</v>
      </c>
      <c r="P2318">
        <v>3.0890939999999999E-2</v>
      </c>
      <c r="Q2318">
        <v>0.19153899999999999</v>
      </c>
      <c r="R2318">
        <v>-0.98099879999999995</v>
      </c>
      <c r="S2318">
        <v>0.65789790000000004</v>
      </c>
      <c r="T2318">
        <v>-2.1247149999999999E-2</v>
      </c>
      <c r="U2318">
        <v>-3.0421450000000001</v>
      </c>
      <c r="V2318">
        <v>-3.6125369999999997E-2</v>
      </c>
      <c r="W2318">
        <v>0.20504520000000001</v>
      </c>
      <c r="X2318">
        <v>0.9780856</v>
      </c>
      <c r="Y2318">
        <v>-0.2155002</v>
      </c>
      <c r="Z2318">
        <v>-7.1594349999999996E-3</v>
      </c>
      <c r="AA2318">
        <v>0.97647759999999995</v>
      </c>
      <c r="AB2318">
        <v>35</v>
      </c>
      <c r="AC2318">
        <v>28.614599999999999</v>
      </c>
      <c r="AD2318">
        <v>-0.92413709999999905</v>
      </c>
      <c r="AE2318">
        <v>-132.1283</v>
      </c>
      <c r="AF2318">
        <v>-29.175834523508598</v>
      </c>
      <c r="AG2318">
        <v>-0.92413709999999905</v>
      </c>
      <c r="AH2318">
        <v>131.999036870959</v>
      </c>
      <c r="AI2318">
        <v>90.391673218322794</v>
      </c>
      <c r="AJ2318">
        <v>102.463732723902</v>
      </c>
      <c r="AK2318">
        <v>135.18812479054401</v>
      </c>
      <c r="AL2318">
        <v>78.167855078224605</v>
      </c>
      <c r="AM2318">
        <v>92.115245126048706</v>
      </c>
      <c r="AN2318">
        <v>1.00000000866401</v>
      </c>
    </row>
    <row r="2319" spans="1:40" x14ac:dyDescent="0.25">
      <c r="A2319" t="str">
        <f>"20190303171022049"</f>
        <v>20190303171022049</v>
      </c>
      <c r="B2319" t="str">
        <f>"1551604222043244"</f>
        <v>1551604222043244</v>
      </c>
      <c r="C2319" t="s">
        <v>40</v>
      </c>
      <c r="D2319">
        <v>5.167192</v>
      </c>
      <c r="E2319">
        <v>0.43273089999999997</v>
      </c>
      <c r="F2319" t="s">
        <v>69</v>
      </c>
      <c r="G2319">
        <v>-465.79680000000002</v>
      </c>
      <c r="H2319">
        <v>0.21395130000000001</v>
      </c>
      <c r="I2319">
        <v>119.395</v>
      </c>
      <c r="J2319">
        <v>-494.55079999999998</v>
      </c>
      <c r="K2319">
        <v>1.123289</v>
      </c>
      <c r="L2319">
        <v>251.32480000000001</v>
      </c>
      <c r="M2319">
        <v>-3.0159639999999999E-3</v>
      </c>
      <c r="N2319">
        <v>-1.397138E-2</v>
      </c>
      <c r="O2319">
        <v>-0.99989799999999995</v>
      </c>
      <c r="P2319">
        <v>3.2002059999999999E-2</v>
      </c>
      <c r="Q2319">
        <v>0.19171630000000001</v>
      </c>
      <c r="R2319">
        <v>-0.98092880000000005</v>
      </c>
      <c r="S2319">
        <v>0.66186519999999904</v>
      </c>
      <c r="T2319">
        <v>-2.0930649999999999E-2</v>
      </c>
      <c r="U2319">
        <v>-3.0413209999999999</v>
      </c>
      <c r="V2319">
        <v>-3.6010229999999997E-2</v>
      </c>
      <c r="W2319">
        <v>0.20521929999999999</v>
      </c>
      <c r="X2319">
        <v>0.97805330000000001</v>
      </c>
      <c r="Y2319">
        <v>-0.2155569</v>
      </c>
      <c r="Z2319">
        <v>-7.2539190000000002E-3</v>
      </c>
      <c r="AA2319">
        <v>0.97646429999999995</v>
      </c>
      <c r="AB2319">
        <v>35</v>
      </c>
      <c r="AC2319">
        <v>28.753999999999898</v>
      </c>
      <c r="AD2319">
        <v>-0.90933770000000003</v>
      </c>
      <c r="AE2319">
        <v>-131.9298</v>
      </c>
      <c r="AF2319">
        <v>-29.150481433869999</v>
      </c>
      <c r="AG2319">
        <v>-0.90933770000000003</v>
      </c>
      <c r="AH2319">
        <v>131.83649114948699</v>
      </c>
      <c r="AI2319">
        <v>90.385869676874606</v>
      </c>
      <c r="AJ2319">
        <v>102.46811423765899</v>
      </c>
      <c r="AK2319">
        <v>135.02384182613</v>
      </c>
      <c r="AL2319">
        <v>78.157662772098504</v>
      </c>
      <c r="AM2319">
        <v>92.1085790103904</v>
      </c>
      <c r="AN2319">
        <v>0.99999997769901605</v>
      </c>
    </row>
    <row r="2320" spans="1:40" x14ac:dyDescent="0.25">
      <c r="A2320" t="str">
        <f>"20190303171022068"</f>
        <v>20190303171022068</v>
      </c>
      <c r="B2320" t="str">
        <f>"1551604222062765"</f>
        <v>1551604222062765</v>
      </c>
      <c r="C2320" t="s">
        <v>40</v>
      </c>
      <c r="D2320">
        <v>5.0459440000000004</v>
      </c>
      <c r="E2320">
        <v>0.43286839999999999</v>
      </c>
      <c r="F2320" t="s">
        <v>69</v>
      </c>
      <c r="G2320">
        <v>-465.73540000000003</v>
      </c>
      <c r="H2320">
        <v>0.23898069999999999</v>
      </c>
      <c r="I2320">
        <v>119.395</v>
      </c>
      <c r="J2320">
        <v>-494.54989999999998</v>
      </c>
      <c r="K2320">
        <v>1.1232759999999999</v>
      </c>
      <c r="L2320">
        <v>251.0309</v>
      </c>
      <c r="M2320">
        <v>-1.172233E-3</v>
      </c>
      <c r="N2320">
        <v>-1.3965180000000001E-2</v>
      </c>
      <c r="O2320">
        <v>-0.99990199999999996</v>
      </c>
      <c r="P2320">
        <v>3.4354900000000001E-2</v>
      </c>
      <c r="Q2320">
        <v>0.1920047</v>
      </c>
      <c r="R2320">
        <v>-0.98079309999999997</v>
      </c>
      <c r="S2320">
        <v>0.66412349999999998</v>
      </c>
      <c r="T2320">
        <v>-2.0380499999999999E-2</v>
      </c>
      <c r="U2320">
        <v>-3.0406650000000002</v>
      </c>
      <c r="V2320">
        <v>-3.6546219999999997E-2</v>
      </c>
      <c r="W2320">
        <v>0.20549980000000001</v>
      </c>
      <c r="X2320">
        <v>0.97797449999999997</v>
      </c>
      <c r="Y2320">
        <v>-0.2144925</v>
      </c>
      <c r="Z2320">
        <v>-7.4199540000000003E-3</v>
      </c>
      <c r="AA2320">
        <v>0.97669740000000005</v>
      </c>
      <c r="AB2320">
        <v>35</v>
      </c>
      <c r="AC2320">
        <v>28.814499999999899</v>
      </c>
      <c r="AD2320">
        <v>-0.88429529999999901</v>
      </c>
      <c r="AE2320">
        <v>-131.63589999999999</v>
      </c>
      <c r="AF2320">
        <v>-28.967555687876999</v>
      </c>
      <c r="AG2320">
        <v>-0.88429529999999901</v>
      </c>
      <c r="AH2320">
        <v>131.596361808354</v>
      </c>
      <c r="AI2320">
        <v>90.376006191058906</v>
      </c>
      <c r="AJ2320">
        <v>102.41421087497299</v>
      </c>
      <c r="AK2320">
        <v>134.749781825067</v>
      </c>
      <c r="AL2320">
        <v>78.141241075121698</v>
      </c>
      <c r="AM2320">
        <v>92.140107204097404</v>
      </c>
      <c r="AN2320">
        <v>0.99999995832328803</v>
      </c>
    </row>
    <row r="2321" spans="1:40" x14ac:dyDescent="0.25">
      <c r="A2321" t="str">
        <f>"20190303171022089"</f>
        <v>20190303171022089</v>
      </c>
      <c r="B2321" t="str">
        <f>"1551604222083261"</f>
        <v>1551604222083261</v>
      </c>
      <c r="C2321" t="s">
        <v>40</v>
      </c>
      <c r="D2321">
        <v>5.1712490000000004</v>
      </c>
      <c r="E2321">
        <v>0.43306869999999997</v>
      </c>
      <c r="F2321" t="s">
        <v>69</v>
      </c>
      <c r="G2321">
        <v>-465.47129999999999</v>
      </c>
      <c r="H2321">
        <v>0.27965659999999998</v>
      </c>
      <c r="I2321">
        <v>119.395</v>
      </c>
      <c r="J2321">
        <v>-494.54820000000001</v>
      </c>
      <c r="K2321">
        <v>1.1232569999999999</v>
      </c>
      <c r="L2321">
        <v>250.69210000000001</v>
      </c>
      <c r="M2321">
        <v>9.5596869999999999E-4</v>
      </c>
      <c r="N2321">
        <v>-1.3958470000000001E-2</v>
      </c>
      <c r="O2321">
        <v>-0.99990219999999996</v>
      </c>
      <c r="P2321">
        <v>3.7300659999999999E-2</v>
      </c>
      <c r="Q2321">
        <v>0.1918098</v>
      </c>
      <c r="R2321">
        <v>-0.98072309999999996</v>
      </c>
      <c r="S2321">
        <v>0.67132569999999903</v>
      </c>
      <c r="T2321">
        <v>-1.9475699999999999E-2</v>
      </c>
      <c r="U2321">
        <v>-3.0390320000000002</v>
      </c>
      <c r="V2321">
        <v>-3.7394709999999998E-2</v>
      </c>
      <c r="W2321">
        <v>0.2052958</v>
      </c>
      <c r="X2321">
        <v>0.97798529999999995</v>
      </c>
      <c r="Y2321">
        <v>-0.21473110000000001</v>
      </c>
      <c r="Z2321">
        <v>-7.6991289999999999E-3</v>
      </c>
      <c r="AA2321">
        <v>0.97664280000000003</v>
      </c>
      <c r="AB2321">
        <v>35</v>
      </c>
      <c r="AC2321">
        <v>29.076899999999998</v>
      </c>
      <c r="AD2321">
        <v>-0.84360039999999903</v>
      </c>
      <c r="AE2321">
        <v>-131.2971</v>
      </c>
      <c r="AF2321">
        <v>-28.950219317481402</v>
      </c>
      <c r="AG2321">
        <v>-0.84360039999999903</v>
      </c>
      <c r="AH2321">
        <v>131.31967158134299</v>
      </c>
      <c r="AI2321">
        <v>90.359433717944</v>
      </c>
      <c r="AJ2321">
        <v>102.43234093174399</v>
      </c>
      <c r="AK2321">
        <v>134.47558516101401</v>
      </c>
      <c r="AL2321">
        <v>78.153184417883693</v>
      </c>
      <c r="AM2321">
        <v>92.189721884042399</v>
      </c>
      <c r="AN2321">
        <v>0.99999998842485605</v>
      </c>
    </row>
    <row r="2322" spans="1:40" x14ac:dyDescent="0.25">
      <c r="A2322" t="str">
        <f>"20190303171022101"</f>
        <v>20190303171022101</v>
      </c>
      <c r="B2322" t="str">
        <f>"1551604222093021"</f>
        <v>1551604222093021</v>
      </c>
      <c r="C2322" t="s">
        <v>40</v>
      </c>
      <c r="D2322">
        <v>5.1544930000000004</v>
      </c>
      <c r="E2322">
        <v>0.43306869999999997</v>
      </c>
      <c r="F2322" t="s">
        <v>69</v>
      </c>
      <c r="G2322">
        <v>-465.21190000000001</v>
      </c>
      <c r="H2322">
        <v>0.1910558</v>
      </c>
      <c r="I2322">
        <v>119.395</v>
      </c>
      <c r="J2322">
        <v>-494.54689999999999</v>
      </c>
      <c r="K2322">
        <v>1.1232470000000001</v>
      </c>
      <c r="L2322">
        <v>250.50620000000001</v>
      </c>
      <c r="M2322">
        <v>2.1251339999999999E-3</v>
      </c>
      <c r="N2322">
        <v>-1.3955E-2</v>
      </c>
      <c r="O2322">
        <v>-0.99990060000000003</v>
      </c>
      <c r="P2322">
        <v>3.8812899999999997E-2</v>
      </c>
      <c r="Q2322">
        <v>0.19173560000000001</v>
      </c>
      <c r="R2322">
        <v>-0.98067930000000003</v>
      </c>
      <c r="S2322">
        <v>0.67864990000000003</v>
      </c>
      <c r="T2322">
        <v>-2.156448E-2</v>
      </c>
      <c r="U2322">
        <v>-3.037369</v>
      </c>
      <c r="V2322">
        <v>-3.7755820000000002E-2</v>
      </c>
      <c r="W2322">
        <v>0.20521700000000001</v>
      </c>
      <c r="X2322">
        <v>0.97798799999999997</v>
      </c>
      <c r="Y2322">
        <v>-0.21594569999999999</v>
      </c>
      <c r="Z2322">
        <v>-7.0217159999999999E-3</v>
      </c>
      <c r="AA2322">
        <v>0.97638009999999997</v>
      </c>
      <c r="AB2322">
        <v>35</v>
      </c>
      <c r="AC2322">
        <v>29.334999999999901</v>
      </c>
      <c r="AD2322">
        <v>-0.9321912</v>
      </c>
      <c r="AE2322">
        <v>-131.1112</v>
      </c>
      <c r="AF2322">
        <v>-29.054879073265301</v>
      </c>
      <c r="AG2322">
        <v>-0.9321912</v>
      </c>
      <c r="AH2322">
        <v>131.16693621909499</v>
      </c>
      <c r="AI2322">
        <v>90.397552671998895</v>
      </c>
      <c r="AJ2322">
        <v>102.489952770679</v>
      </c>
      <c r="AK2322">
        <v>134.34961903741899</v>
      </c>
      <c r="AL2322">
        <v>78.157797969471403</v>
      </c>
      <c r="AM2322">
        <v>92.210840420374794</v>
      </c>
      <c r="AN2322">
        <v>1.0000000235884301</v>
      </c>
    </row>
    <row r="2323" spans="1:40" x14ac:dyDescent="0.25">
      <c r="A2323" t="str">
        <f>"20190303171022112"</f>
        <v>20190303171022112</v>
      </c>
      <c r="B2323" t="str">
        <f>"1551604222102781"</f>
        <v>1551604222102781</v>
      </c>
      <c r="C2323" t="s">
        <v>40</v>
      </c>
      <c r="D2323">
        <v>5.1301319999999997</v>
      </c>
      <c r="E2323">
        <v>0.4404052</v>
      </c>
      <c r="F2323" t="s">
        <v>41</v>
      </c>
      <c r="G2323">
        <v>-458.71249999999998</v>
      </c>
      <c r="H2323">
        <v>-0.05</v>
      </c>
      <c r="I2323">
        <v>91.141769999999994</v>
      </c>
      <c r="J2323">
        <v>-494.54539999999997</v>
      </c>
      <c r="K2323">
        <v>1.1232439999999999</v>
      </c>
      <c r="L2323">
        <v>250.32499999999999</v>
      </c>
      <c r="M2323">
        <v>3.2643139999999999E-3</v>
      </c>
      <c r="N2323">
        <v>-1.395181E-2</v>
      </c>
      <c r="O2323">
        <v>-0.99989740000000005</v>
      </c>
      <c r="P2323">
        <v>4.0304949999999999E-2</v>
      </c>
      <c r="Q2323">
        <v>0.1918995</v>
      </c>
      <c r="R2323">
        <v>-0.98058679999999998</v>
      </c>
      <c r="S2323">
        <v>0.68276979999999998</v>
      </c>
      <c r="T2323">
        <v>-2.2354479999999999E-2</v>
      </c>
      <c r="U2323">
        <v>-3.0364529999999998</v>
      </c>
      <c r="V2323">
        <v>-3.8128059999999998E-2</v>
      </c>
      <c r="W2323">
        <v>0.20537610000000001</v>
      </c>
      <c r="X2323">
        <v>0.97794009999999998</v>
      </c>
      <c r="Y2323">
        <v>-0.2161573</v>
      </c>
      <c r="Z2323">
        <v>-6.7620140000000002E-3</v>
      </c>
      <c r="AA2323">
        <v>0.97633519999999896</v>
      </c>
      <c r="AB2323">
        <v>35</v>
      </c>
      <c r="AC2323">
        <v>35.832899999999903</v>
      </c>
      <c r="AD2323">
        <v>-1.173244</v>
      </c>
      <c r="AE2323">
        <v>-159.18322999999901</v>
      </c>
      <c r="AF2323">
        <v>-35.311208761747302</v>
      </c>
      <c r="AG2323">
        <v>-1.173244</v>
      </c>
      <c r="AH2323">
        <v>159.29112712876599</v>
      </c>
      <c r="AI2323">
        <v>90.411997917251099</v>
      </c>
      <c r="AJ2323">
        <v>102.499045548544</v>
      </c>
      <c r="AK2323">
        <v>163.162254052988</v>
      </c>
      <c r="AL2323">
        <v>78.148483117169604</v>
      </c>
      <c r="AM2323">
        <v>92.232724704541695</v>
      </c>
      <c r="AN2323">
        <v>0.99999996529929103</v>
      </c>
    </row>
    <row r="2324" spans="1:40" x14ac:dyDescent="0.25">
      <c r="A2324" t="str">
        <f>"20190303171022123"</f>
        <v>20190303171022123</v>
      </c>
      <c r="B2324" t="str">
        <f>"1551604222113214"</f>
        <v>1551604222113214</v>
      </c>
      <c r="C2324" t="s">
        <v>40</v>
      </c>
      <c r="D2324">
        <v>5.1552110000000004</v>
      </c>
      <c r="E2324">
        <v>0.44075370000000003</v>
      </c>
      <c r="F2324" t="s">
        <v>42</v>
      </c>
      <c r="G2324">
        <v>-482.76339999999999</v>
      </c>
      <c r="H2324" s="1">
        <v>-3.2150659999999998E-6</v>
      </c>
      <c r="I2324">
        <v>193.4376</v>
      </c>
      <c r="J2324">
        <v>-494.54390000000001</v>
      </c>
      <c r="K2324">
        <v>1.123237</v>
      </c>
      <c r="L2324">
        <v>250.16210000000001</v>
      </c>
      <c r="M2324">
        <v>4.2864549999999998E-3</v>
      </c>
      <c r="N2324">
        <v>-1.3949110000000001E-2</v>
      </c>
      <c r="O2324">
        <v>-0.9998937</v>
      </c>
      <c r="P2324">
        <v>4.1580359999999997E-2</v>
      </c>
      <c r="Q2324">
        <v>0.19221859999999999</v>
      </c>
      <c r="R2324">
        <v>-0.98047130000000005</v>
      </c>
      <c r="S2324">
        <v>0.63070680000000001</v>
      </c>
      <c r="T2324">
        <v>-6.0128929999999997E-2</v>
      </c>
      <c r="U2324">
        <v>-3.045258</v>
      </c>
      <c r="V2324">
        <v>-3.8400120000000003E-2</v>
      </c>
      <c r="W2324">
        <v>0.2056906</v>
      </c>
      <c r="X2324">
        <v>0.97786340000000005</v>
      </c>
      <c r="Y2324">
        <v>-0.19855890000000001</v>
      </c>
      <c r="Z2324">
        <v>5.3971130000000003E-3</v>
      </c>
      <c r="AA2324">
        <v>0.98007409999999995</v>
      </c>
      <c r="AB2324">
        <v>35</v>
      </c>
      <c r="AC2324">
        <v>11.7805</v>
      </c>
      <c r="AD2324">
        <v>-1.1232402150659999</v>
      </c>
      <c r="AE2324">
        <v>-56.724499999999999</v>
      </c>
      <c r="AF2324">
        <v>-11.532885980367899</v>
      </c>
      <c r="AG2324">
        <v>-1.1232402150659999</v>
      </c>
      <c r="AH2324">
        <v>56.753147105248701</v>
      </c>
      <c r="AI2324">
        <v>91.1111278024717</v>
      </c>
      <c r="AJ2324">
        <v>101.486744990712</v>
      </c>
      <c r="AK2324">
        <v>57.923991868369299</v>
      </c>
      <c r="AL2324">
        <v>78.130071031732498</v>
      </c>
      <c r="AM2324">
        <v>92.248816047097904</v>
      </c>
      <c r="AN2324">
        <v>1.00000001060196</v>
      </c>
    </row>
    <row r="2325" spans="1:40" x14ac:dyDescent="0.25">
      <c r="A2325" t="str">
        <f>"20190303171022137"</f>
        <v>20190303171022137</v>
      </c>
      <c r="B2325" t="str">
        <f>"1551604222122974"</f>
        <v>1551604222122974</v>
      </c>
      <c r="C2325" t="s">
        <v>40</v>
      </c>
      <c r="D2325">
        <v>5.1162789999999996</v>
      </c>
      <c r="E2325">
        <v>0.44074750000000001</v>
      </c>
      <c r="F2325" t="s">
        <v>42</v>
      </c>
      <c r="G2325">
        <v>-482.94720000000001</v>
      </c>
      <c r="H2325" s="1">
        <v>-3.4600860000000002E-6</v>
      </c>
      <c r="I2325">
        <v>194.3013</v>
      </c>
      <c r="J2325">
        <v>-494.5419</v>
      </c>
      <c r="K2325">
        <v>1.12323</v>
      </c>
      <c r="L2325">
        <v>249.95869999999999</v>
      </c>
      <c r="M2325">
        <v>5.5611979999999998E-3</v>
      </c>
      <c r="N2325">
        <v>-1.3945859999999999E-2</v>
      </c>
      <c r="O2325">
        <v>-0.99988730000000003</v>
      </c>
      <c r="P2325">
        <v>4.2460970000000001E-2</v>
      </c>
      <c r="Q2325">
        <v>0.19252520000000001</v>
      </c>
      <c r="R2325">
        <v>-0.98037300000000005</v>
      </c>
      <c r="S2325">
        <v>0.63214110000000001</v>
      </c>
      <c r="T2325">
        <v>-6.1228039999999997E-2</v>
      </c>
      <c r="U2325">
        <v>-3.0449830000000002</v>
      </c>
      <c r="V2325">
        <v>-3.8028329999999999E-2</v>
      </c>
      <c r="W2325">
        <v>0.20599629999999999</v>
      </c>
      <c r="X2325">
        <v>0.9778135</v>
      </c>
      <c r="Y2325">
        <v>-0.1977689</v>
      </c>
      <c r="Z2325">
        <v>5.7578409999999997E-3</v>
      </c>
      <c r="AA2325">
        <v>0.98023179999999999</v>
      </c>
      <c r="AB2325">
        <v>35</v>
      </c>
      <c r="AC2325">
        <v>11.5946999999999</v>
      </c>
      <c r="AD2325">
        <v>-1.1232334600859999</v>
      </c>
      <c r="AE2325">
        <v>-55.657400000000003</v>
      </c>
      <c r="AF2325">
        <v>-11.280565482326001</v>
      </c>
      <c r="AG2325">
        <v>-1.1232334600859999</v>
      </c>
      <c r="AH2325">
        <v>55.699284152433798</v>
      </c>
      <c r="AI2325">
        <v>91.132289878238296</v>
      </c>
      <c r="AJ2325">
        <v>101.449039380941</v>
      </c>
      <c r="AK2325">
        <v>56.841209224474298</v>
      </c>
      <c r="AL2325">
        <v>78.112171501747696</v>
      </c>
      <c r="AM2325">
        <v>92.227178576395303</v>
      </c>
      <c r="AN2325">
        <v>0.999999935139262</v>
      </c>
    </row>
    <row r="2326" spans="1:40" x14ac:dyDescent="0.25">
      <c r="A2326" t="str">
        <f>"20190303171022155"</f>
        <v>20190303171022155</v>
      </c>
      <c r="B2326" t="str">
        <f>"1551604222142495"</f>
        <v>1551604222142495</v>
      </c>
      <c r="C2326" t="s">
        <v>40</v>
      </c>
      <c r="D2326">
        <v>5.1217889999999997</v>
      </c>
      <c r="E2326">
        <v>0.44079649999999998</v>
      </c>
      <c r="F2326" t="s">
        <v>42</v>
      </c>
      <c r="G2326">
        <v>-482.65379999999999</v>
      </c>
      <c r="H2326" s="1">
        <v>-3.061814E-6</v>
      </c>
      <c r="I2326">
        <v>192.9016</v>
      </c>
      <c r="J2326">
        <v>-494.53879999999998</v>
      </c>
      <c r="K2326">
        <v>1.1232260000000001</v>
      </c>
      <c r="L2326">
        <v>249.68729999999999</v>
      </c>
      <c r="M2326">
        <v>7.2493690000000003E-3</v>
      </c>
      <c r="N2326">
        <v>-1.394164E-2</v>
      </c>
      <c r="O2326">
        <v>-0.99987669999999995</v>
      </c>
      <c r="P2326">
        <v>4.4280590000000002E-2</v>
      </c>
      <c r="Q2326">
        <v>0.19304840000000001</v>
      </c>
      <c r="R2326">
        <v>-0.98018959999999999</v>
      </c>
      <c r="S2326">
        <v>0.63430790000000004</v>
      </c>
      <c r="T2326">
        <v>-5.9931869999999998E-2</v>
      </c>
      <c r="U2326">
        <v>-3.0443730000000002</v>
      </c>
      <c r="V2326">
        <v>-3.818912E-2</v>
      </c>
      <c r="W2326">
        <v>0.20651420000000001</v>
      </c>
      <c r="X2326">
        <v>0.97769799999999996</v>
      </c>
      <c r="Y2326">
        <v>-0.19682279999999999</v>
      </c>
      <c r="Z2326">
        <v>5.3516049999999997E-3</v>
      </c>
      <c r="AA2326">
        <v>0.98042450000000003</v>
      </c>
      <c r="AB2326">
        <v>35</v>
      </c>
      <c r="AC2326">
        <v>11.8849999999999</v>
      </c>
      <c r="AD2326">
        <v>-1.123229061814</v>
      </c>
      <c r="AE2326">
        <v>-56.785699999999899</v>
      </c>
      <c r="AF2326">
        <v>-11.4686883413156</v>
      </c>
      <c r="AG2326">
        <v>-1.123229061814</v>
      </c>
      <c r="AH2326">
        <v>56.849065675547301</v>
      </c>
      <c r="AI2326">
        <v>91.109560087205907</v>
      </c>
      <c r="AJ2326">
        <v>101.40571972818999</v>
      </c>
      <c r="AK2326">
        <v>58.0052473831309</v>
      </c>
      <c r="AL2326">
        <v>78.081846159335001</v>
      </c>
      <c r="AM2326">
        <v>92.236849858407197</v>
      </c>
      <c r="AN2326">
        <v>0.99999995144600595</v>
      </c>
    </row>
    <row r="2327" spans="1:40" x14ac:dyDescent="0.25">
      <c r="A2327" t="str">
        <f>"20190303171022166"</f>
        <v>20190303171022166</v>
      </c>
      <c r="B2327" t="str">
        <f>"1551604222153231"</f>
        <v>1551604222153231</v>
      </c>
      <c r="C2327" t="s">
        <v>40</v>
      </c>
      <c r="D2327">
        <v>5.1084059999999996</v>
      </c>
      <c r="E2327">
        <v>0.44081769999999998</v>
      </c>
      <c r="F2327" t="s">
        <v>42</v>
      </c>
      <c r="G2327">
        <v>-481.82209999999998</v>
      </c>
      <c r="H2327" s="1">
        <v>-5.5346539999999997E-6</v>
      </c>
      <c r="I2327">
        <v>189.15280000000001</v>
      </c>
      <c r="J2327">
        <v>-494.53629999999998</v>
      </c>
      <c r="K2327">
        <v>1.1232169999999999</v>
      </c>
      <c r="L2327">
        <v>249.50200000000001</v>
      </c>
      <c r="M2327">
        <v>8.3895669999999901E-3</v>
      </c>
      <c r="N2327">
        <v>-1.3938819999999999E-2</v>
      </c>
      <c r="O2327">
        <v>-0.99986759999999997</v>
      </c>
      <c r="P2327">
        <v>4.5339949999999997E-2</v>
      </c>
      <c r="Q2327">
        <v>0.1929546</v>
      </c>
      <c r="R2327">
        <v>-0.98015969999999997</v>
      </c>
      <c r="S2327">
        <v>0.63922119999999905</v>
      </c>
      <c r="T2327">
        <v>-5.6460980000000001E-2</v>
      </c>
      <c r="U2327">
        <v>-3.042862</v>
      </c>
      <c r="V2327">
        <v>-3.8123230000000001E-2</v>
      </c>
      <c r="W2327">
        <v>0.20641950000000001</v>
      </c>
      <c r="X2327">
        <v>0.97772060000000005</v>
      </c>
      <c r="Y2327">
        <v>-0.1973212</v>
      </c>
      <c r="Z2327">
        <v>4.2443469999999999E-3</v>
      </c>
      <c r="AA2327">
        <v>0.98032969999999997</v>
      </c>
      <c r="AB2327">
        <v>35</v>
      </c>
      <c r="AC2327">
        <v>12.7142</v>
      </c>
      <c r="AD2327">
        <v>-1.1232225346539999</v>
      </c>
      <c r="AE2327">
        <v>-60.349200000000003</v>
      </c>
      <c r="AF2327">
        <v>-12.203351896567799</v>
      </c>
      <c r="AG2327">
        <v>-1.1232225346539999</v>
      </c>
      <c r="AH2327">
        <v>60.433707662903203</v>
      </c>
      <c r="AI2327">
        <v>91.043716668886503</v>
      </c>
      <c r="AJ2327">
        <v>101.416196333025</v>
      </c>
      <c r="AK2327">
        <v>61.663736898270002</v>
      </c>
      <c r="AL2327">
        <v>78.087391912331199</v>
      </c>
      <c r="AM2327">
        <v>92.232942832769993</v>
      </c>
      <c r="AN2327">
        <v>0.99999998115512101</v>
      </c>
    </row>
    <row r="2328" spans="1:40" x14ac:dyDescent="0.25">
      <c r="A2328" t="str">
        <f>"20190303171022178"</f>
        <v>20190303171022178</v>
      </c>
      <c r="B2328" t="str">
        <f>"1551604222172751"</f>
        <v>1551604222172751</v>
      </c>
      <c r="C2328" t="s">
        <v>40</v>
      </c>
      <c r="D2328">
        <v>5.0735590000000004</v>
      </c>
      <c r="E2328">
        <v>0.44098589999999999</v>
      </c>
      <c r="F2328" t="s">
        <v>42</v>
      </c>
      <c r="G2328">
        <v>-481.73579999999998</v>
      </c>
      <c r="H2328" s="1">
        <v>-5.4409760000000003E-6</v>
      </c>
      <c r="I2328">
        <v>188.89869999999999</v>
      </c>
      <c r="J2328">
        <v>-494.53390000000002</v>
      </c>
      <c r="K2328">
        <v>1.1232089999999999</v>
      </c>
      <c r="L2328">
        <v>249.32749999999999</v>
      </c>
      <c r="M2328">
        <v>9.4583519999999997E-3</v>
      </c>
      <c r="N2328">
        <v>-1.3936179999999999E-2</v>
      </c>
      <c r="O2328">
        <v>-0.99985840000000004</v>
      </c>
      <c r="P2328">
        <v>4.6539329999999997E-2</v>
      </c>
      <c r="Q2328">
        <v>0.19323419999999999</v>
      </c>
      <c r="R2328">
        <v>-0.98004880000000005</v>
      </c>
      <c r="S2328">
        <v>0.6425476</v>
      </c>
      <c r="T2328">
        <v>-5.6382300000000003E-2</v>
      </c>
      <c r="U2328">
        <v>-3.0420989999999999</v>
      </c>
      <c r="V2328">
        <v>-3.8269669999999999E-2</v>
      </c>
      <c r="W2328">
        <v>0.20669609999999999</v>
      </c>
      <c r="X2328">
        <v>0.97765639999999998</v>
      </c>
      <c r="Y2328">
        <v>-0.1973492</v>
      </c>
      <c r="Z2328">
        <v>4.2254040000000003E-3</v>
      </c>
      <c r="AA2328">
        <v>0.98032410000000003</v>
      </c>
      <c r="AB2328">
        <v>35</v>
      </c>
      <c r="AC2328">
        <v>12.7981</v>
      </c>
      <c r="AD2328">
        <v>-1.1232144409759901</v>
      </c>
      <c r="AE2328">
        <v>-60.428800000000003</v>
      </c>
      <c r="AF2328">
        <v>-12.2218738988827</v>
      </c>
      <c r="AG2328">
        <v>-1.1232144409759901</v>
      </c>
      <c r="AH2328">
        <v>60.5271431758528</v>
      </c>
      <c r="AI2328">
        <v>91.042099489112999</v>
      </c>
      <c r="AJ2328">
        <v>101.415882191717</v>
      </c>
      <c r="AK2328">
        <v>61.758974030587602</v>
      </c>
      <c r="AL2328">
        <v>78.071194107564594</v>
      </c>
      <c r="AM2328">
        <v>92.241658385607906</v>
      </c>
      <c r="AN2328">
        <v>0.99999994092903699</v>
      </c>
    </row>
    <row r="2329" spans="1:40" x14ac:dyDescent="0.25">
      <c r="A2329" t="str">
        <f>"20190303171022189"</f>
        <v>20190303171022189</v>
      </c>
      <c r="B2329" t="str">
        <f>"1551604222182510"</f>
        <v>1551604222182510</v>
      </c>
      <c r="C2329" t="s">
        <v>40</v>
      </c>
      <c r="D2329">
        <v>5.1014439999999999</v>
      </c>
      <c r="E2329">
        <v>0.44110510000000003</v>
      </c>
      <c r="F2329" t="s">
        <v>42</v>
      </c>
      <c r="G2329">
        <v>-481.11329999999998</v>
      </c>
      <c r="H2329" s="1">
        <v>-4.5268140000000004E-6</v>
      </c>
      <c r="I2329">
        <v>186.00210000000001</v>
      </c>
      <c r="J2329">
        <v>-494.53109999999998</v>
      </c>
      <c r="K2329">
        <v>1.1231899999999999</v>
      </c>
      <c r="L2329">
        <v>249.14320000000001</v>
      </c>
      <c r="M2329">
        <v>1.056296E-2</v>
      </c>
      <c r="N2329">
        <v>-1.3933340000000001E-2</v>
      </c>
      <c r="O2329">
        <v>-0.99984740000000005</v>
      </c>
      <c r="P2329">
        <v>4.7463659999999998E-2</v>
      </c>
      <c r="Q2329">
        <v>0.19360330000000001</v>
      </c>
      <c r="R2329">
        <v>-0.97993129999999995</v>
      </c>
      <c r="S2329">
        <v>0.64450069999999904</v>
      </c>
      <c r="T2329">
        <v>-5.394065E-2</v>
      </c>
      <c r="U2329">
        <v>-3.0411069999999998</v>
      </c>
      <c r="V2329">
        <v>-3.8103480000000002E-2</v>
      </c>
      <c r="W2329">
        <v>0.2070642</v>
      </c>
      <c r="X2329">
        <v>0.97758509999999998</v>
      </c>
      <c r="Y2329">
        <v>-0.1969351</v>
      </c>
      <c r="Z2329">
        <v>3.4489899999999999E-3</v>
      </c>
      <c r="AA2329">
        <v>0.98041049999999996</v>
      </c>
      <c r="AB2329">
        <v>35</v>
      </c>
      <c r="AC2329">
        <v>13.4178</v>
      </c>
      <c r="AD2329">
        <v>-1.123194526814</v>
      </c>
      <c r="AE2329">
        <v>-63.141100000000002</v>
      </c>
      <c r="AF2329">
        <v>-12.746170720776499</v>
      </c>
      <c r="AG2329">
        <v>-1.123194526814</v>
      </c>
      <c r="AH2329">
        <v>63.260169234066801</v>
      </c>
      <c r="AI2329">
        <v>90.997153533198997</v>
      </c>
      <c r="AJ2329">
        <v>101.391891003029</v>
      </c>
      <c r="AK2329">
        <v>64.541269320575196</v>
      </c>
      <c r="AL2329">
        <v>78.0496384101735</v>
      </c>
      <c r="AM2329">
        <v>92.232096239660905</v>
      </c>
      <c r="AN2329">
        <v>1.00000004292587</v>
      </c>
    </row>
    <row r="2330" spans="1:40" x14ac:dyDescent="0.25">
      <c r="A2330" t="str">
        <f>"20190303171022202"</f>
        <v>20190303171022202</v>
      </c>
      <c r="B2330" t="str">
        <f>"1551604222193246"</f>
        <v>1551604222193246</v>
      </c>
      <c r="C2330" t="s">
        <v>40</v>
      </c>
      <c r="D2330">
        <v>5.0997560000000002</v>
      </c>
      <c r="E2330">
        <v>0.44131579999999898</v>
      </c>
      <c r="F2330" t="s">
        <v>42</v>
      </c>
      <c r="G2330">
        <v>-480.69850000000002</v>
      </c>
      <c r="H2330" s="1">
        <v>-3.9947589999999998E-6</v>
      </c>
      <c r="I2330">
        <v>184.11429999999999</v>
      </c>
      <c r="J2330">
        <v>-494.52809999999999</v>
      </c>
      <c r="K2330">
        <v>1.1231660000000001</v>
      </c>
      <c r="L2330">
        <v>248.95869999999999</v>
      </c>
      <c r="M2330">
        <v>1.1653500000000001E-2</v>
      </c>
      <c r="N2330">
        <v>-1.393047E-2</v>
      </c>
      <c r="O2330">
        <v>-0.99983509999999998</v>
      </c>
      <c r="P2330">
        <v>4.8311140000000002E-2</v>
      </c>
      <c r="Q2330">
        <v>0.19424079999999999</v>
      </c>
      <c r="R2330">
        <v>-0.97976359999999996</v>
      </c>
      <c r="S2330">
        <v>0.64675899999999997</v>
      </c>
      <c r="T2330">
        <v>-5.2516100000000003E-2</v>
      </c>
      <c r="U2330">
        <v>-3.0404969999999998</v>
      </c>
      <c r="V2330">
        <v>-3.78731E-2</v>
      </c>
      <c r="W2330">
        <v>0.2077</v>
      </c>
      <c r="X2330">
        <v>0.97745910000000003</v>
      </c>
      <c r="Y2330">
        <v>-0.19660349999999999</v>
      </c>
      <c r="Z2330">
        <v>2.9972269999999999E-3</v>
      </c>
      <c r="AA2330">
        <v>0.98047850000000003</v>
      </c>
      <c r="AB2330">
        <v>35</v>
      </c>
      <c r="AC2330">
        <v>13.8295999999999</v>
      </c>
      <c r="AD2330">
        <v>-1.1231699947589999</v>
      </c>
      <c r="AE2330">
        <v>-64.844399999999993</v>
      </c>
      <c r="AF2330">
        <v>-13.0691728274884</v>
      </c>
      <c r="AG2330">
        <v>-1.1231699947589999</v>
      </c>
      <c r="AH2330">
        <v>64.982527136619893</v>
      </c>
      <c r="AI2330">
        <v>90.970777410101704</v>
      </c>
      <c r="AJ2330">
        <v>101.37152652477801</v>
      </c>
      <c r="AK2330">
        <v>66.293239642466006</v>
      </c>
      <c r="AL2330">
        <v>78.012399393620399</v>
      </c>
      <c r="AM2330">
        <v>92.218899846441204</v>
      </c>
      <c r="AN2330">
        <v>0.99999997693820897</v>
      </c>
    </row>
    <row r="2331" spans="1:40" x14ac:dyDescent="0.25">
      <c r="A2331" t="str">
        <f>"20190303171022213"</f>
        <v>20190303171022213</v>
      </c>
      <c r="B2331" t="str">
        <f>"1551604222203006"</f>
        <v>1551604222203006</v>
      </c>
      <c r="C2331" t="s">
        <v>40</v>
      </c>
      <c r="D2331">
        <v>5.0645480000000003</v>
      </c>
      <c r="E2331">
        <v>0.44137300000000002</v>
      </c>
      <c r="F2331" t="s">
        <v>42</v>
      </c>
      <c r="G2331">
        <v>-480.0797</v>
      </c>
      <c r="H2331" s="1">
        <v>-3.1379699999999999E-6</v>
      </c>
      <c r="I2331">
        <v>181.11269999999999</v>
      </c>
      <c r="J2331">
        <v>-494.52510000000001</v>
      </c>
      <c r="K2331">
        <v>1.123138</v>
      </c>
      <c r="L2331">
        <v>248.77670000000001</v>
      </c>
      <c r="M2331">
        <v>1.2711190000000001E-2</v>
      </c>
      <c r="N2331">
        <v>-1.39276E-2</v>
      </c>
      <c r="O2331">
        <v>-0.9998224</v>
      </c>
      <c r="P2331">
        <v>4.892283E-2</v>
      </c>
      <c r="Q2331">
        <v>0.19515689999999999</v>
      </c>
      <c r="R2331">
        <v>-0.97955159999999997</v>
      </c>
      <c r="S2331">
        <v>0.64739990000000003</v>
      </c>
      <c r="T2331">
        <v>-5.0326349999999999E-2</v>
      </c>
      <c r="U2331">
        <v>-3.040009</v>
      </c>
      <c r="V2331">
        <v>-3.7440559999999998E-2</v>
      </c>
      <c r="W2331">
        <v>0.208616</v>
      </c>
      <c r="X2331">
        <v>0.9772807</v>
      </c>
      <c r="Y2331">
        <v>-0.19579750000000001</v>
      </c>
      <c r="Z2331">
        <v>2.2998469999999998E-3</v>
      </c>
      <c r="AA2331">
        <v>0.98064169999999995</v>
      </c>
      <c r="AB2331">
        <v>35</v>
      </c>
      <c r="AC2331">
        <v>14.445399999999999</v>
      </c>
      <c r="AD2331">
        <v>-1.12314113797</v>
      </c>
      <c r="AE2331">
        <v>-67.664000000000001</v>
      </c>
      <c r="AF2331">
        <v>-13.580480902422</v>
      </c>
      <c r="AG2331">
        <v>-1.12314113797</v>
      </c>
      <c r="AH2331">
        <v>67.824295945101397</v>
      </c>
      <c r="AI2331">
        <v>90.930245534275599</v>
      </c>
      <c r="AJ2331">
        <v>101.322621065692</v>
      </c>
      <c r="AK2331">
        <v>69.179664844559198</v>
      </c>
      <c r="AL2331">
        <v>77.9587413493756</v>
      </c>
      <c r="AM2331">
        <v>92.193983239663496</v>
      </c>
      <c r="AN2331">
        <v>0.99999999879080104</v>
      </c>
    </row>
    <row r="2332" spans="1:40" x14ac:dyDescent="0.25">
      <c r="A2332" t="str">
        <f>"20190303171022224"</f>
        <v>20190303171022224</v>
      </c>
      <c r="B2332" t="str">
        <f>"1551604222212766"</f>
        <v>1551604222212766</v>
      </c>
      <c r="C2332" t="s">
        <v>40</v>
      </c>
      <c r="D2332">
        <v>5.0771990000000002</v>
      </c>
      <c r="E2332">
        <v>0.44152049999999998</v>
      </c>
      <c r="F2332" t="s">
        <v>42</v>
      </c>
      <c r="G2332">
        <v>-479.94720000000001</v>
      </c>
      <c r="H2332">
        <v>6.054528E-2</v>
      </c>
      <c r="I2332">
        <v>180.55969999999999</v>
      </c>
      <c r="J2332">
        <v>-494.52199999999999</v>
      </c>
      <c r="K2332">
        <v>1.1231089999999999</v>
      </c>
      <c r="L2332">
        <v>248.61189999999999</v>
      </c>
      <c r="M2332">
        <v>1.364078E-2</v>
      </c>
      <c r="N2332">
        <v>-1.392497E-2</v>
      </c>
      <c r="O2332">
        <v>-0.99980999999999998</v>
      </c>
      <c r="P2332">
        <v>4.9645359999999999E-2</v>
      </c>
      <c r="Q2332">
        <v>0.19585559999999999</v>
      </c>
      <c r="R2332">
        <v>-0.97937540000000001</v>
      </c>
      <c r="S2332">
        <v>0.64956669999999905</v>
      </c>
      <c r="T2332">
        <v>-4.7347430000000003E-2</v>
      </c>
      <c r="U2332">
        <v>-3.0396420000000002</v>
      </c>
      <c r="V2332">
        <v>-3.7241030000000001E-2</v>
      </c>
      <c r="W2332">
        <v>0.2093141</v>
      </c>
      <c r="X2332">
        <v>0.97713910000000004</v>
      </c>
      <c r="Y2332">
        <v>-0.19558010000000001</v>
      </c>
      <c r="Z2332">
        <v>1.3453250000000001E-3</v>
      </c>
      <c r="AA2332">
        <v>0.98068679999999997</v>
      </c>
      <c r="AB2332">
        <v>35</v>
      </c>
      <c r="AC2332">
        <v>14.5747999999999</v>
      </c>
      <c r="AD2332">
        <v>-1.06256372</v>
      </c>
      <c r="AE2332">
        <v>-68.052199999999999</v>
      </c>
      <c r="AF2332">
        <v>-13.6418886370748</v>
      </c>
      <c r="AG2332">
        <v>-1.06256372</v>
      </c>
      <c r="AH2332">
        <v>68.228793777113793</v>
      </c>
      <c r="AI2332">
        <v>90.8749117154712</v>
      </c>
      <c r="AJ2332">
        <v>101.30680746998399</v>
      </c>
      <c r="AK2332">
        <v>69.587344162033801</v>
      </c>
      <c r="AL2332">
        <v>77.917840868544303</v>
      </c>
      <c r="AM2332">
        <v>92.182618233517303</v>
      </c>
      <c r="AN2332">
        <v>1.0000000537615299</v>
      </c>
    </row>
    <row r="2333" spans="1:40" x14ac:dyDescent="0.25">
      <c r="A2333" t="str">
        <f>"20190303171022237"</f>
        <v>20190303171022237</v>
      </c>
      <c r="B2333" t="str">
        <f>"1551604222222526"</f>
        <v>1551604222222526</v>
      </c>
      <c r="C2333" t="s">
        <v>40</v>
      </c>
      <c r="D2333">
        <v>5.0979570000000001</v>
      </c>
      <c r="E2333">
        <v>0.44160470000000002</v>
      </c>
      <c r="F2333" t="s">
        <v>42</v>
      </c>
      <c r="G2333">
        <v>-479.5686</v>
      </c>
      <c r="H2333">
        <v>7.9986580000000002E-2</v>
      </c>
      <c r="I2333">
        <v>178.77719999999999</v>
      </c>
      <c r="J2333">
        <v>-494.51850000000002</v>
      </c>
      <c r="K2333">
        <v>1.1230709999999999</v>
      </c>
      <c r="L2333">
        <v>248.4205</v>
      </c>
      <c r="M2333">
        <v>1.470688E-2</v>
      </c>
      <c r="N2333">
        <v>-1.3921950000000001E-2</v>
      </c>
      <c r="O2333">
        <v>-0.99979510000000005</v>
      </c>
      <c r="P2333">
        <v>5.0825200000000001E-2</v>
      </c>
      <c r="Q2333">
        <v>0.1961464</v>
      </c>
      <c r="R2333">
        <v>-0.97925669999999998</v>
      </c>
      <c r="S2333">
        <v>0.65078740000000002</v>
      </c>
      <c r="T2333">
        <v>-4.5397519999999997E-2</v>
      </c>
      <c r="U2333">
        <v>-3.0392610000000002</v>
      </c>
      <c r="V2333">
        <v>-3.73584E-2</v>
      </c>
      <c r="W2333">
        <v>0.2096036</v>
      </c>
      <c r="X2333">
        <v>0.97707250000000001</v>
      </c>
      <c r="Y2333">
        <v>-0.19493730000000001</v>
      </c>
      <c r="Z2333">
        <v>7.2377429999999896E-4</v>
      </c>
      <c r="AA2333">
        <v>0.98081549999999995</v>
      </c>
      <c r="AB2333">
        <v>34</v>
      </c>
      <c r="AC2333">
        <v>14.9499</v>
      </c>
      <c r="AD2333">
        <v>-1.04308442</v>
      </c>
      <c r="AE2333">
        <v>-69.643299999999996</v>
      </c>
      <c r="AF2333">
        <v>-13.920962802721601</v>
      </c>
      <c r="AG2333">
        <v>-1.04308442</v>
      </c>
      <c r="AH2333">
        <v>69.840677180952</v>
      </c>
      <c r="AI2333">
        <v>90.839155118912998</v>
      </c>
      <c r="AJ2333">
        <v>101.272716676789</v>
      </c>
      <c r="AK2333">
        <v>71.222197519846006</v>
      </c>
      <c r="AL2333">
        <v>77.900876724399595</v>
      </c>
      <c r="AM2333">
        <v>92.189639453966393</v>
      </c>
      <c r="AN2333">
        <v>0.99999999471988499</v>
      </c>
    </row>
    <row r="2334" spans="1:40" x14ac:dyDescent="0.25">
      <c r="A2334" t="str">
        <f>"20190303171022250"</f>
        <v>20190303171022250</v>
      </c>
      <c r="B2334" t="str">
        <f>"1551604222243022"</f>
        <v>1551604222243022</v>
      </c>
      <c r="C2334" t="s">
        <v>40</v>
      </c>
      <c r="D2334">
        <v>5.0861559999999999</v>
      </c>
      <c r="E2334">
        <v>0.44181320000000002</v>
      </c>
      <c r="F2334" t="s">
        <v>42</v>
      </c>
      <c r="G2334">
        <v>-479.20339999999999</v>
      </c>
      <c r="H2334">
        <v>7.9986169999999995E-2</v>
      </c>
      <c r="I2334">
        <v>177.2611</v>
      </c>
      <c r="J2334">
        <v>-494.51409999999998</v>
      </c>
      <c r="K2334">
        <v>1.1230150000000001</v>
      </c>
      <c r="L2334">
        <v>248.20490000000001</v>
      </c>
      <c r="M2334">
        <v>1.5855299999999999E-2</v>
      </c>
      <c r="N2334">
        <v>-1.3918410000000001E-2</v>
      </c>
      <c r="O2334">
        <v>-0.99977729999999998</v>
      </c>
      <c r="P2334">
        <v>5.252018E-2</v>
      </c>
      <c r="Q2334">
        <v>0.19617950000000001</v>
      </c>
      <c r="R2334">
        <v>-0.97916049999999999</v>
      </c>
      <c r="S2334">
        <v>0.65396119999999902</v>
      </c>
      <c r="T2334">
        <v>-4.4540049999999998E-2</v>
      </c>
      <c r="U2334">
        <v>-3.0385279999999999</v>
      </c>
      <c r="V2334">
        <v>-3.7904170000000001E-2</v>
      </c>
      <c r="W2334">
        <v>0.2096353</v>
      </c>
      <c r="X2334">
        <v>0.97704469999999999</v>
      </c>
      <c r="Y2334">
        <v>-0.19483890000000001</v>
      </c>
      <c r="Z2334">
        <v>4.5450980000000002E-4</v>
      </c>
      <c r="AA2334">
        <v>0.98083509999999996</v>
      </c>
      <c r="AB2334">
        <v>34</v>
      </c>
      <c r="AC2334">
        <v>15.310699999999899</v>
      </c>
      <c r="AD2334">
        <v>-1.0430288299999999</v>
      </c>
      <c r="AE2334">
        <v>-70.943799999999996</v>
      </c>
      <c r="AF2334">
        <v>-14.1809018404863</v>
      </c>
      <c r="AG2334">
        <v>-1.0430288299999999</v>
      </c>
      <c r="AH2334">
        <v>71.162962076682902</v>
      </c>
      <c r="AI2334">
        <v>90.823529030815195</v>
      </c>
      <c r="AJ2334">
        <v>101.269909695377</v>
      </c>
      <c r="AK2334">
        <v>72.569642810731395</v>
      </c>
      <c r="AL2334">
        <v>77.899019433882202</v>
      </c>
      <c r="AM2334">
        <v>92.221659289551795</v>
      </c>
      <c r="AN2334">
        <v>1.00000001545378</v>
      </c>
    </row>
    <row r="2335" spans="1:40" x14ac:dyDescent="0.25">
      <c r="A2335" t="str">
        <f>"20190303171022269"</f>
        <v>20190303171022269</v>
      </c>
      <c r="B2335" t="str">
        <f>"1551604222262542"</f>
        <v>1551604222262542</v>
      </c>
      <c r="C2335" t="s">
        <v>40</v>
      </c>
      <c r="D2335">
        <v>5.0762299999999998</v>
      </c>
      <c r="E2335">
        <v>0.44201560000000001</v>
      </c>
      <c r="F2335" t="s">
        <v>42</v>
      </c>
      <c r="G2335">
        <v>-479.57729999999998</v>
      </c>
      <c r="H2335">
        <v>7.9986699999999994E-2</v>
      </c>
      <c r="I2335">
        <v>179.1874</v>
      </c>
      <c r="J2335">
        <v>-494.50850000000003</v>
      </c>
      <c r="K2335">
        <v>1.1229530000000001</v>
      </c>
      <c r="L2335">
        <v>247.9391</v>
      </c>
      <c r="M2335">
        <v>1.722972E-2</v>
      </c>
      <c r="N2335">
        <v>-1.391425E-2</v>
      </c>
      <c r="O2335">
        <v>-0.99975499999999995</v>
      </c>
      <c r="P2335">
        <v>5.6086030000000002E-2</v>
      </c>
      <c r="Q2335">
        <v>0.19509660000000001</v>
      </c>
      <c r="R2335">
        <v>-0.97917929999999997</v>
      </c>
      <c r="S2335">
        <v>0.65744019999999903</v>
      </c>
      <c r="T2335">
        <v>-4.5908570000000003E-2</v>
      </c>
      <c r="U2335">
        <v>-3.0377809999999998</v>
      </c>
      <c r="V2335">
        <v>-4.0086070000000001E-2</v>
      </c>
      <c r="W2335">
        <v>0.20854610000000001</v>
      </c>
      <c r="X2335">
        <v>0.97719069999999997</v>
      </c>
      <c r="Y2335">
        <v>-0.1946128</v>
      </c>
      <c r="Z2335">
        <v>9.0330640000000002E-4</v>
      </c>
      <c r="AA2335">
        <v>0.98087970000000002</v>
      </c>
      <c r="AB2335">
        <v>34</v>
      </c>
      <c r="AC2335">
        <v>14.9312</v>
      </c>
      <c r="AD2335">
        <v>-1.0429663</v>
      </c>
      <c r="AE2335">
        <v>-68.7517</v>
      </c>
      <c r="AF2335">
        <v>-13.7412763804502</v>
      </c>
      <c r="AG2335">
        <v>-1.0429663</v>
      </c>
      <c r="AH2335">
        <v>68.983617398024407</v>
      </c>
      <c r="AI2335">
        <v>90.849504050705306</v>
      </c>
      <c r="AJ2335">
        <v>101.265644153965</v>
      </c>
      <c r="AK2335">
        <v>70.346641174855506</v>
      </c>
      <c r="AL2335">
        <v>77.962836610900993</v>
      </c>
      <c r="AM2335">
        <v>92.349055930639906</v>
      </c>
      <c r="AN2335">
        <v>1.0000000164998699</v>
      </c>
    </row>
    <row r="2336" spans="1:40" x14ac:dyDescent="0.25">
      <c r="A2336" t="str">
        <f>"20190303171022284"</f>
        <v>20190303171022284</v>
      </c>
      <c r="B2336" t="str">
        <f>"1551604222273278"</f>
        <v>1551604222273278</v>
      </c>
      <c r="C2336" t="s">
        <v>40</v>
      </c>
      <c r="D2336">
        <v>5.1003720000000001</v>
      </c>
      <c r="E2336">
        <v>0.4420943</v>
      </c>
      <c r="F2336" t="s">
        <v>42</v>
      </c>
      <c r="G2336">
        <v>-479.95780000000002</v>
      </c>
      <c r="H2336">
        <v>9.011504E-3</v>
      </c>
      <c r="I2336">
        <v>181.57810000000001</v>
      </c>
      <c r="J2336">
        <v>-494.50349999999997</v>
      </c>
      <c r="K2336">
        <v>1.1229089999999999</v>
      </c>
      <c r="L2336">
        <v>247.71279999999999</v>
      </c>
      <c r="M2336">
        <v>1.8365320000000001E-2</v>
      </c>
      <c r="N2336">
        <v>-1.391089E-2</v>
      </c>
      <c r="O2336">
        <v>-0.99973489999999998</v>
      </c>
      <c r="P2336">
        <v>5.8068259999999997E-2</v>
      </c>
      <c r="Q2336">
        <v>0.19462989999999999</v>
      </c>
      <c r="R2336">
        <v>-0.97915680000000005</v>
      </c>
      <c r="S2336">
        <v>0.66564939999999995</v>
      </c>
      <c r="T2336">
        <v>-5.0959110000000002E-2</v>
      </c>
      <c r="U2336">
        <v>-3.0357970000000001</v>
      </c>
      <c r="V2336">
        <v>-4.0928949999999999E-2</v>
      </c>
      <c r="W2336">
        <v>0.20807829999999999</v>
      </c>
      <c r="X2336">
        <v>0.97725550000000005</v>
      </c>
      <c r="Y2336">
        <v>-0.19616</v>
      </c>
      <c r="Z2336">
        <v>2.5385189999999999E-3</v>
      </c>
      <c r="AA2336">
        <v>0.98056860000000001</v>
      </c>
      <c r="AB2336">
        <v>34</v>
      </c>
      <c r="AC2336">
        <v>14.545699999999901</v>
      </c>
      <c r="AD2336">
        <v>-1.1138974960000001</v>
      </c>
      <c r="AE2336">
        <v>-66.134699999999896</v>
      </c>
      <c r="AF2336">
        <v>-13.3249386117361</v>
      </c>
      <c r="AG2336">
        <v>-1.1138974960000001</v>
      </c>
      <c r="AH2336">
        <v>66.372746027067905</v>
      </c>
      <c r="AI2336">
        <v>90.942667856368601</v>
      </c>
      <c r="AJ2336">
        <v>101.35175163066</v>
      </c>
      <c r="AK2336">
        <v>67.706249134122004</v>
      </c>
      <c r="AL2336">
        <v>77.990240984501895</v>
      </c>
      <c r="AM2336">
        <v>92.398233022440607</v>
      </c>
      <c r="AN2336">
        <v>1.0000000350796201</v>
      </c>
    </row>
    <row r="2337" spans="1:40" x14ac:dyDescent="0.25">
      <c r="A2337" t="str">
        <f>"20190303171022301"</f>
        <v>20190303171022301</v>
      </c>
      <c r="B2337" t="str">
        <f>"1551604222292798"</f>
        <v>1551604222292798</v>
      </c>
      <c r="C2337" t="s">
        <v>40</v>
      </c>
      <c r="D2337">
        <v>5.0582849999999997</v>
      </c>
      <c r="E2337">
        <v>0.44226680000000002</v>
      </c>
      <c r="F2337" t="s">
        <v>42</v>
      </c>
      <c r="G2337">
        <v>-480.29079999999999</v>
      </c>
      <c r="H2337" s="1">
        <v>-3.8276249999999996E-6</v>
      </c>
      <c r="I2337">
        <v>183.30430000000001</v>
      </c>
      <c r="J2337">
        <v>-494.49689999999998</v>
      </c>
      <c r="K2337">
        <v>1.1228560000000001</v>
      </c>
      <c r="L2337">
        <v>247.43020000000001</v>
      </c>
      <c r="M2337">
        <v>1.9743610000000002E-2</v>
      </c>
      <c r="N2337">
        <v>-1.3906959999999999E-2</v>
      </c>
      <c r="O2337">
        <v>-0.99970870000000001</v>
      </c>
      <c r="P2337">
        <v>6.0375169999999999E-2</v>
      </c>
      <c r="Q2337">
        <v>0.19473579999999999</v>
      </c>
      <c r="R2337">
        <v>-0.97899599999999998</v>
      </c>
      <c r="S2337">
        <v>0.6696472</v>
      </c>
      <c r="T2337">
        <v>-5.290711E-2</v>
      </c>
      <c r="U2337">
        <v>-3.0346679999999999</v>
      </c>
      <c r="V2337">
        <v>-4.1861379999999997E-2</v>
      </c>
      <c r="W2337">
        <v>0.2081809</v>
      </c>
      <c r="X2337">
        <v>0.97719409999999896</v>
      </c>
      <c r="Y2337">
        <v>-0.1961154</v>
      </c>
      <c r="Z2337">
        <v>3.1755479999999998E-3</v>
      </c>
      <c r="AA2337">
        <v>0.98057570000000005</v>
      </c>
      <c r="AB2337">
        <v>34</v>
      </c>
      <c r="AC2337">
        <v>14.2060999999999</v>
      </c>
      <c r="AD2337">
        <v>-1.1228598276249999</v>
      </c>
      <c r="AE2337">
        <v>-64.125900000000001</v>
      </c>
      <c r="AF2337">
        <v>-12.933351623881601</v>
      </c>
      <c r="AG2337">
        <v>-1.1228598276249999</v>
      </c>
      <c r="AH2337">
        <v>64.375090061702707</v>
      </c>
      <c r="AI2337">
        <v>90.979705373696902</v>
      </c>
      <c r="AJ2337">
        <v>101.359845571888</v>
      </c>
      <c r="AK2337">
        <v>65.671033331841201</v>
      </c>
      <c r="AL2337">
        <v>77.984230220166907</v>
      </c>
      <c r="AM2337">
        <v>92.452956728157702</v>
      </c>
      <c r="AN2337">
        <v>0.99999998566756099</v>
      </c>
    </row>
    <row r="2338" spans="1:40" x14ac:dyDescent="0.25">
      <c r="A2338" t="str">
        <f>"20190303171022323"</f>
        <v>20190303171022323</v>
      </c>
      <c r="B2338" t="str">
        <f>"1551604222313294"</f>
        <v>1551604222313294</v>
      </c>
      <c r="C2338" t="s">
        <v>40</v>
      </c>
      <c r="D2338">
        <v>5.052702</v>
      </c>
      <c r="E2338">
        <v>0.44238070000000002</v>
      </c>
      <c r="F2338" t="s">
        <v>42</v>
      </c>
      <c r="G2338">
        <v>-480.24680000000001</v>
      </c>
      <c r="H2338" s="1">
        <v>-3.9087969999999999E-6</v>
      </c>
      <c r="I2338">
        <v>183.5085</v>
      </c>
      <c r="J2338">
        <v>-494.4889</v>
      </c>
      <c r="K2338">
        <v>1.1228039999999999</v>
      </c>
      <c r="L2338">
        <v>247.1035</v>
      </c>
      <c r="M2338">
        <v>2.129342E-2</v>
      </c>
      <c r="N2338">
        <v>-1.390283E-2</v>
      </c>
      <c r="O2338">
        <v>-0.99967669999999997</v>
      </c>
      <c r="P2338">
        <v>6.2197639999999998E-2</v>
      </c>
      <c r="Q2338">
        <v>0.19464509999999999</v>
      </c>
      <c r="R2338">
        <v>-0.97889990000000004</v>
      </c>
      <c r="S2338">
        <v>0.67620849999999999</v>
      </c>
      <c r="T2338">
        <v>-5.3282860000000001E-2</v>
      </c>
      <c r="U2338">
        <v>-3.033264</v>
      </c>
      <c r="V2338">
        <v>-4.2142730000000003E-2</v>
      </c>
      <c r="W2338">
        <v>0.20808989999999999</v>
      </c>
      <c r="X2338">
        <v>0.9772014</v>
      </c>
      <c r="Y2338">
        <v>-0.1967119</v>
      </c>
      <c r="Z2338">
        <v>3.3053409999999998E-3</v>
      </c>
      <c r="AA2338">
        <v>0.98045579999999999</v>
      </c>
      <c r="AB2338">
        <v>34</v>
      </c>
      <c r="AC2338">
        <v>14.242099999999899</v>
      </c>
      <c r="AD2338">
        <v>-1.122807908797</v>
      </c>
      <c r="AE2338">
        <v>-63.594999999999999</v>
      </c>
      <c r="AF2338">
        <v>-12.880761024273299</v>
      </c>
      <c r="AG2338">
        <v>-1.122807908797</v>
      </c>
      <c r="AH2338">
        <v>63.864913370732602</v>
      </c>
      <c r="AI2338">
        <v>90.987335184499202</v>
      </c>
      <c r="AJ2338">
        <v>101.402875582549</v>
      </c>
      <c r="AK2338">
        <v>65.160585187793302</v>
      </c>
      <c r="AL2338">
        <v>77.989561005448195</v>
      </c>
      <c r="AM2338">
        <v>92.469404265423705</v>
      </c>
      <c r="AN2338">
        <v>0.99999999616791102</v>
      </c>
    </row>
    <row r="2339" spans="1:40" x14ac:dyDescent="0.25">
      <c r="A2339" t="str">
        <f>"20190303171022334"</f>
        <v>20190303171022334</v>
      </c>
      <c r="B2339" t="str">
        <f>"1551604222323054"</f>
        <v>1551604222323054</v>
      </c>
      <c r="C2339" t="s">
        <v>40</v>
      </c>
      <c r="D2339">
        <v>5.0517629999999896</v>
      </c>
      <c r="E2339">
        <v>0.44249850000000002</v>
      </c>
      <c r="F2339" t="s">
        <v>42</v>
      </c>
      <c r="G2339">
        <v>-480.25290000000001</v>
      </c>
      <c r="H2339" s="1">
        <v>-3.9935789999999901E-6</v>
      </c>
      <c r="I2339">
        <v>183.76240000000001</v>
      </c>
      <c r="J2339">
        <v>-494.48390000000001</v>
      </c>
      <c r="K2339">
        <v>1.122781</v>
      </c>
      <c r="L2339">
        <v>246.91040000000001</v>
      </c>
      <c r="M2339">
        <v>2.2195389999999999E-2</v>
      </c>
      <c r="N2339">
        <v>-1.3900539999999999E-2</v>
      </c>
      <c r="O2339">
        <v>-0.99965689999999996</v>
      </c>
      <c r="P2339">
        <v>6.3518320000000003E-2</v>
      </c>
      <c r="Q2339">
        <v>0.1943047</v>
      </c>
      <c r="R2339">
        <v>-0.97888269999999999</v>
      </c>
      <c r="S2339">
        <v>0.68145749999999905</v>
      </c>
      <c r="T2339">
        <v>-5.3747419999999997E-2</v>
      </c>
      <c r="U2339">
        <v>-3.0320589999999998</v>
      </c>
      <c r="V2339">
        <v>-4.2566649999999998E-2</v>
      </c>
      <c r="W2339">
        <v>0.20774809999999999</v>
      </c>
      <c r="X2339">
        <v>0.97725580000000001</v>
      </c>
      <c r="Y2339">
        <v>-0.1975258</v>
      </c>
      <c r="Z2339">
        <v>3.4605360000000002E-3</v>
      </c>
      <c r="AA2339">
        <v>0.98029160000000004</v>
      </c>
      <c r="AB2339">
        <v>34</v>
      </c>
      <c r="AC2339">
        <v>14.2309999999999</v>
      </c>
      <c r="AD2339">
        <v>-1.122784993579</v>
      </c>
      <c r="AE2339">
        <v>-63.148000000000003</v>
      </c>
      <c r="AF2339">
        <v>-12.8219059152428</v>
      </c>
      <c r="AG2339">
        <v>-1.122784993579</v>
      </c>
      <c r="AH2339">
        <v>63.429250655997997</v>
      </c>
      <c r="AI2339">
        <v>90.994006844854795</v>
      </c>
      <c r="AJ2339">
        <v>101.428056161749</v>
      </c>
      <c r="AK2339">
        <v>64.721957295979294</v>
      </c>
      <c r="AL2339">
        <v>78.009582848942998</v>
      </c>
      <c r="AM2339">
        <v>92.494074488650398</v>
      </c>
      <c r="AN2339">
        <v>1.00000004568973</v>
      </c>
    </row>
    <row r="2340" spans="1:40" x14ac:dyDescent="0.25">
      <c r="A2340" t="str">
        <f>"20190303171022347"</f>
        <v>20190303171022347</v>
      </c>
      <c r="B2340" t="str">
        <f>"1551604222342574"</f>
        <v>1551604222342574</v>
      </c>
      <c r="C2340" t="s">
        <v>40</v>
      </c>
      <c r="D2340">
        <v>5.0845379999999896</v>
      </c>
      <c r="E2340">
        <v>0.44238660000000002</v>
      </c>
      <c r="F2340" t="s">
        <v>42</v>
      </c>
      <c r="G2340">
        <v>-480.6216</v>
      </c>
      <c r="H2340" s="1">
        <v>-4.4887900000000003E-6</v>
      </c>
      <c r="I2340">
        <v>185.5059</v>
      </c>
      <c r="J2340">
        <v>-494.47919999999999</v>
      </c>
      <c r="K2340">
        <v>1.1227720000000001</v>
      </c>
      <c r="L2340">
        <v>246.7346</v>
      </c>
      <c r="M2340">
        <v>2.3007550000000002E-2</v>
      </c>
      <c r="N2340">
        <v>-1.3898550000000001E-2</v>
      </c>
      <c r="O2340">
        <v>-0.99963869999999999</v>
      </c>
      <c r="P2340">
        <v>6.512366E-2</v>
      </c>
      <c r="Q2340">
        <v>0.1933378</v>
      </c>
      <c r="R2340">
        <v>-0.97896850000000002</v>
      </c>
      <c r="S2340">
        <v>0.6843262</v>
      </c>
      <c r="T2340">
        <v>-5.542743E-2</v>
      </c>
      <c r="U2340">
        <v>-3.0312960000000002</v>
      </c>
      <c r="V2340">
        <v>-4.3362320000000003E-2</v>
      </c>
      <c r="W2340">
        <v>0.20678009999999999</v>
      </c>
      <c r="X2340">
        <v>0.97742609999999996</v>
      </c>
      <c r="Y2340">
        <v>-0.1976638</v>
      </c>
      <c r="Z2340">
        <v>4.0072149999999997E-3</v>
      </c>
      <c r="AA2340">
        <v>0.98026170000000001</v>
      </c>
      <c r="AB2340">
        <v>34</v>
      </c>
      <c r="AC2340">
        <v>13.8575999999999</v>
      </c>
      <c r="AD2340">
        <v>-1.12277648878999</v>
      </c>
      <c r="AE2340">
        <v>-61.228700000000003</v>
      </c>
      <c r="AF2340">
        <v>-12.4410930328378</v>
      </c>
      <c r="AG2340">
        <v>-1.12277648878999</v>
      </c>
      <c r="AH2340">
        <v>61.511673207025702</v>
      </c>
      <c r="AI2340">
        <v>91.024957886153004</v>
      </c>
      <c r="AJ2340">
        <v>101.43415546125701</v>
      </c>
      <c r="AK2340">
        <v>62.767247539010597</v>
      </c>
      <c r="AL2340">
        <v>78.066276199603806</v>
      </c>
      <c r="AM2340">
        <v>92.540191949159606</v>
      </c>
      <c r="AN2340">
        <v>1.0000000407565</v>
      </c>
    </row>
    <row r="2341" spans="1:40" x14ac:dyDescent="0.25">
      <c r="A2341" t="str">
        <f>"20190303171022359"</f>
        <v>20190303171022359</v>
      </c>
      <c r="B2341" t="str">
        <f>"1551604222353310"</f>
        <v>1551604222353310</v>
      </c>
      <c r="C2341" t="s">
        <v>40</v>
      </c>
      <c r="D2341">
        <v>5.0217369999999999</v>
      </c>
      <c r="E2341">
        <v>0.41323860000000001</v>
      </c>
      <c r="F2341" t="s">
        <v>42</v>
      </c>
      <c r="G2341">
        <v>-481.44409999999999</v>
      </c>
      <c r="H2341" s="1">
        <v>-5.7004840000000003E-6</v>
      </c>
      <c r="I2341">
        <v>189.38300000000001</v>
      </c>
      <c r="J2341">
        <v>-494.4742</v>
      </c>
      <c r="K2341">
        <v>1.1227609999999999</v>
      </c>
      <c r="L2341">
        <v>246.55179999999999</v>
      </c>
      <c r="M2341">
        <v>2.384994E-2</v>
      </c>
      <c r="N2341">
        <v>-1.3896540000000001E-2</v>
      </c>
      <c r="O2341">
        <v>-0.99961920000000004</v>
      </c>
      <c r="P2341">
        <v>6.6967570000000004E-2</v>
      </c>
      <c r="Q2341">
        <v>0.19261039999999999</v>
      </c>
      <c r="R2341">
        <v>-0.97898770000000002</v>
      </c>
      <c r="S2341">
        <v>0.68875120000000001</v>
      </c>
      <c r="T2341">
        <v>-5.9325459999999997E-2</v>
      </c>
      <c r="U2341">
        <v>-3.0303499999999999</v>
      </c>
      <c r="V2341">
        <v>-4.4369939999999997E-2</v>
      </c>
      <c r="W2341">
        <v>0.20604990000000001</v>
      </c>
      <c r="X2341">
        <v>0.97753500000000004</v>
      </c>
      <c r="Y2341">
        <v>-0.19826189999999999</v>
      </c>
      <c r="Z2341">
        <v>5.2682739999999999E-3</v>
      </c>
      <c r="AA2341">
        <v>0.98013490000000003</v>
      </c>
      <c r="AB2341">
        <v>34</v>
      </c>
      <c r="AC2341">
        <v>13.030099999999999</v>
      </c>
      <c r="AD2341">
        <v>-1.1227667004840001</v>
      </c>
      <c r="AE2341">
        <v>-57.168799999999997</v>
      </c>
      <c r="AF2341">
        <v>-11.658514337770701</v>
      </c>
      <c r="AG2341">
        <v>-1.1227667004840001</v>
      </c>
      <c r="AH2341">
        <v>57.442270313157302</v>
      </c>
      <c r="AI2341">
        <v>91.097392109989997</v>
      </c>
      <c r="AJ2341">
        <v>101.472941710653</v>
      </c>
      <c r="AK2341">
        <v>58.624192790669298</v>
      </c>
      <c r="AL2341">
        <v>78.109033475240807</v>
      </c>
      <c r="AM2341">
        <v>92.598849779148395</v>
      </c>
      <c r="AN2341">
        <v>0.99999996454530604</v>
      </c>
    </row>
    <row r="2342" spans="1:40" x14ac:dyDescent="0.25">
      <c r="A2342" t="str">
        <f>"20190303171022369"</f>
        <v>20190303171022369</v>
      </c>
      <c r="B2342" t="str">
        <f>"1551604222363070"</f>
        <v>1551604222363070</v>
      </c>
      <c r="C2342" t="s">
        <v>40</v>
      </c>
      <c r="D2342">
        <v>5.0105380000000004</v>
      </c>
      <c r="E2342">
        <v>0.40801900000000002</v>
      </c>
      <c r="F2342" t="s">
        <v>67</v>
      </c>
      <c r="G2342">
        <v>-473.52499999999998</v>
      </c>
      <c r="H2342">
        <v>0.40535650000000001</v>
      </c>
      <c r="I2342">
        <v>178.39580000000001</v>
      </c>
      <c r="J2342">
        <v>-494.4692</v>
      </c>
      <c r="K2342">
        <v>1.1227480000000001</v>
      </c>
      <c r="L2342">
        <v>246.37430000000001</v>
      </c>
      <c r="M2342">
        <v>2.4665090000000001E-2</v>
      </c>
      <c r="N2342">
        <v>-1.389466E-2</v>
      </c>
      <c r="O2342">
        <v>-0.99959929999999997</v>
      </c>
      <c r="P2342">
        <v>6.8472179999999994E-2</v>
      </c>
      <c r="Q2342">
        <v>0.19252069999999999</v>
      </c>
      <c r="R2342">
        <v>-0.97890129999999997</v>
      </c>
      <c r="S2342">
        <v>0.92437740000000002</v>
      </c>
      <c r="T2342">
        <v>-3.1655309999999999E-2</v>
      </c>
      <c r="U2342">
        <v>-3.0073699999999999</v>
      </c>
      <c r="V2342">
        <v>-4.5070489999999998E-2</v>
      </c>
      <c r="W2342">
        <v>0.20595659999999999</v>
      </c>
      <c r="X2342">
        <v>0.97752269999999997</v>
      </c>
      <c r="Y2342">
        <v>-0.27009080000000002</v>
      </c>
      <c r="Z2342">
        <v>-3.7515140000000001E-3</v>
      </c>
      <c r="AA2342">
        <v>0.96282760000000001</v>
      </c>
      <c r="AB2342">
        <v>34</v>
      </c>
      <c r="AC2342">
        <v>20.944199999999999</v>
      </c>
      <c r="AD2342">
        <v>-0.71739149999999896</v>
      </c>
      <c r="AE2342">
        <v>-67.978499999999997</v>
      </c>
      <c r="AF2342">
        <v>-19.259010457952598</v>
      </c>
      <c r="AG2342">
        <v>-0.71739149999999896</v>
      </c>
      <c r="AH2342">
        <v>68.467491176203694</v>
      </c>
      <c r="AI2342">
        <v>90.577888931381594</v>
      </c>
      <c r="AJ2342">
        <v>105.71059868535799</v>
      </c>
      <c r="AK2342">
        <v>71.128204548880106</v>
      </c>
      <c r="AL2342">
        <v>78.114497368520006</v>
      </c>
      <c r="AM2342">
        <v>92.639858184427496</v>
      </c>
      <c r="AN2342">
        <v>1.0000000495838399</v>
      </c>
    </row>
    <row r="2343" spans="1:40" x14ac:dyDescent="0.25">
      <c r="A2343" t="str">
        <f>"20190303171022381"</f>
        <v>20190303171022381</v>
      </c>
      <c r="B2343" t="str">
        <f>"1551604222372831"</f>
        <v>1551604222372831</v>
      </c>
      <c r="C2343" t="s">
        <v>40</v>
      </c>
      <c r="D2343">
        <v>5.0283610000000003</v>
      </c>
      <c r="E2343">
        <v>0.40496890000000002</v>
      </c>
      <c r="F2343" t="s">
        <v>67</v>
      </c>
      <c r="G2343">
        <v>-473.36869999999999</v>
      </c>
      <c r="H2343">
        <v>0.59413309999999997</v>
      </c>
      <c r="I2343">
        <v>180.99870000000001</v>
      </c>
      <c r="J2343">
        <v>-494.46409999999997</v>
      </c>
      <c r="K2343">
        <v>1.122741</v>
      </c>
      <c r="L2343">
        <v>246.1986</v>
      </c>
      <c r="M2343">
        <v>2.5471669999999998E-2</v>
      </c>
      <c r="N2343">
        <v>-1.389284E-2</v>
      </c>
      <c r="O2343">
        <v>-0.999579</v>
      </c>
      <c r="P2343">
        <v>6.9555859999999997E-2</v>
      </c>
      <c r="Q2343">
        <v>0.1927527</v>
      </c>
      <c r="R2343">
        <v>-0.97877899999999995</v>
      </c>
      <c r="S2343">
        <v>0.96881099999999998</v>
      </c>
      <c r="T2343">
        <v>-2.427089E-2</v>
      </c>
      <c r="U2343">
        <v>-3.0016630000000002</v>
      </c>
      <c r="V2343">
        <v>-4.5361899999999997E-2</v>
      </c>
      <c r="W2343">
        <v>0.2061857</v>
      </c>
      <c r="X2343">
        <v>0.97746089999999997</v>
      </c>
      <c r="Y2343">
        <v>-0.28276620000000002</v>
      </c>
      <c r="Z2343">
        <v>-6.1169939999999997E-3</v>
      </c>
      <c r="AA2343">
        <v>0.95916939999999995</v>
      </c>
      <c r="AB2343">
        <v>34</v>
      </c>
      <c r="AC2343">
        <v>21.095399999999898</v>
      </c>
      <c r="AD2343">
        <v>-0.52860790000000002</v>
      </c>
      <c r="AE2343">
        <v>-65.1998999999999</v>
      </c>
      <c r="AF2343">
        <v>-19.426487596241401</v>
      </c>
      <c r="AG2343">
        <v>-0.52860790000000002</v>
      </c>
      <c r="AH2343">
        <v>65.712218331866694</v>
      </c>
      <c r="AI2343">
        <v>90.441984950404205</v>
      </c>
      <c r="AJ2343">
        <v>106.469247650398</v>
      </c>
      <c r="AK2343">
        <v>68.525641074956695</v>
      </c>
      <c r="AL2343">
        <v>78.101082732214294</v>
      </c>
      <c r="AM2343">
        <v>92.657069945101497</v>
      </c>
      <c r="AN2343">
        <v>1.0000000279424499</v>
      </c>
    </row>
    <row r="2344" spans="1:40" x14ac:dyDescent="0.25">
      <c r="A2344" t="str">
        <f>"20190303171022393"</f>
        <v>20190303171022393</v>
      </c>
      <c r="B2344" t="str">
        <f>"1551604222382591"</f>
        <v>1551604222382591</v>
      </c>
      <c r="C2344" t="s">
        <v>40</v>
      </c>
      <c r="D2344">
        <v>5.0132029999999999</v>
      </c>
      <c r="E2344">
        <v>0.40299180000000001</v>
      </c>
      <c r="F2344" t="s">
        <v>67</v>
      </c>
      <c r="G2344">
        <v>-472.80619999999999</v>
      </c>
      <c r="H2344">
        <v>0.77981420000000001</v>
      </c>
      <c r="I2344">
        <v>180.99870000000001</v>
      </c>
      <c r="J2344">
        <v>-494.4588</v>
      </c>
      <c r="K2344">
        <v>1.1227339999999999</v>
      </c>
      <c r="L2344">
        <v>246.0224</v>
      </c>
      <c r="M2344">
        <v>2.6280649999999999E-2</v>
      </c>
      <c r="N2344">
        <v>-1.389105E-2</v>
      </c>
      <c r="O2344">
        <v>-0.9995581</v>
      </c>
      <c r="P2344">
        <v>7.0180580000000006E-2</v>
      </c>
      <c r="Q2344">
        <v>0.19320039999999999</v>
      </c>
      <c r="R2344">
        <v>-0.97864629999999997</v>
      </c>
      <c r="S2344">
        <v>0.99566650000000001</v>
      </c>
      <c r="T2344">
        <v>-1.5765189999999998E-2</v>
      </c>
      <c r="U2344">
        <v>-2.9974059999999998</v>
      </c>
      <c r="V2344">
        <v>-4.5193949999999997E-2</v>
      </c>
      <c r="W2344">
        <v>0.2066327</v>
      </c>
      <c r="X2344">
        <v>0.97737430000000003</v>
      </c>
      <c r="Y2344">
        <v>-0.290137799999999</v>
      </c>
      <c r="Z2344">
        <v>-8.8232669999999992E-3</v>
      </c>
      <c r="AA2344">
        <v>0.95694420000000002</v>
      </c>
      <c r="AB2344">
        <v>34</v>
      </c>
      <c r="AC2344">
        <v>21.6526</v>
      </c>
      <c r="AD2344">
        <v>-0.3429198</v>
      </c>
      <c r="AE2344">
        <v>-65.023699999999906</v>
      </c>
      <c r="AF2344">
        <v>-19.935590747991998</v>
      </c>
      <c r="AG2344">
        <v>-0.3429198</v>
      </c>
      <c r="AH2344">
        <v>65.568694442029297</v>
      </c>
      <c r="AI2344">
        <v>90.286692291588594</v>
      </c>
      <c r="AJ2344">
        <v>106.911437636683</v>
      </c>
      <c r="AK2344">
        <v>68.533196797558404</v>
      </c>
      <c r="AL2344">
        <v>78.074908058406905</v>
      </c>
      <c r="AM2344">
        <v>92.647480531592606</v>
      </c>
      <c r="AN2344">
        <v>1.00000004406319</v>
      </c>
    </row>
    <row r="2345" spans="1:40" x14ac:dyDescent="0.25">
      <c r="A2345" t="str">
        <f>"20190303171022404"</f>
        <v>20190303171022404</v>
      </c>
      <c r="B2345" t="str">
        <f>"1551604222393327"</f>
        <v>1551604222393327</v>
      </c>
      <c r="C2345" t="s">
        <v>40</v>
      </c>
      <c r="D2345">
        <v>4.9881349999999998</v>
      </c>
      <c r="E2345">
        <v>0.40162249999999999</v>
      </c>
      <c r="F2345" t="s">
        <v>67</v>
      </c>
      <c r="G2345">
        <v>-472.32459999999998</v>
      </c>
      <c r="H2345">
        <v>0.88597380000000003</v>
      </c>
      <c r="I2345">
        <v>180.59030000000001</v>
      </c>
      <c r="J2345">
        <v>-494.45370000000003</v>
      </c>
      <c r="K2345">
        <v>1.1227290000000001</v>
      </c>
      <c r="L2345">
        <v>245.85980000000001</v>
      </c>
      <c r="M2345">
        <v>2.7029330000000001E-2</v>
      </c>
      <c r="N2345">
        <v>-1.3889459999999999E-2</v>
      </c>
      <c r="O2345">
        <v>-0.99953820000000004</v>
      </c>
      <c r="P2345">
        <v>7.0772009999999996E-2</v>
      </c>
      <c r="Q2345">
        <v>0.19370780000000001</v>
      </c>
      <c r="R2345">
        <v>-0.97850349999999997</v>
      </c>
      <c r="S2345">
        <v>1.013123</v>
      </c>
      <c r="T2345">
        <v>-1.083696E-2</v>
      </c>
      <c r="U2345">
        <v>-2.9949490000000001</v>
      </c>
      <c r="V2345">
        <v>-4.5053419999999997E-2</v>
      </c>
      <c r="W2345">
        <v>0.20713790000000001</v>
      </c>
      <c r="X2345">
        <v>0.97727379999999997</v>
      </c>
      <c r="Y2345">
        <v>-0.29466389999999998</v>
      </c>
      <c r="Z2345">
        <v>-1.03877E-2</v>
      </c>
      <c r="AA2345">
        <v>0.95554450000000002</v>
      </c>
      <c r="AB2345">
        <v>34</v>
      </c>
      <c r="AC2345">
        <v>22.129100000000001</v>
      </c>
      <c r="AD2345">
        <v>-0.236755199999999</v>
      </c>
      <c r="AE2345">
        <v>-65.269499999999994</v>
      </c>
      <c r="AF2345">
        <v>-20.3564121955453</v>
      </c>
      <c r="AG2345">
        <v>-0.236755199999999</v>
      </c>
      <c r="AH2345">
        <v>65.843063989459296</v>
      </c>
      <c r="AI2345">
        <v>90.196828371498796</v>
      </c>
      <c r="AJ2345">
        <v>107.179811251112</v>
      </c>
      <c r="AK2345">
        <v>68.918420222896103</v>
      </c>
      <c r="AL2345">
        <v>78.045321614504701</v>
      </c>
      <c r="AM2345">
        <v>92.639530913722496</v>
      </c>
      <c r="AN2345">
        <v>1.0000000002182701</v>
      </c>
    </row>
    <row r="2346" spans="1:40" x14ac:dyDescent="0.25">
      <c r="A2346" t="str">
        <f>"20190303171022415"</f>
        <v>20190303171022415</v>
      </c>
      <c r="B2346" t="str">
        <f>"1551604222403086"</f>
        <v>1551604222403086</v>
      </c>
      <c r="C2346" t="s">
        <v>40</v>
      </c>
      <c r="D2346">
        <v>4.9848379999999999</v>
      </c>
      <c r="E2346">
        <v>0.4007385</v>
      </c>
      <c r="F2346" t="s">
        <v>67</v>
      </c>
      <c r="G2346">
        <v>-472.08440000000002</v>
      </c>
      <c r="H2346">
        <v>1.0272289999999999</v>
      </c>
      <c r="I2346">
        <v>180.59030000000001</v>
      </c>
      <c r="J2346">
        <v>-494.44810000000001</v>
      </c>
      <c r="K2346">
        <v>1.122725</v>
      </c>
      <c r="L2346">
        <v>245.68</v>
      </c>
      <c r="M2346">
        <v>2.7858500000000001E-2</v>
      </c>
      <c r="N2346">
        <v>-1.3887719999999999E-2</v>
      </c>
      <c r="O2346">
        <v>-0.9995155</v>
      </c>
      <c r="P2346">
        <v>7.1198579999999997E-2</v>
      </c>
      <c r="Q2346">
        <v>0.19396179999999999</v>
      </c>
      <c r="R2346">
        <v>-0.97842209999999996</v>
      </c>
      <c r="S2346">
        <v>1.0256350000000001</v>
      </c>
      <c r="T2346">
        <v>-4.3786759999999997E-3</v>
      </c>
      <c r="U2346">
        <v>-2.9926149999999998</v>
      </c>
      <c r="V2346">
        <v>-4.466556E-2</v>
      </c>
      <c r="W2346">
        <v>0.2073921</v>
      </c>
      <c r="X2346">
        <v>0.97723769999999999</v>
      </c>
      <c r="Y2346">
        <v>-0.29767199999999999</v>
      </c>
      <c r="Z2346">
        <v>-1.2434010000000001E-2</v>
      </c>
      <c r="AA2346">
        <v>0.95458719999999997</v>
      </c>
      <c r="AB2346">
        <v>34</v>
      </c>
      <c r="AC2346">
        <v>22.363699999999898</v>
      </c>
      <c r="AD2346">
        <v>-9.5495999999999803E-2</v>
      </c>
      <c r="AE2346">
        <v>-65.089699999999993</v>
      </c>
      <c r="AF2346">
        <v>-20.5415027895469</v>
      </c>
      <c r="AG2346">
        <v>-9.5495999999999803E-2</v>
      </c>
      <c r="AH2346">
        <v>65.687384999006198</v>
      </c>
      <c r="AI2346">
        <v>90.079499730715</v>
      </c>
      <c r="AJ2346">
        <v>107.36530393982299</v>
      </c>
      <c r="AK2346">
        <v>68.824377980092507</v>
      </c>
      <c r="AL2346">
        <v>78.030433839360299</v>
      </c>
      <c r="AM2346">
        <v>92.616935736624001</v>
      </c>
      <c r="AN2346">
        <v>1.0000000088469001</v>
      </c>
    </row>
    <row r="2347" spans="1:40" x14ac:dyDescent="0.25">
      <c r="A2347" t="str">
        <f>"20190303171022433"</f>
        <v>20190303171022433</v>
      </c>
      <c r="B2347" t="str">
        <f>"1551604222423113"</f>
        <v>1551604222423113</v>
      </c>
      <c r="C2347" t="s">
        <v>40</v>
      </c>
      <c r="D2347">
        <v>4.9856740000000004</v>
      </c>
      <c r="E2347">
        <v>0.39999610000000002</v>
      </c>
      <c r="F2347" t="s">
        <v>67</v>
      </c>
      <c r="G2347">
        <v>-471.9393</v>
      </c>
      <c r="H2347">
        <v>1.0688759999999999</v>
      </c>
      <c r="I2347">
        <v>180.59030000000001</v>
      </c>
      <c r="J2347">
        <v>-494.4391</v>
      </c>
      <c r="K2347">
        <v>1.1227199999999999</v>
      </c>
      <c r="L2347">
        <v>245.40629999999999</v>
      </c>
      <c r="M2347">
        <v>2.9124270000000001E-2</v>
      </c>
      <c r="N2347">
        <v>-1.3885130000000001E-2</v>
      </c>
      <c r="O2347">
        <v>-0.99947940000000002</v>
      </c>
      <c r="P2347">
        <v>7.3212120000000006E-2</v>
      </c>
      <c r="Q2347">
        <v>0.19321949999999999</v>
      </c>
      <c r="R2347">
        <v>-0.97842050000000003</v>
      </c>
      <c r="S2347">
        <v>1.034454</v>
      </c>
      <c r="T2347">
        <v>-2.4747850000000002E-3</v>
      </c>
      <c r="U2347">
        <v>-2.9913789999999998</v>
      </c>
      <c r="V2347">
        <v>-4.5429160000000003E-2</v>
      </c>
      <c r="W2347">
        <v>0.20664759999999999</v>
      </c>
      <c r="X2347">
        <v>0.97736020000000001</v>
      </c>
      <c r="Y2347">
        <v>-0.29909829999999998</v>
      </c>
      <c r="Z2347">
        <v>-1.303233E-2</v>
      </c>
      <c r="AA2347">
        <v>0.95413329999999996</v>
      </c>
      <c r="AB2347">
        <v>34</v>
      </c>
      <c r="AC2347">
        <v>22.4998</v>
      </c>
      <c r="AD2347">
        <v>-5.3844000000000197E-2</v>
      </c>
      <c r="AE2347">
        <v>-64.815999999999903</v>
      </c>
      <c r="AF2347">
        <v>-20.602340424045401</v>
      </c>
      <c r="AG2347">
        <v>-5.3844000000000197E-2</v>
      </c>
      <c r="AH2347">
        <v>65.443812746083296</v>
      </c>
      <c r="AI2347">
        <v>90.044964695554796</v>
      </c>
      <c r="AJ2347">
        <v>107.47450234015</v>
      </c>
      <c r="AK2347">
        <v>68.610144708118895</v>
      </c>
      <c r="AL2347">
        <v>78.074034984345502</v>
      </c>
      <c r="AM2347">
        <v>92.661277812083696</v>
      </c>
      <c r="AN2347">
        <v>0.99999999985405197</v>
      </c>
    </row>
    <row r="2348" spans="1:40" x14ac:dyDescent="0.25">
      <c r="A2348" t="str">
        <f>"20190303171022445"</f>
        <v>20190303171022445</v>
      </c>
      <c r="B2348" t="str">
        <f>"1551604222432873"</f>
        <v>1551604222432873</v>
      </c>
      <c r="C2348" t="s">
        <v>40</v>
      </c>
      <c r="D2348">
        <v>5.0106619999999999</v>
      </c>
      <c r="E2348">
        <v>0.39984259999999999</v>
      </c>
      <c r="F2348" t="s">
        <v>70</v>
      </c>
      <c r="G2348">
        <v>-473.85019999999997</v>
      </c>
      <c r="H2348">
        <v>0.97525170000000005</v>
      </c>
      <c r="I2348">
        <v>186.54920000000001</v>
      </c>
      <c r="J2348">
        <v>-494.43340000000001</v>
      </c>
      <c r="K2348">
        <v>1.1227100000000001</v>
      </c>
      <c r="L2348">
        <v>245.23490000000001</v>
      </c>
      <c r="M2348">
        <v>2.991972E-2</v>
      </c>
      <c r="N2348">
        <v>-1.3883589999999999E-2</v>
      </c>
      <c r="O2348">
        <v>-0.99945589999999995</v>
      </c>
      <c r="P2348">
        <v>7.4686550000000004E-2</v>
      </c>
      <c r="Q2348">
        <v>0.19264990000000001</v>
      </c>
      <c r="R2348">
        <v>-0.97842130000000005</v>
      </c>
      <c r="S2348">
        <v>1.0457459999999901</v>
      </c>
      <c r="T2348">
        <v>-7.4882509999999996E-3</v>
      </c>
      <c r="U2348">
        <v>-2.9894259999999999</v>
      </c>
      <c r="V2348">
        <v>-4.6118050000000001E-2</v>
      </c>
      <c r="W2348">
        <v>0.20607610000000001</v>
      </c>
      <c r="X2348">
        <v>0.9774486</v>
      </c>
      <c r="Y2348">
        <v>-0.30174790000000001</v>
      </c>
      <c r="Z2348">
        <v>-1.1439039999999999E-2</v>
      </c>
      <c r="AA2348">
        <v>0.95331909999999997</v>
      </c>
      <c r="AB2348">
        <v>34</v>
      </c>
      <c r="AC2348">
        <v>20.583200000000001</v>
      </c>
      <c r="AD2348">
        <v>-0.14745829999999999</v>
      </c>
      <c r="AE2348">
        <v>-58.685699999999997</v>
      </c>
      <c r="AF2348">
        <v>-18.817848507542301</v>
      </c>
      <c r="AG2348">
        <v>-0.14745829999999999</v>
      </c>
      <c r="AH2348">
        <v>59.274991326388502</v>
      </c>
      <c r="AI2348">
        <v>90.135852690304304</v>
      </c>
      <c r="AJ2348">
        <v>107.612921134763</v>
      </c>
      <c r="AK2348">
        <v>62.190495762186103</v>
      </c>
      <c r="AL2348">
        <v>78.107499825402897</v>
      </c>
      <c r="AM2348">
        <v>92.701330249657303</v>
      </c>
      <c r="AN2348">
        <v>0.99999999958448604</v>
      </c>
    </row>
    <row r="2349" spans="1:40" x14ac:dyDescent="0.25">
      <c r="A2349" t="str">
        <f>"20190303171022459"</f>
        <v>20190303171022459</v>
      </c>
      <c r="B2349" t="str">
        <f>"1551604222453369"</f>
        <v>1551604222453369</v>
      </c>
      <c r="C2349" t="s">
        <v>40</v>
      </c>
      <c r="D2349">
        <v>5.0451829999999998</v>
      </c>
      <c r="E2349">
        <v>0.39933980000000002</v>
      </c>
      <c r="F2349" t="s">
        <v>70</v>
      </c>
      <c r="G2349">
        <v>-473.85019999999997</v>
      </c>
      <c r="H2349">
        <v>0.88670210000000005</v>
      </c>
      <c r="I2349">
        <v>186.6583</v>
      </c>
      <c r="J2349">
        <v>-494.42610000000002</v>
      </c>
      <c r="K2349">
        <v>1.1227020000000001</v>
      </c>
      <c r="L2349">
        <v>245.02379999999999</v>
      </c>
      <c r="M2349">
        <v>3.0899679999999999E-2</v>
      </c>
      <c r="N2349">
        <v>-1.388172E-2</v>
      </c>
      <c r="O2349">
        <v>-0.99942609999999998</v>
      </c>
      <c r="P2349">
        <v>7.6569559999999995E-2</v>
      </c>
      <c r="Q2349">
        <v>0.19220380000000001</v>
      </c>
      <c r="R2349">
        <v>-0.97836339999999999</v>
      </c>
      <c r="S2349">
        <v>1.050079</v>
      </c>
      <c r="T2349">
        <v>-1.203835E-2</v>
      </c>
      <c r="U2349">
        <v>-2.9883419999999998</v>
      </c>
      <c r="V2349">
        <v>-4.703562E-2</v>
      </c>
      <c r="W2349">
        <v>0.20562620000000001</v>
      </c>
      <c r="X2349">
        <v>0.97749960000000002</v>
      </c>
      <c r="Y2349">
        <v>-0.30215409999999998</v>
      </c>
      <c r="Z2349">
        <v>-9.9919850000000001E-3</v>
      </c>
      <c r="AA2349">
        <v>0.95320669999999996</v>
      </c>
      <c r="AB2349">
        <v>34</v>
      </c>
      <c r="AC2349">
        <v>20.575900000000001</v>
      </c>
      <c r="AD2349">
        <v>-0.23599990000000001</v>
      </c>
      <c r="AE2349">
        <v>-58.365499999999997</v>
      </c>
      <c r="AF2349">
        <v>-18.762151034004201</v>
      </c>
      <c r="AG2349">
        <v>-0.23599990000000001</v>
      </c>
      <c r="AH2349">
        <v>58.972616951950002</v>
      </c>
      <c r="AI2349">
        <v>90.218496752723496</v>
      </c>
      <c r="AJ2349">
        <v>107.64848018038801</v>
      </c>
      <c r="AK2349">
        <v>61.885729837637101</v>
      </c>
      <c r="AL2349">
        <v>78.133841059022203</v>
      </c>
      <c r="AM2349">
        <v>92.7548507099267</v>
      </c>
      <c r="AN2349">
        <v>0.99999997583769096</v>
      </c>
    </row>
    <row r="2350" spans="1:40" x14ac:dyDescent="0.25">
      <c r="A2350" t="str">
        <f>"20190303171022472"</f>
        <v>20190303171022472</v>
      </c>
      <c r="B2350" t="str">
        <f>"1551604222463128"</f>
        <v>1551604222463128</v>
      </c>
      <c r="C2350" t="s">
        <v>40</v>
      </c>
      <c r="D2350">
        <v>5.0178859999999998</v>
      </c>
      <c r="E2350">
        <v>0.39910240000000002</v>
      </c>
      <c r="F2350" t="s">
        <v>70</v>
      </c>
      <c r="G2350">
        <v>-473.85019999999997</v>
      </c>
      <c r="H2350">
        <v>0.87088080000000001</v>
      </c>
      <c r="I2350">
        <v>187.01609999999999</v>
      </c>
      <c r="J2350">
        <v>-494.41860000000003</v>
      </c>
      <c r="K2350">
        <v>1.1226940000000001</v>
      </c>
      <c r="L2350">
        <v>244.81309999999999</v>
      </c>
      <c r="M2350">
        <v>3.1879020000000001E-2</v>
      </c>
      <c r="N2350">
        <v>-1.3879870000000001E-2</v>
      </c>
      <c r="O2350">
        <v>-0.99939549999999999</v>
      </c>
      <c r="P2350">
        <v>7.7943709999999999E-2</v>
      </c>
      <c r="Q2350">
        <v>0.19199669999999999</v>
      </c>
      <c r="R2350">
        <v>-0.97829580000000005</v>
      </c>
      <c r="S2350">
        <v>1.0591740000000001</v>
      </c>
      <c r="T2350">
        <v>-1.2960910000000001E-2</v>
      </c>
      <c r="U2350">
        <v>-2.986008</v>
      </c>
      <c r="V2350">
        <v>-4.7447000000000003E-2</v>
      </c>
      <c r="W2350">
        <v>0.20541670000000001</v>
      </c>
      <c r="X2350">
        <v>0.97752380000000005</v>
      </c>
      <c r="Y2350">
        <v>-0.30403370000000002</v>
      </c>
      <c r="Z2350">
        <v>-9.6951139999999995E-3</v>
      </c>
      <c r="AA2350">
        <v>0.95261189999999996</v>
      </c>
      <c r="AB2350">
        <v>34</v>
      </c>
      <c r="AC2350">
        <v>20.5684</v>
      </c>
      <c r="AD2350">
        <v>-0.25181320000000001</v>
      </c>
      <c r="AE2350">
        <v>-57.796999999999997</v>
      </c>
      <c r="AF2350">
        <v>-18.714939510916501</v>
      </c>
      <c r="AG2350">
        <v>-0.25181320000000001</v>
      </c>
      <c r="AH2350">
        <v>58.422397332635498</v>
      </c>
      <c r="AI2350">
        <v>90.235183595357995</v>
      </c>
      <c r="AJ2350">
        <v>107.762259767912</v>
      </c>
      <c r="AK2350">
        <v>61.347280957490703</v>
      </c>
      <c r="AL2350">
        <v>78.146106756142899</v>
      </c>
      <c r="AM2350">
        <v>92.778838720561296</v>
      </c>
      <c r="AN2350">
        <v>1.0000000090071599</v>
      </c>
    </row>
    <row r="2351" spans="1:40" x14ac:dyDescent="0.25">
      <c r="A2351" t="str">
        <f>"20190303171022492"</f>
        <v>20190303171022492</v>
      </c>
      <c r="B2351" t="str">
        <f>"1551604222482649"</f>
        <v>1551604222482649</v>
      </c>
      <c r="C2351" t="s">
        <v>40</v>
      </c>
      <c r="D2351">
        <v>5.0470059999999997</v>
      </c>
      <c r="E2351">
        <v>0.39882889999999999</v>
      </c>
      <c r="F2351" t="s">
        <v>70</v>
      </c>
      <c r="G2351">
        <v>-473.85019999999997</v>
      </c>
      <c r="H2351">
        <v>0.86513759999999995</v>
      </c>
      <c r="I2351">
        <v>187.1183</v>
      </c>
      <c r="J2351">
        <v>-494.40780000000001</v>
      </c>
      <c r="K2351">
        <v>1.122687</v>
      </c>
      <c r="L2351">
        <v>244.51779999999999</v>
      </c>
      <c r="M2351">
        <v>3.3253060000000001E-2</v>
      </c>
      <c r="N2351">
        <v>-1.38774E-2</v>
      </c>
      <c r="O2351">
        <v>-0.99935059999999998</v>
      </c>
      <c r="P2351">
        <v>7.9181020000000005E-2</v>
      </c>
      <c r="Q2351">
        <v>0.1919854</v>
      </c>
      <c r="R2351">
        <v>-0.97819829999999997</v>
      </c>
      <c r="S2351">
        <v>1.063965</v>
      </c>
      <c r="T2351">
        <v>-1.332092E-2</v>
      </c>
      <c r="U2351">
        <v>-2.9844210000000002</v>
      </c>
      <c r="V2351">
        <v>-4.7335729999999999E-2</v>
      </c>
      <c r="W2351">
        <v>0.20540410000000001</v>
      </c>
      <c r="X2351">
        <v>0.97753190000000001</v>
      </c>
      <c r="Y2351">
        <v>-0.30424119999999999</v>
      </c>
      <c r="Z2351">
        <v>-9.5742989999999997E-3</v>
      </c>
      <c r="AA2351">
        <v>0.95254689999999997</v>
      </c>
      <c r="AB2351">
        <v>34</v>
      </c>
      <c r="AC2351">
        <v>20.557600000000001</v>
      </c>
      <c r="AD2351">
        <v>-0.25754939999999898</v>
      </c>
      <c r="AE2351">
        <v>-57.399499999999897</v>
      </c>
      <c r="AF2351">
        <v>-18.637003295322899</v>
      </c>
      <c r="AG2351">
        <v>-0.25754939999999898</v>
      </c>
      <c r="AH2351">
        <v>58.050382999115698</v>
      </c>
      <c r="AI2351">
        <v>90.2420324025762</v>
      </c>
      <c r="AJ2351">
        <v>107.799162766732</v>
      </c>
      <c r="AK2351">
        <v>60.969264304789903</v>
      </c>
      <c r="AL2351">
        <v>78.146845093037001</v>
      </c>
      <c r="AM2351">
        <v>92.772309188889594</v>
      </c>
      <c r="AN2351">
        <v>1.00000006557452</v>
      </c>
    </row>
    <row r="2352" spans="1:40" x14ac:dyDescent="0.25">
      <c r="A2352" t="str">
        <f>"20190303171022512"</f>
        <v>20190303171022512</v>
      </c>
      <c r="B2352" t="str">
        <f>"1551604222503148"</f>
        <v>1551604222503148</v>
      </c>
      <c r="C2352" t="s">
        <v>40</v>
      </c>
      <c r="D2352">
        <v>5.0393109999999997</v>
      </c>
      <c r="E2352">
        <v>0.39864949999999999</v>
      </c>
      <c r="F2352" t="s">
        <v>70</v>
      </c>
      <c r="G2352">
        <v>-473.85019999999997</v>
      </c>
      <c r="H2352">
        <v>0.86441250000000003</v>
      </c>
      <c r="I2352">
        <v>187.22190000000001</v>
      </c>
      <c r="J2352">
        <v>-494.39589999999998</v>
      </c>
      <c r="K2352">
        <v>1.122687</v>
      </c>
      <c r="L2352">
        <v>244.20400000000001</v>
      </c>
      <c r="M2352">
        <v>3.4712710000000001E-2</v>
      </c>
      <c r="N2352">
        <v>-1.387479E-2</v>
      </c>
      <c r="O2352">
        <v>-0.99930129999999995</v>
      </c>
      <c r="P2352">
        <v>8.0059249999999998E-2</v>
      </c>
      <c r="Q2352">
        <v>0.19178339999999999</v>
      </c>
      <c r="R2352">
        <v>-0.9781668</v>
      </c>
      <c r="S2352">
        <v>1.0702510000000001</v>
      </c>
      <c r="T2352">
        <v>-1.3444070000000001E-2</v>
      </c>
      <c r="U2352">
        <v>-2.9828640000000002</v>
      </c>
      <c r="V2352">
        <v>-4.6779790000000002E-2</v>
      </c>
      <c r="W2352">
        <v>0.205203</v>
      </c>
      <c r="X2352">
        <v>0.97760080000000005</v>
      </c>
      <c r="Y2352">
        <v>-0.30478680000000002</v>
      </c>
      <c r="Z2352">
        <v>-9.5287459999999994E-3</v>
      </c>
      <c r="AA2352">
        <v>0.95237289999999997</v>
      </c>
      <c r="AB2352">
        <v>34</v>
      </c>
      <c r="AC2352">
        <v>20.5457</v>
      </c>
      <c r="AD2352">
        <v>-0.25827450000000002</v>
      </c>
      <c r="AE2352">
        <v>-56.982100000000003</v>
      </c>
      <c r="AF2352">
        <v>-18.5547850887971</v>
      </c>
      <c r="AG2352">
        <v>-0.25827450000000002</v>
      </c>
      <c r="AH2352">
        <v>57.659969228330198</v>
      </c>
      <c r="AI2352">
        <v>90.244303961268002</v>
      </c>
      <c r="AJ2352">
        <v>107.838001509156</v>
      </c>
      <c r="AK2352">
        <v>60.572426126256303</v>
      </c>
      <c r="AL2352">
        <v>78.158616933771</v>
      </c>
      <c r="AM2352">
        <v>92.739606582808506</v>
      </c>
      <c r="AN2352">
        <v>0.99999997206104096</v>
      </c>
    </row>
    <row r="2353" spans="1:40" x14ac:dyDescent="0.25">
      <c r="A2353" t="str">
        <f>"20190303171022524"</f>
        <v>20190303171022524</v>
      </c>
      <c r="B2353" t="str">
        <f>"1551604222512904"</f>
        <v>1551604222512904</v>
      </c>
      <c r="C2353" t="s">
        <v>40</v>
      </c>
      <c r="D2353">
        <v>5.0370970000000002</v>
      </c>
      <c r="E2353">
        <v>0.39851710000000001</v>
      </c>
      <c r="F2353" t="s">
        <v>70</v>
      </c>
      <c r="G2353">
        <v>-473.85019999999997</v>
      </c>
      <c r="H2353">
        <v>0.82429839999999999</v>
      </c>
      <c r="I2353">
        <v>187.12719999999999</v>
      </c>
      <c r="J2353">
        <v>-494.38889999999998</v>
      </c>
      <c r="K2353">
        <v>1.122684</v>
      </c>
      <c r="L2353">
        <v>244.02520000000001</v>
      </c>
      <c r="M2353">
        <v>3.5544859999999998E-2</v>
      </c>
      <c r="N2353">
        <v>-1.387334E-2</v>
      </c>
      <c r="O2353">
        <v>-0.99927189999999999</v>
      </c>
      <c r="P2353">
        <v>8.1277260000000004E-2</v>
      </c>
      <c r="Q2353">
        <v>0.1914199</v>
      </c>
      <c r="R2353">
        <v>-0.97813749999999999</v>
      </c>
      <c r="S2353">
        <v>1.0734859999999999</v>
      </c>
      <c r="T2353">
        <v>-1.5588400000000001E-2</v>
      </c>
      <c r="U2353">
        <v>-2.9821620000000002</v>
      </c>
      <c r="V2353">
        <v>-4.7179239999999997E-2</v>
      </c>
      <c r="W2353">
        <v>0.20483750000000001</v>
      </c>
      <c r="X2353">
        <v>0.97765829999999998</v>
      </c>
      <c r="Y2353">
        <v>-0.30498049999999999</v>
      </c>
      <c r="Z2353">
        <v>-8.8453460000000005E-3</v>
      </c>
      <c r="AA2353">
        <v>0.95231750000000004</v>
      </c>
      <c r="AB2353">
        <v>34</v>
      </c>
      <c r="AC2353">
        <v>20.538699999999999</v>
      </c>
      <c r="AD2353">
        <v>-0.29838559999999997</v>
      </c>
      <c r="AE2353">
        <v>-56.898000000000003</v>
      </c>
      <c r="AF2353">
        <v>-18.5026426691526</v>
      </c>
      <c r="AG2353">
        <v>-0.29838559999999997</v>
      </c>
      <c r="AH2353">
        <v>57.590752335021897</v>
      </c>
      <c r="AI2353">
        <v>90.282626734724801</v>
      </c>
      <c r="AJ2353">
        <v>107.811070168586</v>
      </c>
      <c r="AK2353">
        <v>60.490756105560997</v>
      </c>
      <c r="AL2353">
        <v>78.180013580603401</v>
      </c>
      <c r="AM2353">
        <v>92.762801583793106</v>
      </c>
      <c r="AN2353">
        <v>1.0000000168260501</v>
      </c>
    </row>
    <row r="2354" spans="1:40" x14ac:dyDescent="0.25">
      <c r="A2354" t="str">
        <f>"20190303171022537"</f>
        <v>20190303171022537</v>
      </c>
      <c r="B2354" t="str">
        <f>"1551604222533401"</f>
        <v>1551604222533401</v>
      </c>
      <c r="C2354" t="s">
        <v>40</v>
      </c>
      <c r="D2354">
        <v>5.0441229999999999</v>
      </c>
      <c r="E2354">
        <v>0.3984453</v>
      </c>
      <c r="F2354" t="s">
        <v>70</v>
      </c>
      <c r="G2354">
        <v>-473.85019999999997</v>
      </c>
      <c r="H2354">
        <v>0.78333189999999997</v>
      </c>
      <c r="I2354">
        <v>187.2167</v>
      </c>
      <c r="J2354">
        <v>-494.38130000000001</v>
      </c>
      <c r="K2354">
        <v>1.1226830000000001</v>
      </c>
      <c r="L2354">
        <v>243.83260000000001</v>
      </c>
      <c r="M2354">
        <v>3.6440720000000003E-2</v>
      </c>
      <c r="N2354">
        <v>-1.387182E-2</v>
      </c>
      <c r="O2354">
        <v>-0.99923969999999995</v>
      </c>
      <c r="P2354">
        <v>8.2442470000000004E-2</v>
      </c>
      <c r="Q2354">
        <v>0.1909015</v>
      </c>
      <c r="R2354">
        <v>-0.97814129999999999</v>
      </c>
      <c r="S2354">
        <v>1.0777589999999999</v>
      </c>
      <c r="T2354">
        <v>-1.7805339999999999E-2</v>
      </c>
      <c r="U2354">
        <v>-2.980972</v>
      </c>
      <c r="V2354">
        <v>-4.7461419999999997E-2</v>
      </c>
      <c r="W2354">
        <v>0.204318</v>
      </c>
      <c r="X2354">
        <v>0.97775330000000005</v>
      </c>
      <c r="Y2354">
        <v>-0.30545609999999901</v>
      </c>
      <c r="Z2354">
        <v>-8.1383800000000006E-3</v>
      </c>
      <c r="AA2354">
        <v>0.9521714</v>
      </c>
      <c r="AB2354">
        <v>34</v>
      </c>
      <c r="AC2354">
        <v>20.531099999999999</v>
      </c>
      <c r="AD2354">
        <v>-0.33935110000000002</v>
      </c>
      <c r="AE2354">
        <v>-56.615900000000003</v>
      </c>
      <c r="AF2354">
        <v>-18.453552683810202</v>
      </c>
      <c r="AG2354">
        <v>-0.33935110000000002</v>
      </c>
      <c r="AH2354">
        <v>57.324709209874499</v>
      </c>
      <c r="AI2354">
        <v>90.322859910276605</v>
      </c>
      <c r="AJ2354">
        <v>107.84402710423799</v>
      </c>
      <c r="AK2354">
        <v>60.222678882792202</v>
      </c>
      <c r="AL2354">
        <v>78.210421346365493</v>
      </c>
      <c r="AM2354">
        <v>92.779030506493598</v>
      </c>
      <c r="AN2354">
        <v>0.99999997358665305</v>
      </c>
    </row>
    <row r="2355" spans="1:40" x14ac:dyDescent="0.25">
      <c r="A2355" t="str">
        <f>"20190303171022549"</f>
        <v>20190303171022549</v>
      </c>
      <c r="B2355" t="str">
        <f>"1551604222543161"</f>
        <v>1551604222543161</v>
      </c>
      <c r="C2355" t="s">
        <v>40</v>
      </c>
      <c r="D2355">
        <v>5.0440709999999997</v>
      </c>
      <c r="E2355">
        <v>0.3983932</v>
      </c>
      <c r="F2355" t="s">
        <v>70</v>
      </c>
      <c r="G2355">
        <v>-473.85019999999997</v>
      </c>
      <c r="H2355">
        <v>0.71702909999999997</v>
      </c>
      <c r="I2355">
        <v>187.21</v>
      </c>
      <c r="J2355">
        <v>-494.37380000000002</v>
      </c>
      <c r="K2355">
        <v>1.122682</v>
      </c>
      <c r="L2355">
        <v>243.65219999999999</v>
      </c>
      <c r="M2355">
        <v>3.7280199999999999E-2</v>
      </c>
      <c r="N2355">
        <v>-1.387039E-2</v>
      </c>
      <c r="O2355">
        <v>-0.99920889999999996</v>
      </c>
      <c r="P2355">
        <v>8.407096E-2</v>
      </c>
      <c r="Q2355">
        <v>0.19043170000000001</v>
      </c>
      <c r="R2355">
        <v>-0.97809420000000002</v>
      </c>
      <c r="S2355">
        <v>1.080597</v>
      </c>
      <c r="T2355">
        <v>-2.134848E-2</v>
      </c>
      <c r="U2355">
        <v>-2.9801639999999998</v>
      </c>
      <c r="V2355">
        <v>-4.8263970000000003E-2</v>
      </c>
      <c r="W2355">
        <v>0.2038451</v>
      </c>
      <c r="X2355">
        <v>0.97781269999999998</v>
      </c>
      <c r="Y2355">
        <v>-0.3055409</v>
      </c>
      <c r="Z2355">
        <v>-7.0111050000000001E-3</v>
      </c>
      <c r="AA2355">
        <v>0.95215309999999997</v>
      </c>
      <c r="AB2355">
        <v>34</v>
      </c>
      <c r="AC2355">
        <v>20.523599999999998</v>
      </c>
      <c r="AD2355">
        <v>-0.40565289999999998</v>
      </c>
      <c r="AE2355">
        <v>-56.4421999999999</v>
      </c>
      <c r="AF2355">
        <v>-18.404112410289901</v>
      </c>
      <c r="AG2355">
        <v>-0.40565289999999998</v>
      </c>
      <c r="AH2355">
        <v>57.165546075928901</v>
      </c>
      <c r="AI2355">
        <v>90.387008907031799</v>
      </c>
      <c r="AJ2355">
        <v>107.84565848642799</v>
      </c>
      <c r="AK2355">
        <v>60.056436508046502</v>
      </c>
      <c r="AL2355">
        <v>78.238098818514501</v>
      </c>
      <c r="AM2355">
        <v>92.825775654467193</v>
      </c>
      <c r="AN2355">
        <v>0.99999995593772895</v>
      </c>
    </row>
    <row r="2356" spans="1:40" x14ac:dyDescent="0.25">
      <c r="A2356" t="str">
        <f>"20190303171022560"</f>
        <v>20190303171022560</v>
      </c>
      <c r="B2356" t="str">
        <f>"1551604222552921"</f>
        <v>1551604222552921</v>
      </c>
      <c r="C2356" t="s">
        <v>40</v>
      </c>
      <c r="D2356">
        <v>5.040826</v>
      </c>
      <c r="E2356">
        <v>0.39827299999999999</v>
      </c>
      <c r="F2356" t="s">
        <v>70</v>
      </c>
      <c r="G2356">
        <v>-473.85019999999997</v>
      </c>
      <c r="H2356">
        <v>0.66020679999999998</v>
      </c>
      <c r="I2356">
        <v>187.31489999999999</v>
      </c>
      <c r="J2356">
        <v>-494.36689999999999</v>
      </c>
      <c r="K2356">
        <v>1.1226780000000001</v>
      </c>
      <c r="L2356">
        <v>243.4862</v>
      </c>
      <c r="M2356">
        <v>3.8052929999999999E-2</v>
      </c>
      <c r="N2356">
        <v>-1.3869100000000001E-2</v>
      </c>
      <c r="O2356">
        <v>-0.9991795</v>
      </c>
      <c r="P2356">
        <v>8.5293240000000006E-2</v>
      </c>
      <c r="Q2356">
        <v>0.19000120000000001</v>
      </c>
      <c r="R2356">
        <v>-0.97807180000000005</v>
      </c>
      <c r="S2356">
        <v>1.0851440000000001</v>
      </c>
      <c r="T2356">
        <v>-2.4450300000000001E-2</v>
      </c>
      <c r="U2356">
        <v>-2.9786990000000002</v>
      </c>
      <c r="V2356">
        <v>-4.8725850000000001E-2</v>
      </c>
      <c r="W2356">
        <v>0.20341290000000001</v>
      </c>
      <c r="X2356">
        <v>0.97787990000000002</v>
      </c>
      <c r="Y2356">
        <v>-0.30623850000000002</v>
      </c>
      <c r="Z2356">
        <v>-6.0237099999999998E-3</v>
      </c>
      <c r="AA2356">
        <v>0.9519358</v>
      </c>
      <c r="AB2356">
        <v>34</v>
      </c>
      <c r="AC2356">
        <v>20.5167</v>
      </c>
      <c r="AD2356">
        <v>-0.46247120000000003</v>
      </c>
      <c r="AE2356">
        <v>-56.171300000000002</v>
      </c>
      <c r="AF2356">
        <v>-18.363051067346198</v>
      </c>
      <c r="AG2356">
        <v>-0.46247120000000003</v>
      </c>
      <c r="AH2356">
        <v>56.908000819111102</v>
      </c>
      <c r="AI2356">
        <v>90.443115335677405</v>
      </c>
      <c r="AJ2356">
        <v>107.883831884362</v>
      </c>
      <c r="AK2356">
        <v>59.799131108576702</v>
      </c>
      <c r="AL2356">
        <v>78.263393205229505</v>
      </c>
      <c r="AM2356">
        <v>92.852577785918996</v>
      </c>
      <c r="AN2356">
        <v>1.00000005758431</v>
      </c>
    </row>
    <row r="2357" spans="1:40" x14ac:dyDescent="0.25">
      <c r="A2357" t="str">
        <f>"20190303171022572"</f>
        <v>20190303171022572</v>
      </c>
      <c r="B2357" t="str">
        <f>"1551604222562681"</f>
        <v>1551604222562681</v>
      </c>
      <c r="C2357" t="s">
        <v>40</v>
      </c>
      <c r="D2357">
        <v>5.075043</v>
      </c>
      <c r="E2357">
        <v>0.39822619999999997</v>
      </c>
      <c r="F2357" t="s">
        <v>70</v>
      </c>
      <c r="G2357">
        <v>-473.84589999999997</v>
      </c>
      <c r="H2357">
        <v>0.61483120000000002</v>
      </c>
      <c r="I2357">
        <v>187.39830000000001</v>
      </c>
      <c r="J2357">
        <v>-494.35890000000001</v>
      </c>
      <c r="K2357">
        <v>1.1226739999999999</v>
      </c>
      <c r="L2357">
        <v>243.29820000000001</v>
      </c>
      <c r="M2357">
        <v>3.8927799999999999E-2</v>
      </c>
      <c r="N2357">
        <v>-1.386769E-2</v>
      </c>
      <c r="O2357">
        <v>-0.99914590000000003</v>
      </c>
      <c r="P2357">
        <v>8.6398169999999996E-2</v>
      </c>
      <c r="Q2357">
        <v>0.1899827</v>
      </c>
      <c r="R2357">
        <v>-0.97797849999999997</v>
      </c>
      <c r="S2357">
        <v>1.089386</v>
      </c>
      <c r="T2357">
        <v>-2.695763E-2</v>
      </c>
      <c r="U2357">
        <v>-2.9774780000000001</v>
      </c>
      <c r="V2357">
        <v>-4.8974129999999998E-2</v>
      </c>
      <c r="W2357">
        <v>0.2033923</v>
      </c>
      <c r="X2357">
        <v>0.97787170000000001</v>
      </c>
      <c r="Y2357">
        <v>-0.30672700000000003</v>
      </c>
      <c r="Z2357">
        <v>-5.2246599999999999E-3</v>
      </c>
      <c r="AA2357">
        <v>0.95178320000000005</v>
      </c>
      <c r="AB2357">
        <v>34</v>
      </c>
      <c r="AC2357">
        <v>20.513000000000002</v>
      </c>
      <c r="AD2357">
        <v>-0.50784279999999904</v>
      </c>
      <c r="AE2357">
        <v>-55.899900000000002</v>
      </c>
      <c r="AF2357">
        <v>-18.3198469460722</v>
      </c>
      <c r="AG2357">
        <v>-0.50784279999999904</v>
      </c>
      <c r="AH2357">
        <v>56.652003005521301</v>
      </c>
      <c r="AI2357">
        <v>90.488685241809307</v>
      </c>
      <c r="AJ2357">
        <v>107.919915565854</v>
      </c>
      <c r="AK2357">
        <v>59.542624572440701</v>
      </c>
      <c r="AL2357">
        <v>78.264597744276301</v>
      </c>
      <c r="AM2357">
        <v>92.867112756955606</v>
      </c>
      <c r="AN2357">
        <v>0.99999997738471802</v>
      </c>
    </row>
    <row r="2358" spans="1:40" x14ac:dyDescent="0.25">
      <c r="A2358" t="str">
        <f>"20190303171022585"</f>
        <v>20190303171022585</v>
      </c>
      <c r="B2358" t="str">
        <f>"1551604222572441"</f>
        <v>1551604222572441</v>
      </c>
      <c r="C2358" t="s">
        <v>40</v>
      </c>
      <c r="D2358">
        <v>5.0685919999999998</v>
      </c>
      <c r="E2358">
        <v>0.39813189999999998</v>
      </c>
      <c r="F2358" t="s">
        <v>70</v>
      </c>
      <c r="G2358">
        <v>-473.84070000000003</v>
      </c>
      <c r="H2358">
        <v>0.60331199999999996</v>
      </c>
      <c r="I2358">
        <v>187.39830000000001</v>
      </c>
      <c r="J2358">
        <v>-494.35059999999999</v>
      </c>
      <c r="K2358">
        <v>1.1226659999999999</v>
      </c>
      <c r="L2358">
        <v>243.10599999999999</v>
      </c>
      <c r="M2358">
        <v>3.9822120000000003E-2</v>
      </c>
      <c r="N2358">
        <v>-1.386627E-2</v>
      </c>
      <c r="O2358">
        <v>-0.99911079999999997</v>
      </c>
      <c r="P2358">
        <v>8.7348709999999996E-2</v>
      </c>
      <c r="Q2358">
        <v>0.18963479999999999</v>
      </c>
      <c r="R2358">
        <v>-0.977962</v>
      </c>
      <c r="S2358">
        <v>1.0924990000000001</v>
      </c>
      <c r="T2358">
        <v>-2.765155E-2</v>
      </c>
      <c r="U2358">
        <v>-2.9763950000000001</v>
      </c>
      <c r="V2358">
        <v>-4.9043959999999998E-2</v>
      </c>
      <c r="W2358">
        <v>0.20304359999999999</v>
      </c>
      <c r="X2358">
        <v>0.9779407</v>
      </c>
      <c r="Y2358">
        <v>-0.30686429999999998</v>
      </c>
      <c r="Z2358">
        <v>-4.9999500000000004E-3</v>
      </c>
      <c r="AA2358">
        <v>0.95174009999999998</v>
      </c>
      <c r="AB2358">
        <v>34</v>
      </c>
      <c r="AC2358">
        <v>20.509899999999899</v>
      </c>
      <c r="AD2358">
        <v>-0.51935399999999998</v>
      </c>
      <c r="AE2358">
        <v>-55.707699999999903</v>
      </c>
      <c r="AF2358">
        <v>-18.2736179450092</v>
      </c>
      <c r="AG2358">
        <v>-0.51935399999999998</v>
      </c>
      <c r="AH2358">
        <v>56.476006668976297</v>
      </c>
      <c r="AI2358">
        <v>90.501291204918601</v>
      </c>
      <c r="AJ2358">
        <v>107.92972779769801</v>
      </c>
      <c r="AK2358">
        <v>59.361049271822502</v>
      </c>
      <c r="AL2358">
        <v>78.285002984213705</v>
      </c>
      <c r="AM2358">
        <v>92.870991765609404</v>
      </c>
      <c r="AN2358">
        <v>1.00000001311496</v>
      </c>
    </row>
    <row r="2359" spans="1:40" x14ac:dyDescent="0.25">
      <c r="A2359" t="str">
        <f>"20190303171022602"</f>
        <v>20190303171022602</v>
      </c>
      <c r="B2359" t="str">
        <f>"1551604222592937"</f>
        <v>1551604222592937</v>
      </c>
      <c r="C2359" t="s">
        <v>40</v>
      </c>
      <c r="D2359">
        <v>5.0917789999999998</v>
      </c>
      <c r="E2359">
        <v>0.39786329999999998</v>
      </c>
      <c r="F2359" t="s">
        <v>70</v>
      </c>
      <c r="G2359">
        <v>-473.83350000000002</v>
      </c>
      <c r="H2359">
        <v>0.57900069999999904</v>
      </c>
      <c r="I2359">
        <v>187.39830000000001</v>
      </c>
      <c r="J2359">
        <v>-494.33859999999999</v>
      </c>
      <c r="K2359">
        <v>1.122655</v>
      </c>
      <c r="L2359">
        <v>242.83690000000001</v>
      </c>
      <c r="M2359">
        <v>4.1075229999999997E-2</v>
      </c>
      <c r="N2359">
        <v>-1.38643E-2</v>
      </c>
      <c r="O2359">
        <v>-0.99905999999999995</v>
      </c>
      <c r="P2359">
        <v>8.9038660000000006E-2</v>
      </c>
      <c r="Q2359">
        <v>0.18907959999999999</v>
      </c>
      <c r="R2359">
        <v>-0.97791660000000002</v>
      </c>
      <c r="S2359">
        <v>1.095825</v>
      </c>
      <c r="T2359">
        <v>-2.9035330000000002E-2</v>
      </c>
      <c r="U2359">
        <v>-2.9753569999999998</v>
      </c>
      <c r="V2359">
        <v>-4.9501650000000001E-2</v>
      </c>
      <c r="W2359">
        <v>0.20248650000000001</v>
      </c>
      <c r="X2359">
        <v>0.97803309999999999</v>
      </c>
      <c r="Y2359">
        <v>-0.30671500000000002</v>
      </c>
      <c r="Z2359">
        <v>-4.5550139999999996E-3</v>
      </c>
      <c r="AA2359">
        <v>0.95179049999999998</v>
      </c>
      <c r="AB2359">
        <v>34</v>
      </c>
      <c r="AC2359">
        <v>20.505099999999899</v>
      </c>
      <c r="AD2359">
        <v>-0.54365430000000003</v>
      </c>
      <c r="AE2359">
        <v>-55.438600000000001</v>
      </c>
      <c r="AF2359">
        <v>-18.208879367573399</v>
      </c>
      <c r="AG2359">
        <v>-0.54365430000000003</v>
      </c>
      <c r="AH2359">
        <v>56.229379892988199</v>
      </c>
      <c r="AI2359">
        <v>90.527005161999199</v>
      </c>
      <c r="AJ2359">
        <v>107.94361894651099</v>
      </c>
      <c r="AK2359">
        <v>59.106700220624099</v>
      </c>
      <c r="AL2359">
        <v>78.317599072028102</v>
      </c>
      <c r="AM2359">
        <v>92.897465797305003</v>
      </c>
      <c r="AN2359">
        <v>0.99999997036528998</v>
      </c>
    </row>
    <row r="2360" spans="1:40" x14ac:dyDescent="0.25">
      <c r="A2360" t="str">
        <f>"20190303171022616"</f>
        <v>20190303171022616</v>
      </c>
      <c r="B2360" t="str">
        <f>"1551604222602697"</f>
        <v>1551604222602697</v>
      </c>
      <c r="C2360" t="s">
        <v>40</v>
      </c>
      <c r="D2360">
        <v>5.0778679999999996</v>
      </c>
      <c r="E2360">
        <v>0.39777249999999997</v>
      </c>
      <c r="F2360" t="s">
        <v>70</v>
      </c>
      <c r="G2360">
        <v>-473.80180000000001</v>
      </c>
      <c r="H2360">
        <v>0.51989719999999995</v>
      </c>
      <c r="I2360">
        <v>187.39830000000001</v>
      </c>
      <c r="J2360">
        <v>-494.3295</v>
      </c>
      <c r="K2360">
        <v>1.122644</v>
      </c>
      <c r="L2360">
        <v>242.6352</v>
      </c>
      <c r="M2360">
        <v>4.2013799999999997E-2</v>
      </c>
      <c r="N2360">
        <v>-1.3862859999999999E-2</v>
      </c>
      <c r="O2360">
        <v>-0.9990211</v>
      </c>
      <c r="P2360">
        <v>9.0480729999999995E-2</v>
      </c>
      <c r="Q2360">
        <v>0.1883803</v>
      </c>
      <c r="R2360">
        <v>-0.97791950000000005</v>
      </c>
      <c r="S2360">
        <v>1.101593</v>
      </c>
      <c r="T2360">
        <v>-3.232968E-2</v>
      </c>
      <c r="U2360">
        <v>-2.9736940000000001</v>
      </c>
      <c r="V2360">
        <v>-5.0017359999999997E-2</v>
      </c>
      <c r="W2360">
        <v>0.20178599999999999</v>
      </c>
      <c r="X2360">
        <v>0.97815169999999996</v>
      </c>
      <c r="Y2360">
        <v>-0.30761690000000003</v>
      </c>
      <c r="Z2360">
        <v>-3.5060949999999999E-3</v>
      </c>
      <c r="AA2360">
        <v>0.95150380000000001</v>
      </c>
      <c r="AB2360">
        <v>34</v>
      </c>
      <c r="AC2360">
        <v>20.5276999999999</v>
      </c>
      <c r="AD2360">
        <v>-0.60274680000000003</v>
      </c>
      <c r="AE2360">
        <v>-55.236899999999899</v>
      </c>
      <c r="AF2360">
        <v>-18.1867339176755</v>
      </c>
      <c r="AG2360">
        <v>-0.60274680000000003</v>
      </c>
      <c r="AH2360">
        <v>56.044783922429097</v>
      </c>
      <c r="AI2360">
        <v>90.586093096379599</v>
      </c>
      <c r="AJ2360">
        <v>107.978433167003</v>
      </c>
      <c r="AK2360">
        <v>58.924853832733397</v>
      </c>
      <c r="AL2360">
        <v>78.358581523867102</v>
      </c>
      <c r="AM2360">
        <v>92.927245107880097</v>
      </c>
      <c r="AN2360">
        <v>1.0000000371551201</v>
      </c>
    </row>
    <row r="2361" spans="1:40" x14ac:dyDescent="0.25">
      <c r="A2361" t="str">
        <f>"20190303171022630"</f>
        <v>20190303171022630</v>
      </c>
      <c r="B2361" t="str">
        <f>"1551604222623193"</f>
        <v>1551604222623193</v>
      </c>
      <c r="C2361" t="s">
        <v>40</v>
      </c>
      <c r="D2361">
        <v>5.0829199999999997</v>
      </c>
      <c r="E2361">
        <v>0.39766000000000001</v>
      </c>
      <c r="F2361" t="s">
        <v>70</v>
      </c>
      <c r="G2361">
        <v>-473.78140000000002</v>
      </c>
      <c r="H2361">
        <v>0.45867089999999999</v>
      </c>
      <c r="I2361">
        <v>187.39830000000001</v>
      </c>
      <c r="J2361">
        <v>-494.31959999999998</v>
      </c>
      <c r="K2361">
        <v>1.1226430000000001</v>
      </c>
      <c r="L2361">
        <v>242.42349999999999</v>
      </c>
      <c r="M2361">
        <v>4.3003060000000003E-2</v>
      </c>
      <c r="N2361">
        <v>-1.386135E-2</v>
      </c>
      <c r="O2361">
        <v>-0.9989789</v>
      </c>
      <c r="P2361">
        <v>9.2064309999999996E-2</v>
      </c>
      <c r="Q2361">
        <v>0.18796060000000001</v>
      </c>
      <c r="R2361">
        <v>-0.97785250000000001</v>
      </c>
      <c r="S2361">
        <v>1.1057129999999999</v>
      </c>
      <c r="T2361">
        <v>-3.5726899999999999E-2</v>
      </c>
      <c r="U2361">
        <v>-2.9723359999999999</v>
      </c>
      <c r="V2361">
        <v>-5.0629590000000002E-2</v>
      </c>
      <c r="W2361">
        <v>0.2013633</v>
      </c>
      <c r="X2361">
        <v>0.9782073</v>
      </c>
      <c r="Y2361">
        <v>-0.30797419999999998</v>
      </c>
      <c r="Z2361">
        <v>-2.4236230000000002E-3</v>
      </c>
      <c r="AA2361">
        <v>0.9513916</v>
      </c>
      <c r="AB2361">
        <v>34</v>
      </c>
      <c r="AC2361">
        <v>20.5381999999999</v>
      </c>
      <c r="AD2361">
        <v>-0.66397209999999995</v>
      </c>
      <c r="AE2361">
        <v>-55.025199999999899</v>
      </c>
      <c r="AF2361">
        <v>-18.150398623135899</v>
      </c>
      <c r="AG2361">
        <v>-0.66397209999999995</v>
      </c>
      <c r="AH2361">
        <v>55.850441137014499</v>
      </c>
      <c r="AI2361">
        <v>90.647777261671393</v>
      </c>
      <c r="AJ2361">
        <v>108.003238603532</v>
      </c>
      <c r="AK2361">
        <v>58.729461127507697</v>
      </c>
      <c r="AL2361">
        <v>78.383307896471607</v>
      </c>
      <c r="AM2361">
        <v>92.962844035805105</v>
      </c>
      <c r="AN2361">
        <v>1.0000000278718699</v>
      </c>
    </row>
    <row r="2362" spans="1:40" x14ac:dyDescent="0.25">
      <c r="A2362" t="str">
        <f>"20190303171022646"</f>
        <v>20190303171022646</v>
      </c>
      <c r="B2362" t="str">
        <f>"1551604222642712"</f>
        <v>1551604222642712</v>
      </c>
      <c r="C2362" t="s">
        <v>40</v>
      </c>
      <c r="D2362">
        <v>5.1138919999999999</v>
      </c>
      <c r="E2362">
        <v>0.39746769999999998</v>
      </c>
      <c r="F2362" t="s">
        <v>70</v>
      </c>
      <c r="G2362">
        <v>-473.75380000000001</v>
      </c>
      <c r="H2362">
        <v>0.4169948</v>
      </c>
      <c r="I2362">
        <v>187.39830000000001</v>
      </c>
      <c r="J2362">
        <v>-494.30790000000002</v>
      </c>
      <c r="K2362">
        <v>1.122654</v>
      </c>
      <c r="L2362">
        <v>242.179</v>
      </c>
      <c r="M2362">
        <v>4.4162640000000003E-2</v>
      </c>
      <c r="N2362">
        <v>-1.3859720000000001E-2</v>
      </c>
      <c r="O2362">
        <v>-0.99892829999999999</v>
      </c>
      <c r="P2362">
        <v>9.4334550000000003E-2</v>
      </c>
      <c r="Q2362">
        <v>0.18762570000000001</v>
      </c>
      <c r="R2362">
        <v>-0.97770040000000003</v>
      </c>
      <c r="S2362">
        <v>1.1103209999999999</v>
      </c>
      <c r="T2362">
        <v>-3.8094999999999997E-2</v>
      </c>
      <c r="U2362">
        <v>-2.9707340000000002</v>
      </c>
      <c r="V2362">
        <v>-5.1767649999999998E-2</v>
      </c>
      <c r="W2362">
        <v>0.20102239999999999</v>
      </c>
      <c r="X2362">
        <v>0.97821780000000003</v>
      </c>
      <c r="Y2362">
        <v>-0.30833199999999999</v>
      </c>
      <c r="Z2362">
        <v>-1.666381E-3</v>
      </c>
      <c r="AA2362">
        <v>0.95127740000000005</v>
      </c>
      <c r="AB2362">
        <v>34</v>
      </c>
      <c r="AC2362">
        <v>20.554099999999998</v>
      </c>
      <c r="AD2362">
        <v>-0.70565919999999904</v>
      </c>
      <c r="AE2362">
        <v>-54.780700000000003</v>
      </c>
      <c r="AF2362">
        <v>-18.111915633172899</v>
      </c>
      <c r="AG2362">
        <v>-0.70565919999999904</v>
      </c>
      <c r="AH2362">
        <v>55.626962336926098</v>
      </c>
      <c r="AI2362">
        <v>90.691084524589598</v>
      </c>
      <c r="AJ2362">
        <v>108.035041407159</v>
      </c>
      <c r="AK2362">
        <v>58.5055414609891</v>
      </c>
      <c r="AL2362">
        <v>78.403247196624307</v>
      </c>
      <c r="AM2362">
        <v>93.029288175197394</v>
      </c>
      <c r="AN2362">
        <v>0.99999997956256104</v>
      </c>
    </row>
    <row r="2363" spans="1:40" x14ac:dyDescent="0.25">
      <c r="A2363" t="str">
        <f>"20190303171022660"</f>
        <v>20190303171022660</v>
      </c>
      <c r="B2363" t="str">
        <f>"1551604222652473"</f>
        <v>1551604222652473</v>
      </c>
      <c r="C2363" t="s">
        <v>40</v>
      </c>
      <c r="D2363">
        <v>5.1144850000000002</v>
      </c>
      <c r="E2363">
        <v>0.39735490000000001</v>
      </c>
      <c r="F2363" t="s">
        <v>70</v>
      </c>
      <c r="G2363">
        <v>-473.68389999999999</v>
      </c>
      <c r="H2363">
        <v>0.38312649999999998</v>
      </c>
      <c r="I2363">
        <v>187.39830000000001</v>
      </c>
      <c r="J2363">
        <v>-494.298</v>
      </c>
      <c r="K2363">
        <v>1.1226640000000001</v>
      </c>
      <c r="L2363">
        <v>241.9743</v>
      </c>
      <c r="M2363">
        <v>4.5152280000000003E-2</v>
      </c>
      <c r="N2363">
        <v>-1.3858530000000001E-2</v>
      </c>
      <c r="O2363">
        <v>-0.99888410000000005</v>
      </c>
      <c r="P2363">
        <v>9.5588240000000005E-2</v>
      </c>
      <c r="Q2363">
        <v>0.18779899999999999</v>
      </c>
      <c r="R2363">
        <v>-0.97754540000000001</v>
      </c>
      <c r="S2363">
        <v>1.117523</v>
      </c>
      <c r="T2363">
        <v>-4.006958E-2</v>
      </c>
      <c r="U2363">
        <v>-2.9683069999999998</v>
      </c>
      <c r="V2363">
        <v>-5.2062480000000001E-2</v>
      </c>
      <c r="W2363">
        <v>0.20119100000000001</v>
      </c>
      <c r="X2363">
        <v>0.97816749999999997</v>
      </c>
      <c r="Y2363">
        <v>-0.3096662</v>
      </c>
      <c r="Z2363">
        <v>-1.0349129999999999E-3</v>
      </c>
      <c r="AA2363">
        <v>0.95084480000000005</v>
      </c>
      <c r="AB2363">
        <v>34</v>
      </c>
      <c r="AC2363">
        <v>20.614100000000001</v>
      </c>
      <c r="AD2363">
        <v>-0.73953749999999996</v>
      </c>
      <c r="AE2363">
        <v>-54.575999999999901</v>
      </c>
      <c r="AF2363">
        <v>-18.1256920755363</v>
      </c>
      <c r="AG2363">
        <v>-0.73953749999999996</v>
      </c>
      <c r="AH2363">
        <v>55.4422818232186</v>
      </c>
      <c r="AI2363">
        <v>90.726386373679603</v>
      </c>
      <c r="AJ2363">
        <v>108.104071799745</v>
      </c>
      <c r="AK2363">
        <v>58.334674445789702</v>
      </c>
      <c r="AL2363">
        <v>78.393385763275901</v>
      </c>
      <c r="AM2363">
        <v>93.046664702499896</v>
      </c>
      <c r="AN2363">
        <v>0.99999998918050004</v>
      </c>
    </row>
    <row r="2364" spans="1:40" x14ac:dyDescent="0.25">
      <c r="A2364" t="str">
        <f>"20190303171022673"</f>
        <v>20190303171022673</v>
      </c>
      <c r="B2364" t="str">
        <f>"1551604222663209"</f>
        <v>1551604222663209</v>
      </c>
      <c r="C2364" t="s">
        <v>40</v>
      </c>
      <c r="D2364">
        <v>5.1041400000000001</v>
      </c>
      <c r="E2364">
        <v>0.3972792</v>
      </c>
      <c r="F2364" t="s">
        <v>70</v>
      </c>
      <c r="G2364">
        <v>-473.65370000000001</v>
      </c>
      <c r="H2364">
        <v>0.39919329999999997</v>
      </c>
      <c r="I2364">
        <v>187.39830000000001</v>
      </c>
      <c r="J2364">
        <v>-494.28769999999997</v>
      </c>
      <c r="K2364">
        <v>1.1226830000000001</v>
      </c>
      <c r="L2364">
        <v>241.76830000000001</v>
      </c>
      <c r="M2364">
        <v>4.6176969999999998E-2</v>
      </c>
      <c r="N2364">
        <v>-1.3857639999999999E-2</v>
      </c>
      <c r="O2364">
        <v>-0.99883719999999998</v>
      </c>
      <c r="P2364">
        <v>9.6842319999999996E-2</v>
      </c>
      <c r="Q2364">
        <v>0.18756149999999999</v>
      </c>
      <c r="R2364">
        <v>-0.97746730000000004</v>
      </c>
      <c r="S2364">
        <v>1.122223</v>
      </c>
      <c r="T2364">
        <v>-3.932571E-2</v>
      </c>
      <c r="U2364">
        <v>-2.966736</v>
      </c>
      <c r="V2364">
        <v>-5.2323050000000003E-2</v>
      </c>
      <c r="W2364">
        <v>0.20094899999999999</v>
      </c>
      <c r="X2364">
        <v>0.97820339999999995</v>
      </c>
      <c r="Y2364">
        <v>-0.31017549999999999</v>
      </c>
      <c r="Z2364">
        <v>-1.266033E-3</v>
      </c>
      <c r="AA2364">
        <v>0.95067849999999998</v>
      </c>
      <c r="AB2364">
        <v>34</v>
      </c>
      <c r="AC2364">
        <v>20.633999999999901</v>
      </c>
      <c r="AD2364">
        <v>-0.72348970000000001</v>
      </c>
      <c r="AE2364">
        <v>-54.37</v>
      </c>
      <c r="AF2364">
        <v>-18.098300911040401</v>
      </c>
      <c r="AG2364">
        <v>-0.72348970000000001</v>
      </c>
      <c r="AH2364">
        <v>55.256345594338903</v>
      </c>
      <c r="AI2364">
        <v>90.712889221055505</v>
      </c>
      <c r="AJ2364">
        <v>108.135351750262</v>
      </c>
      <c r="AK2364">
        <v>58.149253319828603</v>
      </c>
      <c r="AL2364">
        <v>78.4075411037023</v>
      </c>
      <c r="AM2364">
        <v>93.061772000859904</v>
      </c>
      <c r="AN2364">
        <v>1.0000000469669299</v>
      </c>
    </row>
    <row r="2365" spans="1:40" x14ac:dyDescent="0.25">
      <c r="A2365" t="str">
        <f>"20190303171022695"</f>
        <v>20190303171022695</v>
      </c>
      <c r="B2365" t="str">
        <f>"1551604222682729"</f>
        <v>1551604222682729</v>
      </c>
      <c r="C2365" t="s">
        <v>40</v>
      </c>
      <c r="D2365">
        <v>5.1468819999999997</v>
      </c>
      <c r="E2365">
        <v>0.39705760000000001</v>
      </c>
      <c r="F2365" t="s">
        <v>70</v>
      </c>
      <c r="G2365">
        <v>-473.61829999999998</v>
      </c>
      <c r="H2365">
        <v>0.40062049999999999</v>
      </c>
      <c r="I2365">
        <v>187.39830000000001</v>
      </c>
      <c r="J2365">
        <v>-494.27100000000002</v>
      </c>
      <c r="K2365">
        <v>1.1227370000000001</v>
      </c>
      <c r="L2365">
        <v>241.44380000000001</v>
      </c>
      <c r="M2365">
        <v>4.7876120000000001E-2</v>
      </c>
      <c r="N2365">
        <v>-1.385699E-2</v>
      </c>
      <c r="O2365">
        <v>-0.99875729999999996</v>
      </c>
      <c r="P2365">
        <v>9.8105789999999998E-2</v>
      </c>
      <c r="Q2365">
        <v>0.18713479999999999</v>
      </c>
      <c r="R2365">
        <v>-0.9774235</v>
      </c>
      <c r="S2365">
        <v>1.127197</v>
      </c>
      <c r="T2365">
        <v>-3.9375189999999997E-2</v>
      </c>
      <c r="U2365">
        <v>-2.9650270000000001</v>
      </c>
      <c r="V2365">
        <v>-5.1948540000000001E-2</v>
      </c>
      <c r="W2365">
        <v>0.20051649999999999</v>
      </c>
      <c r="X2365">
        <v>0.97831210000000002</v>
      </c>
      <c r="Y2365">
        <v>-0.31013380000000002</v>
      </c>
      <c r="Z2365">
        <v>-1.2431619999999999E-3</v>
      </c>
      <c r="AA2365">
        <v>0.95069210000000004</v>
      </c>
      <c r="AB2365">
        <v>34</v>
      </c>
      <c r="AC2365">
        <v>20.6526999999999</v>
      </c>
      <c r="AD2365">
        <v>-0.72211650000000005</v>
      </c>
      <c r="AE2365">
        <v>-54.045499999999997</v>
      </c>
      <c r="AF2365">
        <v>-18.038465722333001</v>
      </c>
      <c r="AG2365">
        <v>-0.72211650000000005</v>
      </c>
      <c r="AH2365">
        <v>54.963817017048797</v>
      </c>
      <c r="AI2365">
        <v>90.715184241950197</v>
      </c>
      <c r="AJ2365">
        <v>108.169215754348</v>
      </c>
      <c r="AK2365">
        <v>57.852647985541502</v>
      </c>
      <c r="AL2365">
        <v>78.432836320005407</v>
      </c>
      <c r="AM2365">
        <v>93.039561035575503</v>
      </c>
      <c r="AN2365">
        <v>1.00000004129339</v>
      </c>
    </row>
    <row r="2366" spans="1:40" x14ac:dyDescent="0.25">
      <c r="A2366" t="str">
        <f>"20190303171022712"</f>
        <v>20190303171022712</v>
      </c>
      <c r="B2366" t="str">
        <f>"1551604222703228"</f>
        <v>1551604222703228</v>
      </c>
      <c r="C2366" t="s">
        <v>40</v>
      </c>
      <c r="D2366">
        <v>5.1278569999999997</v>
      </c>
      <c r="E2366">
        <v>0.39687149999999999</v>
      </c>
      <c r="F2366" t="s">
        <v>70</v>
      </c>
      <c r="G2366">
        <v>-473.56619999999998</v>
      </c>
      <c r="H2366">
        <v>0.4409168</v>
      </c>
      <c r="I2366">
        <v>187.39830000000001</v>
      </c>
      <c r="J2366">
        <v>-494.25630000000001</v>
      </c>
      <c r="K2366">
        <v>1.1228320000000001</v>
      </c>
      <c r="L2366">
        <v>241.16890000000001</v>
      </c>
      <c r="M2366">
        <v>4.9475560000000002E-2</v>
      </c>
      <c r="N2366">
        <v>-1.3857390000000001E-2</v>
      </c>
      <c r="O2366">
        <v>-0.99867950000000005</v>
      </c>
      <c r="P2366">
        <v>9.8562079999999996E-2</v>
      </c>
      <c r="Q2366">
        <v>0.1860938</v>
      </c>
      <c r="R2366">
        <v>-0.97757609999999995</v>
      </c>
      <c r="S2366">
        <v>1.134949</v>
      </c>
      <c r="T2366">
        <v>-3.7372229999999999E-2</v>
      </c>
      <c r="U2366">
        <v>-2.9625240000000002</v>
      </c>
      <c r="V2366">
        <v>-5.087125E-2</v>
      </c>
      <c r="W2366">
        <v>0.19947090000000001</v>
      </c>
      <c r="X2366">
        <v>0.97858239999999996</v>
      </c>
      <c r="Y2366">
        <v>-0.31104969999999998</v>
      </c>
      <c r="Z2366">
        <v>-1.8732760000000001E-3</v>
      </c>
      <c r="AA2366">
        <v>0.95039180000000001</v>
      </c>
      <c r="AB2366">
        <v>34</v>
      </c>
      <c r="AC2366">
        <v>20.690100000000001</v>
      </c>
      <c r="AD2366">
        <v>-0.68191520000000005</v>
      </c>
      <c r="AE2366">
        <v>-53.770600000000002</v>
      </c>
      <c r="AF2366">
        <v>-18.0016496368129</v>
      </c>
      <c r="AG2366">
        <v>-0.68191520000000005</v>
      </c>
      <c r="AH2366">
        <v>54.720822832225402</v>
      </c>
      <c r="AI2366">
        <v>90.678213655330197</v>
      </c>
      <c r="AJ2366">
        <v>108.209787338559</v>
      </c>
      <c r="AK2366">
        <v>57.6098329230555</v>
      </c>
      <c r="AL2366">
        <v>78.493979801273298</v>
      </c>
      <c r="AM2366">
        <v>92.975821557121904</v>
      </c>
      <c r="AN2366">
        <v>1.0000000188065601</v>
      </c>
    </row>
    <row r="2367" spans="1:40" x14ac:dyDescent="0.25">
      <c r="A2367" t="str">
        <f>"20190303171022724"</f>
        <v>20190303171022724</v>
      </c>
      <c r="B2367" t="str">
        <f>"1551604222712985"</f>
        <v>1551604222712985</v>
      </c>
      <c r="C2367" t="s">
        <v>40</v>
      </c>
      <c r="D2367">
        <v>5.1189669999999996</v>
      </c>
      <c r="E2367">
        <v>0.39675189999999999</v>
      </c>
      <c r="F2367" t="s">
        <v>70</v>
      </c>
      <c r="G2367">
        <v>-473.5797</v>
      </c>
      <c r="H2367">
        <v>0.4272609</v>
      </c>
      <c r="I2367">
        <v>187.39830000000001</v>
      </c>
      <c r="J2367">
        <v>-494.24689999999998</v>
      </c>
      <c r="K2367">
        <v>1.1229229999999999</v>
      </c>
      <c r="L2367">
        <v>241.00020000000001</v>
      </c>
      <c r="M2367">
        <v>5.0561920000000003E-2</v>
      </c>
      <c r="N2367">
        <v>-1.3858769999999999E-2</v>
      </c>
      <c r="O2367">
        <v>-0.99862490000000004</v>
      </c>
      <c r="P2367">
        <v>9.9275479999999999E-2</v>
      </c>
      <c r="Q2367">
        <v>0.18560789999999999</v>
      </c>
      <c r="R2367">
        <v>-0.97759629999999997</v>
      </c>
      <c r="S2367">
        <v>1.138733</v>
      </c>
      <c r="T2367">
        <v>-3.8305400000000003E-2</v>
      </c>
      <c r="U2367">
        <v>-2.961319</v>
      </c>
      <c r="V2367">
        <v>-5.0557240000000003E-2</v>
      </c>
      <c r="W2367">
        <v>0.19897880000000001</v>
      </c>
      <c r="X2367">
        <v>0.97869879999999998</v>
      </c>
      <c r="Y2367">
        <v>-0.31120300000000001</v>
      </c>
      <c r="Z2367">
        <v>-1.5747599999999999E-3</v>
      </c>
      <c r="AA2367">
        <v>0.95034209999999997</v>
      </c>
      <c r="AB2367">
        <v>34</v>
      </c>
      <c r="AC2367">
        <v>20.667199999999902</v>
      </c>
      <c r="AD2367">
        <v>-0.69566209999999895</v>
      </c>
      <c r="AE2367">
        <v>-53.601900000000001</v>
      </c>
      <c r="AF2367">
        <v>-17.927656304062801</v>
      </c>
      <c r="AG2367">
        <v>-0.69566209999999895</v>
      </c>
      <c r="AH2367">
        <v>54.570397655048602</v>
      </c>
      <c r="AI2367">
        <v>90.693884075000696</v>
      </c>
      <c r="AJ2367">
        <v>108.186565499705</v>
      </c>
      <c r="AK2367">
        <v>57.443999743612203</v>
      </c>
      <c r="AL2367">
        <v>78.522751247158297</v>
      </c>
      <c r="AM2367">
        <v>92.957134468609098</v>
      </c>
      <c r="AN2367">
        <v>0.99999996924364798</v>
      </c>
    </row>
    <row r="2368" spans="1:40" x14ac:dyDescent="0.25">
      <c r="A2368" t="str">
        <f>"20190303171022736"</f>
        <v>20190303171022736</v>
      </c>
      <c r="B2368" t="str">
        <f>"1551604222722745"</f>
        <v>1551604222722745</v>
      </c>
      <c r="C2368" t="s">
        <v>40</v>
      </c>
      <c r="D2368">
        <v>5.1364099999999997</v>
      </c>
      <c r="E2368">
        <v>0.39664480000000002</v>
      </c>
      <c r="F2368" t="s">
        <v>70</v>
      </c>
      <c r="G2368">
        <v>-473.57319999999999</v>
      </c>
      <c r="H2368">
        <v>0.41376210000000002</v>
      </c>
      <c r="I2368">
        <v>187.39830000000001</v>
      </c>
      <c r="J2368">
        <v>-494.23700000000002</v>
      </c>
      <c r="K2368">
        <v>1.123027</v>
      </c>
      <c r="L2368">
        <v>240.8227</v>
      </c>
      <c r="M2368">
        <v>5.174393E-2</v>
      </c>
      <c r="N2368">
        <v>-1.386044E-2</v>
      </c>
      <c r="O2368">
        <v>-0.99856440000000002</v>
      </c>
      <c r="P2368">
        <v>0.10014389999999999</v>
      </c>
      <c r="Q2368">
        <v>0.18521580000000001</v>
      </c>
      <c r="R2368">
        <v>-0.97758219999999996</v>
      </c>
      <c r="S2368">
        <v>1.1417539999999999</v>
      </c>
      <c r="T2368">
        <v>-3.9162759999999998E-2</v>
      </c>
      <c r="U2368">
        <v>-2.9602659999999998</v>
      </c>
      <c r="V2368">
        <v>-5.0312660000000002E-2</v>
      </c>
      <c r="W2368">
        <v>0.1985778</v>
      </c>
      <c r="X2368">
        <v>0.97879280000000002</v>
      </c>
      <c r="Y2368">
        <v>-0.31103570000000003</v>
      </c>
      <c r="Z2368">
        <v>-1.299885E-3</v>
      </c>
      <c r="AA2368">
        <v>0.95039739999999995</v>
      </c>
      <c r="AB2368">
        <v>34</v>
      </c>
      <c r="AC2368">
        <v>20.663799999999899</v>
      </c>
      <c r="AD2368">
        <v>-0.70926489999999998</v>
      </c>
      <c r="AE2368">
        <v>-53.424399999999899</v>
      </c>
      <c r="AF2368">
        <v>-17.8687201645611</v>
      </c>
      <c r="AG2368">
        <v>-0.70926489999999998</v>
      </c>
      <c r="AH2368">
        <v>54.413804346118297</v>
      </c>
      <c r="AI2368">
        <v>90.709515409539506</v>
      </c>
      <c r="AJ2368">
        <v>108.17944529843101</v>
      </c>
      <c r="AK2368">
        <v>57.277013892445602</v>
      </c>
      <c r="AL2368">
        <v>78.546194178013195</v>
      </c>
      <c r="AM2368">
        <v>92.942571866085203</v>
      </c>
      <c r="AN2368">
        <v>0.99999992587047504</v>
      </c>
    </row>
    <row r="2369" spans="1:40" x14ac:dyDescent="0.25">
      <c r="A2369" t="str">
        <f>"20190303171022748"</f>
        <v>20190303171022748</v>
      </c>
      <c r="B2369" t="str">
        <f>"1551604222732505"</f>
        <v>1551604222732505</v>
      </c>
      <c r="C2369" t="s">
        <v>40</v>
      </c>
      <c r="D2369">
        <v>5.1506439999999998</v>
      </c>
      <c r="E2369">
        <v>0.3965302</v>
      </c>
      <c r="F2369" t="s">
        <v>70</v>
      </c>
      <c r="G2369">
        <v>-473.55720000000002</v>
      </c>
      <c r="H2369">
        <v>0.39908529999999998</v>
      </c>
      <c r="I2369">
        <v>187.39830000000001</v>
      </c>
      <c r="J2369">
        <v>-494.2269</v>
      </c>
      <c r="K2369">
        <v>1.1231549999999999</v>
      </c>
      <c r="L2369">
        <v>240.6515</v>
      </c>
      <c r="M2369">
        <v>5.3042739999999998E-2</v>
      </c>
      <c r="N2369">
        <v>-1.386399E-2</v>
      </c>
      <c r="O2369">
        <v>-0.9984961</v>
      </c>
      <c r="P2369">
        <v>0.1011301</v>
      </c>
      <c r="Q2369">
        <v>0.185421</v>
      </c>
      <c r="R2369">
        <v>-0.97744160000000002</v>
      </c>
      <c r="S2369">
        <v>1.145416</v>
      </c>
      <c r="T2369">
        <v>-4.0095569999999997E-2</v>
      </c>
      <c r="U2369">
        <v>-2.9590610000000002</v>
      </c>
      <c r="V2369">
        <v>-5.0092240000000003E-2</v>
      </c>
      <c r="W2369">
        <v>0.19877130000000001</v>
      </c>
      <c r="X2369">
        <v>0.97876490000000005</v>
      </c>
      <c r="Y2369">
        <v>-0.31095230000000001</v>
      </c>
      <c r="Z2369">
        <v>-1.0026830000000001E-3</v>
      </c>
      <c r="AA2369">
        <v>0.95042499999999996</v>
      </c>
      <c r="AB2369">
        <v>34</v>
      </c>
      <c r="AC2369">
        <v>20.669699999999899</v>
      </c>
      <c r="AD2369">
        <v>-0.72406969999999904</v>
      </c>
      <c r="AE2369">
        <v>-53.2531999999999</v>
      </c>
      <c r="AF2369">
        <v>-17.8127677192726</v>
      </c>
      <c r="AG2369">
        <v>-0.72406969999999904</v>
      </c>
      <c r="AH2369">
        <v>54.265982100163399</v>
      </c>
      <c r="AI2369">
        <v>90.726326135888698</v>
      </c>
      <c r="AJ2369">
        <v>108.172383124763</v>
      </c>
      <c r="AK2369">
        <v>57.119311830995201</v>
      </c>
      <c r="AL2369">
        <v>78.534882753334998</v>
      </c>
      <c r="AM2369">
        <v>92.929786319469997</v>
      </c>
      <c r="AN2369">
        <v>0.99999999584195798</v>
      </c>
    </row>
    <row r="2370" spans="1:40" x14ac:dyDescent="0.25">
      <c r="A2370" t="str">
        <f>"20190303171022759"</f>
        <v>20190303171022759</v>
      </c>
      <c r="B2370" t="str">
        <f>"1551604222753001"</f>
        <v>1551604222753001</v>
      </c>
      <c r="C2370" t="s">
        <v>40</v>
      </c>
      <c r="D2370">
        <v>5.138776</v>
      </c>
      <c r="E2370">
        <v>0.39631880000000003</v>
      </c>
      <c r="F2370" t="s">
        <v>70</v>
      </c>
      <c r="G2370">
        <v>-473.53300000000002</v>
      </c>
      <c r="H2370">
        <v>0.4220448</v>
      </c>
      <c r="I2370">
        <v>187.39830000000001</v>
      </c>
      <c r="J2370">
        <v>-494.21589999999998</v>
      </c>
      <c r="K2370">
        <v>1.1233040000000001</v>
      </c>
      <c r="L2370">
        <v>240.4675</v>
      </c>
      <c r="M2370">
        <v>5.4494149999999998E-2</v>
      </c>
      <c r="N2370">
        <v>-1.3868129999999999E-2</v>
      </c>
      <c r="O2370">
        <v>-0.99841769999999996</v>
      </c>
      <c r="P2370">
        <v>0.10159559999999999</v>
      </c>
      <c r="Q2370">
        <v>0.1853891</v>
      </c>
      <c r="R2370">
        <v>-0.97739909999999997</v>
      </c>
      <c r="S2370">
        <v>1.1493530000000001</v>
      </c>
      <c r="T2370">
        <v>-3.8937930000000003E-2</v>
      </c>
      <c r="U2370">
        <v>-2.957703</v>
      </c>
      <c r="V2370">
        <v>-4.9202610000000001E-2</v>
      </c>
      <c r="W2370">
        <v>0.19873160000000001</v>
      </c>
      <c r="X2370">
        <v>0.97881810000000002</v>
      </c>
      <c r="Y2370">
        <v>-0.31081769999999997</v>
      </c>
      <c r="Z2370">
        <v>-1.368689E-3</v>
      </c>
      <c r="AA2370">
        <v>0.95046850000000005</v>
      </c>
      <c r="AB2370">
        <v>34</v>
      </c>
      <c r="AC2370">
        <v>20.682899999999901</v>
      </c>
      <c r="AD2370">
        <v>-0.70125919999999997</v>
      </c>
      <c r="AE2370">
        <v>-53.069200000000002</v>
      </c>
      <c r="AF2370">
        <v>-17.757230081690398</v>
      </c>
      <c r="AG2370">
        <v>-0.70125919999999997</v>
      </c>
      <c r="AH2370">
        <v>54.109332055882902</v>
      </c>
      <c r="AI2370">
        <v>90.705499111206393</v>
      </c>
      <c r="AJ2370">
        <v>108.168447259232</v>
      </c>
      <c r="AK2370">
        <v>56.952882281527003</v>
      </c>
      <c r="AL2370">
        <v>78.537203854930098</v>
      </c>
      <c r="AM2370">
        <v>92.877685898968707</v>
      </c>
      <c r="AN2370">
        <v>1.00000000927849</v>
      </c>
    </row>
    <row r="2371" spans="1:40" x14ac:dyDescent="0.25">
      <c r="A2371" t="str">
        <f>"20190303171022771"</f>
        <v>20190303171022771</v>
      </c>
      <c r="B2371" t="str">
        <f>"1551604222762761"</f>
        <v>1551604222762761</v>
      </c>
      <c r="C2371" t="s">
        <v>40</v>
      </c>
      <c r="D2371">
        <v>5.1473879999999896</v>
      </c>
      <c r="E2371">
        <v>0.39619989999999999</v>
      </c>
      <c r="F2371" t="s">
        <v>70</v>
      </c>
      <c r="G2371">
        <v>-473.52429999999998</v>
      </c>
      <c r="H2371">
        <v>0.44530439999999999</v>
      </c>
      <c r="I2371">
        <v>187.39830000000001</v>
      </c>
      <c r="J2371">
        <v>-494.20460000000003</v>
      </c>
      <c r="K2371">
        <v>1.123462</v>
      </c>
      <c r="L2371">
        <v>240.286</v>
      </c>
      <c r="M2371">
        <v>5.6049399999999999E-2</v>
      </c>
      <c r="N2371">
        <v>-1.3873460000000001E-2</v>
      </c>
      <c r="O2371">
        <v>-0.99833150000000004</v>
      </c>
      <c r="P2371">
        <v>0.10201449999999999</v>
      </c>
      <c r="Q2371">
        <v>0.18597230000000001</v>
      </c>
      <c r="R2371">
        <v>-0.97724489999999997</v>
      </c>
      <c r="S2371">
        <v>1.1528320000000001</v>
      </c>
      <c r="T2371">
        <v>-3.7772420000000001E-2</v>
      </c>
      <c r="U2371">
        <v>-2.9567260000000002</v>
      </c>
      <c r="V2371">
        <v>-4.8179350000000003E-2</v>
      </c>
      <c r="W2371">
        <v>0.19930639999999999</v>
      </c>
      <c r="X2371">
        <v>0.97875210000000001</v>
      </c>
      <c r="Y2371">
        <v>-0.31041489999999999</v>
      </c>
      <c r="Z2371">
        <v>-1.738945E-3</v>
      </c>
      <c r="AA2371">
        <v>0.95059959999999999</v>
      </c>
      <c r="AB2371">
        <v>34</v>
      </c>
      <c r="AC2371">
        <v>20.680299999999999</v>
      </c>
      <c r="AD2371">
        <v>-0.67815760000000003</v>
      </c>
      <c r="AE2371">
        <v>-52.887699999999903</v>
      </c>
      <c r="AF2371">
        <v>-17.680653253739401</v>
      </c>
      <c r="AG2371">
        <v>-0.67815760000000003</v>
      </c>
      <c r="AH2371">
        <v>53.956079557040098</v>
      </c>
      <c r="AI2371">
        <v>90.684296404129299</v>
      </c>
      <c r="AJ2371">
        <v>108.14324691828899</v>
      </c>
      <c r="AK2371">
        <v>56.783130579205</v>
      </c>
      <c r="AL2371">
        <v>78.503597658982301</v>
      </c>
      <c r="AM2371">
        <v>92.818126254916507</v>
      </c>
      <c r="AN2371">
        <v>0.99999998205089602</v>
      </c>
    </row>
    <row r="2372" spans="1:40" x14ac:dyDescent="0.25">
      <c r="A2372" t="str">
        <f>"20190303171022792"</f>
        <v>20190303171022792</v>
      </c>
      <c r="B2372" t="str">
        <f>"1551604222783260"</f>
        <v>1551604222783260</v>
      </c>
      <c r="C2372" t="s">
        <v>40</v>
      </c>
      <c r="D2372">
        <v>5.1843629999999896</v>
      </c>
      <c r="E2372">
        <v>0.3959917</v>
      </c>
      <c r="F2372" t="s">
        <v>70</v>
      </c>
      <c r="G2372">
        <v>-473.52820000000003</v>
      </c>
      <c r="H2372">
        <v>0.49658229999999998</v>
      </c>
      <c r="I2372">
        <v>187.39830000000001</v>
      </c>
      <c r="J2372">
        <v>-494.18520000000001</v>
      </c>
      <c r="K2372">
        <v>1.12374</v>
      </c>
      <c r="L2372">
        <v>239.989</v>
      </c>
      <c r="M2372">
        <v>5.886744E-2</v>
      </c>
      <c r="N2372">
        <v>-1.388347E-2</v>
      </c>
      <c r="O2372">
        <v>-0.99816930000000004</v>
      </c>
      <c r="P2372">
        <v>0.1023879</v>
      </c>
      <c r="Q2372">
        <v>0.18696009999999999</v>
      </c>
      <c r="R2372">
        <v>-0.97701720000000003</v>
      </c>
      <c r="S2372">
        <v>1.1556090000000001</v>
      </c>
      <c r="T2372">
        <v>-3.5034179999999998E-2</v>
      </c>
      <c r="U2372">
        <v>-2.9558870000000002</v>
      </c>
      <c r="V2372">
        <v>-4.5933880000000003E-2</v>
      </c>
      <c r="W2372">
        <v>0.20028570000000001</v>
      </c>
      <c r="X2372">
        <v>0.97866019999999998</v>
      </c>
      <c r="Y2372">
        <v>-0.3085985</v>
      </c>
      <c r="Z2372">
        <v>-2.6085079999999998E-3</v>
      </c>
      <c r="AA2372">
        <v>0.95118879999999995</v>
      </c>
      <c r="AB2372">
        <v>34</v>
      </c>
      <c r="AC2372">
        <v>20.656999999999901</v>
      </c>
      <c r="AD2372">
        <v>-0.62715769999999904</v>
      </c>
      <c r="AE2372">
        <v>-52.590699999999998</v>
      </c>
      <c r="AF2372">
        <v>-17.5228328547256</v>
      </c>
      <c r="AG2372">
        <v>-0.62715769999999904</v>
      </c>
      <c r="AH2372">
        <v>53.709004794615097</v>
      </c>
      <c r="AI2372">
        <v>90.636018946505303</v>
      </c>
      <c r="AJ2372">
        <v>108.069175737763</v>
      </c>
      <c r="AK2372">
        <v>56.498674268192403</v>
      </c>
      <c r="AL2372">
        <v>78.446333926573104</v>
      </c>
      <c r="AM2372">
        <v>92.6872324363042</v>
      </c>
      <c r="AN2372">
        <v>1.0000000350101901</v>
      </c>
    </row>
    <row r="2373" spans="1:40" x14ac:dyDescent="0.25">
      <c r="A2373" t="str">
        <f>"20190303171022804"</f>
        <v>20190303171022804</v>
      </c>
      <c r="B2373" t="str">
        <f>"1551604222793017"</f>
        <v>1551604222793017</v>
      </c>
      <c r="C2373" t="s">
        <v>40</v>
      </c>
      <c r="D2373">
        <v>5.1584940000000001</v>
      </c>
      <c r="E2373">
        <v>0.39588630000000002</v>
      </c>
      <c r="F2373" t="s">
        <v>70</v>
      </c>
      <c r="G2373">
        <v>-473.54050000000001</v>
      </c>
      <c r="H2373">
        <v>0.60276459999999998</v>
      </c>
      <c r="I2373">
        <v>187.39830000000001</v>
      </c>
      <c r="J2373">
        <v>-494.1728</v>
      </c>
      <c r="K2373">
        <v>1.1239209999999999</v>
      </c>
      <c r="L2373">
        <v>239.8074</v>
      </c>
      <c r="M2373">
        <v>6.0785510000000001E-2</v>
      </c>
      <c r="N2373">
        <v>-1.3890950000000001E-2</v>
      </c>
      <c r="O2373">
        <v>-0.99805429999999995</v>
      </c>
      <c r="P2373">
        <v>0.1034245</v>
      </c>
      <c r="Q2373">
        <v>0.1871679</v>
      </c>
      <c r="R2373">
        <v>-0.97686859999999998</v>
      </c>
      <c r="S2373">
        <v>1.159851</v>
      </c>
      <c r="T2373">
        <v>-2.926695E-2</v>
      </c>
      <c r="U2373">
        <v>-2.9546049999999999</v>
      </c>
      <c r="V2373">
        <v>-4.5182529999999999E-2</v>
      </c>
      <c r="W2373">
        <v>0.20048560000000001</v>
      </c>
      <c r="X2373">
        <v>0.97865420000000003</v>
      </c>
      <c r="Y2373">
        <v>-0.30809569999999997</v>
      </c>
      <c r="Z2373">
        <v>-4.4405149999999999E-3</v>
      </c>
      <c r="AA2373">
        <v>0.951345</v>
      </c>
      <c r="AB2373">
        <v>34</v>
      </c>
      <c r="AC2373">
        <v>20.632299999999901</v>
      </c>
      <c r="AD2373">
        <v>-0.52115639999999996</v>
      </c>
      <c r="AE2373">
        <v>-52.409100000000002</v>
      </c>
      <c r="AF2373">
        <v>-17.4066292681911</v>
      </c>
      <c r="AG2373">
        <v>-0.52115639999999996</v>
      </c>
      <c r="AH2373">
        <v>53.561849159499701</v>
      </c>
      <c r="AI2373">
        <v>90.530177314453596</v>
      </c>
      <c r="AJ2373">
        <v>108.003221454933</v>
      </c>
      <c r="AK2373">
        <v>56.321701251458201</v>
      </c>
      <c r="AL2373">
        <v>78.434642854745405</v>
      </c>
      <c r="AM2373">
        <v>92.6433558628909</v>
      </c>
      <c r="AN2373">
        <v>0.99999999000109996</v>
      </c>
    </row>
    <row r="2374" spans="1:40" x14ac:dyDescent="0.25">
      <c r="A2374" t="str">
        <f>"20190303171022818"</f>
        <v>20190303171022818</v>
      </c>
      <c r="B2374" t="str">
        <f>"1551604222802779"</f>
        <v>1551604222802779</v>
      </c>
      <c r="C2374" t="s">
        <v>40</v>
      </c>
      <c r="D2374">
        <v>5.152844</v>
      </c>
      <c r="E2374">
        <v>0.39577839999999997</v>
      </c>
      <c r="F2374" t="s">
        <v>70</v>
      </c>
      <c r="G2374">
        <v>-473.51139999999998</v>
      </c>
      <c r="H2374">
        <v>0.6291156</v>
      </c>
      <c r="I2374">
        <v>187.39830000000001</v>
      </c>
      <c r="J2374">
        <v>-494.15839999999997</v>
      </c>
      <c r="K2374">
        <v>1.1241369999999999</v>
      </c>
      <c r="L2374">
        <v>239.60339999999999</v>
      </c>
      <c r="M2374">
        <v>6.3064179999999997E-2</v>
      </c>
      <c r="N2374">
        <v>-1.3899949999999999E-2</v>
      </c>
      <c r="O2374">
        <v>-0.99791280000000004</v>
      </c>
      <c r="P2374">
        <v>0.10527889999999999</v>
      </c>
      <c r="Q2374">
        <v>0.18704760000000001</v>
      </c>
      <c r="R2374">
        <v>-0.97669340000000004</v>
      </c>
      <c r="S2374">
        <v>1.164215</v>
      </c>
      <c r="T2374">
        <v>-2.7878759999999999E-2</v>
      </c>
      <c r="U2374">
        <v>-2.9530940000000001</v>
      </c>
      <c r="V2374">
        <v>-4.4906090000000003E-2</v>
      </c>
      <c r="W2374">
        <v>0.2003539</v>
      </c>
      <c r="X2374">
        <v>0.97869390000000001</v>
      </c>
      <c r="Y2374">
        <v>-0.30730649999999998</v>
      </c>
      <c r="Z2374">
        <v>-4.8823699999999996E-3</v>
      </c>
      <c r="AA2374">
        <v>0.95159800000000005</v>
      </c>
      <c r="AB2374">
        <v>34</v>
      </c>
      <c r="AC2374">
        <v>20.646999999999899</v>
      </c>
      <c r="AD2374">
        <v>-0.4950214</v>
      </c>
      <c r="AE2374">
        <v>-52.205099999999902</v>
      </c>
      <c r="AF2374">
        <v>-17.311958138695001</v>
      </c>
      <c r="AG2374">
        <v>-0.4950214</v>
      </c>
      <c r="AH2374">
        <v>53.3992242002927</v>
      </c>
      <c r="AI2374">
        <v>90.505241100142598</v>
      </c>
      <c r="AJ2374">
        <v>107.96262590174901</v>
      </c>
      <c r="AK2374">
        <v>56.137563947641198</v>
      </c>
      <c r="AL2374">
        <v>78.442345054907406</v>
      </c>
      <c r="AM2374">
        <v>92.627099342669794</v>
      </c>
      <c r="AN2374">
        <v>0.99999999603075396</v>
      </c>
    </row>
    <row r="2375" spans="1:40" x14ac:dyDescent="0.25">
      <c r="A2375" t="str">
        <f>"20190303171022836"</f>
        <v>20190303171022836</v>
      </c>
      <c r="B2375" t="str">
        <f>"1551604222823273"</f>
        <v>1551604222823273</v>
      </c>
      <c r="C2375" t="s">
        <v>40</v>
      </c>
      <c r="D2375">
        <v>5.1295599999999997</v>
      </c>
      <c r="E2375">
        <v>0.39021339999999999</v>
      </c>
      <c r="F2375" t="s">
        <v>70</v>
      </c>
      <c r="G2375">
        <v>-473.43720000000002</v>
      </c>
      <c r="H2375">
        <v>0.62819579999999997</v>
      </c>
      <c r="I2375">
        <v>187.39830000000001</v>
      </c>
      <c r="J2375">
        <v>-494.13740000000001</v>
      </c>
      <c r="K2375">
        <v>1.124447</v>
      </c>
      <c r="L2375">
        <v>239.32210000000001</v>
      </c>
      <c r="M2375">
        <v>6.6546869999999994E-2</v>
      </c>
      <c r="N2375">
        <v>-1.3915729999999999E-2</v>
      </c>
      <c r="O2375">
        <v>-0.99768630000000003</v>
      </c>
      <c r="P2375">
        <v>0.1096618</v>
      </c>
      <c r="Q2375">
        <v>0.18621889999999999</v>
      </c>
      <c r="R2375">
        <v>-0.97636920000000005</v>
      </c>
      <c r="S2375">
        <v>1.1712039999999999</v>
      </c>
      <c r="T2375">
        <v>-2.802932E-2</v>
      </c>
      <c r="U2375">
        <v>-2.9507140000000001</v>
      </c>
      <c r="V2375">
        <v>-4.6021199999999998E-2</v>
      </c>
      <c r="W2375">
        <v>0.19950080000000001</v>
      </c>
      <c r="X2375">
        <v>0.97881640000000003</v>
      </c>
      <c r="Y2375">
        <v>-0.30619540000000001</v>
      </c>
      <c r="Z2375">
        <v>-4.8384389999999999E-3</v>
      </c>
      <c r="AA2375">
        <v>0.95195640000000004</v>
      </c>
      <c r="AB2375">
        <v>34</v>
      </c>
      <c r="AC2375">
        <v>20.700199999999899</v>
      </c>
      <c r="AD2375">
        <v>-0.496251199999999</v>
      </c>
      <c r="AE2375">
        <v>-51.9238</v>
      </c>
      <c r="AF2375">
        <v>-17.197248738212</v>
      </c>
      <c r="AG2375">
        <v>-0.496251199999999</v>
      </c>
      <c r="AH2375">
        <v>53.182153491857498</v>
      </c>
      <c r="AI2375">
        <v>90.508687709075204</v>
      </c>
      <c r="AJ2375">
        <v>107.919393470125</v>
      </c>
      <c r="AK2375">
        <v>55.895734000448797</v>
      </c>
      <c r="AL2375">
        <v>78.492231677742197</v>
      </c>
      <c r="AM2375">
        <v>92.691904326047094</v>
      </c>
      <c r="AN2375">
        <v>1.00000003247951</v>
      </c>
    </row>
    <row r="2376" spans="1:40" x14ac:dyDescent="0.25">
      <c r="A2376" t="str">
        <f>"20190303171022848"</f>
        <v>20190303171022848</v>
      </c>
      <c r="B2376" t="str">
        <f>"1551604222833034"</f>
        <v>1551604222833034</v>
      </c>
      <c r="C2376" t="s">
        <v>40</v>
      </c>
      <c r="D2376">
        <v>5.155843</v>
      </c>
      <c r="E2376">
        <v>0.38996720000000001</v>
      </c>
      <c r="F2376" t="s">
        <v>67</v>
      </c>
      <c r="G2376">
        <v>-469.62079999999997</v>
      </c>
      <c r="H2376">
        <v>0.6451865</v>
      </c>
      <c r="I2376">
        <v>180.59020000000001</v>
      </c>
      <c r="J2376">
        <v>-494.12290000000002</v>
      </c>
      <c r="K2376">
        <v>1.124652</v>
      </c>
      <c r="L2376">
        <v>239.1387</v>
      </c>
      <c r="M2376">
        <v>6.9034910000000005E-2</v>
      </c>
      <c r="N2376">
        <v>-1.392787E-2</v>
      </c>
      <c r="O2376">
        <v>-0.99751699999999999</v>
      </c>
      <c r="P2376">
        <v>0.1135308</v>
      </c>
      <c r="Q2376">
        <v>0.18573110000000001</v>
      </c>
      <c r="R2376">
        <v>-0.97602</v>
      </c>
      <c r="S2376">
        <v>1.22699</v>
      </c>
      <c r="T2376">
        <v>-2.3985739999999998E-2</v>
      </c>
      <c r="U2376">
        <v>-2.9393769999999999</v>
      </c>
      <c r="V2376">
        <v>-4.755148E-2</v>
      </c>
      <c r="W2376">
        <v>0.19899</v>
      </c>
      <c r="X2376">
        <v>0.97884720000000003</v>
      </c>
      <c r="Y2376">
        <v>-0.32053100000000001</v>
      </c>
      <c r="Z2376">
        <v>-6.1387630000000002E-3</v>
      </c>
      <c r="AA2376">
        <v>0.94721809999999995</v>
      </c>
      <c r="AB2376">
        <v>34</v>
      </c>
      <c r="AC2376">
        <v>24.502099999999999</v>
      </c>
      <c r="AD2376">
        <v>-0.47946549999999999</v>
      </c>
      <c r="AE2376">
        <v>-58.548499999999898</v>
      </c>
      <c r="AF2376">
        <v>-20.400185842467199</v>
      </c>
      <c r="AG2376">
        <v>-0.47946549999999999</v>
      </c>
      <c r="AH2376">
        <v>60.097025211538103</v>
      </c>
      <c r="AI2376">
        <v>90.432849285440795</v>
      </c>
      <c r="AJ2376">
        <v>108.749995460062</v>
      </c>
      <c r="AK2376">
        <v>63.466919799602202</v>
      </c>
      <c r="AL2376">
        <v>78.522096822823599</v>
      </c>
      <c r="AM2376">
        <v>92.781188870240499</v>
      </c>
      <c r="AN2376">
        <v>1.0000000021490101</v>
      </c>
    </row>
    <row r="2377" spans="1:40" x14ac:dyDescent="0.25">
      <c r="A2377" t="str">
        <f>"20190303171022860"</f>
        <v>20190303171022860</v>
      </c>
      <c r="B2377" t="str">
        <f>"1551604222853529"</f>
        <v>1551604222853529</v>
      </c>
      <c r="C2377" t="s">
        <v>40</v>
      </c>
      <c r="D2377">
        <v>5.1761980000000003</v>
      </c>
      <c r="E2377">
        <v>0.38959490000000002</v>
      </c>
      <c r="F2377" t="s">
        <v>67</v>
      </c>
      <c r="G2377">
        <v>-469.36860000000001</v>
      </c>
      <c r="H2377">
        <v>0.59367109999999901</v>
      </c>
      <c r="I2377">
        <v>180.59020000000001</v>
      </c>
      <c r="J2377">
        <v>-494.10980000000001</v>
      </c>
      <c r="K2377">
        <v>1.1248290000000001</v>
      </c>
      <c r="L2377">
        <v>238.97730000000001</v>
      </c>
      <c r="M2377">
        <v>7.1281319999999995E-2</v>
      </c>
      <c r="N2377">
        <v>-1.393808E-2</v>
      </c>
      <c r="O2377">
        <v>-0.99735910000000005</v>
      </c>
      <c r="P2377">
        <v>0.11679929999999999</v>
      </c>
      <c r="Q2377">
        <v>0.1856274</v>
      </c>
      <c r="R2377">
        <v>-0.97565389999999996</v>
      </c>
      <c r="S2377">
        <v>1.2406919999999999</v>
      </c>
      <c r="T2377">
        <v>-2.6613000000000001E-2</v>
      </c>
      <c r="U2377">
        <v>-2.9344790000000001</v>
      </c>
      <c r="V2377">
        <v>-4.8712100000000001E-2</v>
      </c>
      <c r="W2377">
        <v>0.19886619999999999</v>
      </c>
      <c r="X2377">
        <v>0.97881530000000005</v>
      </c>
      <c r="Y2377">
        <v>-0.32271699999999998</v>
      </c>
      <c r="Z2377">
        <v>-5.3077350000000001E-3</v>
      </c>
      <c r="AA2377">
        <v>0.94648060000000001</v>
      </c>
      <c r="AB2377">
        <v>34</v>
      </c>
      <c r="AC2377">
        <v>24.7411999999999</v>
      </c>
      <c r="AD2377">
        <v>-0.53115789999999996</v>
      </c>
      <c r="AE2377">
        <v>-58.387099999999997</v>
      </c>
      <c r="AF2377">
        <v>-20.514500176145301</v>
      </c>
      <c r="AG2377">
        <v>-0.53115789999999996</v>
      </c>
      <c r="AH2377">
        <v>59.998095872460198</v>
      </c>
      <c r="AI2377">
        <v>90.479943162844805</v>
      </c>
      <c r="AJ2377">
        <v>108.87654249142901</v>
      </c>
      <c r="AK2377">
        <v>63.410553967874499</v>
      </c>
      <c r="AL2377">
        <v>78.529334820246603</v>
      </c>
      <c r="AM2377">
        <v>92.849053351358293</v>
      </c>
      <c r="AN2377">
        <v>1.0000000128514701</v>
      </c>
    </row>
    <row r="2378" spans="1:40" x14ac:dyDescent="0.25">
      <c r="A2378" t="str">
        <f>"20190303171022883"</f>
        <v>20190303171022883</v>
      </c>
      <c r="B2378" t="str">
        <f>"1551604222873049"</f>
        <v>1551604222873049</v>
      </c>
      <c r="C2378" t="s">
        <v>40</v>
      </c>
      <c r="D2378">
        <v>5.079224</v>
      </c>
      <c r="E2378">
        <v>0.38498569999999999</v>
      </c>
      <c r="F2378" t="s">
        <v>67</v>
      </c>
      <c r="G2378">
        <v>-469.12759999999997</v>
      </c>
      <c r="H2378">
        <v>0.58553869999999997</v>
      </c>
      <c r="I2378">
        <v>180.59020000000001</v>
      </c>
      <c r="J2378">
        <v>-494.07979999999998</v>
      </c>
      <c r="K2378">
        <v>1.125205</v>
      </c>
      <c r="L2378">
        <v>238.62970000000001</v>
      </c>
      <c r="M2378">
        <v>7.6503009999999996E-2</v>
      </c>
      <c r="N2378">
        <v>-1.3960210000000001E-2</v>
      </c>
      <c r="O2378">
        <v>-0.99697150000000001</v>
      </c>
      <c r="P2378">
        <v>0.12517700000000001</v>
      </c>
      <c r="Q2378">
        <v>0.18572369999999999</v>
      </c>
      <c r="R2378">
        <v>-0.97459609999999997</v>
      </c>
      <c r="S2378">
        <v>1.2536320000000001</v>
      </c>
      <c r="T2378">
        <v>-2.7062180000000002E-2</v>
      </c>
      <c r="U2378">
        <v>-2.929932</v>
      </c>
      <c r="V2378">
        <v>-5.2185269999999999E-2</v>
      </c>
      <c r="W2378">
        <v>0.19890540000000001</v>
      </c>
      <c r="X2378">
        <v>0.97862830000000001</v>
      </c>
      <c r="Y2378">
        <v>-0.3218259</v>
      </c>
      <c r="Z2378">
        <v>-5.1689120000000003E-3</v>
      </c>
      <c r="AA2378">
        <v>0.94678470000000003</v>
      </c>
      <c r="AB2378">
        <v>34</v>
      </c>
      <c r="AC2378">
        <v>24.952200000000001</v>
      </c>
      <c r="AD2378">
        <v>-0.53966630000000004</v>
      </c>
      <c r="AE2378">
        <v>-58.039499999999997</v>
      </c>
      <c r="AF2378">
        <v>-20.436938565427202</v>
      </c>
      <c r="AG2378">
        <v>-0.53966630000000004</v>
      </c>
      <c r="AH2378">
        <v>59.774116233381399</v>
      </c>
      <c r="AI2378">
        <v>90.489460372891699</v>
      </c>
      <c r="AJ2378">
        <v>108.87570258237599</v>
      </c>
      <c r="AK2378">
        <v>63.173607377798199</v>
      </c>
      <c r="AL2378">
        <v>78.527042951482898</v>
      </c>
      <c r="AM2378">
        <v>93.0524014943243</v>
      </c>
      <c r="AN2378">
        <v>1.00000000505751</v>
      </c>
    </row>
    <row r="2379" spans="1:40" x14ac:dyDescent="0.25">
      <c r="A2379" t="str">
        <f>"20190303171022903"</f>
        <v>20190303171022903</v>
      </c>
      <c r="B2379" t="str">
        <f>"1551604222892569"</f>
        <v>1551604222892569</v>
      </c>
      <c r="C2379" t="s">
        <v>40</v>
      </c>
      <c r="D2379">
        <v>5.1318140000000003</v>
      </c>
      <c r="E2379">
        <v>0.35949409999999998</v>
      </c>
      <c r="F2379" t="s">
        <v>70</v>
      </c>
      <c r="G2379">
        <v>-470.34609999999998</v>
      </c>
      <c r="H2379">
        <v>1.13565</v>
      </c>
      <c r="I2379">
        <v>186.0883</v>
      </c>
      <c r="J2379">
        <v>-494.05290000000002</v>
      </c>
      <c r="K2379">
        <v>1.1255139999999999</v>
      </c>
      <c r="L2379">
        <v>238.3365</v>
      </c>
      <c r="M2379">
        <v>8.1253690000000003E-2</v>
      </c>
      <c r="N2379">
        <v>-1.3978819999999999E-2</v>
      </c>
      <c r="O2379">
        <v>-0.99659549999999997</v>
      </c>
      <c r="P2379">
        <v>0.13280040000000001</v>
      </c>
      <c r="Q2379">
        <v>0.18614829999999999</v>
      </c>
      <c r="R2379">
        <v>-0.97350559999999997</v>
      </c>
      <c r="S2379">
        <v>1.3141780000000001</v>
      </c>
      <c r="T2379">
        <v>5.8031079999999995E-4</v>
      </c>
      <c r="U2379">
        <v>-2.9092859999999998</v>
      </c>
      <c r="V2379">
        <v>-5.5346489999999998E-2</v>
      </c>
      <c r="W2379">
        <v>0.19927510000000001</v>
      </c>
      <c r="X2379">
        <v>0.97837940000000001</v>
      </c>
      <c r="Y2379">
        <v>-0.33617740000000002</v>
      </c>
      <c r="Z2379">
        <v>-1.3919549999999999E-2</v>
      </c>
      <c r="AA2379">
        <v>0.94169579999999997</v>
      </c>
      <c r="AB2379">
        <v>34</v>
      </c>
      <c r="AC2379">
        <v>23.706800000000001</v>
      </c>
      <c r="AD2379">
        <v>1.01360000000001E-2</v>
      </c>
      <c r="AE2379">
        <v>-52.248199999999997</v>
      </c>
      <c r="AF2379">
        <v>-19.3826228428658</v>
      </c>
      <c r="AG2379">
        <v>1.01360000000001E-2</v>
      </c>
      <c r="AH2379">
        <v>54.001856410073799</v>
      </c>
      <c r="AI2379">
        <v>89.989877989136005</v>
      </c>
      <c r="AJ2379">
        <v>109.744337474118</v>
      </c>
      <c r="AK2379">
        <v>57.374965505362297</v>
      </c>
      <c r="AL2379">
        <v>78.505428226474805</v>
      </c>
      <c r="AM2379">
        <v>93.237746132275205</v>
      </c>
      <c r="AN2379">
        <v>1.00000002488984</v>
      </c>
    </row>
    <row r="2380" spans="1:40" x14ac:dyDescent="0.25">
      <c r="A2380" t="str">
        <f>"20190303171022914"</f>
        <v>20190303171022914</v>
      </c>
      <c r="B2380" t="str">
        <f>"1551604222903305"</f>
        <v>1551604222903305</v>
      </c>
      <c r="C2380" t="s">
        <v>40</v>
      </c>
      <c r="D2380">
        <v>5.1332930000000001</v>
      </c>
      <c r="E2380">
        <v>0.358877</v>
      </c>
      <c r="F2380" t="s">
        <v>46</v>
      </c>
      <c r="G2380">
        <v>-476.53539999999998</v>
      </c>
      <c r="H2380">
        <v>2.44909</v>
      </c>
      <c r="I2380">
        <v>205.75399999999999</v>
      </c>
      <c r="J2380">
        <v>-494.03640000000001</v>
      </c>
      <c r="K2380">
        <v>1.1256919999999999</v>
      </c>
      <c r="L2380">
        <v>238.1644</v>
      </c>
      <c r="M2380">
        <v>8.4165379999999998E-2</v>
      </c>
      <c r="N2380">
        <v>-1.399019E-2</v>
      </c>
      <c r="O2380">
        <v>-0.99635370000000001</v>
      </c>
      <c r="P2380">
        <v>0.13677129999999901</v>
      </c>
      <c r="Q2380">
        <v>0.186614</v>
      </c>
      <c r="R2380">
        <v>-0.97286660000000003</v>
      </c>
      <c r="S2380">
        <v>1.5325009999999999</v>
      </c>
      <c r="T2380">
        <v>0.1157923</v>
      </c>
      <c r="U2380">
        <v>-2.8504640000000001</v>
      </c>
      <c r="V2380">
        <v>-5.6579930000000001E-2</v>
      </c>
      <c r="W2380">
        <v>0.19971340000000001</v>
      </c>
      <c r="X2380">
        <v>0.97821939999999996</v>
      </c>
      <c r="Y2380">
        <v>-0.3971807</v>
      </c>
      <c r="Z2380">
        <v>-4.993732E-2</v>
      </c>
      <c r="AA2380">
        <v>0.9163808</v>
      </c>
      <c r="AB2380">
        <v>34</v>
      </c>
      <c r="AC2380">
        <v>17.501000000000001</v>
      </c>
      <c r="AD2380">
        <v>1.3233979999999901</v>
      </c>
      <c r="AE2380">
        <v>-32.410399999999903</v>
      </c>
      <c r="AF2380">
        <v>-14.691824864373</v>
      </c>
      <c r="AG2380">
        <v>1.3233979999999901</v>
      </c>
      <c r="AH2380">
        <v>33.724965792126397</v>
      </c>
      <c r="AI2380">
        <v>87.939649244124595</v>
      </c>
      <c r="AJ2380">
        <v>113.539697366954</v>
      </c>
      <c r="AK2380">
        <v>36.809977150113902</v>
      </c>
      <c r="AL2380">
        <v>78.479799612831002</v>
      </c>
      <c r="AM2380">
        <v>93.310283325712305</v>
      </c>
      <c r="AN2380">
        <v>0.99999996257736101</v>
      </c>
    </row>
    <row r="2381" spans="1:40" x14ac:dyDescent="0.25">
      <c r="A2381" t="str">
        <f>"20190303171022925"</f>
        <v>20190303171022925</v>
      </c>
      <c r="B2381" t="str">
        <f>"1551604222913065"</f>
        <v>1551604222913065</v>
      </c>
      <c r="C2381" t="s">
        <v>40</v>
      </c>
      <c r="D2381">
        <v>5.131672</v>
      </c>
      <c r="E2381">
        <v>0.35961340000000003</v>
      </c>
      <c r="F2381" t="s">
        <v>46</v>
      </c>
      <c r="G2381">
        <v>-476.40940000000001</v>
      </c>
      <c r="H2381">
        <v>2.4798650000000002</v>
      </c>
      <c r="I2381">
        <v>205.8073</v>
      </c>
      <c r="J2381">
        <v>-494.0204</v>
      </c>
      <c r="K2381">
        <v>1.1258539999999999</v>
      </c>
      <c r="L2381">
        <v>238.00630000000001</v>
      </c>
      <c r="M2381">
        <v>8.6979379999999995E-2</v>
      </c>
      <c r="N2381">
        <v>-1.4001710000000001E-2</v>
      </c>
      <c r="O2381">
        <v>-0.99611190000000005</v>
      </c>
      <c r="P2381">
        <v>0.1402197</v>
      </c>
      <c r="Q2381">
        <v>0.18709400000000001</v>
      </c>
      <c r="R2381">
        <v>-0.97228360000000003</v>
      </c>
      <c r="S2381">
        <v>1.5488280000000001</v>
      </c>
      <c r="T2381">
        <v>0.1189865</v>
      </c>
      <c r="U2381">
        <v>-2.8431090000000001</v>
      </c>
      <c r="V2381">
        <v>-5.7377169999999998E-2</v>
      </c>
      <c r="W2381">
        <v>0.20017260000000001</v>
      </c>
      <c r="X2381">
        <v>0.97807909999999998</v>
      </c>
      <c r="Y2381">
        <v>-0.39962249999999999</v>
      </c>
      <c r="Z2381">
        <v>-5.0935540000000001E-2</v>
      </c>
      <c r="AA2381">
        <v>0.91526359999999995</v>
      </c>
      <c r="AB2381">
        <v>34</v>
      </c>
      <c r="AC2381">
        <v>17.610999999999901</v>
      </c>
      <c r="AD2381">
        <v>1.3540110000000001</v>
      </c>
      <c r="AE2381">
        <v>-32.198999999999998</v>
      </c>
      <c r="AF2381">
        <v>-14.7232797069305</v>
      </c>
      <c r="AG2381">
        <v>1.3540110000000001</v>
      </c>
      <c r="AH2381">
        <v>33.563205118593103</v>
      </c>
      <c r="AI2381">
        <v>87.884238449600801</v>
      </c>
      <c r="AJ2381">
        <v>113.6857752378</v>
      </c>
      <c r="AK2381">
        <v>36.675564739338299</v>
      </c>
      <c r="AL2381">
        <v>78.452947231789807</v>
      </c>
      <c r="AM2381">
        <v>93.357301393292403</v>
      </c>
      <c r="AN2381">
        <v>0.99999996764238797</v>
      </c>
    </row>
    <row r="2382" spans="1:40" x14ac:dyDescent="0.25">
      <c r="A2382" t="str">
        <f>"20190303171022937"</f>
        <v>20190303171022937</v>
      </c>
      <c r="B2382" t="str">
        <f>"1551604222932585"</f>
        <v>1551604222932585</v>
      </c>
      <c r="C2382" t="s">
        <v>40</v>
      </c>
      <c r="D2382">
        <v>5.1234580000000003</v>
      </c>
      <c r="E2382">
        <v>0.36049189999999998</v>
      </c>
      <c r="F2382" t="s">
        <v>46</v>
      </c>
      <c r="G2382">
        <v>-476.4085</v>
      </c>
      <c r="H2382">
        <v>2.4280219999999999</v>
      </c>
      <c r="I2382">
        <v>205.8073</v>
      </c>
      <c r="J2382">
        <v>-494.00200000000001</v>
      </c>
      <c r="K2382">
        <v>1.126037</v>
      </c>
      <c r="L2382">
        <v>237.8263</v>
      </c>
      <c r="M2382">
        <v>9.0230790000000005E-2</v>
      </c>
      <c r="N2382">
        <v>-1.401428E-2</v>
      </c>
      <c r="O2382">
        <v>-0.9958224</v>
      </c>
      <c r="P2382">
        <v>0.1437795</v>
      </c>
      <c r="Q2382">
        <v>0.18776290000000001</v>
      </c>
      <c r="R2382">
        <v>-0.971634</v>
      </c>
      <c r="S2382">
        <v>1.5531010000000001</v>
      </c>
      <c r="T2382">
        <v>0.114831</v>
      </c>
      <c r="U2382">
        <v>-2.8394469999999998</v>
      </c>
      <c r="V2382">
        <v>-5.7875339999999997E-2</v>
      </c>
      <c r="W2382">
        <v>0.200822</v>
      </c>
      <c r="X2382">
        <v>0.97791669999999997</v>
      </c>
      <c r="Y2382">
        <v>-0.39821390000000001</v>
      </c>
      <c r="Z2382">
        <v>-4.966081E-2</v>
      </c>
      <c r="AA2382">
        <v>0.91594730000000002</v>
      </c>
      <c r="AB2382">
        <v>34</v>
      </c>
      <c r="AC2382">
        <v>17.593499999999899</v>
      </c>
      <c r="AD2382">
        <v>1.30198499999999</v>
      </c>
      <c r="AE2382">
        <v>-32.018999999999998</v>
      </c>
      <c r="AF2382">
        <v>-14.613776996971801</v>
      </c>
      <c r="AG2382">
        <v>1.30198499999999</v>
      </c>
      <c r="AH2382">
        <v>33.433534707629903</v>
      </c>
      <c r="AI2382">
        <v>87.956399345499705</v>
      </c>
      <c r="AJ2382">
        <v>113.61010830243001</v>
      </c>
      <c r="AK2382">
        <v>36.511078950145297</v>
      </c>
      <c r="AL2382">
        <v>78.414969140931802</v>
      </c>
      <c r="AM2382">
        <v>93.386944250004404</v>
      </c>
      <c r="AN2382">
        <v>1.0000000514014999</v>
      </c>
    </row>
    <row r="2383" spans="1:40" x14ac:dyDescent="0.25">
      <c r="A2383" t="str">
        <f>"20190303171022948"</f>
        <v>20190303171022948</v>
      </c>
      <c r="B2383" t="str">
        <f>"1551604222943322"</f>
        <v>1551604222943322</v>
      </c>
      <c r="C2383" t="s">
        <v>40</v>
      </c>
      <c r="D2383">
        <v>5.1245320000000003</v>
      </c>
      <c r="E2383">
        <v>0.36089100000000002</v>
      </c>
      <c r="F2383" t="s">
        <v>46</v>
      </c>
      <c r="G2383">
        <v>-476.4237</v>
      </c>
      <c r="H2383">
        <v>2.3470800000000001</v>
      </c>
      <c r="I2383">
        <v>205.8073</v>
      </c>
      <c r="J2383">
        <v>-493.98390000000001</v>
      </c>
      <c r="K2383">
        <v>1.1262129999999999</v>
      </c>
      <c r="L2383">
        <v>237.6591</v>
      </c>
      <c r="M2383">
        <v>9.3422290000000005E-2</v>
      </c>
      <c r="N2383">
        <v>-1.4027339999999999E-2</v>
      </c>
      <c r="O2383">
        <v>-0.99552779999999996</v>
      </c>
      <c r="P2383">
        <v>0.14683270000000001</v>
      </c>
      <c r="Q2383">
        <v>0.18880150000000001</v>
      </c>
      <c r="R2383">
        <v>-0.97097599999999995</v>
      </c>
      <c r="S2383">
        <v>1.5570980000000001</v>
      </c>
      <c r="T2383">
        <v>0.1081606</v>
      </c>
      <c r="U2383">
        <v>-2.8362579999999999</v>
      </c>
      <c r="V2383">
        <v>-5.7930959999999997E-2</v>
      </c>
      <c r="W2383">
        <v>0.20184630000000001</v>
      </c>
      <c r="X2383">
        <v>0.97770239999999997</v>
      </c>
      <c r="Y2383">
        <v>-0.3967427</v>
      </c>
      <c r="Z2383">
        <v>-4.7593730000000001E-2</v>
      </c>
      <c r="AA2383">
        <v>0.91669520000000004</v>
      </c>
      <c r="AB2383">
        <v>33</v>
      </c>
      <c r="AC2383">
        <v>17.560199999999998</v>
      </c>
      <c r="AD2383">
        <v>1.2208669999999999</v>
      </c>
      <c r="AE2383">
        <v>-31.851800000000001</v>
      </c>
      <c r="AF2383">
        <v>-14.491098671450001</v>
      </c>
      <c r="AG2383">
        <v>1.2208669999999999</v>
      </c>
      <c r="AH2383">
        <v>33.315609624791499</v>
      </c>
      <c r="AI2383">
        <v>88.075342334652305</v>
      </c>
      <c r="AJ2383">
        <v>113.50731710168699</v>
      </c>
      <c r="AK2383">
        <v>36.351235214348499</v>
      </c>
      <c r="AL2383">
        <v>78.355053021825697</v>
      </c>
      <c r="AM2383">
        <v>93.390932973706001</v>
      </c>
      <c r="AN2383">
        <v>0.99999995395798402</v>
      </c>
    </row>
    <row r="2384" spans="1:40" x14ac:dyDescent="0.25">
      <c r="A2384" t="str">
        <f>"20190303171022960"</f>
        <v>20190303171022960</v>
      </c>
      <c r="B2384" t="str">
        <f>"1551604222953081"</f>
        <v>1551604222953081</v>
      </c>
      <c r="C2384" t="s">
        <v>40</v>
      </c>
      <c r="D2384">
        <v>5.1245500000000002</v>
      </c>
      <c r="E2384">
        <v>0.36129149999999999</v>
      </c>
      <c r="F2384" t="s">
        <v>46</v>
      </c>
      <c r="G2384">
        <v>-476.40980000000002</v>
      </c>
      <c r="H2384">
        <v>2.3422900000000002</v>
      </c>
      <c r="I2384">
        <v>205.8073</v>
      </c>
      <c r="J2384">
        <v>-493.96550000000002</v>
      </c>
      <c r="K2384">
        <v>1.1263890000000001</v>
      </c>
      <c r="L2384">
        <v>237.4922</v>
      </c>
      <c r="M2384">
        <v>9.6665020000000004E-2</v>
      </c>
      <c r="N2384">
        <v>-1.4040560000000001E-2</v>
      </c>
      <c r="O2384">
        <v>-0.99521809999999999</v>
      </c>
      <c r="P2384">
        <v>0.1501188</v>
      </c>
      <c r="Q2384">
        <v>0.18935920000000001</v>
      </c>
      <c r="R2384">
        <v>-0.97036480000000003</v>
      </c>
      <c r="S2384">
        <v>1.5627439999999999</v>
      </c>
      <c r="T2384">
        <v>0.10813689999999999</v>
      </c>
      <c r="U2384">
        <v>-2.8323520000000002</v>
      </c>
      <c r="V2384">
        <v>-5.8158809999999998E-2</v>
      </c>
      <c r="W2384">
        <v>0.20238890000000001</v>
      </c>
      <c r="X2384">
        <v>0.97757669999999997</v>
      </c>
      <c r="Y2384">
        <v>-0.39568740000000002</v>
      </c>
      <c r="Z2384">
        <v>-4.7603720000000002E-2</v>
      </c>
      <c r="AA2384">
        <v>0.91715069999999999</v>
      </c>
      <c r="AB2384">
        <v>33</v>
      </c>
      <c r="AC2384">
        <v>17.555700000000002</v>
      </c>
      <c r="AD2384">
        <v>1.2159009999999999</v>
      </c>
      <c r="AE2384">
        <v>-31.684899999999999</v>
      </c>
      <c r="AF2384">
        <v>-14.3941287888136</v>
      </c>
      <c r="AG2384">
        <v>1.2159009999999999</v>
      </c>
      <c r="AH2384">
        <v>33.196275487329999</v>
      </c>
      <c r="AI2384">
        <v>88.075326070194905</v>
      </c>
      <c r="AJ2384">
        <v>113.441880019716</v>
      </c>
      <c r="AK2384">
        <v>36.203067067051997</v>
      </c>
      <c r="AL2384">
        <v>78.323309239041095</v>
      </c>
      <c r="AM2384">
        <v>93.404675348130397</v>
      </c>
      <c r="AN2384">
        <v>0.99999995920335705</v>
      </c>
    </row>
    <row r="2385" spans="1:40" x14ac:dyDescent="0.25">
      <c r="A2385" t="str">
        <f>"20190303171022972"</f>
        <v>20190303171022972</v>
      </c>
      <c r="B2385" t="str">
        <f>"1551604222962841"</f>
        <v>1551604222962841</v>
      </c>
      <c r="C2385" t="s">
        <v>40</v>
      </c>
      <c r="D2385">
        <v>5.1491550000000004</v>
      </c>
      <c r="E2385">
        <v>0.36169990000000002</v>
      </c>
      <c r="F2385" t="s">
        <v>46</v>
      </c>
      <c r="G2385">
        <v>-476.34230000000002</v>
      </c>
      <c r="H2385">
        <v>2.3308629999999999</v>
      </c>
      <c r="I2385">
        <v>205.74700000000001</v>
      </c>
      <c r="J2385">
        <v>-493.94409999999999</v>
      </c>
      <c r="K2385">
        <v>1.1265860000000001</v>
      </c>
      <c r="L2385">
        <v>237.30600000000001</v>
      </c>
      <c r="M2385">
        <v>0.1004113</v>
      </c>
      <c r="N2385">
        <v>-1.4057099999999999E-2</v>
      </c>
      <c r="O2385">
        <v>-0.99484680000000003</v>
      </c>
      <c r="P2385">
        <v>0.15379029999999999</v>
      </c>
      <c r="Q2385">
        <v>0.18981980000000001</v>
      </c>
      <c r="R2385">
        <v>-0.96969939999999999</v>
      </c>
      <c r="S2385">
        <v>1.569855</v>
      </c>
      <c r="T2385">
        <v>0.1072927</v>
      </c>
      <c r="U2385">
        <v>-2.82782</v>
      </c>
      <c r="V2385">
        <v>-5.8288949999999999E-2</v>
      </c>
      <c r="W2385">
        <v>0.20283670000000001</v>
      </c>
      <c r="X2385">
        <v>0.97747620000000002</v>
      </c>
      <c r="Y2385">
        <v>-0.39462130000000001</v>
      </c>
      <c r="Z2385">
        <v>-4.735698E-2</v>
      </c>
      <c r="AA2385">
        <v>0.91762270000000001</v>
      </c>
      <c r="AB2385">
        <v>33</v>
      </c>
      <c r="AC2385">
        <v>17.601799999999901</v>
      </c>
      <c r="AD2385">
        <v>1.20427699999999</v>
      </c>
      <c r="AE2385">
        <v>-31.558999999999902</v>
      </c>
      <c r="AF2385">
        <v>-14.3277169703646</v>
      </c>
      <c r="AG2385">
        <v>1.20427699999999</v>
      </c>
      <c r="AH2385">
        <v>33.1302675752382</v>
      </c>
      <c r="AI2385">
        <v>88.089122989870404</v>
      </c>
      <c r="AJ2385">
        <v>113.38684522139501</v>
      </c>
      <c r="AK2385">
        <v>36.115763681285799</v>
      </c>
      <c r="AL2385">
        <v>78.297109543359596</v>
      </c>
      <c r="AM2385">
        <v>93.412625899924393</v>
      </c>
      <c r="AN2385">
        <v>1.0000000250627099</v>
      </c>
    </row>
    <row r="2386" spans="1:40" x14ac:dyDescent="0.25">
      <c r="A2386" t="str">
        <f>"20190303171022984"</f>
        <v>20190303171022984</v>
      </c>
      <c r="B2386" t="str">
        <f>"1551604222972602"</f>
        <v>1551604222972602</v>
      </c>
      <c r="C2386" t="s">
        <v>40</v>
      </c>
      <c r="D2386">
        <v>5.1363159999999999</v>
      </c>
      <c r="E2386">
        <v>0.3620178</v>
      </c>
      <c r="F2386" t="s">
        <v>70</v>
      </c>
      <c r="G2386">
        <v>-471.37139999999999</v>
      </c>
      <c r="H2386">
        <v>2.6499790000000001</v>
      </c>
      <c r="I2386">
        <v>196.90129999999999</v>
      </c>
      <c r="J2386">
        <v>-493.92450000000002</v>
      </c>
      <c r="K2386">
        <v>1.126752</v>
      </c>
      <c r="L2386">
        <v>237.14169999999999</v>
      </c>
      <c r="M2386">
        <v>0.103834</v>
      </c>
      <c r="N2386">
        <v>-1.407243E-2</v>
      </c>
      <c r="O2386">
        <v>-0.99449520000000002</v>
      </c>
      <c r="P2386">
        <v>0.15754370000000001</v>
      </c>
      <c r="Q2386">
        <v>0.19005420000000001</v>
      </c>
      <c r="R2386">
        <v>-0.969051</v>
      </c>
      <c r="S2386">
        <v>1.577026</v>
      </c>
      <c r="T2386">
        <v>0.1064326</v>
      </c>
      <c r="U2386">
        <v>-2.8228300000000002</v>
      </c>
      <c r="V2386">
        <v>-5.8804059999999998E-2</v>
      </c>
      <c r="W2386">
        <v>0.20305480000000001</v>
      </c>
      <c r="X2386">
        <v>0.97740009999999999</v>
      </c>
      <c r="Y2386">
        <v>-0.39393159999999999</v>
      </c>
      <c r="Z2386">
        <v>-4.7107379999999997E-2</v>
      </c>
      <c r="AA2386">
        <v>0.91793179999999996</v>
      </c>
      <c r="AB2386">
        <v>33</v>
      </c>
      <c r="AC2386">
        <v>22.553100000000001</v>
      </c>
      <c r="AD2386">
        <v>1.5232270000000001</v>
      </c>
      <c r="AE2386">
        <v>-40.240400000000001</v>
      </c>
      <c r="AF2386">
        <v>-18.2325531158295</v>
      </c>
      <c r="AG2386">
        <v>1.5232270000000001</v>
      </c>
      <c r="AH2386">
        <v>42.3187104753545</v>
      </c>
      <c r="AI2386">
        <v>88.106682092442</v>
      </c>
      <c r="AJ2386">
        <v>113.308264784662</v>
      </c>
      <c r="AK2386">
        <v>46.104440891436397</v>
      </c>
      <c r="AL2386">
        <v>78.284348204607397</v>
      </c>
      <c r="AM2386">
        <v>93.442979076525901</v>
      </c>
      <c r="AN2386">
        <v>1.0000000623777601</v>
      </c>
    </row>
    <row r="2387" spans="1:40" x14ac:dyDescent="0.25">
      <c r="A2387" t="str">
        <f>"20190303171022997"</f>
        <v>20190303171022997</v>
      </c>
      <c r="B2387" t="str">
        <f>"1551604222993097"</f>
        <v>1551604222993097</v>
      </c>
      <c r="C2387" t="s">
        <v>40</v>
      </c>
      <c r="D2387">
        <v>5.1269200000000001</v>
      </c>
      <c r="E2387">
        <v>0.36264790000000002</v>
      </c>
      <c r="F2387" t="s">
        <v>70</v>
      </c>
      <c r="G2387">
        <v>-471.26690000000002</v>
      </c>
      <c r="H2387">
        <v>2.6394630000000001</v>
      </c>
      <c r="I2387">
        <v>196.90129999999999</v>
      </c>
      <c r="J2387">
        <v>-493.9</v>
      </c>
      <c r="K2387">
        <v>1.1269579999999999</v>
      </c>
      <c r="L2387">
        <v>236.9417</v>
      </c>
      <c r="M2387">
        <v>0.1080861</v>
      </c>
      <c r="N2387">
        <v>-1.4090800000000001E-2</v>
      </c>
      <c r="O2387">
        <v>-0.99404179999999998</v>
      </c>
      <c r="P2387">
        <v>0.1622227</v>
      </c>
      <c r="Q2387">
        <v>0.189997</v>
      </c>
      <c r="R2387">
        <v>-0.96828979999999998</v>
      </c>
      <c r="S2387">
        <v>1.586212</v>
      </c>
      <c r="T2387">
        <v>0.105904</v>
      </c>
      <c r="U2387">
        <v>-2.8171390000000001</v>
      </c>
      <c r="V2387">
        <v>-5.9447720000000003E-2</v>
      </c>
      <c r="W2387">
        <v>0.20297770000000001</v>
      </c>
      <c r="X2387">
        <v>0.9773771</v>
      </c>
      <c r="Y2387">
        <v>-0.39306940000000001</v>
      </c>
      <c r="Z2387">
        <v>-4.6958470000000002E-2</v>
      </c>
      <c r="AA2387">
        <v>0.91830900000000004</v>
      </c>
      <c r="AB2387">
        <v>33</v>
      </c>
      <c r="AC2387">
        <v>22.633099999999899</v>
      </c>
      <c r="AD2387">
        <v>1.512505</v>
      </c>
      <c r="AE2387">
        <v>-40.040399999999998</v>
      </c>
      <c r="AF2387">
        <v>-18.152608549437598</v>
      </c>
      <c r="AG2387">
        <v>1.512505</v>
      </c>
      <c r="AH2387">
        <v>42.206702296929301</v>
      </c>
      <c r="AI2387">
        <v>88.114500369160297</v>
      </c>
      <c r="AJ2387">
        <v>113.271974082977</v>
      </c>
      <c r="AK2387">
        <v>45.9696702979885</v>
      </c>
      <c r="AL2387">
        <v>78.288858761327006</v>
      </c>
      <c r="AM2387">
        <v>93.480654942532894</v>
      </c>
      <c r="AN2387">
        <v>0.99999998685744895</v>
      </c>
    </row>
    <row r="2388" spans="1:40" x14ac:dyDescent="0.25">
      <c r="A2388" t="str">
        <f>"20190303171023009"</f>
        <v>20190303171023009</v>
      </c>
      <c r="B2388" t="str">
        <f>"1551604223002858"</f>
        <v>1551604223002858</v>
      </c>
      <c r="C2388" t="s">
        <v>40</v>
      </c>
      <c r="D2388">
        <v>5.0999339999999904</v>
      </c>
      <c r="E2388">
        <v>0.36291180000000001</v>
      </c>
      <c r="F2388" t="s">
        <v>70</v>
      </c>
      <c r="G2388">
        <v>-471.16579999999999</v>
      </c>
      <c r="H2388">
        <v>2.598382</v>
      </c>
      <c r="I2388">
        <v>196.90129999999999</v>
      </c>
      <c r="J2388">
        <v>-493.8759</v>
      </c>
      <c r="K2388">
        <v>1.1271500000000001</v>
      </c>
      <c r="L2388">
        <v>236.7559</v>
      </c>
      <c r="M2388">
        <v>0.11222459999999999</v>
      </c>
      <c r="N2388">
        <v>-1.4109419999999999E-2</v>
      </c>
      <c r="O2388">
        <v>-0.99358279999999999</v>
      </c>
      <c r="P2388">
        <v>0.16704840000000001</v>
      </c>
      <c r="Q2388">
        <v>0.18965090000000001</v>
      </c>
      <c r="R2388">
        <v>-0.96753670000000003</v>
      </c>
      <c r="S2388">
        <v>1.595825</v>
      </c>
      <c r="T2388">
        <v>0.10328850000000001</v>
      </c>
      <c r="U2388">
        <v>-2.8106230000000001</v>
      </c>
      <c r="V2388">
        <v>-6.0337870000000002E-2</v>
      </c>
      <c r="W2388">
        <v>0.20261019999999999</v>
      </c>
      <c r="X2388">
        <v>0.97739880000000001</v>
      </c>
      <c r="Y2388">
        <v>-0.39254549999999999</v>
      </c>
      <c r="Z2388">
        <v>-4.6158949999999997E-2</v>
      </c>
      <c r="AA2388">
        <v>0.91857359999999999</v>
      </c>
      <c r="AB2388">
        <v>33</v>
      </c>
      <c r="AC2388">
        <v>22.710100000000001</v>
      </c>
      <c r="AD2388">
        <v>1.4712320000000001</v>
      </c>
      <c r="AE2388">
        <v>-39.854599999999998</v>
      </c>
      <c r="AF2388">
        <v>-18.074903689062999</v>
      </c>
      <c r="AG2388">
        <v>1.4712320000000001</v>
      </c>
      <c r="AH2388">
        <v>42.1083514683517</v>
      </c>
      <c r="AI2388">
        <v>88.161074747760907</v>
      </c>
      <c r="AJ2388">
        <v>113.231306733075</v>
      </c>
      <c r="AK2388">
        <v>45.847354671223599</v>
      </c>
      <c r="AL2388">
        <v>78.310361716208703</v>
      </c>
      <c r="AM2388">
        <v>93.532563842575001</v>
      </c>
      <c r="AN2388">
        <v>0.99999998297080805</v>
      </c>
    </row>
    <row r="2389" spans="1:40" x14ac:dyDescent="0.25">
      <c r="A2389" t="str">
        <f>"20190303171023026"</f>
        <v>20190303171023026</v>
      </c>
      <c r="B2389" t="str">
        <f>"1551604223012617"</f>
        <v>1551604223012617</v>
      </c>
      <c r="C2389" t="s">
        <v>40</v>
      </c>
      <c r="D2389">
        <v>5.0075159999999999</v>
      </c>
      <c r="E2389">
        <v>0.36235109999999998</v>
      </c>
      <c r="F2389" t="s">
        <v>70</v>
      </c>
      <c r="G2389">
        <v>-471.01170000000002</v>
      </c>
      <c r="H2389">
        <v>2.5668730000000002</v>
      </c>
      <c r="I2389">
        <v>196.90129999999999</v>
      </c>
      <c r="J2389">
        <v>-493.84480000000002</v>
      </c>
      <c r="K2389">
        <v>1.1273899999999999</v>
      </c>
      <c r="L2389">
        <v>236.52330000000001</v>
      </c>
      <c r="M2389">
        <v>0.1175554</v>
      </c>
      <c r="N2389">
        <v>-1.413379E-2</v>
      </c>
      <c r="O2389">
        <v>-0.99296580000000001</v>
      </c>
      <c r="P2389">
        <v>0.17378959999999999</v>
      </c>
      <c r="Q2389">
        <v>0.18929650000000001</v>
      </c>
      <c r="R2389">
        <v>-0.96641820000000001</v>
      </c>
      <c r="S2389">
        <v>1.6081540000000001</v>
      </c>
      <c r="T2389">
        <v>0.10126499999999999</v>
      </c>
      <c r="U2389">
        <v>-2.8031619999999999</v>
      </c>
      <c r="V2389">
        <v>-6.2016990000000001E-2</v>
      </c>
      <c r="W2389">
        <v>0.20221990000000001</v>
      </c>
      <c r="X2389">
        <v>0.97737459999999998</v>
      </c>
      <c r="Y2389">
        <v>-0.39171709999999998</v>
      </c>
      <c r="Z2389">
        <v>-4.5540770000000001E-2</v>
      </c>
      <c r="AA2389">
        <v>0.91895789999999999</v>
      </c>
      <c r="AB2389">
        <v>33</v>
      </c>
      <c r="AC2389">
        <v>22.833100000000002</v>
      </c>
      <c r="AD2389">
        <v>1.4394829999999901</v>
      </c>
      <c r="AE2389">
        <v>-39.622</v>
      </c>
      <c r="AF2389">
        <v>-17.998671994945301</v>
      </c>
      <c r="AG2389">
        <v>1.4394829999999901</v>
      </c>
      <c r="AH2389">
        <v>41.990035421751202</v>
      </c>
      <c r="AI2389">
        <v>88.195269770887705</v>
      </c>
      <c r="AJ2389">
        <v>113.20198250029</v>
      </c>
      <c r="AK2389">
        <v>45.7076293370028</v>
      </c>
      <c r="AL2389">
        <v>78.333197767979499</v>
      </c>
      <c r="AM2389">
        <v>93.630700498977703</v>
      </c>
      <c r="AN2389">
        <v>1.0000000518649099</v>
      </c>
    </row>
    <row r="2390" spans="1:40" x14ac:dyDescent="0.25">
      <c r="A2390" t="str">
        <f>"20190303171023037"</f>
        <v>20190303171023037</v>
      </c>
      <c r="B2390" t="str">
        <f>"1551604223033114"</f>
        <v>1551604223033114</v>
      </c>
      <c r="C2390" t="s">
        <v>40</v>
      </c>
      <c r="D2390">
        <v>5.0431169999999996</v>
      </c>
      <c r="E2390">
        <v>0.36162670000000002</v>
      </c>
      <c r="F2390" t="s">
        <v>70</v>
      </c>
      <c r="G2390">
        <v>-470.67950000000002</v>
      </c>
      <c r="H2390">
        <v>2.6217269999999999</v>
      </c>
      <c r="I2390">
        <v>196.90129999999999</v>
      </c>
      <c r="J2390">
        <v>-493.82190000000003</v>
      </c>
      <c r="K2390">
        <v>1.127559</v>
      </c>
      <c r="L2390">
        <v>236.357</v>
      </c>
      <c r="M2390">
        <v>0.1214509</v>
      </c>
      <c r="N2390">
        <v>-1.415137E-2</v>
      </c>
      <c r="O2390">
        <v>-0.99249670000000001</v>
      </c>
      <c r="P2390">
        <v>0.17806839999999999</v>
      </c>
      <c r="Q2390">
        <v>0.18952649999999999</v>
      </c>
      <c r="R2390">
        <v>-0.9655939</v>
      </c>
      <c r="S2390">
        <v>1.631348</v>
      </c>
      <c r="T2390">
        <v>0.1052365</v>
      </c>
      <c r="U2390">
        <v>-2.7902529999999999</v>
      </c>
      <c r="V2390">
        <v>-6.2606040000000002E-2</v>
      </c>
      <c r="W2390">
        <v>0.20243230000000001</v>
      </c>
      <c r="X2390">
        <v>0.97729299999999997</v>
      </c>
      <c r="Y2390">
        <v>-0.39562439999999999</v>
      </c>
      <c r="Z2390">
        <v>-4.6798220000000001E-2</v>
      </c>
      <c r="AA2390">
        <v>0.91721929999999996</v>
      </c>
      <c r="AB2390">
        <v>33</v>
      </c>
      <c r="AC2390">
        <v>23.142399999999999</v>
      </c>
      <c r="AD2390">
        <v>1.4941679999999999</v>
      </c>
      <c r="AE2390">
        <v>-39.4557</v>
      </c>
      <c r="AF2390">
        <v>-18.1592669294287</v>
      </c>
      <c r="AG2390">
        <v>1.4941679999999999</v>
      </c>
      <c r="AH2390">
        <v>41.929774923151001</v>
      </c>
      <c r="AI2390">
        <v>88.127093347907405</v>
      </c>
      <c r="AJ2390">
        <v>113.41683965348101</v>
      </c>
      <c r="AK2390">
        <v>45.717584565816303</v>
      </c>
      <c r="AL2390">
        <v>78.320770289986598</v>
      </c>
      <c r="AM2390">
        <v>93.665397261966802</v>
      </c>
      <c r="AN2390">
        <v>0.99999998008838498</v>
      </c>
    </row>
    <row r="2391" spans="1:40" x14ac:dyDescent="0.25">
      <c r="A2391" t="str">
        <f>"20190303171023049"</f>
        <v>20190303171023049</v>
      </c>
      <c r="B2391" t="str">
        <f>"1551604223042873"</f>
        <v>1551604223042873</v>
      </c>
      <c r="C2391" t="s">
        <v>40</v>
      </c>
      <c r="D2391">
        <v>5.03538</v>
      </c>
      <c r="E2391">
        <v>0.36133860000000001</v>
      </c>
      <c r="F2391" t="s">
        <v>70</v>
      </c>
      <c r="G2391">
        <v>-470.53530000000001</v>
      </c>
      <c r="H2391">
        <v>2.7406570000000001</v>
      </c>
      <c r="I2391">
        <v>197.09469999999999</v>
      </c>
      <c r="J2391">
        <v>-493.79539999999997</v>
      </c>
      <c r="K2391">
        <v>1.127748</v>
      </c>
      <c r="L2391">
        <v>236.17439999999999</v>
      </c>
      <c r="M2391">
        <v>0.1259113</v>
      </c>
      <c r="N2391">
        <v>-1.4172399999999899E-2</v>
      </c>
      <c r="O2391">
        <v>-0.99194040000000006</v>
      </c>
      <c r="P2391">
        <v>0.18268760000000001</v>
      </c>
      <c r="Q2391">
        <v>0.18982959999999999</v>
      </c>
      <c r="R2391">
        <v>-0.96467130000000001</v>
      </c>
      <c r="S2391">
        <v>1.6490479999999901</v>
      </c>
      <c r="T2391">
        <v>0.114234</v>
      </c>
      <c r="U2391">
        <v>-2.7803499999999999</v>
      </c>
      <c r="V2391">
        <v>-6.2997360000000002E-2</v>
      </c>
      <c r="W2391">
        <v>0.2027214</v>
      </c>
      <c r="X2391">
        <v>0.97720799999999997</v>
      </c>
      <c r="Y2391">
        <v>-0.39718740000000002</v>
      </c>
      <c r="Z2391">
        <v>-4.9634400000000002E-2</v>
      </c>
      <c r="AA2391">
        <v>0.91639440000000005</v>
      </c>
      <c r="AB2391">
        <v>33</v>
      </c>
      <c r="AC2391">
        <v>23.260099999999898</v>
      </c>
      <c r="AD2391">
        <v>1.6129089999999999</v>
      </c>
      <c r="AE2391">
        <v>-39.079700000000003</v>
      </c>
      <c r="AF2391">
        <v>-18.1310724044728</v>
      </c>
      <c r="AG2391">
        <v>1.6129089999999999</v>
      </c>
      <c r="AH2391">
        <v>41.645243026546702</v>
      </c>
      <c r="AI2391">
        <v>87.966267136080006</v>
      </c>
      <c r="AJ2391">
        <v>113.526844353012</v>
      </c>
      <c r="AK2391">
        <v>45.449571271010399</v>
      </c>
      <c r="AL2391">
        <v>78.303856252577603</v>
      </c>
      <c r="AM2391">
        <v>93.688564767433306</v>
      </c>
      <c r="AN2391">
        <v>1.00000005432446</v>
      </c>
    </row>
    <row r="2392" spans="1:40" x14ac:dyDescent="0.25">
      <c r="A2392" t="str">
        <f>"20190303171023062"</f>
        <v>20190303171023062</v>
      </c>
      <c r="B2392" t="str">
        <f>"1551604223052633"</f>
        <v>1551604223052633</v>
      </c>
      <c r="C2392" t="s">
        <v>40</v>
      </c>
      <c r="D2392">
        <v>5.0311260000000004</v>
      </c>
      <c r="E2392">
        <v>0.3611241</v>
      </c>
      <c r="F2392" t="s">
        <v>70</v>
      </c>
      <c r="G2392">
        <v>-470.53530000000001</v>
      </c>
      <c r="H2392">
        <v>2.7855460000000001</v>
      </c>
      <c r="I2392">
        <v>197.44200000000001</v>
      </c>
      <c r="J2392">
        <v>-493.76889999999997</v>
      </c>
      <c r="K2392">
        <v>1.127929</v>
      </c>
      <c r="L2392">
        <v>235.9967</v>
      </c>
      <c r="M2392">
        <v>0.1303483</v>
      </c>
      <c r="N2392">
        <v>-1.4193290000000001E-2</v>
      </c>
      <c r="O2392">
        <v>-0.99136670000000005</v>
      </c>
      <c r="P2392">
        <v>0.18716070000000001</v>
      </c>
      <c r="Q2392">
        <v>0.1902209</v>
      </c>
      <c r="R2392">
        <v>-0.96373589999999998</v>
      </c>
      <c r="S2392">
        <v>1.664307</v>
      </c>
      <c r="T2392">
        <v>0.1186203</v>
      </c>
      <c r="U2392">
        <v>-2.7713619999999999</v>
      </c>
      <c r="V2392">
        <v>-6.3266749999999997E-2</v>
      </c>
      <c r="W2392">
        <v>0.20310049999999999</v>
      </c>
      <c r="X2392">
        <v>0.97711179999999997</v>
      </c>
      <c r="Y2392">
        <v>-0.39806940000000002</v>
      </c>
      <c r="Z2392">
        <v>-5.1024449999999999E-2</v>
      </c>
      <c r="AA2392">
        <v>0.91593519999999995</v>
      </c>
      <c r="AB2392">
        <v>33</v>
      </c>
      <c r="AC2392">
        <v>23.2335999999999</v>
      </c>
      <c r="AD2392">
        <v>1.6576169999999999</v>
      </c>
      <c r="AE2392">
        <v>-38.554699999999997</v>
      </c>
      <c r="AF2392">
        <v>-17.9849030403333</v>
      </c>
      <c r="AG2392">
        <v>1.6576169999999999</v>
      </c>
      <c r="AH2392">
        <v>41.198593340139098</v>
      </c>
      <c r="AI2392">
        <v>87.888211142068897</v>
      </c>
      <c r="AJ2392">
        <v>113.583274932466</v>
      </c>
      <c r="AK2392">
        <v>44.983647303159302</v>
      </c>
      <c r="AL2392">
        <v>78.281673113101803</v>
      </c>
      <c r="AM2392">
        <v>93.704657709862403</v>
      </c>
      <c r="AN2392">
        <v>0.99999998222752595</v>
      </c>
    </row>
    <row r="2393" spans="1:40" x14ac:dyDescent="0.25">
      <c r="A2393" t="str">
        <f>"20190303171023075"</f>
        <v>20190303171023075</v>
      </c>
      <c r="B2393" t="str">
        <f>"1551604223063370"</f>
        <v>1551604223063370</v>
      </c>
      <c r="C2393" t="s">
        <v>40</v>
      </c>
      <c r="D2393">
        <v>5.048298</v>
      </c>
      <c r="E2393">
        <v>0.36098140000000001</v>
      </c>
      <c r="F2393" t="s">
        <v>70</v>
      </c>
      <c r="G2393">
        <v>-470.5308</v>
      </c>
      <c r="H2393">
        <v>2.8382480000000001</v>
      </c>
      <c r="I2393">
        <v>197.7544</v>
      </c>
      <c r="J2393">
        <v>-493.7407</v>
      </c>
      <c r="K2393">
        <v>1.128118</v>
      </c>
      <c r="L2393">
        <v>235.81280000000001</v>
      </c>
      <c r="M2393">
        <v>0.13504579999999999</v>
      </c>
      <c r="N2393">
        <v>-1.4215469999999999E-2</v>
      </c>
      <c r="O2393">
        <v>-0.99073739999999999</v>
      </c>
      <c r="P2393">
        <v>0.19184180000000001</v>
      </c>
      <c r="Q2393">
        <v>0.19047130000000001</v>
      </c>
      <c r="R2393">
        <v>-0.96276569999999995</v>
      </c>
      <c r="S2393">
        <v>1.67865</v>
      </c>
      <c r="T2393">
        <v>0.1235502</v>
      </c>
      <c r="U2393">
        <v>-2.7624970000000002</v>
      </c>
      <c r="V2393">
        <v>-6.3490439999999995E-2</v>
      </c>
      <c r="W2393">
        <v>0.20333999999999999</v>
      </c>
      <c r="X2393">
        <v>0.97704749999999996</v>
      </c>
      <c r="Y2393">
        <v>-0.39846160000000003</v>
      </c>
      <c r="Z2393">
        <v>-5.258823E-2</v>
      </c>
      <c r="AA2393">
        <v>0.91567619999999905</v>
      </c>
      <c r="AB2393">
        <v>33</v>
      </c>
      <c r="AC2393">
        <v>23.209900000000001</v>
      </c>
      <c r="AD2393">
        <v>1.7101299999999999</v>
      </c>
      <c r="AE2393">
        <v>-38.058399999999999</v>
      </c>
      <c r="AF2393">
        <v>-17.830850605459499</v>
      </c>
      <c r="AG2393">
        <v>1.7101299999999999</v>
      </c>
      <c r="AH2393">
        <v>40.784382221519301</v>
      </c>
      <c r="AI2393">
        <v>87.799798093835193</v>
      </c>
      <c r="AJ2393">
        <v>113.614852988132</v>
      </c>
      <c r="AK2393">
        <v>44.544692289004502</v>
      </c>
      <c r="AL2393">
        <v>78.267658591791303</v>
      </c>
      <c r="AM2393">
        <v>93.717963445566895</v>
      </c>
      <c r="AN2393">
        <v>1.00000000441382</v>
      </c>
    </row>
    <row r="2394" spans="1:40" x14ac:dyDescent="0.25">
      <c r="A2394" t="str">
        <f>"20190303171023088"</f>
        <v>20190303171023088</v>
      </c>
      <c r="B2394" t="str">
        <f>"1551604223082889"</f>
        <v>1551604223082889</v>
      </c>
      <c r="C2394" t="s">
        <v>40</v>
      </c>
      <c r="D2394">
        <v>5.066122</v>
      </c>
      <c r="E2394">
        <v>0.36093710000000001</v>
      </c>
      <c r="F2394" t="s">
        <v>70</v>
      </c>
      <c r="G2394">
        <v>-470.18610000000001</v>
      </c>
      <c r="H2394">
        <v>2.9010530000000001</v>
      </c>
      <c r="I2394">
        <v>197.51820000000001</v>
      </c>
      <c r="J2394">
        <v>-493.70819999999998</v>
      </c>
      <c r="K2394">
        <v>1.128336</v>
      </c>
      <c r="L2394">
        <v>235.6112</v>
      </c>
      <c r="M2394">
        <v>0.14040710000000001</v>
      </c>
      <c r="N2394">
        <v>-1.424248E-2</v>
      </c>
      <c r="O2394">
        <v>-0.98999150000000002</v>
      </c>
      <c r="P2394">
        <v>0.1972217</v>
      </c>
      <c r="Q2394">
        <v>0.1907992</v>
      </c>
      <c r="R2394">
        <v>-0.9616133</v>
      </c>
      <c r="S2394">
        <v>1.693573</v>
      </c>
      <c r="T2394">
        <v>0.12747539999999999</v>
      </c>
      <c r="U2394">
        <v>-2.7533569999999998</v>
      </c>
      <c r="V2394">
        <v>-6.3785709999999995E-2</v>
      </c>
      <c r="W2394">
        <v>0.20365659999999999</v>
      </c>
      <c r="X2394">
        <v>0.97696229999999995</v>
      </c>
      <c r="Y2394">
        <v>-0.39842300000000003</v>
      </c>
      <c r="Z2394">
        <v>-5.3836170000000003E-2</v>
      </c>
      <c r="AA2394">
        <v>0.9156204</v>
      </c>
      <c r="AB2394">
        <v>33</v>
      </c>
      <c r="AC2394">
        <v>23.522099999999899</v>
      </c>
      <c r="AD2394">
        <v>1.7727169999999901</v>
      </c>
      <c r="AE2394">
        <v>-38.092999999999897</v>
      </c>
      <c r="AF2394">
        <v>-17.911886518607101</v>
      </c>
      <c r="AG2394">
        <v>1.7727169999999901</v>
      </c>
      <c r="AH2394">
        <v>40.954363109767897</v>
      </c>
      <c r="AI2394">
        <v>87.728951590296404</v>
      </c>
      <c r="AJ2394">
        <v>113.622745972896</v>
      </c>
      <c r="AK2394">
        <v>44.735199361847798</v>
      </c>
      <c r="AL2394">
        <v>78.249130792808899</v>
      </c>
      <c r="AM2394">
        <v>93.7355302719007</v>
      </c>
      <c r="AN2394">
        <v>0.99999998157252601</v>
      </c>
    </row>
    <row r="2395" spans="1:40" x14ac:dyDescent="0.25">
      <c r="A2395" t="str">
        <f>"20190303171023110"</f>
        <v>20190303171023110</v>
      </c>
      <c r="B2395" t="str">
        <f>"1551604223103387"</f>
        <v>1551604223103387</v>
      </c>
      <c r="C2395" t="s">
        <v>40</v>
      </c>
      <c r="D2395">
        <v>5.0905620000000003</v>
      </c>
      <c r="E2395">
        <v>0.36092180000000001</v>
      </c>
      <c r="F2395" t="s">
        <v>70</v>
      </c>
      <c r="G2395">
        <v>-469.9717</v>
      </c>
      <c r="H2395">
        <v>2.9674269999999998</v>
      </c>
      <c r="I2395">
        <v>197.51820000000001</v>
      </c>
      <c r="J2395">
        <v>-493.65679999999998</v>
      </c>
      <c r="K2395">
        <v>1.1286659999999999</v>
      </c>
      <c r="L2395">
        <v>235.3047</v>
      </c>
      <c r="M2395">
        <v>0.14883260000000001</v>
      </c>
      <c r="N2395">
        <v>-1.4285559999999999E-2</v>
      </c>
      <c r="O2395">
        <v>-0.98875930000000001</v>
      </c>
      <c r="P2395">
        <v>0.20659240000000001</v>
      </c>
      <c r="Q2395">
        <v>0.19132299999999999</v>
      </c>
      <c r="R2395">
        <v>-0.95953920000000004</v>
      </c>
      <c r="S2395">
        <v>1.709198</v>
      </c>
      <c r="T2395">
        <v>0.13242950000000001</v>
      </c>
      <c r="U2395">
        <v>-2.74295</v>
      </c>
      <c r="V2395">
        <v>-6.5189460000000005E-2</v>
      </c>
      <c r="W2395">
        <v>0.2041453</v>
      </c>
      <c r="X2395">
        <v>0.97676770000000002</v>
      </c>
      <c r="Y2395">
        <v>-0.39588570000000001</v>
      </c>
      <c r="Z2395">
        <v>-5.541604E-2</v>
      </c>
      <c r="AA2395">
        <v>0.91662619999999895</v>
      </c>
      <c r="AB2395">
        <v>33</v>
      </c>
      <c r="AC2395">
        <v>23.685099999999899</v>
      </c>
      <c r="AD2395">
        <v>1.8387610000000001</v>
      </c>
      <c r="AE2395">
        <v>-37.786499999999897</v>
      </c>
      <c r="AF2395">
        <v>-17.766610451822899</v>
      </c>
      <c r="AG2395">
        <v>1.8387610000000001</v>
      </c>
      <c r="AH2395">
        <v>40.821639089838797</v>
      </c>
      <c r="AI2395">
        <v>87.6349359696883</v>
      </c>
      <c r="AJ2395">
        <v>113.5198944711</v>
      </c>
      <c r="AK2395">
        <v>44.558273159347202</v>
      </c>
      <c r="AL2395">
        <v>78.220530345542201</v>
      </c>
      <c r="AM2395">
        <v>93.818256961091905</v>
      </c>
      <c r="AN2395">
        <v>1.0000000544852301</v>
      </c>
    </row>
    <row r="2396" spans="1:40" x14ac:dyDescent="0.25">
      <c r="A2396" t="str">
        <f>"20190303171023128"</f>
        <v>20190303171023128</v>
      </c>
      <c r="B2396" t="str">
        <f>"1551604223122906"</f>
        <v>1551604223122906</v>
      </c>
      <c r="C2396" t="s">
        <v>40</v>
      </c>
      <c r="D2396">
        <v>5.204593</v>
      </c>
      <c r="E2396">
        <v>0.36132550000000002</v>
      </c>
      <c r="F2396" t="s">
        <v>70</v>
      </c>
      <c r="G2396">
        <v>-469.58</v>
      </c>
      <c r="H2396">
        <v>3.0300919999999998</v>
      </c>
      <c r="I2396">
        <v>197.51820000000001</v>
      </c>
      <c r="J2396">
        <v>-493.60890000000001</v>
      </c>
      <c r="K2396">
        <v>1.1289689999999999</v>
      </c>
      <c r="L2396">
        <v>235.03550000000001</v>
      </c>
      <c r="M2396">
        <v>0.15655829999999901</v>
      </c>
      <c r="N2396">
        <v>-1.4327339999999999E-2</v>
      </c>
      <c r="O2396">
        <v>-0.98756469999999996</v>
      </c>
      <c r="P2396">
        <v>0.21641920000000001</v>
      </c>
      <c r="Q2396">
        <v>0.19135740000000001</v>
      </c>
      <c r="R2396">
        <v>-0.95736370000000004</v>
      </c>
      <c r="S2396">
        <v>1.7365109999999999</v>
      </c>
      <c r="T2396">
        <v>0.13714029999999999</v>
      </c>
      <c r="U2396">
        <v>-2.7252960000000002</v>
      </c>
      <c r="V2396">
        <v>-6.7724649999999997E-2</v>
      </c>
      <c r="W2396">
        <v>0.20412620000000001</v>
      </c>
      <c r="X2396">
        <v>0.9765992</v>
      </c>
      <c r="Y2396">
        <v>-0.3978894</v>
      </c>
      <c r="Z2396">
        <v>-5.692461E-2</v>
      </c>
      <c r="AA2396">
        <v>0.91566570000000003</v>
      </c>
      <c r="AB2396">
        <v>33</v>
      </c>
      <c r="AC2396">
        <v>24.0289</v>
      </c>
      <c r="AD2396">
        <v>1.9011229999999999</v>
      </c>
      <c r="AE2396">
        <v>-37.517299999999999</v>
      </c>
      <c r="AF2396">
        <v>-17.825825266738399</v>
      </c>
      <c r="AG2396">
        <v>1.9011229999999999</v>
      </c>
      <c r="AH2396">
        <v>40.742691933986102</v>
      </c>
      <c r="AI2396">
        <v>87.552147012467202</v>
      </c>
      <c r="AJ2396">
        <v>113.630437145507</v>
      </c>
      <c r="AK2396">
        <v>44.512259672242202</v>
      </c>
      <c r="AL2396">
        <v>78.221648367416805</v>
      </c>
      <c r="AM2396">
        <v>93.966964374720106</v>
      </c>
      <c r="AN2396">
        <v>1.00000006559234</v>
      </c>
    </row>
    <row r="2397" spans="1:40" x14ac:dyDescent="0.25">
      <c r="A2397" t="str">
        <f>"20190303171023142"</f>
        <v>20190303171023142</v>
      </c>
      <c r="B2397" t="str">
        <f>"1551604223132666"</f>
        <v>1551604223132666</v>
      </c>
      <c r="C2397" t="s">
        <v>40</v>
      </c>
      <c r="D2397">
        <v>5.1702360000000001</v>
      </c>
      <c r="E2397">
        <v>0.36144169999999998</v>
      </c>
      <c r="F2397" t="s">
        <v>70</v>
      </c>
      <c r="G2397">
        <v>-469.08359999999999</v>
      </c>
      <c r="H2397">
        <v>3.0167359999999999</v>
      </c>
      <c r="I2397">
        <v>197.345</v>
      </c>
      <c r="J2397">
        <v>-493.57170000000002</v>
      </c>
      <c r="K2397">
        <v>1.1291929999999999</v>
      </c>
      <c r="L2397">
        <v>234.83430000000001</v>
      </c>
      <c r="M2397">
        <v>0.16252239999999901</v>
      </c>
      <c r="N2397">
        <v>-1.436013E-2</v>
      </c>
      <c r="O2397">
        <v>-0.98660049999999999</v>
      </c>
      <c r="P2397">
        <v>0.2237017</v>
      </c>
      <c r="Q2397">
        <v>0.1914257</v>
      </c>
      <c r="R2397">
        <v>-0.95567480000000005</v>
      </c>
      <c r="S2397">
        <v>1.7622070000000001</v>
      </c>
      <c r="T2397">
        <v>0.13564279999999901</v>
      </c>
      <c r="U2397">
        <v>-2.708145</v>
      </c>
      <c r="V2397">
        <v>-6.9378170000000003E-2</v>
      </c>
      <c r="W2397">
        <v>0.2041579</v>
      </c>
      <c r="X2397">
        <v>0.97647640000000002</v>
      </c>
      <c r="Y2397">
        <v>-0.40111219999999997</v>
      </c>
      <c r="Z2397">
        <v>-5.6479580000000001E-2</v>
      </c>
      <c r="AA2397">
        <v>0.91428609999999999</v>
      </c>
      <c r="AB2397">
        <v>33</v>
      </c>
      <c r="AC2397">
        <v>24.488099999999999</v>
      </c>
      <c r="AD2397">
        <v>1.887543</v>
      </c>
      <c r="AE2397">
        <v>-37.4893</v>
      </c>
      <c r="AF2397">
        <v>-18.036932000114099</v>
      </c>
      <c r="AG2397">
        <v>1.887543</v>
      </c>
      <c r="AH2397">
        <v>40.898374662327697</v>
      </c>
      <c r="AI2397">
        <v>87.581963036317802</v>
      </c>
      <c r="AJ2397">
        <v>113.798357472418</v>
      </c>
      <c r="AK2397">
        <v>44.7389180085272</v>
      </c>
      <c r="AL2397">
        <v>78.219791868059403</v>
      </c>
      <c r="AM2397">
        <v>94.064007840453996</v>
      </c>
      <c r="AN2397">
        <v>0.99999996918095901</v>
      </c>
    </row>
    <row r="2398" spans="1:40" x14ac:dyDescent="0.25">
      <c r="A2398" t="str">
        <f>"20190303171023154"</f>
        <v>20190303171023154</v>
      </c>
      <c r="B2398" t="str">
        <f>"1551604223143402"</f>
        <v>1551604223143402</v>
      </c>
      <c r="C2398" t="s">
        <v>40</v>
      </c>
      <c r="D2398">
        <v>5.1402510000000001</v>
      </c>
      <c r="E2398">
        <v>0.36159560000000002</v>
      </c>
      <c r="F2398" t="s">
        <v>70</v>
      </c>
      <c r="G2398">
        <v>-468.78590000000003</v>
      </c>
      <c r="H2398">
        <v>3.030573</v>
      </c>
      <c r="I2398">
        <v>197.345</v>
      </c>
      <c r="J2398">
        <v>-493.53910000000002</v>
      </c>
      <c r="K2398">
        <v>1.1293820000000001</v>
      </c>
      <c r="L2398">
        <v>234.6628</v>
      </c>
      <c r="M2398">
        <v>0.16772020000000001</v>
      </c>
      <c r="N2398">
        <v>-1.4388359999999999E-2</v>
      </c>
      <c r="O2398">
        <v>-0.98572969999999904</v>
      </c>
      <c r="P2398">
        <v>0.2298907</v>
      </c>
      <c r="Q2398">
        <v>0.1917722</v>
      </c>
      <c r="R2398">
        <v>-0.95413490000000001</v>
      </c>
      <c r="S2398">
        <v>1.7816160000000001</v>
      </c>
      <c r="T2398">
        <v>0.13667389999999999</v>
      </c>
      <c r="U2398">
        <v>-2.6947329999999998</v>
      </c>
      <c r="V2398">
        <v>-7.0677089999999998E-2</v>
      </c>
      <c r="W2398">
        <v>0.2044735</v>
      </c>
      <c r="X2398">
        <v>0.9763172</v>
      </c>
      <c r="Y2398">
        <v>-0.40294970000000002</v>
      </c>
      <c r="Z2398">
        <v>-5.6824779999999998E-2</v>
      </c>
      <c r="AA2398">
        <v>0.9134563</v>
      </c>
      <c r="AB2398">
        <v>33</v>
      </c>
      <c r="AC2398">
        <v>24.7532</v>
      </c>
      <c r="AD2398">
        <v>1.9011910000000001</v>
      </c>
      <c r="AE2398">
        <v>-37.317799999999998</v>
      </c>
      <c r="AF2398">
        <v>-18.110249593540701</v>
      </c>
      <c r="AG2398">
        <v>1.9011910000000001</v>
      </c>
      <c r="AH2398">
        <v>40.8674492777604</v>
      </c>
      <c r="AI2398">
        <v>87.564574254803304</v>
      </c>
      <c r="AJ2398">
        <v>113.900338481576</v>
      </c>
      <c r="AK2398">
        <v>44.7408546859483</v>
      </c>
      <c r="AL2398">
        <v>78.2013196482567</v>
      </c>
      <c r="AM2398">
        <v>94.140506057658598</v>
      </c>
      <c r="AN2398">
        <v>0.99999996913447797</v>
      </c>
    </row>
    <row r="2399" spans="1:40" x14ac:dyDescent="0.25">
      <c r="A2399" t="str">
        <f>"20190303171023172"</f>
        <v>20190303171023172</v>
      </c>
      <c r="B2399" t="str">
        <f>"1551604223162921"</f>
        <v>1551604223162921</v>
      </c>
      <c r="C2399" t="s">
        <v>40</v>
      </c>
      <c r="D2399">
        <v>5.18032</v>
      </c>
      <c r="E2399">
        <v>0.3618615</v>
      </c>
      <c r="F2399" t="s">
        <v>70</v>
      </c>
      <c r="G2399">
        <v>-468.529</v>
      </c>
      <c r="H2399">
        <v>3.0522490000000002</v>
      </c>
      <c r="I2399">
        <v>197.345</v>
      </c>
      <c r="J2399">
        <v>-493.4871</v>
      </c>
      <c r="K2399">
        <v>1.1296710000000001</v>
      </c>
      <c r="L2399">
        <v>234.40299999999999</v>
      </c>
      <c r="M2399">
        <v>0.17587910000000001</v>
      </c>
      <c r="N2399">
        <v>-1.443408E-2</v>
      </c>
      <c r="O2399">
        <v>-0.98430600000000001</v>
      </c>
      <c r="P2399">
        <v>0.23975930000000001</v>
      </c>
      <c r="Q2399">
        <v>0.19318650000000001</v>
      </c>
      <c r="R2399">
        <v>-0.95141719999999996</v>
      </c>
      <c r="S2399">
        <v>1.7982180000000001</v>
      </c>
      <c r="T2399">
        <v>0.13825519999999999</v>
      </c>
      <c r="U2399">
        <v>-2.6831209999999999</v>
      </c>
      <c r="V2399">
        <v>-7.2930750000000003E-2</v>
      </c>
      <c r="W2399">
        <v>0.2058334</v>
      </c>
      <c r="X2399">
        <v>0.9758656</v>
      </c>
      <c r="Y2399">
        <v>-0.40108240000000001</v>
      </c>
      <c r="Z2399">
        <v>-5.7334759999999999E-2</v>
      </c>
      <c r="AA2399">
        <v>0.914246</v>
      </c>
      <c r="AB2399">
        <v>33</v>
      </c>
      <c r="AC2399">
        <v>24.958100000000002</v>
      </c>
      <c r="AD2399">
        <v>1.9225779999999999</v>
      </c>
      <c r="AE2399">
        <v>-37.0579999999999</v>
      </c>
      <c r="AF2399">
        <v>-18.017197526445798</v>
      </c>
      <c r="AG2399">
        <v>1.9225779999999999</v>
      </c>
      <c r="AH2399">
        <v>40.794737197388798</v>
      </c>
      <c r="AI2399">
        <v>87.5314670021951</v>
      </c>
      <c r="AJ2399">
        <v>113.828887631211</v>
      </c>
      <c r="AK2399">
        <v>44.637722790002002</v>
      </c>
      <c r="AL2399">
        <v>78.121709875609895</v>
      </c>
      <c r="AM2399">
        <v>94.274021553549701</v>
      </c>
      <c r="AN2399">
        <v>0.999999976057241</v>
      </c>
    </row>
    <row r="2400" spans="1:40" x14ac:dyDescent="0.25">
      <c r="A2400" t="str">
        <f>"20190303171023186"</f>
        <v>20190303171023186</v>
      </c>
      <c r="B2400" t="str">
        <f>"1551604223183418"</f>
        <v>1551604223183418</v>
      </c>
      <c r="C2400" t="s">
        <v>40</v>
      </c>
      <c r="D2400">
        <v>5.1520960000000002</v>
      </c>
      <c r="E2400">
        <v>0.3731159</v>
      </c>
      <c r="F2400" t="s">
        <v>70</v>
      </c>
      <c r="G2400">
        <v>-468.11500000000001</v>
      </c>
      <c r="H2400">
        <v>3.121928</v>
      </c>
      <c r="I2400">
        <v>197.345</v>
      </c>
      <c r="J2400">
        <v>-493.44740000000002</v>
      </c>
      <c r="K2400">
        <v>1.1298870000000001</v>
      </c>
      <c r="L2400">
        <v>234.2124</v>
      </c>
      <c r="M2400">
        <v>0.18206320000000001</v>
      </c>
      <c r="N2400">
        <v>-1.4469249999999999E-2</v>
      </c>
      <c r="O2400">
        <v>-0.98318059999999996</v>
      </c>
      <c r="P2400">
        <v>0.24647189999999999</v>
      </c>
      <c r="Q2400">
        <v>0.1937429</v>
      </c>
      <c r="R2400">
        <v>-0.94958719999999996</v>
      </c>
      <c r="S2400">
        <v>1.824219</v>
      </c>
      <c r="T2400">
        <v>0.1432426</v>
      </c>
      <c r="U2400">
        <v>-2.6644130000000001</v>
      </c>
      <c r="V2400">
        <v>-7.382917E-2</v>
      </c>
      <c r="W2400">
        <v>0.2063672</v>
      </c>
      <c r="X2400">
        <v>0.97568529999999998</v>
      </c>
      <c r="Y2400">
        <v>-0.40433910000000001</v>
      </c>
      <c r="Z2400">
        <v>-5.8934930000000003E-2</v>
      </c>
      <c r="AA2400">
        <v>0.91270830000000003</v>
      </c>
      <c r="AB2400">
        <v>33</v>
      </c>
      <c r="AC2400">
        <v>25.3324</v>
      </c>
      <c r="AD2400">
        <v>1.992041</v>
      </c>
      <c r="AE2400">
        <v>-36.867400000000004</v>
      </c>
      <c r="AF2400">
        <v>-18.1600133950631</v>
      </c>
      <c r="AG2400">
        <v>1.992041</v>
      </c>
      <c r="AH2400">
        <v>40.782798803450802</v>
      </c>
      <c r="AI2400">
        <v>87.445083044409998</v>
      </c>
      <c r="AJ2400">
        <v>114.002745307135</v>
      </c>
      <c r="AK2400">
        <v>44.687705155862503</v>
      </c>
      <c r="AL2400">
        <v>78.090454480045196</v>
      </c>
      <c r="AM2400">
        <v>94.327270172023802</v>
      </c>
      <c r="AN2400">
        <v>0.99999998610740903</v>
      </c>
    </row>
    <row r="2401" spans="1:40" x14ac:dyDescent="0.25">
      <c r="A2401" t="str">
        <f>"20190303171023205"</f>
        <v>20190303171023205</v>
      </c>
      <c r="B2401" t="str">
        <f>"1551604223193177"</f>
        <v>1551604223193177</v>
      </c>
      <c r="C2401" t="s">
        <v>40</v>
      </c>
      <c r="D2401">
        <v>5.2130340000000004</v>
      </c>
      <c r="E2401">
        <v>0.37381579999999998</v>
      </c>
      <c r="F2401" t="s">
        <v>70</v>
      </c>
      <c r="G2401">
        <v>-469.52460000000002</v>
      </c>
      <c r="H2401">
        <v>2.651424</v>
      </c>
      <c r="I2401">
        <v>197.7544</v>
      </c>
      <c r="J2401">
        <v>-493.38830000000002</v>
      </c>
      <c r="K2401">
        <v>1.1301920000000001</v>
      </c>
      <c r="L2401">
        <v>233.94030000000001</v>
      </c>
      <c r="M2401">
        <v>0.19114210000000001</v>
      </c>
      <c r="N2401">
        <v>-1.4521350000000001E-2</v>
      </c>
      <c r="O2401">
        <v>-0.98145499999999997</v>
      </c>
      <c r="P2401">
        <v>0.25628770000000001</v>
      </c>
      <c r="Q2401">
        <v>0.19552030000000001</v>
      </c>
      <c r="R2401">
        <v>-0.94661969999999995</v>
      </c>
      <c r="S2401">
        <v>1.758545</v>
      </c>
      <c r="T2401">
        <v>0.1118492</v>
      </c>
      <c r="U2401">
        <v>-2.6799930000000001</v>
      </c>
      <c r="V2401">
        <v>-7.5177880000000002E-2</v>
      </c>
      <c r="W2401">
        <v>0.20810770000000001</v>
      </c>
      <c r="X2401">
        <v>0.97521250000000004</v>
      </c>
      <c r="Y2401">
        <v>-0.37804670000000001</v>
      </c>
      <c r="Z2401">
        <v>-4.9235460000000002E-2</v>
      </c>
      <c r="AA2401">
        <v>0.92447639999999998</v>
      </c>
      <c r="AB2401">
        <v>33</v>
      </c>
      <c r="AC2401">
        <v>23.863699999999898</v>
      </c>
      <c r="AD2401">
        <v>1.5212319999999999</v>
      </c>
      <c r="AE2401">
        <v>-36.185899999999997</v>
      </c>
      <c r="AF2401">
        <v>-16.4859335112188</v>
      </c>
      <c r="AG2401">
        <v>1.5212319999999999</v>
      </c>
      <c r="AH2401">
        <v>40.031110099811698</v>
      </c>
      <c r="AI2401">
        <v>87.987561142138404</v>
      </c>
      <c r="AJ2401">
        <v>112.383237572384</v>
      </c>
      <c r="AK2401">
        <v>43.319625187175802</v>
      </c>
      <c r="AL2401">
        <v>77.988518047162898</v>
      </c>
      <c r="AM2401">
        <v>94.408139861435401</v>
      </c>
      <c r="AN2401">
        <v>0.99999997429841703</v>
      </c>
    </row>
    <row r="2402" spans="1:40" x14ac:dyDescent="0.25">
      <c r="A2402" t="str">
        <f>"20190303171023218"</f>
        <v>20190303171023218</v>
      </c>
      <c r="B2402" t="str">
        <f>"1551604223212697"</f>
        <v>1551604223212697</v>
      </c>
      <c r="C2402" t="s">
        <v>40</v>
      </c>
      <c r="D2402">
        <v>5.2075630000000004</v>
      </c>
      <c r="E2402">
        <v>0.37503150000000002</v>
      </c>
      <c r="F2402" t="s">
        <v>70</v>
      </c>
      <c r="G2402">
        <v>-469.18599999999998</v>
      </c>
      <c r="H2402">
        <v>2.6985700000000001</v>
      </c>
      <c r="I2402">
        <v>197.7544</v>
      </c>
      <c r="J2402">
        <v>-493.34629999999999</v>
      </c>
      <c r="K2402">
        <v>1.1304000000000001</v>
      </c>
      <c r="L2402">
        <v>233.75299999999999</v>
      </c>
      <c r="M2402">
        <v>0.19754759999999999</v>
      </c>
      <c r="N2402">
        <v>-1.455827E-2</v>
      </c>
      <c r="O2402">
        <v>-0.98018530000000004</v>
      </c>
      <c r="P2402">
        <v>0.26296520000000001</v>
      </c>
      <c r="Q2402">
        <v>0.19638240000000001</v>
      </c>
      <c r="R2402">
        <v>-0.94460759999999999</v>
      </c>
      <c r="S2402">
        <v>1.7811889999999999</v>
      </c>
      <c r="T2402">
        <v>0.115428</v>
      </c>
      <c r="U2402">
        <v>-2.663116</v>
      </c>
      <c r="V2402">
        <v>-7.5858179999999997E-2</v>
      </c>
      <c r="W2402">
        <v>0.20895179999999999</v>
      </c>
      <c r="X2402">
        <v>0.97497929999999999</v>
      </c>
      <c r="Y2402">
        <v>-0.38010579999999999</v>
      </c>
      <c r="Z2402">
        <v>-5.0390980000000002E-2</v>
      </c>
      <c r="AA2402">
        <v>0.92356930000000004</v>
      </c>
      <c r="AB2402">
        <v>33</v>
      </c>
      <c r="AC2402">
        <v>24.160299999999999</v>
      </c>
      <c r="AD2402">
        <v>1.5681700000000001</v>
      </c>
      <c r="AE2402">
        <v>-35.998599999999897</v>
      </c>
      <c r="AF2402">
        <v>-16.550235167671101</v>
      </c>
      <c r="AG2402">
        <v>1.5681700000000001</v>
      </c>
      <c r="AH2402">
        <v>40.0100029365639</v>
      </c>
      <c r="AI2402">
        <v>87.925760663148694</v>
      </c>
      <c r="AJ2402">
        <v>112.472552653796</v>
      </c>
      <c r="AK2402">
        <v>43.326317362983502</v>
      </c>
      <c r="AL2402">
        <v>77.939067589090698</v>
      </c>
      <c r="AM2402">
        <v>94.448930254519894</v>
      </c>
      <c r="AN2402">
        <v>0.999999976812321</v>
      </c>
    </row>
    <row r="2403" spans="1:40" x14ac:dyDescent="0.25">
      <c r="A2403" t="str">
        <f>"20190303171023230"</f>
        <v>20190303171023230</v>
      </c>
      <c r="B2403" t="str">
        <f>"1551604223222457"</f>
        <v>1551604223222457</v>
      </c>
      <c r="C2403" t="s">
        <v>40</v>
      </c>
      <c r="D2403">
        <v>5.2179120000000001</v>
      </c>
      <c r="E2403">
        <v>0.37572480000000003</v>
      </c>
      <c r="F2403" t="s">
        <v>70</v>
      </c>
      <c r="G2403">
        <v>-469.03879999999998</v>
      </c>
      <c r="H2403">
        <v>2.6794229999999999</v>
      </c>
      <c r="I2403">
        <v>197.7544</v>
      </c>
      <c r="J2403">
        <v>-493.30419999999998</v>
      </c>
      <c r="K2403">
        <v>1.1305959999999999</v>
      </c>
      <c r="L2403">
        <v>233.5729</v>
      </c>
      <c r="M2403">
        <v>0.20389370000000001</v>
      </c>
      <c r="N2403">
        <v>-1.4596390000000001E-2</v>
      </c>
      <c r="O2403">
        <v>-0.97888419999999998</v>
      </c>
      <c r="P2403">
        <v>0.26944620000000002</v>
      </c>
      <c r="Q2403">
        <v>0.1972901</v>
      </c>
      <c r="R2403">
        <v>-0.94258989999999998</v>
      </c>
      <c r="S2403">
        <v>1.79168699999999</v>
      </c>
      <c r="T2403">
        <v>0.114179</v>
      </c>
      <c r="U2403">
        <v>-2.6534119999999999</v>
      </c>
      <c r="V2403">
        <v>-7.63992E-2</v>
      </c>
      <c r="W2403">
        <v>0.20984700000000001</v>
      </c>
      <c r="X2403">
        <v>0.97474479999999997</v>
      </c>
      <c r="Y2403">
        <v>-0.3781967</v>
      </c>
      <c r="Z2403">
        <v>-5.001183E-2</v>
      </c>
      <c r="AA2403">
        <v>0.92437329999999995</v>
      </c>
      <c r="AB2403">
        <v>33</v>
      </c>
      <c r="AC2403">
        <v>24.2654</v>
      </c>
      <c r="AD2403">
        <v>1.548827</v>
      </c>
      <c r="AE2403">
        <v>-35.8185</v>
      </c>
      <c r="AF2403">
        <v>-16.430545661030301</v>
      </c>
      <c r="AG2403">
        <v>1.548827</v>
      </c>
      <c r="AH2403">
        <v>39.962773001324202</v>
      </c>
      <c r="AI2403">
        <v>87.947093814950904</v>
      </c>
      <c r="AJ2403">
        <v>112.349832277603</v>
      </c>
      <c r="AK2403">
        <v>43.236384235392499</v>
      </c>
      <c r="AL2403">
        <v>77.886613954080303</v>
      </c>
      <c r="AM2403">
        <v>94.481604766034096</v>
      </c>
      <c r="AN2403">
        <v>1.00000001314834</v>
      </c>
    </row>
    <row r="2404" spans="1:40" x14ac:dyDescent="0.25">
      <c r="A2404" t="str">
        <f>"20190303171023242"</f>
        <v>20190303171023242</v>
      </c>
      <c r="B2404" t="str">
        <f>"1551604223233193"</f>
        <v>1551604223233193</v>
      </c>
      <c r="C2404" t="s">
        <v>40</v>
      </c>
      <c r="D2404">
        <v>5.153079</v>
      </c>
      <c r="E2404">
        <v>0.37674439999999998</v>
      </c>
      <c r="F2404" t="s">
        <v>70</v>
      </c>
      <c r="G2404">
        <v>-468.84789999999998</v>
      </c>
      <c r="H2404">
        <v>2.6928519999999998</v>
      </c>
      <c r="I2404">
        <v>197.7544</v>
      </c>
      <c r="J2404">
        <v>-493.26400000000001</v>
      </c>
      <c r="K2404">
        <v>1.1307750000000001</v>
      </c>
      <c r="L2404">
        <v>233.4059</v>
      </c>
      <c r="M2404">
        <v>0.20988190000000001</v>
      </c>
      <c r="N2404">
        <v>-1.4631460000000001E-2</v>
      </c>
      <c r="O2404">
        <v>-0.97761730000000002</v>
      </c>
      <c r="P2404">
        <v>0.2755283</v>
      </c>
      <c r="Q2404">
        <v>0.19796269999999999</v>
      </c>
      <c r="R2404">
        <v>-0.94068859999999999</v>
      </c>
      <c r="S2404">
        <v>1.804443</v>
      </c>
      <c r="T2404">
        <v>0.1152687</v>
      </c>
      <c r="U2404">
        <v>-2.6427610000000001</v>
      </c>
      <c r="V2404">
        <v>-7.686722E-2</v>
      </c>
      <c r="W2404">
        <v>0.21050849999999999</v>
      </c>
      <c r="X2404">
        <v>0.97456529999999997</v>
      </c>
      <c r="Y2404">
        <v>-0.37729669999999998</v>
      </c>
      <c r="Z2404">
        <v>-5.0368360000000001E-2</v>
      </c>
      <c r="AA2404">
        <v>0.92472169999999998</v>
      </c>
      <c r="AB2404">
        <v>33</v>
      </c>
      <c r="AC2404">
        <v>24.4161</v>
      </c>
      <c r="AD2404">
        <v>1.5620769999999999</v>
      </c>
      <c r="AE2404">
        <v>-35.651499999999999</v>
      </c>
      <c r="AF2404">
        <v>-16.3673615219288</v>
      </c>
      <c r="AG2404">
        <v>1.5620769999999999</v>
      </c>
      <c r="AH2404">
        <v>39.930117065477702</v>
      </c>
      <c r="AI2404">
        <v>87.926948354298304</v>
      </c>
      <c r="AJ2404">
        <v>112.288731977308</v>
      </c>
      <c r="AK2404">
        <v>43.1826916322523</v>
      </c>
      <c r="AL2404">
        <v>77.847846219375498</v>
      </c>
      <c r="AM2404">
        <v>94.509773174591999</v>
      </c>
      <c r="AN2404">
        <v>0.99999996102343303</v>
      </c>
    </row>
    <row r="2405" spans="1:40" x14ac:dyDescent="0.25">
      <c r="A2405" t="str">
        <f>"20190303171023263"</f>
        <v>20190303171023263</v>
      </c>
      <c r="B2405" t="str">
        <f>"1551604223252713"</f>
        <v>1551604223252713</v>
      </c>
      <c r="C2405" t="s">
        <v>40</v>
      </c>
      <c r="D2405">
        <v>5.1967379999999999</v>
      </c>
      <c r="E2405">
        <v>0.38639240000000002</v>
      </c>
      <c r="F2405" t="s">
        <v>70</v>
      </c>
      <c r="G2405">
        <v>-468.69810000000001</v>
      </c>
      <c r="H2405">
        <v>2.6394630000000001</v>
      </c>
      <c r="I2405">
        <v>197.7544</v>
      </c>
      <c r="J2405">
        <v>-493.19159999999999</v>
      </c>
      <c r="K2405">
        <v>1.131068</v>
      </c>
      <c r="L2405">
        <v>233.11619999999999</v>
      </c>
      <c r="M2405">
        <v>0.22053200000000001</v>
      </c>
      <c r="N2405">
        <v>-1.469227E-2</v>
      </c>
      <c r="O2405">
        <v>-0.97526939999999995</v>
      </c>
      <c r="P2405">
        <v>0.28692719999999999</v>
      </c>
      <c r="Q2405">
        <v>0.19864309999999999</v>
      </c>
      <c r="R2405">
        <v>-0.93713069999999998</v>
      </c>
      <c r="S2405">
        <v>1.815002</v>
      </c>
      <c r="T2405">
        <v>0.1114686</v>
      </c>
      <c r="U2405">
        <v>-2.6340330000000001</v>
      </c>
      <c r="V2405">
        <v>-7.8276999999999999E-2</v>
      </c>
      <c r="W2405">
        <v>0.21115780000000001</v>
      </c>
      <c r="X2405">
        <v>0.97431259999999997</v>
      </c>
      <c r="Y2405">
        <v>-0.3711641</v>
      </c>
      <c r="Z2405">
        <v>-4.9142379999999999E-2</v>
      </c>
      <c r="AA2405">
        <v>0.92726600000000003</v>
      </c>
      <c r="AB2405">
        <v>33</v>
      </c>
      <c r="AC2405">
        <v>24.493499999999901</v>
      </c>
      <c r="AD2405">
        <v>1.5083949999999999</v>
      </c>
      <c r="AE2405">
        <v>-35.361799999999903</v>
      </c>
      <c r="AF2405">
        <v>-16.071322888284801</v>
      </c>
      <c r="AG2405">
        <v>1.5083949999999999</v>
      </c>
      <c r="AH2405">
        <v>39.844182642483702</v>
      </c>
      <c r="AI2405">
        <v>87.9892336871265</v>
      </c>
      <c r="AJ2405">
        <v>111.966896869179</v>
      </c>
      <c r="AK2405">
        <v>42.9897844295959</v>
      </c>
      <c r="AL2405">
        <v>77.809788769961898</v>
      </c>
      <c r="AM2405">
        <v>94.593319821317294</v>
      </c>
      <c r="AN2405">
        <v>0.99999997387429895</v>
      </c>
    </row>
    <row r="2406" spans="1:40" x14ac:dyDescent="0.25">
      <c r="A2406" t="str">
        <f>"20190303171023285"</f>
        <v>20190303171023285</v>
      </c>
      <c r="B2406" t="str">
        <f>"1551604223273209"</f>
        <v>1551604223273209</v>
      </c>
      <c r="C2406" t="s">
        <v>40</v>
      </c>
      <c r="D2406">
        <v>5.2101110000000004</v>
      </c>
      <c r="E2406">
        <v>0.38723780000000002</v>
      </c>
      <c r="F2406" t="s">
        <v>70</v>
      </c>
      <c r="G2406">
        <v>-469.12869999999998</v>
      </c>
      <c r="H2406">
        <v>1.9894320000000001</v>
      </c>
      <c r="I2406">
        <v>197.345</v>
      </c>
      <c r="J2406">
        <v>-493.11059999999998</v>
      </c>
      <c r="K2406">
        <v>1.131373</v>
      </c>
      <c r="L2406">
        <v>232.80850000000001</v>
      </c>
      <c r="M2406">
        <v>0.23220640000000001</v>
      </c>
      <c r="N2406">
        <v>-1.475742E-2</v>
      </c>
      <c r="O2406">
        <v>-0.97255480000000005</v>
      </c>
      <c r="P2406">
        <v>0.2995563</v>
      </c>
      <c r="Q2406">
        <v>0.19862079999999999</v>
      </c>
      <c r="R2406">
        <v>-0.93317550000000005</v>
      </c>
      <c r="S2406">
        <v>1.7781979999999999</v>
      </c>
      <c r="T2406">
        <v>6.3433530000000002E-2</v>
      </c>
      <c r="U2406">
        <v>-2.643402</v>
      </c>
      <c r="V2406">
        <v>-7.9919749999999998E-2</v>
      </c>
      <c r="W2406">
        <v>0.21110139999999999</v>
      </c>
      <c r="X2406">
        <v>0.97419149999999999</v>
      </c>
      <c r="Y2406">
        <v>-0.34988920000000001</v>
      </c>
      <c r="Z2406">
        <v>-3.3928180000000002E-2</v>
      </c>
      <c r="AA2406">
        <v>0.93617649999999997</v>
      </c>
      <c r="AB2406">
        <v>33</v>
      </c>
      <c r="AC2406">
        <v>23.9819</v>
      </c>
      <c r="AD2406">
        <v>0.85805899999999902</v>
      </c>
      <c r="AE2406">
        <v>-35.463500000000003</v>
      </c>
      <c r="AF2406">
        <v>-15.084440640817199</v>
      </c>
      <c r="AG2406">
        <v>0.85805899999999902</v>
      </c>
      <c r="AH2406">
        <v>40.047214219676199</v>
      </c>
      <c r="AI2406">
        <v>88.851318817663099</v>
      </c>
      <c r="AJ2406">
        <v>110.639706581502</v>
      </c>
      <c r="AK2406">
        <v>42.802523073417703</v>
      </c>
      <c r="AL2406">
        <v>77.813095384830902</v>
      </c>
      <c r="AM2406">
        <v>94.689871737673698</v>
      </c>
      <c r="AN2406">
        <v>1.00000002309713</v>
      </c>
    </row>
    <row r="2407" spans="1:40" x14ac:dyDescent="0.25">
      <c r="A2407" t="str">
        <f>"20190303171023310"</f>
        <v>20190303171023310</v>
      </c>
      <c r="B2407" t="str">
        <f>"1551604223302491"</f>
        <v>1551604223302491</v>
      </c>
      <c r="C2407" t="s">
        <v>40</v>
      </c>
      <c r="D2407">
        <v>5.1973250000000002</v>
      </c>
      <c r="E2407">
        <v>0.38885520000000001</v>
      </c>
      <c r="F2407" t="s">
        <v>70</v>
      </c>
      <c r="G2407">
        <v>-468.64069999999998</v>
      </c>
      <c r="H2407">
        <v>1.951282</v>
      </c>
      <c r="I2407">
        <v>197.345</v>
      </c>
      <c r="J2407">
        <v>-493.01780000000002</v>
      </c>
      <c r="K2407">
        <v>1.1316790000000001</v>
      </c>
      <c r="L2407">
        <v>232.47389999999999</v>
      </c>
      <c r="M2407">
        <v>0.24528179999999999</v>
      </c>
      <c r="N2407">
        <v>-1.482849E-2</v>
      </c>
      <c r="O2407">
        <v>-0.96933849999999999</v>
      </c>
      <c r="P2407">
        <v>0.31330930000000001</v>
      </c>
      <c r="Q2407">
        <v>0.19886480000000001</v>
      </c>
      <c r="R2407">
        <v>-0.92859590000000003</v>
      </c>
      <c r="S2407">
        <v>1.808716</v>
      </c>
      <c r="T2407">
        <v>6.0606720000000003E-2</v>
      </c>
      <c r="U2407">
        <v>-2.6213069999999998</v>
      </c>
      <c r="V2407">
        <v>-8.1380430000000004E-2</v>
      </c>
      <c r="W2407">
        <v>0.21131720000000001</v>
      </c>
      <c r="X2407">
        <v>0.9740238</v>
      </c>
      <c r="Y2407">
        <v>-0.34835840000000001</v>
      </c>
      <c r="Z2407">
        <v>-3.3001559999999999E-2</v>
      </c>
      <c r="AA2407">
        <v>0.93678030000000001</v>
      </c>
      <c r="AB2407">
        <v>33</v>
      </c>
      <c r="AC2407">
        <v>24.377099999999999</v>
      </c>
      <c r="AD2407">
        <v>0.81960299999999897</v>
      </c>
      <c r="AE2407">
        <v>-35.128899999999902</v>
      </c>
      <c r="AF2407">
        <v>-15.009316541574</v>
      </c>
      <c r="AG2407">
        <v>0.81960299999999897</v>
      </c>
      <c r="AH2407">
        <v>40.020748100214298</v>
      </c>
      <c r="AI2407">
        <v>88.901472772091495</v>
      </c>
      <c r="AJ2407">
        <v>110.55797310584499</v>
      </c>
      <c r="AK2407">
        <v>42.750574389399503</v>
      </c>
      <c r="AL2407">
        <v>77.800445898074997</v>
      </c>
      <c r="AM2407">
        <v>94.776013256715302</v>
      </c>
      <c r="AN2407">
        <v>1.0000000481846301</v>
      </c>
    </row>
    <row r="2408" spans="1:40" x14ac:dyDescent="0.25">
      <c r="A2408" t="str">
        <f>"20190303171023333"</f>
        <v>20190303171023333</v>
      </c>
      <c r="B2408" t="str">
        <f>"1551604223322985"</f>
        <v>1551604223322985</v>
      </c>
      <c r="C2408" t="s">
        <v>40</v>
      </c>
      <c r="D2408">
        <v>5.2203480000000004</v>
      </c>
      <c r="E2408">
        <v>0.39526630000000001</v>
      </c>
      <c r="F2408" t="s">
        <v>70</v>
      </c>
      <c r="G2408">
        <v>-468.18509999999998</v>
      </c>
      <c r="H2408">
        <v>1.9081319999999999</v>
      </c>
      <c r="I2408">
        <v>197.345</v>
      </c>
      <c r="J2408">
        <v>-492.91789999999997</v>
      </c>
      <c r="K2408">
        <v>1.131966</v>
      </c>
      <c r="L2408">
        <v>232.1327</v>
      </c>
      <c r="M2408">
        <v>0.25899100000000003</v>
      </c>
      <c r="N2408">
        <v>-1.4898679999999999E-2</v>
      </c>
      <c r="O2408">
        <v>-0.96576490000000004</v>
      </c>
      <c r="P2408">
        <v>0.32768900000000001</v>
      </c>
      <c r="Q2408">
        <v>0.1982023</v>
      </c>
      <c r="R2408">
        <v>-0.92376170000000002</v>
      </c>
      <c r="S2408">
        <v>1.8369450000000001</v>
      </c>
      <c r="T2408">
        <v>5.743873E-2</v>
      </c>
      <c r="U2408">
        <v>-2.5985719999999999</v>
      </c>
      <c r="V2408">
        <v>-8.2808069999999998E-2</v>
      </c>
      <c r="W2408">
        <v>0.2106306</v>
      </c>
      <c r="X2408">
        <v>0.97405209999999998</v>
      </c>
      <c r="Y2408">
        <v>-0.3457344</v>
      </c>
      <c r="Z2408">
        <v>-3.1962209999999998E-2</v>
      </c>
      <c r="AA2408">
        <v>0.93778790000000001</v>
      </c>
      <c r="AB2408">
        <v>33</v>
      </c>
      <c r="AC2408">
        <v>24.732800000000001</v>
      </c>
      <c r="AD2408">
        <v>0.77616599999999902</v>
      </c>
      <c r="AE2408">
        <v>-34.787700000000001</v>
      </c>
      <c r="AF2408">
        <v>-14.873101133311</v>
      </c>
      <c r="AG2408">
        <v>0.77616599999999902</v>
      </c>
      <c r="AH2408">
        <v>39.993525223886202</v>
      </c>
      <c r="AI2408">
        <v>88.957895652951507</v>
      </c>
      <c r="AJ2408">
        <v>110.39954997202101</v>
      </c>
      <c r="AK2408">
        <v>42.676616909202998</v>
      </c>
      <c r="AL2408">
        <v>77.840689937958103</v>
      </c>
      <c r="AM2408">
        <v>94.859259583713396</v>
      </c>
      <c r="AN2408">
        <v>0.99999995981394596</v>
      </c>
    </row>
    <row r="2409" spans="1:40" x14ac:dyDescent="0.25">
      <c r="A2409" t="str">
        <f>"20190303171023352"</f>
        <v>20190303171023352</v>
      </c>
      <c r="B2409" t="str">
        <f>"1551604223343485"</f>
        <v>1551604223343485</v>
      </c>
      <c r="C2409" t="s">
        <v>40</v>
      </c>
      <c r="D2409">
        <v>5.2085439999999998</v>
      </c>
      <c r="E2409">
        <v>0.39629340000000002</v>
      </c>
      <c r="F2409" t="s">
        <v>70</v>
      </c>
      <c r="G2409">
        <v>-468.32299999999998</v>
      </c>
      <c r="H2409">
        <v>1.5225200000000001</v>
      </c>
      <c r="I2409">
        <v>197.345</v>
      </c>
      <c r="J2409">
        <v>-492.8408</v>
      </c>
      <c r="K2409">
        <v>1.1321589999999999</v>
      </c>
      <c r="L2409">
        <v>231.88220000000001</v>
      </c>
      <c r="M2409">
        <v>0.26929950000000002</v>
      </c>
      <c r="N2409">
        <v>-1.494872E-2</v>
      </c>
      <c r="O2409">
        <v>-0.96294060000000004</v>
      </c>
      <c r="P2409">
        <v>0.33931699999999998</v>
      </c>
      <c r="Q2409">
        <v>0.1975615</v>
      </c>
      <c r="R2409">
        <v>-0.91969230000000002</v>
      </c>
      <c r="S2409">
        <v>1.8321529999999999</v>
      </c>
      <c r="T2409">
        <v>2.9096009999999999E-2</v>
      </c>
      <c r="U2409">
        <v>-2.591431</v>
      </c>
      <c r="V2409">
        <v>-8.4739809999999999E-2</v>
      </c>
      <c r="W2409">
        <v>0.2099482</v>
      </c>
      <c r="X2409">
        <v>0.97403340000000005</v>
      </c>
      <c r="Y2409">
        <v>-0.33587329999999999</v>
      </c>
      <c r="Z2409">
        <v>-2.2953990000000001E-2</v>
      </c>
      <c r="AA2409">
        <v>0.9416274</v>
      </c>
      <c r="AB2409">
        <v>33</v>
      </c>
      <c r="AC2409">
        <v>24.517799999999902</v>
      </c>
      <c r="AD2409">
        <v>0.39036100000000001</v>
      </c>
      <c r="AE2409">
        <v>-34.537199999999999</v>
      </c>
      <c r="AF2409">
        <v>-14.308715869525701</v>
      </c>
      <c r="AG2409">
        <v>0.39036100000000001</v>
      </c>
      <c r="AH2409">
        <v>39.860966198163901</v>
      </c>
      <c r="AI2409">
        <v>89.471907982516996</v>
      </c>
      <c r="AJ2409">
        <v>109.746392321855</v>
      </c>
      <c r="AK2409">
        <v>42.353138700647698</v>
      </c>
      <c r="AL2409">
        <v>77.8806842498349</v>
      </c>
      <c r="AM2409">
        <v>94.972149170321103</v>
      </c>
      <c r="AN2409">
        <v>1.0000000731988099</v>
      </c>
    </row>
    <row r="2410" spans="1:40" x14ac:dyDescent="0.25">
      <c r="A2410" t="str">
        <f>"20190303171023374"</f>
        <v>20190303171023374</v>
      </c>
      <c r="B2410" t="str">
        <f>"1551604223363005"</f>
        <v>1551604223363005</v>
      </c>
      <c r="C2410" t="s">
        <v>40</v>
      </c>
      <c r="D2410">
        <v>5.0746830000000003</v>
      </c>
      <c r="E2410">
        <v>0.39854919999999999</v>
      </c>
      <c r="F2410" t="s">
        <v>70</v>
      </c>
      <c r="G2410">
        <v>-467.90629999999999</v>
      </c>
      <c r="H2410">
        <v>1.466092</v>
      </c>
      <c r="I2410">
        <v>197.345</v>
      </c>
      <c r="J2410">
        <v>-492.7423</v>
      </c>
      <c r="K2410">
        <v>1.1323799999999999</v>
      </c>
      <c r="L2410">
        <v>231.57509999999999</v>
      </c>
      <c r="M2410">
        <v>0.28214230000000001</v>
      </c>
      <c r="N2410">
        <v>-1.5007070000000001E-2</v>
      </c>
      <c r="O2410">
        <v>-0.95925530000000003</v>
      </c>
      <c r="P2410">
        <v>0.353774599999999</v>
      </c>
      <c r="Q2410">
        <v>0.19734570000000001</v>
      </c>
      <c r="R2410">
        <v>-0.9142749</v>
      </c>
      <c r="S2410">
        <v>1.856598</v>
      </c>
      <c r="T2410">
        <v>2.4866820000000001E-2</v>
      </c>
      <c r="U2410">
        <v>-2.5715940000000002</v>
      </c>
      <c r="V2410">
        <v>-8.7184960000000006E-2</v>
      </c>
      <c r="W2410">
        <v>0.20967720000000001</v>
      </c>
      <c r="X2410">
        <v>0.97387590000000002</v>
      </c>
      <c r="Y2410">
        <v>-0.33262609999999998</v>
      </c>
      <c r="Z2410">
        <v>-2.157075E-2</v>
      </c>
      <c r="AA2410">
        <v>0.94281199999999998</v>
      </c>
      <c r="AB2410">
        <v>33</v>
      </c>
      <c r="AC2410">
        <v>24.835999999999999</v>
      </c>
      <c r="AD2410">
        <v>0.33371200000000001</v>
      </c>
      <c r="AE2410">
        <v>-34.230099999999901</v>
      </c>
      <c r="AF2410">
        <v>-14.1670172911014</v>
      </c>
      <c r="AG2410">
        <v>0.33371200000000001</v>
      </c>
      <c r="AH2410">
        <v>39.844692952592801</v>
      </c>
      <c r="AI2410">
        <v>89.547868489657205</v>
      </c>
      <c r="AJ2410">
        <v>109.57314542915</v>
      </c>
      <c r="AK2410">
        <v>42.289659482096901</v>
      </c>
      <c r="AL2410">
        <v>77.896564069412804</v>
      </c>
      <c r="AM2410">
        <v>95.115691889890599</v>
      </c>
      <c r="AN2410">
        <v>1.00000000702542</v>
      </c>
    </row>
    <row r="2411" spans="1:40" x14ac:dyDescent="0.25">
      <c r="A2411" t="str">
        <f>"20190303171023388"</f>
        <v>20190303171023388</v>
      </c>
      <c r="B2411" t="str">
        <f>"1551604223372762"</f>
        <v>1551604223372762</v>
      </c>
      <c r="C2411" t="s">
        <v>40</v>
      </c>
      <c r="D2411">
        <v>5.2194450000000003</v>
      </c>
      <c r="E2411">
        <v>0.39854919999999999</v>
      </c>
      <c r="F2411" t="s">
        <v>70</v>
      </c>
      <c r="G2411">
        <v>-467.4314</v>
      </c>
      <c r="H2411">
        <v>6.0535769999999998</v>
      </c>
      <c r="I2411">
        <v>197.345</v>
      </c>
      <c r="J2411">
        <v>-492.68079999999998</v>
      </c>
      <c r="K2411">
        <v>1.1324989999999999</v>
      </c>
      <c r="L2411">
        <v>231.392</v>
      </c>
      <c r="M2411">
        <v>0.28993279999999999</v>
      </c>
      <c r="N2411">
        <v>-1.504021E-2</v>
      </c>
      <c r="O2411">
        <v>-0.95692900000000003</v>
      </c>
      <c r="P2411">
        <v>0.36173499999999997</v>
      </c>
      <c r="Q2411">
        <v>0.19777449999999999</v>
      </c>
      <c r="R2411">
        <v>-0.91106169999999997</v>
      </c>
      <c r="S2411">
        <v>1.8420719999999999</v>
      </c>
      <c r="T2411">
        <v>0.35815429999999998</v>
      </c>
      <c r="U2411">
        <v>-2.4911799999999999</v>
      </c>
      <c r="V2411">
        <v>-8.7860939999999998E-2</v>
      </c>
      <c r="W2411">
        <v>0.21009410000000001</v>
      </c>
      <c r="X2411">
        <v>0.97372530000000002</v>
      </c>
      <c r="Y2411">
        <v>-0.3309396</v>
      </c>
      <c r="Z2411">
        <v>-0.12917680000000001</v>
      </c>
      <c r="AA2411">
        <v>0.93476859999999995</v>
      </c>
      <c r="AB2411">
        <v>33</v>
      </c>
      <c r="AC2411">
        <v>25.249399999999898</v>
      </c>
      <c r="AD2411">
        <v>4.9210779999999996</v>
      </c>
      <c r="AE2411">
        <v>-34.046999999999997</v>
      </c>
      <c r="AF2411">
        <v>-14.1020819898193</v>
      </c>
      <c r="AG2411">
        <v>4.9210779999999996</v>
      </c>
      <c r="AH2411">
        <v>39.374986825336201</v>
      </c>
      <c r="AI2411">
        <v>83.289363974878</v>
      </c>
      <c r="AJ2411">
        <v>109.704895352115</v>
      </c>
      <c r="AK2411">
        <v>42.1126502683585</v>
      </c>
      <c r="AL2411">
        <v>77.872133418172396</v>
      </c>
      <c r="AM2411">
        <v>95.155936018197394</v>
      </c>
      <c r="AN2411">
        <v>1.00000001774629</v>
      </c>
    </row>
    <row r="2412" spans="1:40" x14ac:dyDescent="0.25">
      <c r="A2412" t="str">
        <f>"20190303171023407"</f>
        <v>20190303171023407</v>
      </c>
      <c r="B2412" t="str">
        <f>"1551604223403018"</f>
        <v>1551604223403018</v>
      </c>
      <c r="C2412" t="s">
        <v>40</v>
      </c>
      <c r="D2412">
        <v>5.2017910000000001</v>
      </c>
      <c r="E2412">
        <v>0.40469769999999999</v>
      </c>
      <c r="F2412" t="s">
        <v>70</v>
      </c>
      <c r="G2412">
        <v>-467.04360000000003</v>
      </c>
      <c r="H2412">
        <v>6.0713140000000001</v>
      </c>
      <c r="I2412">
        <v>197.345</v>
      </c>
      <c r="J2412">
        <v>-492.58949999999999</v>
      </c>
      <c r="K2412">
        <v>1.1326560000000001</v>
      </c>
      <c r="L2412">
        <v>231.12700000000001</v>
      </c>
      <c r="M2412">
        <v>0.30129509999999998</v>
      </c>
      <c r="N2412">
        <v>-1.5084770000000001E-2</v>
      </c>
      <c r="O2412">
        <v>-0.95341160000000003</v>
      </c>
      <c r="P2412">
        <v>0.37313869999999999</v>
      </c>
      <c r="Q2412">
        <v>0.19852310000000001</v>
      </c>
      <c r="R2412">
        <v>-0.90628730000000002</v>
      </c>
      <c r="S2412">
        <v>1.8636470000000001</v>
      </c>
      <c r="T2412">
        <v>0.35901739999999999</v>
      </c>
      <c r="U2412">
        <v>-2.4749599999999998</v>
      </c>
      <c r="V2412">
        <v>-8.8648870000000005E-2</v>
      </c>
      <c r="W2412">
        <v>0.2108302</v>
      </c>
      <c r="X2412">
        <v>0.97349479999999999</v>
      </c>
      <c r="Y2412">
        <v>-0.3278585</v>
      </c>
      <c r="Z2412">
        <v>-0.1291842</v>
      </c>
      <c r="AA2412">
        <v>0.93585260000000003</v>
      </c>
      <c r="AB2412">
        <v>33</v>
      </c>
      <c r="AC2412">
        <v>25.5458999999999</v>
      </c>
      <c r="AD2412">
        <v>4.9386580000000002</v>
      </c>
      <c r="AE2412">
        <v>-33.781999999999996</v>
      </c>
      <c r="AF2412">
        <v>-13.9888153583593</v>
      </c>
      <c r="AG2412">
        <v>4.9386580000000002</v>
      </c>
      <c r="AH2412">
        <v>39.374180042450803</v>
      </c>
      <c r="AI2412">
        <v>83.259412648799994</v>
      </c>
      <c r="AJ2412">
        <v>109.559052389051</v>
      </c>
      <c r="AK2412">
        <v>42.076161326653398</v>
      </c>
      <c r="AL2412">
        <v>77.828992235152597</v>
      </c>
      <c r="AM2412">
        <v>95.203146420733802</v>
      </c>
      <c r="AN2412">
        <v>1.00000006050567</v>
      </c>
    </row>
    <row r="2413" spans="1:40" x14ac:dyDescent="0.25">
      <c r="A2413" t="str">
        <f>"20190303171023434"</f>
        <v>20190303171023434</v>
      </c>
      <c r="B2413" t="str">
        <f>"1551604223423513"</f>
        <v>1551604223423513</v>
      </c>
      <c r="C2413" t="s">
        <v>40</v>
      </c>
      <c r="D2413">
        <v>5.1905239999999999</v>
      </c>
      <c r="E2413">
        <v>0.40536879999999997</v>
      </c>
      <c r="F2413" t="s">
        <v>70</v>
      </c>
      <c r="G2413">
        <v>-467.36790000000002</v>
      </c>
      <c r="H2413">
        <v>1.3631719999999901</v>
      </c>
      <c r="I2413">
        <v>197.345</v>
      </c>
      <c r="J2413">
        <v>-492.46089999999998</v>
      </c>
      <c r="K2413">
        <v>1.132825</v>
      </c>
      <c r="L2413">
        <v>230.7704</v>
      </c>
      <c r="M2413">
        <v>0.31676130000000002</v>
      </c>
      <c r="N2413">
        <v>-1.5137889999999999E-2</v>
      </c>
      <c r="O2413">
        <v>-0.94838460000000002</v>
      </c>
      <c r="P2413">
        <v>0.38781559999999998</v>
      </c>
      <c r="Q2413">
        <v>0.1995789</v>
      </c>
      <c r="R2413">
        <v>-0.89987090000000003</v>
      </c>
      <c r="S2413">
        <v>1.888153</v>
      </c>
      <c r="T2413">
        <v>1.7259599999999899E-2</v>
      </c>
      <c r="U2413">
        <v>-2.5289920000000001</v>
      </c>
      <c r="V2413">
        <v>-8.8829389999999994E-2</v>
      </c>
      <c r="W2413">
        <v>0.21189459999999999</v>
      </c>
      <c r="X2413">
        <v>0.97324719999999998</v>
      </c>
      <c r="Y2413">
        <v>-0.31345450000000002</v>
      </c>
      <c r="Z2413">
        <v>-1.9051499999999999E-2</v>
      </c>
      <c r="AA2413">
        <v>0.94941209999999998</v>
      </c>
      <c r="AB2413">
        <v>33</v>
      </c>
      <c r="AC2413">
        <v>25.0929999999999</v>
      </c>
      <c r="AD2413">
        <v>0.230346999999999</v>
      </c>
      <c r="AE2413">
        <v>-33.425400000000003</v>
      </c>
      <c r="AF2413">
        <v>-13.211052677528</v>
      </c>
      <c r="AG2413">
        <v>0.230346999999999</v>
      </c>
      <c r="AH2413">
        <v>39.651960691312198</v>
      </c>
      <c r="AI2413">
        <v>89.684224833060597</v>
      </c>
      <c r="AJ2413">
        <v>108.42679766935601</v>
      </c>
      <c r="AK2413">
        <v>41.795489699897097</v>
      </c>
      <c r="AL2413">
        <v>77.766596793385006</v>
      </c>
      <c r="AM2413">
        <v>95.2150025877378</v>
      </c>
      <c r="AN2413">
        <v>1.00000004717238</v>
      </c>
    </row>
    <row r="2414" spans="1:40" x14ac:dyDescent="0.25">
      <c r="A2414" t="str">
        <f>"20190303171023453"</f>
        <v>20190303171023453</v>
      </c>
      <c r="B2414" t="str">
        <f>"1551604223443033"</f>
        <v>1551604223443033</v>
      </c>
      <c r="C2414" t="s">
        <v>40</v>
      </c>
      <c r="D2414">
        <v>5.1871090000000004</v>
      </c>
      <c r="E2414">
        <v>0.4068466</v>
      </c>
      <c r="F2414" t="s">
        <v>70</v>
      </c>
      <c r="G2414">
        <v>-466.7475</v>
      </c>
      <c r="H2414">
        <v>1.4084030000000001</v>
      </c>
      <c r="I2414">
        <v>197.345</v>
      </c>
      <c r="J2414">
        <v>-492.36020000000002</v>
      </c>
      <c r="K2414">
        <v>1.1329279999999999</v>
      </c>
      <c r="L2414">
        <v>230.50380000000001</v>
      </c>
      <c r="M2414">
        <v>0.32844139999999999</v>
      </c>
      <c r="N2414">
        <v>-1.5172420000000001E-2</v>
      </c>
      <c r="O2414">
        <v>-0.94440259999999998</v>
      </c>
      <c r="P2414">
        <v>0.39853359999999999</v>
      </c>
      <c r="Q2414">
        <v>0.20074890000000001</v>
      </c>
      <c r="R2414">
        <v>-0.89491390000000004</v>
      </c>
      <c r="S2414">
        <v>1.9234309999999999</v>
      </c>
      <c r="T2414">
        <v>2.0616530000000001E-2</v>
      </c>
      <c r="U2414">
        <v>-2.5002900000000001</v>
      </c>
      <c r="V2414">
        <v>-8.8612490000000002E-2</v>
      </c>
      <c r="W2414">
        <v>0.21308089999999999</v>
      </c>
      <c r="X2414">
        <v>0.97300790000000004</v>
      </c>
      <c r="Y2414">
        <v>-0.31540000000000001</v>
      </c>
      <c r="Z2414">
        <v>-2.0042850000000001E-2</v>
      </c>
      <c r="AA2414">
        <v>0.94874709999999995</v>
      </c>
      <c r="AB2414">
        <v>33</v>
      </c>
      <c r="AC2414">
        <v>25.6127</v>
      </c>
      <c r="AD2414">
        <v>0.27547499999999903</v>
      </c>
      <c r="AE2414">
        <v>-33.158799999999999</v>
      </c>
      <c r="AF2414">
        <v>-13.2989322708013</v>
      </c>
      <c r="AG2414">
        <v>0.27547499999999903</v>
      </c>
      <c r="AH2414">
        <v>39.7303795108473</v>
      </c>
      <c r="AI2414">
        <v>89.623283284339905</v>
      </c>
      <c r="AJ2414">
        <v>108.50691651034801</v>
      </c>
      <c r="AK2414">
        <v>41.897977780495999</v>
      </c>
      <c r="AL2414">
        <v>77.697037868917207</v>
      </c>
      <c r="AM2414">
        <v>95.203611194349705</v>
      </c>
      <c r="AN2414">
        <v>1.00000000839561</v>
      </c>
    </row>
    <row r="2415" spans="1:40" x14ac:dyDescent="0.25">
      <c r="A2415" t="str">
        <f>"20190303171023479"</f>
        <v>20190303171023479</v>
      </c>
      <c r="B2415" t="str">
        <f>"1551604223473290"</f>
        <v>1551604223473290</v>
      </c>
      <c r="C2415" t="s">
        <v>40</v>
      </c>
      <c r="D2415">
        <v>5.1926649999999999</v>
      </c>
      <c r="E2415">
        <v>0.41524889999999998</v>
      </c>
      <c r="F2415" t="s">
        <v>70</v>
      </c>
      <c r="G2415">
        <v>-466.42090000000002</v>
      </c>
      <c r="H2415">
        <v>1.38703</v>
      </c>
      <c r="I2415">
        <v>197.345</v>
      </c>
      <c r="J2415">
        <v>-492.23270000000002</v>
      </c>
      <c r="K2415">
        <v>1.133024</v>
      </c>
      <c r="L2415">
        <v>230.1798</v>
      </c>
      <c r="M2415">
        <v>0.342728599999999</v>
      </c>
      <c r="N2415">
        <v>-1.5208620000000001E-2</v>
      </c>
      <c r="O2415">
        <v>-0.93931160000000002</v>
      </c>
      <c r="P2415">
        <v>0.4116572</v>
      </c>
      <c r="Q2415">
        <v>0.20123060000000001</v>
      </c>
      <c r="R2415">
        <v>-0.88884509999999906</v>
      </c>
      <c r="S2415">
        <v>1.9424129999999999</v>
      </c>
      <c r="T2415">
        <v>1.9030450000000001E-2</v>
      </c>
      <c r="U2415">
        <v>-2.4830169999999998</v>
      </c>
      <c r="V2415">
        <v>-8.8272149999999994E-2</v>
      </c>
      <c r="W2415">
        <v>0.21358640000000001</v>
      </c>
      <c r="X2415">
        <v>0.97292800000000002</v>
      </c>
      <c r="Y2415">
        <v>-0.30870180000000003</v>
      </c>
      <c r="Z2415">
        <v>-1.9459440000000001E-2</v>
      </c>
      <c r="AA2415">
        <v>0.95095980000000002</v>
      </c>
      <c r="AB2415">
        <v>33</v>
      </c>
      <c r="AC2415">
        <v>25.811800000000002</v>
      </c>
      <c r="AD2415">
        <v>0.25400599999999901</v>
      </c>
      <c r="AE2415">
        <v>-32.834800000000001</v>
      </c>
      <c r="AF2415">
        <v>-12.9929172392472</v>
      </c>
      <c r="AG2415">
        <v>0.25400599999999901</v>
      </c>
      <c r="AH2415">
        <v>39.691663872364103</v>
      </c>
      <c r="AI2415">
        <v>89.6515362352457</v>
      </c>
      <c r="AJ2415">
        <v>108.125665051898</v>
      </c>
      <c r="AK2415">
        <v>41.764920667836698</v>
      </c>
      <c r="AL2415">
        <v>77.667392390276206</v>
      </c>
      <c r="AM2415">
        <v>95.184157808731499</v>
      </c>
      <c r="AN2415">
        <v>1.0000000079572899</v>
      </c>
    </row>
    <row r="2416" spans="1:40" x14ac:dyDescent="0.25">
      <c r="A2416" t="str">
        <f>"20190303171023500"</f>
        <v>20190303171023500</v>
      </c>
      <c r="B2416" t="str">
        <f>"1551604223492809"</f>
        <v>1551604223492809</v>
      </c>
      <c r="C2416" t="s">
        <v>40</v>
      </c>
      <c r="D2416">
        <v>5.210089</v>
      </c>
      <c r="E2416">
        <v>0.41636450000000003</v>
      </c>
      <c r="F2416" t="s">
        <v>70</v>
      </c>
      <c r="G2416">
        <v>-466.87950000000001</v>
      </c>
      <c r="H2416">
        <v>1.1366620000000001</v>
      </c>
      <c r="I2416">
        <v>197.345</v>
      </c>
      <c r="J2416">
        <v>-492.11419999999998</v>
      </c>
      <c r="K2416">
        <v>1.1330849999999999</v>
      </c>
      <c r="L2416">
        <v>229.89150000000001</v>
      </c>
      <c r="M2416">
        <v>0.35551090000000002</v>
      </c>
      <c r="N2416">
        <v>-1.5236619999999999E-2</v>
      </c>
      <c r="O2416">
        <v>-0.93454809999999999</v>
      </c>
      <c r="P2416">
        <v>0.42322409999999999</v>
      </c>
      <c r="Q2416">
        <v>0.2008693</v>
      </c>
      <c r="R2416">
        <v>-0.88347809999999904</v>
      </c>
      <c r="S2416">
        <v>1.9196169999999999</v>
      </c>
      <c r="T2416">
        <v>2.7799610000000001E-4</v>
      </c>
      <c r="U2416">
        <v>-2.4860690000000001</v>
      </c>
      <c r="V2416">
        <v>-8.7694519999999998E-2</v>
      </c>
      <c r="W2416">
        <v>0.213257</v>
      </c>
      <c r="X2416">
        <v>0.97305249999999999</v>
      </c>
      <c r="Y2416">
        <v>-0.28971229999999998</v>
      </c>
      <c r="Z2416">
        <v>-1.3526089999999999E-2</v>
      </c>
      <c r="AA2416">
        <v>0.95701820000000004</v>
      </c>
      <c r="AB2416">
        <v>33</v>
      </c>
      <c r="AC2416">
        <v>25.234699999999901</v>
      </c>
      <c r="AD2416">
        <v>3.57699999999994E-3</v>
      </c>
      <c r="AE2416">
        <v>-32.546500000000002</v>
      </c>
      <c r="AF2416">
        <v>-12.0137981144759</v>
      </c>
      <c r="AG2416">
        <v>3.57699999999994E-3</v>
      </c>
      <c r="AH2416">
        <v>39.392047111247599</v>
      </c>
      <c r="AI2416">
        <v>89.995023541793103</v>
      </c>
      <c r="AJ2416">
        <v>106.960672909941</v>
      </c>
      <c r="AK2416">
        <v>41.183306491163002</v>
      </c>
      <c r="AL2416">
        <v>77.6867108904178</v>
      </c>
      <c r="AM2416">
        <v>95.149761635014002</v>
      </c>
      <c r="AN2416">
        <v>1.0000000223216301</v>
      </c>
    </row>
    <row r="2417" spans="1:40" x14ac:dyDescent="0.25">
      <c r="A2417" t="str">
        <f>"20190303171023522"</f>
        <v>20190303171023522</v>
      </c>
      <c r="B2417" t="str">
        <f>"1551604223513306"</f>
        <v>1551604223513306</v>
      </c>
      <c r="C2417" t="s">
        <v>40</v>
      </c>
      <c r="D2417">
        <v>5.2041230000000001</v>
      </c>
      <c r="E2417">
        <v>0.41782429999999898</v>
      </c>
      <c r="F2417" t="s">
        <v>70</v>
      </c>
      <c r="G2417">
        <v>-466.45609999999999</v>
      </c>
      <c r="H2417">
        <v>1.068219</v>
      </c>
      <c r="I2417">
        <v>197.345</v>
      </c>
      <c r="J2417">
        <v>-491.99220000000003</v>
      </c>
      <c r="K2417">
        <v>1.1331230000000001</v>
      </c>
      <c r="L2417">
        <v>229.60570000000001</v>
      </c>
      <c r="M2417">
        <v>0.36822929999999998</v>
      </c>
      <c r="N2417">
        <v>-1.526069E-2</v>
      </c>
      <c r="O2417">
        <v>-0.92960980000000004</v>
      </c>
      <c r="P2417">
        <v>0.43513770000000002</v>
      </c>
      <c r="Q2417">
        <v>0.20016729999999999</v>
      </c>
      <c r="R2417">
        <v>-0.87783140000000004</v>
      </c>
      <c r="S2417">
        <v>1.9438169999999999</v>
      </c>
      <c r="T2417">
        <v>-4.9114229999999998E-3</v>
      </c>
      <c r="U2417">
        <v>-2.465652</v>
      </c>
      <c r="V2417">
        <v>-8.7530579999999997E-2</v>
      </c>
      <c r="W2417">
        <v>0.21257499999999999</v>
      </c>
      <c r="X2417">
        <v>0.97321650000000004</v>
      </c>
      <c r="Y2417">
        <v>-0.2863039</v>
      </c>
      <c r="Z2417">
        <v>-1.182764E-2</v>
      </c>
      <c r="AA2417">
        <v>0.95806590000000003</v>
      </c>
      <c r="AB2417">
        <v>32</v>
      </c>
      <c r="AC2417">
        <v>25.536100000000001</v>
      </c>
      <c r="AD2417">
        <v>-6.4903999999999795E-2</v>
      </c>
      <c r="AE2417">
        <v>-32.2607</v>
      </c>
      <c r="AF2417">
        <v>-11.860624995490999</v>
      </c>
      <c r="AG2417">
        <v>-6.4903999999999795E-2</v>
      </c>
      <c r="AH2417">
        <v>39.397491257557803</v>
      </c>
      <c r="AI2417">
        <v>90.090382884372104</v>
      </c>
      <c r="AJ2417">
        <v>106.754435124369</v>
      </c>
      <c r="AK2417">
        <v>41.144148492856601</v>
      </c>
      <c r="AL2417">
        <v>77.7267039011642</v>
      </c>
      <c r="AM2417">
        <v>95.139324513382306</v>
      </c>
      <c r="AN2417">
        <v>1.0000000444661901</v>
      </c>
    </row>
    <row r="2418" spans="1:40" x14ac:dyDescent="0.25">
      <c r="A2418" t="str">
        <f>"20190303171023545"</f>
        <v>20190303171023545</v>
      </c>
      <c r="B2418" t="str">
        <f>"1551604223533035"</f>
        <v>1551604223533035</v>
      </c>
      <c r="C2418" t="s">
        <v>40</v>
      </c>
      <c r="D2418">
        <v>5.1894689999999999</v>
      </c>
      <c r="E2418">
        <v>0.41850850000000001</v>
      </c>
      <c r="F2418" t="s">
        <v>70</v>
      </c>
      <c r="G2418">
        <v>-466.04500000000002</v>
      </c>
      <c r="H2418">
        <v>0.94518999999999997</v>
      </c>
      <c r="I2418">
        <v>197.345</v>
      </c>
      <c r="J2418">
        <v>-491.85649999999998</v>
      </c>
      <c r="K2418">
        <v>1.1331450000000001</v>
      </c>
      <c r="L2418">
        <v>229.30009999999999</v>
      </c>
      <c r="M2418">
        <v>0.3818703</v>
      </c>
      <c r="N2418">
        <v>-1.528299E-2</v>
      </c>
      <c r="O2418">
        <v>-0.92408979999999996</v>
      </c>
      <c r="P2418">
        <v>0.4477701</v>
      </c>
      <c r="Q2418">
        <v>0.1988887</v>
      </c>
      <c r="R2418">
        <v>-0.87174859999999899</v>
      </c>
      <c r="S2418">
        <v>1.9670719999999999</v>
      </c>
      <c r="T2418">
        <v>-1.4244679999999999E-2</v>
      </c>
      <c r="U2418">
        <v>-2.445694</v>
      </c>
      <c r="V2418">
        <v>-8.7136630000000007E-2</v>
      </c>
      <c r="W2418">
        <v>0.2113247</v>
      </c>
      <c r="X2418">
        <v>0.97352399999999994</v>
      </c>
      <c r="Y2418">
        <v>-0.28156110000000001</v>
      </c>
      <c r="Z2418">
        <v>-8.8422969999999903E-3</v>
      </c>
      <c r="AA2418">
        <v>0.95950259999999998</v>
      </c>
      <c r="AB2418">
        <v>32</v>
      </c>
      <c r="AC2418">
        <v>25.811499999999899</v>
      </c>
      <c r="AD2418">
        <v>-0.18795500000000001</v>
      </c>
      <c r="AE2418">
        <v>-31.955099999999899</v>
      </c>
      <c r="AF2418">
        <v>-11.6505543999721</v>
      </c>
      <c r="AG2418">
        <v>-0.18795500000000001</v>
      </c>
      <c r="AH2418">
        <v>39.389794090449698</v>
      </c>
      <c r="AI2418">
        <v>90.262167257925995</v>
      </c>
      <c r="AJ2418">
        <v>106.476950843672</v>
      </c>
      <c r="AK2418">
        <v>41.077081485869499</v>
      </c>
      <c r="AL2418">
        <v>77.800005032895896</v>
      </c>
      <c r="AM2418">
        <v>95.114709448572199</v>
      </c>
      <c r="AN2418">
        <v>0.99999994984692198</v>
      </c>
    </row>
    <row r="2419" spans="1:40" x14ac:dyDescent="0.25">
      <c r="A2419" t="str">
        <f>"20190303171023566"</f>
        <v>20190303171023566</v>
      </c>
      <c r="B2419" t="str">
        <f>"1551604223553524"</f>
        <v>1551604223553524</v>
      </c>
      <c r="C2419" t="s">
        <v>40</v>
      </c>
      <c r="D2419">
        <v>5.1701930000000003</v>
      </c>
      <c r="E2419">
        <v>0.41859540000000001</v>
      </c>
      <c r="F2419" t="s">
        <v>70</v>
      </c>
      <c r="G2419">
        <v>-465.4871</v>
      </c>
      <c r="H2419">
        <v>0.87934920000000005</v>
      </c>
      <c r="I2419">
        <v>197.345</v>
      </c>
      <c r="J2419">
        <v>-491.7355</v>
      </c>
      <c r="K2419">
        <v>1.1331610000000001</v>
      </c>
      <c r="L2419">
        <v>229.03720000000001</v>
      </c>
      <c r="M2419">
        <v>0.3936306</v>
      </c>
      <c r="N2419">
        <v>-1.529965E-2</v>
      </c>
      <c r="O2419">
        <v>-0.91914149999999994</v>
      </c>
      <c r="P2419">
        <v>0.45940880000000001</v>
      </c>
      <c r="Q2419">
        <v>0.19729579999999999</v>
      </c>
      <c r="R2419">
        <v>-0.86603609999999898</v>
      </c>
      <c r="S2419">
        <v>1.997009</v>
      </c>
      <c r="T2419">
        <v>-1.9217729999999999E-2</v>
      </c>
      <c r="U2419">
        <v>-2.420013</v>
      </c>
      <c r="V2419">
        <v>-8.7584200000000001E-2</v>
      </c>
      <c r="W2419">
        <v>0.2097328</v>
      </c>
      <c r="X2419">
        <v>0.97382809999999997</v>
      </c>
      <c r="Y2419">
        <v>-0.28137909999999999</v>
      </c>
      <c r="Z2419">
        <v>-7.2228739999999998E-3</v>
      </c>
      <c r="AA2419">
        <v>0.95956949999999996</v>
      </c>
      <c r="AB2419">
        <v>32</v>
      </c>
      <c r="AC2419">
        <v>26.2484</v>
      </c>
      <c r="AD2419">
        <v>-0.25381179999999998</v>
      </c>
      <c r="AE2419">
        <v>-31.6922</v>
      </c>
      <c r="AF2419">
        <v>-11.651893329225301</v>
      </c>
      <c r="AG2419">
        <v>-0.25381179999999998</v>
      </c>
      <c r="AH2419">
        <v>39.464903290601299</v>
      </c>
      <c r="AI2419">
        <v>90.353402002527204</v>
      </c>
      <c r="AJ2419">
        <v>106.449076125678</v>
      </c>
      <c r="AK2419">
        <v>41.149843624514297</v>
      </c>
      <c r="AL2419">
        <v>77.893305941299104</v>
      </c>
      <c r="AM2419">
        <v>95.139243564219399</v>
      </c>
      <c r="AN2419">
        <v>1.0000000039175401</v>
      </c>
    </row>
    <row r="2420" spans="1:40" x14ac:dyDescent="0.25">
      <c r="A2420" t="str">
        <f>"20190303171023587"</f>
        <v>20190303171023587</v>
      </c>
      <c r="B2420" t="str">
        <f>"1551604223582801"</f>
        <v>1551604223582801</v>
      </c>
      <c r="C2420" t="s">
        <v>40</v>
      </c>
      <c r="D2420">
        <v>4.9870619999999999</v>
      </c>
      <c r="E2420">
        <v>0.37761070000000002</v>
      </c>
      <c r="F2420" t="s">
        <v>70</v>
      </c>
      <c r="G2420">
        <v>-464.87419999999997</v>
      </c>
      <c r="H2420">
        <v>0.77223299999999995</v>
      </c>
      <c r="I2420">
        <v>197.345</v>
      </c>
      <c r="J2420">
        <v>-491.60480000000001</v>
      </c>
      <c r="K2420">
        <v>1.133175</v>
      </c>
      <c r="L2420">
        <v>228.7627</v>
      </c>
      <c r="M2420">
        <v>0.40592660000000003</v>
      </c>
      <c r="N2420">
        <v>-1.531503E-2</v>
      </c>
      <c r="O2420">
        <v>-0.91377750000000002</v>
      </c>
      <c r="P2420">
        <v>0.4725007</v>
      </c>
      <c r="Q2420">
        <v>0.1953491</v>
      </c>
      <c r="R2420">
        <v>-0.85940810000000001</v>
      </c>
      <c r="S2420">
        <v>2.0290219999999999</v>
      </c>
      <c r="T2420">
        <v>-2.726054E-2</v>
      </c>
      <c r="U2420">
        <v>-2.3939210000000002</v>
      </c>
      <c r="V2420">
        <v>-8.9079679999999994E-2</v>
      </c>
      <c r="W2420">
        <v>0.20775550000000001</v>
      </c>
      <c r="X2420">
        <v>0.97411630000000005</v>
      </c>
      <c r="Y2420">
        <v>-0.28113890000000002</v>
      </c>
      <c r="Z2420">
        <v>-4.6598050000000004E-3</v>
      </c>
      <c r="AA2420">
        <v>0.95965579999999995</v>
      </c>
      <c r="AB2420">
        <v>32</v>
      </c>
      <c r="AC2420">
        <v>26.730599999999999</v>
      </c>
      <c r="AD2420">
        <v>-0.36094199999999999</v>
      </c>
      <c r="AE2420">
        <v>-31.4177</v>
      </c>
      <c r="AF2420">
        <v>-11.673014519078199</v>
      </c>
      <c r="AG2420">
        <v>-0.36094199999999999</v>
      </c>
      <c r="AH2420">
        <v>39.561054755317599</v>
      </c>
      <c r="AI2420">
        <v>90.501364847877099</v>
      </c>
      <c r="AJ2420">
        <v>106.439394503674</v>
      </c>
      <c r="AK2420">
        <v>41.248837564751</v>
      </c>
      <c r="AL2420">
        <v>78.009149474370403</v>
      </c>
      <c r="AM2420">
        <v>95.224975280044106</v>
      </c>
      <c r="AN2420">
        <v>1.0000000515474099</v>
      </c>
    </row>
    <row r="2421" spans="1:40" x14ac:dyDescent="0.25">
      <c r="A2421" t="str">
        <f>"20190303171023611"</f>
        <v>20190303171023611</v>
      </c>
      <c r="B2421" t="str">
        <f>"1551604223603297"</f>
        <v>1551604223603297</v>
      </c>
      <c r="C2421" t="s">
        <v>40</v>
      </c>
      <c r="D2421">
        <v>5.0095809999999998</v>
      </c>
      <c r="E2421">
        <v>0.36761850000000001</v>
      </c>
      <c r="F2421" t="s">
        <v>70</v>
      </c>
      <c r="G2421">
        <v>-458.47489999999999</v>
      </c>
      <c r="H2421">
        <v>2.6336750000000002</v>
      </c>
      <c r="I2421">
        <v>197.7544</v>
      </c>
      <c r="J2421">
        <v>-491.45569999999998</v>
      </c>
      <c r="K2421">
        <v>1.1331819999999999</v>
      </c>
      <c r="L2421">
        <v>228.4605</v>
      </c>
      <c r="M2421">
        <v>0.4194811</v>
      </c>
      <c r="N2421">
        <v>-1.5329809999999999E-2</v>
      </c>
      <c r="O2421">
        <v>-0.90763470000000002</v>
      </c>
      <c r="P2421">
        <v>0.48680509999999999</v>
      </c>
      <c r="Q2421">
        <v>0.19445789999999999</v>
      </c>
      <c r="R2421">
        <v>-0.85159130000000005</v>
      </c>
      <c r="S2421">
        <v>2.333313</v>
      </c>
      <c r="T2421">
        <v>0.1056812</v>
      </c>
      <c r="U2421">
        <v>-2.1838839999999999</v>
      </c>
      <c r="V2421">
        <v>-9.0773729999999997E-2</v>
      </c>
      <c r="W2421">
        <v>0.20682490000000001</v>
      </c>
      <c r="X2421">
        <v>0.97415790000000002</v>
      </c>
      <c r="Y2421">
        <v>-0.375282</v>
      </c>
      <c r="Z2421">
        <v>-4.5356090000000002E-2</v>
      </c>
      <c r="AA2421">
        <v>0.92580039999999997</v>
      </c>
      <c r="AB2421">
        <v>32</v>
      </c>
      <c r="AC2421">
        <v>32.980799999999903</v>
      </c>
      <c r="AD2421">
        <v>1.5004930000000001</v>
      </c>
      <c r="AE2421">
        <v>-30.7060999999999</v>
      </c>
      <c r="AF2421">
        <v>-17.037002654251499</v>
      </c>
      <c r="AG2421">
        <v>1.5004930000000001</v>
      </c>
      <c r="AH2421">
        <v>41.6634468812763</v>
      </c>
      <c r="AI2421">
        <v>88.090739733940595</v>
      </c>
      <c r="AJ2421">
        <v>112.240618100007</v>
      </c>
      <c r="AK2421">
        <v>45.0372484140956</v>
      </c>
      <c r="AL2421">
        <v>78.063652282790898</v>
      </c>
      <c r="AM2421">
        <v>95.323548218549703</v>
      </c>
      <c r="AN2421">
        <v>1.0000000117252601</v>
      </c>
    </row>
    <row r="2422" spans="1:40" x14ac:dyDescent="0.25">
      <c r="A2422" t="str">
        <f>"20190303171023633"</f>
        <v>20190303171023633</v>
      </c>
      <c r="B2422" t="str">
        <f>"1551604223622817"</f>
        <v>1551604223622817</v>
      </c>
      <c r="C2422" t="s">
        <v>40</v>
      </c>
      <c r="D2422">
        <v>5.0803570000000002</v>
      </c>
      <c r="E2422">
        <v>0.36418479999999998</v>
      </c>
      <c r="F2422" t="s">
        <v>71</v>
      </c>
      <c r="G2422">
        <v>-456.5059</v>
      </c>
      <c r="H2422">
        <v>2.7872409999999999</v>
      </c>
      <c r="I2422">
        <v>198.2877</v>
      </c>
      <c r="J2422">
        <v>-491.30880000000002</v>
      </c>
      <c r="K2422">
        <v>1.1331929999999999</v>
      </c>
      <c r="L2422">
        <v>228.1737</v>
      </c>
      <c r="M2422">
        <v>0.43236269999999999</v>
      </c>
      <c r="N2422">
        <v>-1.5341769999999999E-2</v>
      </c>
      <c r="O2422">
        <v>-0.90156919999999996</v>
      </c>
      <c r="P2422">
        <v>0.49970789999999998</v>
      </c>
      <c r="Q2422">
        <v>0.19493250000000001</v>
      </c>
      <c r="R2422">
        <v>-0.84397449999999996</v>
      </c>
      <c r="S2422">
        <v>2.4366150000000002</v>
      </c>
      <c r="T2422">
        <v>0.1153182</v>
      </c>
      <c r="U2422">
        <v>-2.103577</v>
      </c>
      <c r="V2422">
        <v>-9.1796409999999995E-2</v>
      </c>
      <c r="W2422">
        <v>0.2072765</v>
      </c>
      <c r="X2422">
        <v>0.97396609999999995</v>
      </c>
      <c r="Y2422">
        <v>-0.39903949999999999</v>
      </c>
      <c r="Z2422">
        <v>-4.794752E-2</v>
      </c>
      <c r="AA2422">
        <v>0.91567929999999997</v>
      </c>
      <c r="AB2422">
        <v>32</v>
      </c>
      <c r="AC2422">
        <v>34.802900000000001</v>
      </c>
      <c r="AD2422">
        <v>1.65404799999999</v>
      </c>
      <c r="AE2422">
        <v>-29.885999999999999</v>
      </c>
      <c r="AF2422">
        <v>-18.4338391683618</v>
      </c>
      <c r="AG2422">
        <v>1.65404799999999</v>
      </c>
      <c r="AH2422">
        <v>41.9421902185153</v>
      </c>
      <c r="AI2422">
        <v>87.932332412223403</v>
      </c>
      <c r="AJ2422">
        <v>113.72577111920801</v>
      </c>
      <c r="AK2422">
        <v>45.844188525891198</v>
      </c>
      <c r="AL2422">
        <v>78.037204806460096</v>
      </c>
      <c r="AM2422">
        <v>95.384228143234196</v>
      </c>
      <c r="AN2422">
        <v>1.0000000461451699</v>
      </c>
    </row>
    <row r="2423" spans="1:40" x14ac:dyDescent="0.25">
      <c r="A2423" t="str">
        <f>"20190303171023655"</f>
        <v>20190303171023655</v>
      </c>
      <c r="B2423" t="str">
        <f>"1551604223643316"</f>
        <v>1551604223643316</v>
      </c>
      <c r="C2423" t="s">
        <v>40</v>
      </c>
      <c r="D2423">
        <v>4.9344530000000004</v>
      </c>
      <c r="E2423">
        <v>0.3610196</v>
      </c>
      <c r="F2423" t="s">
        <v>71</v>
      </c>
      <c r="G2423">
        <v>-456.79259999999999</v>
      </c>
      <c r="H2423">
        <v>2.70303</v>
      </c>
      <c r="I2423">
        <v>199.74979999999999</v>
      </c>
      <c r="J2423">
        <v>-491.1705</v>
      </c>
      <c r="K2423">
        <v>1.1331979999999999</v>
      </c>
      <c r="L2423">
        <v>227.9126</v>
      </c>
      <c r="M2423">
        <v>0.44411139999999999</v>
      </c>
      <c r="N2423">
        <v>-1.535107E-2</v>
      </c>
      <c r="O2423">
        <v>-0.89584019999999998</v>
      </c>
      <c r="P2423">
        <v>0.51094719999999905</v>
      </c>
      <c r="Q2423">
        <v>0.19578429999999999</v>
      </c>
      <c r="R2423">
        <v>-0.83701970000000003</v>
      </c>
      <c r="S2423">
        <v>2.4924930000000001</v>
      </c>
      <c r="T2423">
        <v>0.1133628</v>
      </c>
      <c r="U2423">
        <v>-2.0525509999999998</v>
      </c>
      <c r="V2423">
        <v>-9.2202569999999998E-2</v>
      </c>
      <c r="W2423">
        <v>0.20812169999999999</v>
      </c>
      <c r="X2423">
        <v>0.97374740000000004</v>
      </c>
      <c r="Y2423">
        <v>-0.40837790000000002</v>
      </c>
      <c r="Z2423">
        <v>-4.7054180000000001E-2</v>
      </c>
      <c r="AA2423">
        <v>0.91159939999999995</v>
      </c>
      <c r="AB2423">
        <v>32</v>
      </c>
      <c r="AC2423">
        <v>34.377899999999997</v>
      </c>
      <c r="AD2423">
        <v>1.5698319999999999</v>
      </c>
      <c r="AE2423">
        <v>-28.162800000000001</v>
      </c>
      <c r="AF2423">
        <v>-18.2690413539231</v>
      </c>
      <c r="AG2423">
        <v>1.5698319999999999</v>
      </c>
      <c r="AH2423">
        <v>40.451278162827599</v>
      </c>
      <c r="AI2423">
        <v>87.974395386641802</v>
      </c>
      <c r="AJ2423">
        <v>114.30539888673199</v>
      </c>
      <c r="AK2423">
        <v>44.413152888598503</v>
      </c>
      <c r="AL2423">
        <v>77.987697988344493</v>
      </c>
      <c r="AM2423">
        <v>95.409117524380207</v>
      </c>
      <c r="AN2423">
        <v>0.99999997746612701</v>
      </c>
    </row>
    <row r="2424" spans="1:40" x14ac:dyDescent="0.25">
      <c r="A2424" t="str">
        <f>"20190303171023676"</f>
        <v>20190303171023676</v>
      </c>
      <c r="B2424" t="str">
        <f>"1551604223672593"</f>
        <v>1551604223672593</v>
      </c>
      <c r="C2424" t="s">
        <v>40</v>
      </c>
      <c r="D2424">
        <v>4.8478719999999997</v>
      </c>
      <c r="E2424">
        <v>0.3589927</v>
      </c>
      <c r="F2424" t="s">
        <v>71</v>
      </c>
      <c r="G2424">
        <v>-456.18669999999997</v>
      </c>
      <c r="H2424">
        <v>2.8375010000000001</v>
      </c>
      <c r="I2424">
        <v>200.32130000000001</v>
      </c>
      <c r="J2424">
        <v>-491.0274</v>
      </c>
      <c r="K2424">
        <v>1.1332</v>
      </c>
      <c r="L2424">
        <v>227.6507</v>
      </c>
      <c r="M2424">
        <v>0.45590320000000001</v>
      </c>
      <c r="N2424">
        <v>-1.535916E-2</v>
      </c>
      <c r="O2424">
        <v>-0.88989689999999999</v>
      </c>
      <c r="P2424">
        <v>0.5230186</v>
      </c>
      <c r="Q2424">
        <v>0.1958686</v>
      </c>
      <c r="R2424">
        <v>-0.82951019999999898</v>
      </c>
      <c r="S2424">
        <v>2.540985</v>
      </c>
      <c r="T2424">
        <v>0.12379130000000001</v>
      </c>
      <c r="U2424">
        <v>-2.0040439999999999</v>
      </c>
      <c r="V2424">
        <v>-9.3463909999999997E-2</v>
      </c>
      <c r="W2424">
        <v>0.20817479999999999</v>
      </c>
      <c r="X2424">
        <v>0.97361580000000003</v>
      </c>
      <c r="Y2424">
        <v>-0.41543059999999998</v>
      </c>
      <c r="Z2424">
        <v>-4.9949510000000003E-2</v>
      </c>
      <c r="AA2424">
        <v>0.90825239999999996</v>
      </c>
      <c r="AB2424">
        <v>32</v>
      </c>
      <c r="AC2424">
        <v>34.840699999999998</v>
      </c>
      <c r="AD2424">
        <v>1.7043009999999901</v>
      </c>
      <c r="AE2424">
        <v>-27.3294</v>
      </c>
      <c r="AF2424">
        <v>-18.519821817777199</v>
      </c>
      <c r="AG2424">
        <v>1.7043009999999901</v>
      </c>
      <c r="AH2424">
        <v>40.149598753377802</v>
      </c>
      <c r="AI2424">
        <v>87.792587586619504</v>
      </c>
      <c r="AJ2424">
        <v>114.76247803811199</v>
      </c>
      <c r="AK2424">
        <v>44.247923365035497</v>
      </c>
      <c r="AL2424">
        <v>77.984587580691993</v>
      </c>
      <c r="AM2424">
        <v>95.483403452517607</v>
      </c>
      <c r="AN2424">
        <v>0.99999998791858402</v>
      </c>
    </row>
    <row r="2425" spans="1:40" x14ac:dyDescent="0.25">
      <c r="A2425" t="str">
        <f>"20190303171023701"</f>
        <v>20190303171023701</v>
      </c>
      <c r="B2425" t="str">
        <f>"1551604223693089"</f>
        <v>1551604223693089</v>
      </c>
      <c r="C2425" t="s">
        <v>40</v>
      </c>
      <c r="D2425">
        <v>4.9339709999999997</v>
      </c>
      <c r="E2425">
        <v>0.35859159999999901</v>
      </c>
      <c r="F2425" t="s">
        <v>71</v>
      </c>
      <c r="G2425">
        <v>-455.15960000000001</v>
      </c>
      <c r="H2425">
        <v>3.1480950000000001</v>
      </c>
      <c r="I2425">
        <v>200.48589999999999</v>
      </c>
      <c r="J2425">
        <v>-490.84780000000001</v>
      </c>
      <c r="K2425">
        <v>1.1331929999999999</v>
      </c>
      <c r="L2425">
        <v>227.33420000000001</v>
      </c>
      <c r="M2425">
        <v>0.47018500000000002</v>
      </c>
      <c r="N2425">
        <v>-1.536732E-2</v>
      </c>
      <c r="O2425">
        <v>-0.8824341</v>
      </c>
      <c r="P2425">
        <v>0.53737279999999998</v>
      </c>
      <c r="Q2425">
        <v>0.1951862</v>
      </c>
      <c r="R2425">
        <v>-0.82044669999999897</v>
      </c>
      <c r="S2425">
        <v>2.5811459999999999</v>
      </c>
      <c r="T2425">
        <v>0.14499860000000001</v>
      </c>
      <c r="U2425">
        <v>-1.9548490000000001</v>
      </c>
      <c r="V2425">
        <v>-9.461812E-2</v>
      </c>
      <c r="W2425">
        <v>0.2074677</v>
      </c>
      <c r="X2425">
        <v>0.9736553</v>
      </c>
      <c r="Y2425">
        <v>-0.4183115</v>
      </c>
      <c r="Z2425">
        <v>-5.6063799999999997E-2</v>
      </c>
      <c r="AA2425">
        <v>0.90657169999999998</v>
      </c>
      <c r="AB2425">
        <v>32</v>
      </c>
      <c r="AC2425">
        <v>35.688199999999902</v>
      </c>
      <c r="AD2425">
        <v>2.0149020000000002</v>
      </c>
      <c r="AE2425">
        <v>-26.848299999999998</v>
      </c>
      <c r="AF2425">
        <v>-18.8327101782487</v>
      </c>
      <c r="AG2425">
        <v>2.0149020000000002</v>
      </c>
      <c r="AH2425">
        <v>40.394466502080697</v>
      </c>
      <c r="AI2425">
        <v>87.411492935725505</v>
      </c>
      <c r="AJ2425">
        <v>114.99587679536199</v>
      </c>
      <c r="AK2425">
        <v>44.614389233914601</v>
      </c>
      <c r="AL2425">
        <v>78.026006340632904</v>
      </c>
      <c r="AM2425">
        <v>95.550475298147006</v>
      </c>
      <c r="AN2425">
        <v>1.00000003919685</v>
      </c>
    </row>
    <row r="2426" spans="1:40" x14ac:dyDescent="0.25">
      <c r="A2426" t="str">
        <f>"20190303171023722"</f>
        <v>20190303171023722</v>
      </c>
      <c r="B2426" t="str">
        <f>"1551604223713585"</f>
        <v>1551604223713585</v>
      </c>
      <c r="C2426" t="s">
        <v>40</v>
      </c>
      <c r="D2426">
        <v>4.903429</v>
      </c>
      <c r="E2426">
        <v>0.35863060000000002</v>
      </c>
      <c r="F2426" t="s">
        <v>71</v>
      </c>
      <c r="G2426">
        <v>-454.03559999999999</v>
      </c>
      <c r="H2426">
        <v>3.098487</v>
      </c>
      <c r="I2426">
        <v>200.48589999999999</v>
      </c>
      <c r="J2426">
        <v>-490.70080000000002</v>
      </c>
      <c r="K2426">
        <v>1.1331869999999999</v>
      </c>
      <c r="L2426">
        <v>227.08320000000001</v>
      </c>
      <c r="M2426">
        <v>0.4815159</v>
      </c>
      <c r="N2426">
        <v>-1.537286E-2</v>
      </c>
      <c r="O2426">
        <v>-0.87630259999999904</v>
      </c>
      <c r="P2426">
        <v>0.54844110000000001</v>
      </c>
      <c r="Q2426">
        <v>0.19578329999999999</v>
      </c>
      <c r="R2426">
        <v>-0.81294609999999901</v>
      </c>
      <c r="S2426">
        <v>2.617432</v>
      </c>
      <c r="T2426">
        <v>0.139738</v>
      </c>
      <c r="U2426">
        <v>-1.9089659999999999</v>
      </c>
      <c r="V2426">
        <v>-9.5350320000000002E-2</v>
      </c>
      <c r="W2426">
        <v>0.2080475</v>
      </c>
      <c r="X2426">
        <v>0.97346010000000005</v>
      </c>
      <c r="Y2426">
        <v>-0.4230585</v>
      </c>
      <c r="Z2426">
        <v>-5.4196010000000003E-2</v>
      </c>
      <c r="AA2426">
        <v>0.90448010000000001</v>
      </c>
      <c r="AB2426">
        <v>32</v>
      </c>
      <c r="AC2426">
        <v>36.665199999999999</v>
      </c>
      <c r="AD2426">
        <v>1.9653</v>
      </c>
      <c r="AE2426">
        <v>-26.597300000000001</v>
      </c>
      <c r="AF2426">
        <v>-19.288758696803701</v>
      </c>
      <c r="AG2426">
        <v>1.9653</v>
      </c>
      <c r="AH2426">
        <v>40.890023187463598</v>
      </c>
      <c r="AI2426">
        <v>87.510957080367007</v>
      </c>
      <c r="AJ2426">
        <v>115.254323225215</v>
      </c>
      <c r="AK2426">
        <v>45.253868480217697</v>
      </c>
      <c r="AL2426">
        <v>77.992044824472103</v>
      </c>
      <c r="AM2426">
        <v>95.594270631523798</v>
      </c>
      <c r="AN2426">
        <v>1.00000000603618</v>
      </c>
    </row>
    <row r="2427" spans="1:40" x14ac:dyDescent="0.25">
      <c r="A2427" t="str">
        <f>"20190303171023745"</f>
        <v>20190303171023745</v>
      </c>
      <c r="B2427" t="str">
        <f>"1551604223733104"</f>
        <v>1551604223733104</v>
      </c>
      <c r="C2427" t="s">
        <v>40</v>
      </c>
      <c r="D2427">
        <v>4.8727910000000003</v>
      </c>
      <c r="E2427">
        <v>0.3590719</v>
      </c>
      <c r="F2427" t="s">
        <v>71</v>
      </c>
      <c r="G2427">
        <v>-453.18040000000002</v>
      </c>
      <c r="H2427">
        <v>3.0891850000000001</v>
      </c>
      <c r="I2427">
        <v>200.48589999999999</v>
      </c>
      <c r="J2427">
        <v>-490.53370000000001</v>
      </c>
      <c r="K2427">
        <v>1.1331789999999999</v>
      </c>
      <c r="L2427">
        <v>226.80680000000001</v>
      </c>
      <c r="M2427">
        <v>0.49401149999999999</v>
      </c>
      <c r="N2427">
        <v>-1.537786E-2</v>
      </c>
      <c r="O2427">
        <v>-0.86931939999999996</v>
      </c>
      <c r="P2427">
        <v>0.55928069999999996</v>
      </c>
      <c r="Q2427">
        <v>0.19793240000000001</v>
      </c>
      <c r="R2427">
        <v>-0.80500169999999904</v>
      </c>
      <c r="S2427">
        <v>2.643402</v>
      </c>
      <c r="T2427">
        <v>0.13780590000000001</v>
      </c>
      <c r="U2427">
        <v>-1.87384</v>
      </c>
      <c r="V2427">
        <v>-9.476735E-2</v>
      </c>
      <c r="W2427">
        <v>0.21021670000000001</v>
      </c>
      <c r="X2427">
        <v>0.97305090000000005</v>
      </c>
      <c r="Y2427">
        <v>-0.42232310000000001</v>
      </c>
      <c r="Z2427">
        <v>-5.3273389999999997E-2</v>
      </c>
      <c r="AA2427">
        <v>0.90487850000000003</v>
      </c>
      <c r="AB2427">
        <v>32</v>
      </c>
      <c r="AC2427">
        <v>37.353299999999898</v>
      </c>
      <c r="AD2427">
        <v>1.9560059999999999</v>
      </c>
      <c r="AE2427">
        <v>-26.320900000000002</v>
      </c>
      <c r="AF2427">
        <v>-19.435810570879401</v>
      </c>
      <c r="AG2427">
        <v>1.9560059999999999</v>
      </c>
      <c r="AH2427">
        <v>41.263508405296797</v>
      </c>
      <c r="AI2427">
        <v>87.544440451431896</v>
      </c>
      <c r="AJ2427">
        <v>115.22122893749599</v>
      </c>
      <c r="AK2427">
        <v>45.653628748798802</v>
      </c>
      <c r="AL2427">
        <v>77.864948071464994</v>
      </c>
      <c r="AM2427">
        <v>95.562605983766801</v>
      </c>
      <c r="AN2427">
        <v>0.99999998278786095</v>
      </c>
    </row>
    <row r="2428" spans="1:40" x14ac:dyDescent="0.25">
      <c r="A2428" t="str">
        <f>"20190303171023765"</f>
        <v>20190303171023765</v>
      </c>
      <c r="B2428" t="str">
        <f>"1551604223753601"</f>
        <v>1551604223753601</v>
      </c>
      <c r="C2428" t="s">
        <v>40</v>
      </c>
      <c r="D2428">
        <v>4.8476689999999998</v>
      </c>
      <c r="E2428">
        <v>0.35959970000000002</v>
      </c>
      <c r="F2428" t="s">
        <v>71</v>
      </c>
      <c r="G2428">
        <v>-452.35539999999997</v>
      </c>
      <c r="H2428">
        <v>3.3596029999999999</v>
      </c>
      <c r="I2428">
        <v>200.48589999999999</v>
      </c>
      <c r="J2428">
        <v>-490.38279999999997</v>
      </c>
      <c r="K2428">
        <v>1.1331659999999999</v>
      </c>
      <c r="L2428">
        <v>226.56450000000001</v>
      </c>
      <c r="M2428">
        <v>0.50497639999999999</v>
      </c>
      <c r="N2428">
        <v>-1.538139E-2</v>
      </c>
      <c r="O2428">
        <v>-0.86299609999999904</v>
      </c>
      <c r="P2428">
        <v>0.56866479999999997</v>
      </c>
      <c r="Q2428">
        <v>0.1989021</v>
      </c>
      <c r="R2428">
        <v>-0.79815930000000002</v>
      </c>
      <c r="S2428">
        <v>2.6647639999999999</v>
      </c>
      <c r="T2428">
        <v>0.15540079999999901</v>
      </c>
      <c r="U2428">
        <v>-1.837143</v>
      </c>
      <c r="V2428">
        <v>-9.3978729999999996E-2</v>
      </c>
      <c r="W2428">
        <v>0.21121470000000001</v>
      </c>
      <c r="X2428">
        <v>0.97291130000000003</v>
      </c>
      <c r="Y2428">
        <v>-0.42242380000000002</v>
      </c>
      <c r="Z2428">
        <v>-5.8306169999999997E-2</v>
      </c>
      <c r="AA2428">
        <v>0.90452120000000003</v>
      </c>
      <c r="AB2428">
        <v>32</v>
      </c>
      <c r="AC2428">
        <v>38.0274</v>
      </c>
      <c r="AD2428">
        <v>2.2264370000000002</v>
      </c>
      <c r="AE2428">
        <v>-26.078600000000002</v>
      </c>
      <c r="AF2428">
        <v>-19.605037163453499</v>
      </c>
      <c r="AG2428">
        <v>2.2264370000000002</v>
      </c>
      <c r="AH2428">
        <v>41.616578023952201</v>
      </c>
      <c r="AI2428">
        <v>87.2291948275886</v>
      </c>
      <c r="AJ2428">
        <v>115.22452446236601</v>
      </c>
      <c r="AK2428">
        <v>46.057074052951599</v>
      </c>
      <c r="AL2428">
        <v>77.806454039766905</v>
      </c>
      <c r="AM2428">
        <v>95.517389382569903</v>
      </c>
      <c r="AN2428">
        <v>1.00000002442809</v>
      </c>
    </row>
    <row r="2429" spans="1:40" x14ac:dyDescent="0.25">
      <c r="A2429" t="str">
        <f>"20190303171023789"</f>
        <v>20190303171023789</v>
      </c>
      <c r="B2429" t="str">
        <f>"1551604223782882"</f>
        <v>1551604223782882</v>
      </c>
      <c r="C2429" t="s">
        <v>40</v>
      </c>
      <c r="D2429">
        <v>4.7787750000000004</v>
      </c>
      <c r="E2429">
        <v>0.3606047</v>
      </c>
      <c r="F2429" t="s">
        <v>71</v>
      </c>
      <c r="G2429">
        <v>-451.65449999999998</v>
      </c>
      <c r="H2429">
        <v>3.3993600000000002</v>
      </c>
      <c r="I2429">
        <v>200.48580000000001</v>
      </c>
      <c r="J2429">
        <v>-490.20319999999998</v>
      </c>
      <c r="K2429">
        <v>1.133135</v>
      </c>
      <c r="L2429">
        <v>226.28479999999999</v>
      </c>
      <c r="M2429">
        <v>0.51764520000000003</v>
      </c>
      <c r="N2429">
        <v>-1.538437E-2</v>
      </c>
      <c r="O2429">
        <v>-0.85545709999999997</v>
      </c>
      <c r="P2429">
        <v>0.58012589999999997</v>
      </c>
      <c r="Q2429">
        <v>0.19731679999999999</v>
      </c>
      <c r="R2429">
        <v>-0.79026569999999996</v>
      </c>
      <c r="S2429">
        <v>2.6839599999999999</v>
      </c>
      <c r="T2429">
        <v>0.15705379999999899</v>
      </c>
      <c r="U2429">
        <v>-1.807312</v>
      </c>
      <c r="V2429">
        <v>-9.3414129999999998E-2</v>
      </c>
      <c r="W2429">
        <v>0.20965809999999999</v>
      </c>
      <c r="X2429">
        <v>0.97330220000000001</v>
      </c>
      <c r="Y2429">
        <v>-0.41896119999999998</v>
      </c>
      <c r="Z2429">
        <v>-5.8395929999999999E-2</v>
      </c>
      <c r="AA2429">
        <v>0.90612440000000005</v>
      </c>
      <c r="AB2429">
        <v>32</v>
      </c>
      <c r="AC2429">
        <v>38.548699999999997</v>
      </c>
      <c r="AD2429">
        <v>2.2662249999999902</v>
      </c>
      <c r="AE2429">
        <v>-25.7989999999999</v>
      </c>
      <c r="AF2429">
        <v>-19.577621130593499</v>
      </c>
      <c r="AG2429">
        <v>2.2662249999999902</v>
      </c>
      <c r="AH2429">
        <v>41.9293755276382</v>
      </c>
      <c r="AI2429">
        <v>87.196281525693493</v>
      </c>
      <c r="AJ2429">
        <v>115.02876339700801</v>
      </c>
      <c r="AK2429">
        <v>46.330244517176801</v>
      </c>
      <c r="AL2429">
        <v>77.897682540933104</v>
      </c>
      <c r="AM2429">
        <v>95.482255784698694</v>
      </c>
      <c r="AN2429">
        <v>0.99999994555205196</v>
      </c>
    </row>
    <row r="2430" spans="1:40" x14ac:dyDescent="0.25">
      <c r="A2430" t="str">
        <f>"20190303171023811"</f>
        <v>20190303171023811</v>
      </c>
      <c r="B2430" t="str">
        <f>"1551604223803377"</f>
        <v>1551604223803377</v>
      </c>
      <c r="C2430" t="s">
        <v>40</v>
      </c>
      <c r="D2430">
        <v>4.7790710000000001</v>
      </c>
      <c r="E2430">
        <v>0.36131580000000002</v>
      </c>
      <c r="F2430" t="s">
        <v>71</v>
      </c>
      <c r="G2430">
        <v>-450.87529999999998</v>
      </c>
      <c r="H2430">
        <v>3.4310689999999999</v>
      </c>
      <c r="I2430">
        <v>200.48580000000001</v>
      </c>
      <c r="J2430">
        <v>-490.03590000000003</v>
      </c>
      <c r="K2430">
        <v>1.1330990000000001</v>
      </c>
      <c r="L2430">
        <v>226.03219999999999</v>
      </c>
      <c r="M2430">
        <v>0.52908949999999999</v>
      </c>
      <c r="N2430">
        <v>-1.538579E-2</v>
      </c>
      <c r="O2430">
        <v>-0.84842680000000004</v>
      </c>
      <c r="P2430">
        <v>0.59101349999999997</v>
      </c>
      <c r="Q2430">
        <v>0.19459789999999999</v>
      </c>
      <c r="R2430">
        <v>-0.78283780000000003</v>
      </c>
      <c r="S2430">
        <v>2.7025450000000002</v>
      </c>
      <c r="T2430">
        <v>0.1579112</v>
      </c>
      <c r="U2430">
        <v>-1.772858</v>
      </c>
      <c r="V2430">
        <v>-9.3367900000000004E-2</v>
      </c>
      <c r="W2430">
        <v>0.20695459999999999</v>
      </c>
      <c r="X2430">
        <v>0.97388509999999995</v>
      </c>
      <c r="Y2430">
        <v>-0.41768810000000001</v>
      </c>
      <c r="Z2430">
        <v>-5.832557E-2</v>
      </c>
      <c r="AA2430">
        <v>0.90671650000000004</v>
      </c>
      <c r="AB2430">
        <v>32</v>
      </c>
      <c r="AC2430">
        <v>39.160600000000002</v>
      </c>
      <c r="AD2430">
        <v>2.2979699999999998</v>
      </c>
      <c r="AE2430">
        <v>-25.546399999999899</v>
      </c>
      <c r="AF2430">
        <v>-19.663402510390899</v>
      </c>
      <c r="AG2430">
        <v>2.2979699999999998</v>
      </c>
      <c r="AH2430">
        <v>42.296554919395902</v>
      </c>
      <c r="AI2430">
        <v>87.179528759042498</v>
      </c>
      <c r="AJ2430">
        <v>114.93342037426</v>
      </c>
      <c r="AK2430">
        <v>46.700413514828902</v>
      </c>
      <c r="AL2430">
        <v>78.056056294617207</v>
      </c>
      <c r="AM2430">
        <v>95.476299431880406</v>
      </c>
      <c r="AN2430">
        <v>0.99999997960678899</v>
      </c>
    </row>
    <row r="2431" spans="1:40" x14ac:dyDescent="0.25">
      <c r="A2431" t="str">
        <f>"20190303171023834"</f>
        <v>20190303171023834</v>
      </c>
      <c r="B2431" t="str">
        <f>"1551604223822897"</f>
        <v>1551604223822897</v>
      </c>
      <c r="C2431" t="s">
        <v>40</v>
      </c>
      <c r="D2431">
        <v>4.7649030000000003</v>
      </c>
      <c r="E2431">
        <v>0.36228630000000001</v>
      </c>
      <c r="F2431" t="s">
        <v>71</v>
      </c>
      <c r="G2431">
        <v>-450.0829</v>
      </c>
      <c r="H2431">
        <v>3.2574299999999998</v>
      </c>
      <c r="I2431">
        <v>200.48589999999999</v>
      </c>
      <c r="J2431">
        <v>-489.85230000000001</v>
      </c>
      <c r="K2431">
        <v>1.1330690000000001</v>
      </c>
      <c r="L2431">
        <v>225.76300000000001</v>
      </c>
      <c r="M2431">
        <v>0.54129150000000004</v>
      </c>
      <c r="N2431">
        <v>-1.5386E-2</v>
      </c>
      <c r="O2431">
        <v>-0.84069419999999995</v>
      </c>
      <c r="P2431">
        <v>0.60237469999999904</v>
      </c>
      <c r="Q2431">
        <v>0.1930733</v>
      </c>
      <c r="R2431">
        <v>-0.77451099999999995</v>
      </c>
      <c r="S2431">
        <v>2.722534</v>
      </c>
      <c r="T2431">
        <v>0.14476040000000001</v>
      </c>
      <c r="U2431">
        <v>-1.7408140000000001</v>
      </c>
      <c r="V2431">
        <v>-9.3245449999999994E-2</v>
      </c>
      <c r="W2431">
        <v>0.20544370000000001</v>
      </c>
      <c r="X2431">
        <v>0.97421670000000005</v>
      </c>
      <c r="Y2431">
        <v>-0.41537629999999998</v>
      </c>
      <c r="Z2431">
        <v>-5.4015699999999903E-2</v>
      </c>
      <c r="AA2431">
        <v>0.90804450000000003</v>
      </c>
      <c r="AB2431">
        <v>32</v>
      </c>
      <c r="AC2431">
        <v>39.769399999999997</v>
      </c>
      <c r="AD2431">
        <v>2.1243609999999902</v>
      </c>
      <c r="AE2431">
        <v>-25.277100000000001</v>
      </c>
      <c r="AF2431">
        <v>-19.713897742651302</v>
      </c>
      <c r="AG2431">
        <v>2.1243609999999902</v>
      </c>
      <c r="AH2431">
        <v>42.695442594232297</v>
      </c>
      <c r="AI2431">
        <v>87.413523464065307</v>
      </c>
      <c r="AJ2431">
        <v>114.78433199433501</v>
      </c>
      <c r="AK2431">
        <v>47.074956103892703</v>
      </c>
      <c r="AL2431">
        <v>78.144525986585407</v>
      </c>
      <c r="AM2431">
        <v>95.467310668639797</v>
      </c>
      <c r="AN2431">
        <v>1.0000000031871401</v>
      </c>
    </row>
    <row r="2432" spans="1:40" x14ac:dyDescent="0.25">
      <c r="A2432" t="str">
        <f>"20190303171023855"</f>
        <v>20190303171023855</v>
      </c>
      <c r="B2432" t="str">
        <f>"1551604223843393"</f>
        <v>1551604223843393</v>
      </c>
      <c r="C2432" t="s">
        <v>40</v>
      </c>
      <c r="D2432">
        <v>4.7121259999999996</v>
      </c>
      <c r="E2432">
        <v>0.36321619999999999</v>
      </c>
      <c r="F2432" t="s">
        <v>71</v>
      </c>
      <c r="G2432">
        <v>-449.24340000000001</v>
      </c>
      <c r="H2432">
        <v>3.2757770000000002</v>
      </c>
      <c r="I2432">
        <v>200.48589999999999</v>
      </c>
      <c r="J2432">
        <v>-489.685</v>
      </c>
      <c r="K2432">
        <v>1.1330450000000001</v>
      </c>
      <c r="L2432">
        <v>225.5249</v>
      </c>
      <c r="M2432">
        <v>0.55208649999999904</v>
      </c>
      <c r="N2432">
        <v>-1.538491E-2</v>
      </c>
      <c r="O2432">
        <v>-0.83364499999999997</v>
      </c>
      <c r="P2432">
        <v>0.61140640000000002</v>
      </c>
      <c r="Q2432">
        <v>0.19359660000000001</v>
      </c>
      <c r="R2432">
        <v>-0.76726989999999995</v>
      </c>
      <c r="S2432">
        <v>2.74057</v>
      </c>
      <c r="T2432">
        <v>0.14460580000000001</v>
      </c>
      <c r="U2432">
        <v>-1.7058720000000001</v>
      </c>
      <c r="V2432">
        <v>-9.2166319999999996E-2</v>
      </c>
      <c r="W2432">
        <v>0.2060042</v>
      </c>
      <c r="X2432">
        <v>0.97420099999999998</v>
      </c>
      <c r="Y2432">
        <v>-0.41467739999999997</v>
      </c>
      <c r="Z2432">
        <v>-5.3652999999999999E-2</v>
      </c>
      <c r="AA2432">
        <v>0.90838540000000001</v>
      </c>
      <c r="AB2432">
        <v>32</v>
      </c>
      <c r="AC2432">
        <v>40.441600000000001</v>
      </c>
      <c r="AD2432">
        <v>2.1427320000000001</v>
      </c>
      <c r="AE2432">
        <v>-25.039000000000001</v>
      </c>
      <c r="AF2432">
        <v>-19.852309475870499</v>
      </c>
      <c r="AG2432">
        <v>2.1427320000000001</v>
      </c>
      <c r="AH2432">
        <v>43.118506647324402</v>
      </c>
      <c r="AI2432">
        <v>87.415453428531094</v>
      </c>
      <c r="AJ2432">
        <v>114.721945031679</v>
      </c>
      <c r="AK2432">
        <v>47.517482124423701</v>
      </c>
      <c r="AL2432">
        <v>78.111709421035798</v>
      </c>
      <c r="AM2432">
        <v>95.404500845725394</v>
      </c>
      <c r="AN2432">
        <v>0.99999997468049096</v>
      </c>
    </row>
    <row r="2433" spans="1:40" x14ac:dyDescent="0.25">
      <c r="A2433" t="str">
        <f>"20190303171023878"</f>
        <v>20190303171023878</v>
      </c>
      <c r="B2433" t="str">
        <f>"1551604223872673"</f>
        <v>1551604223872673</v>
      </c>
      <c r="C2433" t="s">
        <v>40</v>
      </c>
      <c r="D2433">
        <v>4.6968769999999997</v>
      </c>
      <c r="E2433">
        <v>0.364342</v>
      </c>
      <c r="F2433" t="s">
        <v>71</v>
      </c>
      <c r="G2433">
        <v>-448.57479999999998</v>
      </c>
      <c r="H2433">
        <v>3.2556219999999998</v>
      </c>
      <c r="I2433">
        <v>200.48589999999999</v>
      </c>
      <c r="J2433">
        <v>-489.49880000000002</v>
      </c>
      <c r="K2433">
        <v>1.1330180000000001</v>
      </c>
      <c r="L2433">
        <v>225.26759999999999</v>
      </c>
      <c r="M2433">
        <v>0.56375059999999999</v>
      </c>
      <c r="N2433">
        <v>-1.5382420000000001E-2</v>
      </c>
      <c r="O2433">
        <v>-0.82580200000000004</v>
      </c>
      <c r="P2433">
        <v>0.62136499999999995</v>
      </c>
      <c r="Q2433">
        <v>0.1941341</v>
      </c>
      <c r="R2433">
        <v>-0.75909009999999999</v>
      </c>
      <c r="S2433">
        <v>2.7555540000000001</v>
      </c>
      <c r="T2433">
        <v>0.1422744</v>
      </c>
      <c r="U2433">
        <v>-1.678329</v>
      </c>
      <c r="V2433">
        <v>-9.1254360000000007E-2</v>
      </c>
      <c r="W2433">
        <v>0.20657249999999999</v>
      </c>
      <c r="X2433">
        <v>0.97416659999999999</v>
      </c>
      <c r="Y2433">
        <v>-0.41074650000000001</v>
      </c>
      <c r="Z2433">
        <v>-5.2556569999999997E-2</v>
      </c>
      <c r="AA2433">
        <v>0.91023359999999998</v>
      </c>
      <c r="AB2433">
        <v>32</v>
      </c>
      <c r="AC2433">
        <v>40.923999999999999</v>
      </c>
      <c r="AD2433">
        <v>2.1226039999999999</v>
      </c>
      <c r="AE2433">
        <v>-24.781700000000001</v>
      </c>
      <c r="AF2433">
        <v>-19.787815623343501</v>
      </c>
      <c r="AG2433">
        <v>2.1226039999999999</v>
      </c>
      <c r="AH2433">
        <v>43.455315255668602</v>
      </c>
      <c r="AI2433">
        <v>87.454660142091896</v>
      </c>
      <c r="AJ2433">
        <v>114.482625054647</v>
      </c>
      <c r="AK2433">
        <v>47.7956851489107</v>
      </c>
      <c r="AL2433">
        <v>78.078433517935693</v>
      </c>
      <c r="AM2433">
        <v>95.351524674719002</v>
      </c>
      <c r="AN2433">
        <v>1.0000000602654</v>
      </c>
    </row>
    <row r="2434" spans="1:40" x14ac:dyDescent="0.25">
      <c r="A2434" t="str">
        <f>"20190303171023902"</f>
        <v>20190303171023902</v>
      </c>
      <c r="B2434" t="str">
        <f>"1551604223893170"</f>
        <v>1551604223893170</v>
      </c>
      <c r="C2434" t="s">
        <v>40</v>
      </c>
      <c r="D2434">
        <v>4.6132759999999999</v>
      </c>
      <c r="E2434">
        <v>0.36532150000000002</v>
      </c>
      <c r="F2434" t="s">
        <v>71</v>
      </c>
      <c r="G2434">
        <v>-447.81549999999999</v>
      </c>
      <c r="H2434">
        <v>3.212256</v>
      </c>
      <c r="I2434">
        <v>200.48589999999999</v>
      </c>
      <c r="J2434">
        <v>-489.28559999999999</v>
      </c>
      <c r="K2434">
        <v>1.1329720000000001</v>
      </c>
      <c r="L2434">
        <v>224.98249999999999</v>
      </c>
      <c r="M2434">
        <v>0.57667259999999998</v>
      </c>
      <c r="N2434">
        <v>-1.5377460000000001E-2</v>
      </c>
      <c r="O2434">
        <v>-0.81683079999999997</v>
      </c>
      <c r="P2434">
        <v>0.63331870000000001</v>
      </c>
      <c r="Q2434">
        <v>0.19362180000000001</v>
      </c>
      <c r="R2434">
        <v>-0.74927840000000001</v>
      </c>
      <c r="S2434">
        <v>2.7717589999999999</v>
      </c>
      <c r="T2434">
        <v>0.1382612</v>
      </c>
      <c r="U2434">
        <v>-1.6478729999999999</v>
      </c>
      <c r="V2434">
        <v>-9.1255020000000006E-2</v>
      </c>
      <c r="W2434">
        <v>0.20606669999999999</v>
      </c>
      <c r="X2434">
        <v>0.97427359999999996</v>
      </c>
      <c r="Y2434">
        <v>-0.40619719999999998</v>
      </c>
      <c r="Z2434">
        <v>-5.0914180000000003E-2</v>
      </c>
      <c r="AA2434">
        <v>0.91236589999999995</v>
      </c>
      <c r="AB2434">
        <v>32</v>
      </c>
      <c r="AC2434">
        <v>41.470100000000002</v>
      </c>
      <c r="AD2434">
        <v>2.0792839999999999</v>
      </c>
      <c r="AE2434">
        <v>-24.496600000000001</v>
      </c>
      <c r="AF2434">
        <v>-19.7131304953413</v>
      </c>
      <c r="AG2434">
        <v>2.0792839999999999</v>
      </c>
      <c r="AH2434">
        <v>43.847717842653701</v>
      </c>
      <c r="AI2434">
        <v>87.523466010520593</v>
      </c>
      <c r="AJ2434">
        <v>114.207810243742</v>
      </c>
      <c r="AK2434">
        <v>48.120196340912699</v>
      </c>
      <c r="AL2434">
        <v>78.108050291315294</v>
      </c>
      <c r="AM2434">
        <v>95.350978829208898</v>
      </c>
      <c r="AN2434">
        <v>1.00000000559052</v>
      </c>
    </row>
    <row r="2435" spans="1:40" x14ac:dyDescent="0.25">
      <c r="A2435" t="str">
        <f>"20190303171023924"</f>
        <v>20190303171023924</v>
      </c>
      <c r="B2435" t="str">
        <f>"1551604223912689"</f>
        <v>1551604223912689</v>
      </c>
      <c r="C2435" t="s">
        <v>40</v>
      </c>
      <c r="D2435">
        <v>4.6900539999999999</v>
      </c>
      <c r="E2435">
        <v>0.36620920000000001</v>
      </c>
      <c r="F2435" t="s">
        <v>71</v>
      </c>
      <c r="G2435">
        <v>-446.80500000000001</v>
      </c>
      <c r="H2435">
        <v>3.2407409999999999</v>
      </c>
      <c r="I2435">
        <v>200.48589999999999</v>
      </c>
      <c r="J2435">
        <v>-489.10550000000001</v>
      </c>
      <c r="K2435">
        <v>1.1329320000000001</v>
      </c>
      <c r="L2435">
        <v>224.7484</v>
      </c>
      <c r="M2435">
        <v>0.58726809999999996</v>
      </c>
      <c r="N2435">
        <v>-1.53721E-2</v>
      </c>
      <c r="O2435">
        <v>-0.80924680000000004</v>
      </c>
      <c r="P2435">
        <v>0.64271840000000002</v>
      </c>
      <c r="Q2435">
        <v>0.1931754</v>
      </c>
      <c r="R2435">
        <v>-0.74134809999999995</v>
      </c>
      <c r="S2435">
        <v>2.7906490000000002</v>
      </c>
      <c r="T2435">
        <v>0.13846539999999999</v>
      </c>
      <c r="U2435">
        <v>-1.6092379999999999</v>
      </c>
      <c r="V2435">
        <v>-9.0743480000000001E-2</v>
      </c>
      <c r="W2435">
        <v>0.2056402</v>
      </c>
      <c r="X2435">
        <v>0.97441149999999999</v>
      </c>
      <c r="Y2435">
        <v>-0.40644049999999998</v>
      </c>
      <c r="Z2435">
        <v>-5.0632339999999998E-2</v>
      </c>
      <c r="AA2435">
        <v>0.91227320000000001</v>
      </c>
      <c r="AB2435">
        <v>32</v>
      </c>
      <c r="AC2435">
        <v>42.3005</v>
      </c>
      <c r="AD2435">
        <v>2.107809</v>
      </c>
      <c r="AE2435">
        <v>-24.262499999999999</v>
      </c>
      <c r="AF2435">
        <v>-19.948039098410302</v>
      </c>
      <c r="AG2435">
        <v>2.107809</v>
      </c>
      <c r="AH2435">
        <v>44.398379082769097</v>
      </c>
      <c r="AI2435">
        <v>87.520367976817795</v>
      </c>
      <c r="AJ2435">
        <v>114.194219652279</v>
      </c>
      <c r="AK2435">
        <v>48.719433369339001</v>
      </c>
      <c r="AL2435">
        <v>78.133021947144698</v>
      </c>
      <c r="AM2435">
        <v>95.320407257310805</v>
      </c>
      <c r="AN2435">
        <v>1.0000000211753901</v>
      </c>
    </row>
    <row r="2436" spans="1:40" x14ac:dyDescent="0.25">
      <c r="A2436" t="str">
        <f>"20190303171023944"</f>
        <v>20190303171023944</v>
      </c>
      <c r="B2436" t="str">
        <f>"1551604223933188"</f>
        <v>1551604223933188</v>
      </c>
      <c r="C2436" t="s">
        <v>40</v>
      </c>
      <c r="D2436">
        <v>4.6653000000000002</v>
      </c>
      <c r="E2436">
        <v>0.36728189999999999</v>
      </c>
      <c r="F2436" t="s">
        <v>71</v>
      </c>
      <c r="G2436">
        <v>-445.98660000000001</v>
      </c>
      <c r="H2436">
        <v>3.1824370000000002</v>
      </c>
      <c r="I2436">
        <v>200.48589999999999</v>
      </c>
      <c r="J2436">
        <v>-488.9273</v>
      </c>
      <c r="K2436">
        <v>1.132887</v>
      </c>
      <c r="L2436">
        <v>224.52289999999999</v>
      </c>
      <c r="M2436">
        <v>0.59745689999999996</v>
      </c>
      <c r="N2436">
        <v>-1.536621E-2</v>
      </c>
      <c r="O2436">
        <v>-0.80175379999999996</v>
      </c>
      <c r="P2436">
        <v>0.65164390000000005</v>
      </c>
      <c r="Q2436">
        <v>0.19302340000000001</v>
      </c>
      <c r="R2436">
        <v>-0.73355439999999905</v>
      </c>
      <c r="S2436">
        <v>2.8062740000000002</v>
      </c>
      <c r="T2436">
        <v>0.1333877</v>
      </c>
      <c r="U2436">
        <v>-1.579056</v>
      </c>
      <c r="V2436">
        <v>-9.0161030000000003E-2</v>
      </c>
      <c r="W2436">
        <v>0.20550959999999999</v>
      </c>
      <c r="X2436">
        <v>0.9744931</v>
      </c>
      <c r="Y2436">
        <v>-0.4045899</v>
      </c>
      <c r="Z2436">
        <v>-4.8790849999999997E-2</v>
      </c>
      <c r="AA2436">
        <v>0.9131958</v>
      </c>
      <c r="AB2436">
        <v>32</v>
      </c>
      <c r="AC2436">
        <v>42.9406999999999</v>
      </c>
      <c r="AD2436">
        <v>2.04955</v>
      </c>
      <c r="AE2436">
        <v>-24.036999999999999</v>
      </c>
      <c r="AF2436">
        <v>-20.034415411098799</v>
      </c>
      <c r="AG2436">
        <v>2.04955</v>
      </c>
      <c r="AH2436">
        <v>44.854473390960202</v>
      </c>
      <c r="AI2436">
        <v>87.610959239310404</v>
      </c>
      <c r="AJ2436">
        <v>114.0681027725</v>
      </c>
      <c r="AK2436">
        <v>49.168101847105397</v>
      </c>
      <c r="AL2436">
        <v>78.140667885931293</v>
      </c>
      <c r="AM2436">
        <v>95.286011406179199</v>
      </c>
      <c r="AN2436">
        <v>1.00000000448521</v>
      </c>
    </row>
    <row r="2437" spans="1:40" x14ac:dyDescent="0.25">
      <c r="A2437" t="str">
        <f>"20190303171023967"</f>
        <v>20190303171023967</v>
      </c>
      <c r="B2437" t="str">
        <f>"1551604223952706"</f>
        <v>1551604223952706</v>
      </c>
      <c r="C2437" t="s">
        <v>40</v>
      </c>
      <c r="D2437">
        <v>4.6474849999999996</v>
      </c>
      <c r="E2437">
        <v>0.36837809999999999</v>
      </c>
      <c r="F2437" t="s">
        <v>71</v>
      </c>
      <c r="G2437">
        <v>-445.22489999999999</v>
      </c>
      <c r="H2437">
        <v>3.1194449999999998</v>
      </c>
      <c r="I2437">
        <v>200.48589999999999</v>
      </c>
      <c r="J2437">
        <v>-488.72989999999999</v>
      </c>
      <c r="K2437">
        <v>1.132833</v>
      </c>
      <c r="L2437">
        <v>224.27969999999999</v>
      </c>
      <c r="M2437">
        <v>0.60842879999999999</v>
      </c>
      <c r="N2437">
        <v>-1.535838E-2</v>
      </c>
      <c r="O2437">
        <v>-0.79346000000000005</v>
      </c>
      <c r="P2437">
        <v>0.66137900000000005</v>
      </c>
      <c r="Q2437">
        <v>0.1927305</v>
      </c>
      <c r="R2437">
        <v>-0.7248677</v>
      </c>
      <c r="S2437">
        <v>2.819855</v>
      </c>
      <c r="T2437">
        <v>0.1281822</v>
      </c>
      <c r="U2437">
        <v>-1.550964</v>
      </c>
      <c r="V2437">
        <v>-8.9683029999999997E-2</v>
      </c>
      <c r="W2437">
        <v>0.20523420000000001</v>
      </c>
      <c r="X2437">
        <v>0.97459519999999999</v>
      </c>
      <c r="Y2437">
        <v>-0.40093259999999997</v>
      </c>
      <c r="Z2437">
        <v>-4.6877549999999997E-2</v>
      </c>
      <c r="AA2437">
        <v>0.91490740000000004</v>
      </c>
      <c r="AB2437">
        <v>32</v>
      </c>
      <c r="AC2437">
        <v>43.505000000000003</v>
      </c>
      <c r="AD2437">
        <v>1.986612</v>
      </c>
      <c r="AE2437">
        <v>-23.793800000000001</v>
      </c>
      <c r="AF2437">
        <v>-20.012883449278</v>
      </c>
      <c r="AG2437">
        <v>1.986612</v>
      </c>
      <c r="AH2437">
        <v>45.281786055956701</v>
      </c>
      <c r="AI2437">
        <v>87.702079409551104</v>
      </c>
      <c r="AJ2437">
        <v>113.843665162287</v>
      </c>
      <c r="AK2437">
        <v>49.546970438265603</v>
      </c>
      <c r="AL2437">
        <v>78.156790325030002</v>
      </c>
      <c r="AM2437">
        <v>95.257596690242096</v>
      </c>
      <c r="AN2437">
        <v>0.99999996329132901</v>
      </c>
    </row>
    <row r="2438" spans="1:40" x14ac:dyDescent="0.25">
      <c r="A2438" t="str">
        <f>"20190303171023990"</f>
        <v>20190303171023990</v>
      </c>
      <c r="B2438" t="str">
        <f>"1551604223982961"</f>
        <v>1551604223982961</v>
      </c>
      <c r="C2438" t="s">
        <v>40</v>
      </c>
      <c r="D2438">
        <v>4.5412660000000002</v>
      </c>
      <c r="E2438">
        <v>0.36954199999999998</v>
      </c>
      <c r="F2438" t="s">
        <v>71</v>
      </c>
      <c r="G2438">
        <v>-444.34050000000002</v>
      </c>
      <c r="H2438">
        <v>3.0383100000000001</v>
      </c>
      <c r="I2438">
        <v>200.48599999999999</v>
      </c>
      <c r="J2438">
        <v>-488.52030000000002</v>
      </c>
      <c r="K2438">
        <v>1.1327700000000001</v>
      </c>
      <c r="L2438">
        <v>224.02860000000001</v>
      </c>
      <c r="M2438">
        <v>0.61972179999999999</v>
      </c>
      <c r="N2438">
        <v>-1.5348219999999999E-2</v>
      </c>
      <c r="O2438">
        <v>-0.78467169999999997</v>
      </c>
      <c r="P2438">
        <v>0.67224010000000001</v>
      </c>
      <c r="Q2438">
        <v>0.19230810000000001</v>
      </c>
      <c r="R2438">
        <v>-0.71492060000000002</v>
      </c>
      <c r="S2438">
        <v>2.835083</v>
      </c>
      <c r="T2438">
        <v>0.121701</v>
      </c>
      <c r="U2438">
        <v>-1.5196689999999999</v>
      </c>
      <c r="V2438">
        <v>-9.0329069999999997E-2</v>
      </c>
      <c r="W2438">
        <v>0.2047959</v>
      </c>
      <c r="X2438">
        <v>0.97462769999999999</v>
      </c>
      <c r="Y2438">
        <v>-0.39780969999999999</v>
      </c>
      <c r="Z2438">
        <v>-4.4598359999999997E-2</v>
      </c>
      <c r="AA2438">
        <v>0.91638330000000001</v>
      </c>
      <c r="AB2438">
        <v>32</v>
      </c>
      <c r="AC2438">
        <v>44.1798</v>
      </c>
      <c r="AD2438">
        <v>1.90554</v>
      </c>
      <c r="AE2438">
        <v>-23.5426</v>
      </c>
      <c r="AF2438">
        <v>-20.0500874816445</v>
      </c>
      <c r="AG2438">
        <v>1.90554</v>
      </c>
      <c r="AH2438">
        <v>45.791443765263402</v>
      </c>
      <c r="AI2438">
        <v>87.816971968514096</v>
      </c>
      <c r="AJ2438">
        <v>113.64652637961299</v>
      </c>
      <c r="AK2438">
        <v>50.0249279141957</v>
      </c>
      <c r="AL2438">
        <v>78.182447638925893</v>
      </c>
      <c r="AM2438">
        <v>95.295080170949902</v>
      </c>
      <c r="AN2438">
        <v>0.99999992757557898</v>
      </c>
    </row>
    <row r="2439" spans="1:40" x14ac:dyDescent="0.25">
      <c r="A2439" t="str">
        <f>"20190303171024013"</f>
        <v>20190303171024013</v>
      </c>
      <c r="B2439" t="str">
        <f>"1551604224003458"</f>
        <v>1551604224003458</v>
      </c>
      <c r="C2439" t="s">
        <v>40</v>
      </c>
      <c r="D2439">
        <v>4.6468569999999998</v>
      </c>
      <c r="E2439">
        <v>0.37090699999999999</v>
      </c>
      <c r="F2439" t="s">
        <v>46</v>
      </c>
      <c r="G2439">
        <v>-455.47559999999999</v>
      </c>
      <c r="H2439">
        <v>2.463705</v>
      </c>
      <c r="I2439">
        <v>206.83439999999999</v>
      </c>
      <c r="J2439">
        <v>-488.31920000000002</v>
      </c>
      <c r="K2439">
        <v>1.132708</v>
      </c>
      <c r="L2439">
        <v>223.79419999999999</v>
      </c>
      <c r="M2439">
        <v>0.63022609999999901</v>
      </c>
      <c r="N2439">
        <v>-1.533671E-2</v>
      </c>
      <c r="O2439">
        <v>-0.77626019999999996</v>
      </c>
      <c r="P2439">
        <v>0.682125599999999</v>
      </c>
      <c r="Q2439">
        <v>0.19207080000000001</v>
      </c>
      <c r="R2439">
        <v>-0.7055593</v>
      </c>
      <c r="S2439">
        <v>2.8517459999999999</v>
      </c>
      <c r="T2439">
        <v>0.1148639</v>
      </c>
      <c r="U2439">
        <v>-1.4838559999999901</v>
      </c>
      <c r="V2439">
        <v>-9.0699119999999994E-2</v>
      </c>
      <c r="W2439">
        <v>0.2045505</v>
      </c>
      <c r="X2439">
        <v>0.97464499999999998</v>
      </c>
      <c r="Y2439">
        <v>-0.39680530000000003</v>
      </c>
      <c r="Z2439">
        <v>-4.2281270000000003E-2</v>
      </c>
      <c r="AA2439">
        <v>0.91692850000000004</v>
      </c>
      <c r="AB2439">
        <v>32</v>
      </c>
      <c r="AC2439">
        <v>32.843600000000002</v>
      </c>
      <c r="AD2439">
        <v>1.330997</v>
      </c>
      <c r="AE2439">
        <v>-16.959800000000001</v>
      </c>
      <c r="AF2439">
        <v>-14.789236906464099</v>
      </c>
      <c r="AG2439">
        <v>1.330997</v>
      </c>
      <c r="AH2439">
        <v>33.8242386704692</v>
      </c>
      <c r="AI2439">
        <v>87.935116927737198</v>
      </c>
      <c r="AJ2439">
        <v>113.616768798406</v>
      </c>
      <c r="AK2439">
        <v>36.9401164444076</v>
      </c>
      <c r="AL2439">
        <v>78.196813661331205</v>
      </c>
      <c r="AM2439">
        <v>95.316554575244595</v>
      </c>
      <c r="AN2439">
        <v>1.00000005672201</v>
      </c>
    </row>
    <row r="2440" spans="1:40" x14ac:dyDescent="0.25">
      <c r="A2440" t="str">
        <f>"20190303171024035"</f>
        <v>20190303171024035</v>
      </c>
      <c r="B2440" t="str">
        <f>"1551604224022981"</f>
        <v>1551604224022981</v>
      </c>
      <c r="C2440" t="s">
        <v>40</v>
      </c>
      <c r="D2440">
        <v>4.5875089999999998</v>
      </c>
      <c r="E2440">
        <v>0.37049080000000001</v>
      </c>
      <c r="F2440" t="s">
        <v>71</v>
      </c>
      <c r="G2440">
        <v>-441.5256</v>
      </c>
      <c r="H2440">
        <v>2.9944250000000001</v>
      </c>
      <c r="I2440">
        <v>200.07589999999999</v>
      </c>
      <c r="J2440">
        <v>-488.11619999999999</v>
      </c>
      <c r="K2440">
        <v>1.13263799999999</v>
      </c>
      <c r="L2440">
        <v>223.56389999999999</v>
      </c>
      <c r="M2440">
        <v>0.64050629999999997</v>
      </c>
      <c r="N2440">
        <v>-1.532363E-2</v>
      </c>
      <c r="O2440">
        <v>-0.76780019999999904</v>
      </c>
      <c r="P2440">
        <v>0.69123349999999995</v>
      </c>
      <c r="Q2440">
        <v>0.19235379999999999</v>
      </c>
      <c r="R2440">
        <v>-0.69656059999999997</v>
      </c>
      <c r="S2440">
        <v>2.8642270000000001</v>
      </c>
      <c r="T2440">
        <v>0.1139565</v>
      </c>
      <c r="U2440">
        <v>-1.451797</v>
      </c>
      <c r="V2440">
        <v>-9.0403910000000004E-2</v>
      </c>
      <c r="W2440">
        <v>0.20484359999999999</v>
      </c>
      <c r="X2440">
        <v>0.9746108</v>
      </c>
      <c r="Y2440">
        <v>-0.394372</v>
      </c>
      <c r="Z2440">
        <v>-4.1648240000000003E-2</v>
      </c>
      <c r="AA2440">
        <v>0.91800660000000001</v>
      </c>
      <c r="AB2440">
        <v>32</v>
      </c>
      <c r="AC2440">
        <v>46.590600000000002</v>
      </c>
      <c r="AD2440">
        <v>1.8617870000000001</v>
      </c>
      <c r="AE2440">
        <v>-23.488</v>
      </c>
      <c r="AF2440">
        <v>-20.7041296734978</v>
      </c>
      <c r="AG2440">
        <v>1.8617870000000001</v>
      </c>
      <c r="AH2440">
        <v>47.820391914952097</v>
      </c>
      <c r="AI2440">
        <v>87.953805267902695</v>
      </c>
      <c r="AJ2440">
        <v>113.41049268405099</v>
      </c>
      <c r="AK2440">
        <v>52.143236563048099</v>
      </c>
      <c r="AL2440">
        <v>78.179656176307503</v>
      </c>
      <c r="AM2440">
        <v>95.299533686147001</v>
      </c>
      <c r="AN2440">
        <v>0.99999998944044299</v>
      </c>
    </row>
    <row r="2441" spans="1:40" x14ac:dyDescent="0.25">
      <c r="A2441" t="str">
        <f>"20190303171024057"</f>
        <v>20190303171024057</v>
      </c>
      <c r="B2441" t="str">
        <f>"1551604224043473"</f>
        <v>1551604224043473</v>
      </c>
      <c r="C2441" t="s">
        <v>40</v>
      </c>
      <c r="D2441">
        <v>4.6531890000000002</v>
      </c>
      <c r="E2441">
        <v>0.36958780000000002</v>
      </c>
      <c r="F2441" t="s">
        <v>71</v>
      </c>
      <c r="G2441">
        <v>-440.64319999999998</v>
      </c>
      <c r="H2441">
        <v>3.0338949999999998</v>
      </c>
      <c r="I2441">
        <v>200.34379999999999</v>
      </c>
      <c r="J2441">
        <v>-487.91969999999998</v>
      </c>
      <c r="K2441">
        <v>1.1325719999999999</v>
      </c>
      <c r="L2441">
        <v>223.3468</v>
      </c>
      <c r="M2441">
        <v>0.65015040000000002</v>
      </c>
      <c r="N2441">
        <v>-1.5309349999999999E-2</v>
      </c>
      <c r="O2441">
        <v>-0.75965150000000004</v>
      </c>
      <c r="P2441">
        <v>0.69980719999999996</v>
      </c>
      <c r="Q2441">
        <v>0.19246070000000001</v>
      </c>
      <c r="R2441">
        <v>-0.68791639999999998</v>
      </c>
      <c r="S2441">
        <v>2.8856510000000002</v>
      </c>
      <c r="T2441">
        <v>0.11556909999999999</v>
      </c>
      <c r="U2441">
        <v>-1.411438</v>
      </c>
      <c r="V2441">
        <v>-9.0152109999999994E-2</v>
      </c>
      <c r="W2441">
        <v>0.2049589</v>
      </c>
      <c r="X2441">
        <v>0.97460990000000003</v>
      </c>
      <c r="Y2441">
        <v>-0.39581739999999999</v>
      </c>
      <c r="Z2441">
        <v>-4.1712539999999999E-2</v>
      </c>
      <c r="AA2441">
        <v>0.91738140000000001</v>
      </c>
      <c r="AB2441">
        <v>32</v>
      </c>
      <c r="AC2441">
        <v>47.276499999999999</v>
      </c>
      <c r="AD2441">
        <v>1.9013230000000001</v>
      </c>
      <c r="AE2441">
        <v>-23.003</v>
      </c>
      <c r="AF2441">
        <v>-20.9333310012981</v>
      </c>
      <c r="AG2441">
        <v>1.9013230000000001</v>
      </c>
      <c r="AH2441">
        <v>48.153766360050298</v>
      </c>
      <c r="AI2441">
        <v>87.926179027926807</v>
      </c>
      <c r="AJ2441">
        <v>113.495474332066</v>
      </c>
      <c r="AK2441">
        <v>52.541455924046801</v>
      </c>
      <c r="AL2441">
        <v>78.172906959817496</v>
      </c>
      <c r="AM2441">
        <v>95.284861560118301</v>
      </c>
      <c r="AN2441">
        <v>1.0000000054023299</v>
      </c>
    </row>
    <row r="2442" spans="1:40" x14ac:dyDescent="0.25">
      <c r="A2442" t="str">
        <f>"20190303171024080"</f>
        <v>20190303171024080</v>
      </c>
      <c r="B2442" t="str">
        <f>"1551604224072754"</f>
        <v>1551604224072754</v>
      </c>
      <c r="C2442" t="s">
        <v>40</v>
      </c>
      <c r="D2442">
        <v>4.627078</v>
      </c>
      <c r="E2442">
        <v>0.36810900000000002</v>
      </c>
      <c r="F2442" t="s">
        <v>72</v>
      </c>
      <c r="G2442">
        <v>-364.0976</v>
      </c>
      <c r="H2442">
        <v>6.145899</v>
      </c>
      <c r="I2442">
        <v>165.0087</v>
      </c>
      <c r="J2442">
        <v>-487.69560000000001</v>
      </c>
      <c r="K2442">
        <v>1.1324879999999999</v>
      </c>
      <c r="L2442">
        <v>223.1061</v>
      </c>
      <c r="M2442">
        <v>0.6607982</v>
      </c>
      <c r="N2442">
        <v>-1.529138E-2</v>
      </c>
      <c r="O2442">
        <v>-0.75040779999999996</v>
      </c>
      <c r="P2442">
        <v>0.7096768</v>
      </c>
      <c r="Q2442">
        <v>0.1922779</v>
      </c>
      <c r="R2442">
        <v>-0.67778139999999998</v>
      </c>
      <c r="S2442">
        <v>2.9078059999999999</v>
      </c>
      <c r="T2442">
        <v>0.1177329</v>
      </c>
      <c r="U2442">
        <v>-1.3699950000000001</v>
      </c>
      <c r="V2442">
        <v>-9.0411850000000002E-2</v>
      </c>
      <c r="W2442">
        <v>0.20476939999999999</v>
      </c>
      <c r="X2442">
        <v>0.97462559999999998</v>
      </c>
      <c r="Y2442">
        <v>-0.3962598</v>
      </c>
      <c r="Z2442">
        <v>-4.1852489999999999E-2</v>
      </c>
      <c r="AA2442">
        <v>0.91718409999999995</v>
      </c>
      <c r="AB2442">
        <v>32</v>
      </c>
      <c r="AC2442">
        <v>123.598</v>
      </c>
      <c r="AD2442">
        <v>5.0134109999999996</v>
      </c>
      <c r="AE2442">
        <v>-58.097399999999901</v>
      </c>
      <c r="AF2442">
        <v>-54.2914427834503</v>
      </c>
      <c r="AG2442">
        <v>5.0134109999999996</v>
      </c>
      <c r="AH2442">
        <v>125.11612837197799</v>
      </c>
      <c r="AI2442">
        <v>87.894839429466998</v>
      </c>
      <c r="AJ2442">
        <v>113.45739181284</v>
      </c>
      <c r="AK2442">
        <v>136.47981765871799</v>
      </c>
      <c r="AL2442">
        <v>78.183998940135695</v>
      </c>
      <c r="AM2442">
        <v>95.299916459612405</v>
      </c>
      <c r="AN2442">
        <v>0.99999993498606898</v>
      </c>
    </row>
    <row r="2443" spans="1:40" x14ac:dyDescent="0.25">
      <c r="A2443" t="str">
        <f>"20190303171024103"</f>
        <v>20190303171024103</v>
      </c>
      <c r="B2443" t="str">
        <f>"1551604224093249"</f>
        <v>1551604224093249</v>
      </c>
      <c r="C2443" t="s">
        <v>40</v>
      </c>
      <c r="D2443">
        <v>4.5586080000000004</v>
      </c>
      <c r="E2443">
        <v>0.36711779999999999</v>
      </c>
      <c r="F2443" t="s">
        <v>73</v>
      </c>
      <c r="G2443">
        <v>-256.77690000000001</v>
      </c>
      <c r="H2443">
        <v>10.56134</v>
      </c>
      <c r="I2443">
        <v>119.2859</v>
      </c>
      <c r="J2443">
        <v>-487.47199999999998</v>
      </c>
      <c r="K2443">
        <v>1.1324110000000001</v>
      </c>
      <c r="L2443">
        <v>222.8725</v>
      </c>
      <c r="M2443">
        <v>0.67108100000000004</v>
      </c>
      <c r="N2443">
        <v>-1.5273689999999999E-2</v>
      </c>
      <c r="O2443">
        <v>-0.74122699999999997</v>
      </c>
      <c r="P2443">
        <v>0.71958299999999997</v>
      </c>
      <c r="Q2443">
        <v>0.19233310000000001</v>
      </c>
      <c r="R2443">
        <v>-0.66723940000000004</v>
      </c>
      <c r="S2443">
        <v>2.9346920000000001</v>
      </c>
      <c r="T2443">
        <v>0.1198294</v>
      </c>
      <c r="U2443">
        <v>-1.3194269999999999</v>
      </c>
      <c r="V2443">
        <v>-9.1304479999999993E-2</v>
      </c>
      <c r="W2443">
        <v>0.20479829999999999</v>
      </c>
      <c r="X2443">
        <v>0.97453639999999997</v>
      </c>
      <c r="Y2443">
        <v>-0.3998951</v>
      </c>
      <c r="Z2443">
        <v>-4.1980839999999998E-2</v>
      </c>
      <c r="AA2443">
        <v>0.91559900000000005</v>
      </c>
      <c r="AB2443">
        <v>31</v>
      </c>
      <c r="AC2443">
        <v>230.6951</v>
      </c>
      <c r="AD2443">
        <v>9.4289290000000001</v>
      </c>
      <c r="AE2443">
        <v>-103.5866</v>
      </c>
      <c r="AF2443">
        <v>-101.35335095008099</v>
      </c>
      <c r="AG2443">
        <v>9.4289290000000001</v>
      </c>
      <c r="AH2443">
        <v>231.30169003689099</v>
      </c>
      <c r="AI2443">
        <v>87.861718039432503</v>
      </c>
      <c r="AJ2443">
        <v>113.662398957585</v>
      </c>
      <c r="AK2443">
        <v>252.70907831896201</v>
      </c>
      <c r="AL2443">
        <v>78.182308299349103</v>
      </c>
      <c r="AM2443">
        <v>95.352426826406898</v>
      </c>
      <c r="AN2443">
        <v>1.00000002333795</v>
      </c>
    </row>
    <row r="2444" spans="1:40" x14ac:dyDescent="0.25">
      <c r="A2444" t="str">
        <f>"20190303171024127"</f>
        <v>20190303171024127</v>
      </c>
      <c r="B2444" t="str">
        <f>"1551604224123035"</f>
        <v>1551604224123035</v>
      </c>
      <c r="C2444" t="s">
        <v>40</v>
      </c>
      <c r="D2444">
        <v>4.5712719999999996</v>
      </c>
      <c r="E2444">
        <v>0.3660156</v>
      </c>
      <c r="F2444" t="s">
        <v>74</v>
      </c>
      <c r="G2444">
        <v>-363.87029999999999</v>
      </c>
      <c r="H2444">
        <v>6.2218210000000003</v>
      </c>
      <c r="I2444">
        <v>169.78829999999999</v>
      </c>
      <c r="J2444">
        <v>-487.24349999999998</v>
      </c>
      <c r="K2444">
        <v>1.132334</v>
      </c>
      <c r="L2444">
        <v>222.64</v>
      </c>
      <c r="M2444">
        <v>0.68127680000000002</v>
      </c>
      <c r="N2444">
        <v>-1.525698E-2</v>
      </c>
      <c r="O2444">
        <v>-0.73186700000000005</v>
      </c>
      <c r="P2444">
        <v>0.72949090000000005</v>
      </c>
      <c r="Q2444">
        <v>0.19230610000000001</v>
      </c>
      <c r="R2444">
        <v>-0.65640080000000001</v>
      </c>
      <c r="S2444">
        <v>2.958405</v>
      </c>
      <c r="T2444">
        <v>0.1218171</v>
      </c>
      <c r="U2444">
        <v>-1.2705690000000001</v>
      </c>
      <c r="V2444">
        <v>-9.2361349999999995E-2</v>
      </c>
      <c r="W2444">
        <v>0.20474039999999999</v>
      </c>
      <c r="X2444">
        <v>0.97444889999999995</v>
      </c>
      <c r="Y2444">
        <v>-0.40263510000000002</v>
      </c>
      <c r="Z2444">
        <v>-4.2068540000000001E-2</v>
      </c>
      <c r="AA2444">
        <v>0.91439340000000002</v>
      </c>
      <c r="AB2444">
        <v>31</v>
      </c>
      <c r="AC2444">
        <v>123.3732</v>
      </c>
      <c r="AD2444">
        <v>5.0894870000000001</v>
      </c>
      <c r="AE2444">
        <v>-52.851700000000001</v>
      </c>
      <c r="AF2444">
        <v>-54.214496135020198</v>
      </c>
      <c r="AG2444">
        <v>5.0894870000000001</v>
      </c>
      <c r="AH2444">
        <v>122.569746872265</v>
      </c>
      <c r="AI2444">
        <v>87.825276910361197</v>
      </c>
      <c r="AJ2444">
        <v>113.860548270411</v>
      </c>
      <c r="AK2444">
        <v>134.121054713376</v>
      </c>
      <c r="AL2444">
        <v>78.185696717560006</v>
      </c>
      <c r="AM2444">
        <v>95.414499587480094</v>
      </c>
      <c r="AN2444">
        <v>0.99999995453859503</v>
      </c>
    </row>
    <row r="2445" spans="1:40" x14ac:dyDescent="0.25">
      <c r="A2445" t="str">
        <f>"20190303171024147"</f>
        <v>20190303171024147</v>
      </c>
      <c r="B2445" t="str">
        <f>"1551604224142555"</f>
        <v>1551604224142555</v>
      </c>
      <c r="C2445" t="s">
        <v>40</v>
      </c>
      <c r="D2445">
        <v>4.6159100000000004</v>
      </c>
      <c r="E2445">
        <v>0.36548360000000002</v>
      </c>
      <c r="F2445" t="s">
        <v>74</v>
      </c>
      <c r="G2445">
        <v>-362.70190000000002</v>
      </c>
      <c r="H2445">
        <v>6.3202040000000004</v>
      </c>
      <c r="I2445">
        <v>171.71619999999999</v>
      </c>
      <c r="J2445">
        <v>-487.04899999999998</v>
      </c>
      <c r="K2445">
        <v>1.132274</v>
      </c>
      <c r="L2445">
        <v>222.447</v>
      </c>
      <c r="M2445">
        <v>0.68971249999999995</v>
      </c>
      <c r="N2445">
        <v>-1.524345E-2</v>
      </c>
      <c r="O2445">
        <v>-0.72392299999999998</v>
      </c>
      <c r="P2445">
        <v>0.73724100000000004</v>
      </c>
      <c r="Q2445">
        <v>0.1921157</v>
      </c>
      <c r="R2445">
        <v>-0.64774019999999899</v>
      </c>
      <c r="S2445">
        <v>2.9823909999999998</v>
      </c>
      <c r="T2445">
        <v>0.1242359</v>
      </c>
      <c r="U2445">
        <v>-1.2194670000000001</v>
      </c>
      <c r="V2445">
        <v>-9.2578049999999995E-2</v>
      </c>
      <c r="W2445">
        <v>0.2045439</v>
      </c>
      <c r="X2445">
        <v>0.97446969999999999</v>
      </c>
      <c r="Y2445">
        <v>-0.40801470000000001</v>
      </c>
      <c r="Z2445">
        <v>-4.2355770000000001E-2</v>
      </c>
      <c r="AA2445">
        <v>0.91199229999999998</v>
      </c>
      <c r="AB2445">
        <v>31</v>
      </c>
      <c r="AC2445">
        <v>124.3471</v>
      </c>
      <c r="AD2445">
        <v>5.1879299999999997</v>
      </c>
      <c r="AE2445">
        <v>-50.730800000000002</v>
      </c>
      <c r="AF2445">
        <v>-54.952442645908597</v>
      </c>
      <c r="AG2445">
        <v>5.1879299999999997</v>
      </c>
      <c r="AH2445">
        <v>122.320625458881</v>
      </c>
      <c r="AI2445">
        <v>87.784458326635601</v>
      </c>
      <c r="AJ2445">
        <v>114.19196154846701</v>
      </c>
      <c r="AK2445">
        <v>134.19769365785899</v>
      </c>
      <c r="AL2445">
        <v>78.197199892598604</v>
      </c>
      <c r="AM2445">
        <v>95.427012280581707</v>
      </c>
      <c r="AN2445">
        <v>1.0000000492935499</v>
      </c>
    </row>
    <row r="2446" spans="1:40" x14ac:dyDescent="0.25">
      <c r="A2446" t="str">
        <f>"20190303171024170"</f>
        <v>20190303171024170</v>
      </c>
      <c r="B2446" t="str">
        <f>"1551604224163052"</f>
        <v>1551604224163052</v>
      </c>
      <c r="C2446" t="s">
        <v>40</v>
      </c>
      <c r="D2446">
        <v>4.6420070000000004</v>
      </c>
      <c r="E2446">
        <v>0.36512749999999999</v>
      </c>
      <c r="F2446" t="s">
        <v>74</v>
      </c>
      <c r="G2446">
        <v>-361.43950000000001</v>
      </c>
      <c r="H2446">
        <v>6.4271320000000003</v>
      </c>
      <c r="I2446">
        <v>173.0291</v>
      </c>
      <c r="J2446">
        <v>-486.81920000000002</v>
      </c>
      <c r="K2446">
        <v>1.132215</v>
      </c>
      <c r="L2446">
        <v>222.22460000000001</v>
      </c>
      <c r="M2446">
        <v>0.69940919999999995</v>
      </c>
      <c r="N2446">
        <v>-1.522827E-2</v>
      </c>
      <c r="O2446">
        <v>-0.71455939999999996</v>
      </c>
      <c r="P2446">
        <v>0.74609579999999998</v>
      </c>
      <c r="Q2446">
        <v>0.19192919999999999</v>
      </c>
      <c r="R2446">
        <v>-0.63757719999999996</v>
      </c>
      <c r="S2446">
        <v>2.9994809999999998</v>
      </c>
      <c r="T2446">
        <v>0.12644030000000001</v>
      </c>
      <c r="U2446">
        <v>-1.180069</v>
      </c>
      <c r="V2446">
        <v>-9.2791910000000005E-2</v>
      </c>
      <c r="W2446">
        <v>0.2043498</v>
      </c>
      <c r="X2446">
        <v>0.97448999999999997</v>
      </c>
      <c r="Y2446">
        <v>-0.40784359999999997</v>
      </c>
      <c r="Z2446">
        <v>-4.246772E-2</v>
      </c>
      <c r="AA2446">
        <v>0.91206370000000003</v>
      </c>
      <c r="AB2446">
        <v>31</v>
      </c>
      <c r="AC2446">
        <v>125.3797</v>
      </c>
      <c r="AD2446">
        <v>5.2949169999999999</v>
      </c>
      <c r="AE2446">
        <v>-49.195500000000003</v>
      </c>
      <c r="AF2446">
        <v>-55.104684824362501</v>
      </c>
      <c r="AG2446">
        <v>5.2949169999999999</v>
      </c>
      <c r="AH2446">
        <v>122.669464556582</v>
      </c>
      <c r="AI2446">
        <v>87.745208581889599</v>
      </c>
      <c r="AJ2446">
        <v>114.19022295155</v>
      </c>
      <c r="AK2446">
        <v>134.582168099001</v>
      </c>
      <c r="AL2446">
        <v>78.208560023561503</v>
      </c>
      <c r="AM2446">
        <v>95.439361215374007</v>
      </c>
      <c r="AN2446">
        <v>0.99999996971074301</v>
      </c>
    </row>
    <row r="2447" spans="1:40" x14ac:dyDescent="0.25">
      <c r="A2447" t="str">
        <f>"20190303171024192"</f>
        <v>20190303171024192</v>
      </c>
      <c r="B2447" t="str">
        <f>"1551604224182571"</f>
        <v>1551604224182571</v>
      </c>
      <c r="C2447" t="s">
        <v>40</v>
      </c>
      <c r="D2447">
        <v>4.6700799999999996</v>
      </c>
      <c r="E2447">
        <v>0.36479549999999999</v>
      </c>
      <c r="F2447" t="s">
        <v>74</v>
      </c>
      <c r="G2447">
        <v>-347.84699999999998</v>
      </c>
      <c r="H2447">
        <v>6.9693490000000002</v>
      </c>
      <c r="I2447">
        <v>169.88249999999999</v>
      </c>
      <c r="J2447">
        <v>-486.59769999999997</v>
      </c>
      <c r="K2447">
        <v>1.132161</v>
      </c>
      <c r="L2447">
        <v>222.01580000000001</v>
      </c>
      <c r="M2447">
        <v>0.7084956</v>
      </c>
      <c r="N2447">
        <v>-1.5214419999999999E-2</v>
      </c>
      <c r="O2447">
        <v>-0.70555109999999999</v>
      </c>
      <c r="P2447">
        <v>0.75402080000000005</v>
      </c>
      <c r="Q2447">
        <v>0.1923793</v>
      </c>
      <c r="R2447">
        <v>-0.62804649999999995</v>
      </c>
      <c r="S2447">
        <v>3.0171809999999999</v>
      </c>
      <c r="T2447">
        <v>0.12673000000000001</v>
      </c>
      <c r="U2447">
        <v>-1.1363829999999999</v>
      </c>
      <c r="V2447">
        <v>-9.2605460000000001E-2</v>
      </c>
      <c r="W2447">
        <v>0.2048025</v>
      </c>
      <c r="X2447">
        <v>0.97441270000000002</v>
      </c>
      <c r="Y2447">
        <v>-0.40950639999999999</v>
      </c>
      <c r="Z2447">
        <v>-4.210092E-2</v>
      </c>
      <c r="AA2447">
        <v>0.91133529999999996</v>
      </c>
      <c r="AB2447">
        <v>31</v>
      </c>
      <c r="AC2447">
        <v>138.75069999999999</v>
      </c>
      <c r="AD2447">
        <v>5.8371879999999896</v>
      </c>
      <c r="AE2447">
        <v>-52.133299999999998</v>
      </c>
      <c r="AF2447">
        <v>-60.872149837135801</v>
      </c>
      <c r="AG2447">
        <v>5.8371879999999896</v>
      </c>
      <c r="AH2447">
        <v>134.893408917919</v>
      </c>
      <c r="AI2447">
        <v>87.741277745356498</v>
      </c>
      <c r="AJ2447">
        <v>114.28780547474101</v>
      </c>
      <c r="AK2447">
        <v>148.107134058555</v>
      </c>
      <c r="AL2447">
        <v>78.182061837339702</v>
      </c>
      <c r="AM2447">
        <v>95.4289251419344</v>
      </c>
      <c r="AN2447">
        <v>0.99999997257467499</v>
      </c>
    </row>
    <row r="2448" spans="1:40" x14ac:dyDescent="0.25">
      <c r="A2448" t="str">
        <f>"20190303171024214"</f>
        <v>20190303171024214</v>
      </c>
      <c r="B2448" t="str">
        <f>"1551604224203071"</f>
        <v>1551604224203071</v>
      </c>
      <c r="C2448" t="s">
        <v>40</v>
      </c>
      <c r="D2448">
        <v>4.677543</v>
      </c>
      <c r="E2448">
        <v>0.36463820000000002</v>
      </c>
      <c r="F2448" t="s">
        <v>75</v>
      </c>
      <c r="G2448">
        <v>-367.02699999999999</v>
      </c>
      <c r="H2448">
        <v>6.1827290000000001</v>
      </c>
      <c r="I2448">
        <v>178.77629999999999</v>
      </c>
      <c r="J2448">
        <v>-486.36930000000001</v>
      </c>
      <c r="K2448">
        <v>1.1321099999999999</v>
      </c>
      <c r="L2448">
        <v>221.80590000000001</v>
      </c>
      <c r="M2448">
        <v>0.71761529999999996</v>
      </c>
      <c r="N2448">
        <v>-1.5200730000000001E-2</v>
      </c>
      <c r="O2448">
        <v>-0.69627380000000005</v>
      </c>
      <c r="P2448">
        <v>0.76183639999999997</v>
      </c>
      <c r="Q2448">
        <v>0.1928289</v>
      </c>
      <c r="R2448">
        <v>-0.61840309999999998</v>
      </c>
      <c r="S2448">
        <v>3.0325319999999998</v>
      </c>
      <c r="T2448">
        <v>0.12809280000000001</v>
      </c>
      <c r="U2448">
        <v>-1.0966340000000001</v>
      </c>
      <c r="V2448">
        <v>-9.2229370000000005E-2</v>
      </c>
      <c r="W2448">
        <v>0.20525940000000001</v>
      </c>
      <c r="X2448">
        <v>0.9743522</v>
      </c>
      <c r="Y2448">
        <v>-0.40967809999999999</v>
      </c>
      <c r="Z2448">
        <v>-4.1988829999999998E-2</v>
      </c>
      <c r="AA2448">
        <v>0.9112633</v>
      </c>
      <c r="AB2448">
        <v>31</v>
      </c>
      <c r="AC2448">
        <v>119.34229999999999</v>
      </c>
      <c r="AD2448">
        <v>5.0506190000000002</v>
      </c>
      <c r="AE2448">
        <v>-43.029600000000002</v>
      </c>
      <c r="AF2448">
        <v>-52.139611587301999</v>
      </c>
      <c r="AG2448">
        <v>5.0506190000000002</v>
      </c>
      <c r="AH2448">
        <v>115.432644778628</v>
      </c>
      <c r="AI2448">
        <v>87.716551316415902</v>
      </c>
      <c r="AJ2448">
        <v>114.308152320003</v>
      </c>
      <c r="AK2448">
        <v>126.762547029266</v>
      </c>
      <c r="AL2448">
        <v>78.155314829305496</v>
      </c>
      <c r="AM2448">
        <v>95.407341827687503</v>
      </c>
      <c r="AN2448">
        <v>0.99999994381189605</v>
      </c>
    </row>
    <row r="2449" spans="1:40" x14ac:dyDescent="0.25">
      <c r="A2449" t="str">
        <f>"20190303171024235"</f>
        <v>20190303171024235</v>
      </c>
      <c r="B2449" t="str">
        <f>"1551604224223099"</f>
        <v>1551604224223099</v>
      </c>
      <c r="C2449" t="s">
        <v>40</v>
      </c>
      <c r="D2449">
        <v>4.6962580000000003</v>
      </c>
      <c r="E2449">
        <v>0.36460520000000002</v>
      </c>
      <c r="F2449" t="s">
        <v>74</v>
      </c>
      <c r="G2449">
        <v>-344.34309999999999</v>
      </c>
      <c r="H2449">
        <v>7.1763769999999996</v>
      </c>
      <c r="I2449">
        <v>172.5284</v>
      </c>
      <c r="J2449">
        <v>-486.154</v>
      </c>
      <c r="K2449">
        <v>1.1320669999999999</v>
      </c>
      <c r="L2449">
        <v>221.613</v>
      </c>
      <c r="M2449">
        <v>0.72598999999999902</v>
      </c>
      <c r="N2449">
        <v>-1.518861E-2</v>
      </c>
      <c r="O2449">
        <v>-0.68753750000000002</v>
      </c>
      <c r="P2449">
        <v>0.76872910000000005</v>
      </c>
      <c r="Q2449">
        <v>0.19308919999999999</v>
      </c>
      <c r="R2449">
        <v>-0.60973140000000003</v>
      </c>
      <c r="S2449">
        <v>3.046875</v>
      </c>
      <c r="T2449">
        <v>0.12966900000000001</v>
      </c>
      <c r="U2449">
        <v>-1.0571440000000001</v>
      </c>
      <c r="V2449">
        <v>-9.1412149999999998E-2</v>
      </c>
      <c r="W2449">
        <v>0.2055408</v>
      </c>
      <c r="X2449">
        <v>0.97436990000000001</v>
      </c>
      <c r="Y2449">
        <v>-0.41050379999999997</v>
      </c>
      <c r="Z2449">
        <v>-4.1963380000000002E-2</v>
      </c>
      <c r="AA2449">
        <v>0.91089279999999995</v>
      </c>
      <c r="AB2449">
        <v>31</v>
      </c>
      <c r="AC2449">
        <v>141.8109</v>
      </c>
      <c r="AD2449">
        <v>6.0443100000000003</v>
      </c>
      <c r="AE2449">
        <v>-49.084600000000002</v>
      </c>
      <c r="AF2449">
        <v>-61.772307039988803</v>
      </c>
      <c r="AG2449">
        <v>6.0443100000000003</v>
      </c>
      <c r="AH2449">
        <v>136.49513344643901</v>
      </c>
      <c r="AI2449">
        <v>87.689759029297903</v>
      </c>
      <c r="AJ2449">
        <v>114.34962946546101</v>
      </c>
      <c r="AK2449">
        <v>149.94423315012801</v>
      </c>
      <c r="AL2449">
        <v>78.138840628900894</v>
      </c>
      <c r="AM2449">
        <v>95.359612267933002</v>
      </c>
      <c r="AN2449">
        <v>0.99999995182913504</v>
      </c>
    </row>
    <row r="2450" spans="1:40" x14ac:dyDescent="0.25">
      <c r="A2450" t="str">
        <f>"20190303171024259"</f>
        <v>20190303171024259</v>
      </c>
      <c r="B2450" t="str">
        <f>"1551604224253350"</f>
        <v>1551604224253350</v>
      </c>
      <c r="C2450" t="s">
        <v>40</v>
      </c>
      <c r="D2450">
        <v>4.6953009999999997</v>
      </c>
      <c r="E2450">
        <v>0.36464069999999998</v>
      </c>
      <c r="F2450" t="s">
        <v>51</v>
      </c>
      <c r="G2450">
        <v>-161.5027</v>
      </c>
      <c r="H2450">
        <v>14.9915</v>
      </c>
      <c r="I2450">
        <v>113.12820000000001</v>
      </c>
      <c r="J2450">
        <v>-485.91669999999999</v>
      </c>
      <c r="K2450">
        <v>1.132029</v>
      </c>
      <c r="L2450">
        <v>221.40610000000001</v>
      </c>
      <c r="M2450">
        <v>0.73497500000000004</v>
      </c>
      <c r="N2450">
        <v>-1.5175930000000001E-2</v>
      </c>
      <c r="O2450">
        <v>-0.67792459999999999</v>
      </c>
      <c r="P2450">
        <v>0.77634999999999998</v>
      </c>
      <c r="Q2450">
        <v>0.19304070000000001</v>
      </c>
      <c r="R2450">
        <v>-0.60001369999999998</v>
      </c>
      <c r="S2450">
        <v>3.0589900000000001</v>
      </c>
      <c r="T2450">
        <v>0.13058910000000001</v>
      </c>
      <c r="U2450">
        <v>-1.022186</v>
      </c>
      <c r="V2450">
        <v>-9.0825989999999995E-2</v>
      </c>
      <c r="W2450">
        <v>0.20550679999999999</v>
      </c>
      <c r="X2450">
        <v>0.97443190000000002</v>
      </c>
      <c r="Y2450">
        <v>-0.40895969999999998</v>
      </c>
      <c r="Z2450">
        <v>-4.1692420000000001E-2</v>
      </c>
      <c r="AA2450">
        <v>0.91159950000000001</v>
      </c>
      <c r="AB2450">
        <v>31</v>
      </c>
      <c r="AC2450">
        <v>324.41399999999999</v>
      </c>
      <c r="AD2450">
        <v>13.859470999999999</v>
      </c>
      <c r="AE2450">
        <v>-108.2779</v>
      </c>
      <c r="AF2450">
        <v>-140.132698363472</v>
      </c>
      <c r="AG2450">
        <v>13.859470999999999</v>
      </c>
      <c r="AH2450">
        <v>311.36497596039902</v>
      </c>
      <c r="AI2450">
        <v>87.6756099579665</v>
      </c>
      <c r="AJ2450">
        <v>114.23057000662401</v>
      </c>
      <c r="AK2450">
        <v>341.72709336815399</v>
      </c>
      <c r="AL2450">
        <v>78.1408313563159</v>
      </c>
      <c r="AM2450">
        <v>95.325106282087106</v>
      </c>
      <c r="AN2450">
        <v>0.99999996652166401</v>
      </c>
    </row>
    <row r="2451" spans="1:40" x14ac:dyDescent="0.25">
      <c r="A2451" t="str">
        <f>"20190303171024281"</f>
        <v>20190303171024281</v>
      </c>
      <c r="B2451" t="str">
        <f>"1551604224272871"</f>
        <v>1551604224272871</v>
      </c>
      <c r="C2451" t="s">
        <v>40</v>
      </c>
      <c r="D2451">
        <v>4.7276350000000003</v>
      </c>
      <c r="E2451">
        <v>0.36471150000000002</v>
      </c>
      <c r="F2451" t="s">
        <v>75</v>
      </c>
      <c r="G2451">
        <v>-355.19439999999997</v>
      </c>
      <c r="H2451">
        <v>6.6435789999999901</v>
      </c>
      <c r="I2451">
        <v>179.52289999999999</v>
      </c>
      <c r="J2451">
        <v>-485.67599999999999</v>
      </c>
      <c r="K2451">
        <v>1.1319809999999999</v>
      </c>
      <c r="L2451">
        <v>221.20179999999999</v>
      </c>
      <c r="M2451">
        <v>0.74384759999999905</v>
      </c>
      <c r="N2451">
        <v>-1.5163960000000001E-2</v>
      </c>
      <c r="O2451">
        <v>-0.66817709999999997</v>
      </c>
      <c r="P2451">
        <v>0.78416180000000002</v>
      </c>
      <c r="Q2451">
        <v>0.19255539999999999</v>
      </c>
      <c r="R2451">
        <v>-0.58992630000000001</v>
      </c>
      <c r="S2451">
        <v>3.0714419999999998</v>
      </c>
      <c r="T2451">
        <v>0.1295</v>
      </c>
      <c r="U2451">
        <v>-0.98408510000000005</v>
      </c>
      <c r="V2451">
        <v>-9.0621579999999993E-2</v>
      </c>
      <c r="W2451">
        <v>0.2050266</v>
      </c>
      <c r="X2451">
        <v>0.97455219999999998</v>
      </c>
      <c r="Y2451">
        <v>-0.40829399999999999</v>
      </c>
      <c r="Z2451">
        <v>-4.0906480000000002E-2</v>
      </c>
      <c r="AA2451">
        <v>0.91193349999999995</v>
      </c>
      <c r="AB2451">
        <v>31</v>
      </c>
      <c r="AC2451">
        <v>130.48159999999999</v>
      </c>
      <c r="AD2451">
        <v>5.5115979999999896</v>
      </c>
      <c r="AE2451">
        <v>-41.678899999999999</v>
      </c>
      <c r="AF2451">
        <v>-56.097707057971199</v>
      </c>
      <c r="AG2451">
        <v>5.5115979999999896</v>
      </c>
      <c r="AH2451">
        <v>124.719756709123</v>
      </c>
      <c r="AI2451">
        <v>87.692075985642802</v>
      </c>
      <c r="AJ2451">
        <v>114.21774155336399</v>
      </c>
      <c r="AK2451">
        <v>136.86616880463399</v>
      </c>
      <c r="AL2451">
        <v>78.168944816752003</v>
      </c>
      <c r="AM2451">
        <v>95.312538322436495</v>
      </c>
      <c r="AN2451">
        <v>1.00000008399704</v>
      </c>
    </row>
    <row r="2452" spans="1:40" x14ac:dyDescent="0.25">
      <c r="A2452" t="str">
        <f>"20190303171024308"</f>
        <v>20190303171024308</v>
      </c>
      <c r="B2452" t="str">
        <f>"1551604224293367"</f>
        <v>1551604224293367</v>
      </c>
      <c r="C2452" t="s">
        <v>40</v>
      </c>
      <c r="D2452">
        <v>4.6957309999999897</v>
      </c>
      <c r="E2452">
        <v>0.36477169999999998</v>
      </c>
      <c r="F2452" t="s">
        <v>51</v>
      </c>
      <c r="G2452">
        <v>-148.67400000000001</v>
      </c>
      <c r="H2452">
        <v>14.961679999999999</v>
      </c>
      <c r="I2452">
        <v>117.905</v>
      </c>
      <c r="J2452">
        <v>-485.40589999999997</v>
      </c>
      <c r="K2452">
        <v>1.131939</v>
      </c>
      <c r="L2452">
        <v>220.97880000000001</v>
      </c>
      <c r="M2452">
        <v>0.75353380000000003</v>
      </c>
      <c r="N2452">
        <v>-1.5151690000000001E-2</v>
      </c>
      <c r="O2452">
        <v>-0.65723469999999995</v>
      </c>
      <c r="P2452">
        <v>0.79299379999999997</v>
      </c>
      <c r="Q2452">
        <v>0.1920675</v>
      </c>
      <c r="R2452">
        <v>-0.57816190000000001</v>
      </c>
      <c r="S2452">
        <v>3.0836489999999999</v>
      </c>
      <c r="T2452">
        <v>0.12654509999999999</v>
      </c>
      <c r="U2452">
        <v>-0.94519039999999999</v>
      </c>
      <c r="V2452">
        <v>-9.095934E-2</v>
      </c>
      <c r="W2452">
        <v>0.2045286</v>
      </c>
      <c r="X2452">
        <v>0.97462530000000003</v>
      </c>
      <c r="Y2452">
        <v>-0.4065396</v>
      </c>
      <c r="Z2452">
        <v>-3.9580659999999997E-2</v>
      </c>
      <c r="AA2452">
        <v>0.91277540000000001</v>
      </c>
      <c r="AB2452">
        <v>31</v>
      </c>
      <c r="AC2452">
        <v>336.7319</v>
      </c>
      <c r="AD2452">
        <v>13.829741</v>
      </c>
      <c r="AE2452">
        <v>-103.07380000000001</v>
      </c>
      <c r="AF2452">
        <v>-143.43755249301799</v>
      </c>
      <c r="AG2452">
        <v>13.829741</v>
      </c>
      <c r="AH2452">
        <v>321.024312017044</v>
      </c>
      <c r="AI2452">
        <v>87.747580459895602</v>
      </c>
      <c r="AJ2452">
        <v>114.075670502709</v>
      </c>
      <c r="AK2452">
        <v>351.883790628854</v>
      </c>
      <c r="AL2452">
        <v>78.198095011413201</v>
      </c>
      <c r="AM2452">
        <v>95.331827385906294</v>
      </c>
      <c r="AN2452">
        <v>1.0000000125756401</v>
      </c>
    </row>
    <row r="2453" spans="1:40" x14ac:dyDescent="0.25">
      <c r="A2453" t="str">
        <f>"20190303171024329"</f>
        <v>20190303171024329</v>
      </c>
      <c r="B2453" t="str">
        <f>"1551604224323155"</f>
        <v>1551604224323155</v>
      </c>
      <c r="C2453" t="s">
        <v>40</v>
      </c>
      <c r="D2453">
        <v>4.6942329999999997</v>
      </c>
      <c r="E2453">
        <v>0.36503020000000003</v>
      </c>
      <c r="F2453" t="s">
        <v>75</v>
      </c>
      <c r="G2453">
        <v>-342.79739999999998</v>
      </c>
      <c r="H2453">
        <v>6.8772539999999998</v>
      </c>
      <c r="I2453">
        <v>179.56799999999899</v>
      </c>
      <c r="J2453">
        <v>-485.17619999999999</v>
      </c>
      <c r="K2453">
        <v>1.1319060000000001</v>
      </c>
      <c r="L2453">
        <v>220.79419999999999</v>
      </c>
      <c r="M2453">
        <v>0.76155620000000002</v>
      </c>
      <c r="N2453">
        <v>-1.514212E-2</v>
      </c>
      <c r="O2453">
        <v>-0.6479222</v>
      </c>
      <c r="P2453">
        <v>0.80020199999999997</v>
      </c>
      <c r="Q2453">
        <v>0.19279489999999999</v>
      </c>
      <c r="R2453">
        <v>-0.56789730000000005</v>
      </c>
      <c r="S2453">
        <v>3.0971980000000001</v>
      </c>
      <c r="T2453">
        <v>0.12477870000000001</v>
      </c>
      <c r="U2453">
        <v>-0.89936830000000001</v>
      </c>
      <c r="V2453">
        <v>-9.1424099999999994E-2</v>
      </c>
      <c r="W2453">
        <v>0.20523939999999999</v>
      </c>
      <c r="X2453">
        <v>0.97443230000000003</v>
      </c>
      <c r="Y2453">
        <v>-0.40887069999999998</v>
      </c>
      <c r="Z2453">
        <v>-3.8693350000000001E-2</v>
      </c>
      <c r="AA2453">
        <v>0.91177169999999996</v>
      </c>
      <c r="AB2453">
        <v>31</v>
      </c>
      <c r="AC2453">
        <v>142.37880000000001</v>
      </c>
      <c r="AD2453">
        <v>5.7453479999999999</v>
      </c>
      <c r="AE2453">
        <v>-41.226199999999999</v>
      </c>
      <c r="AF2453">
        <v>-60.769986516020502</v>
      </c>
      <c r="AG2453">
        <v>5.7453479999999999</v>
      </c>
      <c r="AH2453">
        <v>134.953552843696</v>
      </c>
      <c r="AI2453">
        <v>87.7769724051184</v>
      </c>
      <c r="AJ2453">
        <v>114.24217966177601</v>
      </c>
      <c r="AK2453">
        <v>148.11637893877401</v>
      </c>
      <c r="AL2453">
        <v>78.156485654736599</v>
      </c>
      <c r="AM2453">
        <v>95.359967570590001</v>
      </c>
      <c r="AN2453">
        <v>0.99999994232822798</v>
      </c>
    </row>
    <row r="2454" spans="1:40" x14ac:dyDescent="0.25">
      <c r="A2454" t="str">
        <f>"20190303171024349"</f>
        <v>20190303171024349</v>
      </c>
      <c r="B2454" t="str">
        <f>"1551604224342674"</f>
        <v>1551604224342674</v>
      </c>
      <c r="C2454" t="s">
        <v>40</v>
      </c>
      <c r="D2454">
        <v>4.7308719999999997</v>
      </c>
      <c r="E2454">
        <v>0.36522460000000001</v>
      </c>
      <c r="F2454" t="s">
        <v>72</v>
      </c>
      <c r="G2454">
        <v>-363.83870000000002</v>
      </c>
      <c r="H2454">
        <v>6.0862150000000002</v>
      </c>
      <c r="I2454">
        <v>187.15799999999999</v>
      </c>
      <c r="J2454">
        <v>-484.95679999999999</v>
      </c>
      <c r="K2454">
        <v>1.131885</v>
      </c>
      <c r="L2454">
        <v>220.62209999999999</v>
      </c>
      <c r="M2454">
        <v>0.76903929999999998</v>
      </c>
      <c r="N2454">
        <v>-1.5133600000000001E-2</v>
      </c>
      <c r="O2454">
        <v>-0.63902250000000005</v>
      </c>
      <c r="P2454">
        <v>0.80674999999999997</v>
      </c>
      <c r="Q2454">
        <v>0.1937017</v>
      </c>
      <c r="R2454">
        <v>-0.55824229999999997</v>
      </c>
      <c r="S2454">
        <v>3.1071780000000002</v>
      </c>
      <c r="T2454">
        <v>0.12687080000000001</v>
      </c>
      <c r="U2454">
        <v>-0.86134339999999998</v>
      </c>
      <c r="V2454">
        <v>-9.1669459999999994E-2</v>
      </c>
      <c r="W2454">
        <v>0.20613529999999999</v>
      </c>
      <c r="X2454">
        <v>0.97422019999999998</v>
      </c>
      <c r="Y2454">
        <v>-0.40935959999999899</v>
      </c>
      <c r="Z2454">
        <v>-3.8781360000000001E-2</v>
      </c>
      <c r="AA2454">
        <v>0.91154860000000004</v>
      </c>
      <c r="AB2454">
        <v>31</v>
      </c>
      <c r="AC2454">
        <v>121.118099999999</v>
      </c>
      <c r="AD2454">
        <v>4.9543299999999997</v>
      </c>
      <c r="AE2454">
        <v>-33.464100000000002</v>
      </c>
      <c r="AF2454">
        <v>-51.587698783430703</v>
      </c>
      <c r="AG2454">
        <v>4.9543299999999997</v>
      </c>
      <c r="AH2454">
        <v>114.36421176671401</v>
      </c>
      <c r="AI2454">
        <v>87.738621741487805</v>
      </c>
      <c r="AJ2454">
        <v>114.279304292463</v>
      </c>
      <c r="AK2454">
        <v>125.558786966667</v>
      </c>
      <c r="AL2454">
        <v>78.1040337982609</v>
      </c>
      <c r="AM2454">
        <v>95.375431496162093</v>
      </c>
      <c r="AN2454">
        <v>1.00000002494541</v>
      </c>
    </row>
    <row r="2455" spans="1:40" x14ac:dyDescent="0.25">
      <c r="A2455" t="str">
        <f>"20190303171024371"</f>
        <v>20190303171024371</v>
      </c>
      <c r="B2455" t="str">
        <f>"1551604224363171"</f>
        <v>1551604224363171</v>
      </c>
      <c r="C2455" t="s">
        <v>40</v>
      </c>
      <c r="D2455">
        <v>4.745368</v>
      </c>
      <c r="E2455">
        <v>0.36553609999999997</v>
      </c>
      <c r="F2455" t="s">
        <v>72</v>
      </c>
      <c r="G2455">
        <v>-364.68770000000001</v>
      </c>
      <c r="H2455">
        <v>6.231433</v>
      </c>
      <c r="I2455">
        <v>188.7595</v>
      </c>
      <c r="J2455">
        <v>-484.71620000000001</v>
      </c>
      <c r="K2455">
        <v>1.1318600000000001</v>
      </c>
      <c r="L2455">
        <v>220.43809999999999</v>
      </c>
      <c r="M2455">
        <v>0.77704969999999995</v>
      </c>
      <c r="N2455">
        <v>-1.512489E-2</v>
      </c>
      <c r="O2455">
        <v>-0.62925750000000003</v>
      </c>
      <c r="P2455">
        <v>0.81378600000000001</v>
      </c>
      <c r="Q2455">
        <v>0.1941581</v>
      </c>
      <c r="R2455">
        <v>-0.54777279999999995</v>
      </c>
      <c r="S2455">
        <v>3.115723</v>
      </c>
      <c r="T2455">
        <v>0.13211249999999999</v>
      </c>
      <c r="U2455">
        <v>-0.82543949999999999</v>
      </c>
      <c r="V2455">
        <v>-9.1877979999999998E-2</v>
      </c>
      <c r="W2455">
        <v>0.20658319999999999</v>
      </c>
      <c r="X2455">
        <v>0.97410569999999996</v>
      </c>
      <c r="Y2455">
        <v>-0.4082131</v>
      </c>
      <c r="Z2455">
        <v>-3.9576689999999998E-2</v>
      </c>
      <c r="AA2455">
        <v>0.91202839999999996</v>
      </c>
      <c r="AB2455">
        <v>31</v>
      </c>
      <c r="AC2455">
        <v>120.02849999999999</v>
      </c>
      <c r="AD2455">
        <v>5.0995730000000004</v>
      </c>
      <c r="AE2455">
        <v>-31.6785999999999</v>
      </c>
      <c r="AF2455">
        <v>-50.833028860789497</v>
      </c>
      <c r="AG2455">
        <v>5.0995730000000004</v>
      </c>
      <c r="AH2455">
        <v>113.024323747933</v>
      </c>
      <c r="AI2455">
        <v>87.643664214717802</v>
      </c>
      <c r="AJ2455">
        <v>114.215975444192</v>
      </c>
      <c r="AK2455">
        <v>124.03427037162599</v>
      </c>
      <c r="AL2455">
        <v>78.077806792574904</v>
      </c>
      <c r="AM2455">
        <v>95.388216642285499</v>
      </c>
      <c r="AN2455">
        <v>1.0000000482517999</v>
      </c>
    </row>
    <row r="2456" spans="1:40" x14ac:dyDescent="0.25">
      <c r="A2456" t="str">
        <f>"20190303171024393"</f>
        <v>20190303171024393</v>
      </c>
      <c r="B2456" t="str">
        <f>"1551604224383666"</f>
        <v>1551604224383666</v>
      </c>
      <c r="C2456" t="s">
        <v>40</v>
      </c>
      <c r="D2456">
        <v>4.8067820000000001</v>
      </c>
      <c r="E2456">
        <v>0.36587150000000002</v>
      </c>
      <c r="F2456" t="s">
        <v>72</v>
      </c>
      <c r="G2456">
        <v>-365.1823</v>
      </c>
      <c r="H2456">
        <v>6.1626820000000002</v>
      </c>
      <c r="I2456">
        <v>190.315</v>
      </c>
      <c r="J2456">
        <v>-484.47559999999999</v>
      </c>
      <c r="K2456">
        <v>1.1318410000000001</v>
      </c>
      <c r="L2456">
        <v>220.25880000000001</v>
      </c>
      <c r="M2456">
        <v>0.78486509999999998</v>
      </c>
      <c r="N2456">
        <v>-1.5116620000000001E-2</v>
      </c>
      <c r="O2456">
        <v>-0.61948239999999999</v>
      </c>
      <c r="P2456">
        <v>0.82095869999999904</v>
      </c>
      <c r="Q2456">
        <v>0.1945529</v>
      </c>
      <c r="R2456">
        <v>-0.53682089999999905</v>
      </c>
      <c r="S2456">
        <v>3.1249690000000001</v>
      </c>
      <c r="T2456">
        <v>0.1315229</v>
      </c>
      <c r="U2456">
        <v>-0.78750609999999999</v>
      </c>
      <c r="V2456">
        <v>-9.2676430000000004E-2</v>
      </c>
      <c r="W2456">
        <v>0.2069532</v>
      </c>
      <c r="X2456">
        <v>0.97395149999999997</v>
      </c>
      <c r="Y2456">
        <v>-0.40786169999999999</v>
      </c>
      <c r="Z2456">
        <v>-3.8925599999999998E-2</v>
      </c>
      <c r="AA2456">
        <v>0.91221359999999996</v>
      </c>
      <c r="AB2456">
        <v>31</v>
      </c>
      <c r="AC2456">
        <v>119.2933</v>
      </c>
      <c r="AD2456">
        <v>5.0308409999999997</v>
      </c>
      <c r="AE2456">
        <v>-29.9438</v>
      </c>
      <c r="AF2456">
        <v>-50.319822489207297</v>
      </c>
      <c r="AG2456">
        <v>5.0308409999999997</v>
      </c>
      <c r="AH2456">
        <v>112.004223472354</v>
      </c>
      <c r="AI2456">
        <v>87.653813778572697</v>
      </c>
      <c r="AJ2456">
        <v>114.19281927675</v>
      </c>
      <c r="AK2456">
        <v>122.89157811728801</v>
      </c>
      <c r="AL2456">
        <v>78.056138967320507</v>
      </c>
      <c r="AM2456">
        <v>95.435618156677094</v>
      </c>
      <c r="AN2456">
        <v>1.0000000360100101</v>
      </c>
    </row>
    <row r="2457" spans="1:40" x14ac:dyDescent="0.25">
      <c r="A2457" t="str">
        <f>"20190303171024417"</f>
        <v>20190303171024417</v>
      </c>
      <c r="B2457" t="str">
        <f>"1551604224403190"</f>
        <v>1551604224403190</v>
      </c>
      <c r="C2457" t="s">
        <v>40</v>
      </c>
      <c r="D2457">
        <v>4.8179309999999997</v>
      </c>
      <c r="E2457">
        <v>0.3662976</v>
      </c>
      <c r="F2457" t="s">
        <v>72</v>
      </c>
      <c r="G2457">
        <v>-364.03199999999998</v>
      </c>
      <c r="H2457">
        <v>6.180091</v>
      </c>
      <c r="I2457">
        <v>191.50399999999999</v>
      </c>
      <c r="J2457">
        <v>-484.22739999999999</v>
      </c>
      <c r="K2457">
        <v>1.131813</v>
      </c>
      <c r="L2457">
        <v>220.07859999999999</v>
      </c>
      <c r="M2457">
        <v>0.79272469999999995</v>
      </c>
      <c r="N2457">
        <v>-1.510856E-2</v>
      </c>
      <c r="O2457">
        <v>-0.60939279999999996</v>
      </c>
      <c r="P2457">
        <v>0.82792049999999995</v>
      </c>
      <c r="Q2457">
        <v>0.1944448</v>
      </c>
      <c r="R2457">
        <v>-0.52605990000000002</v>
      </c>
      <c r="S2457">
        <v>3.1338200000000001</v>
      </c>
      <c r="T2457">
        <v>0.13135269999999999</v>
      </c>
      <c r="U2457">
        <v>-0.74816890000000003</v>
      </c>
      <c r="V2457">
        <v>-9.2929570000000003E-2</v>
      </c>
      <c r="W2457">
        <v>0.20683609999999999</v>
      </c>
      <c r="X2457">
        <v>0.97395220000000005</v>
      </c>
      <c r="Y2457">
        <v>-0.40761730000000002</v>
      </c>
      <c r="Z2457">
        <v>-3.8365000000000003E-2</v>
      </c>
      <c r="AA2457">
        <v>0.91234649999999995</v>
      </c>
      <c r="AB2457">
        <v>31</v>
      </c>
      <c r="AC2457">
        <v>120.19540000000001</v>
      </c>
      <c r="AD2457">
        <v>5.0482779999999998</v>
      </c>
      <c r="AE2457">
        <v>-28.574599999999901</v>
      </c>
      <c r="AF2457">
        <v>-50.515842565594802</v>
      </c>
      <c r="AG2457">
        <v>5.0482779999999998</v>
      </c>
      <c r="AH2457">
        <v>112.519992655751</v>
      </c>
      <c r="AI2457">
        <v>87.656193028766296</v>
      </c>
      <c r="AJ2457">
        <v>114.177692637528</v>
      </c>
      <c r="AK2457">
        <v>123.44263529318999</v>
      </c>
      <c r="AL2457">
        <v>78.062996034286101</v>
      </c>
      <c r="AM2457">
        <v>95.450372035248904</v>
      </c>
      <c r="AN2457">
        <v>0.99999998256421696</v>
      </c>
    </row>
    <row r="2458" spans="1:40" x14ac:dyDescent="0.25">
      <c r="A2458" t="str">
        <f>"20190303171024438"</f>
        <v>20190303171024438</v>
      </c>
      <c r="B2458" t="str">
        <f>"1551604224432973"</f>
        <v>1551604224432973</v>
      </c>
      <c r="C2458" t="s">
        <v>40</v>
      </c>
      <c r="D2458">
        <v>4.7845559999999896</v>
      </c>
      <c r="E2458">
        <v>0.36699409999999999</v>
      </c>
      <c r="F2458" t="s">
        <v>72</v>
      </c>
      <c r="G2458">
        <v>-363.03919999999999</v>
      </c>
      <c r="H2458">
        <v>6.1095119999999996</v>
      </c>
      <c r="I2458">
        <v>192.685</v>
      </c>
      <c r="J2458">
        <v>-483.98880000000003</v>
      </c>
      <c r="K2458">
        <v>1.1317950000000001</v>
      </c>
      <c r="L2458">
        <v>219.91030000000001</v>
      </c>
      <c r="M2458">
        <v>0.80008979999999996</v>
      </c>
      <c r="N2458">
        <v>-1.5101389999999999E-2</v>
      </c>
      <c r="O2458">
        <v>-0.59969030000000001</v>
      </c>
      <c r="P2458">
        <v>0.83426309999999904</v>
      </c>
      <c r="Q2458">
        <v>0.19450580000000001</v>
      </c>
      <c r="R2458">
        <v>-0.51591929999999997</v>
      </c>
      <c r="S2458">
        <v>3.1419980000000001</v>
      </c>
      <c r="T2458">
        <v>0.12905700000000001</v>
      </c>
      <c r="U2458">
        <v>-0.71022030000000003</v>
      </c>
      <c r="V2458">
        <v>-9.2927430000000005E-2</v>
      </c>
      <c r="W2458">
        <v>0.20689579999999999</v>
      </c>
      <c r="X2458">
        <v>0.97393969999999996</v>
      </c>
      <c r="Y2458">
        <v>-0.40753440000000002</v>
      </c>
      <c r="Z2458">
        <v>-3.7317660000000002E-2</v>
      </c>
      <c r="AA2458">
        <v>0.91242710000000005</v>
      </c>
      <c r="AB2458">
        <v>31</v>
      </c>
      <c r="AC2458">
        <v>120.9496</v>
      </c>
      <c r="AD2458">
        <v>4.9777170000000002</v>
      </c>
      <c r="AE2458">
        <v>-27.225300000000001</v>
      </c>
      <c r="AF2458">
        <v>-50.673709924589801</v>
      </c>
      <c r="AG2458">
        <v>4.9777170000000002</v>
      </c>
      <c r="AH2458">
        <v>112.92812786531201</v>
      </c>
      <c r="AI2458">
        <v>87.697067699256493</v>
      </c>
      <c r="AJ2458">
        <v>114.166981235763</v>
      </c>
      <c r="AK2458">
        <v>123.87640859832</v>
      </c>
      <c r="AL2458">
        <v>78.059499569043894</v>
      </c>
      <c r="AM2458">
        <v>95.450316808636202</v>
      </c>
      <c r="AN2458">
        <v>0.99999995927006602</v>
      </c>
    </row>
    <row r="2459" spans="1:40" x14ac:dyDescent="0.25">
      <c r="A2459" t="str">
        <f>"20190303171024460"</f>
        <v>20190303171024460</v>
      </c>
      <c r="B2459" t="str">
        <f>"1551604224453470"</f>
        <v>1551604224453470</v>
      </c>
      <c r="C2459" t="s">
        <v>40</v>
      </c>
      <c r="D2459">
        <v>4.8029830000000002</v>
      </c>
      <c r="E2459">
        <v>0.3673054</v>
      </c>
      <c r="F2459" t="s">
        <v>72</v>
      </c>
      <c r="G2459">
        <v>-346.827</v>
      </c>
      <c r="H2459">
        <v>6.6257509999999904</v>
      </c>
      <c r="I2459">
        <v>190.42670000000001</v>
      </c>
      <c r="J2459">
        <v>-483.7371</v>
      </c>
      <c r="K2459">
        <v>1.1317649999999999</v>
      </c>
      <c r="L2459">
        <v>219.73740000000001</v>
      </c>
      <c r="M2459">
        <v>0.80766830000000001</v>
      </c>
      <c r="N2459">
        <v>-1.5094120000000001E-2</v>
      </c>
      <c r="O2459">
        <v>-0.58944399999999997</v>
      </c>
      <c r="P2459">
        <v>0.8407654</v>
      </c>
      <c r="Q2459">
        <v>0.1949216</v>
      </c>
      <c r="R2459">
        <v>-0.50509329999999997</v>
      </c>
      <c r="S2459">
        <v>3.1481020000000002</v>
      </c>
      <c r="T2459">
        <v>0.12609780000000001</v>
      </c>
      <c r="U2459">
        <v>-0.67669679999999999</v>
      </c>
      <c r="V2459">
        <v>-9.304366E-2</v>
      </c>
      <c r="W2459">
        <v>0.20730589999999999</v>
      </c>
      <c r="X2459">
        <v>0.97384139999999997</v>
      </c>
      <c r="Y2459">
        <v>-0.40559909999999999</v>
      </c>
      <c r="Z2459">
        <v>-3.6081780000000001E-2</v>
      </c>
      <c r="AA2459">
        <v>0.91333869999999895</v>
      </c>
      <c r="AB2459">
        <v>31</v>
      </c>
      <c r="AC2459">
        <v>136.9101</v>
      </c>
      <c r="AD2459">
        <v>5.4939859999999996</v>
      </c>
      <c r="AE2459">
        <v>-29.310700000000001</v>
      </c>
      <c r="AF2459">
        <v>-56.946325718946703</v>
      </c>
      <c r="AG2459">
        <v>5.4939859999999996</v>
      </c>
      <c r="AH2459">
        <v>127.672941447041</v>
      </c>
      <c r="AI2459">
        <v>87.749452431114406</v>
      </c>
      <c r="AJ2459">
        <v>114.038441223476</v>
      </c>
      <c r="AK2459">
        <v>139.90513883627</v>
      </c>
      <c r="AL2459">
        <v>78.035481931825004</v>
      </c>
      <c r="AM2459">
        <v>95.457640240876401</v>
      </c>
      <c r="AN2459">
        <v>0.99999996559748205</v>
      </c>
    </row>
    <row r="2460" spans="1:40" x14ac:dyDescent="0.25">
      <c r="A2460" t="str">
        <f>"20190303171024482"</f>
        <v>20190303171024482</v>
      </c>
      <c r="B2460" t="str">
        <f>"1551604224472989"</f>
        <v>1551604224472989</v>
      </c>
      <c r="C2460" t="s">
        <v>40</v>
      </c>
      <c r="D2460">
        <v>4.7707410000000001</v>
      </c>
      <c r="E2460">
        <v>0.36711100000000002</v>
      </c>
      <c r="F2460" t="s">
        <v>74</v>
      </c>
      <c r="G2460">
        <v>-362.98110000000003</v>
      </c>
      <c r="H2460">
        <v>5.9448040000000004</v>
      </c>
      <c r="I2460">
        <v>195.29660000000001</v>
      </c>
      <c r="J2460">
        <v>-483.48759999999999</v>
      </c>
      <c r="K2460">
        <v>1.13175</v>
      </c>
      <c r="L2460">
        <v>219.57060000000001</v>
      </c>
      <c r="M2460">
        <v>0.81499149999999998</v>
      </c>
      <c r="N2460">
        <v>-1.508722E-2</v>
      </c>
      <c r="O2460">
        <v>-0.57927680000000004</v>
      </c>
      <c r="P2460">
        <v>0.84677259999999999</v>
      </c>
      <c r="Q2460">
        <v>0.1954293</v>
      </c>
      <c r="R2460">
        <v>-0.49475639999999999</v>
      </c>
      <c r="S2460">
        <v>3.1553650000000002</v>
      </c>
      <c r="T2460">
        <v>0.1257675</v>
      </c>
      <c r="U2460">
        <v>-0.63864140000000003</v>
      </c>
      <c r="V2460">
        <v>-9.2701290000000006E-2</v>
      </c>
      <c r="W2460">
        <v>0.2078199</v>
      </c>
      <c r="X2460">
        <v>0.97376450000000003</v>
      </c>
      <c r="Y2460">
        <v>-0.40515610000000002</v>
      </c>
      <c r="Z2460">
        <v>-3.5489119999999999E-2</v>
      </c>
      <c r="AA2460">
        <v>0.91355850000000005</v>
      </c>
      <c r="AB2460">
        <v>31</v>
      </c>
      <c r="AC2460">
        <v>120.50649999999899</v>
      </c>
      <c r="AD2460">
        <v>4.8130540000000002</v>
      </c>
      <c r="AE2460">
        <v>-24.274000000000001</v>
      </c>
      <c r="AF2460">
        <v>-49.952622540426098</v>
      </c>
      <c r="AG2460">
        <v>4.8130540000000002</v>
      </c>
      <c r="AH2460">
        <v>112.114024385406</v>
      </c>
      <c r="AI2460">
        <v>87.754366137890997</v>
      </c>
      <c r="AJ2460">
        <v>114.015455863982</v>
      </c>
      <c r="AK2460">
        <v>122.833156970603</v>
      </c>
      <c r="AL2460">
        <v>78.005376310809297</v>
      </c>
      <c r="AM2460">
        <v>95.438105364301904</v>
      </c>
      <c r="AN2460">
        <v>0.99999997073196101</v>
      </c>
    </row>
    <row r="2461" spans="1:40" x14ac:dyDescent="0.25">
      <c r="A2461" t="str">
        <f>"20190303171024507"</f>
        <v>20190303171024507</v>
      </c>
      <c r="B2461" t="str">
        <f>"1551604224503245"</f>
        <v>1551604224503245</v>
      </c>
      <c r="C2461" t="s">
        <v>40</v>
      </c>
      <c r="D2461">
        <v>4.7684089999999903</v>
      </c>
      <c r="E2461">
        <v>0.3663381</v>
      </c>
      <c r="F2461" t="s">
        <v>74</v>
      </c>
      <c r="G2461">
        <v>-363.68779999999998</v>
      </c>
      <c r="H2461">
        <v>5.9670160000000001</v>
      </c>
      <c r="I2461">
        <v>196.90790000000001</v>
      </c>
      <c r="J2461">
        <v>-483.21339999999998</v>
      </c>
      <c r="K2461">
        <v>1.1317269999999999</v>
      </c>
      <c r="L2461">
        <v>219.39240000000001</v>
      </c>
      <c r="M2461">
        <v>0.822828</v>
      </c>
      <c r="N2461">
        <v>-1.507994E-2</v>
      </c>
      <c r="O2461">
        <v>-0.56809069999999995</v>
      </c>
      <c r="P2461">
        <v>0.85297699999999999</v>
      </c>
      <c r="Q2461">
        <v>0.19579659999999999</v>
      </c>
      <c r="R2461">
        <v>-0.48383310000000002</v>
      </c>
      <c r="S2461">
        <v>3.1636959999999998</v>
      </c>
      <c r="T2461">
        <v>0.1276931</v>
      </c>
      <c r="U2461">
        <v>-0.59848020000000002</v>
      </c>
      <c r="V2461">
        <v>-9.1861440000000003E-2</v>
      </c>
      <c r="W2461">
        <v>0.208207</v>
      </c>
      <c r="X2461">
        <v>0.9737614</v>
      </c>
      <c r="Y2461">
        <v>-0.4043022</v>
      </c>
      <c r="Z2461">
        <v>-3.5349829999999999E-2</v>
      </c>
      <c r="AA2461">
        <v>0.91394200000000003</v>
      </c>
      <c r="AB2461">
        <v>31</v>
      </c>
      <c r="AC2461">
        <v>119.5256</v>
      </c>
      <c r="AD2461">
        <v>4.8352890000000004</v>
      </c>
      <c r="AE2461">
        <v>-22.484500000000001</v>
      </c>
      <c r="AF2461">
        <v>-49.328146719136299</v>
      </c>
      <c r="AG2461">
        <v>4.8352890000000004</v>
      </c>
      <c r="AH2461">
        <v>110.959480564762</v>
      </c>
      <c r="AI2461">
        <v>87.719714170497198</v>
      </c>
      <c r="AJ2461">
        <v>113.96801750177499</v>
      </c>
      <c r="AK2461">
        <v>121.526344492295</v>
      </c>
      <c r="AL2461">
        <v>77.982701125928003</v>
      </c>
      <c r="AM2461">
        <v>95.389145953366807</v>
      </c>
      <c r="AN2461">
        <v>0.99999997156891596</v>
      </c>
    </row>
    <row r="2462" spans="1:40" x14ac:dyDescent="0.25">
      <c r="A2462" t="str">
        <f>"20190303171024531"</f>
        <v>20190303171024531</v>
      </c>
      <c r="B2462" t="str">
        <f>"1551604224523272"</f>
        <v>1551604224523272</v>
      </c>
      <c r="C2462" t="s">
        <v>40</v>
      </c>
      <c r="D2462">
        <v>4.8173459999999997</v>
      </c>
      <c r="E2462">
        <v>0.36597839999999998</v>
      </c>
      <c r="F2462" t="s">
        <v>74</v>
      </c>
      <c r="G2462">
        <v>-362.93630000000002</v>
      </c>
      <c r="H2462">
        <v>6.1481240000000001</v>
      </c>
      <c r="I2462">
        <v>198.4615</v>
      </c>
      <c r="J2462">
        <v>-482.92880000000002</v>
      </c>
      <c r="K2462">
        <v>1.1317029999999999</v>
      </c>
      <c r="L2462">
        <v>219.21279999999999</v>
      </c>
      <c r="M2462">
        <v>0.83073200000000003</v>
      </c>
      <c r="N2462">
        <v>-1.50728999999999E-2</v>
      </c>
      <c r="O2462">
        <v>-0.55646870000000004</v>
      </c>
      <c r="P2462">
        <v>0.85931349999999995</v>
      </c>
      <c r="Q2462">
        <v>0.19560559999999999</v>
      </c>
      <c r="R2462">
        <v>-0.4725666</v>
      </c>
      <c r="S2462">
        <v>3.1734309999999999</v>
      </c>
      <c r="T2462">
        <v>0.1323568</v>
      </c>
      <c r="U2462">
        <v>-0.55224609999999996</v>
      </c>
      <c r="V2462">
        <v>-9.0990860000000007E-2</v>
      </c>
      <c r="W2462">
        <v>0.2080391</v>
      </c>
      <c r="X2462">
        <v>0.97387900000000005</v>
      </c>
      <c r="Y2462">
        <v>-0.40481149999999999</v>
      </c>
      <c r="Z2462">
        <v>-3.5804740000000002E-2</v>
      </c>
      <c r="AA2462">
        <v>0.91369889999999998</v>
      </c>
      <c r="AB2462">
        <v>31</v>
      </c>
      <c r="AC2462">
        <v>119.99250000000001</v>
      </c>
      <c r="AD2462">
        <v>5.0164210000000002</v>
      </c>
      <c r="AE2462">
        <v>-20.751299999999901</v>
      </c>
      <c r="AF2462">
        <v>-49.454997730440901</v>
      </c>
      <c r="AG2462">
        <v>5.0164210000000002</v>
      </c>
      <c r="AH2462">
        <v>111.05322404647301</v>
      </c>
      <c r="AI2462">
        <v>87.637056061542395</v>
      </c>
      <c r="AJ2462">
        <v>114.004700356916</v>
      </c>
      <c r="AK2462">
        <v>121.67078470727201</v>
      </c>
      <c r="AL2462">
        <v>77.992536255604904</v>
      </c>
      <c r="AM2462">
        <v>95.337728040671607</v>
      </c>
      <c r="AN2462">
        <v>0.99999995518667395</v>
      </c>
    </row>
    <row r="2463" spans="1:40" x14ac:dyDescent="0.25">
      <c r="A2463" t="str">
        <f>"20190303171024549"</f>
        <v>20190303171024549</v>
      </c>
      <c r="B2463" t="str">
        <f>"1551604224542792"</f>
        <v>1551604224542792</v>
      </c>
      <c r="C2463" t="s">
        <v>40</v>
      </c>
      <c r="D2463">
        <v>4.833539</v>
      </c>
      <c r="E2463">
        <v>0.36567769999999999</v>
      </c>
      <c r="F2463" t="s">
        <v>74</v>
      </c>
      <c r="G2463">
        <v>-362.10050000000001</v>
      </c>
      <c r="H2463">
        <v>6.2034890000000003</v>
      </c>
      <c r="I2463">
        <v>199.9374</v>
      </c>
      <c r="J2463">
        <v>-482.7208</v>
      </c>
      <c r="K2463">
        <v>1.1316820000000001</v>
      </c>
      <c r="L2463">
        <v>219.08529999999999</v>
      </c>
      <c r="M2463">
        <v>0.836364</v>
      </c>
      <c r="N2463">
        <v>-1.506796E-2</v>
      </c>
      <c r="O2463">
        <v>-0.54796739999999999</v>
      </c>
      <c r="P2463">
        <v>0.86369719999999905</v>
      </c>
      <c r="Q2463">
        <v>0.19534389999999999</v>
      </c>
      <c r="R2463">
        <v>-0.46461590000000003</v>
      </c>
      <c r="S2463">
        <v>3.18161</v>
      </c>
      <c r="T2463">
        <v>0.133551</v>
      </c>
      <c r="U2463">
        <v>-0.50755309999999998</v>
      </c>
      <c r="V2463">
        <v>-9.0060199999999896E-2</v>
      </c>
      <c r="W2463">
        <v>0.20780209999999999</v>
      </c>
      <c r="X2463">
        <v>0.97401610000000005</v>
      </c>
      <c r="Y2463">
        <v>-0.4083678</v>
      </c>
      <c r="Z2463">
        <v>-3.5663269999999997E-2</v>
      </c>
      <c r="AA2463">
        <v>0.91212059999999995</v>
      </c>
      <c r="AB2463">
        <v>31</v>
      </c>
      <c r="AC2463">
        <v>120.6203</v>
      </c>
      <c r="AD2463">
        <v>5.0718069999999997</v>
      </c>
      <c r="AE2463">
        <v>-19.1479</v>
      </c>
      <c r="AF2463">
        <v>-50.000833866131401</v>
      </c>
      <c r="AG2463">
        <v>5.0718069999999997</v>
      </c>
      <c r="AH2463">
        <v>111.19578132458101</v>
      </c>
      <c r="AI2463">
        <v>87.617907477696804</v>
      </c>
      <c r="AJ2463">
        <v>114.211774151417</v>
      </c>
      <c r="AK2463">
        <v>122.025851351006</v>
      </c>
      <c r="AL2463">
        <v>78.006418778963507</v>
      </c>
      <c r="AM2463">
        <v>95.282704506854998</v>
      </c>
      <c r="AN2463">
        <v>0.99999995772382899</v>
      </c>
    </row>
    <row r="2464" spans="1:40" x14ac:dyDescent="0.25">
      <c r="A2464" t="str">
        <f>"20190303171024574"</f>
        <v>20190303171024574</v>
      </c>
      <c r="B2464" t="str">
        <f>"1551604224563288"</f>
        <v>1551604224563288</v>
      </c>
      <c r="C2464" t="s">
        <v>40</v>
      </c>
      <c r="D2464">
        <v>4.804081</v>
      </c>
      <c r="E2464">
        <v>0.36548160000000002</v>
      </c>
      <c r="F2464" t="s">
        <v>74</v>
      </c>
      <c r="G2464">
        <v>-346.46339999999998</v>
      </c>
      <c r="H2464">
        <v>6.8618430000000004</v>
      </c>
      <c r="I2464">
        <v>198.7389</v>
      </c>
      <c r="J2464">
        <v>-482.44220000000001</v>
      </c>
      <c r="K2464">
        <v>1.1316600000000001</v>
      </c>
      <c r="L2464">
        <v>218.9187</v>
      </c>
      <c r="M2464">
        <v>0.84372159999999996</v>
      </c>
      <c r="N2464">
        <v>-1.506161E-2</v>
      </c>
      <c r="O2464">
        <v>-0.53657010000000005</v>
      </c>
      <c r="P2464">
        <v>0.86977640000000001</v>
      </c>
      <c r="Q2464">
        <v>0.1946282</v>
      </c>
      <c r="R2464">
        <v>-0.45344220000000002</v>
      </c>
      <c r="S2464">
        <v>3.187103</v>
      </c>
      <c r="T2464">
        <v>0.13403219999999999</v>
      </c>
      <c r="U2464">
        <v>-0.47590640000000001</v>
      </c>
      <c r="V2464">
        <v>-8.9456949999999993E-2</v>
      </c>
      <c r="W2464">
        <v>0.20710339999999999</v>
      </c>
      <c r="X2464">
        <v>0.97422050000000004</v>
      </c>
      <c r="Y2464">
        <v>-0.4050898</v>
      </c>
      <c r="Z2464">
        <v>-3.5118049999999998E-2</v>
      </c>
      <c r="AA2464">
        <v>0.91360220000000003</v>
      </c>
      <c r="AB2464">
        <v>31</v>
      </c>
      <c r="AC2464">
        <v>135.97880000000001</v>
      </c>
      <c r="AD2464">
        <v>5.7301829999999896</v>
      </c>
      <c r="AE2464">
        <v>-20.1798</v>
      </c>
      <c r="AF2464">
        <v>-55.845324697500097</v>
      </c>
      <c r="AG2464">
        <v>5.7301829999999896</v>
      </c>
      <c r="AH2464">
        <v>125.35253827786801</v>
      </c>
      <c r="AI2464">
        <v>87.6089362555078</v>
      </c>
      <c r="AJ2464">
        <v>114.01326540881701</v>
      </c>
      <c r="AK2464">
        <v>137.34916869237699</v>
      </c>
      <c r="AL2464">
        <v>78.047341807827905</v>
      </c>
      <c r="AM2464">
        <v>95.246422754372702</v>
      </c>
      <c r="AN2464">
        <v>0.99999997340755598</v>
      </c>
    </row>
    <row r="2465" spans="1:40" x14ac:dyDescent="0.25">
      <c r="A2465" t="str">
        <f>"20190303171024596"</f>
        <v>20190303171024596</v>
      </c>
      <c r="B2465" t="str">
        <f>"1551604224582808"</f>
        <v>1551604224582808</v>
      </c>
      <c r="C2465" t="s">
        <v>40</v>
      </c>
      <c r="D2465">
        <v>4.8378030000000001</v>
      </c>
      <c r="E2465">
        <v>0.365394</v>
      </c>
      <c r="F2465" t="s">
        <v>74</v>
      </c>
      <c r="G2465">
        <v>-343.96949999999998</v>
      </c>
      <c r="H2465">
        <v>6.8856719999999996</v>
      </c>
      <c r="I2465">
        <v>200.1559</v>
      </c>
      <c r="J2465">
        <v>-482.17599999999999</v>
      </c>
      <c r="K2465">
        <v>1.1316389999999901</v>
      </c>
      <c r="L2465">
        <v>218.76419999999999</v>
      </c>
      <c r="M2465">
        <v>0.85055740000000002</v>
      </c>
      <c r="N2465">
        <v>-1.505569E-2</v>
      </c>
      <c r="O2465">
        <v>-0.52566679999999999</v>
      </c>
      <c r="P2465">
        <v>0.87558230000000004</v>
      </c>
      <c r="Q2465">
        <v>0.19440950000000001</v>
      </c>
      <c r="R2465">
        <v>-0.44222299999999998</v>
      </c>
      <c r="S2465">
        <v>3.1938170000000001</v>
      </c>
      <c r="T2465">
        <v>0.1327161</v>
      </c>
      <c r="U2465">
        <v>-0.43275449999999999</v>
      </c>
      <c r="V2465">
        <v>-8.9451439999999993E-2</v>
      </c>
      <c r="W2465">
        <v>0.20688409999999999</v>
      </c>
      <c r="X2465">
        <v>0.97426760000000001</v>
      </c>
      <c r="Y2465">
        <v>-0.4057404</v>
      </c>
      <c r="Z2465">
        <v>-3.4252530000000003E-2</v>
      </c>
      <c r="AA2465">
        <v>0.9133464</v>
      </c>
      <c r="AB2465">
        <v>31</v>
      </c>
      <c r="AC2465">
        <v>138.20650000000001</v>
      </c>
      <c r="AD2465">
        <v>5.7540329999999997</v>
      </c>
      <c r="AE2465">
        <v>-18.6082999999999</v>
      </c>
      <c r="AF2465">
        <v>-56.732990840207698</v>
      </c>
      <c r="AG2465">
        <v>5.7540329999999997</v>
      </c>
      <c r="AH2465">
        <v>127.132309622097</v>
      </c>
      <c r="AI2465">
        <v>87.633225403897796</v>
      </c>
      <c r="AJ2465">
        <v>114.04889202966299</v>
      </c>
      <c r="AK2465">
        <v>139.33544163381001</v>
      </c>
      <c r="AL2465">
        <v>78.060184928797995</v>
      </c>
      <c r="AM2465">
        <v>95.245849207424499</v>
      </c>
      <c r="AN2465">
        <v>0.99999997368032101</v>
      </c>
    </row>
    <row r="2466" spans="1:40" x14ac:dyDescent="0.25">
      <c r="A2466" t="str">
        <f>"20190303171024619"</f>
        <v>20190303171024619</v>
      </c>
      <c r="B2466" t="str">
        <f>"1551604224613064"</f>
        <v>1551604224613064</v>
      </c>
      <c r="C2466" t="s">
        <v>40</v>
      </c>
      <c r="D2466">
        <v>4.6412230000000001</v>
      </c>
      <c r="E2466">
        <v>0.3653653</v>
      </c>
      <c r="F2466" t="s">
        <v>50</v>
      </c>
      <c r="G2466">
        <v>-169.72219999999999</v>
      </c>
      <c r="H2466">
        <v>14.06509</v>
      </c>
      <c r="I2466">
        <v>180.57220000000001</v>
      </c>
      <c r="J2466">
        <v>-481.90899999999999</v>
      </c>
      <c r="K2466">
        <v>1.131624</v>
      </c>
      <c r="L2466">
        <v>218.61429999999999</v>
      </c>
      <c r="M2466">
        <v>0.85722099999999901</v>
      </c>
      <c r="N2466">
        <v>-1.504981E-2</v>
      </c>
      <c r="O2466">
        <v>-0.51472879999999999</v>
      </c>
      <c r="P2466">
        <v>0.88108140000000001</v>
      </c>
      <c r="Q2466">
        <v>0.1950199</v>
      </c>
      <c r="R2466">
        <v>-0.43088670000000001</v>
      </c>
      <c r="S2466">
        <v>3.1993710000000002</v>
      </c>
      <c r="T2466">
        <v>0.13243250000000001</v>
      </c>
      <c r="U2466">
        <v>-0.39106750000000001</v>
      </c>
      <c r="V2466">
        <v>-8.9480110000000002E-2</v>
      </c>
      <c r="W2466">
        <v>0.2074906</v>
      </c>
      <c r="X2466">
        <v>0.974136</v>
      </c>
      <c r="Y2466">
        <v>-0.40597509999999998</v>
      </c>
      <c r="Z2466">
        <v>-3.3612990000000002E-2</v>
      </c>
      <c r="AA2466">
        <v>0.91326580000000002</v>
      </c>
      <c r="AB2466">
        <v>31</v>
      </c>
      <c r="AC2466">
        <v>312.18680000000001</v>
      </c>
      <c r="AD2466">
        <v>12.933465999999999</v>
      </c>
      <c r="AE2466">
        <v>-38.042099999999898</v>
      </c>
      <c r="AF2466">
        <v>-127.879280827287</v>
      </c>
      <c r="AG2466">
        <v>12.933465999999999</v>
      </c>
      <c r="AH2466">
        <v>286.74202116027101</v>
      </c>
      <c r="AI2466">
        <v>87.641093772015793</v>
      </c>
      <c r="AJ2466">
        <v>114.035594673085</v>
      </c>
      <c r="AK2466">
        <v>314.23139834643302</v>
      </c>
      <c r="AL2466">
        <v>78.024664517342998</v>
      </c>
      <c r="AM2466">
        <v>95.248226115478403</v>
      </c>
      <c r="AN2466">
        <v>0.99999999283498597</v>
      </c>
    </row>
    <row r="2467" spans="1:40" x14ac:dyDescent="0.25">
      <c r="A2467" t="str">
        <f>"20190303171024638"</f>
        <v>20190303171024638</v>
      </c>
      <c r="B2467" t="str">
        <f>"1551604224633092"</f>
        <v>1551604224633092</v>
      </c>
      <c r="C2467" t="s">
        <v>40</v>
      </c>
      <c r="D2467">
        <v>4.8575049999999997</v>
      </c>
      <c r="E2467">
        <v>0.36541770000000001</v>
      </c>
      <c r="F2467" t="s">
        <v>50</v>
      </c>
      <c r="G2467">
        <v>-169.72099999999901</v>
      </c>
      <c r="H2467">
        <v>14.270350000000001</v>
      </c>
      <c r="I2467">
        <v>184.57560000000001</v>
      </c>
      <c r="J2467">
        <v>-481.66969999999998</v>
      </c>
      <c r="K2467">
        <v>1.1316079999999999</v>
      </c>
      <c r="L2467">
        <v>218.48349999999999</v>
      </c>
      <c r="M2467">
        <v>0.86303799999999997</v>
      </c>
      <c r="N2467">
        <v>-1.504486E-2</v>
      </c>
      <c r="O2467">
        <v>-0.50491490000000006</v>
      </c>
      <c r="P2467">
        <v>0.88582269999999896</v>
      </c>
      <c r="Q2467">
        <v>0.1957188</v>
      </c>
      <c r="R2467">
        <v>-0.42072850000000001</v>
      </c>
      <c r="S2467">
        <v>3.204224</v>
      </c>
      <c r="T2467">
        <v>0.1348531</v>
      </c>
      <c r="U2467">
        <v>-0.34936519999999999</v>
      </c>
      <c r="V2467">
        <v>-8.9495370000000005E-2</v>
      </c>
      <c r="W2467">
        <v>0.20818690000000001</v>
      </c>
      <c r="X2467">
        <v>0.97398600000000002</v>
      </c>
      <c r="Y2467">
        <v>-0.4074313</v>
      </c>
      <c r="Z2467">
        <v>-3.3627770000000001E-2</v>
      </c>
      <c r="AA2467">
        <v>0.9126166</v>
      </c>
      <c r="AB2467">
        <v>31</v>
      </c>
      <c r="AC2467">
        <v>311.94869999999997</v>
      </c>
      <c r="AD2467">
        <v>13.138742000000001</v>
      </c>
      <c r="AE2467">
        <v>-33.907899999999898</v>
      </c>
      <c r="AF2467">
        <v>-128.03378390976599</v>
      </c>
      <c r="AG2467">
        <v>13.138742000000001</v>
      </c>
      <c r="AH2467">
        <v>285.87539253295103</v>
      </c>
      <c r="AI2467">
        <v>87.598133193609996</v>
      </c>
      <c r="AJ2467">
        <v>114.125970867519</v>
      </c>
      <c r="AK2467">
        <v>313.51238638922098</v>
      </c>
      <c r="AL2467">
        <v>77.983878521640094</v>
      </c>
      <c r="AM2467">
        <v>95.249920032543102</v>
      </c>
      <c r="AN2467">
        <v>0.99999996738952301</v>
      </c>
    </row>
    <row r="2468" spans="1:40" x14ac:dyDescent="0.25">
      <c r="A2468" t="str">
        <f>"20190303171024661"</f>
        <v>20190303171024661</v>
      </c>
      <c r="B2468" t="str">
        <f>"1551604224652612"</f>
        <v>1551604224652612</v>
      </c>
      <c r="C2468" t="s">
        <v>40</v>
      </c>
      <c r="D2468">
        <v>4.8803089999999996</v>
      </c>
      <c r="E2468">
        <v>0.36551070000000002</v>
      </c>
      <c r="F2468" t="s">
        <v>76</v>
      </c>
      <c r="G2468">
        <v>-281.69540000000001</v>
      </c>
      <c r="H2468">
        <v>9.7418379999999996</v>
      </c>
      <c r="I2468">
        <v>198.9838</v>
      </c>
      <c r="J2468">
        <v>-481.40210000000002</v>
      </c>
      <c r="K2468">
        <v>1.1315839999999999</v>
      </c>
      <c r="L2468">
        <v>218.3416</v>
      </c>
      <c r="M2468">
        <v>0.86937030000000004</v>
      </c>
      <c r="N2468">
        <v>-1.5039500000000001E-2</v>
      </c>
      <c r="O2468">
        <v>-0.49393280000000001</v>
      </c>
      <c r="P2468">
        <v>0.89135399999999998</v>
      </c>
      <c r="Q2468">
        <v>0.1950798</v>
      </c>
      <c r="R2468">
        <v>-0.40918490000000002</v>
      </c>
      <c r="S2468">
        <v>3.2075809999999998</v>
      </c>
      <c r="T2468">
        <v>0.13810729999999999</v>
      </c>
      <c r="U2468">
        <v>-0.31277470000000002</v>
      </c>
      <c r="V2468">
        <v>-8.9843320000000004E-2</v>
      </c>
      <c r="W2468">
        <v>0.2075391</v>
      </c>
      <c r="X2468">
        <v>0.97409219999999996</v>
      </c>
      <c r="Y2468">
        <v>-0.40623769999999998</v>
      </c>
      <c r="Z2468">
        <v>-3.3709629999999997E-2</v>
      </c>
      <c r="AA2468">
        <v>0.91314550000000005</v>
      </c>
      <c r="AB2468">
        <v>31</v>
      </c>
      <c r="AC2468">
        <v>199.70670000000001</v>
      </c>
      <c r="AD2468">
        <v>8.6102539999999994</v>
      </c>
      <c r="AE2468">
        <v>-19.357800000000001</v>
      </c>
      <c r="AF2468">
        <v>-81.671423423049703</v>
      </c>
      <c r="AG2468">
        <v>8.6102539999999994</v>
      </c>
      <c r="AH2468">
        <v>182.86444342792299</v>
      </c>
      <c r="AI2468">
        <v>87.538233102730899</v>
      </c>
      <c r="AJ2468">
        <v>114.066626283738</v>
      </c>
      <c r="AK2468">
        <v>200.458879943233</v>
      </c>
      <c r="AL2468">
        <v>78.021823401770106</v>
      </c>
      <c r="AM2468">
        <v>95.269645189198599</v>
      </c>
      <c r="AN2468">
        <v>0.99999995713913503</v>
      </c>
    </row>
    <row r="2469" spans="1:40" x14ac:dyDescent="0.25">
      <c r="A2469" t="str">
        <f>"20190303171024683"</f>
        <v>20190303171024683</v>
      </c>
      <c r="B2469" t="str">
        <f>"1551604224673108"</f>
        <v>1551604224673108</v>
      </c>
      <c r="C2469" t="s">
        <v>40</v>
      </c>
      <c r="D2469">
        <v>4.728567</v>
      </c>
      <c r="E2469">
        <v>0.36551820000000002</v>
      </c>
      <c r="F2469" t="s">
        <v>76</v>
      </c>
      <c r="G2469">
        <v>-280.7371</v>
      </c>
      <c r="H2469">
        <v>9.6487879999999997</v>
      </c>
      <c r="I2469">
        <v>201.37719999999999</v>
      </c>
      <c r="J2469">
        <v>-481.13799999999998</v>
      </c>
      <c r="K2469">
        <v>1.1315660000000001</v>
      </c>
      <c r="L2469">
        <v>218.20580000000001</v>
      </c>
      <c r="M2469">
        <v>0.87544439999999901</v>
      </c>
      <c r="N2469">
        <v>-1.503438E-2</v>
      </c>
      <c r="O2469">
        <v>-0.48308519999999999</v>
      </c>
      <c r="P2469">
        <v>0.89667249999999998</v>
      </c>
      <c r="Q2469">
        <v>0.19436919999999999</v>
      </c>
      <c r="R2469">
        <v>-0.39774209999999999</v>
      </c>
      <c r="S2469">
        <v>3.2112729999999998</v>
      </c>
      <c r="T2469">
        <v>0.13630149999999999</v>
      </c>
      <c r="U2469">
        <v>-0.27148440000000001</v>
      </c>
      <c r="V2469">
        <v>-9.024662E-2</v>
      </c>
      <c r="W2469">
        <v>0.20681930000000001</v>
      </c>
      <c r="X2469">
        <v>0.97420810000000002</v>
      </c>
      <c r="Y2469">
        <v>-0.40666669999999999</v>
      </c>
      <c r="Z2469">
        <v>-3.2748649999999997E-2</v>
      </c>
      <c r="AA2469">
        <v>0.91298939999999995</v>
      </c>
      <c r="AB2469">
        <v>31</v>
      </c>
      <c r="AC2469">
        <v>200.40090000000001</v>
      </c>
      <c r="AD2469">
        <v>8.5172220000000003</v>
      </c>
      <c r="AE2469">
        <v>-16.828600000000002</v>
      </c>
      <c r="AF2469">
        <v>-81.940498118570503</v>
      </c>
      <c r="AG2469">
        <v>8.5172220000000003</v>
      </c>
      <c r="AH2469">
        <v>183.26150864599001</v>
      </c>
      <c r="AI2469">
        <v>87.570522199716706</v>
      </c>
      <c r="AJ2469">
        <v>114.09053309725699</v>
      </c>
      <c r="AK2469">
        <v>200.92677485522199</v>
      </c>
      <c r="AL2469">
        <v>78.063980677541906</v>
      </c>
      <c r="AM2469">
        <v>95.292540027548498</v>
      </c>
      <c r="AN2469">
        <v>1.00000004868976</v>
      </c>
    </row>
    <row r="2470" spans="1:40" x14ac:dyDescent="0.25">
      <c r="A2470" t="str">
        <f>"20190303171024709"</f>
        <v>20190303171024709</v>
      </c>
      <c r="B2470" t="str">
        <f>"1551604224703363"</f>
        <v>1551604224703363</v>
      </c>
      <c r="C2470" t="s">
        <v>40</v>
      </c>
      <c r="D2470">
        <v>4.9092820000000001</v>
      </c>
      <c r="E2470">
        <v>0.36576520000000001</v>
      </c>
      <c r="F2470" t="s">
        <v>50</v>
      </c>
      <c r="G2470">
        <v>-169.71719999999999</v>
      </c>
      <c r="H2470">
        <v>14.13194</v>
      </c>
      <c r="I2470">
        <v>195.89359999999999</v>
      </c>
      <c r="J2470">
        <v>-480.84469999999999</v>
      </c>
      <c r="K2470">
        <v>1.131542</v>
      </c>
      <c r="L2470">
        <v>218.05969999999999</v>
      </c>
      <c r="M2470">
        <v>0.88199119999999998</v>
      </c>
      <c r="N2470">
        <v>-1.5028700000000001E-2</v>
      </c>
      <c r="O2470">
        <v>-0.47102660000000002</v>
      </c>
      <c r="P2470">
        <v>0.90226189999999995</v>
      </c>
      <c r="Q2470">
        <v>0.19445570000000001</v>
      </c>
      <c r="R2470">
        <v>-0.38485180000000002</v>
      </c>
      <c r="S2470">
        <v>3.2144170000000001</v>
      </c>
      <c r="T2470">
        <v>0.13418729999999901</v>
      </c>
      <c r="U2470">
        <v>-0.2303009</v>
      </c>
      <c r="V2470">
        <v>-9.0822639999999996E-2</v>
      </c>
      <c r="W2470">
        <v>0.2068893</v>
      </c>
      <c r="X2470">
        <v>0.97413970000000005</v>
      </c>
      <c r="Y2470">
        <v>-0.40588170000000001</v>
      </c>
      <c r="Z2470">
        <v>-3.1652920000000001E-2</v>
      </c>
      <c r="AA2470">
        <v>0.91337729999999995</v>
      </c>
      <c r="AB2470">
        <v>31</v>
      </c>
      <c r="AC2470">
        <v>311.1275</v>
      </c>
      <c r="AD2470">
        <v>13.000397999999899</v>
      </c>
      <c r="AE2470">
        <v>-22.1661</v>
      </c>
      <c r="AF2470">
        <v>-126.79308390997301</v>
      </c>
      <c r="AG2470">
        <v>13.000397999999899</v>
      </c>
      <c r="AH2470">
        <v>284.39062779179898</v>
      </c>
      <c r="AI2470">
        <v>87.609200819305897</v>
      </c>
      <c r="AJ2470">
        <v>114.029286216869</v>
      </c>
      <c r="AK2470">
        <v>311.64647543550598</v>
      </c>
      <c r="AL2470">
        <v>78.059881263402104</v>
      </c>
      <c r="AM2470">
        <v>95.326499060118095</v>
      </c>
      <c r="AN2470">
        <v>1.00000004475357</v>
      </c>
    </row>
    <row r="2471" spans="1:40" x14ac:dyDescent="0.25">
      <c r="A2471" t="str">
        <f>"20190303171024740"</f>
        <v>20190303171024740</v>
      </c>
      <c r="B2471" t="str">
        <f>"1551604224733150"</f>
        <v>1551604224733150</v>
      </c>
      <c r="C2471" t="s">
        <v>40</v>
      </c>
      <c r="D2471">
        <v>4.9122019999999997</v>
      </c>
      <c r="E2471">
        <v>0.36619610000000002</v>
      </c>
      <c r="F2471" t="s">
        <v>50</v>
      </c>
      <c r="G2471">
        <v>-169.7158</v>
      </c>
      <c r="H2471">
        <v>14.02765</v>
      </c>
      <c r="I2471">
        <v>200.03049999999999</v>
      </c>
      <c r="J2471">
        <v>-480.45659999999998</v>
      </c>
      <c r="K2471">
        <v>1.131515</v>
      </c>
      <c r="L2471">
        <v>217.87389999999999</v>
      </c>
      <c r="M2471">
        <v>0.89033779999999996</v>
      </c>
      <c r="N2471">
        <v>-1.502149E-2</v>
      </c>
      <c r="O2471">
        <v>-0.45505259999999997</v>
      </c>
      <c r="P2471">
        <v>0.90855750000000002</v>
      </c>
      <c r="Q2471">
        <v>0.19597100000000001</v>
      </c>
      <c r="R2471">
        <v>-0.36894270000000001</v>
      </c>
      <c r="S2471">
        <v>3.216736</v>
      </c>
      <c r="T2471">
        <v>0.13333210000000001</v>
      </c>
      <c r="U2471">
        <v>-0.18640139999999999</v>
      </c>
      <c r="V2471">
        <v>-9.0249739999999995E-2</v>
      </c>
      <c r="W2471">
        <v>0.20841499999999999</v>
      </c>
      <c r="X2471">
        <v>0.9738677</v>
      </c>
      <c r="Y2471">
        <v>-0.40190710000000002</v>
      </c>
      <c r="Z2471">
        <v>-3.0573909999999999E-2</v>
      </c>
      <c r="AA2471">
        <v>0.91516989999999998</v>
      </c>
      <c r="AB2471">
        <v>30</v>
      </c>
      <c r="AC2471">
        <v>310.74079999999998</v>
      </c>
      <c r="AD2471">
        <v>12.896134999999999</v>
      </c>
      <c r="AE2471">
        <v>-17.843399999999999</v>
      </c>
      <c r="AF2471">
        <v>-125.315795610317</v>
      </c>
      <c r="AG2471">
        <v>12.896134999999999</v>
      </c>
      <c r="AH2471">
        <v>284.32800959165399</v>
      </c>
      <c r="AI2471">
        <v>87.623352196232901</v>
      </c>
      <c r="AJ2471">
        <v>113.785186969622</v>
      </c>
      <c r="AK2471">
        <v>310.98677779889101</v>
      </c>
      <c r="AL2471">
        <v>77.970517410099305</v>
      </c>
      <c r="AM2471">
        <v>95.294561436989497</v>
      </c>
      <c r="AN2471">
        <v>1.0000000624491701</v>
      </c>
    </row>
    <row r="2472" spans="1:40" x14ac:dyDescent="0.25">
      <c r="A2472" t="str">
        <f>"20190303171024762"</f>
        <v>20190303171024762</v>
      </c>
      <c r="B2472" t="str">
        <f>"1551604224752671"</f>
        <v>1551604224752671</v>
      </c>
      <c r="C2472" t="s">
        <v>40</v>
      </c>
      <c r="D2472">
        <v>4.9476829999999996</v>
      </c>
      <c r="E2472">
        <v>0.36656909999999998</v>
      </c>
      <c r="F2472" t="s">
        <v>50</v>
      </c>
      <c r="G2472">
        <v>-169.71420000000001</v>
      </c>
      <c r="H2472">
        <v>14.396789999999999</v>
      </c>
      <c r="I2472">
        <v>204.99950000000001</v>
      </c>
      <c r="J2472">
        <v>-480.18869999999998</v>
      </c>
      <c r="K2472">
        <v>1.1314930000000001</v>
      </c>
      <c r="L2472">
        <v>217.75069999999999</v>
      </c>
      <c r="M2472">
        <v>0.89589470000000004</v>
      </c>
      <c r="N2472">
        <v>-1.501649E-2</v>
      </c>
      <c r="O2472">
        <v>-0.44401299999999999</v>
      </c>
      <c r="P2472">
        <v>0.91296160000000004</v>
      </c>
      <c r="Q2472">
        <v>0.1959043</v>
      </c>
      <c r="R2472">
        <v>-0.35794280000000001</v>
      </c>
      <c r="S2472">
        <v>3.2181700000000002</v>
      </c>
      <c r="T2472">
        <v>0.13738069999999999</v>
      </c>
      <c r="U2472">
        <v>-0.13333130000000001</v>
      </c>
      <c r="V2472">
        <v>-8.9967630000000007E-2</v>
      </c>
      <c r="W2472">
        <v>0.20835529999999999</v>
      </c>
      <c r="X2472">
        <v>0.97390650000000001</v>
      </c>
      <c r="Y2472">
        <v>-0.40563389999999999</v>
      </c>
      <c r="Z2472">
        <v>-3.0836539999999999E-2</v>
      </c>
      <c r="AA2472">
        <v>0.91351530000000003</v>
      </c>
      <c r="AB2472">
        <v>30</v>
      </c>
      <c r="AC2472">
        <v>310.47449999999998</v>
      </c>
      <c r="AD2472">
        <v>13.265297</v>
      </c>
      <c r="AE2472">
        <v>-12.7511999999999</v>
      </c>
      <c r="AF2472">
        <v>-126.215198564255</v>
      </c>
      <c r="AG2472">
        <v>13.265297</v>
      </c>
      <c r="AH2472">
        <v>283.32976445966301</v>
      </c>
      <c r="AI2472">
        <v>87.551084029980203</v>
      </c>
      <c r="AJ2472">
        <v>114.01158658908101</v>
      </c>
      <c r="AK2472">
        <v>310.45450533351999</v>
      </c>
      <c r="AL2472">
        <v>77.974013838145893</v>
      </c>
      <c r="AM2472">
        <v>95.2778957930594</v>
      </c>
      <c r="AN2472">
        <v>0.99999998811407798</v>
      </c>
    </row>
    <row r="2473" spans="1:40" x14ac:dyDescent="0.25">
      <c r="A2473" t="str">
        <f>"20190303171024785"</f>
        <v>20190303171024785</v>
      </c>
      <c r="B2473" t="str">
        <f>"1551604224773169"</f>
        <v>1551604224773169</v>
      </c>
      <c r="C2473" t="s">
        <v>40</v>
      </c>
      <c r="D2473">
        <v>4.9692509999999999</v>
      </c>
      <c r="E2473">
        <v>0.36698730000000002</v>
      </c>
      <c r="F2473" t="s">
        <v>50</v>
      </c>
      <c r="G2473">
        <v>-169.7131</v>
      </c>
      <c r="H2473">
        <v>14.310420000000001</v>
      </c>
      <c r="I2473">
        <v>208.39699999999999</v>
      </c>
      <c r="J2473">
        <v>-479.90820000000002</v>
      </c>
      <c r="K2473">
        <v>1.1314740000000001</v>
      </c>
      <c r="L2473">
        <v>217.62610000000001</v>
      </c>
      <c r="M2473">
        <v>0.90153349999999999</v>
      </c>
      <c r="N2473">
        <v>-1.501151E-2</v>
      </c>
      <c r="O2473">
        <v>-0.43244909999999998</v>
      </c>
      <c r="P2473">
        <v>0.91744490000000001</v>
      </c>
      <c r="Q2473">
        <v>0.19510369999999999</v>
      </c>
      <c r="R2473">
        <v>-0.34674189999999999</v>
      </c>
      <c r="S2473">
        <v>3.2186889999999999</v>
      </c>
      <c r="T2473">
        <v>0.13662579999999999</v>
      </c>
      <c r="U2473">
        <v>-9.6969600000000003E-2</v>
      </c>
      <c r="V2473">
        <v>-8.9397699999999997E-2</v>
      </c>
      <c r="W2473">
        <v>0.2075717</v>
      </c>
      <c r="X2473">
        <v>0.9741263</v>
      </c>
      <c r="Y2473">
        <v>-0.40421800000000002</v>
      </c>
      <c r="Z2473">
        <v>-3.0042389999999999E-2</v>
      </c>
      <c r="AA2473">
        <v>0.91416920000000002</v>
      </c>
      <c r="AB2473">
        <v>30</v>
      </c>
      <c r="AC2473">
        <v>310.19510000000002</v>
      </c>
      <c r="AD2473">
        <v>13.178946</v>
      </c>
      <c r="AE2473">
        <v>-9.2290999999999794</v>
      </c>
      <c r="AF2473">
        <v>-125.610879757387</v>
      </c>
      <c r="AG2473">
        <v>13.178946</v>
      </c>
      <c r="AH2473">
        <v>283.16364782368402</v>
      </c>
      <c r="AI2473">
        <v>87.563889666189297</v>
      </c>
      <c r="AJ2473">
        <v>113.92198695703399</v>
      </c>
      <c r="AK2473">
        <v>310.053913343972</v>
      </c>
      <c r="AL2473">
        <v>78.019914546516603</v>
      </c>
      <c r="AM2473">
        <v>95.243471443958597</v>
      </c>
      <c r="AN2473">
        <v>1.0000000038789301</v>
      </c>
    </row>
    <row r="2474" spans="1:40" x14ac:dyDescent="0.25">
      <c r="A2474" t="str">
        <f>"20190303171024807"</f>
        <v>20190303171024807</v>
      </c>
      <c r="B2474" t="str">
        <f>"1551604224803423"</f>
        <v>1551604224803423</v>
      </c>
      <c r="C2474" t="s">
        <v>40</v>
      </c>
      <c r="D2474">
        <v>4.9906969999999999</v>
      </c>
      <c r="E2474">
        <v>0.36773080000000002</v>
      </c>
      <c r="F2474" t="s">
        <v>77</v>
      </c>
      <c r="G2474">
        <v>-107.39749999999999</v>
      </c>
      <c r="H2474">
        <v>16.509370000000001</v>
      </c>
      <c r="I2474">
        <v>210.61369999999999</v>
      </c>
      <c r="J2474">
        <v>-479.64870000000002</v>
      </c>
      <c r="K2474">
        <v>1.131453</v>
      </c>
      <c r="L2474">
        <v>217.5146</v>
      </c>
      <c r="M2474">
        <v>0.90659199999999995</v>
      </c>
      <c r="N2474">
        <v>-1.500684E-2</v>
      </c>
      <c r="O2474">
        <v>-0.42174139999999999</v>
      </c>
      <c r="P2474">
        <v>0.92130429999999996</v>
      </c>
      <c r="Q2474">
        <v>0.19468279999999999</v>
      </c>
      <c r="R2474">
        <v>-0.33659650000000002</v>
      </c>
      <c r="S2474">
        <v>3.2187809999999999</v>
      </c>
      <c r="T2474">
        <v>0.1328773</v>
      </c>
      <c r="U2474">
        <v>-6.0592649999999998E-2</v>
      </c>
      <c r="V2474">
        <v>-8.8624980000000006E-2</v>
      </c>
      <c r="W2474">
        <v>0.20717189999999999</v>
      </c>
      <c r="X2474">
        <v>0.97428199999999998</v>
      </c>
      <c r="Y2474">
        <v>-0.4037752</v>
      </c>
      <c r="Z2474">
        <v>-2.874355E-2</v>
      </c>
      <c r="AA2474">
        <v>0.91440659999999896</v>
      </c>
      <c r="AB2474">
        <v>30</v>
      </c>
      <c r="AC2474">
        <v>372.25119999999998</v>
      </c>
      <c r="AD2474">
        <v>15.377917</v>
      </c>
      <c r="AE2474">
        <v>-6.9009</v>
      </c>
      <c r="AF2474">
        <v>-150.497666862561</v>
      </c>
      <c r="AG2474">
        <v>15.377917</v>
      </c>
      <c r="AH2474">
        <v>339.84890388628702</v>
      </c>
      <c r="AI2474">
        <v>87.630798138692498</v>
      </c>
      <c r="AJ2474">
        <v>113.88553473771999</v>
      </c>
      <c r="AK2474">
        <v>371.999066578189</v>
      </c>
      <c r="AL2474">
        <v>78.043330353898099</v>
      </c>
      <c r="AM2474">
        <v>95.197572036578293</v>
      </c>
      <c r="AN2474">
        <v>0.99999999937680495</v>
      </c>
    </row>
    <row r="2475" spans="1:40" x14ac:dyDescent="0.25">
      <c r="A2475" t="str">
        <f>"20190303171024830"</f>
        <v>20190303171024830</v>
      </c>
      <c r="B2475" t="str">
        <f>"1551604224823450"</f>
        <v>1551604224823450</v>
      </c>
      <c r="C2475" t="s">
        <v>40</v>
      </c>
      <c r="D2475">
        <v>5.0230160000000001</v>
      </c>
      <c r="E2475">
        <v>0.36827120000000002</v>
      </c>
      <c r="F2475" t="s">
        <v>77</v>
      </c>
      <c r="G2475">
        <v>-107.39749999999999</v>
      </c>
      <c r="H2475">
        <v>16.14151</v>
      </c>
      <c r="I2475">
        <v>214.01249999999999</v>
      </c>
      <c r="J2475">
        <v>-479.36279999999999</v>
      </c>
      <c r="K2475">
        <v>1.1314360000000001</v>
      </c>
      <c r="L2475">
        <v>217.39580000000001</v>
      </c>
      <c r="M2475">
        <v>0.91199220000000003</v>
      </c>
      <c r="N2475">
        <v>-1.500174E-2</v>
      </c>
      <c r="O2475">
        <v>-0.4099334</v>
      </c>
      <c r="P2475">
        <v>0.92497949999999995</v>
      </c>
      <c r="Q2475">
        <v>0.19494900000000001</v>
      </c>
      <c r="R2475">
        <v>-0.3262022</v>
      </c>
      <c r="S2475">
        <v>3.2178339999999999</v>
      </c>
      <c r="T2475">
        <v>0.12975119999999901</v>
      </c>
      <c r="U2475">
        <v>-3.0273439999999999E-2</v>
      </c>
      <c r="V2475">
        <v>-8.6910799999999996E-2</v>
      </c>
      <c r="W2475">
        <v>0.2074812</v>
      </c>
      <c r="X2475">
        <v>0.97437059999999998</v>
      </c>
      <c r="Y2475">
        <v>-0.40055960000000002</v>
      </c>
      <c r="Z2475">
        <v>-2.7492220000000001E-2</v>
      </c>
      <c r="AA2475">
        <v>0.91585810000000001</v>
      </c>
      <c r="AB2475">
        <v>30</v>
      </c>
      <c r="AC2475">
        <v>371.96530000000001</v>
      </c>
      <c r="AD2475">
        <v>15.010073999999999</v>
      </c>
      <c r="AE2475">
        <v>-3.3833000000000202</v>
      </c>
      <c r="AF2475">
        <v>-149.16936722941099</v>
      </c>
      <c r="AG2475">
        <v>15.010073999999999</v>
      </c>
      <c r="AH2475">
        <v>340.10090345520899</v>
      </c>
      <c r="AI2475">
        <v>87.685509892660093</v>
      </c>
      <c r="AJ2475">
        <v>113.68241329489101</v>
      </c>
      <c r="AK2475">
        <v>371.67919900386897</v>
      </c>
      <c r="AL2475">
        <v>78.025215176115907</v>
      </c>
      <c r="AM2475">
        <v>95.097114617911302</v>
      </c>
      <c r="AN2475">
        <v>1.0000000008272101</v>
      </c>
    </row>
    <row r="2476" spans="1:40" x14ac:dyDescent="0.25">
      <c r="A2476" t="str">
        <f>"20190303171024852"</f>
        <v>20190303171024852</v>
      </c>
      <c r="B2476" t="str">
        <f>"1551604224842969"</f>
        <v>1551604224842969</v>
      </c>
      <c r="C2476" t="s">
        <v>40</v>
      </c>
      <c r="D2476">
        <v>5.0463740000000001</v>
      </c>
      <c r="E2476">
        <v>0.36885990000000002</v>
      </c>
      <c r="F2476" t="s">
        <v>77</v>
      </c>
      <c r="G2476">
        <v>-107.39749999999999</v>
      </c>
      <c r="H2476">
        <v>16.01604</v>
      </c>
      <c r="I2476">
        <v>217.5882</v>
      </c>
      <c r="J2476">
        <v>-479.08580000000001</v>
      </c>
      <c r="K2476">
        <v>1.131416</v>
      </c>
      <c r="L2476">
        <v>217.28489999999999</v>
      </c>
      <c r="M2476">
        <v>0.91705380000000003</v>
      </c>
      <c r="N2476">
        <v>-1.499698E-2</v>
      </c>
      <c r="O2476">
        <v>-0.3984818</v>
      </c>
      <c r="P2476">
        <v>0.92869650000000004</v>
      </c>
      <c r="Q2476">
        <v>0.19482659999999999</v>
      </c>
      <c r="R2476">
        <v>-0.3155403</v>
      </c>
      <c r="S2476">
        <v>3.2167970000000001</v>
      </c>
      <c r="T2476">
        <v>0.12872410000000001</v>
      </c>
      <c r="U2476">
        <v>1.66320799999999E-3</v>
      </c>
      <c r="V2476">
        <v>-8.5912219999999997E-2</v>
      </c>
      <c r="W2476">
        <v>0.20738519999999999</v>
      </c>
      <c r="X2476">
        <v>0.9744796</v>
      </c>
      <c r="Y2476">
        <v>-0.39820739999999999</v>
      </c>
      <c r="Z2476">
        <v>-2.6674650000000001E-2</v>
      </c>
      <c r="AA2476">
        <v>0.91690749999999999</v>
      </c>
      <c r="AB2476">
        <v>30</v>
      </c>
      <c r="AC2476">
        <v>371.68830000000003</v>
      </c>
      <c r="AD2476">
        <v>14.884623999999899</v>
      </c>
      <c r="AE2476">
        <v>0.30330000000000701</v>
      </c>
      <c r="AF2476">
        <v>-148.16821650770399</v>
      </c>
      <c r="AG2476">
        <v>14.884623999999899</v>
      </c>
      <c r="AH2476">
        <v>340.22995682692999</v>
      </c>
      <c r="AI2476">
        <v>87.703086514015595</v>
      </c>
      <c r="AJ2476">
        <v>113.532852204195</v>
      </c>
      <c r="AK2476">
        <v>371.39170149203699</v>
      </c>
      <c r="AL2476">
        <v>78.030837989874897</v>
      </c>
      <c r="AM2476">
        <v>95.038292763417402</v>
      </c>
      <c r="AN2476">
        <v>1.00000001077026</v>
      </c>
    </row>
    <row r="2477" spans="1:40" x14ac:dyDescent="0.25">
      <c r="A2477" t="str">
        <f>"20190303171024874"</f>
        <v>20190303171024874</v>
      </c>
      <c r="B2477" t="str">
        <f>"1551604224863465"</f>
        <v>1551604224863465</v>
      </c>
      <c r="C2477" t="s">
        <v>40</v>
      </c>
      <c r="D2477">
        <v>5.0639820000000002</v>
      </c>
      <c r="E2477">
        <v>0.402312</v>
      </c>
      <c r="F2477" t="s">
        <v>49</v>
      </c>
      <c r="G2477">
        <v>-158.4058</v>
      </c>
      <c r="H2477">
        <v>13.667490000000001</v>
      </c>
      <c r="I2477">
        <v>220.6602</v>
      </c>
      <c r="J2477">
        <v>-478.8168</v>
      </c>
      <c r="K2477">
        <v>1.1314</v>
      </c>
      <c r="L2477">
        <v>217.18100000000001</v>
      </c>
      <c r="M2477">
        <v>0.9218094</v>
      </c>
      <c r="N2477">
        <v>-1.4992439999999999E-2</v>
      </c>
      <c r="O2477">
        <v>-0.38735330000000001</v>
      </c>
      <c r="P2477">
        <v>0.93227510000000002</v>
      </c>
      <c r="Q2477">
        <v>0.19527420000000001</v>
      </c>
      <c r="R2477">
        <v>-0.30451780000000001</v>
      </c>
      <c r="S2477">
        <v>3.2154539999999998</v>
      </c>
      <c r="T2477">
        <v>0.12569949999999999</v>
      </c>
      <c r="U2477">
        <v>3.3843989999999997E-2</v>
      </c>
      <c r="V2477">
        <v>-8.5624539999999999E-2</v>
      </c>
      <c r="W2477">
        <v>0.2078381</v>
      </c>
      <c r="X2477">
        <v>0.97440839999999995</v>
      </c>
      <c r="Y2477">
        <v>-0.39633249999999998</v>
      </c>
      <c r="Z2477">
        <v>-2.5527620000000001E-2</v>
      </c>
      <c r="AA2477">
        <v>0.91775209999999996</v>
      </c>
      <c r="AB2477">
        <v>30</v>
      </c>
      <c r="AC2477">
        <v>320.411</v>
      </c>
      <c r="AD2477">
        <v>12.53609</v>
      </c>
      <c r="AE2477">
        <v>3.4792000000000201</v>
      </c>
      <c r="AF2477">
        <v>-127.139136263921</v>
      </c>
      <c r="AG2477">
        <v>12.53609</v>
      </c>
      <c r="AH2477">
        <v>293.59388076163799</v>
      </c>
      <c r="AI2477">
        <v>87.756149977007098</v>
      </c>
      <c r="AJ2477">
        <v>113.414745669909</v>
      </c>
      <c r="AK2477">
        <v>320.18569665602303</v>
      </c>
      <c r="AL2477">
        <v>78.004310409755405</v>
      </c>
      <c r="AM2477">
        <v>95.021873315854094</v>
      </c>
      <c r="AN2477">
        <v>0.99999998382619004</v>
      </c>
    </row>
    <row r="2478" spans="1:40" x14ac:dyDescent="0.25">
      <c r="A2478" t="str">
        <f>"20190303171024897"</f>
        <v>20190303171024897</v>
      </c>
      <c r="B2478" t="str">
        <f>"1551604224892745"</f>
        <v>1551604224892745</v>
      </c>
      <c r="C2478" t="s">
        <v>40</v>
      </c>
      <c r="D2478">
        <v>5.0878839999999999</v>
      </c>
      <c r="E2478">
        <v>0.4036285</v>
      </c>
      <c r="F2478" t="s">
        <v>50</v>
      </c>
      <c r="G2478">
        <v>-168.41460000000001</v>
      </c>
      <c r="H2478">
        <v>5.0407979999999997</v>
      </c>
      <c r="I2478">
        <v>198.99700000000001</v>
      </c>
      <c r="J2478">
        <v>-478.52960000000002</v>
      </c>
      <c r="K2478">
        <v>1.131394</v>
      </c>
      <c r="L2478">
        <v>217.07419999999999</v>
      </c>
      <c r="M2478">
        <v>0.92671599999999998</v>
      </c>
      <c r="N2478">
        <v>-1.4987449999999999E-2</v>
      </c>
      <c r="O2478">
        <v>-0.37546360000000001</v>
      </c>
      <c r="P2478">
        <v>0.93577560000000004</v>
      </c>
      <c r="Q2478">
        <v>0.19591059999999999</v>
      </c>
      <c r="R2478">
        <v>-0.29316039999999999</v>
      </c>
      <c r="S2478">
        <v>3.1493229999999999</v>
      </c>
      <c r="T2478">
        <v>3.9664860000000003E-2</v>
      </c>
      <c r="U2478">
        <v>-0.18449399999999999</v>
      </c>
      <c r="V2478">
        <v>-8.4890869999999993E-2</v>
      </c>
      <c r="W2478">
        <v>0.2084915</v>
      </c>
      <c r="X2478">
        <v>0.974333</v>
      </c>
      <c r="Y2478">
        <v>-0.32052309999999901</v>
      </c>
      <c r="Z2478">
        <v>-9.9791470000000007E-3</v>
      </c>
      <c r="AA2478">
        <v>0.94718809999999998</v>
      </c>
      <c r="AB2478">
        <v>30</v>
      </c>
      <c r="AC2478">
        <v>310.11500000000001</v>
      </c>
      <c r="AD2478">
        <v>3.9094039999999999</v>
      </c>
      <c r="AE2478">
        <v>-18.077199999999898</v>
      </c>
      <c r="AF2478">
        <v>-99.6798699485676</v>
      </c>
      <c r="AG2478">
        <v>3.9094039999999999</v>
      </c>
      <c r="AH2478">
        <v>294.16230603678599</v>
      </c>
      <c r="AI2478">
        <v>89.278859888642202</v>
      </c>
      <c r="AJ2478">
        <v>108.71946936468299</v>
      </c>
      <c r="AK2478">
        <v>310.61684147109401</v>
      </c>
      <c r="AL2478">
        <v>77.966034828074399</v>
      </c>
      <c r="AM2478">
        <v>94.979444229372504</v>
      </c>
      <c r="AN2478">
        <v>0.999999980135303</v>
      </c>
    </row>
    <row r="2479" spans="1:40" x14ac:dyDescent="0.25">
      <c r="A2479" t="str">
        <f>"20190303171024920"</f>
        <v>20190303171024920</v>
      </c>
      <c r="B2479" t="str">
        <f>"1551604224913240"</f>
        <v>1551604224913240</v>
      </c>
      <c r="C2479" t="s">
        <v>40</v>
      </c>
      <c r="D2479">
        <v>5.081302</v>
      </c>
      <c r="E2479">
        <v>0.40533209999999997</v>
      </c>
      <c r="F2479" t="s">
        <v>50</v>
      </c>
      <c r="G2479">
        <v>-168.41380000000001</v>
      </c>
      <c r="H2479">
        <v>5.1086559999999999</v>
      </c>
      <c r="I2479">
        <v>201.67339999999999</v>
      </c>
      <c r="J2479">
        <v>-478.24880000000002</v>
      </c>
      <c r="K2479">
        <v>1.131378</v>
      </c>
      <c r="L2479">
        <v>216.9742</v>
      </c>
      <c r="M2479">
        <v>0.93134079999999997</v>
      </c>
      <c r="N2479">
        <v>-1.498263E-2</v>
      </c>
      <c r="O2479">
        <v>-0.36384080000000002</v>
      </c>
      <c r="P2479">
        <v>0.93927300000000002</v>
      </c>
      <c r="Q2479">
        <v>0.19556760000000001</v>
      </c>
      <c r="R2479">
        <v>-0.2819933</v>
      </c>
      <c r="S2479">
        <v>3.1484380000000001</v>
      </c>
      <c r="T2479">
        <v>4.0379289999999998E-2</v>
      </c>
      <c r="U2479">
        <v>-0.15635679999999999</v>
      </c>
      <c r="V2479">
        <v>-8.4311460000000005E-2</v>
      </c>
      <c r="W2479">
        <v>0.2081645</v>
      </c>
      <c r="X2479">
        <v>0.97445320000000002</v>
      </c>
      <c r="Y2479">
        <v>-0.31709730000000003</v>
      </c>
      <c r="Z2479">
        <v>-9.7818680000000009E-3</v>
      </c>
      <c r="AA2479">
        <v>0.94834260000000004</v>
      </c>
      <c r="AB2479">
        <v>30</v>
      </c>
      <c r="AC2479">
        <v>309.83499999999998</v>
      </c>
      <c r="AD2479">
        <v>3.9772780000000001</v>
      </c>
      <c r="AE2479">
        <v>-15.300800000000001</v>
      </c>
      <c r="AF2479">
        <v>-98.475208286987893</v>
      </c>
      <c r="AG2479">
        <v>3.9772780000000001</v>
      </c>
      <c r="AH2479">
        <v>294.11366064348999</v>
      </c>
      <c r="AI2479">
        <v>89.265322460296304</v>
      </c>
      <c r="AJ2479">
        <v>108.511589042007</v>
      </c>
      <c r="AK2479">
        <v>310.18708993858598</v>
      </c>
      <c r="AL2479">
        <v>77.985190606915594</v>
      </c>
      <c r="AM2479">
        <v>94.945019888382006</v>
      </c>
      <c r="AN2479">
        <v>0.99999996016890902</v>
      </c>
    </row>
    <row r="2480" spans="1:40" x14ac:dyDescent="0.25">
      <c r="A2480" t="str">
        <f>"20190303171024944"</f>
        <v>20190303171024944</v>
      </c>
      <c r="B2480" t="str">
        <f>"1551604224932762"</f>
        <v>1551604224932762</v>
      </c>
      <c r="C2480" t="s">
        <v>40</v>
      </c>
      <c r="D2480">
        <v>5.1329019999999996</v>
      </c>
      <c r="E2480">
        <v>0.40701029999999999</v>
      </c>
      <c r="F2480" t="s">
        <v>46</v>
      </c>
      <c r="G2480">
        <v>-234.52860000000001</v>
      </c>
      <c r="H2480">
        <v>3.8320669999999999</v>
      </c>
      <c r="I2480">
        <v>206.84110000000001</v>
      </c>
      <c r="J2480">
        <v>-477.95</v>
      </c>
      <c r="K2480">
        <v>1.1313519999999999</v>
      </c>
      <c r="L2480">
        <v>216.87190000000001</v>
      </c>
      <c r="M2480">
        <v>0.93608150000000001</v>
      </c>
      <c r="N2480">
        <v>-1.49771E-2</v>
      </c>
      <c r="O2480">
        <v>-0.35146460000000002</v>
      </c>
      <c r="P2480">
        <v>0.94299089999999997</v>
      </c>
      <c r="Q2480">
        <v>0.19518240000000001</v>
      </c>
      <c r="R2480">
        <v>-0.269578599999999</v>
      </c>
      <c r="S2480">
        <v>3.1474299999999999</v>
      </c>
      <c r="T2480">
        <v>3.4877659999999998E-2</v>
      </c>
      <c r="U2480">
        <v>-0.13085939999999999</v>
      </c>
      <c r="V2480">
        <v>-8.4253880000000003E-2</v>
      </c>
      <c r="W2480">
        <v>0.20778160000000001</v>
      </c>
      <c r="X2480">
        <v>0.97453990000000001</v>
      </c>
      <c r="Y2480">
        <v>-0.31219799999999998</v>
      </c>
      <c r="Z2480">
        <v>-8.5695389999999993E-3</v>
      </c>
      <c r="AA2480">
        <v>0.9499784</v>
      </c>
      <c r="AB2480">
        <v>30</v>
      </c>
      <c r="AC2480">
        <v>243.42140000000001</v>
      </c>
      <c r="AD2480">
        <v>2.7007150000000002</v>
      </c>
      <c r="AE2480">
        <v>-10.030799999999999</v>
      </c>
      <c r="AF2480">
        <v>-76.163533362756397</v>
      </c>
      <c r="AG2480">
        <v>2.7007150000000002</v>
      </c>
      <c r="AH2480">
        <v>231.38523305903101</v>
      </c>
      <c r="AI2480">
        <v>89.364801024813602</v>
      </c>
      <c r="AJ2480">
        <v>108.219649159037</v>
      </c>
      <c r="AK2480">
        <v>243.61302049273399</v>
      </c>
      <c r="AL2480">
        <v>78.007619617634802</v>
      </c>
      <c r="AM2480">
        <v>94.941221987466307</v>
      </c>
      <c r="AN2480">
        <v>0.99999996314281103</v>
      </c>
    </row>
    <row r="2481" spans="1:40" x14ac:dyDescent="0.25">
      <c r="A2481" t="str">
        <f>"20190303171024964"</f>
        <v>20190303171024964</v>
      </c>
      <c r="B2481" t="str">
        <f>"1551604224953257"</f>
        <v>1551604224953257</v>
      </c>
      <c r="C2481" t="s">
        <v>40</v>
      </c>
      <c r="D2481">
        <v>5.1471580000000001</v>
      </c>
      <c r="E2481">
        <v>0.40882770000000002</v>
      </c>
      <c r="F2481" t="s">
        <v>50</v>
      </c>
      <c r="G2481">
        <v>-168.4117</v>
      </c>
      <c r="H2481">
        <v>3.8832990000000001</v>
      </c>
      <c r="I2481">
        <v>206.75640000000001</v>
      </c>
      <c r="J2481">
        <v>-477.68849999999998</v>
      </c>
      <c r="K2481">
        <v>1.1313219999999999</v>
      </c>
      <c r="L2481">
        <v>216.786</v>
      </c>
      <c r="M2481">
        <v>0.94007099999999999</v>
      </c>
      <c r="N2481">
        <v>-1.4971379999999999E-2</v>
      </c>
      <c r="O2481">
        <v>-0.34065040000000002</v>
      </c>
      <c r="P2481">
        <v>0.94592080000000001</v>
      </c>
      <c r="Q2481">
        <v>0.19508539999999999</v>
      </c>
      <c r="R2481">
        <v>-0.25918360000000001</v>
      </c>
      <c r="S2481">
        <v>3.1461489999999999</v>
      </c>
      <c r="T2481">
        <v>2.797115E-2</v>
      </c>
      <c r="U2481">
        <v>-0.10281369999999999</v>
      </c>
      <c r="V2481">
        <v>-8.3732600000000004E-2</v>
      </c>
      <c r="W2481">
        <v>0.20769860000000001</v>
      </c>
      <c r="X2481">
        <v>0.97460259999999999</v>
      </c>
      <c r="Y2481">
        <v>-0.30970999999999999</v>
      </c>
      <c r="Z2481">
        <v>-7.2184769999999896E-3</v>
      </c>
      <c r="AA2481">
        <v>0.95080370000000003</v>
      </c>
      <c r="AB2481">
        <v>30</v>
      </c>
      <c r="AC2481">
        <v>309.27679999999998</v>
      </c>
      <c r="AD2481">
        <v>2.7519770000000001</v>
      </c>
      <c r="AE2481">
        <v>-10.029599999999901</v>
      </c>
      <c r="AF2481">
        <v>-95.929879100356402</v>
      </c>
      <c r="AG2481">
        <v>2.7519770000000001</v>
      </c>
      <c r="AH2481">
        <v>294.16839604585198</v>
      </c>
      <c r="AI2481">
        <v>89.490417221398403</v>
      </c>
      <c r="AJ2481">
        <v>108.06142298643999</v>
      </c>
      <c r="AK2481">
        <v>309.42714863729498</v>
      </c>
      <c r="AL2481">
        <v>78.012482191558405</v>
      </c>
      <c r="AM2481">
        <v>94.910486151037802</v>
      </c>
      <c r="AN2481">
        <v>1.00000004233573</v>
      </c>
    </row>
    <row r="2482" spans="1:40" x14ac:dyDescent="0.25">
      <c r="A2482" t="str">
        <f>"20190303171024986"</f>
        <v>20190303171024986</v>
      </c>
      <c r="B2482" t="str">
        <f>"1551604224983513"</f>
        <v>1551604224983513</v>
      </c>
      <c r="C2482" t="s">
        <v>40</v>
      </c>
      <c r="D2482">
        <v>5.1559860000000004</v>
      </c>
      <c r="E2482">
        <v>0.4220312</v>
      </c>
      <c r="F2482" t="s">
        <v>50</v>
      </c>
      <c r="G2482">
        <v>-169.39349999999999</v>
      </c>
      <c r="H2482">
        <v>3.3148610000000001</v>
      </c>
      <c r="I2482">
        <v>208.7312</v>
      </c>
      <c r="J2482">
        <v>-477.40859999999998</v>
      </c>
      <c r="K2482">
        <v>1.1312799999999901</v>
      </c>
      <c r="L2482">
        <v>216.6977</v>
      </c>
      <c r="M2482">
        <v>0.94417680000000004</v>
      </c>
      <c r="N2482">
        <v>-1.4963219999999999E-2</v>
      </c>
      <c r="O2482">
        <v>-0.32909909999999998</v>
      </c>
      <c r="P2482">
        <v>0.9481714</v>
      </c>
      <c r="Q2482">
        <v>0.1963115</v>
      </c>
      <c r="R2482">
        <v>-0.249865</v>
      </c>
      <c r="S2482">
        <v>3.1443789999999998</v>
      </c>
      <c r="T2482">
        <v>2.22708E-2</v>
      </c>
      <c r="U2482">
        <v>-8.2153320000000002E-2</v>
      </c>
      <c r="V2482">
        <v>-8.1289280000000005E-2</v>
      </c>
      <c r="W2482">
        <v>0.2089849</v>
      </c>
      <c r="X2482">
        <v>0.97453449999999997</v>
      </c>
      <c r="Y2482">
        <v>-0.30428889999999997</v>
      </c>
      <c r="Z2482">
        <v>-6.0944299999999996E-3</v>
      </c>
      <c r="AA2482">
        <v>0.95256030000000003</v>
      </c>
      <c r="AB2482">
        <v>30</v>
      </c>
      <c r="AC2482">
        <v>308.01510000000002</v>
      </c>
      <c r="AD2482">
        <v>2.1835810000000002</v>
      </c>
      <c r="AE2482">
        <v>-7.9664999999999901</v>
      </c>
      <c r="AF2482">
        <v>-93.851504464737104</v>
      </c>
      <c r="AG2482">
        <v>2.1835810000000002</v>
      </c>
      <c r="AH2482">
        <v>293.46060506709603</v>
      </c>
      <c r="AI2482">
        <v>89.593940888323999</v>
      </c>
      <c r="AJ2482">
        <v>107.734772765071</v>
      </c>
      <c r="AK2482">
        <v>308.11036925527901</v>
      </c>
      <c r="AL2482">
        <v>77.937129345957104</v>
      </c>
      <c r="AM2482">
        <v>94.768200070179603</v>
      </c>
      <c r="AN2482">
        <v>1.0000000635805799</v>
      </c>
    </row>
    <row r="2483" spans="1:40" x14ac:dyDescent="0.25">
      <c r="A2483" t="str">
        <f>"20190303171025008"</f>
        <v>20190303171025008</v>
      </c>
      <c r="B2483" t="str">
        <f>"1551604225003033"</f>
        <v>1551604225003033</v>
      </c>
      <c r="C2483" t="s">
        <v>40</v>
      </c>
      <c r="D2483">
        <v>5.1690709999999997</v>
      </c>
      <c r="E2483">
        <v>0.42382589999999998</v>
      </c>
      <c r="F2483" t="s">
        <v>50</v>
      </c>
      <c r="G2483">
        <v>-168.41220000000001</v>
      </c>
      <c r="H2483">
        <v>0.18552589999999999</v>
      </c>
      <c r="I2483">
        <v>201.4547</v>
      </c>
      <c r="J2483">
        <v>-477.13350000000003</v>
      </c>
      <c r="K2483">
        <v>1.1312310000000001</v>
      </c>
      <c r="L2483">
        <v>216.61439999999999</v>
      </c>
      <c r="M2483">
        <v>0.94804460000000002</v>
      </c>
      <c r="N2483">
        <v>-1.4952979999999999E-2</v>
      </c>
      <c r="O2483">
        <v>-0.31778600000000001</v>
      </c>
      <c r="P2483">
        <v>0.95052230000000004</v>
      </c>
      <c r="Q2483">
        <v>0.1965401</v>
      </c>
      <c r="R2483">
        <v>-0.24058160000000001</v>
      </c>
      <c r="S2483">
        <v>3.1253359999999999</v>
      </c>
      <c r="T2483">
        <v>-9.5654729999999997E-3</v>
      </c>
      <c r="U2483">
        <v>-0.154174799999999</v>
      </c>
      <c r="V2483">
        <v>-7.9121479999999994E-2</v>
      </c>
      <c r="W2483">
        <v>0.20926839999999999</v>
      </c>
      <c r="X2483">
        <v>0.97465199999999996</v>
      </c>
      <c r="Y2483">
        <v>-0.27068940000000002</v>
      </c>
      <c r="Z2483">
        <v>-1.425447E-3</v>
      </c>
      <c r="AA2483">
        <v>0.96266569999999996</v>
      </c>
      <c r="AB2483">
        <v>30</v>
      </c>
      <c r="AC2483">
        <v>308.72129999999999</v>
      </c>
      <c r="AD2483">
        <v>-0.94570509999999997</v>
      </c>
      <c r="AE2483">
        <v>-15.1596999999999</v>
      </c>
      <c r="AF2483">
        <v>-83.743810131009994</v>
      </c>
      <c r="AG2483">
        <v>-0.94570509999999997</v>
      </c>
      <c r="AH2483">
        <v>297.52956685238098</v>
      </c>
      <c r="AI2483">
        <v>90.175303871139405</v>
      </c>
      <c r="AJ2483">
        <v>105.719990443985</v>
      </c>
      <c r="AK2483">
        <v>309.09183626352899</v>
      </c>
      <c r="AL2483">
        <v>77.920517885548094</v>
      </c>
      <c r="AM2483">
        <v>94.641049070689405</v>
      </c>
      <c r="AN2483">
        <v>0.99999999646997495</v>
      </c>
    </row>
    <row r="2484" spans="1:40" x14ac:dyDescent="0.25">
      <c r="A2484" t="str">
        <f>"20190303171025032"</f>
        <v>20190303171025032</v>
      </c>
      <c r="B2484" t="str">
        <f>"1551604225023529"</f>
        <v>1551604225023529</v>
      </c>
      <c r="C2484" t="s">
        <v>40</v>
      </c>
      <c r="D2484">
        <v>5.2088669999999997</v>
      </c>
      <c r="E2484">
        <v>0.42569980000000002</v>
      </c>
      <c r="F2484" t="s">
        <v>53</v>
      </c>
      <c r="G2484">
        <v>-262.03660000000002</v>
      </c>
      <c r="H2484">
        <v>8.000119E-2</v>
      </c>
      <c r="I2484">
        <v>207.15100000000001</v>
      </c>
      <c r="J2484">
        <v>-476.83120000000002</v>
      </c>
      <c r="K2484">
        <v>1.131151</v>
      </c>
      <c r="L2484">
        <v>216.52690000000001</v>
      </c>
      <c r="M2484">
        <v>0.95210139999999999</v>
      </c>
      <c r="N2484">
        <v>-1.493977E-2</v>
      </c>
      <c r="O2484">
        <v>-0.30541770000000001</v>
      </c>
      <c r="P2484">
        <v>0.95359989999999994</v>
      </c>
      <c r="Q2484">
        <v>0.1952865</v>
      </c>
      <c r="R2484">
        <v>-0.22915189999999999</v>
      </c>
      <c r="S2484">
        <v>3.1245120000000002</v>
      </c>
      <c r="T2484">
        <v>-1.5270229999999999E-2</v>
      </c>
      <c r="U2484">
        <v>-0.13746639999999999</v>
      </c>
      <c r="V2484">
        <v>-7.8143560000000001E-2</v>
      </c>
      <c r="W2484">
        <v>0.2080438</v>
      </c>
      <c r="X2484">
        <v>0.974993</v>
      </c>
      <c r="Y2484">
        <v>-0.26327539999999999</v>
      </c>
      <c r="Z2484">
        <v>-5.4255009999999997E-4</v>
      </c>
      <c r="AA2484">
        <v>0.96472049999999998</v>
      </c>
      <c r="AB2484">
        <v>30</v>
      </c>
      <c r="AC2484">
        <v>214.7946</v>
      </c>
      <c r="AD2484">
        <v>-1.0511498100000001</v>
      </c>
      <c r="AE2484">
        <v>-9.3759000000000299</v>
      </c>
      <c r="AF2484">
        <v>-56.680229356816199</v>
      </c>
      <c r="AG2484">
        <v>-1.0511498100000001</v>
      </c>
      <c r="AH2484">
        <v>207.387968641898</v>
      </c>
      <c r="AI2484">
        <v>90.280128604668604</v>
      </c>
      <c r="AJ2484">
        <v>105.28593946119599</v>
      </c>
      <c r="AK2484">
        <v>214.996564747619</v>
      </c>
      <c r="AL2484">
        <v>77.992261419056106</v>
      </c>
      <c r="AM2484">
        <v>94.582336560890496</v>
      </c>
      <c r="AN2484">
        <v>0.99999999436845599</v>
      </c>
    </row>
    <row r="2485" spans="1:40" x14ac:dyDescent="0.25">
      <c r="A2485" t="str">
        <f>"20190303171025053"</f>
        <v>20190303171025053</v>
      </c>
      <c r="B2485" t="str">
        <f>"1551604225043049"</f>
        <v>1551604225043049</v>
      </c>
      <c r="C2485" t="s">
        <v>40</v>
      </c>
      <c r="D2485">
        <v>5.2197849999999999</v>
      </c>
      <c r="E2485">
        <v>0.42642049999999998</v>
      </c>
      <c r="F2485" t="s">
        <v>53</v>
      </c>
      <c r="G2485">
        <v>-332.21910000000003</v>
      </c>
      <c r="H2485" s="1">
        <v>-2.048833E-7</v>
      </c>
      <c r="I2485">
        <v>211.16159999999999</v>
      </c>
      <c r="J2485">
        <v>-476.55419999999998</v>
      </c>
      <c r="K2485">
        <v>1.1310739999999999</v>
      </c>
      <c r="L2485">
        <v>216.4504</v>
      </c>
      <c r="M2485">
        <v>0.95564170000000004</v>
      </c>
      <c r="N2485">
        <v>-1.492563E-2</v>
      </c>
      <c r="O2485">
        <v>-0.2941532</v>
      </c>
      <c r="P2485">
        <v>0.95636889999999997</v>
      </c>
      <c r="Q2485">
        <v>0.1941727</v>
      </c>
      <c r="R2485">
        <v>-0.21830150000000001</v>
      </c>
      <c r="S2485">
        <v>3.1231689999999999</v>
      </c>
      <c r="T2485">
        <v>-2.4429320000000001E-2</v>
      </c>
      <c r="U2485">
        <v>-0.1158752</v>
      </c>
      <c r="V2485">
        <v>-7.7708330000000006E-2</v>
      </c>
      <c r="W2485">
        <v>0.20694389999999999</v>
      </c>
      <c r="X2485">
        <v>0.97526190000000001</v>
      </c>
      <c r="Y2485">
        <v>-0.25851800000000003</v>
      </c>
      <c r="Z2485">
        <v>7.6683410000000002E-4</v>
      </c>
      <c r="AA2485">
        <v>0.96600620000000004</v>
      </c>
      <c r="AB2485">
        <v>30</v>
      </c>
      <c r="AC2485">
        <v>144.33509999999899</v>
      </c>
      <c r="AD2485">
        <v>-1.1310742048833</v>
      </c>
      <c r="AE2485">
        <v>-5.2888000000000002</v>
      </c>
      <c r="AF2485">
        <v>-37.4043078038925</v>
      </c>
      <c r="AG2485">
        <v>-1.1310742048833</v>
      </c>
      <c r="AH2485">
        <v>139.49534699337701</v>
      </c>
      <c r="AI2485">
        <v>90.448712497073004</v>
      </c>
      <c r="AJ2485">
        <v>105.010209401544</v>
      </c>
      <c r="AK2485">
        <v>144.42753686173501</v>
      </c>
      <c r="AL2485">
        <v>78.056683995569998</v>
      </c>
      <c r="AM2485">
        <v>94.555671324354194</v>
      </c>
      <c r="AN2485">
        <v>1.0000000679451</v>
      </c>
    </row>
    <row r="2486" spans="1:40" x14ac:dyDescent="0.25">
      <c r="A2486" t="str">
        <f>"20190303171025077"</f>
        <v>20190303171025077</v>
      </c>
      <c r="B2486" t="str">
        <f>"1551604225063545"</f>
        <v>1551604225063545</v>
      </c>
      <c r="C2486" t="s">
        <v>40</v>
      </c>
      <c r="D2486">
        <v>5.2312649999999996</v>
      </c>
      <c r="E2486">
        <v>0.43518430000000002</v>
      </c>
      <c r="F2486" t="s">
        <v>53</v>
      </c>
      <c r="G2486">
        <v>-356.36430000000001</v>
      </c>
      <c r="H2486" s="1">
        <v>1.9158910000000001E-6</v>
      </c>
      <c r="I2486">
        <v>213.10839999999999</v>
      </c>
      <c r="J2486">
        <v>-476.27190000000002</v>
      </c>
      <c r="K2486">
        <v>1.1309929999999999</v>
      </c>
      <c r="L2486">
        <v>216.376</v>
      </c>
      <c r="M2486">
        <v>0.95907260000000005</v>
      </c>
      <c r="N2486">
        <v>-1.490943E-2</v>
      </c>
      <c r="O2486">
        <v>-0.2827673</v>
      </c>
      <c r="P2486">
        <v>0.95832879999999998</v>
      </c>
      <c r="Q2486">
        <v>0.1953927</v>
      </c>
      <c r="R2486">
        <v>-0.20839250000000001</v>
      </c>
      <c r="S2486">
        <v>3.122986</v>
      </c>
      <c r="T2486">
        <v>-2.9389499999999999E-2</v>
      </c>
      <c r="U2486">
        <v>-8.6837769999999995E-2</v>
      </c>
      <c r="V2486">
        <v>-7.6111470000000001E-2</v>
      </c>
      <c r="W2486">
        <v>0.2082</v>
      </c>
      <c r="X2486">
        <v>0.9751204</v>
      </c>
      <c r="Y2486">
        <v>-0.25599569999999999</v>
      </c>
      <c r="Z2486">
        <v>1.4799590000000001E-3</v>
      </c>
      <c r="AA2486">
        <v>0.9666768</v>
      </c>
      <c r="AB2486">
        <v>30</v>
      </c>
      <c r="AC2486">
        <v>119.9076</v>
      </c>
      <c r="AD2486">
        <v>-1.1309910841090001</v>
      </c>
      <c r="AE2486">
        <v>-3.2675999999999799</v>
      </c>
      <c r="AF2486">
        <v>-30.772769426503601</v>
      </c>
      <c r="AG2486">
        <v>-1.1309910841090001</v>
      </c>
      <c r="AH2486">
        <v>115.926651244593</v>
      </c>
      <c r="AI2486">
        <v>90.540256053437304</v>
      </c>
      <c r="AJ2486">
        <v>104.866334063095</v>
      </c>
      <c r="AK2486">
        <v>119.946783815968</v>
      </c>
      <c r="AL2486">
        <v>77.983111470547897</v>
      </c>
      <c r="AM2486">
        <v>94.463081978400396</v>
      </c>
      <c r="AN2486">
        <v>0.99999999518086002</v>
      </c>
    </row>
    <row r="2487" spans="1:40" x14ac:dyDescent="0.25">
      <c r="A2487" t="str">
        <f>"20190303171025098"</f>
        <v>20190303171025098</v>
      </c>
      <c r="B2487" t="str">
        <f>"1551604225092826"</f>
        <v>1551604225092826</v>
      </c>
      <c r="C2487" t="s">
        <v>40</v>
      </c>
      <c r="D2487">
        <v>5.2141690000000001</v>
      </c>
      <c r="E2487">
        <v>0.43653029999999998</v>
      </c>
      <c r="F2487" t="s">
        <v>53</v>
      </c>
      <c r="G2487">
        <v>-391.00380000000001</v>
      </c>
      <c r="H2487" s="1">
        <v>-1.0026139999999999E-6</v>
      </c>
      <c r="I2487">
        <v>212.9966</v>
      </c>
      <c r="J2487">
        <v>-476.00220000000002</v>
      </c>
      <c r="K2487">
        <v>1.1309100000000001</v>
      </c>
      <c r="L2487">
        <v>216.3082</v>
      </c>
      <c r="M2487">
        <v>0.9621826</v>
      </c>
      <c r="N2487">
        <v>-1.4891160000000001E-2</v>
      </c>
      <c r="O2487">
        <v>-0.27199810000000002</v>
      </c>
      <c r="P2487">
        <v>0.95975089999999996</v>
      </c>
      <c r="Q2487">
        <v>0.198215</v>
      </c>
      <c r="R2487">
        <v>-0.19897100000000001</v>
      </c>
      <c r="S2487">
        <v>3.1120299999999999</v>
      </c>
      <c r="T2487">
        <v>-4.1277889999999998E-2</v>
      </c>
      <c r="U2487">
        <v>-0.1233368</v>
      </c>
      <c r="V2487">
        <v>-7.4610770000000007E-2</v>
      </c>
      <c r="W2487">
        <v>0.2110506</v>
      </c>
      <c r="X2487">
        <v>0.97462340000000003</v>
      </c>
      <c r="Y2487">
        <v>-0.23366390000000001</v>
      </c>
      <c r="Z2487">
        <v>2.762994E-3</v>
      </c>
      <c r="AA2487">
        <v>0.97231350000000005</v>
      </c>
      <c r="AB2487">
        <v>30</v>
      </c>
      <c r="AC2487">
        <v>84.998400000000004</v>
      </c>
      <c r="AD2487">
        <v>-1.1309110026139999</v>
      </c>
      <c r="AE2487">
        <v>-3.3115999999999901</v>
      </c>
      <c r="AF2487">
        <v>-19.931726056842301</v>
      </c>
      <c r="AG2487">
        <v>-1.1309110026139999</v>
      </c>
      <c r="AH2487">
        <v>82.679282484542398</v>
      </c>
      <c r="AI2487">
        <v>90.761837080958202</v>
      </c>
      <c r="AJ2487">
        <v>103.553838310781</v>
      </c>
      <c r="AK2487">
        <v>85.055372643117593</v>
      </c>
      <c r="AL2487">
        <v>77.816072161542493</v>
      </c>
      <c r="AM2487">
        <v>94.377650473080394</v>
      </c>
      <c r="AN2487">
        <v>0.99999994729395503</v>
      </c>
    </row>
    <row r="2488" spans="1:40" x14ac:dyDescent="0.25">
      <c r="A2488" t="str">
        <f>"20190303171025122"</f>
        <v>20190303171025122</v>
      </c>
      <c r="B2488" t="str">
        <f>"1551604225113321"</f>
        <v>1551604225113321</v>
      </c>
      <c r="C2488" t="s">
        <v>40</v>
      </c>
      <c r="D2488">
        <v>5.2401330000000002</v>
      </c>
      <c r="E2488">
        <v>0.44163380000000002</v>
      </c>
      <c r="F2488" t="s">
        <v>53</v>
      </c>
      <c r="G2488">
        <v>-378.27289999999999</v>
      </c>
      <c r="H2488" s="1">
        <v>2.8656580000000001E-6</v>
      </c>
      <c r="I2488">
        <v>213.06399999999999</v>
      </c>
      <c r="J2488">
        <v>-475.68369999999999</v>
      </c>
      <c r="K2488">
        <v>1.130792</v>
      </c>
      <c r="L2488">
        <v>216.23230000000001</v>
      </c>
      <c r="M2488">
        <v>0.96564240000000001</v>
      </c>
      <c r="N2488">
        <v>-1.486552E-2</v>
      </c>
      <c r="O2488">
        <v>-0.25944929999999999</v>
      </c>
      <c r="P2488">
        <v>0.96167760000000002</v>
      </c>
      <c r="Q2488">
        <v>0.1996462</v>
      </c>
      <c r="R2488">
        <v>-0.18793109999999999</v>
      </c>
      <c r="S2488">
        <v>3.1118769999999998</v>
      </c>
      <c r="T2488">
        <v>-3.6010149999999998E-2</v>
      </c>
      <c r="U2488">
        <v>-0.103302</v>
      </c>
      <c r="V2488">
        <v>-7.3002209999999998E-2</v>
      </c>
      <c r="W2488">
        <v>0.21251490000000001</v>
      </c>
      <c r="X2488">
        <v>0.97442700000000004</v>
      </c>
      <c r="Y2488">
        <v>-0.22725809999999999</v>
      </c>
      <c r="Z2488">
        <v>2.0825549999999998E-3</v>
      </c>
      <c r="AA2488">
        <v>0.97383229999999998</v>
      </c>
      <c r="AB2488">
        <v>30</v>
      </c>
      <c r="AC2488">
        <v>97.410799999999995</v>
      </c>
      <c r="AD2488">
        <v>-1.130789134342</v>
      </c>
      <c r="AE2488">
        <v>-3.1682999999999799</v>
      </c>
      <c r="AF2488">
        <v>-22.213181833041698</v>
      </c>
      <c r="AG2488">
        <v>-1.130789134342</v>
      </c>
      <c r="AH2488">
        <v>94.883717162338897</v>
      </c>
      <c r="AI2488">
        <v>90.664823741921793</v>
      </c>
      <c r="AJ2488">
        <v>103.17619123035099</v>
      </c>
      <c r="AK2488">
        <v>97.455753620588496</v>
      </c>
      <c r="AL2488">
        <v>77.730226617505195</v>
      </c>
      <c r="AM2488">
        <v>94.284486472482101</v>
      </c>
      <c r="AN2488">
        <v>0.99999994185794505</v>
      </c>
    </row>
    <row r="2489" spans="1:40" x14ac:dyDescent="0.25">
      <c r="A2489" t="str">
        <f>"20190303171025144"</f>
        <v>20190303171025144</v>
      </c>
      <c r="B2489" t="str">
        <f>"1551604225132841"</f>
        <v>1551604225132841</v>
      </c>
      <c r="C2489" t="s">
        <v>40</v>
      </c>
      <c r="D2489">
        <v>5.2479060000000004</v>
      </c>
      <c r="E2489">
        <v>0.44590079999999999</v>
      </c>
      <c r="F2489" t="s">
        <v>60</v>
      </c>
      <c r="G2489">
        <v>-401.79160000000002</v>
      </c>
      <c r="H2489" s="1">
        <v>7.8066459999999999E-6</v>
      </c>
      <c r="I2489">
        <v>213.65389999999999</v>
      </c>
      <c r="J2489">
        <v>-475.40109999999999</v>
      </c>
      <c r="K2489">
        <v>1.1306689999999999</v>
      </c>
      <c r="L2489">
        <v>216.16839999999999</v>
      </c>
      <c r="M2489">
        <v>0.96853089999999997</v>
      </c>
      <c r="N2489">
        <v>-1.4841210000000001E-2</v>
      </c>
      <c r="O2489">
        <v>-0.24845059999999999</v>
      </c>
      <c r="P2489">
        <v>0.96342249999999996</v>
      </c>
      <c r="Q2489">
        <v>0.19982939999999999</v>
      </c>
      <c r="R2489">
        <v>-0.1785648</v>
      </c>
      <c r="S2489">
        <v>3.1081850000000002</v>
      </c>
      <c r="T2489">
        <v>-4.7565099999999999E-2</v>
      </c>
      <c r="U2489">
        <v>-0.1084595</v>
      </c>
      <c r="V2489">
        <v>-7.1326360000000005E-2</v>
      </c>
      <c r="W2489">
        <v>0.2127348</v>
      </c>
      <c r="X2489">
        <v>0.97450320000000001</v>
      </c>
      <c r="Y2489">
        <v>-0.2144983</v>
      </c>
      <c r="Z2489">
        <v>3.279695E-3</v>
      </c>
      <c r="AA2489">
        <v>0.9767188</v>
      </c>
      <c r="AB2489">
        <v>30</v>
      </c>
      <c r="AC2489">
        <v>73.609499999999898</v>
      </c>
      <c r="AD2489">
        <v>-1.1306611933540001</v>
      </c>
      <c r="AE2489">
        <v>-2.5144999999999902</v>
      </c>
      <c r="AF2489">
        <v>-15.8509636722564</v>
      </c>
      <c r="AG2489">
        <v>-1.1306611933540001</v>
      </c>
      <c r="AH2489">
        <v>71.908777386479301</v>
      </c>
      <c r="AI2489">
        <v>90.879703288323896</v>
      </c>
      <c r="AJ2489">
        <v>102.431001209017</v>
      </c>
      <c r="AK2489">
        <v>73.643762188603503</v>
      </c>
      <c r="AL2489">
        <v>77.717333357432693</v>
      </c>
      <c r="AM2489">
        <v>94.186158731992904</v>
      </c>
      <c r="AN2489">
        <v>1.00000001578606</v>
      </c>
    </row>
    <row r="2490" spans="1:40" x14ac:dyDescent="0.25">
      <c r="A2490" t="str">
        <f>"20190303171025167"</f>
        <v>20190303171025167</v>
      </c>
      <c r="B2490" t="str">
        <f>"1551604225153337"</f>
        <v>1551604225153337</v>
      </c>
      <c r="C2490" t="s">
        <v>40</v>
      </c>
      <c r="D2490">
        <v>5.2485790000000003</v>
      </c>
      <c r="E2490">
        <v>0.44722840000000003</v>
      </c>
      <c r="F2490" t="s">
        <v>60</v>
      </c>
      <c r="G2490">
        <v>-420.96620000000001</v>
      </c>
      <c r="H2490" s="1">
        <v>3.8295390000000004E-6</v>
      </c>
      <c r="I2490">
        <v>214.20070000000001</v>
      </c>
      <c r="J2490">
        <v>-475.10570000000001</v>
      </c>
      <c r="K2490">
        <v>1.1305339999999999</v>
      </c>
      <c r="L2490">
        <v>216.10499999999999</v>
      </c>
      <c r="M2490">
        <v>0.97137059999999997</v>
      </c>
      <c r="N2490">
        <v>-1.4815470000000001E-2</v>
      </c>
      <c r="O2490">
        <v>-0.23710729999999999</v>
      </c>
      <c r="P2490">
        <v>0.96494930000000001</v>
      </c>
      <c r="Q2490">
        <v>0.19976360000000001</v>
      </c>
      <c r="R2490">
        <v>-0.17019779999999901</v>
      </c>
      <c r="S2490">
        <v>3.106506</v>
      </c>
      <c r="T2490">
        <v>-6.452513E-2</v>
      </c>
      <c r="U2490">
        <v>-0.1122894</v>
      </c>
      <c r="V2490">
        <v>-6.8307409999999999E-2</v>
      </c>
      <c r="W2490">
        <v>0.2127376</v>
      </c>
      <c r="X2490">
        <v>0.97471890000000005</v>
      </c>
      <c r="Y2490">
        <v>-0.2018084</v>
      </c>
      <c r="Z2490">
        <v>4.931726E-3</v>
      </c>
      <c r="AA2490">
        <v>0.97941259999999997</v>
      </c>
      <c r="AB2490">
        <v>30</v>
      </c>
      <c r="AC2490">
        <v>54.139499999999998</v>
      </c>
      <c r="AD2490">
        <v>-1.130530170461</v>
      </c>
      <c r="AE2490">
        <v>-1.9042999999999699</v>
      </c>
      <c r="AF2490">
        <v>-10.9835110521418</v>
      </c>
      <c r="AG2490">
        <v>-1.130530170461</v>
      </c>
      <c r="AH2490">
        <v>53.023766140123001</v>
      </c>
      <c r="AI2490">
        <v>91.196046509080702</v>
      </c>
      <c r="AJ2490">
        <v>101.70291871840401</v>
      </c>
      <c r="AK2490">
        <v>54.161198188198298</v>
      </c>
      <c r="AL2490">
        <v>77.717169739557306</v>
      </c>
      <c r="AM2490">
        <v>94.008682137093402</v>
      </c>
      <c r="AN2490">
        <v>1.0000000613659299</v>
      </c>
    </row>
    <row r="2491" spans="1:40" x14ac:dyDescent="0.25">
      <c r="A2491" t="str">
        <f>"20190303171025188"</f>
        <v>20190303171025188</v>
      </c>
      <c r="B2491" t="str">
        <f>"1551604225182618"</f>
        <v>1551604225182618</v>
      </c>
      <c r="C2491" t="s">
        <v>40</v>
      </c>
      <c r="D2491">
        <v>5.2510909999999997</v>
      </c>
      <c r="E2491">
        <v>0.44787500000000002</v>
      </c>
      <c r="F2491" t="s">
        <v>60</v>
      </c>
      <c r="G2491">
        <v>-427.04910000000001</v>
      </c>
      <c r="H2491" s="1">
        <v>2.7123159999999999E-6</v>
      </c>
      <c r="I2491">
        <v>214.6378</v>
      </c>
      <c r="J2491">
        <v>-474.84019999999998</v>
      </c>
      <c r="K2491">
        <v>1.130409</v>
      </c>
      <c r="L2491">
        <v>216.05090000000001</v>
      </c>
      <c r="M2491">
        <v>0.97376470000000004</v>
      </c>
      <c r="N2491">
        <v>-1.4789709999999999E-2</v>
      </c>
      <c r="O2491">
        <v>-0.2270769</v>
      </c>
      <c r="P2491">
        <v>0.96605980000000002</v>
      </c>
      <c r="Q2491">
        <v>0.19999259999999999</v>
      </c>
      <c r="R2491">
        <v>-0.1634987</v>
      </c>
      <c r="S2491">
        <v>3.107361</v>
      </c>
      <c r="T2491">
        <v>-7.3100689999999996E-2</v>
      </c>
      <c r="U2491">
        <v>-9.4863890000000006E-2</v>
      </c>
      <c r="V2491">
        <v>-6.4929700000000007E-2</v>
      </c>
      <c r="W2491">
        <v>0.21304090000000001</v>
      </c>
      <c r="X2491">
        <v>0.97488339999999996</v>
      </c>
      <c r="Y2491">
        <v>-0.19718260000000001</v>
      </c>
      <c r="Z2491">
        <v>5.6946569999999997E-3</v>
      </c>
      <c r="AA2491">
        <v>0.98035030000000001</v>
      </c>
      <c r="AB2491">
        <v>30</v>
      </c>
      <c r="AC2491">
        <v>47.791099999999901</v>
      </c>
      <c r="AD2491">
        <v>-1.130406287684</v>
      </c>
      <c r="AE2491">
        <v>-1.41310000000001</v>
      </c>
      <c r="AF2491">
        <v>-9.4719682347329606</v>
      </c>
      <c r="AG2491">
        <v>-1.130406287684</v>
      </c>
      <c r="AH2491">
        <v>46.837105088326702</v>
      </c>
      <c r="AI2491">
        <v>91.355133581015593</v>
      </c>
      <c r="AJ2491">
        <v>101.432853074929</v>
      </c>
      <c r="AK2491">
        <v>47.798644475235797</v>
      </c>
      <c r="AL2491">
        <v>77.699383046320605</v>
      </c>
      <c r="AM2491">
        <v>93.810416266042196</v>
      </c>
      <c r="AN2491">
        <v>0.999999967305229</v>
      </c>
    </row>
    <row r="2492" spans="1:40" x14ac:dyDescent="0.25">
      <c r="A2492" t="str">
        <f>"20190303171025210"</f>
        <v>20190303171025210</v>
      </c>
      <c r="B2492" t="str">
        <f>"1551604225203114"</f>
        <v>1551604225203114</v>
      </c>
      <c r="C2492" t="s">
        <v>40</v>
      </c>
      <c r="D2492">
        <v>5.3213990000000004</v>
      </c>
      <c r="E2492">
        <v>0.43837700000000002</v>
      </c>
      <c r="F2492" t="s">
        <v>60</v>
      </c>
      <c r="G2492">
        <v>-427.86579999999998</v>
      </c>
      <c r="H2492" s="1">
        <v>2.546728E-6</v>
      </c>
      <c r="I2492">
        <v>214.8751</v>
      </c>
      <c r="J2492">
        <v>-474.55680000000001</v>
      </c>
      <c r="K2492">
        <v>1.1302479999999999</v>
      </c>
      <c r="L2492">
        <v>215.99610000000001</v>
      </c>
      <c r="M2492">
        <v>0.97615580000000002</v>
      </c>
      <c r="N2492">
        <v>-1.475863E-2</v>
      </c>
      <c r="O2492">
        <v>-0.2165686</v>
      </c>
      <c r="P2492">
        <v>0.96740329999999997</v>
      </c>
      <c r="Q2492">
        <v>0.19988020000000001</v>
      </c>
      <c r="R2492">
        <v>-0.1554953</v>
      </c>
      <c r="S2492">
        <v>3.1077270000000001</v>
      </c>
      <c r="T2492">
        <v>-7.4785229999999994E-2</v>
      </c>
      <c r="U2492">
        <v>-7.778931E-2</v>
      </c>
      <c r="V2492">
        <v>-6.2401020000000001E-2</v>
      </c>
      <c r="W2492">
        <v>0.21298030000000001</v>
      </c>
      <c r="X2492">
        <v>0.97506179999999998</v>
      </c>
      <c r="Y2492">
        <v>-0.19199749999999999</v>
      </c>
      <c r="Z2492">
        <v>5.6849559999999997E-3</v>
      </c>
      <c r="AA2492">
        <v>0.981379</v>
      </c>
      <c r="AB2492">
        <v>30</v>
      </c>
      <c r="AC2492">
        <v>46.691000000000003</v>
      </c>
      <c r="AD2492">
        <v>-1.1302454532720001</v>
      </c>
      <c r="AE2492">
        <v>-1.121</v>
      </c>
      <c r="AF2492">
        <v>-9.0132379613027602</v>
      </c>
      <c r="AG2492">
        <v>-1.1302454532720001</v>
      </c>
      <c r="AH2492">
        <v>45.798635312735001</v>
      </c>
      <c r="AI2492">
        <v>91.387095935477802</v>
      </c>
      <c r="AJ2492">
        <v>101.13360989954499</v>
      </c>
      <c r="AK2492">
        <v>46.690801126566797</v>
      </c>
      <c r="AL2492">
        <v>77.702937194513595</v>
      </c>
      <c r="AM2492">
        <v>93.6617638032576</v>
      </c>
      <c r="AN2492">
        <v>1.00000000465218</v>
      </c>
    </row>
    <row r="2493" spans="1:40" x14ac:dyDescent="0.25">
      <c r="A2493" t="str">
        <f>"20190303171025232"</f>
        <v>20190303171025232</v>
      </c>
      <c r="B2493" t="str">
        <f>"1551604225222634"</f>
        <v>1551604225222634</v>
      </c>
      <c r="C2493" t="s">
        <v>40</v>
      </c>
      <c r="D2493">
        <v>5.3052000000000001</v>
      </c>
      <c r="E2493">
        <v>0.43756349999999999</v>
      </c>
      <c r="F2493" t="s">
        <v>60</v>
      </c>
      <c r="G2493">
        <v>-421.78160000000003</v>
      </c>
      <c r="H2493" s="1">
        <v>3.4946570000000001E-6</v>
      </c>
      <c r="I2493">
        <v>216.37700000000001</v>
      </c>
      <c r="J2493">
        <v>-474.27109999999999</v>
      </c>
      <c r="K2493">
        <v>1.1300589999999999</v>
      </c>
      <c r="L2493">
        <v>215.94380000000001</v>
      </c>
      <c r="M2493">
        <v>0.97840099999999997</v>
      </c>
      <c r="N2493">
        <v>-1.47244E-2</v>
      </c>
      <c r="O2493">
        <v>-0.2061907</v>
      </c>
      <c r="P2493">
        <v>0.96872309999999995</v>
      </c>
      <c r="Q2493">
        <v>0.19976369999999999</v>
      </c>
      <c r="R2493">
        <v>-0.14720710000000001</v>
      </c>
      <c r="S2493">
        <v>3.1184690000000002</v>
      </c>
      <c r="T2493">
        <v>-6.6785689999999995E-2</v>
      </c>
      <c r="U2493">
        <v>2.2506709999999999E-2</v>
      </c>
      <c r="V2493">
        <v>-6.0293369999999999E-2</v>
      </c>
      <c r="W2493">
        <v>0.21290390000000001</v>
      </c>
      <c r="X2493">
        <v>0.9752111</v>
      </c>
      <c r="Y2493">
        <v>-0.2131834</v>
      </c>
      <c r="Z2493">
        <v>5.1925189999999996E-3</v>
      </c>
      <c r="AA2493">
        <v>0.97699840000000004</v>
      </c>
      <c r="AB2493">
        <v>30</v>
      </c>
      <c r="AC2493">
        <v>52.4894999999999</v>
      </c>
      <c r="AD2493">
        <v>-1.1300555053429999</v>
      </c>
      <c r="AE2493">
        <v>0.43319999999999897</v>
      </c>
      <c r="AF2493">
        <v>-11.242699146098399</v>
      </c>
      <c r="AG2493">
        <v>-1.1300555053429999</v>
      </c>
      <c r="AH2493">
        <v>51.2482654537352</v>
      </c>
      <c r="AI2493">
        <v>91.233869633172404</v>
      </c>
      <c r="AJ2493">
        <v>102.37337567888601</v>
      </c>
      <c r="AK2493">
        <v>52.479138917777199</v>
      </c>
      <c r="AL2493">
        <v>77.707417603293905</v>
      </c>
      <c r="AM2493">
        <v>93.537863831471597</v>
      </c>
      <c r="AN2493">
        <v>1.0000000253321799</v>
      </c>
    </row>
    <row r="2494" spans="1:40" x14ac:dyDescent="0.25">
      <c r="A2494" t="str">
        <f>"20190303171025254"</f>
        <v>20190303171025254</v>
      </c>
      <c r="B2494" t="str">
        <f>"1551604225243129"</f>
        <v>1551604225243129</v>
      </c>
      <c r="C2494" t="s">
        <v>40</v>
      </c>
      <c r="D2494">
        <v>5.2894930000000002</v>
      </c>
      <c r="E2494">
        <v>0.43790590000000001</v>
      </c>
      <c r="F2494" t="s">
        <v>60</v>
      </c>
      <c r="G2494">
        <v>-425.05500000000001</v>
      </c>
      <c r="H2494" s="1">
        <v>2.8750710000000001E-6</v>
      </c>
      <c r="I2494">
        <v>216.82230000000001</v>
      </c>
      <c r="J2494">
        <v>-473.97879999999998</v>
      </c>
      <c r="K2494">
        <v>1.1298490000000001</v>
      </c>
      <c r="L2494">
        <v>215.89330000000001</v>
      </c>
      <c r="M2494">
        <v>0.98053000000000001</v>
      </c>
      <c r="N2494">
        <v>-1.468713E-2</v>
      </c>
      <c r="O2494">
        <v>-0.1958201</v>
      </c>
      <c r="P2494">
        <v>0.96978929999999997</v>
      </c>
      <c r="Q2494">
        <v>0.19962340000000001</v>
      </c>
      <c r="R2494">
        <v>-0.14021349999999999</v>
      </c>
      <c r="S2494">
        <v>3.120117</v>
      </c>
      <c r="T2494">
        <v>-7.1641330000000003E-2</v>
      </c>
      <c r="U2494">
        <v>5.569458E-2</v>
      </c>
      <c r="V2494">
        <v>-5.6887699999999902E-2</v>
      </c>
      <c r="W2494">
        <v>0.21282980000000001</v>
      </c>
      <c r="X2494">
        <v>0.97543190000000002</v>
      </c>
      <c r="Y2494">
        <v>-0.21321370000000001</v>
      </c>
      <c r="Z2494">
        <v>5.6002469999999896E-3</v>
      </c>
      <c r="AA2494">
        <v>0.97698960000000001</v>
      </c>
      <c r="AB2494">
        <v>30</v>
      </c>
      <c r="AC2494">
        <v>48.9237999999999</v>
      </c>
      <c r="AD2494">
        <v>-1.1298461249289999</v>
      </c>
      <c r="AE2494">
        <v>0.92900000000000205</v>
      </c>
      <c r="AF2494">
        <v>-10.486715007693901</v>
      </c>
      <c r="AG2494">
        <v>-1.1298461249289999</v>
      </c>
      <c r="AH2494">
        <v>47.769017067028599</v>
      </c>
      <c r="AI2494">
        <v>91.323420024547204</v>
      </c>
      <c r="AJ2494">
        <v>102.381710366513</v>
      </c>
      <c r="AK2494">
        <v>48.919594596323897</v>
      </c>
      <c r="AL2494">
        <v>77.711763275566199</v>
      </c>
      <c r="AM2494">
        <v>93.337739138642405</v>
      </c>
      <c r="AN2494">
        <v>1.00000006285846</v>
      </c>
    </row>
    <row r="2495" spans="1:40" x14ac:dyDescent="0.25">
      <c r="A2495" t="str">
        <f>"20190303171025277"</f>
        <v>20190303171025277</v>
      </c>
      <c r="B2495" t="str">
        <f>"1551604225262656"</f>
        <v>1551604225262656</v>
      </c>
      <c r="C2495" t="s">
        <v>40</v>
      </c>
      <c r="D2495">
        <v>5.3092790000000001</v>
      </c>
      <c r="E2495">
        <v>0.43883359999999899</v>
      </c>
      <c r="F2495" t="s">
        <v>60</v>
      </c>
      <c r="G2495">
        <v>-426.71210000000002</v>
      </c>
      <c r="H2495" s="1">
        <v>2.5603899999999998E-6</v>
      </c>
      <c r="I2495">
        <v>217.05950000000001</v>
      </c>
      <c r="J2495">
        <v>-473.69709999999998</v>
      </c>
      <c r="K2495">
        <v>1.1296310000000001</v>
      </c>
      <c r="L2495">
        <v>215.84739999999999</v>
      </c>
      <c r="M2495">
        <v>0.98242459999999998</v>
      </c>
      <c r="N2495">
        <v>-1.464911E-2</v>
      </c>
      <c r="O2495">
        <v>-0.186085</v>
      </c>
      <c r="P2495">
        <v>0.97089139999999996</v>
      </c>
      <c r="Q2495">
        <v>0.19916</v>
      </c>
      <c r="R2495">
        <v>-0.1330626</v>
      </c>
      <c r="S2495">
        <v>3.119904</v>
      </c>
      <c r="T2495">
        <v>-7.4577089999999999E-2</v>
      </c>
      <c r="U2495">
        <v>7.6980590000000002E-2</v>
      </c>
      <c r="V2495">
        <v>-5.4289240000000002E-2</v>
      </c>
      <c r="W2495">
        <v>0.21241370000000001</v>
      </c>
      <c r="X2495">
        <v>0.97567060000000005</v>
      </c>
      <c r="Y2495">
        <v>-0.2101799</v>
      </c>
      <c r="Z2495">
        <v>5.7451919999999997E-3</v>
      </c>
      <c r="AA2495">
        <v>0.97764589999999996</v>
      </c>
      <c r="AB2495">
        <v>30</v>
      </c>
      <c r="AC2495">
        <v>46.9849999999999</v>
      </c>
      <c r="AD2495">
        <v>-1.12962843961</v>
      </c>
      <c r="AE2495">
        <v>1.2121000000000199</v>
      </c>
      <c r="AF2495">
        <v>-9.9293294083318706</v>
      </c>
      <c r="AG2495">
        <v>-1.12962843961</v>
      </c>
      <c r="AH2495">
        <v>45.912067234332198</v>
      </c>
      <c r="AI2495">
        <v>91.377595293516706</v>
      </c>
      <c r="AJ2495">
        <v>102.203325176687</v>
      </c>
      <c r="AK2495">
        <v>46.9870786561644</v>
      </c>
      <c r="AL2495">
        <v>77.736161282909194</v>
      </c>
      <c r="AM2495">
        <v>93.184824924357898</v>
      </c>
      <c r="AN2495">
        <v>1.0000000106159099</v>
      </c>
    </row>
    <row r="2496" spans="1:40" x14ac:dyDescent="0.25">
      <c r="A2496" t="str">
        <f>"20190303171025300"</f>
        <v>20190303171025300</v>
      </c>
      <c r="B2496" t="str">
        <f>"1551604225292906"</f>
        <v>1551604225292906</v>
      </c>
      <c r="C2496" t="s">
        <v>40</v>
      </c>
      <c r="D2496">
        <v>5.3110290000000004</v>
      </c>
      <c r="E2496">
        <v>0.44519890000000001</v>
      </c>
      <c r="F2496" t="s">
        <v>60</v>
      </c>
      <c r="G2496">
        <v>-428.9742</v>
      </c>
      <c r="H2496" s="1">
        <v>2.148423E-6</v>
      </c>
      <c r="I2496">
        <v>217.18209999999999</v>
      </c>
      <c r="J2496">
        <v>-473.39049999999997</v>
      </c>
      <c r="K2496">
        <v>1.1293820000000001</v>
      </c>
      <c r="L2496">
        <v>215.8006</v>
      </c>
      <c r="M2496">
        <v>0.98431389999999996</v>
      </c>
      <c r="N2496">
        <v>-1.4605180000000001E-2</v>
      </c>
      <c r="O2496">
        <v>-0.17582130000000001</v>
      </c>
      <c r="P2496">
        <v>0.9720626</v>
      </c>
      <c r="Q2496">
        <v>0.19866980000000001</v>
      </c>
      <c r="R2496">
        <v>-0.125</v>
      </c>
      <c r="S2496">
        <v>3.1188959999999999</v>
      </c>
      <c r="T2496">
        <v>-7.8778390000000004E-2</v>
      </c>
      <c r="U2496">
        <v>9.3078610000000006E-2</v>
      </c>
      <c r="V2496">
        <v>-5.2076610000000002E-2</v>
      </c>
      <c r="W2496">
        <v>0.21195749999999999</v>
      </c>
      <c r="X2496">
        <v>0.97589040000000005</v>
      </c>
      <c r="Y2496">
        <v>-0.2050148</v>
      </c>
      <c r="Z2496">
        <v>5.93518E-3</v>
      </c>
      <c r="AA2496">
        <v>0.97874090000000002</v>
      </c>
      <c r="AB2496">
        <v>30</v>
      </c>
      <c r="AC2496">
        <v>44.4162999999999</v>
      </c>
      <c r="AD2496">
        <v>-1.1293798515769999</v>
      </c>
      <c r="AE2496">
        <v>1.38149999999998</v>
      </c>
      <c r="AF2496">
        <v>-9.1642187021381094</v>
      </c>
      <c r="AG2496">
        <v>-1.1293798515769999</v>
      </c>
      <c r="AH2496">
        <v>43.453248616021099</v>
      </c>
      <c r="AI2496">
        <v>91.456790647206802</v>
      </c>
      <c r="AJ2496">
        <v>101.909068177655</v>
      </c>
      <c r="AK2496">
        <v>44.423453473987202</v>
      </c>
      <c r="AL2496">
        <v>77.762908713601504</v>
      </c>
      <c r="AM2496">
        <v>93.054587452522796</v>
      </c>
      <c r="AN2496">
        <v>1.0000000139637499</v>
      </c>
    </row>
    <row r="2497" spans="1:40" x14ac:dyDescent="0.25">
      <c r="A2497" t="str">
        <f>"20190303171025323"</f>
        <v>20190303171025323</v>
      </c>
      <c r="B2497" t="str">
        <f>"1551604225313402"</f>
        <v>1551604225313402</v>
      </c>
      <c r="C2497" t="s">
        <v>40</v>
      </c>
      <c r="D2497">
        <v>5.29467</v>
      </c>
      <c r="E2497">
        <v>0.44584859999999998</v>
      </c>
      <c r="F2497" t="s">
        <v>60</v>
      </c>
      <c r="G2497">
        <v>-439.0795</v>
      </c>
      <c r="H2497" s="1">
        <v>6.0730409999999998E-6</v>
      </c>
      <c r="I2497">
        <v>216.56460000000001</v>
      </c>
      <c r="J2497">
        <v>-473.10019999999997</v>
      </c>
      <c r="K2497">
        <v>1.1291690000000001</v>
      </c>
      <c r="L2497">
        <v>215.75899999999999</v>
      </c>
      <c r="M2497">
        <v>0.9859599</v>
      </c>
      <c r="N2497">
        <v>-1.4564300000000001E-2</v>
      </c>
      <c r="O2497">
        <v>-0.16634589999999999</v>
      </c>
      <c r="P2497">
        <v>0.97274749999999999</v>
      </c>
      <c r="Q2497">
        <v>0.1995788</v>
      </c>
      <c r="R2497">
        <v>-0.1180293</v>
      </c>
      <c r="S2497">
        <v>3.1161189999999999</v>
      </c>
      <c r="T2497">
        <v>-0.1025697</v>
      </c>
      <c r="U2497">
        <v>6.9381709999999999E-2</v>
      </c>
      <c r="V2497">
        <v>-4.9549959999999997E-2</v>
      </c>
      <c r="W2497">
        <v>0.2128997</v>
      </c>
      <c r="X2497">
        <v>0.97581680000000004</v>
      </c>
      <c r="Y2497">
        <v>-0.18809790000000001</v>
      </c>
      <c r="Z2497">
        <v>7.4920459999999996E-3</v>
      </c>
      <c r="AA2497">
        <v>0.98212169999999999</v>
      </c>
      <c r="AB2497">
        <v>30</v>
      </c>
      <c r="AC2497">
        <v>34.020699999999898</v>
      </c>
      <c r="AD2497">
        <v>-1.129162926959</v>
      </c>
      <c r="AE2497">
        <v>0.80559999999999798</v>
      </c>
      <c r="AF2497">
        <v>-6.4470796441158296</v>
      </c>
      <c r="AG2497">
        <v>-1.129162926959</v>
      </c>
      <c r="AH2497">
        <v>33.375835138956397</v>
      </c>
      <c r="AI2497">
        <v>91.902534333165306</v>
      </c>
      <c r="AJ2497">
        <v>100.93294816096601</v>
      </c>
      <c r="AK2497">
        <v>34.011560035905198</v>
      </c>
      <c r="AL2497">
        <v>77.7076630012713</v>
      </c>
      <c r="AM2497">
        <v>92.906864611700797</v>
      </c>
      <c r="AN2497">
        <v>0.99999995397916397</v>
      </c>
    </row>
    <row r="2498" spans="1:40" x14ac:dyDescent="0.25">
      <c r="A2498" t="str">
        <f>"20190303171025346"</f>
        <v>20190303171025346</v>
      </c>
      <c r="B2498" t="str">
        <f>"1551604225343658"</f>
        <v>1551604225343658</v>
      </c>
      <c r="C2498" t="s">
        <v>40</v>
      </c>
      <c r="D2498">
        <v>5.316351</v>
      </c>
      <c r="E2498">
        <v>0.44648700000000002</v>
      </c>
      <c r="F2498" t="s">
        <v>60</v>
      </c>
      <c r="G2498">
        <v>-438.29750000000001</v>
      </c>
      <c r="H2498" s="1">
        <v>5.7118430000000002E-6</v>
      </c>
      <c r="I2498">
        <v>216.7294</v>
      </c>
      <c r="J2498">
        <v>-472.79629999999997</v>
      </c>
      <c r="K2498">
        <v>1.1289530000000001</v>
      </c>
      <c r="L2498">
        <v>215.7182</v>
      </c>
      <c r="M2498">
        <v>0.98753820000000003</v>
      </c>
      <c r="N2498">
        <v>-1.4523299999999999E-2</v>
      </c>
      <c r="O2498">
        <v>-0.15670799999999999</v>
      </c>
      <c r="P2498">
        <v>0.97351719999999997</v>
      </c>
      <c r="Q2498">
        <v>0.19972029999999999</v>
      </c>
      <c r="R2498">
        <v>-0.11124870000000001</v>
      </c>
      <c r="S2498">
        <v>3.115326</v>
      </c>
      <c r="T2498">
        <v>-0.1010759</v>
      </c>
      <c r="U2498">
        <v>8.6868290000000001E-2</v>
      </c>
      <c r="V2498">
        <v>-4.6690870000000002E-2</v>
      </c>
      <c r="W2498">
        <v>0.2130814</v>
      </c>
      <c r="X2498">
        <v>0.97591819999999896</v>
      </c>
      <c r="Y2498">
        <v>-0.18402789999999999</v>
      </c>
      <c r="Z2498">
        <v>7.1090909999999997E-3</v>
      </c>
      <c r="AA2498">
        <v>0.98289530000000003</v>
      </c>
      <c r="AB2498">
        <v>30</v>
      </c>
      <c r="AC2498">
        <v>34.498799999999903</v>
      </c>
      <c r="AD2498">
        <v>-1.128947288157</v>
      </c>
      <c r="AE2498">
        <v>1.0112000000000001</v>
      </c>
      <c r="AF2498">
        <v>-6.3986657969170304</v>
      </c>
      <c r="AG2498">
        <v>-1.128947288157</v>
      </c>
      <c r="AH2498">
        <v>33.877748510839801</v>
      </c>
      <c r="AI2498">
        <v>91.8754915155574</v>
      </c>
      <c r="AJ2498">
        <v>100.695752248071</v>
      </c>
      <c r="AK2498">
        <v>34.495206770271402</v>
      </c>
      <c r="AL2498">
        <v>77.6970087767411</v>
      </c>
      <c r="AM2498">
        <v>92.739114264393805</v>
      </c>
      <c r="AN2498">
        <v>1.0000000267292699</v>
      </c>
    </row>
    <row r="2499" spans="1:40" x14ac:dyDescent="0.25">
      <c r="A2499" t="str">
        <f>"20190303171025367"</f>
        <v>20190303171025367</v>
      </c>
      <c r="B2499" t="str">
        <f>"1551604225363178"</f>
        <v>1551604225363178</v>
      </c>
      <c r="C2499" t="s">
        <v>40</v>
      </c>
      <c r="D2499">
        <v>5.3220530000000004</v>
      </c>
      <c r="E2499">
        <v>0.44717960000000001</v>
      </c>
      <c r="F2499" t="s">
        <v>60</v>
      </c>
      <c r="G2499">
        <v>-438.17529999999999</v>
      </c>
      <c r="H2499" s="1">
        <v>5.6436620000000001E-6</v>
      </c>
      <c r="I2499">
        <v>216.8896</v>
      </c>
      <c r="J2499">
        <v>-472.52800000000002</v>
      </c>
      <c r="K2499">
        <v>1.128741</v>
      </c>
      <c r="L2499">
        <v>215.68440000000001</v>
      </c>
      <c r="M2499">
        <v>0.98881140000000001</v>
      </c>
      <c r="N2499">
        <v>-1.448548E-2</v>
      </c>
      <c r="O2499">
        <v>-0.14846579999999901</v>
      </c>
      <c r="P2499">
        <v>0.97451160000000003</v>
      </c>
      <c r="Q2499">
        <v>0.1981994</v>
      </c>
      <c r="R2499">
        <v>-0.1050915</v>
      </c>
      <c r="S2499">
        <v>3.1145320000000001</v>
      </c>
      <c r="T2499">
        <v>-0.1015611</v>
      </c>
      <c r="U2499">
        <v>0.1053772</v>
      </c>
      <c r="V2499">
        <v>-4.4624520000000001E-2</v>
      </c>
      <c r="W2499">
        <v>0.211588</v>
      </c>
      <c r="X2499">
        <v>0.97633970000000003</v>
      </c>
      <c r="Y2499">
        <v>-0.18167320000000001</v>
      </c>
      <c r="Z2499">
        <v>6.9509469999999999E-3</v>
      </c>
      <c r="AA2499">
        <v>0.98333440000000005</v>
      </c>
      <c r="AB2499">
        <v>30</v>
      </c>
      <c r="AC2499">
        <v>34.352699999999999</v>
      </c>
      <c r="AD2499">
        <v>-1.128735356338</v>
      </c>
      <c r="AE2499">
        <v>1.2051999999999901</v>
      </c>
      <c r="AF2499">
        <v>-6.2857992942661198</v>
      </c>
      <c r="AG2499">
        <v>-1.128735356338</v>
      </c>
      <c r="AH2499">
        <v>33.756558769099797</v>
      </c>
      <c r="AI2499">
        <v>91.882775136523605</v>
      </c>
      <c r="AJ2499">
        <v>100.54822166640299</v>
      </c>
      <c r="AK2499">
        <v>34.3553573144588</v>
      </c>
      <c r="AL2499">
        <v>77.784570894363199</v>
      </c>
      <c r="AM2499">
        <v>92.616935966600195</v>
      </c>
      <c r="AN2499">
        <v>1.0000000196626599</v>
      </c>
    </row>
    <row r="2500" spans="1:40" x14ac:dyDescent="0.25">
      <c r="A2500" t="str">
        <f>"20190303171025387"</f>
        <v>20190303171025387</v>
      </c>
      <c r="B2500" t="str">
        <f>"1551604225382698"</f>
        <v>1551604225382698</v>
      </c>
      <c r="C2500" t="s">
        <v>40</v>
      </c>
      <c r="D2500">
        <v>5.3070469999999998</v>
      </c>
      <c r="E2500">
        <v>0.45308140000000002</v>
      </c>
      <c r="F2500" t="s">
        <v>60</v>
      </c>
      <c r="G2500">
        <v>-439.64179999999999</v>
      </c>
      <c r="H2500" s="1">
        <v>6.2880389999999998E-6</v>
      </c>
      <c r="I2500">
        <v>216.95779999999999</v>
      </c>
      <c r="J2500">
        <v>-472.26479999999998</v>
      </c>
      <c r="K2500">
        <v>1.1285210000000001</v>
      </c>
      <c r="L2500">
        <v>215.6533</v>
      </c>
      <c r="M2500">
        <v>0.98995549999999999</v>
      </c>
      <c r="N2500">
        <v>-1.4445660000000001E-2</v>
      </c>
      <c r="O2500">
        <v>-0.14063979999999901</v>
      </c>
      <c r="P2500">
        <v>0.97550800000000004</v>
      </c>
      <c r="Q2500">
        <v>0.19667999999999999</v>
      </c>
      <c r="R2500">
        <v>-9.8497009999999996E-2</v>
      </c>
      <c r="S2500">
        <v>3.1132200000000001</v>
      </c>
      <c r="T2500">
        <v>-0.1068532</v>
      </c>
      <c r="U2500">
        <v>0.1205444</v>
      </c>
      <c r="V2500">
        <v>-4.340289E-2</v>
      </c>
      <c r="W2500">
        <v>0.21007870000000001</v>
      </c>
      <c r="X2500">
        <v>0.97672060000000005</v>
      </c>
      <c r="Y2500">
        <v>-0.17867910000000001</v>
      </c>
      <c r="Z2500">
        <v>7.1367389999999996E-3</v>
      </c>
      <c r="AA2500">
        <v>0.98388149999999996</v>
      </c>
      <c r="AB2500">
        <v>30</v>
      </c>
      <c r="AC2500">
        <v>32.622999999999898</v>
      </c>
      <c r="AD2500">
        <v>-1.1285147119609999</v>
      </c>
      <c r="AE2500">
        <v>1.30449999999999</v>
      </c>
      <c r="AF2500">
        <v>-5.8730855382679898</v>
      </c>
      <c r="AG2500">
        <v>-1.1285147119609999</v>
      </c>
      <c r="AH2500">
        <v>32.076879243467403</v>
      </c>
      <c r="AI2500">
        <v>91.982002991411903</v>
      </c>
      <c r="AJ2500">
        <v>100.375592813984</v>
      </c>
      <c r="AK2500">
        <v>32.629631643567699</v>
      </c>
      <c r="AL2500">
        <v>77.873035705191796</v>
      </c>
      <c r="AM2500">
        <v>92.544399568451198</v>
      </c>
      <c r="AN2500">
        <v>1.0000000007592</v>
      </c>
    </row>
    <row r="2501" spans="1:40" x14ac:dyDescent="0.25">
      <c r="A2501" t="str">
        <f>"20190303171025411"</f>
        <v>20190303171025411</v>
      </c>
      <c r="B2501" t="str">
        <f>"1551604225403195"</f>
        <v>1551604225403195</v>
      </c>
      <c r="C2501" t="s">
        <v>40</v>
      </c>
      <c r="D2501">
        <v>5.2933440000000003</v>
      </c>
      <c r="E2501">
        <v>0.45279320000000001</v>
      </c>
      <c r="F2501" t="s">
        <v>53</v>
      </c>
      <c r="G2501">
        <v>-443.82380000000001</v>
      </c>
      <c r="H2501" s="1">
        <v>4.146401E-7</v>
      </c>
      <c r="I2501">
        <v>216.5239</v>
      </c>
      <c r="J2501">
        <v>-471.95409999999998</v>
      </c>
      <c r="K2501">
        <v>1.128234</v>
      </c>
      <c r="L2501">
        <v>215.61879999999999</v>
      </c>
      <c r="M2501">
        <v>0.99117880000000003</v>
      </c>
      <c r="N2501">
        <v>-1.4396549999999999E-2</v>
      </c>
      <c r="O2501">
        <v>-0.131747799999999</v>
      </c>
      <c r="P2501">
        <v>0.97621579999999997</v>
      </c>
      <c r="Q2501">
        <v>0.196355</v>
      </c>
      <c r="R2501">
        <v>-9.190922E-2</v>
      </c>
      <c r="S2501">
        <v>3.1098020000000002</v>
      </c>
      <c r="T2501">
        <v>-0.123394699999999</v>
      </c>
      <c r="U2501">
        <v>9.5199580000000006E-2</v>
      </c>
      <c r="V2501">
        <v>-4.1074020000000003E-2</v>
      </c>
      <c r="W2501">
        <v>0.20977609999999999</v>
      </c>
      <c r="X2501">
        <v>0.97688629999999999</v>
      </c>
      <c r="Y2501">
        <v>-0.1618164</v>
      </c>
      <c r="Z2501">
        <v>7.6906090000000002E-3</v>
      </c>
      <c r="AA2501">
        <v>0.98679090000000003</v>
      </c>
      <c r="AB2501">
        <v>30</v>
      </c>
      <c r="AC2501">
        <v>28.130299999999899</v>
      </c>
      <c r="AD2501">
        <v>-1.1282335853598999</v>
      </c>
      <c r="AE2501">
        <v>0.90510000000000401</v>
      </c>
      <c r="AF2501">
        <v>-4.5963118139467198</v>
      </c>
      <c r="AG2501">
        <v>-1.1282335853598999</v>
      </c>
      <c r="AH2501">
        <v>27.7212410097403</v>
      </c>
      <c r="AI2501">
        <v>92.299252773041204</v>
      </c>
      <c r="AJ2501">
        <v>99.414262761479193</v>
      </c>
      <c r="AK2501">
        <v>28.122343366694601</v>
      </c>
      <c r="AL2501">
        <v>77.890768112260403</v>
      </c>
      <c r="AM2501">
        <v>92.407631941556403</v>
      </c>
      <c r="AN2501">
        <v>0.99999996518892897</v>
      </c>
    </row>
    <row r="2502" spans="1:40" x14ac:dyDescent="0.25">
      <c r="A2502" t="str">
        <f>"20190303171025433"</f>
        <v>20190303171025433</v>
      </c>
      <c r="B2502" t="str">
        <f>"1551604225422714"</f>
        <v>1551604225422714</v>
      </c>
      <c r="C2502" t="s">
        <v>40</v>
      </c>
      <c r="D2502">
        <v>5.2927960000000001</v>
      </c>
      <c r="E2502">
        <v>0.45351409999999998</v>
      </c>
      <c r="F2502" t="s">
        <v>53</v>
      </c>
      <c r="G2502">
        <v>-443.56849999999997</v>
      </c>
      <c r="H2502" s="1">
        <v>2.7101209999999998E-7</v>
      </c>
      <c r="I2502">
        <v>216.702</v>
      </c>
      <c r="J2502">
        <v>-471.666</v>
      </c>
      <c r="K2502">
        <v>1.1279440000000001</v>
      </c>
      <c r="L2502">
        <v>215.5891</v>
      </c>
      <c r="M2502">
        <v>0.99219650000000004</v>
      </c>
      <c r="N2502">
        <v>-1.4350170000000001E-2</v>
      </c>
      <c r="O2502">
        <v>-0.1238561</v>
      </c>
      <c r="P2502">
        <v>0.97657159999999998</v>
      </c>
      <c r="Q2502">
        <v>0.19704250000000001</v>
      </c>
      <c r="R2502">
        <v>-8.6499530000000005E-2</v>
      </c>
      <c r="S2502">
        <v>3.1091310000000001</v>
      </c>
      <c r="T2502">
        <v>-0.1235776</v>
      </c>
      <c r="U2502">
        <v>0.1186371</v>
      </c>
      <c r="V2502">
        <v>-3.8548279999999997E-2</v>
      </c>
      <c r="W2502">
        <v>0.21048520000000001</v>
      </c>
      <c r="X2502">
        <v>0.9768367</v>
      </c>
      <c r="Y2502">
        <v>-0.1614022</v>
      </c>
      <c r="Z2502">
        <v>7.4981409999999998E-3</v>
      </c>
      <c r="AA2502">
        <v>0.98686019999999997</v>
      </c>
      <c r="AB2502">
        <v>30</v>
      </c>
      <c r="AC2502">
        <v>28.0975</v>
      </c>
      <c r="AD2502">
        <v>-1.1279437289879</v>
      </c>
      <c r="AE2502">
        <v>1.11289999999999</v>
      </c>
      <c r="AF2502">
        <v>-4.5773689517436003</v>
      </c>
      <c r="AG2502">
        <v>-1.1279437289879</v>
      </c>
      <c r="AH2502">
        <v>27.69868877947</v>
      </c>
      <c r="AI2502">
        <v>92.300735497734607</v>
      </c>
      <c r="AJ2502">
        <v>99.383652285793403</v>
      </c>
      <c r="AK2502">
        <v>28.097009158949401</v>
      </c>
      <c r="AL2502">
        <v>77.849211843077498</v>
      </c>
      <c r="AM2502">
        <v>92.259854001979903</v>
      </c>
      <c r="AN2502">
        <v>0.99999996388844303</v>
      </c>
    </row>
    <row r="2503" spans="1:40" x14ac:dyDescent="0.25">
      <c r="A2503" t="str">
        <f>"20190303171025455"</f>
        <v>20190303171025455</v>
      </c>
      <c r="B2503" t="str">
        <f>"1551604225443209"</f>
        <v>1551604225443209</v>
      </c>
      <c r="C2503" t="s">
        <v>40</v>
      </c>
      <c r="D2503">
        <v>5.2669030000000001</v>
      </c>
      <c r="E2503">
        <v>0.45408700000000002</v>
      </c>
      <c r="F2503" t="s">
        <v>53</v>
      </c>
      <c r="G2503">
        <v>-443.49369999999999</v>
      </c>
      <c r="H2503" s="1">
        <v>2.279314E-7</v>
      </c>
      <c r="I2503">
        <v>216.7765</v>
      </c>
      <c r="J2503">
        <v>-471.37889999999999</v>
      </c>
      <c r="K2503">
        <v>1.12764</v>
      </c>
      <c r="L2503">
        <v>215.56129999999999</v>
      </c>
      <c r="M2503">
        <v>0.99310390000000004</v>
      </c>
      <c r="N2503">
        <v>-1.4303949999999999E-2</v>
      </c>
      <c r="O2503">
        <v>-0.11636059999999999</v>
      </c>
      <c r="P2503">
        <v>0.97713830000000002</v>
      </c>
      <c r="Q2503">
        <v>0.1966078</v>
      </c>
      <c r="R2503">
        <v>-8.0905909999999998E-2</v>
      </c>
      <c r="S2503">
        <v>3.1087340000000001</v>
      </c>
      <c r="T2503">
        <v>-0.1244653</v>
      </c>
      <c r="U2503">
        <v>0.13102719999999901</v>
      </c>
      <c r="V2503">
        <v>-3.6604589999999999E-2</v>
      </c>
      <c r="W2503">
        <v>0.21006379999999999</v>
      </c>
      <c r="X2503">
        <v>0.97700220000000004</v>
      </c>
      <c r="Y2503">
        <v>-0.1578842</v>
      </c>
      <c r="Z2503">
        <v>7.2729219999999898E-3</v>
      </c>
      <c r="AA2503">
        <v>0.9874309</v>
      </c>
      <c r="AB2503">
        <v>29</v>
      </c>
      <c r="AC2503">
        <v>27.885200000000001</v>
      </c>
      <c r="AD2503">
        <v>-1.1276397720686</v>
      </c>
      <c r="AE2503">
        <v>1.21520000000001</v>
      </c>
      <c r="AF2503">
        <v>-4.4447598253130902</v>
      </c>
      <c r="AG2503">
        <v>-1.1276397720686</v>
      </c>
      <c r="AH2503">
        <v>27.509421478096002</v>
      </c>
      <c r="AI2503">
        <v>92.317280699778294</v>
      </c>
      <c r="AJ2503">
        <v>99.178091456343296</v>
      </c>
      <c r="AK2503">
        <v>27.8889894298771</v>
      </c>
      <c r="AL2503">
        <v>77.873908855796202</v>
      </c>
      <c r="AM2503">
        <v>92.145653315098599</v>
      </c>
      <c r="AN2503">
        <v>0.99999999744217405</v>
      </c>
    </row>
    <row r="2504" spans="1:40" x14ac:dyDescent="0.25">
      <c r="A2504" t="str">
        <f>"20190303171025479"</f>
        <v>20190303171025479</v>
      </c>
      <c r="B2504" t="str">
        <f>"1551604225473466"</f>
        <v>1551604225473466</v>
      </c>
      <c r="C2504" t="s">
        <v>40</v>
      </c>
      <c r="D2504">
        <v>5.2757230000000002</v>
      </c>
      <c r="E2504">
        <v>0.45872180000000001</v>
      </c>
      <c r="F2504" t="s">
        <v>53</v>
      </c>
      <c r="G2504">
        <v>-443.91730000000001</v>
      </c>
      <c r="H2504" s="1">
        <v>4.5053619999999999E-7</v>
      </c>
      <c r="I2504">
        <v>216.84200000000001</v>
      </c>
      <c r="J2504">
        <v>-471.08839999999998</v>
      </c>
      <c r="K2504">
        <v>1.127308</v>
      </c>
      <c r="L2504">
        <v>215.5352</v>
      </c>
      <c r="M2504">
        <v>0.99391660000000004</v>
      </c>
      <c r="N2504">
        <v>-1.425601E-2</v>
      </c>
      <c r="O2504">
        <v>-0.10920870000000001</v>
      </c>
      <c r="P2504">
        <v>0.97809889999999999</v>
      </c>
      <c r="Q2504">
        <v>0.1943453</v>
      </c>
      <c r="R2504">
        <v>-7.4514250000000004E-2</v>
      </c>
      <c r="S2504">
        <v>3.1078800000000002</v>
      </c>
      <c r="T2504">
        <v>-0.12761710000000001</v>
      </c>
      <c r="U2504">
        <v>0.14494319999999999</v>
      </c>
      <c r="V2504">
        <v>-3.5806539999999998E-2</v>
      </c>
      <c r="W2504">
        <v>0.20779980000000001</v>
      </c>
      <c r="X2504">
        <v>0.97751580000000005</v>
      </c>
      <c r="Y2504">
        <v>-0.15519439999999901</v>
      </c>
      <c r="Z2504">
        <v>7.2099249999999998E-3</v>
      </c>
      <c r="AA2504">
        <v>0.9878576</v>
      </c>
      <c r="AB2504">
        <v>29</v>
      </c>
      <c r="AC2504">
        <v>27.1710999999999</v>
      </c>
      <c r="AD2504">
        <v>-1.1273075494638001</v>
      </c>
      <c r="AE2504">
        <v>1.3068</v>
      </c>
      <c r="AF2504">
        <v>-4.2592895135494002</v>
      </c>
      <c r="AG2504">
        <v>-1.1273075494638001</v>
      </c>
      <c r="AH2504">
        <v>26.819764021519099</v>
      </c>
      <c r="AI2504">
        <v>92.377125099536499</v>
      </c>
      <c r="AJ2504">
        <v>99.023873682277795</v>
      </c>
      <c r="AK2504">
        <v>27.1792588501099</v>
      </c>
      <c r="AL2504">
        <v>78.006554041645799</v>
      </c>
      <c r="AM2504">
        <v>92.097814465433899</v>
      </c>
      <c r="AN2504">
        <v>1.0000000022182201</v>
      </c>
    </row>
    <row r="2505" spans="1:40" x14ac:dyDescent="0.25">
      <c r="A2505" t="str">
        <f>"20190303171025500"</f>
        <v>20190303171025500</v>
      </c>
      <c r="B2505" t="str">
        <f>"1551604225492985"</f>
        <v>1551604225492985</v>
      </c>
      <c r="C2505" t="s">
        <v>40</v>
      </c>
      <c r="D2505">
        <v>5.2767099999999996</v>
      </c>
      <c r="E2505">
        <v>0.45966370000000001</v>
      </c>
      <c r="F2505" t="s">
        <v>53</v>
      </c>
      <c r="G2505">
        <v>-447.86829999999998</v>
      </c>
      <c r="H2505" s="1">
        <v>2.5682880000000001E-6</v>
      </c>
      <c r="I2505">
        <v>216.49260000000001</v>
      </c>
      <c r="J2505">
        <v>-470.79500000000002</v>
      </c>
      <c r="K2505">
        <v>1.126952</v>
      </c>
      <c r="L2505">
        <v>215.51050000000001</v>
      </c>
      <c r="M2505">
        <v>0.99463919999999995</v>
      </c>
      <c r="N2505">
        <v>-1.420678E-2</v>
      </c>
      <c r="O2505">
        <v>-0.1024255</v>
      </c>
      <c r="P2505">
        <v>0.97877999999999998</v>
      </c>
      <c r="Q2505">
        <v>0.193055</v>
      </c>
      <c r="R2505">
        <v>-6.8699999999999997E-2</v>
      </c>
      <c r="S2505">
        <v>3.1069339999999999</v>
      </c>
      <c r="T2505">
        <v>-0.1508369</v>
      </c>
      <c r="U2505">
        <v>0.1281128</v>
      </c>
      <c r="V2505">
        <v>-3.4778679999999999E-2</v>
      </c>
      <c r="W2505">
        <v>0.20650669999999999</v>
      </c>
      <c r="X2505">
        <v>0.97782690000000005</v>
      </c>
      <c r="Y2505">
        <v>-0.14305399999999999</v>
      </c>
      <c r="Z2505">
        <v>7.9949369999999902E-3</v>
      </c>
      <c r="AA2505">
        <v>0.98968259999999997</v>
      </c>
      <c r="AB2505">
        <v>29</v>
      </c>
      <c r="AC2505">
        <v>22.9267</v>
      </c>
      <c r="AD2505">
        <v>-1.1269494317119999</v>
      </c>
      <c r="AE2505">
        <v>0.98210000000000197</v>
      </c>
      <c r="AF2505">
        <v>-3.3174487478896402</v>
      </c>
      <c r="AG2505">
        <v>-1.1269494317119999</v>
      </c>
      <c r="AH2505">
        <v>22.650866571093701</v>
      </c>
      <c r="AI2505">
        <v>92.818273322890803</v>
      </c>
      <c r="AJ2505">
        <v>98.332306472358795</v>
      </c>
      <c r="AK2505">
        <v>22.9202364219482</v>
      </c>
      <c r="AL2505">
        <v>78.082286053228898</v>
      </c>
      <c r="AM2505">
        <v>92.036998524395202</v>
      </c>
      <c r="AN2505">
        <v>1.00000001004552</v>
      </c>
    </row>
    <row r="2506" spans="1:40" x14ac:dyDescent="0.25">
      <c r="A2506" t="str">
        <f>"20190303171025526"</f>
        <v>20190303171025526</v>
      </c>
      <c r="B2506" t="str">
        <f>"1551604225513481"</f>
        <v>1551604225513481</v>
      </c>
      <c r="C2506" t="s">
        <v>40</v>
      </c>
      <c r="D2506">
        <v>5.1717309999999896</v>
      </c>
      <c r="E2506">
        <v>0.46013389999999998</v>
      </c>
      <c r="F2506" t="s">
        <v>53</v>
      </c>
      <c r="G2506">
        <v>-447.4898</v>
      </c>
      <c r="H2506" s="1">
        <v>2.3642379999999999E-6</v>
      </c>
      <c r="I2506">
        <v>216.5539</v>
      </c>
      <c r="J2506">
        <v>-470.46949999999998</v>
      </c>
      <c r="K2506">
        <v>1.126606</v>
      </c>
      <c r="L2506">
        <v>215.48500000000001</v>
      </c>
      <c r="M2506">
        <v>0.99534460000000002</v>
      </c>
      <c r="N2506">
        <v>-1.41546E-2</v>
      </c>
      <c r="O2506">
        <v>-9.5335009999999998E-2</v>
      </c>
      <c r="P2506">
        <v>0.97906510000000002</v>
      </c>
      <c r="Q2506">
        <v>0.19331019999999999</v>
      </c>
      <c r="R2506">
        <v>-6.3741649999999997E-2</v>
      </c>
      <c r="S2506">
        <v>3.1044309999999999</v>
      </c>
      <c r="T2506">
        <v>-0.15011869999999999</v>
      </c>
      <c r="U2506">
        <v>0.13899230000000001</v>
      </c>
      <c r="V2506">
        <v>-3.2577389999999998E-2</v>
      </c>
      <c r="W2506">
        <v>0.20676749999999999</v>
      </c>
      <c r="X2506">
        <v>0.97784760000000004</v>
      </c>
      <c r="Y2506">
        <v>-0.13950689999999999</v>
      </c>
      <c r="Z2506">
        <v>7.6111449999999997E-3</v>
      </c>
      <c r="AA2506">
        <v>0.99019190000000001</v>
      </c>
      <c r="AB2506">
        <v>29</v>
      </c>
      <c r="AC2506">
        <v>22.979699999999902</v>
      </c>
      <c r="AD2506">
        <v>-1.126603635762</v>
      </c>
      <c r="AE2506">
        <v>1.06889999999998</v>
      </c>
      <c r="AF2506">
        <v>-3.2472318403200799</v>
      </c>
      <c r="AG2506">
        <v>-1.126603635762</v>
      </c>
      <c r="AH2506">
        <v>22.718610792030798</v>
      </c>
      <c r="AI2506">
        <v>92.810424684815999</v>
      </c>
      <c r="AJ2506">
        <v>98.134343496887197</v>
      </c>
      <c r="AK2506">
        <v>22.977141395236199</v>
      </c>
      <c r="AL2506">
        <v>78.067013665333405</v>
      </c>
      <c r="AM2506">
        <v>91.908126423567296</v>
      </c>
      <c r="AN2506">
        <v>1.0000000071106101</v>
      </c>
    </row>
    <row r="2507" spans="1:40" x14ac:dyDescent="0.25">
      <c r="A2507" t="str">
        <f>"20190303171025546"</f>
        <v>20190303171025546</v>
      </c>
      <c r="B2507" t="str">
        <f>"1551604225533002"</f>
        <v>1551604225533002</v>
      </c>
      <c r="C2507" t="s">
        <v>40</v>
      </c>
      <c r="D2507">
        <v>5.2853940000000001</v>
      </c>
      <c r="E2507">
        <v>0.461368</v>
      </c>
      <c r="F2507" t="s">
        <v>53</v>
      </c>
      <c r="G2507">
        <v>-447.18119999999999</v>
      </c>
      <c r="H2507" s="1">
        <v>2.196804E-6</v>
      </c>
      <c r="I2507">
        <v>216.62739999999999</v>
      </c>
      <c r="J2507">
        <v>-470.2002</v>
      </c>
      <c r="K2507">
        <v>1.126333</v>
      </c>
      <c r="L2507">
        <v>215.46520000000001</v>
      </c>
      <c r="M2507">
        <v>0.99585800000000002</v>
      </c>
      <c r="N2507">
        <v>-1.411392E-2</v>
      </c>
      <c r="O2507">
        <v>-8.982002E-2</v>
      </c>
      <c r="P2507">
        <v>0.97926279999999999</v>
      </c>
      <c r="Q2507">
        <v>0.1935056</v>
      </c>
      <c r="R2507">
        <v>-5.9997799999999997E-2</v>
      </c>
      <c r="S2507">
        <v>3.1036990000000002</v>
      </c>
      <c r="T2507">
        <v>-0.150146</v>
      </c>
      <c r="U2507">
        <v>0.1522522</v>
      </c>
      <c r="V2507">
        <v>-3.075195E-2</v>
      </c>
      <c r="W2507">
        <v>0.20696619999999999</v>
      </c>
      <c r="X2507">
        <v>0.97786470000000003</v>
      </c>
      <c r="Y2507">
        <v>-0.1382582</v>
      </c>
      <c r="Z2507">
        <v>7.3882629999999999E-3</v>
      </c>
      <c r="AA2507">
        <v>0.99036869999999999</v>
      </c>
      <c r="AB2507">
        <v>29</v>
      </c>
      <c r="AC2507">
        <v>23.018999999999998</v>
      </c>
      <c r="AD2507">
        <v>-1.126330803196</v>
      </c>
      <c r="AE2507">
        <v>1.1621999999999799</v>
      </c>
      <c r="AF2507">
        <v>-3.21759053094401</v>
      </c>
      <c r="AG2507">
        <v>-1.126330803196</v>
      </c>
      <c r="AH2507">
        <v>22.7671693191024</v>
      </c>
      <c r="AI2507">
        <v>92.804388715661702</v>
      </c>
      <c r="AJ2507">
        <v>98.044104501560795</v>
      </c>
      <c r="AK2507">
        <v>23.020979751255801</v>
      </c>
      <c r="AL2507">
        <v>78.055377577584807</v>
      </c>
      <c r="AM2507">
        <v>91.801247600132697</v>
      </c>
      <c r="AN2507">
        <v>1.0000000309386601</v>
      </c>
    </row>
    <row r="2508" spans="1:40" x14ac:dyDescent="0.25">
      <c r="A2508" t="str">
        <f>"20190303171025571"</f>
        <v>20190303171025571</v>
      </c>
      <c r="B2508" t="str">
        <f>"1551604225563257"</f>
        <v>1551604225563257</v>
      </c>
      <c r="C2508" t="s">
        <v>40</v>
      </c>
      <c r="D2508">
        <v>5.2866540000000004</v>
      </c>
      <c r="E2508">
        <v>0.46290170000000003</v>
      </c>
      <c r="F2508" t="s">
        <v>53</v>
      </c>
      <c r="G2508">
        <v>-447.10199999999998</v>
      </c>
      <c r="H2508" s="1">
        <v>2.1549700000000001E-6</v>
      </c>
      <c r="I2508">
        <v>216.6198</v>
      </c>
      <c r="J2508">
        <v>-469.88389999999998</v>
      </c>
      <c r="K2508">
        <v>1.1260030000000001</v>
      </c>
      <c r="L2508">
        <v>215.4435</v>
      </c>
      <c r="M2508">
        <v>0.99638409999999999</v>
      </c>
      <c r="N2508">
        <v>-1.4066210000000001E-2</v>
      </c>
      <c r="O2508">
        <v>-8.3790669999999998E-2</v>
      </c>
      <c r="P2508">
        <v>0.97997160000000005</v>
      </c>
      <c r="Q2508">
        <v>0.1915154</v>
      </c>
      <c r="R2508">
        <v>-5.4568560000000002E-2</v>
      </c>
      <c r="S2508">
        <v>3.1029049999999998</v>
      </c>
      <c r="T2508">
        <v>-0.15130639999999901</v>
      </c>
      <c r="U2508">
        <v>0.15510560000000001</v>
      </c>
      <c r="V2508">
        <v>-3.0090639999999998E-2</v>
      </c>
      <c r="W2508">
        <v>0.20496629999999999</v>
      </c>
      <c r="X2508">
        <v>0.97830640000000002</v>
      </c>
      <c r="Y2508">
        <v>-0.13319</v>
      </c>
      <c r="Z2508">
        <v>7.0830700000000003E-3</v>
      </c>
      <c r="AA2508">
        <v>0.99106519999999998</v>
      </c>
      <c r="AB2508">
        <v>29</v>
      </c>
      <c r="AC2508">
        <v>22.7819</v>
      </c>
      <c r="AD2508">
        <v>-1.1260008450299901</v>
      </c>
      <c r="AE2508">
        <v>1.1762999999999899</v>
      </c>
      <c r="AF2508">
        <v>-3.0737732938698801</v>
      </c>
      <c r="AG2508">
        <v>-1.1260008450299901</v>
      </c>
      <c r="AH2508">
        <v>22.548260425952598</v>
      </c>
      <c r="AI2508">
        <v>92.832670335713303</v>
      </c>
      <c r="AJ2508">
        <v>97.762697578023506</v>
      </c>
      <c r="AK2508">
        <v>22.784644135945999</v>
      </c>
      <c r="AL2508">
        <v>78.172473967782196</v>
      </c>
      <c r="AM2508">
        <v>91.761741822513102</v>
      </c>
      <c r="AN2508">
        <v>1.00000002151612</v>
      </c>
    </row>
    <row r="2509" spans="1:40" x14ac:dyDescent="0.25">
      <c r="A2509" t="str">
        <f>"20190303171025590"</f>
        <v>20190303171025590</v>
      </c>
      <c r="B2509" t="str">
        <f>"1551604225582778"</f>
        <v>1551604225582778</v>
      </c>
      <c r="C2509" t="s">
        <v>40</v>
      </c>
      <c r="D2509">
        <v>5.2857409999999998</v>
      </c>
      <c r="E2509">
        <v>0.46410410000000002</v>
      </c>
      <c r="F2509" t="s">
        <v>53</v>
      </c>
      <c r="G2509">
        <v>-447.78769999999997</v>
      </c>
      <c r="H2509" s="1">
        <v>2.5216659999999998E-6</v>
      </c>
      <c r="I2509">
        <v>216.5788</v>
      </c>
      <c r="J2509">
        <v>-469.63189999999997</v>
      </c>
      <c r="K2509">
        <v>1.125704</v>
      </c>
      <c r="L2509">
        <v>215.4272</v>
      </c>
      <c r="M2509">
        <v>0.9967471</v>
      </c>
      <c r="N2509">
        <v>-1.4027609999999999E-2</v>
      </c>
      <c r="O2509">
        <v>-7.9363260000000005E-2</v>
      </c>
      <c r="P2509">
        <v>0.98056339999999997</v>
      </c>
      <c r="Q2509">
        <v>0.18974269999999999</v>
      </c>
      <c r="R2509">
        <v>-4.9932560000000001E-2</v>
      </c>
      <c r="S2509">
        <v>3.101105</v>
      </c>
      <c r="T2509">
        <v>-0.1580297</v>
      </c>
      <c r="U2509">
        <v>0.15933229999999901</v>
      </c>
      <c r="V2509">
        <v>-3.0234629999999998E-2</v>
      </c>
      <c r="W2509">
        <v>0.20317850000000001</v>
      </c>
      <c r="X2509">
        <v>0.97867479999999996</v>
      </c>
      <c r="Y2509">
        <v>-0.13014719999999999</v>
      </c>
      <c r="Z2509">
        <v>7.1514760000000004E-3</v>
      </c>
      <c r="AA2509">
        <v>0.99146889999999999</v>
      </c>
      <c r="AB2509">
        <v>29</v>
      </c>
      <c r="AC2509">
        <v>21.844200000000001</v>
      </c>
      <c r="AD2509">
        <v>-1.125701478334</v>
      </c>
      <c r="AE2509">
        <v>1.1516</v>
      </c>
      <c r="AF2509">
        <v>-2.8741526603007501</v>
      </c>
      <c r="AG2509">
        <v>-1.125701478334</v>
      </c>
      <c r="AH2509">
        <v>21.626606933626402</v>
      </c>
      <c r="AI2509">
        <v>92.953729396011795</v>
      </c>
      <c r="AJ2509">
        <v>97.570186572690801</v>
      </c>
      <c r="AK2509">
        <v>21.845779564817899</v>
      </c>
      <c r="AL2509">
        <v>78.277109087529894</v>
      </c>
      <c r="AM2509">
        <v>91.769500858913901</v>
      </c>
      <c r="AN2509">
        <v>0.99999999993426303</v>
      </c>
    </row>
    <row r="2510" spans="1:40" x14ac:dyDescent="0.25">
      <c r="A2510" t="str">
        <f>"20190303171025614"</f>
        <v>20190303171025614</v>
      </c>
      <c r="B2510" t="str">
        <f>"1551604225603274"</f>
        <v>1551604225603274</v>
      </c>
      <c r="C2510" t="s">
        <v>40</v>
      </c>
      <c r="D2510">
        <v>5.201638</v>
      </c>
      <c r="E2510">
        <v>0.46500930000000001</v>
      </c>
      <c r="F2510" t="s">
        <v>53</v>
      </c>
      <c r="G2510">
        <v>-448.48450000000003</v>
      </c>
      <c r="H2510" s="1">
        <v>2.894523E-6</v>
      </c>
      <c r="I2510">
        <v>216.53190000000001</v>
      </c>
      <c r="J2510">
        <v>-469.32549999999998</v>
      </c>
      <c r="K2510">
        <v>1.1253280000000001</v>
      </c>
      <c r="L2510">
        <v>215.4085</v>
      </c>
      <c r="M2510">
        <v>0.9971293</v>
      </c>
      <c r="N2510">
        <v>-1.398168E-2</v>
      </c>
      <c r="O2510">
        <v>-7.4414830000000001E-2</v>
      </c>
      <c r="P2510">
        <v>0.98065619999999998</v>
      </c>
      <c r="Q2510">
        <v>0.1903965</v>
      </c>
      <c r="R2510">
        <v>-4.541502E-2</v>
      </c>
      <c r="S2510">
        <v>3.09964</v>
      </c>
      <c r="T2510">
        <v>-0.1649979</v>
      </c>
      <c r="U2510">
        <v>0.161911</v>
      </c>
      <c r="V2510">
        <v>-2.96902E-2</v>
      </c>
      <c r="W2510">
        <v>0.20381759999999999</v>
      </c>
      <c r="X2510">
        <v>0.9785585</v>
      </c>
      <c r="Y2510">
        <v>-0.12605839999999999</v>
      </c>
      <c r="Z2510">
        <v>7.1485759999999898E-3</v>
      </c>
      <c r="AA2510">
        <v>0.99199709999999997</v>
      </c>
      <c r="AB2510">
        <v>29</v>
      </c>
      <c r="AC2510">
        <v>20.840999999999902</v>
      </c>
      <c r="AD2510">
        <v>-1.1253251054769999</v>
      </c>
      <c r="AE2510">
        <v>1.1234</v>
      </c>
      <c r="AF2510">
        <v>-2.6635725326620898</v>
      </c>
      <c r="AG2510">
        <v>-1.1253251054769999</v>
      </c>
      <c r="AH2510">
        <v>20.639597339361199</v>
      </c>
      <c r="AI2510">
        <v>93.095209198283996</v>
      </c>
      <c r="AJ2510">
        <v>97.353467979767601</v>
      </c>
      <c r="AK2510">
        <v>20.8411600819325</v>
      </c>
      <c r="AL2510">
        <v>78.239707931123107</v>
      </c>
      <c r="AM2510">
        <v>91.737863852846701</v>
      </c>
      <c r="AN2510">
        <v>0.99999992998402198</v>
      </c>
    </row>
    <row r="2511" spans="1:40" x14ac:dyDescent="0.25">
      <c r="A2511" t="str">
        <f>"20190303171025635"</f>
        <v>20190303171025635</v>
      </c>
      <c r="B2511" t="str">
        <f>"1551604225623770"</f>
        <v>1551604225623770</v>
      </c>
      <c r="C2511" t="s">
        <v>40</v>
      </c>
      <c r="D2511">
        <v>5.122922</v>
      </c>
      <c r="E2511">
        <v>0.46500930000000001</v>
      </c>
      <c r="F2511" t="s">
        <v>53</v>
      </c>
      <c r="G2511">
        <v>-448.21629999999999</v>
      </c>
      <c r="H2511" s="1">
        <v>2.7506590000000001E-6</v>
      </c>
      <c r="I2511">
        <v>216.5573</v>
      </c>
      <c r="J2511">
        <v>-469.04719999999998</v>
      </c>
      <c r="K2511">
        <v>1.1249640000000001</v>
      </c>
      <c r="L2511">
        <v>215.39230000000001</v>
      </c>
      <c r="M2511">
        <v>0.99742299999999995</v>
      </c>
      <c r="N2511">
        <v>-1.3941490000000001E-2</v>
      </c>
      <c r="O2511">
        <v>-7.0377830000000002E-2</v>
      </c>
      <c r="P2511">
        <v>0.9802959</v>
      </c>
      <c r="Q2511">
        <v>0.193021</v>
      </c>
      <c r="R2511">
        <v>-4.1986620000000002E-2</v>
      </c>
      <c r="S2511">
        <v>3.09903</v>
      </c>
      <c r="T2511">
        <v>-0.16520789999999999</v>
      </c>
      <c r="U2511">
        <v>0.16865539999999901</v>
      </c>
      <c r="V2511">
        <v>-2.8949349999999999E-2</v>
      </c>
      <c r="W2511">
        <v>0.2064279</v>
      </c>
      <c r="X2511">
        <v>0.9780335</v>
      </c>
      <c r="Y2511">
        <v>-0.1242111</v>
      </c>
      <c r="Z2511">
        <v>6.9390540000000001E-3</v>
      </c>
      <c r="AA2511">
        <v>0.99223150000000004</v>
      </c>
      <c r="AB2511">
        <v>29</v>
      </c>
      <c r="AC2511">
        <v>20.8308999999999</v>
      </c>
      <c r="AD2511">
        <v>-1.1249612493409999</v>
      </c>
      <c r="AE2511">
        <v>1.16499999999999</v>
      </c>
      <c r="AF2511">
        <v>-2.6206674172150199</v>
      </c>
      <c r="AG2511">
        <v>-1.1249612493409999</v>
      </c>
      <c r="AH2511">
        <v>20.6372392063932</v>
      </c>
      <c r="AI2511">
        <v>93.095366373564303</v>
      </c>
      <c r="AJ2511">
        <v>97.237101299075604</v>
      </c>
      <c r="AK2511">
        <v>20.833364528708799</v>
      </c>
      <c r="AL2511">
        <v>78.086900684221206</v>
      </c>
      <c r="AM2511">
        <v>91.695434177028602</v>
      </c>
      <c r="AN2511">
        <v>1.00000003494304</v>
      </c>
    </row>
    <row r="2512" spans="1:40" x14ac:dyDescent="0.25">
      <c r="A2512" t="str">
        <f>"20190303171025658"</f>
        <v>20190303171025658</v>
      </c>
      <c r="B2512" t="str">
        <f>"1551604225653050"</f>
        <v>1551604225653050</v>
      </c>
      <c r="C2512" t="s">
        <v>40</v>
      </c>
      <c r="D2512">
        <v>5.2276790000000002</v>
      </c>
      <c r="E2512">
        <v>0.4666382</v>
      </c>
      <c r="F2512" t="s">
        <v>53</v>
      </c>
      <c r="G2512">
        <v>-446.71839999999997</v>
      </c>
      <c r="H2512" s="1">
        <v>1.9473660000000001E-6</v>
      </c>
      <c r="I2512">
        <v>216.69900000000001</v>
      </c>
      <c r="J2512">
        <v>-468.75130000000001</v>
      </c>
      <c r="K2512">
        <v>1.1245700000000001</v>
      </c>
      <c r="L2512">
        <v>215.3759</v>
      </c>
      <c r="M2512">
        <v>0.9976817</v>
      </c>
      <c r="N2512">
        <v>-1.3900590000000001E-2</v>
      </c>
      <c r="O2512">
        <v>-6.6620250000000006E-2</v>
      </c>
      <c r="P2512">
        <v>0.98032719999999995</v>
      </c>
      <c r="Q2512">
        <v>0.1936445</v>
      </c>
      <c r="R2512">
        <v>-3.8220499999999998E-2</v>
      </c>
      <c r="S2512">
        <v>3.098846</v>
      </c>
      <c r="T2512">
        <v>-0.15612509999999999</v>
      </c>
      <c r="U2512">
        <v>0.18133540000000001</v>
      </c>
      <c r="V2512">
        <v>-2.880891E-2</v>
      </c>
      <c r="W2512">
        <v>0.2070381</v>
      </c>
      <c r="X2512">
        <v>0.97790860000000002</v>
      </c>
      <c r="Y2512">
        <v>-0.124555</v>
      </c>
      <c r="Z2512">
        <v>6.4264190000000001E-3</v>
      </c>
      <c r="AA2512">
        <v>0.99219190000000002</v>
      </c>
      <c r="AB2512">
        <v>29</v>
      </c>
      <c r="AC2512">
        <v>22.032900000000001</v>
      </c>
      <c r="AD2512">
        <v>-1.1245680526340001</v>
      </c>
      <c r="AE2512">
        <v>1.3231000000000099</v>
      </c>
      <c r="AF2512">
        <v>-2.78092037986973</v>
      </c>
      <c r="AG2512">
        <v>-1.1245680526340001</v>
      </c>
      <c r="AH2512">
        <v>21.839099466157599</v>
      </c>
      <c r="AI2512">
        <v>92.924176747796906</v>
      </c>
      <c r="AJ2512">
        <v>97.256805456201505</v>
      </c>
      <c r="AK2512">
        <v>22.0441474536192</v>
      </c>
      <c r="AL2512">
        <v>78.051166178802504</v>
      </c>
      <c r="AM2512">
        <v>91.687429367867907</v>
      </c>
      <c r="AN2512">
        <v>0.99999997905047799</v>
      </c>
    </row>
    <row r="2513" spans="1:40" x14ac:dyDescent="0.25">
      <c r="A2513" t="str">
        <f>"20190303171025678"</f>
        <v>20190303171025678</v>
      </c>
      <c r="B2513" t="str">
        <f>"1551604225673546"</f>
        <v>1551604225673546</v>
      </c>
      <c r="C2513" t="s">
        <v>40</v>
      </c>
      <c r="D2513">
        <v>5.2075069999999997</v>
      </c>
      <c r="E2513">
        <v>0.4671865</v>
      </c>
      <c r="F2513" t="s">
        <v>53</v>
      </c>
      <c r="G2513">
        <v>-446.46730000000002</v>
      </c>
      <c r="H2513" s="1">
        <v>1.815137E-6</v>
      </c>
      <c r="I2513">
        <v>216.6679</v>
      </c>
      <c r="J2513">
        <v>-468.49599999999998</v>
      </c>
      <c r="K2513">
        <v>1.124207</v>
      </c>
      <c r="L2513">
        <v>215.3621</v>
      </c>
      <c r="M2513">
        <v>0.99786660000000005</v>
      </c>
      <c r="N2513">
        <v>-1.3866969999999999E-2</v>
      </c>
      <c r="O2513">
        <v>-6.3799880000000003E-2</v>
      </c>
      <c r="P2513">
        <v>0.98063210000000001</v>
      </c>
      <c r="Q2513">
        <v>0.19274269999999999</v>
      </c>
      <c r="R2513">
        <v>-3.4805669999999997E-2</v>
      </c>
      <c r="S2513">
        <v>3.0980829999999999</v>
      </c>
      <c r="T2513">
        <v>-0.15634619999999999</v>
      </c>
      <c r="U2513">
        <v>0.17962649999999999</v>
      </c>
      <c r="V2513">
        <v>-2.9274439999999999E-2</v>
      </c>
      <c r="W2513">
        <v>0.20612639999999999</v>
      </c>
      <c r="X2513">
        <v>0.97808740000000005</v>
      </c>
      <c r="Y2513">
        <v>-0.1212249</v>
      </c>
      <c r="Z2513">
        <v>6.2274139999999997E-3</v>
      </c>
      <c r="AA2513">
        <v>0.99260550000000003</v>
      </c>
      <c r="AB2513">
        <v>29</v>
      </c>
      <c r="AC2513">
        <v>22.028699999999901</v>
      </c>
      <c r="AD2513">
        <v>-1.1242051848629999</v>
      </c>
      <c r="AE2513">
        <v>1.3058000000000001</v>
      </c>
      <c r="AF2513">
        <v>-2.7016906937060501</v>
      </c>
      <c r="AG2513">
        <v>-1.1242051848629999</v>
      </c>
      <c r="AH2513">
        <v>21.843803156893699</v>
      </c>
      <c r="AI2513">
        <v>92.923924201308495</v>
      </c>
      <c r="AJ2513">
        <v>97.050664304493594</v>
      </c>
      <c r="AK2513">
        <v>22.038936141729899</v>
      </c>
      <c r="AL2513">
        <v>78.104554908609401</v>
      </c>
      <c r="AM2513">
        <v>91.714367523644796</v>
      </c>
      <c r="AN2513">
        <v>1.0000000238265101</v>
      </c>
    </row>
    <row r="2514" spans="1:40" x14ac:dyDescent="0.25">
      <c r="A2514" t="str">
        <f>"20190303171025724"</f>
        <v>20190303171025724</v>
      </c>
      <c r="B2514" t="str">
        <f>"1551604225713561"</f>
        <v>1551604225713561</v>
      </c>
      <c r="C2514" t="s">
        <v>40</v>
      </c>
      <c r="D2514">
        <v>5.2257400000000001</v>
      </c>
      <c r="E2514">
        <v>0.46902759999999999</v>
      </c>
      <c r="F2514" t="s">
        <v>53</v>
      </c>
      <c r="G2514">
        <v>-446.70850000000002</v>
      </c>
      <c r="H2514" s="1">
        <v>1.943956E-6</v>
      </c>
      <c r="I2514">
        <v>216.65649999999999</v>
      </c>
      <c r="J2514">
        <v>-467.90300000000002</v>
      </c>
      <c r="K2514">
        <v>1.1234850000000001</v>
      </c>
      <c r="L2514">
        <v>215.33150000000001</v>
      </c>
      <c r="M2514">
        <v>0.99818830000000003</v>
      </c>
      <c r="N2514">
        <v>-1.379726E-2</v>
      </c>
      <c r="O2514">
        <v>-5.8566109999999998E-2</v>
      </c>
      <c r="P2514">
        <v>0.98095529999999997</v>
      </c>
      <c r="Q2514">
        <v>0.19146379999999999</v>
      </c>
      <c r="R2514">
        <v>-3.2689559999999999E-2</v>
      </c>
      <c r="S2514">
        <v>3.0971980000000001</v>
      </c>
      <c r="T2514">
        <v>-0.15981129999999999</v>
      </c>
      <c r="U2514">
        <v>0.18400569999999999</v>
      </c>
      <c r="V2514">
        <v>-2.5890239999999998E-2</v>
      </c>
      <c r="W2514">
        <v>0.20485110000000001</v>
      </c>
      <c r="X2514">
        <v>0.97845070000000001</v>
      </c>
      <c r="Y2514">
        <v>-0.1174333</v>
      </c>
      <c r="Z2514">
        <v>6.0468880000000003E-3</v>
      </c>
      <c r="AA2514">
        <v>0.99306240000000001</v>
      </c>
      <c r="AB2514">
        <v>29</v>
      </c>
      <c r="AC2514">
        <v>21.194500000000001</v>
      </c>
      <c r="AD2514">
        <v>-1.1234830560439999</v>
      </c>
      <c r="AE2514">
        <v>1.32499999999998</v>
      </c>
      <c r="AF2514">
        <v>-2.55696590491582</v>
      </c>
      <c r="AG2514">
        <v>-1.1234830560439999</v>
      </c>
      <c r="AH2514">
        <v>21.0216676646845</v>
      </c>
      <c r="AI2514">
        <v>93.036867664496398</v>
      </c>
      <c r="AJ2514">
        <v>96.935091785471201</v>
      </c>
      <c r="AK2514">
        <v>21.206385835888199</v>
      </c>
      <c r="AL2514">
        <v>78.179217574472901</v>
      </c>
      <c r="AM2514">
        <v>91.515718088036294</v>
      </c>
      <c r="AN2514">
        <v>1.0000000250144701</v>
      </c>
    </row>
    <row r="2515" spans="1:40" x14ac:dyDescent="0.25">
      <c r="A2515" t="str">
        <f>"20190303171025750"</f>
        <v>20190303171025750</v>
      </c>
      <c r="B2515" t="str">
        <f>"1551604225733082"</f>
        <v>1551604225733082</v>
      </c>
      <c r="C2515" t="s">
        <v>40</v>
      </c>
      <c r="D2515">
        <v>5.302467</v>
      </c>
      <c r="E2515">
        <v>0.46956589999999998</v>
      </c>
      <c r="F2515" t="s">
        <v>53</v>
      </c>
      <c r="G2515">
        <v>-446.51749999999998</v>
      </c>
      <c r="H2515" s="1">
        <v>1.8473620000000001E-6</v>
      </c>
      <c r="I2515">
        <v>216.541</v>
      </c>
      <c r="J2515">
        <v>-467.56009999999998</v>
      </c>
      <c r="K2515">
        <v>1.1230850000000001</v>
      </c>
      <c r="L2515">
        <v>215.3142</v>
      </c>
      <c r="M2515">
        <v>0.99831400000000003</v>
      </c>
      <c r="N2515">
        <v>-1.376082E-2</v>
      </c>
      <c r="O2515">
        <v>-5.6391950000000003E-2</v>
      </c>
      <c r="P2515">
        <v>0.98084000000000005</v>
      </c>
      <c r="Q2515">
        <v>0.19233249999999999</v>
      </c>
      <c r="R2515">
        <v>-3.100845E-2</v>
      </c>
      <c r="S2515">
        <v>3.095825</v>
      </c>
      <c r="T2515">
        <v>-0.16263849999999999</v>
      </c>
      <c r="U2515">
        <v>0.17509459999999999</v>
      </c>
      <c r="V2515">
        <v>-2.5226350000000002E-2</v>
      </c>
      <c r="W2515">
        <v>0.20570930000000001</v>
      </c>
      <c r="X2515">
        <v>0.97828789999999999</v>
      </c>
      <c r="Y2515">
        <v>-0.1124479</v>
      </c>
      <c r="Z2515">
        <v>5.9074560000000002E-3</v>
      </c>
      <c r="AA2515">
        <v>0.99364010000000003</v>
      </c>
      <c r="AB2515">
        <v>29</v>
      </c>
      <c r="AC2515">
        <v>21.0426</v>
      </c>
      <c r="AD2515">
        <v>-1.1230831526379901</v>
      </c>
      <c r="AE2515">
        <v>1.2267999999999899</v>
      </c>
      <c r="AF2515">
        <v>-2.4047659854475598</v>
      </c>
      <c r="AG2515">
        <v>-1.1230831526379901</v>
      </c>
      <c r="AH2515">
        <v>20.880642322047901</v>
      </c>
      <c r="AI2515">
        <v>93.058557801840195</v>
      </c>
      <c r="AJ2515">
        <v>96.569653405063505</v>
      </c>
      <c r="AK2515">
        <v>21.048644588044201</v>
      </c>
      <c r="AL2515">
        <v>78.128975458428002</v>
      </c>
      <c r="AM2515">
        <v>91.477114416365097</v>
      </c>
      <c r="AN2515">
        <v>0.99999995006360998</v>
      </c>
    </row>
    <row r="2516" spans="1:40" x14ac:dyDescent="0.25">
      <c r="A2516" t="str">
        <f>"20190303171025771"</f>
        <v>20190303171025771</v>
      </c>
      <c r="B2516" t="str">
        <f>"1551604225763337"</f>
        <v>1551604225763337</v>
      </c>
      <c r="C2516" t="s">
        <v>40</v>
      </c>
      <c r="D2516">
        <v>5.0552239999999999</v>
      </c>
      <c r="E2516">
        <v>0.47066849999999999</v>
      </c>
      <c r="F2516" t="s">
        <v>53</v>
      </c>
      <c r="G2516">
        <v>-445.90769999999998</v>
      </c>
      <c r="H2516" s="1">
        <v>1.523228E-6</v>
      </c>
      <c r="I2516">
        <v>216.53319999999999</v>
      </c>
      <c r="J2516">
        <v>-467.2878</v>
      </c>
      <c r="K2516">
        <v>1.122741</v>
      </c>
      <c r="L2516">
        <v>215.3006</v>
      </c>
      <c r="M2516">
        <v>0.9983841</v>
      </c>
      <c r="N2516">
        <v>-1.373451E-2</v>
      </c>
      <c r="O2516">
        <v>-5.5142549999999999E-2</v>
      </c>
      <c r="P2516">
        <v>0.9808152</v>
      </c>
      <c r="Q2516">
        <v>0.19262940000000001</v>
      </c>
      <c r="R2516">
        <v>-2.9933330000000001E-2</v>
      </c>
      <c r="S2516">
        <v>3.0955810000000001</v>
      </c>
      <c r="T2516">
        <v>-0.1605647</v>
      </c>
      <c r="U2516">
        <v>0.1742706</v>
      </c>
      <c r="V2516">
        <v>-2.4895440000000001E-2</v>
      </c>
      <c r="W2516">
        <v>0.20600189999999999</v>
      </c>
      <c r="X2516">
        <v>0.97823490000000002</v>
      </c>
      <c r="Y2516">
        <v>-0.110954399999999</v>
      </c>
      <c r="Z2516">
        <v>5.7361950000000004E-3</v>
      </c>
      <c r="AA2516">
        <v>0.9938089</v>
      </c>
      <c r="AB2516">
        <v>29</v>
      </c>
      <c r="AC2516">
        <v>21.380099999999999</v>
      </c>
      <c r="AD2516">
        <v>-1.122739476772</v>
      </c>
      <c r="AE2516">
        <v>1.2325999999999899</v>
      </c>
      <c r="AF2516">
        <v>-2.40318341831613</v>
      </c>
      <c r="AG2516">
        <v>-1.122739476772</v>
      </c>
      <c r="AH2516">
        <v>21.221261891284101</v>
      </c>
      <c r="AI2516">
        <v>93.009288177504104</v>
      </c>
      <c r="AJ2516">
        <v>96.460886096934999</v>
      </c>
      <c r="AK2516">
        <v>21.386392653583201</v>
      </c>
      <c r="AL2516">
        <v>78.111844909713099</v>
      </c>
      <c r="AM2516">
        <v>91.457825533302994</v>
      </c>
      <c r="AN2516">
        <v>1.0000000426572</v>
      </c>
    </row>
    <row r="2517" spans="1:40" x14ac:dyDescent="0.25">
      <c r="A2517" t="str">
        <f>"20190303171025791"</f>
        <v>20190303171025791</v>
      </c>
      <c r="B2517" t="str">
        <f>"1551604225782858"</f>
        <v>1551604225782858</v>
      </c>
      <c r="C2517" t="s">
        <v>40</v>
      </c>
      <c r="D2517">
        <v>5.0369799999999998</v>
      </c>
      <c r="E2517">
        <v>0.471638</v>
      </c>
      <c r="F2517" t="s">
        <v>53</v>
      </c>
      <c r="G2517">
        <v>-445.55419999999998</v>
      </c>
      <c r="H2517" s="1">
        <v>1.337641E-6</v>
      </c>
      <c r="I2517">
        <v>216.47460000000001</v>
      </c>
      <c r="J2517">
        <v>-467.02550000000002</v>
      </c>
      <c r="K2517">
        <v>1.122377</v>
      </c>
      <c r="L2517">
        <v>215.28739999999999</v>
      </c>
      <c r="M2517">
        <v>0.99842779999999998</v>
      </c>
      <c r="N2517">
        <v>-1.371212E-2</v>
      </c>
      <c r="O2517">
        <v>-5.4352350000000001E-2</v>
      </c>
      <c r="P2517">
        <v>0.98080970000000001</v>
      </c>
      <c r="Q2517">
        <v>0.19258239999999999</v>
      </c>
      <c r="R2517">
        <v>-3.0410329999999999E-2</v>
      </c>
      <c r="S2517">
        <v>3.0951840000000002</v>
      </c>
      <c r="T2517">
        <v>-0.15989410000000001</v>
      </c>
      <c r="U2517">
        <v>0.16719059999999999</v>
      </c>
      <c r="V2517">
        <v>-2.3457539999999999E-2</v>
      </c>
      <c r="W2517">
        <v>0.20595849999999999</v>
      </c>
      <c r="X2517">
        <v>0.97827949999999997</v>
      </c>
      <c r="Y2517">
        <v>-0.1079155</v>
      </c>
      <c r="Z2517">
        <v>5.5840459999999996E-3</v>
      </c>
      <c r="AA2517">
        <v>0.99414440000000004</v>
      </c>
      <c r="AB2517">
        <v>29</v>
      </c>
      <c r="AC2517">
        <v>21.471299999999999</v>
      </c>
      <c r="AD2517">
        <v>-1.122375662359</v>
      </c>
      <c r="AE2517">
        <v>1.18720000000001</v>
      </c>
      <c r="AF2517">
        <v>-2.3461785674504401</v>
      </c>
      <c r="AG2517">
        <v>-1.122375662359</v>
      </c>
      <c r="AH2517">
        <v>21.316951406497399</v>
      </c>
      <c r="AI2517">
        <v>92.9958848026032</v>
      </c>
      <c r="AJ2517">
        <v>96.2807877848918</v>
      </c>
      <c r="AK2517">
        <v>21.4750249886884</v>
      </c>
      <c r="AL2517">
        <v>78.114385161955894</v>
      </c>
      <c r="AM2517">
        <v>91.3735957282355</v>
      </c>
      <c r="AN2517">
        <v>0.99999997001267504</v>
      </c>
    </row>
    <row r="2518" spans="1:40" x14ac:dyDescent="0.25">
      <c r="A2518" t="str">
        <f>"20190303171025813"</f>
        <v>20190303171025813</v>
      </c>
      <c r="B2518" t="str">
        <f>"1551604225803354"</f>
        <v>1551604225803354</v>
      </c>
      <c r="C2518" t="s">
        <v>40</v>
      </c>
      <c r="D2518">
        <v>5.1181260000000002</v>
      </c>
      <c r="E2518">
        <v>0.47252070000000002</v>
      </c>
      <c r="F2518" t="s">
        <v>53</v>
      </c>
      <c r="G2518">
        <v>-445.4</v>
      </c>
      <c r="H2518" s="1">
        <v>1.2591200000000001E-6</v>
      </c>
      <c r="I2518">
        <v>216.3937</v>
      </c>
      <c r="J2518">
        <v>-466.75130000000001</v>
      </c>
      <c r="K2518">
        <v>1.121974</v>
      </c>
      <c r="L2518">
        <v>215.27330000000001</v>
      </c>
      <c r="M2518">
        <v>0.99844929999999998</v>
      </c>
      <c r="N2518">
        <v>-1.369212E-2</v>
      </c>
      <c r="O2518">
        <v>-5.3961460000000003E-2</v>
      </c>
      <c r="P2518">
        <v>0.98093799999999998</v>
      </c>
      <c r="Q2518">
        <v>0.19193489999999999</v>
      </c>
      <c r="R2518">
        <v>-3.0363399999999999E-2</v>
      </c>
      <c r="S2518">
        <v>3.0951230000000001</v>
      </c>
      <c r="T2518">
        <v>-0.1606388</v>
      </c>
      <c r="U2518">
        <v>0.1583405</v>
      </c>
      <c r="V2518">
        <v>-2.292425E-2</v>
      </c>
      <c r="W2518">
        <v>0.20531679999999999</v>
      </c>
      <c r="X2518">
        <v>0.97842709999999999</v>
      </c>
      <c r="Y2518">
        <v>-0.1046957</v>
      </c>
      <c r="Z2518">
        <v>5.4899719999999897E-3</v>
      </c>
      <c r="AA2518">
        <v>0.99448910000000001</v>
      </c>
      <c r="AB2518">
        <v>29</v>
      </c>
      <c r="AC2518">
        <v>21.351299999999998</v>
      </c>
      <c r="AD2518">
        <v>-1.12197274088</v>
      </c>
      <c r="AE2518">
        <v>1.1203999999999801</v>
      </c>
      <c r="AF2518">
        <v>-2.2647858302171602</v>
      </c>
      <c r="AG2518">
        <v>-1.12197274088</v>
      </c>
      <c r="AH2518">
        <v>21.201338841279899</v>
      </c>
      <c r="AI2518">
        <v>93.012155790358307</v>
      </c>
      <c r="AJ2518">
        <v>96.097371685717405</v>
      </c>
      <c r="AK2518">
        <v>21.3514600519682</v>
      </c>
      <c r="AL2518">
        <v>78.151955755338307</v>
      </c>
      <c r="AM2518">
        <v>91.342177164287406</v>
      </c>
      <c r="AN2518">
        <v>1.00000004980735</v>
      </c>
    </row>
    <row r="2519" spans="1:40" x14ac:dyDescent="0.25">
      <c r="A2519" t="str">
        <f>"20190303171025835"</f>
        <v>20190303171025835</v>
      </c>
      <c r="B2519" t="str">
        <f>"1551604225822875"</f>
        <v>1551604225822875</v>
      </c>
      <c r="C2519" t="s">
        <v>40</v>
      </c>
      <c r="D2519">
        <v>5.135332</v>
      </c>
      <c r="E2519">
        <v>0.47308790000000001</v>
      </c>
      <c r="F2519" t="s">
        <v>53</v>
      </c>
      <c r="G2519">
        <v>-445.40019999999998</v>
      </c>
      <c r="H2519" s="1">
        <v>1.262293E-6</v>
      </c>
      <c r="I2519">
        <v>216.3235</v>
      </c>
      <c r="J2519">
        <v>-466.4522</v>
      </c>
      <c r="K2519">
        <v>1.1215349999999999</v>
      </c>
      <c r="L2519">
        <v>215.25739999999999</v>
      </c>
      <c r="M2519">
        <v>0.99844520000000003</v>
      </c>
      <c r="N2519">
        <v>-1.367378E-2</v>
      </c>
      <c r="O2519">
        <v>-5.4041329999999999E-2</v>
      </c>
      <c r="P2519">
        <v>0.98117410000000005</v>
      </c>
      <c r="Q2519">
        <v>0.19087770000000001</v>
      </c>
      <c r="R2519">
        <v>-2.938762E-2</v>
      </c>
      <c r="S2519">
        <v>3.0948790000000002</v>
      </c>
      <c r="T2519">
        <v>-0.1626319</v>
      </c>
      <c r="U2519">
        <v>0.15223689999999901</v>
      </c>
      <c r="V2519">
        <v>-2.3769350000000002E-2</v>
      </c>
      <c r="W2519">
        <v>0.20426849999999999</v>
      </c>
      <c r="X2519">
        <v>0.97862629999999995</v>
      </c>
      <c r="Y2519">
        <v>-0.1028206</v>
      </c>
      <c r="Z2519">
        <v>5.499945E-3</v>
      </c>
      <c r="AA2519">
        <v>0.99468469999999998</v>
      </c>
      <c r="AB2519">
        <v>29</v>
      </c>
      <c r="AC2519">
        <v>21.052</v>
      </c>
      <c r="AD2519">
        <v>-1.1215337377069901</v>
      </c>
      <c r="AE2519">
        <v>1.0661</v>
      </c>
      <c r="AF2519">
        <v>-2.1961091415754401</v>
      </c>
      <c r="AG2519">
        <v>-1.1215337377069901</v>
      </c>
      <c r="AH2519">
        <v>20.904433603580301</v>
      </c>
      <c r="AI2519">
        <v>93.054228480372601</v>
      </c>
      <c r="AJ2519">
        <v>95.997193215583906</v>
      </c>
      <c r="AK2519">
        <v>21.0493723795515</v>
      </c>
      <c r="AL2519">
        <v>78.213319129025606</v>
      </c>
      <c r="AM2519">
        <v>91.391354111368898</v>
      </c>
      <c r="AN2519">
        <v>1.00000001857168</v>
      </c>
    </row>
    <row r="2520" spans="1:40" x14ac:dyDescent="0.25">
      <c r="A2520" t="str">
        <f>"20190303171025858"</f>
        <v>20190303171025858</v>
      </c>
      <c r="B2520" t="str">
        <f>"1551604225853131"</f>
        <v>1551604225853131</v>
      </c>
      <c r="C2520" t="s">
        <v>40</v>
      </c>
      <c r="D2520">
        <v>4.9841179999999996</v>
      </c>
      <c r="E2520">
        <v>0.47421380000000002</v>
      </c>
      <c r="F2520" t="s">
        <v>53</v>
      </c>
      <c r="G2520">
        <v>-445.54349999999999</v>
      </c>
      <c r="H2520" s="1">
        <v>1.3405600000000001E-6</v>
      </c>
      <c r="I2520">
        <v>216.2775</v>
      </c>
      <c r="J2520">
        <v>-466.17160000000001</v>
      </c>
      <c r="K2520">
        <v>1.1211329999999999</v>
      </c>
      <c r="L2520">
        <v>215.24189999999999</v>
      </c>
      <c r="M2520">
        <v>0.99841230000000003</v>
      </c>
      <c r="N2520">
        <v>-1.3659559999999999E-2</v>
      </c>
      <c r="O2520">
        <v>-5.4645680000000002E-2</v>
      </c>
      <c r="P2520">
        <v>0.98133800000000004</v>
      </c>
      <c r="Q2520">
        <v>0.19012299999999999</v>
      </c>
      <c r="R2520">
        <v>-2.8791420000000002E-2</v>
      </c>
      <c r="S2520">
        <v>3.09436</v>
      </c>
      <c r="T2520">
        <v>-0.16597990000000001</v>
      </c>
      <c r="U2520">
        <v>0.15095520000000001</v>
      </c>
      <c r="V2520">
        <v>-2.4770480000000001E-2</v>
      </c>
      <c r="W2520">
        <v>0.20352490000000001</v>
      </c>
      <c r="X2520">
        <v>0.97875639999999997</v>
      </c>
      <c r="Y2520">
        <v>-0.10301</v>
      </c>
      <c r="Z2520">
        <v>5.6452430000000003E-3</v>
      </c>
      <c r="AA2520">
        <v>0.99466429999999995</v>
      </c>
      <c r="AB2520">
        <v>29</v>
      </c>
      <c r="AC2520">
        <v>20.6281</v>
      </c>
      <c r="AD2520">
        <v>-1.12113165943999</v>
      </c>
      <c r="AE2520">
        <v>1.0356000000000101</v>
      </c>
      <c r="AF2520">
        <v>-2.1550443693232602</v>
      </c>
      <c r="AG2520">
        <v>-1.12113165943999</v>
      </c>
      <c r="AH2520">
        <v>20.480330940060099</v>
      </c>
      <c r="AI2520">
        <v>93.116180871125906</v>
      </c>
      <c r="AJ2520">
        <v>96.006847900039801</v>
      </c>
      <c r="AK2520">
        <v>20.6238965243219</v>
      </c>
      <c r="AL2520">
        <v>78.256838597660803</v>
      </c>
      <c r="AM2520">
        <v>91.449738737836398</v>
      </c>
      <c r="AN2520">
        <v>1.00000002607019</v>
      </c>
    </row>
    <row r="2521" spans="1:40" x14ac:dyDescent="0.25">
      <c r="A2521" t="str">
        <f>"20190303171025879"</f>
        <v>20190303171025879</v>
      </c>
      <c r="B2521" t="str">
        <f>"1551604225873626"</f>
        <v>1551604225873626</v>
      </c>
      <c r="C2521" t="s">
        <v>40</v>
      </c>
      <c r="D2521">
        <v>5.2690570000000001</v>
      </c>
      <c r="E2521">
        <v>0.52218900000000001</v>
      </c>
      <c r="F2521" t="s">
        <v>53</v>
      </c>
      <c r="G2521">
        <v>-445.767</v>
      </c>
      <c r="H2521" s="1">
        <v>1.4637320000000001E-6</v>
      </c>
      <c r="I2521">
        <v>216.18039999999999</v>
      </c>
      <c r="J2521">
        <v>-465.88869999999997</v>
      </c>
      <c r="K2521">
        <v>1.1207640000000001</v>
      </c>
      <c r="L2521">
        <v>215.22559999999999</v>
      </c>
      <c r="M2521">
        <v>0.99835209999999996</v>
      </c>
      <c r="N2521">
        <v>-1.364858E-2</v>
      </c>
      <c r="O2521">
        <v>-5.5738169999999997E-2</v>
      </c>
      <c r="P2521">
        <v>0.98091039999999996</v>
      </c>
      <c r="Q2521">
        <v>0.1922566</v>
      </c>
      <c r="R2521">
        <v>-2.9194680000000001E-2</v>
      </c>
      <c r="S2521">
        <v>3.0941160000000001</v>
      </c>
      <c r="T2521">
        <v>-0.17000599999999999</v>
      </c>
      <c r="U2521">
        <v>0.1423035</v>
      </c>
      <c r="V2521">
        <v>-2.5227989999999999E-2</v>
      </c>
      <c r="W2521">
        <v>0.2056654</v>
      </c>
      <c r="X2521">
        <v>0.97829710000000003</v>
      </c>
      <c r="Y2521">
        <v>-0.1013182</v>
      </c>
      <c r="Z2521">
        <v>5.7707649999999997E-3</v>
      </c>
      <c r="AA2521">
        <v>0.99483730000000004</v>
      </c>
      <c r="AB2521">
        <v>29</v>
      </c>
      <c r="AC2521">
        <v>20.121699999999901</v>
      </c>
      <c r="AD2521">
        <v>-1.1207625362679901</v>
      </c>
      <c r="AE2521">
        <v>0.95480000000000598</v>
      </c>
      <c r="AF2521">
        <v>-2.06856355946841</v>
      </c>
      <c r="AG2521">
        <v>-1.1207625362679901</v>
      </c>
      <c r="AH2521">
        <v>19.9753572694075</v>
      </c>
      <c r="AI2521">
        <v>93.194295986220098</v>
      </c>
      <c r="AJ2521">
        <v>95.9122349546913</v>
      </c>
      <c r="AK2521">
        <v>20.113427403173599</v>
      </c>
      <c r="AL2521">
        <v>78.131545845188299</v>
      </c>
      <c r="AM2521">
        <v>91.477196517400401</v>
      </c>
      <c r="AN2521">
        <v>0.99999996205250397</v>
      </c>
    </row>
    <row r="2522" spans="1:40" x14ac:dyDescent="0.25">
      <c r="A2522" t="str">
        <f>"20190303171025901"</f>
        <v>20190303171025901</v>
      </c>
      <c r="B2522" t="str">
        <f>"1551604225893146"</f>
        <v>1551604225893146</v>
      </c>
      <c r="C2522" t="s">
        <v>40</v>
      </c>
      <c r="D2522">
        <v>5.0230199999999998</v>
      </c>
      <c r="E2522">
        <v>0.52597450000000001</v>
      </c>
      <c r="F2522" t="s">
        <v>50</v>
      </c>
      <c r="G2522">
        <v>-168.4162</v>
      </c>
      <c r="H2522">
        <v>1.8373809999999999</v>
      </c>
      <c r="I2522">
        <v>191.0076</v>
      </c>
      <c r="J2522">
        <v>-465.59230000000002</v>
      </c>
      <c r="K2522">
        <v>1.120444</v>
      </c>
      <c r="L2522">
        <v>215.20769999999999</v>
      </c>
      <c r="M2522">
        <v>0.99826530000000002</v>
      </c>
      <c r="N2522">
        <v>-1.3638870000000001E-2</v>
      </c>
      <c r="O2522">
        <v>-5.7275550000000001E-2</v>
      </c>
      <c r="P2522">
        <v>0.98048400000000002</v>
      </c>
      <c r="Q2522">
        <v>0.19400049999999999</v>
      </c>
      <c r="R2522">
        <v>-3.1858150000000002E-2</v>
      </c>
      <c r="S2522">
        <v>3.0495909999999999</v>
      </c>
      <c r="T2522">
        <v>7.3468689999999998E-3</v>
      </c>
      <c r="U2522">
        <v>-0.24827579999999999</v>
      </c>
      <c r="V2522">
        <v>-2.3882460000000001E-2</v>
      </c>
      <c r="W2522">
        <v>0.20741309999999999</v>
      </c>
      <c r="X2522">
        <v>0.97796190000000005</v>
      </c>
      <c r="Y2522">
        <v>2.3926780000000002E-2</v>
      </c>
      <c r="Z2522">
        <v>-1.0529770000000001E-3</v>
      </c>
      <c r="AA2522">
        <v>0.99971319999999997</v>
      </c>
      <c r="AB2522">
        <v>29</v>
      </c>
      <c r="AC2522">
        <v>297.17610000000002</v>
      </c>
      <c r="AD2522">
        <v>0.71693700000000005</v>
      </c>
      <c r="AE2522">
        <v>-24.2000999999999</v>
      </c>
      <c r="AF2522">
        <v>7.13781774531809</v>
      </c>
      <c r="AG2522">
        <v>0.71693700000000005</v>
      </c>
      <c r="AH2522">
        <v>298.072646884356</v>
      </c>
      <c r="AI2522">
        <v>89.862229517102804</v>
      </c>
      <c r="AJ2522">
        <v>88.628224728129496</v>
      </c>
      <c r="AK2522">
        <v>298.15895972026902</v>
      </c>
      <c r="AL2522">
        <v>78.029204042000799</v>
      </c>
      <c r="AM2522">
        <v>91.398921822552893</v>
      </c>
      <c r="AN2522">
        <v>1.00000002189943</v>
      </c>
    </row>
    <row r="2523" spans="1:40" x14ac:dyDescent="0.25">
      <c r="A2523" t="str">
        <f>"20190303171025925"</f>
        <v>20190303171025925</v>
      </c>
      <c r="B2523" t="str">
        <f>"1551604225913642"</f>
        <v>1551604225913642</v>
      </c>
      <c r="C2523" t="s">
        <v>40</v>
      </c>
      <c r="D2523">
        <v>4.9915180000000001</v>
      </c>
      <c r="E2523">
        <v>0.52765669999999898</v>
      </c>
      <c r="F2523" t="s">
        <v>53</v>
      </c>
      <c r="G2523">
        <v>-384.5378</v>
      </c>
      <c r="H2523">
        <v>8.0000440000000006E-2</v>
      </c>
      <c r="I2523">
        <v>207.64830000000001</v>
      </c>
      <c r="J2523">
        <v>-465.29539999999997</v>
      </c>
      <c r="K2523">
        <v>1.1201760000000001</v>
      </c>
      <c r="L2523">
        <v>215.18889999999999</v>
      </c>
      <c r="M2523">
        <v>0.99815640000000005</v>
      </c>
      <c r="N2523">
        <v>-1.362937E-2</v>
      </c>
      <c r="O2523">
        <v>-5.9143960000000002E-2</v>
      </c>
      <c r="P2523">
        <v>0.98028649999999995</v>
      </c>
      <c r="Q2523">
        <v>0.19453190000000001</v>
      </c>
      <c r="R2523">
        <v>-3.4581979999999998E-2</v>
      </c>
      <c r="S2523">
        <v>3.0581969999999998</v>
      </c>
      <c r="T2523">
        <v>-3.9256100000000002E-2</v>
      </c>
      <c r="U2523">
        <v>-0.28521729999999901</v>
      </c>
      <c r="V2523">
        <v>-2.2845009999999999E-2</v>
      </c>
      <c r="W2523">
        <v>0.20794770000000001</v>
      </c>
      <c r="X2523">
        <v>0.97787310000000005</v>
      </c>
      <c r="Y2523">
        <v>3.3798090000000003E-2</v>
      </c>
      <c r="Z2523">
        <v>-4.9592859999999996E-4</v>
      </c>
      <c r="AA2523">
        <v>0.9994286</v>
      </c>
      <c r="AB2523">
        <v>29</v>
      </c>
      <c r="AC2523">
        <v>80.757599999999897</v>
      </c>
      <c r="AD2523">
        <v>-1.04017556</v>
      </c>
      <c r="AE2523">
        <v>-7.54059999999998</v>
      </c>
      <c r="AF2523">
        <v>2.75017711066292</v>
      </c>
      <c r="AG2523">
        <v>-1.04017556</v>
      </c>
      <c r="AH2523">
        <v>81.048897187509994</v>
      </c>
      <c r="AI2523">
        <v>90.734866538860999</v>
      </c>
      <c r="AJ2523">
        <v>88.0565669402297</v>
      </c>
      <c r="AK2523">
        <v>81.102214363401998</v>
      </c>
      <c r="AL2523">
        <v>77.997890360354404</v>
      </c>
      <c r="AM2523">
        <v>91.338296969104107</v>
      </c>
      <c r="AN2523">
        <v>0.99999997006039898</v>
      </c>
    </row>
    <row r="2524" spans="1:40" x14ac:dyDescent="0.25">
      <c r="A2524" t="str">
        <f>"20190303171025949"</f>
        <v>20190303171025949</v>
      </c>
      <c r="B2524" t="str">
        <f>"1551604225942922"</f>
        <v>1551604225942922</v>
      </c>
      <c r="C2524" t="s">
        <v>40</v>
      </c>
      <c r="D2524">
        <v>5.0055379999999996</v>
      </c>
      <c r="E2524">
        <v>0.52891069999999996</v>
      </c>
      <c r="F2524" t="s">
        <v>60</v>
      </c>
      <c r="G2524">
        <v>-407.6429</v>
      </c>
      <c r="H2524">
        <v>4.1761480000000002E-3</v>
      </c>
      <c r="I2524">
        <v>209.41380000000001</v>
      </c>
      <c r="J2524">
        <v>-464.98450000000003</v>
      </c>
      <c r="K2524">
        <v>1.119936</v>
      </c>
      <c r="L2524">
        <v>215.16839999999999</v>
      </c>
      <c r="M2524">
        <v>0.99802170000000001</v>
      </c>
      <c r="N2524">
        <v>-1.362026E-2</v>
      </c>
      <c r="O2524">
        <v>-6.1377569999999999E-2</v>
      </c>
      <c r="P2524">
        <v>0.98026080000000004</v>
      </c>
      <c r="Q2524">
        <v>0.1941831</v>
      </c>
      <c r="R2524">
        <v>-3.7171750000000003E-2</v>
      </c>
      <c r="S2524">
        <v>3.0612789999999999</v>
      </c>
      <c r="T2524">
        <v>-5.925822E-2</v>
      </c>
      <c r="U2524">
        <v>-0.30665589999999998</v>
      </c>
      <c r="V2524">
        <v>-2.2334240000000002E-2</v>
      </c>
      <c r="W2524">
        <v>0.20760300000000001</v>
      </c>
      <c r="X2524">
        <v>0.97795810000000005</v>
      </c>
      <c r="Y2524">
        <v>3.8396909999999999E-2</v>
      </c>
      <c r="Z2524">
        <v>-2.842438E-4</v>
      </c>
      <c r="AA2524">
        <v>0.99926250000000005</v>
      </c>
      <c r="AB2524">
        <v>29</v>
      </c>
      <c r="AC2524">
        <v>57.3416</v>
      </c>
      <c r="AD2524">
        <v>-1.1157598520000001</v>
      </c>
      <c r="AE2524">
        <v>-5.7545999999999804</v>
      </c>
      <c r="AF2524">
        <v>2.2231005499861198</v>
      </c>
      <c r="AG2524">
        <v>-1.1157598520000001</v>
      </c>
      <c r="AH2524">
        <v>57.565127419475701</v>
      </c>
      <c r="AI2524">
        <v>91.1095732560904</v>
      </c>
      <c r="AJ2524">
        <v>87.788400399506898</v>
      </c>
      <c r="AK2524">
        <v>57.618842325433498</v>
      </c>
      <c r="AL2524">
        <v>78.018080410888103</v>
      </c>
      <c r="AM2524">
        <v>91.308272091317207</v>
      </c>
      <c r="AN2524">
        <v>0.99999993462049097</v>
      </c>
    </row>
    <row r="2525" spans="1:40" x14ac:dyDescent="0.25">
      <c r="A2525" t="str">
        <f>"20190303171025970"</f>
        <v>20190303171025970</v>
      </c>
      <c r="B2525" t="str">
        <f>"1551604225963419"</f>
        <v>1551604225963419</v>
      </c>
      <c r="C2525" t="s">
        <v>40</v>
      </c>
      <c r="D2525">
        <v>4.97743</v>
      </c>
      <c r="E2525">
        <v>0.52971480000000004</v>
      </c>
      <c r="F2525" t="s">
        <v>60</v>
      </c>
      <c r="G2525">
        <v>-419.81229999999999</v>
      </c>
      <c r="H2525" s="1">
        <v>4.3170420000000002E-6</v>
      </c>
      <c r="I2525">
        <v>210.37540000000001</v>
      </c>
      <c r="J2525">
        <v>-464.71370000000002</v>
      </c>
      <c r="K2525">
        <v>1.1197779999999999</v>
      </c>
      <c r="L2525">
        <v>215.14959999999999</v>
      </c>
      <c r="M2525">
        <v>0.99789000000000005</v>
      </c>
      <c r="N2525">
        <v>-1.361327E-2</v>
      </c>
      <c r="O2525">
        <v>-6.3483540000000005E-2</v>
      </c>
      <c r="P2525">
        <v>0.98007520000000004</v>
      </c>
      <c r="Q2525">
        <v>0.19436970000000001</v>
      </c>
      <c r="R2525">
        <v>-4.0903380000000003E-2</v>
      </c>
      <c r="S2525">
        <v>3.0631409999999999</v>
      </c>
      <c r="T2525">
        <v>-7.5942869999999996E-2</v>
      </c>
      <c r="U2525">
        <v>-0.32501219999999997</v>
      </c>
      <c r="V2525">
        <v>-2.0586529999999999E-2</v>
      </c>
      <c r="W2525">
        <v>0.20778440000000001</v>
      </c>
      <c r="X2525">
        <v>0.97795799999999999</v>
      </c>
      <c r="Y2525">
        <v>4.2148060000000001E-2</v>
      </c>
      <c r="Z2525">
        <v>-1.0448859999999999E-4</v>
      </c>
      <c r="AA2525">
        <v>0.99911139999999998</v>
      </c>
      <c r="AB2525">
        <v>29</v>
      </c>
      <c r="AC2525">
        <v>44.901400000000002</v>
      </c>
      <c r="AD2525">
        <v>-1.1197736829580001</v>
      </c>
      <c r="AE2525">
        <v>-4.7741999999999702</v>
      </c>
      <c r="AF2525">
        <v>1.9126278004436801</v>
      </c>
      <c r="AG2525">
        <v>-1.1197736829580001</v>
      </c>
      <c r="AH2525">
        <v>45.086196199541803</v>
      </c>
      <c r="AI2525">
        <v>91.421443999759504</v>
      </c>
      <c r="AJ2525">
        <v>87.570878794042301</v>
      </c>
      <c r="AK2525">
        <v>45.140637190315097</v>
      </c>
      <c r="AL2525">
        <v>78.007456130753397</v>
      </c>
      <c r="AM2525">
        <v>91.205928173958995</v>
      </c>
      <c r="AN2525">
        <v>1.0000000059323999</v>
      </c>
    </row>
    <row r="2526" spans="1:40" x14ac:dyDescent="0.25">
      <c r="A2526" t="str">
        <f>"20190303171025991"</f>
        <v>20190303171025991</v>
      </c>
      <c r="B2526" t="str">
        <f>"1551604225982939"</f>
        <v>1551604225982939</v>
      </c>
      <c r="C2526" t="s">
        <v>40</v>
      </c>
      <c r="D2526">
        <v>4.9821429999999998</v>
      </c>
      <c r="E2526">
        <v>0.53028390000000003</v>
      </c>
      <c r="F2526" t="s">
        <v>60</v>
      </c>
      <c r="G2526">
        <v>-421.60500000000002</v>
      </c>
      <c r="H2526" s="1">
        <v>4.0560099999999996E-6</v>
      </c>
      <c r="I2526">
        <v>210.3141</v>
      </c>
      <c r="J2526">
        <v>-464.43729999999999</v>
      </c>
      <c r="K2526">
        <v>1.119669</v>
      </c>
      <c r="L2526">
        <v>215.12979999999999</v>
      </c>
      <c r="M2526">
        <v>0.99774529999999995</v>
      </c>
      <c r="N2526">
        <v>-1.3606439999999999E-2</v>
      </c>
      <c r="O2526">
        <v>-6.5721160000000001E-2</v>
      </c>
      <c r="P2526">
        <v>0.97995690000000002</v>
      </c>
      <c r="Q2526">
        <v>0.19412090000000001</v>
      </c>
      <c r="R2526">
        <v>-4.4743999999999999E-2</v>
      </c>
      <c r="S2526">
        <v>3.0624690000000001</v>
      </c>
      <c r="T2526">
        <v>-7.9549549999999997E-2</v>
      </c>
      <c r="U2526">
        <v>-0.34352110000000002</v>
      </c>
      <c r="V2526">
        <v>-1.8889650000000001E-2</v>
      </c>
      <c r="W2526">
        <v>0.2075293</v>
      </c>
      <c r="X2526">
        <v>0.97804639999999998</v>
      </c>
      <c r="Y2526">
        <v>4.5895100000000001E-2</v>
      </c>
      <c r="Z2526">
        <v>-1.010874E-4</v>
      </c>
      <c r="AA2526">
        <v>0.99894620000000001</v>
      </c>
      <c r="AB2526">
        <v>29</v>
      </c>
      <c r="AC2526">
        <v>42.832299999999897</v>
      </c>
      <c r="AD2526">
        <v>-1.1196649439899999</v>
      </c>
      <c r="AE2526">
        <v>-4.8156999999999899</v>
      </c>
      <c r="AF2526">
        <v>1.9886957512610399</v>
      </c>
      <c r="AG2526">
        <v>-1.1196649439899999</v>
      </c>
      <c r="AH2526">
        <v>43.027168340929599</v>
      </c>
      <c r="AI2526">
        <v>91.4890413957108</v>
      </c>
      <c r="AJ2526">
        <v>87.353698973222393</v>
      </c>
      <c r="AK2526">
        <v>43.087652243033403</v>
      </c>
      <c r="AL2526">
        <v>78.022397856528997</v>
      </c>
      <c r="AM2526">
        <v>91.106453313205805</v>
      </c>
      <c r="AN2526">
        <v>0.99999999489428604</v>
      </c>
    </row>
    <row r="2527" spans="1:40" x14ac:dyDescent="0.25">
      <c r="A2527" t="str">
        <f>"20190303171026013"</f>
        <v>20190303171026013</v>
      </c>
      <c r="B2527" t="str">
        <f>"1551604226003434"</f>
        <v>1551604226003434</v>
      </c>
      <c r="C2527" t="s">
        <v>40</v>
      </c>
      <c r="D2527">
        <v>4.962917</v>
      </c>
      <c r="E2527">
        <v>0.53068669999999996</v>
      </c>
      <c r="F2527" t="s">
        <v>60</v>
      </c>
      <c r="G2527">
        <v>-424.88979999999998</v>
      </c>
      <c r="H2527" s="1">
        <v>3.4567849999999999E-6</v>
      </c>
      <c r="I2527">
        <v>210.5035</v>
      </c>
      <c r="J2527">
        <v>-464.15870000000001</v>
      </c>
      <c r="K2527">
        <v>1.119594</v>
      </c>
      <c r="L2527">
        <v>215.10900000000001</v>
      </c>
      <c r="M2527">
        <v>0.99759120000000001</v>
      </c>
      <c r="N2527">
        <v>-1.3599679999999999E-2</v>
      </c>
      <c r="O2527">
        <v>-6.8021380000000006E-2</v>
      </c>
      <c r="P2527">
        <v>0.97992809999999997</v>
      </c>
      <c r="Q2527">
        <v>0.19344449999999999</v>
      </c>
      <c r="R2527">
        <v>-4.817014E-2</v>
      </c>
      <c r="S2527">
        <v>3.0621640000000001</v>
      </c>
      <c r="T2527">
        <v>-8.6695910000000001E-2</v>
      </c>
      <c r="U2527">
        <v>-0.35821530000000001</v>
      </c>
      <c r="V2527">
        <v>-1.7698350000000002E-2</v>
      </c>
      <c r="W2527">
        <v>0.2068468</v>
      </c>
      <c r="X2527">
        <v>0.97821329999999995</v>
      </c>
      <c r="Y2527">
        <v>4.8331560000000003E-2</v>
      </c>
      <c r="Z2527" s="1">
        <v>-1.904237E-5</v>
      </c>
      <c r="AA2527">
        <v>0.99883129999999998</v>
      </c>
      <c r="AB2527">
        <v>29</v>
      </c>
      <c r="AC2527">
        <v>39.268900000000002</v>
      </c>
      <c r="AD2527">
        <v>-1.119590543215</v>
      </c>
      <c r="AE2527">
        <v>-4.6055000000000001</v>
      </c>
      <c r="AF2527">
        <v>1.9219182524827001</v>
      </c>
      <c r="AG2527">
        <v>-1.119590543215</v>
      </c>
      <c r="AH2527">
        <v>39.459592164414197</v>
      </c>
      <c r="AI2527">
        <v>91.623298977381694</v>
      </c>
      <c r="AJ2527">
        <v>87.211556287319098</v>
      </c>
      <c r="AK2527">
        <v>39.522230029890501</v>
      </c>
      <c r="AL2527">
        <v>78.062370178241906</v>
      </c>
      <c r="AM2527">
        <v>91.036512318804597</v>
      </c>
      <c r="AN2527">
        <v>1.00000004527992</v>
      </c>
    </row>
    <row r="2528" spans="1:40" x14ac:dyDescent="0.25">
      <c r="A2528" t="str">
        <f>"20190303171026037"</f>
        <v>20190303171026037</v>
      </c>
      <c r="B2528" t="str">
        <f>"1551604226022954"</f>
        <v>1551604226022954</v>
      </c>
      <c r="C2528" t="s">
        <v>40</v>
      </c>
      <c r="D2528">
        <v>4.9710320000000001</v>
      </c>
      <c r="E2528">
        <v>0.53107839999999995</v>
      </c>
      <c r="F2528" t="s">
        <v>60</v>
      </c>
      <c r="G2528">
        <v>-427.60480000000001</v>
      </c>
      <c r="H2528" s="1">
        <v>2.9589370000000001E-6</v>
      </c>
      <c r="I2528">
        <v>210.68940000000001</v>
      </c>
      <c r="J2528">
        <v>-463.85669999999999</v>
      </c>
      <c r="K2528">
        <v>1.1195469999999901</v>
      </c>
      <c r="L2528">
        <v>215.08580000000001</v>
      </c>
      <c r="M2528">
        <v>0.997417</v>
      </c>
      <c r="N2528">
        <v>-1.3593020000000001E-2</v>
      </c>
      <c r="O2528">
        <v>-7.0530300000000004E-2</v>
      </c>
      <c r="P2528">
        <v>0.97992500000000005</v>
      </c>
      <c r="Q2528">
        <v>0.1926554</v>
      </c>
      <c r="R2528">
        <v>-5.1291660000000003E-2</v>
      </c>
      <c r="S2528">
        <v>3.061798</v>
      </c>
      <c r="T2528">
        <v>-9.377837E-2</v>
      </c>
      <c r="U2528">
        <v>-0.37019350000000001</v>
      </c>
      <c r="V2528">
        <v>-1.7036579999999999E-2</v>
      </c>
      <c r="W2528">
        <v>0.20605180000000001</v>
      </c>
      <c r="X2528">
        <v>0.97839279999999995</v>
      </c>
      <c r="Y2528">
        <v>4.9683980000000003E-2</v>
      </c>
      <c r="Z2528" s="1">
        <v>9.4528460000000005E-5</v>
      </c>
      <c r="AA2528">
        <v>0.99876500000000001</v>
      </c>
      <c r="AB2528">
        <v>29</v>
      </c>
      <c r="AC2528">
        <v>36.2518999999999</v>
      </c>
      <c r="AD2528">
        <v>-1.11954404106299</v>
      </c>
      <c r="AE2528">
        <v>-4.3963999999999999</v>
      </c>
      <c r="AF2528">
        <v>1.8266388171300101</v>
      </c>
      <c r="AG2528">
        <v>-1.11954404106299</v>
      </c>
      <c r="AH2528">
        <v>36.437463539569499</v>
      </c>
      <c r="AI2528">
        <v>91.757658043758298</v>
      </c>
      <c r="AJ2528">
        <v>87.130119819890396</v>
      </c>
      <c r="AK2528">
        <v>36.500393661241297</v>
      </c>
      <c r="AL2528">
        <v>78.108923018300402</v>
      </c>
      <c r="AM2528">
        <v>90.997580413093999</v>
      </c>
      <c r="AN2528">
        <v>1.0000000302165799</v>
      </c>
    </row>
    <row r="2529" spans="1:40" x14ac:dyDescent="0.25">
      <c r="A2529" t="str">
        <f>"20190303171026058"</f>
        <v>20190303171026058</v>
      </c>
      <c r="B2529" t="str">
        <f>"1551604226053210"</f>
        <v>1551604226053210</v>
      </c>
      <c r="C2529" t="s">
        <v>40</v>
      </c>
      <c r="D2529">
        <v>4.9596269999999896</v>
      </c>
      <c r="E2529">
        <v>0.53157559999999904</v>
      </c>
      <c r="F2529" t="s">
        <v>60</v>
      </c>
      <c r="G2529">
        <v>-428.9932</v>
      </c>
      <c r="H2529" s="1">
        <v>2.7089699999999998E-6</v>
      </c>
      <c r="I2529">
        <v>210.73159999999999</v>
      </c>
      <c r="J2529">
        <v>-463.59219999999999</v>
      </c>
      <c r="K2529">
        <v>1.119524</v>
      </c>
      <c r="L2529">
        <v>215.06469999999999</v>
      </c>
      <c r="M2529">
        <v>0.99725989999999998</v>
      </c>
      <c r="N2529">
        <v>-1.358765E-2</v>
      </c>
      <c r="O2529">
        <v>-7.2720209999999993E-2</v>
      </c>
      <c r="P2529">
        <v>0.97959879999999999</v>
      </c>
      <c r="Q2529">
        <v>0.19331300000000001</v>
      </c>
      <c r="R2529">
        <v>-5.4919399999999903E-2</v>
      </c>
      <c r="S2529">
        <v>3.06073</v>
      </c>
      <c r="T2529">
        <v>-9.8286869999999998E-2</v>
      </c>
      <c r="U2529">
        <v>-0.38226320000000003</v>
      </c>
      <c r="V2529">
        <v>-1.5541950000000001E-2</v>
      </c>
      <c r="W2529">
        <v>0.20669660000000001</v>
      </c>
      <c r="X2529">
        <v>0.97828159999999997</v>
      </c>
      <c r="Y2529">
        <v>5.1410520000000001E-2</v>
      </c>
      <c r="Z2529">
        <v>1.626443E-4</v>
      </c>
      <c r="AA2529">
        <v>0.99867760000000005</v>
      </c>
      <c r="AB2529">
        <v>29</v>
      </c>
      <c r="AC2529">
        <v>34.598999999999897</v>
      </c>
      <c r="AD2529">
        <v>-1.1195212910300001</v>
      </c>
      <c r="AE2529">
        <v>-4.3331</v>
      </c>
      <c r="AF2529">
        <v>1.8034877903309401</v>
      </c>
      <c r="AG2529">
        <v>-1.1195212910300001</v>
      </c>
      <c r="AH2529">
        <v>34.786652656849597</v>
      </c>
      <c r="AI2529">
        <v>91.8408144381537</v>
      </c>
      <c r="AJ2529">
        <v>87.032200564510305</v>
      </c>
      <c r="AK2529">
        <v>34.851357207420797</v>
      </c>
      <c r="AL2529">
        <v>78.071165091860095</v>
      </c>
      <c r="AM2529">
        <v>90.910180906054606</v>
      </c>
      <c r="AN2529">
        <v>0.99999996277995995</v>
      </c>
    </row>
    <row r="2530" spans="1:40" x14ac:dyDescent="0.25">
      <c r="A2530" t="str">
        <f>"20190303171026080"</f>
        <v>20190303171026080</v>
      </c>
      <c r="B2530" t="str">
        <f>"1551604226072730"</f>
        <v>1551604226072730</v>
      </c>
      <c r="C2530" t="s">
        <v>40</v>
      </c>
      <c r="D2530">
        <v>4.9462330000000003</v>
      </c>
      <c r="E2530">
        <v>0.53174429999999995</v>
      </c>
      <c r="F2530" t="s">
        <v>60</v>
      </c>
      <c r="G2530">
        <v>-428.99939999999998</v>
      </c>
      <c r="H2530" s="1">
        <v>2.7208720000000001E-6</v>
      </c>
      <c r="I2530">
        <v>210.58279999999999</v>
      </c>
      <c r="J2530">
        <v>-463.2912</v>
      </c>
      <c r="K2530">
        <v>1.119543</v>
      </c>
      <c r="L2530">
        <v>215.04</v>
      </c>
      <c r="M2530">
        <v>0.99707679999999999</v>
      </c>
      <c r="N2530">
        <v>-1.3582540000000001E-2</v>
      </c>
      <c r="O2530">
        <v>-7.5188939999999996E-2</v>
      </c>
      <c r="P2530">
        <v>0.97896399999999995</v>
      </c>
      <c r="Q2530">
        <v>0.19512289999999999</v>
      </c>
      <c r="R2530">
        <v>-5.9636729999999999E-2</v>
      </c>
      <c r="S2530">
        <v>3.0597530000000002</v>
      </c>
      <c r="T2530">
        <v>-9.9022390000000002E-2</v>
      </c>
      <c r="U2530">
        <v>-0.39642329999999998</v>
      </c>
      <c r="V2530">
        <v>-1.321231E-2</v>
      </c>
      <c r="W2530">
        <v>0.20848630000000001</v>
      </c>
      <c r="X2530">
        <v>0.97793600000000003</v>
      </c>
      <c r="Y2530">
        <v>5.3523969999999997E-2</v>
      </c>
      <c r="Z2530">
        <v>1.7163430000000001E-4</v>
      </c>
      <c r="AA2530">
        <v>0.99856659999999997</v>
      </c>
      <c r="AB2530">
        <v>29</v>
      </c>
      <c r="AC2530">
        <v>34.291800000000002</v>
      </c>
      <c r="AD2530">
        <v>-1.119540279128</v>
      </c>
      <c r="AE2530">
        <v>-4.4572000000000003</v>
      </c>
      <c r="AF2530">
        <v>1.86402496855986</v>
      </c>
      <c r="AG2530">
        <v>-1.119540279128</v>
      </c>
      <c r="AH2530">
        <v>34.493720947145</v>
      </c>
      <c r="AI2530">
        <v>91.856252796718493</v>
      </c>
      <c r="AJ2530">
        <v>86.906770855213594</v>
      </c>
      <c r="AK2530">
        <v>34.562186624973798</v>
      </c>
      <c r="AL2530">
        <v>77.966339229969705</v>
      </c>
      <c r="AM2530">
        <v>90.774042009314897</v>
      </c>
      <c r="AN2530">
        <v>0.99999996125961199</v>
      </c>
    </row>
    <row r="2531" spans="1:40" x14ac:dyDescent="0.25">
      <c r="A2531" t="str">
        <f>"20190303171026102"</f>
        <v>20190303171026102</v>
      </c>
      <c r="B2531" t="str">
        <f>"1551604226093226"</f>
        <v>1551604226093226</v>
      </c>
      <c r="C2531" t="s">
        <v>40</v>
      </c>
      <c r="D2531">
        <v>4.9449589999999999</v>
      </c>
      <c r="E2531">
        <v>0.53182719999999895</v>
      </c>
      <c r="F2531" t="s">
        <v>60</v>
      </c>
      <c r="G2531">
        <v>-427.63139999999999</v>
      </c>
      <c r="H2531" s="1">
        <v>2.9914790000000001E-6</v>
      </c>
      <c r="I2531">
        <v>210.26310000000001</v>
      </c>
      <c r="J2531">
        <v>-463.00940000000003</v>
      </c>
      <c r="K2531">
        <v>1.1195600000000001</v>
      </c>
      <c r="L2531">
        <v>215.0162</v>
      </c>
      <c r="M2531">
        <v>0.99690190000000001</v>
      </c>
      <c r="N2531">
        <v>-1.357746E-2</v>
      </c>
      <c r="O2531">
        <v>-7.7475660000000002E-2</v>
      </c>
      <c r="P2531">
        <v>0.97842030000000002</v>
      </c>
      <c r="Q2531">
        <v>0.19673019999999999</v>
      </c>
      <c r="R2531">
        <v>-6.3175129999999996E-2</v>
      </c>
      <c r="S2531">
        <v>3.0586549999999999</v>
      </c>
      <c r="T2531">
        <v>-9.602666E-2</v>
      </c>
      <c r="U2531">
        <v>-0.40972900000000001</v>
      </c>
      <c r="V2531">
        <v>-1.188848E-2</v>
      </c>
      <c r="W2531">
        <v>0.21007819999999999</v>
      </c>
      <c r="X2531">
        <v>0.97761229999999999</v>
      </c>
      <c r="Y2531">
        <v>5.5548670000000001E-2</v>
      </c>
      <c r="Z2531">
        <v>1.198834E-4</v>
      </c>
      <c r="AA2531">
        <v>0.99845600000000001</v>
      </c>
      <c r="AB2531">
        <v>29</v>
      </c>
      <c r="AC2531">
        <v>35.378</v>
      </c>
      <c r="AD2531">
        <v>-1.119557008521</v>
      </c>
      <c r="AE2531">
        <v>-4.7530999999999803</v>
      </c>
      <c r="AF2531">
        <v>1.99566133053211</v>
      </c>
      <c r="AG2531">
        <v>-1.119557008521</v>
      </c>
      <c r="AH2531">
        <v>35.604902158381499</v>
      </c>
      <c r="AI2531">
        <v>91.798188851388005</v>
      </c>
      <c r="AJ2531">
        <v>86.791917713210296</v>
      </c>
      <c r="AK2531">
        <v>35.678356601018301</v>
      </c>
      <c r="AL2531">
        <v>77.873064967967196</v>
      </c>
      <c r="AM2531">
        <v>90.6967242069327</v>
      </c>
      <c r="AN2531">
        <v>0.99999999759161995</v>
      </c>
    </row>
    <row r="2532" spans="1:40" x14ac:dyDescent="0.25">
      <c r="A2532" t="str">
        <f>"20190303171026127"</f>
        <v>20190303171026127</v>
      </c>
      <c r="B2532" t="str">
        <f>"1551604226112746"</f>
        <v>1551604226112746</v>
      </c>
      <c r="C2532" t="s">
        <v>40</v>
      </c>
      <c r="D2532">
        <v>4.9677009999999999</v>
      </c>
      <c r="E2532">
        <v>0.531887</v>
      </c>
      <c r="F2532" t="s">
        <v>60</v>
      </c>
      <c r="G2532">
        <v>-426.50639999999999</v>
      </c>
      <c r="H2532" s="1">
        <v>3.2130599999999999E-6</v>
      </c>
      <c r="I2532">
        <v>210.0112</v>
      </c>
      <c r="J2532">
        <v>-462.70490000000001</v>
      </c>
      <c r="K2532">
        <v>1.1195679999999999</v>
      </c>
      <c r="L2532">
        <v>214.9898</v>
      </c>
      <c r="M2532">
        <v>0.99670859999999994</v>
      </c>
      <c r="N2532">
        <v>-1.3567589999999999E-2</v>
      </c>
      <c r="O2532">
        <v>-7.9925129999999997E-2</v>
      </c>
      <c r="P2532">
        <v>0.9783115</v>
      </c>
      <c r="Q2532">
        <v>0.19652510000000001</v>
      </c>
      <c r="R2532">
        <v>-6.5458039999999995E-2</v>
      </c>
      <c r="S2532">
        <v>3.0579830000000001</v>
      </c>
      <c r="T2532">
        <v>-9.3789220000000006E-2</v>
      </c>
      <c r="U2532">
        <v>-0.41928100000000001</v>
      </c>
      <c r="V2532">
        <v>-1.20191E-2</v>
      </c>
      <c r="W2532">
        <v>0.20986469999999999</v>
      </c>
      <c r="X2532">
        <v>0.97765650000000004</v>
      </c>
      <c r="Y2532">
        <v>5.6187019999999997E-2</v>
      </c>
      <c r="Z2532">
        <v>1.119626E-4</v>
      </c>
      <c r="AA2532">
        <v>0.99842019999999998</v>
      </c>
      <c r="AB2532">
        <v>29</v>
      </c>
      <c r="AC2532">
        <v>36.198500000000003</v>
      </c>
      <c r="AD2532">
        <v>-1.1195647869399901</v>
      </c>
      <c r="AE2532">
        <v>-4.9786000000000001</v>
      </c>
      <c r="AF2532">
        <v>2.06729313354447</v>
      </c>
      <c r="AG2532">
        <v>-1.1195647869399901</v>
      </c>
      <c r="AH2532">
        <v>36.4464104469278</v>
      </c>
      <c r="AI2532">
        <v>91.756642892845704</v>
      </c>
      <c r="AJ2532">
        <v>86.753579099177898</v>
      </c>
      <c r="AK2532">
        <v>36.522157119727801</v>
      </c>
      <c r="AL2532">
        <v>77.885575841303506</v>
      </c>
      <c r="AM2532">
        <v>90.704346581308499</v>
      </c>
      <c r="AN2532">
        <v>0.99999994153157301</v>
      </c>
    </row>
    <row r="2533" spans="1:40" x14ac:dyDescent="0.25">
      <c r="A2533" t="str">
        <f>"20190303171026150"</f>
        <v>20190303171026150</v>
      </c>
      <c r="B2533" t="str">
        <f>"1551604226143002"</f>
        <v>1551604226143002</v>
      </c>
      <c r="C2533" t="s">
        <v>40</v>
      </c>
      <c r="D2533">
        <v>4.92279</v>
      </c>
      <c r="E2533">
        <v>0.53187229999999996</v>
      </c>
      <c r="F2533" t="s">
        <v>60</v>
      </c>
      <c r="G2533">
        <v>-426.9717</v>
      </c>
      <c r="H2533" s="1">
        <v>3.1311719999999998E-6</v>
      </c>
      <c r="I2533">
        <v>210.00380000000001</v>
      </c>
      <c r="J2533">
        <v>-462.4008</v>
      </c>
      <c r="K2533">
        <v>1.1195759999999999</v>
      </c>
      <c r="L2533">
        <v>214.96270000000001</v>
      </c>
      <c r="M2533">
        <v>0.99651080000000003</v>
      </c>
      <c r="N2533">
        <v>-1.3548660000000001E-2</v>
      </c>
      <c r="O2533">
        <v>-8.2357739999999999E-2</v>
      </c>
      <c r="P2533">
        <v>0.97792570000000001</v>
      </c>
      <c r="Q2533">
        <v>0.19749520000000001</v>
      </c>
      <c r="R2533">
        <v>-6.8244509999999994E-2</v>
      </c>
      <c r="S2533">
        <v>3.0572509999999999</v>
      </c>
      <c r="T2533">
        <v>-9.5787529999999996E-2</v>
      </c>
      <c r="U2533">
        <v>-0.42659000000000002</v>
      </c>
      <c r="V2533">
        <v>-1.1603179999999999E-2</v>
      </c>
      <c r="W2533">
        <v>0.210811</v>
      </c>
      <c r="X2533">
        <v>0.97745789999999999</v>
      </c>
      <c r="Y2533">
        <v>5.6124260000000002E-2</v>
      </c>
      <c r="Z2533">
        <v>1.916004E-4</v>
      </c>
      <c r="AA2533">
        <v>0.99842379999999997</v>
      </c>
      <c r="AB2533">
        <v>29</v>
      </c>
      <c r="AC2533">
        <v>35.429099999999998</v>
      </c>
      <c r="AD2533">
        <v>-1.119572868828</v>
      </c>
      <c r="AE2533">
        <v>-4.9588999999999999</v>
      </c>
      <c r="AF2533">
        <v>2.02194214719706</v>
      </c>
      <c r="AG2533">
        <v>-1.119572868828</v>
      </c>
      <c r="AH2533">
        <v>35.682213457233402</v>
      </c>
      <c r="AI2533">
        <v>91.794258774810501</v>
      </c>
      <c r="AJ2533">
        <v>86.756787664348195</v>
      </c>
      <c r="AK2533">
        <v>35.756986039972602</v>
      </c>
      <c r="AL2533">
        <v>77.830115980761207</v>
      </c>
      <c r="AM2533">
        <v>90.680113197850602</v>
      </c>
      <c r="AN2533">
        <v>0.99999992888975797</v>
      </c>
    </row>
    <row r="2534" spans="1:40" x14ac:dyDescent="0.25">
      <c r="A2534" t="str">
        <f>"20190303171026171"</f>
        <v>20190303171026171</v>
      </c>
      <c r="B2534" t="str">
        <f>"1551604226163499"</f>
        <v>1551604226163499</v>
      </c>
      <c r="C2534" t="s">
        <v>40</v>
      </c>
      <c r="D2534">
        <v>4.9398790000000004</v>
      </c>
      <c r="E2534">
        <v>0.53190289999999996</v>
      </c>
      <c r="F2534" t="s">
        <v>60</v>
      </c>
      <c r="G2534">
        <v>-426.17540000000002</v>
      </c>
      <c r="H2534" s="1">
        <v>3.2901800000000002E-6</v>
      </c>
      <c r="I2534">
        <v>209.80070000000001</v>
      </c>
      <c r="J2534">
        <v>-462.1345</v>
      </c>
      <c r="K2534">
        <v>1.119572</v>
      </c>
      <c r="L2534">
        <v>214.9383</v>
      </c>
      <c r="M2534">
        <v>0.99633320000000003</v>
      </c>
      <c r="N2534">
        <v>-1.3520300000000001E-2</v>
      </c>
      <c r="O2534">
        <v>-8.4483719999999998E-2</v>
      </c>
      <c r="P2534">
        <v>0.97723550000000003</v>
      </c>
      <c r="Q2534">
        <v>0.1994658</v>
      </c>
      <c r="R2534">
        <v>-7.2281670000000006E-2</v>
      </c>
      <c r="S2534">
        <v>3.0563660000000001</v>
      </c>
      <c r="T2534">
        <v>-9.4459059999999997E-2</v>
      </c>
      <c r="U2534">
        <v>-0.43551640000000003</v>
      </c>
      <c r="V2534">
        <v>-9.6088460000000007E-3</v>
      </c>
      <c r="W2534">
        <v>0.21273990000000001</v>
      </c>
      <c r="X2534">
        <v>0.97706159999999997</v>
      </c>
      <c r="Y2534">
        <v>5.6892869999999998E-2</v>
      </c>
      <c r="Z2534">
        <v>1.9072420000000001E-4</v>
      </c>
      <c r="AA2534">
        <v>0.99838020000000005</v>
      </c>
      <c r="AB2534">
        <v>29</v>
      </c>
      <c r="AC2534">
        <v>35.9590999999999</v>
      </c>
      <c r="AD2534">
        <v>-1.11956870982</v>
      </c>
      <c r="AE2534">
        <v>-5.1375999999999902</v>
      </c>
      <c r="AF2534">
        <v>2.07901797770716</v>
      </c>
      <c r="AG2534">
        <v>-1.11956870982</v>
      </c>
      <c r="AH2534">
        <v>36.230183414740402</v>
      </c>
      <c r="AI2534">
        <v>91.767059858425895</v>
      </c>
      <c r="AJ2534">
        <v>86.715764201058704</v>
      </c>
      <c r="AK2534">
        <v>36.307050831943997</v>
      </c>
      <c r="AL2534">
        <v>77.717033889258602</v>
      </c>
      <c r="AM2534">
        <v>90.563453290899403</v>
      </c>
      <c r="AN2534">
        <v>0.99999998258401002</v>
      </c>
    </row>
    <row r="2535" spans="1:40" x14ac:dyDescent="0.25">
      <c r="A2535" t="str">
        <f>"20190303171026192"</f>
        <v>20190303171026192</v>
      </c>
      <c r="B2535" t="str">
        <f>"1551604226183018"</f>
        <v>1551604226183018</v>
      </c>
      <c r="C2535" t="s">
        <v>40</v>
      </c>
      <c r="D2535">
        <v>4.9282640000000004</v>
      </c>
      <c r="E2535">
        <v>0.53175039999999996</v>
      </c>
      <c r="F2535" t="s">
        <v>60</v>
      </c>
      <c r="G2535">
        <v>-424.38639999999998</v>
      </c>
      <c r="H2535" s="1">
        <v>3.6705639999999999E-6</v>
      </c>
      <c r="I2535">
        <v>209.4391</v>
      </c>
      <c r="J2535">
        <v>-461.86009999999999</v>
      </c>
      <c r="K2535">
        <v>1.119578</v>
      </c>
      <c r="L2535">
        <v>214.9126</v>
      </c>
      <c r="M2535">
        <v>0.99614559999999996</v>
      </c>
      <c r="N2535">
        <v>-1.348106E-2</v>
      </c>
      <c r="O2535">
        <v>-8.6673749999999994E-2</v>
      </c>
      <c r="P2535">
        <v>0.97663060000000002</v>
      </c>
      <c r="Q2535">
        <v>0.20092969999999999</v>
      </c>
      <c r="R2535">
        <v>-7.6289759999999998E-2</v>
      </c>
      <c r="S2535">
        <v>3.0554199999999998</v>
      </c>
      <c r="T2535">
        <v>-9.0620400000000004E-2</v>
      </c>
      <c r="U2535">
        <v>-0.44511410000000001</v>
      </c>
      <c r="V2535">
        <v>-7.7134430000000004E-3</v>
      </c>
      <c r="W2535">
        <v>0.21415329999999999</v>
      </c>
      <c r="X2535">
        <v>0.97676960000000002</v>
      </c>
      <c r="Y2535">
        <v>5.7814310000000001E-2</v>
      </c>
      <c r="Z2535">
        <v>1.4045139999999999E-4</v>
      </c>
      <c r="AA2535">
        <v>0.99832730000000003</v>
      </c>
      <c r="AB2535">
        <v>29</v>
      </c>
      <c r="AC2535">
        <v>37.473700000000001</v>
      </c>
      <c r="AD2535">
        <v>-1.1195743294360001</v>
      </c>
      <c r="AE2535">
        <v>-5.4734999999999996</v>
      </c>
      <c r="AF2535">
        <v>2.2026919948295198</v>
      </c>
      <c r="AG2535">
        <v>-1.1195743294360001</v>
      </c>
      <c r="AH2535">
        <v>37.774090737808798</v>
      </c>
      <c r="AI2535">
        <v>91.694797201549207</v>
      </c>
      <c r="AJ2535">
        <v>86.662733691511505</v>
      </c>
      <c r="AK2535">
        <v>37.854817788115596</v>
      </c>
      <c r="AL2535">
        <v>77.634141875455398</v>
      </c>
      <c r="AM2535">
        <v>90.452449116974705</v>
      </c>
      <c r="AN2535">
        <v>0.99999999229398195</v>
      </c>
    </row>
    <row r="2536" spans="1:40" x14ac:dyDescent="0.25">
      <c r="A2536" t="str">
        <f>"20190303171026215"</f>
        <v>20190303171026215</v>
      </c>
      <c r="B2536" t="str">
        <f>"1551604226203514"</f>
        <v>1551604226203514</v>
      </c>
      <c r="C2536" t="s">
        <v>40</v>
      </c>
      <c r="D2536">
        <v>4.9135450000000001</v>
      </c>
      <c r="E2536">
        <v>0.53163209999999905</v>
      </c>
      <c r="F2536" t="s">
        <v>60</v>
      </c>
      <c r="G2536">
        <v>-423.15769999999998</v>
      </c>
      <c r="H2536" s="1">
        <v>3.9607120000000004E-6</v>
      </c>
      <c r="I2536">
        <v>209.16640000000001</v>
      </c>
      <c r="J2536">
        <v>-461.5779</v>
      </c>
      <c r="K2536">
        <v>1.119578</v>
      </c>
      <c r="L2536">
        <v>214.88550000000001</v>
      </c>
      <c r="M2536">
        <v>0.99594780000000005</v>
      </c>
      <c r="N2536">
        <v>-1.3428819999999999E-2</v>
      </c>
      <c r="O2536">
        <v>-8.8926729999999996E-2</v>
      </c>
      <c r="P2536">
        <v>0.97645400000000004</v>
      </c>
      <c r="Q2536">
        <v>0.20085049999999999</v>
      </c>
      <c r="R2536">
        <v>-7.8721949999999999E-2</v>
      </c>
      <c r="S2536">
        <v>3.054535</v>
      </c>
      <c r="T2536">
        <v>-8.8361019999999998E-2</v>
      </c>
      <c r="U2536">
        <v>-0.45350649999999998</v>
      </c>
      <c r="V2536">
        <v>-7.4952219999999898E-3</v>
      </c>
      <c r="W2536">
        <v>0.21402189999999999</v>
      </c>
      <c r="X2536">
        <v>0.97680009999999995</v>
      </c>
      <c r="Y2536">
        <v>5.8282929999999997E-2</v>
      </c>
      <c r="Z2536">
        <v>1.285968E-4</v>
      </c>
      <c r="AA2536">
        <v>0.99830010000000002</v>
      </c>
      <c r="AB2536">
        <v>29</v>
      </c>
      <c r="AC2536">
        <v>38.420200000000001</v>
      </c>
      <c r="AD2536">
        <v>-1.119574039288</v>
      </c>
      <c r="AE2536">
        <v>-5.7190999999999903</v>
      </c>
      <c r="AF2536">
        <v>2.2776553451977901</v>
      </c>
      <c r="AG2536">
        <v>-1.119574039288</v>
      </c>
      <c r="AH2536">
        <v>38.744398141521003</v>
      </c>
      <c r="AI2536">
        <v>91.652330705267701</v>
      </c>
      <c r="AJ2536">
        <v>86.635642182979097</v>
      </c>
      <c r="AK2536">
        <v>38.8274329211918</v>
      </c>
      <c r="AL2536">
        <v>77.641849257929707</v>
      </c>
      <c r="AM2536">
        <v>90.439635662448595</v>
      </c>
      <c r="AN2536">
        <v>0.99999999369622405</v>
      </c>
    </row>
    <row r="2537" spans="1:40" x14ac:dyDescent="0.25">
      <c r="A2537" t="str">
        <f>"20190303171026238"</f>
        <v>20190303171026238</v>
      </c>
      <c r="B2537" t="str">
        <f>"1551604226232794"</f>
        <v>1551604226232794</v>
      </c>
      <c r="C2537" t="s">
        <v>40</v>
      </c>
      <c r="D2537">
        <v>4.9125170000000002</v>
      </c>
      <c r="E2537">
        <v>0.53132239999999997</v>
      </c>
      <c r="F2537" t="s">
        <v>60</v>
      </c>
      <c r="G2537">
        <v>-423.46190000000001</v>
      </c>
      <c r="H2537" s="1">
        <v>3.9138109999999998E-6</v>
      </c>
      <c r="I2537">
        <v>209.13980000000001</v>
      </c>
      <c r="J2537">
        <v>-461.29109999999997</v>
      </c>
      <c r="K2537">
        <v>1.119567</v>
      </c>
      <c r="L2537">
        <v>214.85730000000001</v>
      </c>
      <c r="M2537">
        <v>0.99574189999999996</v>
      </c>
      <c r="N2537">
        <v>-1.3359609999999999E-2</v>
      </c>
      <c r="O2537">
        <v>-9.1212290000000001E-2</v>
      </c>
      <c r="P2537">
        <v>0.97637070000000004</v>
      </c>
      <c r="Q2537">
        <v>0.20038819999999999</v>
      </c>
      <c r="R2537">
        <v>-8.0901730000000005E-2</v>
      </c>
      <c r="S2537">
        <v>3.0537109999999998</v>
      </c>
      <c r="T2537">
        <v>-8.9696170000000006E-2</v>
      </c>
      <c r="U2537">
        <v>-0.46032709999999999</v>
      </c>
      <c r="V2537">
        <v>-7.572039E-3</v>
      </c>
      <c r="W2537">
        <v>0.21349319999999999</v>
      </c>
      <c r="X2537">
        <v>0.97691519999999998</v>
      </c>
      <c r="Y2537">
        <v>5.8212079999999999E-2</v>
      </c>
      <c r="Z2537">
        <v>2.0012130000000001E-4</v>
      </c>
      <c r="AA2537">
        <v>0.99830419999999997</v>
      </c>
      <c r="AB2537">
        <v>29</v>
      </c>
      <c r="AC2537">
        <v>37.829199999999901</v>
      </c>
      <c r="AD2537">
        <v>-1.119563086189</v>
      </c>
      <c r="AE2537">
        <v>-5.7175000000000002</v>
      </c>
      <c r="AF2537">
        <v>2.2409474523623998</v>
      </c>
      <c r="AG2537">
        <v>-1.119563086189</v>
      </c>
      <c r="AH2537">
        <v>38.160355169962102</v>
      </c>
      <c r="AI2537">
        <v>91.677594933959796</v>
      </c>
      <c r="AJ2537">
        <v>86.639194257332207</v>
      </c>
      <c r="AK2537">
        <v>38.242489114672701</v>
      </c>
      <c r="AL2537">
        <v>77.672858273757797</v>
      </c>
      <c r="AM2537">
        <v>90.444088892459007</v>
      </c>
      <c r="AN2537">
        <v>0.99999999510594795</v>
      </c>
    </row>
    <row r="2538" spans="1:40" x14ac:dyDescent="0.25">
      <c r="A2538" t="str">
        <f>"20190303171026259"</f>
        <v>20190303171026259</v>
      </c>
      <c r="B2538" t="str">
        <f>"1551604226253291"</f>
        <v>1551604226253291</v>
      </c>
      <c r="C2538" t="s">
        <v>40</v>
      </c>
      <c r="D2538">
        <v>4.9202110000000001</v>
      </c>
      <c r="E2538">
        <v>0.53112369999999898</v>
      </c>
      <c r="F2538" t="s">
        <v>60</v>
      </c>
      <c r="G2538">
        <v>-424.24639999999999</v>
      </c>
      <c r="H2538" s="1">
        <v>3.760177E-6</v>
      </c>
      <c r="I2538">
        <v>209.19450000000001</v>
      </c>
      <c r="J2538">
        <v>-461.01549999999997</v>
      </c>
      <c r="K2538">
        <v>1.119569</v>
      </c>
      <c r="L2538">
        <v>214.8296</v>
      </c>
      <c r="M2538">
        <v>0.99554120000000002</v>
      </c>
      <c r="N2538">
        <v>-1.328001E-2</v>
      </c>
      <c r="O2538">
        <v>-9.3388299999999994E-2</v>
      </c>
      <c r="P2538">
        <v>0.97579389999999999</v>
      </c>
      <c r="Q2538">
        <v>0.20125799999999999</v>
      </c>
      <c r="R2538">
        <v>-8.5565970000000005E-2</v>
      </c>
      <c r="S2538">
        <v>3.0528559999999998</v>
      </c>
      <c r="T2538">
        <v>-9.2263220000000007E-2</v>
      </c>
      <c r="U2538">
        <v>-0.4666748</v>
      </c>
      <c r="V2538">
        <v>-5.0211869999999999E-3</v>
      </c>
      <c r="W2538">
        <v>0.21427209999999999</v>
      </c>
      <c r="X2538">
        <v>0.97676110000000005</v>
      </c>
      <c r="Y2538">
        <v>5.8100520000000003E-2</v>
      </c>
      <c r="Z2538">
        <v>3.0006180000000001E-4</v>
      </c>
      <c r="AA2538">
        <v>0.9983107</v>
      </c>
      <c r="AB2538">
        <v>29</v>
      </c>
      <c r="AC2538">
        <v>36.769099999999902</v>
      </c>
      <c r="AD2538">
        <v>-1.119565239823</v>
      </c>
      <c r="AE2538">
        <v>-5.6350999999999898</v>
      </c>
      <c r="AF2538">
        <v>2.1743927315363001</v>
      </c>
      <c r="AG2538">
        <v>-1.119565239823</v>
      </c>
      <c r="AH2538">
        <v>37.101073198880897</v>
      </c>
      <c r="AI2538">
        <v>91.725478946664794</v>
      </c>
      <c r="AJ2538">
        <v>86.645887337267794</v>
      </c>
      <c r="AK2538">
        <v>37.181595481984097</v>
      </c>
      <c r="AL2538">
        <v>77.627173421570603</v>
      </c>
      <c r="AM2538">
        <v>90.294534957492502</v>
      </c>
      <c r="AN2538">
        <v>0.99999999581525401</v>
      </c>
    </row>
    <row r="2539" spans="1:40" x14ac:dyDescent="0.25">
      <c r="A2539" t="str">
        <f>"20190303171026281"</f>
        <v>20190303171026281</v>
      </c>
      <c r="B2539" t="str">
        <f>"1551604226272810"</f>
        <v>1551604226272810</v>
      </c>
      <c r="C2539" t="s">
        <v>40</v>
      </c>
      <c r="D2539">
        <v>4.8948450000000001</v>
      </c>
      <c r="E2539">
        <v>0.53087289999999998</v>
      </c>
      <c r="F2539" t="s">
        <v>60</v>
      </c>
      <c r="G2539">
        <v>-423.56959999999998</v>
      </c>
      <c r="H2539" s="1">
        <v>3.9402720000000003E-6</v>
      </c>
      <c r="I2539">
        <v>208.96780000000001</v>
      </c>
      <c r="J2539">
        <v>-460.72899999999998</v>
      </c>
      <c r="K2539">
        <v>1.1195850000000001</v>
      </c>
      <c r="L2539">
        <v>214.80019999999999</v>
      </c>
      <c r="M2539">
        <v>0.99533000000000005</v>
      </c>
      <c r="N2539">
        <v>-1.319624E-2</v>
      </c>
      <c r="O2539">
        <v>-9.5625619999999995E-2</v>
      </c>
      <c r="P2539">
        <v>0.97480770000000005</v>
      </c>
      <c r="Q2539">
        <v>0.2031095</v>
      </c>
      <c r="R2539">
        <v>-9.21796E-2</v>
      </c>
      <c r="S2539">
        <v>3.0513309999999998</v>
      </c>
      <c r="T2539">
        <v>-9.1229199999999996E-2</v>
      </c>
      <c r="U2539">
        <v>-0.47766110000000001</v>
      </c>
      <c r="V2539">
        <v>-5.4967779999999999E-4</v>
      </c>
      <c r="W2539">
        <v>0.2160174</v>
      </c>
      <c r="X2539">
        <v>0.97638930000000002</v>
      </c>
      <c r="Y2539">
        <v>5.9441590000000002E-2</v>
      </c>
      <c r="Z2539">
        <v>2.9685969999999998E-4</v>
      </c>
      <c r="AA2539">
        <v>0.9982318</v>
      </c>
      <c r="AB2539">
        <v>29</v>
      </c>
      <c r="AC2539">
        <v>37.159399999999998</v>
      </c>
      <c r="AD2539">
        <v>-1.119581059728</v>
      </c>
      <c r="AE2539">
        <v>-5.8323999999999696</v>
      </c>
      <c r="AF2539">
        <v>2.2499745383554299</v>
      </c>
      <c r="AG2539">
        <v>-1.119581059728</v>
      </c>
      <c r="AH2539">
        <v>37.5136230820696</v>
      </c>
      <c r="AI2539">
        <v>91.706400582292105</v>
      </c>
      <c r="AJ2539">
        <v>86.567652328632505</v>
      </c>
      <c r="AK2539">
        <v>37.597709556782</v>
      </c>
      <c r="AL2539">
        <v>77.524776504701407</v>
      </c>
      <c r="AM2539">
        <v>90.032255796642602</v>
      </c>
      <c r="AN2539">
        <v>0.99999994220146504</v>
      </c>
    </row>
    <row r="2540" spans="1:40" x14ac:dyDescent="0.25">
      <c r="A2540" t="str">
        <f>"20190303171026304"</f>
        <v>20190303171026304</v>
      </c>
      <c r="B2540" t="str">
        <f>"1551604226294283"</f>
        <v>1551604226294283</v>
      </c>
      <c r="C2540" t="s">
        <v>40</v>
      </c>
      <c r="D2540">
        <v>4.9336229999999999</v>
      </c>
      <c r="E2540">
        <v>0.53064129999999998</v>
      </c>
      <c r="F2540" t="s">
        <v>60</v>
      </c>
      <c r="G2540">
        <v>-422.01100000000002</v>
      </c>
      <c r="H2540" s="1">
        <v>4.3296419999999999E-6</v>
      </c>
      <c r="I2540">
        <v>208.55350000000001</v>
      </c>
      <c r="J2540">
        <v>-460.44060000000002</v>
      </c>
      <c r="K2540">
        <v>1.1196029999999999</v>
      </c>
      <c r="L2540">
        <v>214.77</v>
      </c>
      <c r="M2540">
        <v>0.99511689999999997</v>
      </c>
      <c r="N2540">
        <v>-1.31036E-2</v>
      </c>
      <c r="O2540">
        <v>-9.7830219999999996E-2</v>
      </c>
      <c r="P2540">
        <v>0.97466419999999998</v>
      </c>
      <c r="Q2540">
        <v>0.20231830000000001</v>
      </c>
      <c r="R2540">
        <v>-9.5380149999999997E-2</v>
      </c>
      <c r="S2540">
        <v>3.0494080000000001</v>
      </c>
      <c r="T2540">
        <v>-8.8177560000000002E-2</v>
      </c>
      <c r="U2540">
        <v>-0.49198910000000001</v>
      </c>
      <c r="V2540">
        <v>4.5819300000000002E-4</v>
      </c>
      <c r="W2540">
        <v>0.2151332</v>
      </c>
      <c r="X2540">
        <v>0.97658460000000002</v>
      </c>
      <c r="Y2540">
        <v>6.1900709999999998E-2</v>
      </c>
      <c r="Z2540">
        <v>2.2625370000000001E-4</v>
      </c>
      <c r="AA2540">
        <v>0.99808229999999998</v>
      </c>
      <c r="AB2540">
        <v>29</v>
      </c>
      <c r="AC2540">
        <v>38.429600000000001</v>
      </c>
      <c r="AD2540">
        <v>-1.1195986703579901</v>
      </c>
      <c r="AE2540">
        <v>-6.2164999999999901</v>
      </c>
      <c r="AF2540">
        <v>2.42477061144529</v>
      </c>
      <c r="AG2540">
        <v>-1.1195986703579901</v>
      </c>
      <c r="AH2540">
        <v>38.8213294534402</v>
      </c>
      <c r="AI2540">
        <v>91.648728771045597</v>
      </c>
      <c r="AJ2540">
        <v>86.425962696205005</v>
      </c>
      <c r="AK2540">
        <v>38.913090782323302</v>
      </c>
      <c r="AL2540">
        <v>77.576657932328501</v>
      </c>
      <c r="AM2540">
        <v>89.973118024617506</v>
      </c>
      <c r="AN2540">
        <v>0.99999999232011205</v>
      </c>
    </row>
    <row r="2541" spans="1:40" x14ac:dyDescent="0.25">
      <c r="A2541" t="str">
        <f>"20190303171026330"</f>
        <v>20190303171026330</v>
      </c>
      <c r="B2541" t="str">
        <f>"1551604226323562"</f>
        <v>1551604226323562</v>
      </c>
      <c r="C2541" t="s">
        <v>40</v>
      </c>
      <c r="D2541">
        <v>4.9110699999999996</v>
      </c>
      <c r="E2541">
        <v>0.53023959999999903</v>
      </c>
      <c r="F2541" t="s">
        <v>60</v>
      </c>
      <c r="G2541">
        <v>-423.04300000000001</v>
      </c>
      <c r="H2541" s="1">
        <v>4.1204719999999998E-6</v>
      </c>
      <c r="I2541">
        <v>208.64</v>
      </c>
      <c r="J2541">
        <v>-460.12020000000001</v>
      </c>
      <c r="K2541">
        <v>1.1196440000000001</v>
      </c>
      <c r="L2541">
        <v>214.73580000000001</v>
      </c>
      <c r="M2541">
        <v>0.99488410000000005</v>
      </c>
      <c r="N2541">
        <v>-1.2994169999999999E-2</v>
      </c>
      <c r="O2541">
        <v>-0.1001846</v>
      </c>
      <c r="P2541">
        <v>0.974997</v>
      </c>
      <c r="Q2541">
        <v>0.20057820000000001</v>
      </c>
      <c r="R2541">
        <v>-9.5652130000000002E-2</v>
      </c>
      <c r="S2541">
        <v>3.048035</v>
      </c>
      <c r="T2541">
        <v>-9.1251250000000006E-2</v>
      </c>
      <c r="U2541">
        <v>-0.49961850000000002</v>
      </c>
      <c r="V2541">
        <v>-1.6610970000000001E-3</v>
      </c>
      <c r="W2541">
        <v>0.21329989999999999</v>
      </c>
      <c r="X2541">
        <v>0.97698529999999995</v>
      </c>
      <c r="Y2541">
        <v>6.2043580000000001E-2</v>
      </c>
      <c r="Z2541">
        <v>3.4328149999999998E-4</v>
      </c>
      <c r="AA2541">
        <v>0.9980734</v>
      </c>
      <c r="AB2541">
        <v>29</v>
      </c>
      <c r="AC2541">
        <v>37.077199999999998</v>
      </c>
      <c r="AD2541">
        <v>-1.119639879528</v>
      </c>
      <c r="AE2541">
        <v>-6.0958000000000201</v>
      </c>
      <c r="AF2541">
        <v>2.3481633530317798</v>
      </c>
      <c r="AG2541">
        <v>-1.119639879528</v>
      </c>
      <c r="AH2541">
        <v>37.468117308485603</v>
      </c>
      <c r="AI2541">
        <v>91.708280556514495</v>
      </c>
      <c r="AJ2541">
        <v>86.413907837609798</v>
      </c>
      <c r="AK2541">
        <v>37.558318376024097</v>
      </c>
      <c r="AL2541">
        <v>77.684194003891605</v>
      </c>
      <c r="AM2541">
        <v>90.097415750015202</v>
      </c>
      <c r="AN2541">
        <v>0.99999994149966998</v>
      </c>
    </row>
    <row r="2542" spans="1:40" x14ac:dyDescent="0.25">
      <c r="A2542" t="str">
        <f>"20190303171026351"</f>
        <v>20190303171026351</v>
      </c>
      <c r="B2542" t="str">
        <f>"1551604226343084"</f>
        <v>1551604226343084</v>
      </c>
      <c r="C2542" t="s">
        <v>40</v>
      </c>
      <c r="D2542">
        <v>4.8766429999999996</v>
      </c>
      <c r="E2542">
        <v>0.49660710000000002</v>
      </c>
      <c r="F2542" t="s">
        <v>60</v>
      </c>
      <c r="G2542">
        <v>-425.18529999999998</v>
      </c>
      <c r="H2542" s="1">
        <v>3.6427919999999999E-6</v>
      </c>
      <c r="I2542">
        <v>209.00890000000001</v>
      </c>
      <c r="J2542">
        <v>-459.83839999999998</v>
      </c>
      <c r="K2542">
        <v>1.1197029999999999</v>
      </c>
      <c r="L2542">
        <v>214.70529999999999</v>
      </c>
      <c r="M2542">
        <v>0.99468769999999995</v>
      </c>
      <c r="N2542">
        <v>-1.2899849999999999E-2</v>
      </c>
      <c r="O2542">
        <v>-0.10212839999999999</v>
      </c>
      <c r="P2542">
        <v>0.97471019999999997</v>
      </c>
      <c r="Q2542">
        <v>0.20054050000000001</v>
      </c>
      <c r="R2542">
        <v>-9.8609130000000003E-2</v>
      </c>
      <c r="S2542">
        <v>3.047974</v>
      </c>
      <c r="T2542">
        <v>-9.7685460000000002E-2</v>
      </c>
      <c r="U2542">
        <v>-0.49966430000000001</v>
      </c>
      <c r="V2542">
        <v>-6.4739910000000003E-4</v>
      </c>
      <c r="W2542">
        <v>0.21316570000000001</v>
      </c>
      <c r="X2542">
        <v>0.97701590000000005</v>
      </c>
      <c r="Y2542">
        <v>6.011201E-2</v>
      </c>
      <c r="Z2542">
        <v>5.7949900000000003E-4</v>
      </c>
      <c r="AA2542">
        <v>0.99819150000000001</v>
      </c>
      <c r="AB2542">
        <v>29</v>
      </c>
      <c r="AC2542">
        <v>34.653099999999903</v>
      </c>
      <c r="AD2542">
        <v>-1.1196993572080001</v>
      </c>
      <c r="AE2542">
        <v>-5.6963999999999801</v>
      </c>
      <c r="AF2542">
        <v>2.1250897947251399</v>
      </c>
      <c r="AG2542">
        <v>-1.1196993572080001</v>
      </c>
      <c r="AH2542">
        <v>35.0180906243422</v>
      </c>
      <c r="AI2542">
        <v>91.828041181860598</v>
      </c>
      <c r="AJ2542">
        <v>86.527236764490297</v>
      </c>
      <c r="AK2542">
        <v>35.100376127056201</v>
      </c>
      <c r="AL2542">
        <v>77.692065478060996</v>
      </c>
      <c r="AM2542">
        <v>90.037965841355899</v>
      </c>
      <c r="AN2542">
        <v>1.0000000518174399</v>
      </c>
    </row>
    <row r="2543" spans="1:40" x14ac:dyDescent="0.25">
      <c r="A2543" t="str">
        <f>"20190303171026372"</f>
        <v>20190303171026372</v>
      </c>
      <c r="B2543" t="str">
        <f>"1551604226352843"</f>
        <v>1551604226352843</v>
      </c>
      <c r="C2543" t="s">
        <v>40</v>
      </c>
      <c r="D2543">
        <v>5.053356</v>
      </c>
      <c r="E2543">
        <v>0.49212939999999999</v>
      </c>
      <c r="F2543" t="s">
        <v>60</v>
      </c>
      <c r="G2543">
        <v>-423.34769999999997</v>
      </c>
      <c r="H2543" s="1">
        <v>3.612243E-6</v>
      </c>
      <c r="I2543">
        <v>211.85429999999999</v>
      </c>
      <c r="J2543">
        <v>-459.57310000000001</v>
      </c>
      <c r="K2543">
        <v>1.1198079999999999</v>
      </c>
      <c r="L2543">
        <v>214.67609999999999</v>
      </c>
      <c r="M2543">
        <v>0.99451610000000001</v>
      </c>
      <c r="N2543">
        <v>-1.281701E-2</v>
      </c>
      <c r="O2543">
        <v>-0.10379629999999999</v>
      </c>
      <c r="P2543">
        <v>0.97402659999999996</v>
      </c>
      <c r="Q2543">
        <v>0.20196220000000001</v>
      </c>
      <c r="R2543">
        <v>-0.1023905</v>
      </c>
      <c r="S2543">
        <v>3.0729060000000001</v>
      </c>
      <c r="T2543">
        <v>-9.4290490000000005E-2</v>
      </c>
      <c r="U2543">
        <v>-0.24008180000000001</v>
      </c>
      <c r="V2543">
        <v>1.4883819999999999E-3</v>
      </c>
      <c r="W2543">
        <v>0.2144942</v>
      </c>
      <c r="X2543">
        <v>0.97672409999999998</v>
      </c>
      <c r="Y2543">
        <v>-2.5985500000000002E-2</v>
      </c>
      <c r="Z2543">
        <v>2.4052869999999999E-3</v>
      </c>
      <c r="AA2543">
        <v>0.99965939999999998</v>
      </c>
      <c r="AB2543">
        <v>29</v>
      </c>
      <c r="AC2543">
        <v>36.2254</v>
      </c>
      <c r="AD2543">
        <v>-1.1198043877570001</v>
      </c>
      <c r="AE2543">
        <v>-2.8217999999999899</v>
      </c>
      <c r="AF2543">
        <v>-0.95291012624814098</v>
      </c>
      <c r="AG2543">
        <v>-1.1198043877570001</v>
      </c>
      <c r="AH2543">
        <v>36.288149132537299</v>
      </c>
      <c r="AI2543">
        <v>91.766902530260595</v>
      </c>
      <c r="AJ2543">
        <v>91.504215162544995</v>
      </c>
      <c r="AK2543">
        <v>36.317926249179102</v>
      </c>
      <c r="AL2543">
        <v>77.614144820442505</v>
      </c>
      <c r="AM2543">
        <v>89.912689836469994</v>
      </c>
      <c r="AN2543">
        <v>0.99999997231771298</v>
      </c>
    </row>
    <row r="2544" spans="1:40" x14ac:dyDescent="0.25">
      <c r="A2544" t="str">
        <f>"20190303171026393"</f>
        <v>20190303171026393</v>
      </c>
      <c r="B2544" t="str">
        <f>"1551604226383098"</f>
        <v>1551604226383098</v>
      </c>
      <c r="C2544" t="s">
        <v>40</v>
      </c>
      <c r="D2544">
        <v>4.9837439999999997</v>
      </c>
      <c r="E2544">
        <v>0.48520039999999998</v>
      </c>
      <c r="F2544" t="s">
        <v>60</v>
      </c>
      <c r="G2544">
        <v>-423.64949999999999</v>
      </c>
      <c r="H2544" s="1">
        <v>3.5286570000000001E-6</v>
      </c>
      <c r="I2544">
        <v>212.19810000000001</v>
      </c>
      <c r="J2544">
        <v>-459.29939999999999</v>
      </c>
      <c r="K2544">
        <v>1.119958</v>
      </c>
      <c r="L2544">
        <v>214.64580000000001</v>
      </c>
      <c r="M2544">
        <v>0.99435850000000003</v>
      </c>
      <c r="N2544">
        <v>-1.273258E-2</v>
      </c>
      <c r="O2544">
        <v>-0.1053055</v>
      </c>
      <c r="P2544">
        <v>0.97353659999999997</v>
      </c>
      <c r="Q2544">
        <v>0.2030671</v>
      </c>
      <c r="R2544">
        <v>-0.1048354</v>
      </c>
      <c r="S2544">
        <v>3.0776059999999998</v>
      </c>
      <c r="T2544">
        <v>-9.5934510000000001E-2</v>
      </c>
      <c r="U2544">
        <v>-0.2122955</v>
      </c>
      <c r="V2544">
        <v>2.406558E-3</v>
      </c>
      <c r="W2544">
        <v>0.21551129999999999</v>
      </c>
      <c r="X2544">
        <v>0.97649839999999999</v>
      </c>
      <c r="Y2544">
        <v>-3.658732E-2</v>
      </c>
      <c r="Z2544">
        <v>2.7308879999999999E-3</v>
      </c>
      <c r="AA2544">
        <v>0.99932670000000001</v>
      </c>
      <c r="AB2544">
        <v>29</v>
      </c>
      <c r="AC2544">
        <v>35.649900000000002</v>
      </c>
      <c r="AD2544">
        <v>-1.1199544713429901</v>
      </c>
      <c r="AE2544">
        <v>-2.44769999999999</v>
      </c>
      <c r="AF2544">
        <v>-1.31905045127453</v>
      </c>
      <c r="AG2544">
        <v>-1.1199544713429901</v>
      </c>
      <c r="AH2544">
        <v>35.674385861641198</v>
      </c>
      <c r="AI2544">
        <v>91.796914481761405</v>
      </c>
      <c r="AJ2544">
        <v>92.117530813012195</v>
      </c>
      <c r="AK2544">
        <v>35.716326780845598</v>
      </c>
      <c r="AL2544">
        <v>77.554474363109307</v>
      </c>
      <c r="AM2544">
        <v>89.8587961461091</v>
      </c>
      <c r="AN2544">
        <v>1.00000001857582</v>
      </c>
    </row>
    <row r="2545" spans="1:40" x14ac:dyDescent="0.25">
      <c r="A2545" t="str">
        <f>"20190303171026415"</f>
        <v>20190303171026415</v>
      </c>
      <c r="B2545" t="str">
        <f>"1551604226402619"</f>
        <v>1551604226402619</v>
      </c>
      <c r="C2545" t="s">
        <v>40</v>
      </c>
      <c r="D2545">
        <v>4.9541440000000003</v>
      </c>
      <c r="E2545">
        <v>0.48200399999999999</v>
      </c>
      <c r="F2545" t="s">
        <v>60</v>
      </c>
      <c r="G2545">
        <v>-423.42230000000001</v>
      </c>
      <c r="H2545" s="1">
        <v>3.5201340000000001E-6</v>
      </c>
      <c r="I2545">
        <v>212.75649999999999</v>
      </c>
      <c r="J2545">
        <v>-459.02550000000002</v>
      </c>
      <c r="K2545">
        <v>1.120144</v>
      </c>
      <c r="L2545">
        <v>214.61529999999999</v>
      </c>
      <c r="M2545">
        <v>0.99422429999999995</v>
      </c>
      <c r="N2545">
        <v>-1.2651590000000001E-2</v>
      </c>
      <c r="O2545">
        <v>-0.1065744</v>
      </c>
      <c r="P2545">
        <v>0.97372219999999998</v>
      </c>
      <c r="Q2545">
        <v>0.201845</v>
      </c>
      <c r="R2545">
        <v>-0.1054689</v>
      </c>
      <c r="S2545">
        <v>3.0841669999999999</v>
      </c>
      <c r="T2545">
        <v>-9.6276639999999997E-2</v>
      </c>
      <c r="U2545">
        <v>-0.16241459999999999</v>
      </c>
      <c r="V2545">
        <v>1.665297E-3</v>
      </c>
      <c r="W2545">
        <v>0.21421660000000001</v>
      </c>
      <c r="X2545">
        <v>0.97678480000000001</v>
      </c>
      <c r="Y2545">
        <v>-5.4092090000000002E-2</v>
      </c>
      <c r="Z2545">
        <v>3.1525860000000002E-3</v>
      </c>
      <c r="AA2545">
        <v>0.99853099999999995</v>
      </c>
      <c r="AB2545">
        <v>29</v>
      </c>
      <c r="AC2545">
        <v>35.603200000000001</v>
      </c>
      <c r="AD2545">
        <v>-1.120140479866</v>
      </c>
      <c r="AE2545">
        <v>-1.8588</v>
      </c>
      <c r="AF2545">
        <v>-1.9445616330920601</v>
      </c>
      <c r="AG2545">
        <v>-1.120140479866</v>
      </c>
      <c r="AH2545">
        <v>35.563407447116298</v>
      </c>
      <c r="AI2545">
        <v>91.801359452836095</v>
      </c>
      <c r="AJ2545">
        <v>93.129743361345206</v>
      </c>
      <c r="AK2545">
        <v>35.634140706478902</v>
      </c>
      <c r="AL2545">
        <v>77.630429425076102</v>
      </c>
      <c r="AM2545">
        <v>89.902317893058907</v>
      </c>
      <c r="AN2545">
        <v>1.00000003522034</v>
      </c>
    </row>
    <row r="2546" spans="1:40" x14ac:dyDescent="0.25">
      <c r="A2546" t="str">
        <f>"20190303171026437"</f>
        <v>20190303171026437</v>
      </c>
      <c r="B2546" t="str">
        <f>"1551604226432875"</f>
        <v>1551604226432875</v>
      </c>
      <c r="C2546" t="s">
        <v>40</v>
      </c>
      <c r="D2546">
        <v>4.9242339999999896</v>
      </c>
      <c r="E2546">
        <v>0.47978789999999999</v>
      </c>
      <c r="F2546" t="s">
        <v>60</v>
      </c>
      <c r="G2546">
        <v>-425.8304</v>
      </c>
      <c r="H2546" s="1">
        <v>3.0610579999999999E-6</v>
      </c>
      <c r="I2546">
        <v>213.1215</v>
      </c>
      <c r="J2546">
        <v>-458.74740000000003</v>
      </c>
      <c r="K2546">
        <v>1.1203379999999901</v>
      </c>
      <c r="L2546">
        <v>214.58420000000001</v>
      </c>
      <c r="M2546">
        <v>0.99411570000000005</v>
      </c>
      <c r="N2546">
        <v>-1.257749E-2</v>
      </c>
      <c r="O2546">
        <v>-0.1075911</v>
      </c>
      <c r="P2546">
        <v>0.9740124</v>
      </c>
      <c r="Q2546">
        <v>0.2002293</v>
      </c>
      <c r="R2546">
        <v>-0.1058673</v>
      </c>
      <c r="S2546">
        <v>3.0874329999999999</v>
      </c>
      <c r="T2546">
        <v>-0.1041831</v>
      </c>
      <c r="U2546">
        <v>-0.13893129999999901</v>
      </c>
      <c r="V2546">
        <v>9.1755809999999999E-4</v>
      </c>
      <c r="W2546">
        <v>0.2125349</v>
      </c>
      <c r="X2546">
        <v>0.9771531</v>
      </c>
      <c r="Y2546">
        <v>-6.2725699999999995E-2</v>
      </c>
      <c r="Z2546">
        <v>3.7174130000000001E-3</v>
      </c>
      <c r="AA2546">
        <v>0.99802389999999996</v>
      </c>
      <c r="AB2546">
        <v>29</v>
      </c>
      <c r="AC2546">
        <v>32.917000000000002</v>
      </c>
      <c r="AD2546">
        <v>-1.1203349389420001</v>
      </c>
      <c r="AE2546">
        <v>-1.4627000000000101</v>
      </c>
      <c r="AF2546">
        <v>-2.08523751028893</v>
      </c>
      <c r="AG2546">
        <v>-1.1203349389420001</v>
      </c>
      <c r="AH2546">
        <v>32.845307284814503</v>
      </c>
      <c r="AI2546">
        <v>91.949647299542605</v>
      </c>
      <c r="AJ2546">
        <v>93.632640046767193</v>
      </c>
      <c r="AK2546">
        <v>32.930496146939802</v>
      </c>
      <c r="AL2546">
        <v>77.729055300146598</v>
      </c>
      <c r="AM2546">
        <v>89.946198613977302</v>
      </c>
      <c r="AN2546">
        <v>1.00000005323524</v>
      </c>
    </row>
    <row r="2547" spans="1:40" x14ac:dyDescent="0.25">
      <c r="A2547" t="str">
        <f>"20190303171026460"</f>
        <v>20190303171026460</v>
      </c>
      <c r="B2547" t="str">
        <f>"1551604226453370"</f>
        <v>1551604226453370</v>
      </c>
      <c r="C2547" t="s">
        <v>40</v>
      </c>
      <c r="D2547">
        <v>4.9316519999999997</v>
      </c>
      <c r="E2547">
        <v>0.47895850000000001</v>
      </c>
      <c r="F2547" t="s">
        <v>60</v>
      </c>
      <c r="G2547">
        <v>-427.48200000000003</v>
      </c>
      <c r="H2547" s="1">
        <v>2.7491730000000002E-6</v>
      </c>
      <c r="I2547">
        <v>213.33799999999999</v>
      </c>
      <c r="J2547">
        <v>-458.4606</v>
      </c>
      <c r="K2547">
        <v>1.1205419999999999</v>
      </c>
      <c r="L2547">
        <v>214.5522</v>
      </c>
      <c r="M2547">
        <v>0.99403359999999996</v>
      </c>
      <c r="N2547">
        <v>-1.2503240000000001E-2</v>
      </c>
      <c r="O2547">
        <v>-0.1083562</v>
      </c>
      <c r="P2547">
        <v>0.97360959999999996</v>
      </c>
      <c r="Q2547">
        <v>0.2011974</v>
      </c>
      <c r="R2547">
        <v>-0.1077239</v>
      </c>
      <c r="S2547">
        <v>3.0894170000000001</v>
      </c>
      <c r="T2547">
        <v>-0.1107033</v>
      </c>
      <c r="U2547">
        <v>-0.1231384</v>
      </c>
      <c r="V2547">
        <v>1.9483479999999999E-3</v>
      </c>
      <c r="W2547">
        <v>0.21342610000000001</v>
      </c>
      <c r="X2547">
        <v>0.97695730000000003</v>
      </c>
      <c r="Y2547">
        <v>-6.8598320000000004E-2</v>
      </c>
      <c r="Z2547">
        <v>4.1727509999999997E-3</v>
      </c>
      <c r="AA2547">
        <v>0.99763570000000001</v>
      </c>
      <c r="AB2547">
        <v>29</v>
      </c>
      <c r="AC2547">
        <v>30.9786</v>
      </c>
      <c r="AD2547">
        <v>-1.120539250827</v>
      </c>
      <c r="AE2547">
        <v>-1.2141999999999999</v>
      </c>
      <c r="AF2547">
        <v>-2.14713069558315</v>
      </c>
      <c r="AG2547">
        <v>-1.120539250827</v>
      </c>
      <c r="AH2547">
        <v>30.887399781048501</v>
      </c>
      <c r="AI2547">
        <v>92.072679062341905</v>
      </c>
      <c r="AJ2547">
        <v>93.976506316762197</v>
      </c>
      <c r="AK2547">
        <v>30.982208502152901</v>
      </c>
      <c r="AL2547">
        <v>77.676793971430499</v>
      </c>
      <c r="AM2547">
        <v>89.885735057788906</v>
      </c>
      <c r="AN2547">
        <v>1.0000000311222099</v>
      </c>
    </row>
    <row r="2548" spans="1:40" x14ac:dyDescent="0.25">
      <c r="A2548" t="str">
        <f>"20190303171026482"</f>
        <v>20190303171026482</v>
      </c>
      <c r="B2548" t="str">
        <f>"1551604226472891"</f>
        <v>1551604226472891</v>
      </c>
      <c r="C2548" t="s">
        <v>40</v>
      </c>
      <c r="D2548">
        <v>4.9420599999999997</v>
      </c>
      <c r="E2548">
        <v>0.4785374</v>
      </c>
      <c r="F2548" t="s">
        <v>60</v>
      </c>
      <c r="G2548">
        <v>-425.99709999999999</v>
      </c>
      <c r="H2548" s="1">
        <v>3.0185239999999998E-6</v>
      </c>
      <c r="I2548">
        <v>213.26990000000001</v>
      </c>
      <c r="J2548">
        <v>-458.17070000000001</v>
      </c>
      <c r="K2548">
        <v>1.1207119999999999</v>
      </c>
      <c r="L2548">
        <v>214.5198</v>
      </c>
      <c r="M2548">
        <v>0.99397469999999999</v>
      </c>
      <c r="N2548">
        <v>-1.243353E-2</v>
      </c>
      <c r="O2548">
        <v>-0.108902399999999</v>
      </c>
      <c r="P2548">
        <v>0.97288680000000005</v>
      </c>
      <c r="Q2548">
        <v>0.2037139</v>
      </c>
      <c r="R2548">
        <v>-0.10950799999999999</v>
      </c>
      <c r="S2548">
        <v>3.0898129999999999</v>
      </c>
      <c r="T2548">
        <v>-0.1066507</v>
      </c>
      <c r="U2548">
        <v>-0.1220398</v>
      </c>
      <c r="V2548">
        <v>3.1759179999999998E-3</v>
      </c>
      <c r="W2548">
        <v>0.215867</v>
      </c>
      <c r="X2548">
        <v>0.9764176</v>
      </c>
      <c r="Y2548">
        <v>-6.9511589999999998E-2</v>
      </c>
      <c r="Z2548">
        <v>4.0240470000000002E-3</v>
      </c>
      <c r="AA2548">
        <v>0.99757300000000004</v>
      </c>
      <c r="AB2548">
        <v>29</v>
      </c>
      <c r="AC2548">
        <v>32.1736</v>
      </c>
      <c r="AD2548">
        <v>-1.1207089814759901</v>
      </c>
      <c r="AE2548">
        <v>-1.24989999999999</v>
      </c>
      <c r="AF2548">
        <v>-2.2588514157919501</v>
      </c>
      <c r="AG2548">
        <v>-1.1207089814759901</v>
      </c>
      <c r="AH2548">
        <v>32.079478761679603</v>
      </c>
      <c r="AI2548">
        <v>91.995898593985501</v>
      </c>
      <c r="AJ2548">
        <v>94.027789485550102</v>
      </c>
      <c r="AK2548">
        <v>32.178429979737103</v>
      </c>
      <c r="AL2548">
        <v>77.533602609440905</v>
      </c>
      <c r="AM2548">
        <v>89.813639107104507</v>
      </c>
      <c r="AN2548">
        <v>0.99999998886695096</v>
      </c>
    </row>
    <row r="2549" spans="1:40" x14ac:dyDescent="0.25">
      <c r="A2549" t="str">
        <f>"20190303171026505"</f>
        <v>20190303171026505</v>
      </c>
      <c r="B2549" t="str">
        <f>"1551604226493386"</f>
        <v>1551604226493386</v>
      </c>
      <c r="C2549" t="s">
        <v>40</v>
      </c>
      <c r="D2549">
        <v>4.9492240000000001</v>
      </c>
      <c r="E2549">
        <v>0.47830640000000002</v>
      </c>
      <c r="F2549" t="s">
        <v>60</v>
      </c>
      <c r="G2549">
        <v>-423.38479999999998</v>
      </c>
      <c r="H2549" s="1">
        <v>3.4945149999999999E-6</v>
      </c>
      <c r="I2549">
        <v>213.12569999999999</v>
      </c>
      <c r="J2549">
        <v>-457.88869999999997</v>
      </c>
      <c r="K2549">
        <v>1.120852</v>
      </c>
      <c r="L2549">
        <v>214.48830000000001</v>
      </c>
      <c r="M2549">
        <v>0.9939384</v>
      </c>
      <c r="N2549">
        <v>-1.236835E-2</v>
      </c>
      <c r="O2549">
        <v>-0.1092395</v>
      </c>
      <c r="P2549">
        <v>0.97258699999999998</v>
      </c>
      <c r="Q2549">
        <v>0.20501849999999999</v>
      </c>
      <c r="R2549">
        <v>-0.1097364</v>
      </c>
      <c r="S2549">
        <v>3.0905149999999999</v>
      </c>
      <c r="T2549">
        <v>-9.9568130000000005E-2</v>
      </c>
      <c r="U2549">
        <v>-0.1238556</v>
      </c>
      <c r="V2549">
        <v>3.0318749999999998E-3</v>
      </c>
      <c r="W2549">
        <v>0.21710579999999999</v>
      </c>
      <c r="X2549">
        <v>0.97614339999999999</v>
      </c>
      <c r="Y2549">
        <v>-6.928521E-2</v>
      </c>
      <c r="Z2549">
        <v>3.700877E-3</v>
      </c>
      <c r="AA2549">
        <v>0.99758999999999998</v>
      </c>
      <c r="AB2549">
        <v>29</v>
      </c>
      <c r="AC2549">
        <v>34.503899999999902</v>
      </c>
      <c r="AD2549">
        <v>-1.1208485054849999</v>
      </c>
      <c r="AE2549">
        <v>-1.36260000000001</v>
      </c>
      <c r="AF2549">
        <v>-2.4124914753136801</v>
      </c>
      <c r="AG2549">
        <v>-1.1208485054849999</v>
      </c>
      <c r="AH2549">
        <v>34.4099846192683</v>
      </c>
      <c r="AI2549">
        <v>91.861090675966693</v>
      </c>
      <c r="AJ2549">
        <v>94.010457046849496</v>
      </c>
      <c r="AK2549">
        <v>34.512656489887704</v>
      </c>
      <c r="AL2549">
        <v>77.460901018776696</v>
      </c>
      <c r="AM2549">
        <v>89.822041430690007</v>
      </c>
      <c r="AN2549">
        <v>1.0000000290116</v>
      </c>
    </row>
    <row r="2550" spans="1:40" x14ac:dyDescent="0.25">
      <c r="A2550" t="str">
        <f>"20190303171026530"</f>
        <v>20190303171026530</v>
      </c>
      <c r="B2550" t="str">
        <f>"1551604226523642"</f>
        <v>1551604226523642</v>
      </c>
      <c r="C2550" t="s">
        <v>40</v>
      </c>
      <c r="D2550">
        <v>4.957586</v>
      </c>
      <c r="E2550">
        <v>0.47789999999999999</v>
      </c>
      <c r="F2550" t="s">
        <v>60</v>
      </c>
      <c r="G2550">
        <v>-422.11759999999998</v>
      </c>
      <c r="H2550" s="1">
        <v>3.7254489999999998E-6</v>
      </c>
      <c r="I2550">
        <v>213.05520000000001</v>
      </c>
      <c r="J2550">
        <v>-457.56920000000002</v>
      </c>
      <c r="K2550">
        <v>1.1209819999999999</v>
      </c>
      <c r="L2550">
        <v>214.4528</v>
      </c>
      <c r="M2550">
        <v>0.993919</v>
      </c>
      <c r="N2550">
        <v>-1.2286699999999999E-2</v>
      </c>
      <c r="O2550">
        <v>-0.109426</v>
      </c>
      <c r="P2550">
        <v>0.97260210000000002</v>
      </c>
      <c r="Q2550">
        <v>0.20538000000000001</v>
      </c>
      <c r="R2550">
        <v>-0.1089239</v>
      </c>
      <c r="S2550">
        <v>3.0910030000000002</v>
      </c>
      <c r="T2550">
        <v>-9.6853259999999997E-2</v>
      </c>
      <c r="U2550">
        <v>-0.1238403</v>
      </c>
      <c r="V2550">
        <v>1.9684709999999998E-3</v>
      </c>
      <c r="W2550">
        <v>0.2173879</v>
      </c>
      <c r="X2550">
        <v>0.97608329999999999</v>
      </c>
      <c r="Y2550">
        <v>-6.9487359999999998E-2</v>
      </c>
      <c r="Z2550">
        <v>3.588108E-3</v>
      </c>
      <c r="AA2550">
        <v>0.99757640000000003</v>
      </c>
      <c r="AB2550">
        <v>29</v>
      </c>
      <c r="AC2550">
        <v>35.451599999999999</v>
      </c>
      <c r="AD2550">
        <v>-1.120978274551</v>
      </c>
      <c r="AE2550">
        <v>-1.39759999999998</v>
      </c>
      <c r="AF2550">
        <v>-2.4879299583186198</v>
      </c>
      <c r="AG2550">
        <v>-1.120978274551</v>
      </c>
      <c r="AH2550">
        <v>35.356329087068303</v>
      </c>
      <c r="AI2550">
        <v>91.811487560237097</v>
      </c>
      <c r="AJ2550">
        <v>94.025115402267005</v>
      </c>
      <c r="AK2550">
        <v>35.461477609972597</v>
      </c>
      <c r="AL2550">
        <v>77.444341923457799</v>
      </c>
      <c r="AM2550">
        <v>89.884451534524004</v>
      </c>
      <c r="AN2550">
        <v>0.99999999124168804</v>
      </c>
    </row>
    <row r="2551" spans="1:40" x14ac:dyDescent="0.25">
      <c r="A2551" t="str">
        <f>"20190303171026551"</f>
        <v>20190303171026551</v>
      </c>
      <c r="B2551" t="str">
        <f>"1551604226542693"</f>
        <v>1551604226542693</v>
      </c>
      <c r="C2551" t="s">
        <v>40</v>
      </c>
      <c r="D2551">
        <v>4.8328389999999999</v>
      </c>
      <c r="E2551">
        <v>0.4777863</v>
      </c>
      <c r="F2551" t="s">
        <v>60</v>
      </c>
      <c r="G2551">
        <v>-421.29289999999997</v>
      </c>
      <c r="H2551" s="1">
        <v>3.8720049999999999E-6</v>
      </c>
      <c r="I2551">
        <v>213.0522</v>
      </c>
      <c r="J2551">
        <v>-457.30709999999999</v>
      </c>
      <c r="K2551">
        <v>1.1210659999999999</v>
      </c>
      <c r="L2551">
        <v>214.4238</v>
      </c>
      <c r="M2551">
        <v>0.99391529999999995</v>
      </c>
      <c r="N2551">
        <v>-1.2216970000000001E-2</v>
      </c>
      <c r="O2551">
        <v>-0.1094688</v>
      </c>
      <c r="P2551">
        <v>0.97275800000000001</v>
      </c>
      <c r="Q2551">
        <v>0.2051433</v>
      </c>
      <c r="R2551">
        <v>-0.1079743</v>
      </c>
      <c r="S2551">
        <v>3.0913089999999999</v>
      </c>
      <c r="T2551">
        <v>-9.5524910000000005E-2</v>
      </c>
      <c r="U2551">
        <v>-0.11935419999999999</v>
      </c>
      <c r="V2551">
        <v>9.1570569999999997E-4</v>
      </c>
      <c r="W2551">
        <v>0.21708479999999999</v>
      </c>
      <c r="X2551">
        <v>0.97615229999999997</v>
      </c>
      <c r="Y2551">
        <v>-7.0980470000000004E-2</v>
      </c>
      <c r="Z2551">
        <v>3.5642289999999999E-3</v>
      </c>
      <c r="AA2551">
        <v>0.99747129999999995</v>
      </c>
      <c r="AB2551">
        <v>29</v>
      </c>
      <c r="AC2551">
        <v>36.014200000000002</v>
      </c>
      <c r="AD2551">
        <v>-1.1210621279949999</v>
      </c>
      <c r="AE2551">
        <v>-1.3715999999999999</v>
      </c>
      <c r="AF2551">
        <v>-2.5768758403164398</v>
      </c>
      <c r="AG2551">
        <v>-1.1210621279949999</v>
      </c>
      <c r="AH2551">
        <v>35.913140796672202</v>
      </c>
      <c r="AI2551">
        <v>91.783378514486799</v>
      </c>
      <c r="AJ2551">
        <v>94.104110778339802</v>
      </c>
      <c r="AK2551">
        <v>36.022919804935697</v>
      </c>
      <c r="AL2551">
        <v>77.462133013663504</v>
      </c>
      <c r="AM2551">
        <v>89.946252181656206</v>
      </c>
      <c r="AN2551">
        <v>0.999999980851629</v>
      </c>
    </row>
    <row r="2552" spans="1:40" x14ac:dyDescent="0.25">
      <c r="A2552" t="str">
        <f>"20190303171026572"</f>
        <v>20190303171026572</v>
      </c>
      <c r="B2552" t="str">
        <f>"1551604226563189"</f>
        <v>1551604226563189</v>
      </c>
      <c r="C2552" t="s">
        <v>40</v>
      </c>
      <c r="D2552">
        <v>4.8992129999999996</v>
      </c>
      <c r="E2552">
        <v>0.47784919999999997</v>
      </c>
      <c r="F2552" t="s">
        <v>60</v>
      </c>
      <c r="G2552">
        <v>-421.47469999999998</v>
      </c>
      <c r="H2552" s="1">
        <v>3.83716E-6</v>
      </c>
      <c r="I2552">
        <v>213.08179999999999</v>
      </c>
      <c r="J2552">
        <v>-457.03179999999998</v>
      </c>
      <c r="K2552">
        <v>1.121138</v>
      </c>
      <c r="L2552">
        <v>214.39330000000001</v>
      </c>
      <c r="M2552">
        <v>0.99391719999999895</v>
      </c>
      <c r="N2552">
        <v>-1.213798E-2</v>
      </c>
      <c r="O2552">
        <v>-0.1094594</v>
      </c>
      <c r="P2552">
        <v>0.97305889999999995</v>
      </c>
      <c r="Q2552">
        <v>0.2043044</v>
      </c>
      <c r="R2552">
        <v>-0.1068462</v>
      </c>
      <c r="S2552">
        <v>3.091583</v>
      </c>
      <c r="T2552">
        <v>-9.6724149999999995E-2</v>
      </c>
      <c r="U2552">
        <v>-0.1157837</v>
      </c>
      <c r="V2552">
        <v>-2.7171759999999997E-4</v>
      </c>
      <c r="W2552">
        <v>0.21617140000000001</v>
      </c>
      <c r="X2552">
        <v>0.97635539999999998</v>
      </c>
      <c r="Y2552">
        <v>-7.212201E-2</v>
      </c>
      <c r="Z2552">
        <v>3.6505180000000002E-3</v>
      </c>
      <c r="AA2552">
        <v>0.99738910000000003</v>
      </c>
      <c r="AB2552">
        <v>29</v>
      </c>
      <c r="AC2552">
        <v>35.557099999999899</v>
      </c>
      <c r="AD2552">
        <v>-1.12113416284</v>
      </c>
      <c r="AE2552">
        <v>-1.3115000000000201</v>
      </c>
      <c r="AF2552">
        <v>-2.586159412157</v>
      </c>
      <c r="AG2552">
        <v>-1.12113416284</v>
      </c>
      <c r="AH2552">
        <v>35.451784543902797</v>
      </c>
      <c r="AI2552">
        <v>91.8065320966912</v>
      </c>
      <c r="AJ2552">
        <v>94.172258679213499</v>
      </c>
      <c r="AK2552">
        <v>35.563663895379001</v>
      </c>
      <c r="AL2552">
        <v>77.515740259514402</v>
      </c>
      <c r="AM2552">
        <v>90.015945291332898</v>
      </c>
      <c r="AN2552">
        <v>1.00000000755878</v>
      </c>
    </row>
    <row r="2553" spans="1:40" x14ac:dyDescent="0.25">
      <c r="A2553" t="str">
        <f>"20190303171026595"</f>
        <v>20190303171026595</v>
      </c>
      <c r="B2553" t="str">
        <f>"1551604226582710"</f>
        <v>1551604226582710</v>
      </c>
      <c r="C2553" t="s">
        <v>40</v>
      </c>
      <c r="D2553">
        <v>4.956817</v>
      </c>
      <c r="E2553">
        <v>0.47763070000000002</v>
      </c>
      <c r="F2553" t="s">
        <v>60</v>
      </c>
      <c r="G2553">
        <v>-423.4529</v>
      </c>
      <c r="H2553" s="1">
        <v>3.4785779999999999E-6</v>
      </c>
      <c r="I2553">
        <v>213.16990000000001</v>
      </c>
      <c r="J2553">
        <v>-456.73689999999999</v>
      </c>
      <c r="K2553">
        <v>1.1211869999999999</v>
      </c>
      <c r="L2553">
        <v>214.36080000000001</v>
      </c>
      <c r="M2553">
        <v>0.99392250000000004</v>
      </c>
      <c r="N2553">
        <v>-1.2047449999999999E-2</v>
      </c>
      <c r="O2553">
        <v>-0.10942250000000001</v>
      </c>
      <c r="P2553">
        <v>0.97351149999999997</v>
      </c>
      <c r="Q2553">
        <v>0.20348040000000001</v>
      </c>
      <c r="R2553">
        <v>-0.10426729999999999</v>
      </c>
      <c r="S2553">
        <v>3.092346</v>
      </c>
      <c r="T2553">
        <v>-0.1032474</v>
      </c>
      <c r="U2553">
        <v>-0.11267089999999901</v>
      </c>
      <c r="V2553">
        <v>-2.8789919999999999E-3</v>
      </c>
      <c r="W2553">
        <v>0.21526120000000001</v>
      </c>
      <c r="X2553">
        <v>0.97655219999999998</v>
      </c>
      <c r="Y2553">
        <v>-7.3085380000000005E-2</v>
      </c>
      <c r="Z2553">
        <v>3.9835000000000001E-3</v>
      </c>
      <c r="AA2553">
        <v>0.99731769999999997</v>
      </c>
      <c r="AB2553">
        <v>29</v>
      </c>
      <c r="AC2553">
        <v>33.283999999999899</v>
      </c>
      <c r="AD2553">
        <v>-1.1211835214219901</v>
      </c>
      <c r="AE2553">
        <v>-1.1908999999999901</v>
      </c>
      <c r="AF2553">
        <v>-2.4557511784733999</v>
      </c>
      <c r="AG2553">
        <v>-1.1211835214219901</v>
      </c>
      <c r="AH2553">
        <v>33.176834496496397</v>
      </c>
      <c r="AI2553">
        <v>91.930249952210701</v>
      </c>
      <c r="AJ2553">
        <v>94.233316722172702</v>
      </c>
      <c r="AK2553">
        <v>33.286485449010598</v>
      </c>
      <c r="AL2553">
        <v>77.569147411864606</v>
      </c>
      <c r="AM2553">
        <v>90.1689142812439</v>
      </c>
      <c r="AN2553">
        <v>0.99999993607260595</v>
      </c>
    </row>
    <row r="2554" spans="1:40" x14ac:dyDescent="0.25">
      <c r="A2554" t="str">
        <f>"20190303171026619"</f>
        <v>20190303171026619</v>
      </c>
      <c r="B2554" t="str">
        <f>"1551604226612965"</f>
        <v>1551604226612965</v>
      </c>
      <c r="C2554" t="s">
        <v>40</v>
      </c>
      <c r="D2554">
        <v>4.9567610000000002</v>
      </c>
      <c r="E2554">
        <v>0.4774234</v>
      </c>
      <c r="F2554" t="s">
        <v>60</v>
      </c>
      <c r="G2554">
        <v>-424.13069999999999</v>
      </c>
      <c r="H2554" s="1">
        <v>3.3499389999999999E-6</v>
      </c>
      <c r="I2554">
        <v>213.26589999999999</v>
      </c>
      <c r="J2554">
        <v>-456.44319999999999</v>
      </c>
      <c r="K2554">
        <v>1.1212009999999999</v>
      </c>
      <c r="L2554">
        <v>214.32849999999999</v>
      </c>
      <c r="M2554">
        <v>0.99392899999999995</v>
      </c>
      <c r="N2554">
        <v>-1.1941830000000001E-2</v>
      </c>
      <c r="O2554">
        <v>-0.1093736</v>
      </c>
      <c r="P2554">
        <v>0.97401020000000005</v>
      </c>
      <c r="Q2554">
        <v>0.20243340000000001</v>
      </c>
      <c r="R2554">
        <v>-0.1016116</v>
      </c>
      <c r="S2554">
        <v>3.092743</v>
      </c>
      <c r="T2554">
        <v>-0.1063458</v>
      </c>
      <c r="U2554">
        <v>-0.10385129999999999</v>
      </c>
      <c r="V2554">
        <v>-5.5407030000000001E-3</v>
      </c>
      <c r="W2554">
        <v>0.2141132</v>
      </c>
      <c r="X2554">
        <v>0.97679309999999997</v>
      </c>
      <c r="Y2554">
        <v>-7.5873499999999997E-2</v>
      </c>
      <c r="Z2554">
        <v>4.2002979999999999E-3</v>
      </c>
      <c r="AA2554">
        <v>0.99710860000000001</v>
      </c>
      <c r="AB2554">
        <v>29</v>
      </c>
      <c r="AC2554">
        <v>32.3125</v>
      </c>
      <c r="AD2554">
        <v>-1.1211976500609999</v>
      </c>
      <c r="AE2554">
        <v>-1.0626</v>
      </c>
      <c r="AF2554">
        <v>-2.4751852610738299</v>
      </c>
      <c r="AG2554">
        <v>-1.1211976500609999</v>
      </c>
      <c r="AH2554">
        <v>32.196126987248299</v>
      </c>
      <c r="AI2554">
        <v>91.988598561191495</v>
      </c>
      <c r="AJ2554">
        <v>94.396158007900496</v>
      </c>
      <c r="AK2554">
        <v>32.310589892884302</v>
      </c>
      <c r="AL2554">
        <v>77.636493601966095</v>
      </c>
      <c r="AM2554">
        <v>90.324997681399793</v>
      </c>
      <c r="AN2554">
        <v>0.99999996100579103</v>
      </c>
    </row>
    <row r="2555" spans="1:40" x14ac:dyDescent="0.25">
      <c r="A2555" t="str">
        <f>"20190303171026639"</f>
        <v>20190303171026639</v>
      </c>
      <c r="B2555" t="str">
        <f>"1551604226633462"</f>
        <v>1551604226633462</v>
      </c>
      <c r="C2555" t="s">
        <v>40</v>
      </c>
      <c r="D2555">
        <v>4.9503620000000002</v>
      </c>
      <c r="E2555">
        <v>0.47732059999999998</v>
      </c>
      <c r="F2555" t="s">
        <v>60</v>
      </c>
      <c r="G2555">
        <v>-424.99720000000002</v>
      </c>
      <c r="H2555" s="1">
        <v>3.1889839999999999E-6</v>
      </c>
      <c r="I2555">
        <v>213.34899999999999</v>
      </c>
      <c r="J2555">
        <v>-456.18459999999999</v>
      </c>
      <c r="K2555">
        <v>1.121192</v>
      </c>
      <c r="L2555">
        <v>214.3</v>
      </c>
      <c r="M2555">
        <v>0.99393509999999996</v>
      </c>
      <c r="N2555">
        <v>-1.183937E-2</v>
      </c>
      <c r="O2555">
        <v>-0.10933030000000001</v>
      </c>
      <c r="P2555">
        <v>0.97418510000000003</v>
      </c>
      <c r="Q2555">
        <v>0.2026027</v>
      </c>
      <c r="R2555">
        <v>-9.9578570000000005E-2</v>
      </c>
      <c r="S2555">
        <v>3.0929259999999998</v>
      </c>
      <c r="T2555">
        <v>-0.1102771</v>
      </c>
      <c r="U2555">
        <v>-9.6343990000000004E-2</v>
      </c>
      <c r="V2555">
        <v>-7.5429249999999998E-3</v>
      </c>
      <c r="W2555">
        <v>0.2141817</v>
      </c>
      <c r="X2555">
        <v>0.97676470000000004</v>
      </c>
      <c r="Y2555">
        <v>-7.8240069999999995E-2</v>
      </c>
      <c r="Z2555">
        <v>4.4495849999999998E-3</v>
      </c>
      <c r="AA2555">
        <v>0.99692460000000005</v>
      </c>
      <c r="AB2555">
        <v>29</v>
      </c>
      <c r="AC2555">
        <v>31.187399999999901</v>
      </c>
      <c r="AD2555">
        <v>-1.121188811016</v>
      </c>
      <c r="AE2555">
        <v>-0.95099999999999296</v>
      </c>
      <c r="AF2555">
        <v>-2.4614896405323199</v>
      </c>
      <c r="AG2555">
        <v>-1.121188811016</v>
      </c>
      <c r="AH2555">
        <v>31.064290122697201</v>
      </c>
      <c r="AI2555">
        <v>92.060599091138798</v>
      </c>
      <c r="AJ2555">
        <v>94.530568828490104</v>
      </c>
      <c r="AK2555">
        <v>31.181823494265</v>
      </c>
      <c r="AL2555">
        <v>77.632475965336994</v>
      </c>
      <c r="AM2555">
        <v>90.442449626863194</v>
      </c>
      <c r="AN2555">
        <v>0.99999998774926702</v>
      </c>
    </row>
    <row r="2556" spans="1:40" x14ac:dyDescent="0.25">
      <c r="A2556" t="str">
        <f>"20190303171026661"</f>
        <v>20190303171026661</v>
      </c>
      <c r="B2556" t="str">
        <f>"1551604226652982"</f>
        <v>1551604226652982</v>
      </c>
      <c r="C2556" t="s">
        <v>40</v>
      </c>
      <c r="D2556">
        <v>4.9513389999999999</v>
      </c>
      <c r="E2556">
        <v>0.4772613</v>
      </c>
      <c r="F2556" t="s">
        <v>60</v>
      </c>
      <c r="G2556">
        <v>-424.36540000000002</v>
      </c>
      <c r="H2556" s="1">
        <v>3.2993310000000001E-6</v>
      </c>
      <c r="I2556">
        <v>213.36869999999999</v>
      </c>
      <c r="J2556">
        <v>-455.90109999999999</v>
      </c>
      <c r="K2556">
        <v>1.1211690000000001</v>
      </c>
      <c r="L2556">
        <v>214.2689</v>
      </c>
      <c r="M2556">
        <v>0.99394070000000001</v>
      </c>
      <c r="N2556">
        <v>-1.173046E-2</v>
      </c>
      <c r="O2556">
        <v>-0.1092907</v>
      </c>
      <c r="P2556">
        <v>0.97424259999999996</v>
      </c>
      <c r="Q2556">
        <v>0.20292370000000001</v>
      </c>
      <c r="R2556">
        <v>-9.8355109999999996E-2</v>
      </c>
      <c r="S2556">
        <v>3.0929570000000002</v>
      </c>
      <c r="T2556">
        <v>-0.10898389999999999</v>
      </c>
      <c r="U2556">
        <v>-9.0530399999999997E-2</v>
      </c>
      <c r="V2556">
        <v>-8.7259909999999902E-3</v>
      </c>
      <c r="W2556">
        <v>0.21439549999999999</v>
      </c>
      <c r="X2556">
        <v>0.97670789999999996</v>
      </c>
      <c r="Y2556">
        <v>-8.007338E-2</v>
      </c>
      <c r="Z2556">
        <v>4.437631E-3</v>
      </c>
      <c r="AA2556">
        <v>0.99677910000000003</v>
      </c>
      <c r="AB2556">
        <v>29</v>
      </c>
      <c r="AC2556">
        <v>31.535699999999899</v>
      </c>
      <c r="AD2556">
        <v>-1.1211657006689999</v>
      </c>
      <c r="AE2556">
        <v>-0.90020000000001199</v>
      </c>
      <c r="AF2556">
        <v>-2.5487697430245002</v>
      </c>
      <c r="AG2556">
        <v>-1.1211657006689999</v>
      </c>
      <c r="AH2556">
        <v>31.405496920725</v>
      </c>
      <c r="AI2556">
        <v>92.037877343185698</v>
      </c>
      <c r="AJ2556">
        <v>94.639773640605796</v>
      </c>
      <c r="AK2556">
        <v>31.528692909300599</v>
      </c>
      <c r="AL2556">
        <v>77.619934296600107</v>
      </c>
      <c r="AM2556">
        <v>90.511871722371694</v>
      </c>
      <c r="AN2556">
        <v>0.99999994763079403</v>
      </c>
    </row>
    <row r="2557" spans="1:40" x14ac:dyDescent="0.25">
      <c r="A2557" t="str">
        <f>"20190303171026683"</f>
        <v>20190303171026683</v>
      </c>
      <c r="B2557" t="str">
        <f>"1551604226673478"</f>
        <v>1551604226673478</v>
      </c>
      <c r="C2557" t="s">
        <v>40</v>
      </c>
      <c r="D2557">
        <v>4.3557110000000003</v>
      </c>
      <c r="E2557">
        <v>0.4772207</v>
      </c>
      <c r="F2557" t="s">
        <v>60</v>
      </c>
      <c r="G2557">
        <v>-423.74590000000001</v>
      </c>
      <c r="H2557" s="1">
        <v>3.4097639999999998E-6</v>
      </c>
      <c r="I2557">
        <v>213.3623</v>
      </c>
      <c r="J2557">
        <v>-455.6189</v>
      </c>
      <c r="K2557">
        <v>1.121149</v>
      </c>
      <c r="L2557">
        <v>214.2379</v>
      </c>
      <c r="M2557">
        <v>0.99394499999999997</v>
      </c>
      <c r="N2557">
        <v>-1.161851E-2</v>
      </c>
      <c r="O2557">
        <v>-0.10926370000000001</v>
      </c>
      <c r="P2557">
        <v>0.97436800000000001</v>
      </c>
      <c r="Q2557">
        <v>0.2028229</v>
      </c>
      <c r="R2557">
        <v>-9.7314399999999995E-2</v>
      </c>
      <c r="S2557">
        <v>3.0929259999999998</v>
      </c>
      <c r="T2557">
        <v>-0.1078423</v>
      </c>
      <c r="U2557">
        <v>-8.720398E-2</v>
      </c>
      <c r="V2557">
        <v>-9.7450000000000002E-3</v>
      </c>
      <c r="W2557">
        <v>0.2141854</v>
      </c>
      <c r="X2557">
        <v>0.97674439999999996</v>
      </c>
      <c r="Y2557">
        <v>-8.1118140000000005E-2</v>
      </c>
      <c r="Z2557">
        <v>4.4142529999999999E-3</v>
      </c>
      <c r="AA2557">
        <v>0.99669470000000004</v>
      </c>
      <c r="AB2557">
        <v>29</v>
      </c>
      <c r="AC2557">
        <v>31.872999999999902</v>
      </c>
      <c r="AD2557">
        <v>-1.1211455902359999</v>
      </c>
      <c r="AE2557">
        <v>-0.87559999999999105</v>
      </c>
      <c r="AF2557">
        <v>-2.6092137585952599</v>
      </c>
      <c r="AG2557">
        <v>-1.1211455902359999</v>
      </c>
      <c r="AH2557">
        <v>31.738581058887402</v>
      </c>
      <c r="AI2557">
        <v>92.016300120443205</v>
      </c>
      <c r="AJ2557">
        <v>94.699690513795701</v>
      </c>
      <c r="AK2557">
        <v>31.8653807682274</v>
      </c>
      <c r="AL2557">
        <v>77.632258922038005</v>
      </c>
      <c r="AM2557">
        <v>90.571622265064207</v>
      </c>
      <c r="AN2557">
        <v>0.99999998676475899</v>
      </c>
    </row>
    <row r="2558" spans="1:40" x14ac:dyDescent="0.25">
      <c r="A2558" t="str">
        <f>"20190303171026706"</f>
        <v>20190303171026706</v>
      </c>
      <c r="B2558" t="str">
        <f>"1551604226692998"</f>
        <v>1551604226692998</v>
      </c>
      <c r="C2558" t="s">
        <v>40</v>
      </c>
      <c r="D2558">
        <v>4.8985440000000002</v>
      </c>
      <c r="E2558">
        <v>0.47725689999999998</v>
      </c>
      <c r="F2558" t="s">
        <v>60</v>
      </c>
      <c r="G2558">
        <v>-423.64190000000002</v>
      </c>
      <c r="H2558" s="1">
        <v>3.4278960000000001E-6</v>
      </c>
      <c r="I2558">
        <v>213.36600000000001</v>
      </c>
      <c r="J2558">
        <v>-455.3322</v>
      </c>
      <c r="K2558">
        <v>1.1211249999999999</v>
      </c>
      <c r="L2558">
        <v>214.2064</v>
      </c>
      <c r="M2558">
        <v>0.9939479</v>
      </c>
      <c r="N2558">
        <v>-1.150223E-2</v>
      </c>
      <c r="O2558">
        <v>-0.1092499</v>
      </c>
      <c r="P2558">
        <v>0.97456980000000004</v>
      </c>
      <c r="Q2558">
        <v>0.20244590000000001</v>
      </c>
      <c r="R2558">
        <v>-9.6072089999999999E-2</v>
      </c>
      <c r="S2558">
        <v>3.0930789999999999</v>
      </c>
      <c r="T2558">
        <v>-0.1084464</v>
      </c>
      <c r="U2558">
        <v>-8.433533E-2</v>
      </c>
      <c r="V2558">
        <v>-1.098555E-2</v>
      </c>
      <c r="W2558">
        <v>0.21369589999999999</v>
      </c>
      <c r="X2558">
        <v>0.97683850000000005</v>
      </c>
      <c r="Y2558">
        <v>-8.2027100000000006E-2</v>
      </c>
      <c r="Z2558">
        <v>4.4721359999999998E-3</v>
      </c>
      <c r="AA2558">
        <v>0.99662010000000001</v>
      </c>
      <c r="AB2558">
        <v>29</v>
      </c>
      <c r="AC2558">
        <v>31.690299999999901</v>
      </c>
      <c r="AD2558">
        <v>-1.121121572104</v>
      </c>
      <c r="AE2558">
        <v>-0.84040000000001602</v>
      </c>
      <c r="AF2558">
        <v>-2.6237402527687101</v>
      </c>
      <c r="AG2558">
        <v>-1.121121572104</v>
      </c>
      <c r="AH2558">
        <v>31.552943671361401</v>
      </c>
      <c r="AI2558">
        <v>92.027952359947506</v>
      </c>
      <c r="AJ2558">
        <v>94.753413508264799</v>
      </c>
      <c r="AK2558">
        <v>31.6816852585455</v>
      </c>
      <c r="AL2558">
        <v>77.6609705996282</v>
      </c>
      <c r="AM2558">
        <v>90.6443225953021</v>
      </c>
      <c r="AN2558">
        <v>1.00000003753393</v>
      </c>
    </row>
    <row r="2559" spans="1:40" x14ac:dyDescent="0.25">
      <c r="A2559" t="str">
        <f>"20190303171026727"</f>
        <v>20190303171026727</v>
      </c>
      <c r="B2559" t="str">
        <f>"1551604226723254"</f>
        <v>1551604226723254</v>
      </c>
      <c r="C2559" t="s">
        <v>40</v>
      </c>
      <c r="D2559">
        <v>4.9351949999999896</v>
      </c>
      <c r="E2559">
        <v>0.47729840000000001</v>
      </c>
      <c r="F2559" t="s">
        <v>60</v>
      </c>
      <c r="G2559">
        <v>-423.65159999999997</v>
      </c>
      <c r="H2559" s="1">
        <v>3.4255059999999998E-6</v>
      </c>
      <c r="I2559">
        <v>213.37370000000001</v>
      </c>
      <c r="J2559">
        <v>-455.06029999999998</v>
      </c>
      <c r="K2559">
        <v>1.1211059999999999</v>
      </c>
      <c r="L2559">
        <v>214.1765</v>
      </c>
      <c r="M2559">
        <v>0.99394939999999998</v>
      </c>
      <c r="N2559">
        <v>-1.139601E-2</v>
      </c>
      <c r="O2559">
        <v>-0.1092462</v>
      </c>
      <c r="P2559">
        <v>0.97464479999999998</v>
      </c>
      <c r="Q2559">
        <v>0.20222699999999999</v>
      </c>
      <c r="R2559">
        <v>-9.5770090000000002E-2</v>
      </c>
      <c r="S2559">
        <v>3.093048</v>
      </c>
      <c r="T2559">
        <v>-0.1094577</v>
      </c>
      <c r="U2559">
        <v>-8.1298830000000002E-2</v>
      </c>
      <c r="V2559">
        <v>-1.1287729999999999E-2</v>
      </c>
      <c r="W2559">
        <v>0.21337349999999999</v>
      </c>
      <c r="X2559">
        <v>0.97690549999999998</v>
      </c>
      <c r="Y2559">
        <v>-8.2997790000000002E-2</v>
      </c>
      <c r="Z2559">
        <v>4.5512039999999997E-3</v>
      </c>
      <c r="AA2559">
        <v>0.99653939999999996</v>
      </c>
      <c r="AB2559">
        <v>29</v>
      </c>
      <c r="AC2559">
        <v>31.4087</v>
      </c>
      <c r="AD2559">
        <v>-1.121102574494</v>
      </c>
      <c r="AE2559">
        <v>-0.80279999999998997</v>
      </c>
      <c r="AF2559">
        <v>-2.6301607386244501</v>
      </c>
      <c r="AG2559">
        <v>-1.121102574494</v>
      </c>
      <c r="AH2559">
        <v>31.2685821357055</v>
      </c>
      <c r="AI2559">
        <v>92.046181355129306</v>
      </c>
      <c r="AJ2559">
        <v>94.808123326570893</v>
      </c>
      <c r="AK2559">
        <v>31.399026183480601</v>
      </c>
      <c r="AL2559">
        <v>77.679878519412696</v>
      </c>
      <c r="AM2559">
        <v>90.661999046899396</v>
      </c>
      <c r="AN2559">
        <v>1.0000000096405199</v>
      </c>
    </row>
    <row r="2560" spans="1:40" x14ac:dyDescent="0.25">
      <c r="A2560" t="str">
        <f>"20190303171026752"</f>
        <v>20190303171026752</v>
      </c>
      <c r="B2560" t="str">
        <f>"1551604226743282"</f>
        <v>1551604226743282</v>
      </c>
      <c r="C2560" t="s">
        <v>40</v>
      </c>
      <c r="D2560">
        <v>4.9085460000000003</v>
      </c>
      <c r="E2560">
        <v>0.47732059999999998</v>
      </c>
      <c r="F2560" t="s">
        <v>60</v>
      </c>
      <c r="G2560">
        <v>-423.58150000000001</v>
      </c>
      <c r="H2560" s="1">
        <v>3.439727E-6</v>
      </c>
      <c r="I2560">
        <v>213.35329999999999</v>
      </c>
      <c r="J2560">
        <v>-454.74220000000003</v>
      </c>
      <c r="K2560">
        <v>1.121089</v>
      </c>
      <c r="L2560">
        <v>214.14160000000001</v>
      </c>
      <c r="M2560">
        <v>0.99395049999999996</v>
      </c>
      <c r="N2560">
        <v>-1.128234E-2</v>
      </c>
      <c r="O2560">
        <v>-0.10924830000000001</v>
      </c>
      <c r="P2560">
        <v>0.97465749999999995</v>
      </c>
      <c r="Q2560">
        <v>0.20223060000000001</v>
      </c>
      <c r="R2560">
        <v>-9.5632220000000004E-2</v>
      </c>
      <c r="S2560">
        <v>3.0929570000000002</v>
      </c>
      <c r="T2560">
        <v>-0.1101539</v>
      </c>
      <c r="U2560">
        <v>-8.0886840000000002E-2</v>
      </c>
      <c r="V2560">
        <v>-1.142542E-2</v>
      </c>
      <c r="W2560">
        <v>0.21326639999999999</v>
      </c>
      <c r="X2560">
        <v>0.97692730000000005</v>
      </c>
      <c r="Y2560">
        <v>-8.3130049999999997E-2</v>
      </c>
      <c r="Z2560">
        <v>4.5960999999999997E-3</v>
      </c>
      <c r="AA2560">
        <v>0.99652810000000003</v>
      </c>
      <c r="AB2560">
        <v>29</v>
      </c>
      <c r="AC2560">
        <v>31.160699999999999</v>
      </c>
      <c r="AD2560">
        <v>-1.1210855602730001</v>
      </c>
      <c r="AE2560">
        <v>-0.78830000000001998</v>
      </c>
      <c r="AF2560">
        <v>-2.6175031458237301</v>
      </c>
      <c r="AG2560">
        <v>-1.1210855602730001</v>
      </c>
      <c r="AH2560">
        <v>31.020163151525999</v>
      </c>
      <c r="AI2560">
        <v>92.062476649520804</v>
      </c>
      <c r="AJ2560">
        <v>94.823232452856999</v>
      </c>
      <c r="AK2560">
        <v>31.150580692807999</v>
      </c>
      <c r="AL2560">
        <v>77.686159643596795</v>
      </c>
      <c r="AM2560">
        <v>90.670058561280598</v>
      </c>
      <c r="AN2560">
        <v>1.00000002353821</v>
      </c>
    </row>
    <row r="2561" spans="1:40" x14ac:dyDescent="0.25">
      <c r="A2561" t="str">
        <f>"20190303171026774"</f>
        <v>20190303171026774</v>
      </c>
      <c r="B2561" t="str">
        <f>"1551604226762801"</f>
        <v>1551604226762801</v>
      </c>
      <c r="C2561" t="s">
        <v>40</v>
      </c>
      <c r="D2561">
        <v>4.9362709999999996</v>
      </c>
      <c r="E2561">
        <v>0.47743780000000002</v>
      </c>
      <c r="F2561" t="s">
        <v>60</v>
      </c>
      <c r="G2561">
        <v>-423.23309999999998</v>
      </c>
      <c r="H2561" s="1">
        <v>3.5046089999999999E-6</v>
      </c>
      <c r="I2561">
        <v>213.31800000000001</v>
      </c>
      <c r="J2561">
        <v>-454.46420000000001</v>
      </c>
      <c r="K2561">
        <v>1.1210739999999999</v>
      </c>
      <c r="L2561">
        <v>214.11099999999999</v>
      </c>
      <c r="M2561">
        <v>0.99395109999999998</v>
      </c>
      <c r="N2561">
        <v>-1.11875E-2</v>
      </c>
      <c r="O2561">
        <v>-0.1092524</v>
      </c>
      <c r="P2561">
        <v>0.97473140000000003</v>
      </c>
      <c r="Q2561">
        <v>0.20233970000000001</v>
      </c>
      <c r="R2561">
        <v>-9.4643459999999999E-2</v>
      </c>
      <c r="S2561">
        <v>3.0928650000000002</v>
      </c>
      <c r="T2561">
        <v>-0.11004319999999999</v>
      </c>
      <c r="U2561">
        <v>-8.0841060000000006E-2</v>
      </c>
      <c r="V2561">
        <v>-1.241807E-2</v>
      </c>
      <c r="W2561">
        <v>0.21328269999999999</v>
      </c>
      <c r="X2561">
        <v>0.97691159999999999</v>
      </c>
      <c r="Y2561">
        <v>-8.3148079999999999E-2</v>
      </c>
      <c r="Z2561">
        <v>4.5978260000000002E-3</v>
      </c>
      <c r="AA2561">
        <v>0.99652660000000004</v>
      </c>
      <c r="AB2561">
        <v>29</v>
      </c>
      <c r="AC2561">
        <v>31.231100000000001</v>
      </c>
      <c r="AD2561">
        <v>-1.121070495391</v>
      </c>
      <c r="AE2561">
        <v>-0.79300000000000603</v>
      </c>
      <c r="AF2561">
        <v>-2.62065898036834</v>
      </c>
      <c r="AG2561">
        <v>-1.121070495391</v>
      </c>
      <c r="AH2561">
        <v>31.090735780747</v>
      </c>
      <c r="AI2561">
        <v>92.057786950854407</v>
      </c>
      <c r="AJ2561">
        <v>94.818110480294806</v>
      </c>
      <c r="AK2561">
        <v>31.221122720607699</v>
      </c>
      <c r="AL2561">
        <v>77.685203389556506</v>
      </c>
      <c r="AM2561">
        <v>90.728279490153199</v>
      </c>
      <c r="AN2561">
        <v>0.99999999639818704</v>
      </c>
    </row>
    <row r="2562" spans="1:40" x14ac:dyDescent="0.25">
      <c r="A2562" t="str">
        <f>"20190303171026797"</f>
        <v>20190303171026797</v>
      </c>
      <c r="B2562" t="str">
        <f>"1551604226783300"</f>
        <v>1551604226783300</v>
      </c>
      <c r="C2562" t="s">
        <v>40</v>
      </c>
      <c r="D2562">
        <v>4.9250550000000004</v>
      </c>
      <c r="E2562">
        <v>0.47748190000000001</v>
      </c>
      <c r="F2562" t="s">
        <v>60</v>
      </c>
      <c r="G2562">
        <v>-422.95659999999998</v>
      </c>
      <c r="H2562" s="1">
        <v>3.5544210000000002E-6</v>
      </c>
      <c r="I2562">
        <v>213.30930000000001</v>
      </c>
      <c r="J2562">
        <v>-454.16899999999998</v>
      </c>
      <c r="K2562">
        <v>1.121062</v>
      </c>
      <c r="L2562">
        <v>214.07859999999999</v>
      </c>
      <c r="M2562">
        <v>0.99395169999999999</v>
      </c>
      <c r="N2562">
        <v>-1.1092960000000001E-2</v>
      </c>
      <c r="O2562">
        <v>-0.10925600000000001</v>
      </c>
      <c r="P2562">
        <v>0.97495480000000001</v>
      </c>
      <c r="Q2562">
        <v>0.20180319999999999</v>
      </c>
      <c r="R2562">
        <v>-9.347954E-2</v>
      </c>
      <c r="S2562">
        <v>3.0929869999999999</v>
      </c>
      <c r="T2562">
        <v>-0.11005139999999999</v>
      </c>
      <c r="U2562">
        <v>-7.8704830000000003E-2</v>
      </c>
      <c r="V2562">
        <v>-1.3600839999999999E-2</v>
      </c>
      <c r="W2562">
        <v>0.21265510000000001</v>
      </c>
      <c r="X2562">
        <v>0.97703269999999998</v>
      </c>
      <c r="Y2562">
        <v>-8.3839739999999996E-2</v>
      </c>
      <c r="Z2562">
        <v>4.6207330000000001E-3</v>
      </c>
      <c r="AA2562">
        <v>0.99646849999999998</v>
      </c>
      <c r="AB2562">
        <v>29</v>
      </c>
      <c r="AC2562">
        <v>31.212399999999999</v>
      </c>
      <c r="AD2562">
        <v>-1.121058445579</v>
      </c>
      <c r="AE2562">
        <v>-0.76929999999998699</v>
      </c>
      <c r="AF2562">
        <v>-2.6422513031142398</v>
      </c>
      <c r="AG2562">
        <v>-1.121058445579</v>
      </c>
      <c r="AH2562">
        <v>31.0695277205247</v>
      </c>
      <c r="AI2562">
        <v>92.059038129093594</v>
      </c>
      <c r="AJ2562">
        <v>94.8609189473962</v>
      </c>
      <c r="AK2562">
        <v>31.201823933284199</v>
      </c>
      <c r="AL2562">
        <v>77.722007012381894</v>
      </c>
      <c r="AM2562">
        <v>90.797537686804603</v>
      </c>
      <c r="AN2562">
        <v>1.000000035637</v>
      </c>
    </row>
    <row r="2563" spans="1:40" x14ac:dyDescent="0.25">
      <c r="A2563" t="str">
        <f>"20190303171026819"</f>
        <v>20190303171026819</v>
      </c>
      <c r="B2563" t="str">
        <f>"1551604226813554"</f>
        <v>1551604226813554</v>
      </c>
      <c r="C2563" t="s">
        <v>40</v>
      </c>
      <c r="D2563">
        <v>4.8873309999999996</v>
      </c>
      <c r="E2563">
        <v>0.45577220000000002</v>
      </c>
      <c r="F2563" t="s">
        <v>60</v>
      </c>
      <c r="G2563">
        <v>-423.26420000000002</v>
      </c>
      <c r="H2563" s="1">
        <v>3.4995250000000002E-6</v>
      </c>
      <c r="I2563">
        <v>213.31299999999999</v>
      </c>
      <c r="J2563">
        <v>-453.88260000000002</v>
      </c>
      <c r="K2563">
        <v>1.1210530000000001</v>
      </c>
      <c r="L2563">
        <v>214.0471</v>
      </c>
      <c r="M2563">
        <v>0.99395250000000002</v>
      </c>
      <c r="N2563">
        <v>-1.1012259999999999E-2</v>
      </c>
      <c r="O2563">
        <v>-0.10925849999999999</v>
      </c>
      <c r="P2563">
        <v>0.97512889999999997</v>
      </c>
      <c r="Q2563">
        <v>0.20175000000000001</v>
      </c>
      <c r="R2563">
        <v>-9.1766130000000001E-2</v>
      </c>
      <c r="S2563">
        <v>3.0929259999999998</v>
      </c>
      <c r="T2563">
        <v>-0.1121943</v>
      </c>
      <c r="U2563">
        <v>-7.6614379999999996E-2</v>
      </c>
      <c r="V2563">
        <v>-1.5324580000000001E-2</v>
      </c>
      <c r="W2563">
        <v>0.21252270000000001</v>
      </c>
      <c r="X2563">
        <v>0.97703589999999996</v>
      </c>
      <c r="Y2563">
        <v>-8.4509730000000005E-2</v>
      </c>
      <c r="Z2563">
        <v>4.7467669999999998E-3</v>
      </c>
      <c r="AA2563">
        <v>0.9964113</v>
      </c>
      <c r="AB2563">
        <v>29</v>
      </c>
      <c r="AC2563">
        <v>30.618400000000001</v>
      </c>
      <c r="AD2563">
        <v>-1.1210495004750001</v>
      </c>
      <c r="AE2563">
        <v>-0.73410000000001197</v>
      </c>
      <c r="AF2563">
        <v>-2.6123182542468899</v>
      </c>
      <c r="AG2563">
        <v>-1.1210495004750001</v>
      </c>
      <c r="AH2563">
        <v>30.474459028279</v>
      </c>
      <c r="AI2563">
        <v>92.099071595931704</v>
      </c>
      <c r="AJ2563">
        <v>94.899506360494499</v>
      </c>
      <c r="AK2563">
        <v>30.6067576151124</v>
      </c>
      <c r="AL2563">
        <v>77.729769306282805</v>
      </c>
      <c r="AM2563">
        <v>90.898597242112899</v>
      </c>
      <c r="AN2563">
        <v>0.99999994532813596</v>
      </c>
    </row>
    <row r="2564" spans="1:40" x14ac:dyDescent="0.25">
      <c r="A2564" t="str">
        <f>"20190303171026840"</f>
        <v>20190303171026840</v>
      </c>
      <c r="B2564" t="str">
        <f>"1551604226833580"</f>
        <v>1551604226833580</v>
      </c>
      <c r="C2564" t="s">
        <v>40</v>
      </c>
      <c r="D2564">
        <v>5.0108889999999997</v>
      </c>
      <c r="E2564">
        <v>0.43581619999999999</v>
      </c>
      <c r="F2564" t="s">
        <v>49</v>
      </c>
      <c r="G2564">
        <v>-157.25</v>
      </c>
      <c r="H2564">
        <v>35.965789999999998</v>
      </c>
      <c r="I2564">
        <v>222.3802</v>
      </c>
      <c r="J2564">
        <v>-453.61239999999998</v>
      </c>
      <c r="K2564">
        <v>1.121046</v>
      </c>
      <c r="L2564">
        <v>214.01750000000001</v>
      </c>
      <c r="M2564">
        <v>0.99395290000000003</v>
      </c>
      <c r="N2564">
        <v>-1.0943080000000001E-2</v>
      </c>
      <c r="O2564">
        <v>-0.1092596</v>
      </c>
      <c r="P2564">
        <v>0.97531060000000003</v>
      </c>
      <c r="Q2564">
        <v>0.20155609999999999</v>
      </c>
      <c r="R2564">
        <v>-9.0244530000000003E-2</v>
      </c>
      <c r="S2564">
        <v>3.0113219999999998</v>
      </c>
      <c r="T2564">
        <v>0.35373339999999998</v>
      </c>
      <c r="U2564">
        <v>8.4594730000000007E-2</v>
      </c>
      <c r="V2564">
        <v>-1.685644E-2</v>
      </c>
      <c r="W2564">
        <v>0.21226139999999999</v>
      </c>
      <c r="X2564">
        <v>0.97706749999999998</v>
      </c>
      <c r="Y2564">
        <v>-0.13539689999999999</v>
      </c>
      <c r="Z2564">
        <v>-2.114626E-2</v>
      </c>
      <c r="AA2564">
        <v>0.99056580000000005</v>
      </c>
      <c r="AB2564">
        <v>29</v>
      </c>
      <c r="AC2564">
        <v>296.36239999999998</v>
      </c>
      <c r="AD2564">
        <v>34.844743999999999</v>
      </c>
      <c r="AE2564">
        <v>8.3626999999999896</v>
      </c>
      <c r="AF2564">
        <v>-40.140553742460803</v>
      </c>
      <c r="AG2564">
        <v>34.844743999999999</v>
      </c>
      <c r="AH2564">
        <v>289.67297489403501</v>
      </c>
      <c r="AI2564">
        <v>83.205162767358104</v>
      </c>
      <c r="AJ2564">
        <v>97.8893472601018</v>
      </c>
      <c r="AK2564">
        <v>294.50951193999998</v>
      </c>
      <c r="AL2564">
        <v>77.745090562409501</v>
      </c>
      <c r="AM2564">
        <v>90.988372930348703</v>
      </c>
      <c r="AN2564">
        <v>0.99999997052784095</v>
      </c>
    </row>
    <row r="2565" spans="1:40" x14ac:dyDescent="0.25">
      <c r="A2565" t="str">
        <f>"20190303171026872"</f>
        <v>20190303171026872</v>
      </c>
      <c r="B2565" t="str">
        <f>"1551604226862861"</f>
        <v>1551604226862861</v>
      </c>
      <c r="C2565" t="s">
        <v>40</v>
      </c>
      <c r="D2565">
        <v>5.2881900000000002</v>
      </c>
      <c r="E2565">
        <v>0.43210910000000002</v>
      </c>
      <c r="F2565" t="s">
        <v>60</v>
      </c>
      <c r="G2565">
        <v>-287.97399999999999</v>
      </c>
      <c r="H2565">
        <v>7.999974E-2</v>
      </c>
      <c r="I2565">
        <v>227.86869999999999</v>
      </c>
      <c r="J2565">
        <v>-453.19580000000002</v>
      </c>
      <c r="K2565">
        <v>1.121043</v>
      </c>
      <c r="L2565">
        <v>213.9716</v>
      </c>
      <c r="M2565">
        <v>0.99395409999999995</v>
      </c>
      <c r="N2565">
        <v>-1.084093E-2</v>
      </c>
      <c r="O2565">
        <v>-0.10926039999999999</v>
      </c>
      <c r="P2565">
        <v>0.97540289999999996</v>
      </c>
      <c r="Q2565">
        <v>0.201431</v>
      </c>
      <c r="R2565">
        <v>-8.9525049999999995E-2</v>
      </c>
      <c r="S2565">
        <v>3.1040040000000002</v>
      </c>
      <c r="T2565">
        <v>-1.950884E-2</v>
      </c>
      <c r="U2565">
        <v>0.2595673</v>
      </c>
      <c r="V2565">
        <v>-1.758179E-2</v>
      </c>
      <c r="W2565">
        <v>0.21203720000000001</v>
      </c>
      <c r="X2565">
        <v>0.97710339999999996</v>
      </c>
      <c r="Y2565">
        <v>-0.19170889999999999</v>
      </c>
      <c r="Z2565">
        <v>1.1447849999999999E-3</v>
      </c>
      <c r="AA2565">
        <v>0.98145119999999997</v>
      </c>
      <c r="AB2565">
        <v>29</v>
      </c>
      <c r="AC2565">
        <v>165.2218</v>
      </c>
      <c r="AD2565">
        <v>-1.0410432599999999</v>
      </c>
      <c r="AE2565">
        <v>13.897099999999901</v>
      </c>
      <c r="AF2565">
        <v>-31.865894104588801</v>
      </c>
      <c r="AG2565">
        <v>-1.0410432599999999</v>
      </c>
      <c r="AH2565">
        <v>162.707621095614</v>
      </c>
      <c r="AI2565">
        <v>90.359753154307001</v>
      </c>
      <c r="AJ2565">
        <v>101.080985437683</v>
      </c>
      <c r="AK2565">
        <v>165.80195698708701</v>
      </c>
      <c r="AL2565">
        <v>77.758235533131796</v>
      </c>
      <c r="AM2565">
        <v>91.030856779705502</v>
      </c>
      <c r="AN2565">
        <v>0.99999997390750095</v>
      </c>
    </row>
    <row r="2566" spans="1:40" x14ac:dyDescent="0.25">
      <c r="A2566" t="str">
        <f>"20190303171026895"</f>
        <v>20190303171026895</v>
      </c>
      <c r="B2566" t="str">
        <f>"1551604226883356"</f>
        <v>1551604226883356</v>
      </c>
      <c r="C2566" t="s">
        <v>40</v>
      </c>
      <c r="D2566">
        <v>4.9236000000000004</v>
      </c>
      <c r="E2566">
        <v>0.43612889999999999</v>
      </c>
      <c r="F2566" t="s">
        <v>78</v>
      </c>
      <c r="G2566">
        <v>-274.99669999999998</v>
      </c>
      <c r="H2566">
        <v>2.109515</v>
      </c>
      <c r="I2566">
        <v>230.65270000000001</v>
      </c>
      <c r="J2566">
        <v>-452.91109999999998</v>
      </c>
      <c r="K2566">
        <v>1.1210310000000001</v>
      </c>
      <c r="L2566">
        <v>213.94040000000001</v>
      </c>
      <c r="M2566">
        <v>0.99395480000000003</v>
      </c>
      <c r="N2566">
        <v>-1.0774850000000001E-2</v>
      </c>
      <c r="O2566">
        <v>-0.10926080000000001</v>
      </c>
      <c r="P2566">
        <v>0.9756958</v>
      </c>
      <c r="Q2566">
        <v>0.2005199</v>
      </c>
      <c r="R2566">
        <v>-8.8370799999999999E-2</v>
      </c>
      <c r="S2566">
        <v>3.0987239999999998</v>
      </c>
      <c r="T2566">
        <v>1.718915E-2</v>
      </c>
      <c r="U2566">
        <v>0.29006959999999998</v>
      </c>
      <c r="V2566">
        <v>-1.8761340000000001E-2</v>
      </c>
      <c r="W2566">
        <v>0.21106320000000001</v>
      </c>
      <c r="X2566">
        <v>0.97729239999999995</v>
      </c>
      <c r="Y2566">
        <v>-0.20142379999999999</v>
      </c>
      <c r="Z2566">
        <v>-1.2494940000000001E-3</v>
      </c>
      <c r="AA2566">
        <v>0.97950340000000002</v>
      </c>
      <c r="AB2566">
        <v>29</v>
      </c>
      <c r="AC2566">
        <v>177.9144</v>
      </c>
      <c r="AD2566">
        <v>0.98848400000000003</v>
      </c>
      <c r="AE2566">
        <v>16.712299999999999</v>
      </c>
      <c r="AF2566">
        <v>-36.051327255068898</v>
      </c>
      <c r="AG2566">
        <v>0.98848400000000003</v>
      </c>
      <c r="AH2566">
        <v>175.01766308076299</v>
      </c>
      <c r="AI2566">
        <v>89.683056099130795</v>
      </c>
      <c r="AJ2566">
        <v>101.63937456062099</v>
      </c>
      <c r="AK2566">
        <v>178.69487314336101</v>
      </c>
      <c r="AL2566">
        <v>77.815334852012299</v>
      </c>
      <c r="AM2566">
        <v>91.099787103155606</v>
      </c>
      <c r="AN2566">
        <v>1.00000004868529</v>
      </c>
    </row>
    <row r="2567" spans="1:40" x14ac:dyDescent="0.25">
      <c r="A2567" t="str">
        <f>"20190303171026917"</f>
        <v>20190303171026917</v>
      </c>
      <c r="B2567" t="str">
        <f>"1551604226913612"</f>
        <v>1551604226913612</v>
      </c>
      <c r="C2567" t="s">
        <v>40</v>
      </c>
      <c r="D2567">
        <v>4.9158989999999996</v>
      </c>
      <c r="E2567">
        <v>0.44001059999999997</v>
      </c>
      <c r="F2567" t="s">
        <v>78</v>
      </c>
      <c r="G2567">
        <v>-258.9126</v>
      </c>
      <c r="H2567">
        <v>0.59375100000000003</v>
      </c>
      <c r="I2567">
        <v>230.3133</v>
      </c>
      <c r="J2567">
        <v>-452.62540000000001</v>
      </c>
      <c r="K2567">
        <v>1.121024</v>
      </c>
      <c r="L2567">
        <v>213.90899999999999</v>
      </c>
      <c r="M2567">
        <v>0.99395560000000005</v>
      </c>
      <c r="N2567">
        <v>-1.0707090000000001E-2</v>
      </c>
      <c r="O2567">
        <v>-0.10926080000000001</v>
      </c>
      <c r="P2567">
        <v>0.97577709999999995</v>
      </c>
      <c r="Q2567">
        <v>0.2006278</v>
      </c>
      <c r="R2567">
        <v>-8.7221209999999993E-2</v>
      </c>
      <c r="S2567">
        <v>3.1001280000000002</v>
      </c>
      <c r="T2567">
        <v>-8.4255930000000003E-3</v>
      </c>
      <c r="U2567">
        <v>0.2616425</v>
      </c>
      <c r="V2567">
        <v>-1.9913119999999999E-2</v>
      </c>
      <c r="W2567">
        <v>0.21110419999999999</v>
      </c>
      <c r="X2567">
        <v>0.97726069999999998</v>
      </c>
      <c r="Y2567">
        <v>-0.19246779999999999</v>
      </c>
      <c r="Z2567">
        <v>4.2141809999999999E-4</v>
      </c>
      <c r="AA2567">
        <v>0.98130320000000004</v>
      </c>
      <c r="AB2567">
        <v>29</v>
      </c>
      <c r="AC2567">
        <v>193.71279999999999</v>
      </c>
      <c r="AD2567">
        <v>-0.52727299999999999</v>
      </c>
      <c r="AE2567">
        <v>16.4042999999999</v>
      </c>
      <c r="AF2567">
        <v>-37.472228112639797</v>
      </c>
      <c r="AG2567">
        <v>-0.52727299999999999</v>
      </c>
      <c r="AH2567">
        <v>190.75907851294099</v>
      </c>
      <c r="AI2567">
        <v>90.155399745281997</v>
      </c>
      <c r="AJ2567">
        <v>101.11353067800999</v>
      </c>
      <c r="AK2567">
        <v>194.40543184707701</v>
      </c>
      <c r="AL2567">
        <v>77.812930918661706</v>
      </c>
      <c r="AM2567">
        <v>91.167323996895206</v>
      </c>
      <c r="AN2567">
        <v>0.99999999568513198</v>
      </c>
    </row>
    <row r="2568" spans="1:40" x14ac:dyDescent="0.25">
      <c r="A2568" t="str">
        <f>"20190303171026941"</f>
        <v>20190303171026941</v>
      </c>
      <c r="B2568" t="str">
        <f>"1551604226932663"</f>
        <v>1551604226932663</v>
      </c>
      <c r="C2568" t="s">
        <v>40</v>
      </c>
      <c r="D2568">
        <v>4.9214510000000002</v>
      </c>
      <c r="E2568">
        <v>0.44150309999999998</v>
      </c>
      <c r="F2568" t="s">
        <v>53</v>
      </c>
      <c r="G2568">
        <v>-325.42340000000002</v>
      </c>
      <c r="H2568">
        <v>8.0000150000000006E-2</v>
      </c>
      <c r="I2568">
        <v>223.5043</v>
      </c>
      <c r="J2568">
        <v>-452.3107</v>
      </c>
      <c r="K2568">
        <v>1.1210180000000001</v>
      </c>
      <c r="L2568">
        <v>213.87440000000001</v>
      </c>
      <c r="M2568">
        <v>0.99395630000000001</v>
      </c>
      <c r="N2568">
        <v>-1.063157E-2</v>
      </c>
      <c r="O2568">
        <v>-0.109260999999999</v>
      </c>
      <c r="P2568">
        <v>0.97563699999999998</v>
      </c>
      <c r="Q2568">
        <v>0.20173779999999999</v>
      </c>
      <c r="R2568">
        <v>-8.6225019999999999E-2</v>
      </c>
      <c r="S2568">
        <v>3.1005549999999999</v>
      </c>
      <c r="T2568">
        <v>-2.537501E-2</v>
      </c>
      <c r="U2568">
        <v>0.2338867</v>
      </c>
      <c r="V2568">
        <v>-2.0887849999999999E-2</v>
      </c>
      <c r="W2568">
        <v>0.2121374</v>
      </c>
      <c r="X2568">
        <v>0.97701660000000001</v>
      </c>
      <c r="Y2568">
        <v>-0.18371299999999999</v>
      </c>
      <c r="Z2568">
        <v>1.460643E-3</v>
      </c>
      <c r="AA2568">
        <v>0.98297880000000004</v>
      </c>
      <c r="AB2568">
        <v>29</v>
      </c>
      <c r="AC2568">
        <v>126.887299999999</v>
      </c>
      <c r="AD2568">
        <v>-1.04101785</v>
      </c>
      <c r="AE2568">
        <v>9.6298999999999904</v>
      </c>
      <c r="AF2568">
        <v>-23.435287798048101</v>
      </c>
      <c r="AG2568">
        <v>-1.04101785</v>
      </c>
      <c r="AH2568">
        <v>125.066949840305</v>
      </c>
      <c r="AI2568">
        <v>90.468743103466096</v>
      </c>
      <c r="AJ2568">
        <v>100.61312057639999</v>
      </c>
      <c r="AK2568">
        <v>127.247940551895</v>
      </c>
      <c r="AL2568">
        <v>77.752361271599099</v>
      </c>
      <c r="AM2568">
        <v>91.224752332202399</v>
      </c>
      <c r="AN2568">
        <v>1.0000000077159701</v>
      </c>
    </row>
    <row r="2569" spans="1:40" x14ac:dyDescent="0.25">
      <c r="A2569" t="str">
        <f>"20190303171026963"</f>
        <v>20190303171026963</v>
      </c>
      <c r="B2569" t="str">
        <f>"1551604226953159"</f>
        <v>1551604226953159</v>
      </c>
      <c r="C2569" t="s">
        <v>40</v>
      </c>
      <c r="D2569">
        <v>4.9044400000000001</v>
      </c>
      <c r="E2569">
        <v>0.44267489999999998</v>
      </c>
      <c r="F2569" t="s">
        <v>53</v>
      </c>
      <c r="G2569">
        <v>-342.21190000000001</v>
      </c>
      <c r="H2569">
        <v>8.0000680000000005E-2</v>
      </c>
      <c r="I2569">
        <v>221.8451</v>
      </c>
      <c r="J2569">
        <v>-452.02089999999998</v>
      </c>
      <c r="K2569">
        <v>1.1210100000000001</v>
      </c>
      <c r="L2569">
        <v>213.8425</v>
      </c>
      <c r="M2569">
        <v>0.99395710000000004</v>
      </c>
      <c r="N2569">
        <v>-1.0565669999999999E-2</v>
      </c>
      <c r="O2569">
        <v>-0.1092607</v>
      </c>
      <c r="P2569">
        <v>0.97551489999999996</v>
      </c>
      <c r="Q2569">
        <v>0.202378</v>
      </c>
      <c r="R2569">
        <v>-8.6105119999999993E-2</v>
      </c>
      <c r="S2569">
        <v>3.1008300000000002</v>
      </c>
      <c r="T2569">
        <v>-2.9319290000000001E-2</v>
      </c>
      <c r="U2569">
        <v>0.2244873</v>
      </c>
      <c r="V2569">
        <v>-2.0993709999999999E-2</v>
      </c>
      <c r="W2569">
        <v>0.2127124</v>
      </c>
      <c r="X2569">
        <v>0.97688929999999996</v>
      </c>
      <c r="Y2569">
        <v>-0.18073910000000001</v>
      </c>
      <c r="Z2569">
        <v>1.6871309999999999E-3</v>
      </c>
      <c r="AA2569">
        <v>0.9835296</v>
      </c>
      <c r="AB2569">
        <v>29</v>
      </c>
      <c r="AC2569">
        <v>109.808999999999</v>
      </c>
      <c r="AD2569">
        <v>-1.0410093199999999</v>
      </c>
      <c r="AE2569">
        <v>8.0025999999999993</v>
      </c>
      <c r="AF2569">
        <v>-19.951376911078398</v>
      </c>
      <c r="AG2569">
        <v>-1.0410093199999999</v>
      </c>
      <c r="AH2569">
        <v>108.26741678323199</v>
      </c>
      <c r="AI2569">
        <v>90.541769996420101</v>
      </c>
      <c r="AJ2569">
        <v>100.441252197666</v>
      </c>
      <c r="AK2569">
        <v>110.095298164664</v>
      </c>
      <c r="AL2569">
        <v>77.718646682393398</v>
      </c>
      <c r="AM2569">
        <v>91.2311178527235</v>
      </c>
      <c r="AN2569">
        <v>1.0000000027139</v>
      </c>
    </row>
    <row r="2570" spans="1:40" x14ac:dyDescent="0.25">
      <c r="A2570" t="str">
        <f>"20190303171026988"</f>
        <v>20190303171026988</v>
      </c>
      <c r="B2570" t="str">
        <f>"1551604226983415"</f>
        <v>1551604226983415</v>
      </c>
      <c r="C2570" t="s">
        <v>40</v>
      </c>
      <c r="D2570">
        <v>4.9259510000000004</v>
      </c>
      <c r="E2570">
        <v>0.44358579999999997</v>
      </c>
      <c r="F2570" t="s">
        <v>53</v>
      </c>
      <c r="G2570">
        <v>-353.63780000000003</v>
      </c>
      <c r="H2570">
        <v>8.000082E-2</v>
      </c>
      <c r="I2570">
        <v>220.68020000000001</v>
      </c>
      <c r="J2570">
        <v>-451.71969999999999</v>
      </c>
      <c r="K2570">
        <v>1.1210020000000001</v>
      </c>
      <c r="L2570">
        <v>213.80940000000001</v>
      </c>
      <c r="M2570">
        <v>0.9939578</v>
      </c>
      <c r="N2570">
        <v>-1.0495819999999999E-2</v>
      </c>
      <c r="O2570">
        <v>-0.10926</v>
      </c>
      <c r="P2570">
        <v>0.97560849999999999</v>
      </c>
      <c r="Q2570">
        <v>0.2022475</v>
      </c>
      <c r="R2570">
        <v>-8.5347889999999996E-2</v>
      </c>
      <c r="S2570">
        <v>3.1011350000000002</v>
      </c>
      <c r="T2570">
        <v>-3.2813670000000003E-2</v>
      </c>
      <c r="U2570">
        <v>0.21553040000000001</v>
      </c>
      <c r="V2570">
        <v>-2.175581E-2</v>
      </c>
      <c r="W2570">
        <v>0.21251339999999999</v>
      </c>
      <c r="X2570">
        <v>0.97691589999999995</v>
      </c>
      <c r="Y2570">
        <v>-0.17790149999999999</v>
      </c>
      <c r="Z2570">
        <v>1.882838E-3</v>
      </c>
      <c r="AA2570">
        <v>0.98404650000000005</v>
      </c>
      <c r="AB2570">
        <v>29</v>
      </c>
      <c r="AC2570">
        <v>98.081899999999905</v>
      </c>
      <c r="AD2570">
        <v>-1.0410011800000001</v>
      </c>
      <c r="AE2570">
        <v>6.8708</v>
      </c>
      <c r="AF2570">
        <v>-17.544713274344701</v>
      </c>
      <c r="AG2570">
        <v>-1.0410011800000001</v>
      </c>
      <c r="AH2570">
        <v>96.733050369767597</v>
      </c>
      <c r="AI2570">
        <v>90.606672693419796</v>
      </c>
      <c r="AJ2570">
        <v>100.280124894278</v>
      </c>
      <c r="AK2570">
        <v>98.316751783079795</v>
      </c>
      <c r="AL2570">
        <v>77.730314896700193</v>
      </c>
      <c r="AM2570">
        <v>91.275759853151001</v>
      </c>
      <c r="AN2570">
        <v>0.99999996806056202</v>
      </c>
    </row>
    <row r="2571" spans="1:40" x14ac:dyDescent="0.25">
      <c r="A2571" t="str">
        <f>"20190303171027006"</f>
        <v>20190303171027006</v>
      </c>
      <c r="B2571" t="str">
        <f>"1551604226993175"</f>
        <v>1551604226993175</v>
      </c>
      <c r="C2571" t="s">
        <v>40</v>
      </c>
      <c r="D2571">
        <v>4.9297230000000001</v>
      </c>
      <c r="E2571">
        <v>0.44388670000000002</v>
      </c>
      <c r="F2571" t="s">
        <v>53</v>
      </c>
      <c r="G2571">
        <v>-364.92059999999998</v>
      </c>
      <c r="H2571">
        <v>8.0001459999999996E-2</v>
      </c>
      <c r="I2571">
        <v>219.685</v>
      </c>
      <c r="J2571">
        <v>-451.47289999999998</v>
      </c>
      <c r="K2571">
        <v>1.120994</v>
      </c>
      <c r="L2571">
        <v>213.78229999999999</v>
      </c>
      <c r="M2571">
        <v>0.9939595</v>
      </c>
      <c r="N2571">
        <v>-1.04361E-2</v>
      </c>
      <c r="O2571">
        <v>-0.1092511</v>
      </c>
      <c r="P2571">
        <v>0.97573869999999896</v>
      </c>
      <c r="Q2571">
        <v>0.20188390000000001</v>
      </c>
      <c r="R2571">
        <v>-8.4718680000000005E-2</v>
      </c>
      <c r="S2571">
        <v>3.1010740000000001</v>
      </c>
      <c r="T2571">
        <v>-3.7191870000000002E-2</v>
      </c>
      <c r="U2571">
        <v>0.2099152</v>
      </c>
      <c r="V2571">
        <v>-2.2388640000000001E-2</v>
      </c>
      <c r="W2571">
        <v>0.21209230000000001</v>
      </c>
      <c r="X2571">
        <v>0.97699309999999995</v>
      </c>
      <c r="Y2571">
        <v>-0.1761162</v>
      </c>
      <c r="Z2571">
        <v>2.1434129999999998E-3</v>
      </c>
      <c r="AA2571">
        <v>0.98436710000000005</v>
      </c>
      <c r="AB2571">
        <v>29</v>
      </c>
      <c r="AC2571">
        <v>86.552300000000002</v>
      </c>
      <c r="AD2571">
        <v>-1.04099254</v>
      </c>
      <c r="AE2571">
        <v>5.9027000000000003</v>
      </c>
      <c r="AF2571">
        <v>-15.3216055582837</v>
      </c>
      <c r="AG2571">
        <v>-1.04099254</v>
      </c>
      <c r="AH2571">
        <v>85.376952643969105</v>
      </c>
      <c r="AI2571">
        <v>90.687583918001494</v>
      </c>
      <c r="AJ2571">
        <v>100.17390961079199</v>
      </c>
      <c r="AK2571">
        <v>86.747099692857205</v>
      </c>
      <c r="AL2571">
        <v>77.755004840098096</v>
      </c>
      <c r="AM2571">
        <v>91.312752472586794</v>
      </c>
      <c r="AN2571">
        <v>0.99999995618397297</v>
      </c>
    </row>
    <row r="2572" spans="1:40" x14ac:dyDescent="0.25">
      <c r="A2572" t="str">
        <f>"20190303171027029"</f>
        <v>20190303171027029</v>
      </c>
      <c r="B2572" t="str">
        <f>"1551604227023431"</f>
        <v>1551604227023431</v>
      </c>
      <c r="C2572" t="s">
        <v>40</v>
      </c>
      <c r="D2572">
        <v>4.9173330000000002</v>
      </c>
      <c r="E2572">
        <v>0.44476579999999899</v>
      </c>
      <c r="F2572" t="s">
        <v>53</v>
      </c>
      <c r="G2572">
        <v>-364.66629999999998</v>
      </c>
      <c r="H2572">
        <v>4.9101090000000002E-3</v>
      </c>
      <c r="I2572">
        <v>219.6163</v>
      </c>
      <c r="J2572">
        <v>-451.16719999999998</v>
      </c>
      <c r="K2572">
        <v>1.1210070000000001</v>
      </c>
      <c r="L2572">
        <v>213.74870000000001</v>
      </c>
      <c r="M2572">
        <v>0.9939654</v>
      </c>
      <c r="N2572">
        <v>-1.036347E-2</v>
      </c>
      <c r="O2572">
        <v>-0.1092037</v>
      </c>
      <c r="P2572">
        <v>0.97566560000000002</v>
      </c>
      <c r="Q2572">
        <v>0.20230200000000001</v>
      </c>
      <c r="R2572">
        <v>-8.4561020000000001E-2</v>
      </c>
      <c r="S2572">
        <v>3.1009220000000002</v>
      </c>
      <c r="T2572">
        <v>-3.986895E-2</v>
      </c>
      <c r="U2572">
        <v>0.20840449999999999</v>
      </c>
      <c r="V2572">
        <v>-2.2500590000000001E-2</v>
      </c>
      <c r="W2572">
        <v>0.2124375</v>
      </c>
      <c r="X2572">
        <v>0.97691550000000005</v>
      </c>
      <c r="Y2572">
        <v>-0.1755922</v>
      </c>
      <c r="Z2572">
        <v>2.3089339999999999E-3</v>
      </c>
      <c r="AA2572">
        <v>0.98446029999999995</v>
      </c>
      <c r="AB2572">
        <v>29</v>
      </c>
      <c r="AC2572">
        <v>86.500900000000001</v>
      </c>
      <c r="AD2572">
        <v>-1.11609689099999</v>
      </c>
      <c r="AE2572">
        <v>5.8675999999999799</v>
      </c>
      <c r="AF2572">
        <v>-15.2766981195446</v>
      </c>
      <c r="AG2572">
        <v>-1.11609689099999</v>
      </c>
      <c r="AH2572">
        <v>85.328577860802298</v>
      </c>
      <c r="AI2572">
        <v>90.737657914767894</v>
      </c>
      <c r="AJ2572">
        <v>100.150341941991</v>
      </c>
      <c r="AK2572">
        <v>86.692498968785003</v>
      </c>
      <c r="AL2572">
        <v>77.734764803379093</v>
      </c>
      <c r="AM2572">
        <v>91.319419080363105</v>
      </c>
      <c r="AN2572">
        <v>0.999999931048421</v>
      </c>
    </row>
    <row r="2573" spans="1:40" x14ac:dyDescent="0.25">
      <c r="A2573" t="str">
        <f>"20190303171027052"</f>
        <v>20190303171027052</v>
      </c>
      <c r="B2573" t="str">
        <f>"1551604227043458"</f>
        <v>1551604227043458</v>
      </c>
      <c r="C2573" t="s">
        <v>40</v>
      </c>
      <c r="D2573">
        <v>4.9364819999999998</v>
      </c>
      <c r="E2573">
        <v>0.44491059999999999</v>
      </c>
      <c r="F2573" t="s">
        <v>53</v>
      </c>
      <c r="G2573">
        <v>-365.46570000000003</v>
      </c>
      <c r="H2573" s="1">
        <v>1.3718069999999999E-6</v>
      </c>
      <c r="I2573">
        <v>219.33920000000001</v>
      </c>
      <c r="J2573">
        <v>-450.87470000000002</v>
      </c>
      <c r="K2573">
        <v>1.1210389999999999</v>
      </c>
      <c r="L2573">
        <v>213.7166</v>
      </c>
      <c r="M2573">
        <v>0.99397840000000004</v>
      </c>
      <c r="N2573">
        <v>-1.030029E-2</v>
      </c>
      <c r="O2573">
        <v>-0.1090926</v>
      </c>
      <c r="P2573">
        <v>0.97566679999999995</v>
      </c>
      <c r="Q2573">
        <v>0.20184650000000001</v>
      </c>
      <c r="R2573">
        <v>-8.5630010000000006E-2</v>
      </c>
      <c r="S2573">
        <v>3.1007690000000001</v>
      </c>
      <c r="T2573">
        <v>-4.0559169999999999E-2</v>
      </c>
      <c r="U2573">
        <v>0.20227049999999999</v>
      </c>
      <c r="V2573">
        <v>-2.13501E-2</v>
      </c>
      <c r="W2573">
        <v>0.21191889999999999</v>
      </c>
      <c r="X2573">
        <v>0.97705399999999998</v>
      </c>
      <c r="Y2573">
        <v>-0.17354559999999999</v>
      </c>
      <c r="Z2573">
        <v>2.3299280000000002E-3</v>
      </c>
      <c r="AA2573">
        <v>0.984823</v>
      </c>
      <c r="AB2573">
        <v>29</v>
      </c>
      <c r="AC2573">
        <v>85.408999999999907</v>
      </c>
      <c r="AD2573">
        <v>-1.1210376281929999</v>
      </c>
      <c r="AE2573">
        <v>5.6226000000000003</v>
      </c>
      <c r="AF2573">
        <v>-14.904464366472199</v>
      </c>
      <c r="AG2573">
        <v>-1.1210376281929999</v>
      </c>
      <c r="AH2573">
        <v>84.271318071770906</v>
      </c>
      <c r="AI2573">
        <v>90.7504984534703</v>
      </c>
      <c r="AJ2573">
        <v>100.029773768366</v>
      </c>
      <c r="AK2573">
        <v>85.586534180143303</v>
      </c>
      <c r="AL2573">
        <v>77.765171354111601</v>
      </c>
      <c r="AM2573">
        <v>91.251799776496597</v>
      </c>
      <c r="AN2573">
        <v>0.99999998293160897</v>
      </c>
    </row>
    <row r="2574" spans="1:40" x14ac:dyDescent="0.25">
      <c r="A2574" t="str">
        <f>"20190303171027074"</f>
        <v>20190303171027074</v>
      </c>
      <c r="B2574" t="str">
        <f>"1551604227062983"</f>
        <v>1551604227062983</v>
      </c>
      <c r="C2574" t="s">
        <v>40</v>
      </c>
      <c r="D2574">
        <v>4.9212600000000002</v>
      </c>
      <c r="E2574">
        <v>0.44513849999999999</v>
      </c>
      <c r="F2574" t="s">
        <v>53</v>
      </c>
      <c r="G2574">
        <v>-366.74430000000001</v>
      </c>
      <c r="H2574" s="1">
        <v>2.0521860000000001E-6</v>
      </c>
      <c r="I2574">
        <v>219.1258</v>
      </c>
      <c r="J2574">
        <v>-450.584</v>
      </c>
      <c r="K2574">
        <v>1.121092</v>
      </c>
      <c r="L2574">
        <v>213.6849</v>
      </c>
      <c r="M2574">
        <v>0.99400089999999997</v>
      </c>
      <c r="N2574">
        <v>-1.0238509999999999E-2</v>
      </c>
      <c r="O2574">
        <v>-0.1088913</v>
      </c>
      <c r="P2574">
        <v>0.97576770000000002</v>
      </c>
      <c r="Q2574">
        <v>0.20116429999999999</v>
      </c>
      <c r="R2574">
        <v>-8.6082480000000003E-2</v>
      </c>
      <c r="S2574">
        <v>3.1008909999999998</v>
      </c>
      <c r="T2574">
        <v>-4.1319370000000001E-2</v>
      </c>
      <c r="U2574">
        <v>0.1993713</v>
      </c>
      <c r="V2574">
        <v>-2.0747379999999999E-2</v>
      </c>
      <c r="W2574">
        <v>0.2111751</v>
      </c>
      <c r="X2574">
        <v>0.97722799999999999</v>
      </c>
      <c r="Y2574">
        <v>-0.172426</v>
      </c>
      <c r="Z2574">
        <v>2.3653319999999999E-3</v>
      </c>
      <c r="AA2574">
        <v>0.9850196</v>
      </c>
      <c r="AB2574">
        <v>29</v>
      </c>
      <c r="AC2574">
        <v>83.839699999999993</v>
      </c>
      <c r="AD2574">
        <v>-1.121089947814</v>
      </c>
      <c r="AE2574">
        <v>5.4408999999999903</v>
      </c>
      <c r="AF2574">
        <v>-14.5358477573933</v>
      </c>
      <c r="AG2574">
        <v>-1.121089947814</v>
      </c>
      <c r="AH2574">
        <v>82.733879425160197</v>
      </c>
      <c r="AI2574">
        <v>90.764631714838501</v>
      </c>
      <c r="AJ2574">
        <v>99.964823699446598</v>
      </c>
      <c r="AK2574">
        <v>84.008585974495205</v>
      </c>
      <c r="AL2574">
        <v>77.808774641346304</v>
      </c>
      <c r="AM2574">
        <v>91.216255316957898</v>
      </c>
      <c r="AN2574">
        <v>0.99999997031043597</v>
      </c>
    </row>
    <row r="2575" spans="1:40" x14ac:dyDescent="0.25">
      <c r="A2575" t="str">
        <f>"20190303171027097"</f>
        <v>20190303171027097</v>
      </c>
      <c r="B2575" t="str">
        <f>"1551604227093236"</f>
        <v>1551604227093236</v>
      </c>
      <c r="C2575" t="s">
        <v>40</v>
      </c>
      <c r="D2575">
        <v>4.919473</v>
      </c>
      <c r="E2575">
        <v>0.44529429999999998</v>
      </c>
      <c r="F2575" t="s">
        <v>53</v>
      </c>
      <c r="G2575">
        <v>-370.25569999999999</v>
      </c>
      <c r="H2575" s="1">
        <v>-1.400737E-6</v>
      </c>
      <c r="I2575">
        <v>218.78489999999999</v>
      </c>
      <c r="J2575">
        <v>-450.29509999999999</v>
      </c>
      <c r="K2575">
        <v>1.1211580000000001</v>
      </c>
      <c r="L2575">
        <v>213.65350000000001</v>
      </c>
      <c r="M2575">
        <v>0.99403699999999995</v>
      </c>
      <c r="N2575">
        <v>-1.0168429999999999E-2</v>
      </c>
      <c r="O2575">
        <v>-0.1085695</v>
      </c>
      <c r="P2575">
        <v>0.97580169999999999</v>
      </c>
      <c r="Q2575">
        <v>0.20070859999999999</v>
      </c>
      <c r="R2575">
        <v>-8.6760840000000006E-2</v>
      </c>
      <c r="S2575">
        <v>3.1008</v>
      </c>
      <c r="T2575">
        <v>-4.3275950000000001E-2</v>
      </c>
      <c r="U2575">
        <v>0.19686890000000001</v>
      </c>
      <c r="V2575">
        <v>-1.9805610000000001E-2</v>
      </c>
      <c r="W2575">
        <v>0.2106479</v>
      </c>
      <c r="X2575">
        <v>0.97736140000000005</v>
      </c>
      <c r="Y2575">
        <v>-0.171315</v>
      </c>
      <c r="Z2575">
        <v>2.4753140000000002E-3</v>
      </c>
      <c r="AA2575">
        <v>0.98521320000000001</v>
      </c>
      <c r="AB2575">
        <v>29</v>
      </c>
      <c r="AC2575">
        <v>80.039400000000001</v>
      </c>
      <c r="AD2575">
        <v>-1.121159400737</v>
      </c>
      <c r="AE2575">
        <v>5.1313999999999798</v>
      </c>
      <c r="AF2575">
        <v>-13.7886556715399</v>
      </c>
      <c r="AG2575">
        <v>-1.121159400737</v>
      </c>
      <c r="AH2575">
        <v>78.993648687627797</v>
      </c>
      <c r="AI2575">
        <v>90.801036008280903</v>
      </c>
      <c r="AJ2575">
        <v>99.901447863251605</v>
      </c>
      <c r="AK2575">
        <v>80.195888651566904</v>
      </c>
      <c r="AL2575">
        <v>77.839677122999305</v>
      </c>
      <c r="AM2575">
        <v>91.160903808786699</v>
      </c>
      <c r="AN2575">
        <v>1.0000000530859099</v>
      </c>
    </row>
    <row r="2576" spans="1:40" x14ac:dyDescent="0.25">
      <c r="A2576" t="str">
        <f>"20190303171027117"</f>
        <v>20190303171027117</v>
      </c>
      <c r="B2576" t="str">
        <f>"1551604227112753"</f>
        <v>1551604227112753</v>
      </c>
      <c r="C2576" t="s">
        <v>40</v>
      </c>
      <c r="D2576">
        <v>4.9232269999999998</v>
      </c>
      <c r="E2576">
        <v>0.44545240000000003</v>
      </c>
      <c r="F2576" t="s">
        <v>53</v>
      </c>
      <c r="G2576">
        <v>-373.26</v>
      </c>
      <c r="H2576" s="1">
        <v>1.980497E-7</v>
      </c>
      <c r="I2576">
        <v>218.45869999999999</v>
      </c>
      <c r="J2576">
        <v>-450.01670000000001</v>
      </c>
      <c r="K2576">
        <v>1.1212409999999999</v>
      </c>
      <c r="L2576">
        <v>213.62360000000001</v>
      </c>
      <c r="M2576">
        <v>0.99408779999999997</v>
      </c>
      <c r="N2576">
        <v>-1.01029E-2</v>
      </c>
      <c r="O2576">
        <v>-0.10810889999999999</v>
      </c>
      <c r="P2576">
        <v>0.97582590000000002</v>
      </c>
      <c r="Q2576">
        <v>0.19997880000000001</v>
      </c>
      <c r="R2576">
        <v>-8.8159860000000007E-2</v>
      </c>
      <c r="S2576">
        <v>3.1008300000000002</v>
      </c>
      <c r="T2576">
        <v>-4.5129059999999999E-2</v>
      </c>
      <c r="U2576">
        <v>0.19342039999999999</v>
      </c>
      <c r="V2576">
        <v>-1.8016330000000001E-2</v>
      </c>
      <c r="W2576">
        <v>0.20985210000000001</v>
      </c>
      <c r="X2576">
        <v>0.97756710000000002</v>
      </c>
      <c r="Y2576">
        <v>-0.16976440000000001</v>
      </c>
      <c r="Z2576">
        <v>2.571547E-3</v>
      </c>
      <c r="AA2576">
        <v>0.9854813</v>
      </c>
      <c r="AB2576">
        <v>29</v>
      </c>
      <c r="AC2576">
        <v>76.756699999999995</v>
      </c>
      <c r="AD2576">
        <v>-1.1212408019503</v>
      </c>
      <c r="AE2576">
        <v>4.8350999999999802</v>
      </c>
      <c r="AF2576">
        <v>-13.1024793022517</v>
      </c>
      <c r="AG2576">
        <v>-1.1212408019503</v>
      </c>
      <c r="AH2576">
        <v>75.767939542706898</v>
      </c>
      <c r="AI2576">
        <v>90.835423715717695</v>
      </c>
      <c r="AJ2576">
        <v>99.811075447619103</v>
      </c>
      <c r="AK2576">
        <v>76.900668445398907</v>
      </c>
      <c r="AL2576">
        <v>77.886314480626794</v>
      </c>
      <c r="AM2576">
        <v>91.0558281104245</v>
      </c>
      <c r="AN2576">
        <v>0.99999996351174303</v>
      </c>
    </row>
    <row r="2577" spans="1:40" x14ac:dyDescent="0.25">
      <c r="A2577" t="str">
        <f>"20190303171027142"</f>
        <v>20190303171027142</v>
      </c>
      <c r="B2577" t="str">
        <f>"1551604227133250"</f>
        <v>1551604227133250</v>
      </c>
      <c r="C2577" t="s">
        <v>40</v>
      </c>
      <c r="D2577">
        <v>4.9553909999999997</v>
      </c>
      <c r="E2577">
        <v>0.4455382</v>
      </c>
      <c r="F2577" t="s">
        <v>53</v>
      </c>
      <c r="G2577">
        <v>-375.38350000000003</v>
      </c>
      <c r="H2577" s="1">
        <v>1.3280189999999999E-6</v>
      </c>
      <c r="I2577">
        <v>218.16499999999999</v>
      </c>
      <c r="J2577">
        <v>-449.70580000000001</v>
      </c>
      <c r="K2577">
        <v>1.1213420000000001</v>
      </c>
      <c r="L2577">
        <v>213.59039999999999</v>
      </c>
      <c r="M2577">
        <v>0.99416070000000001</v>
      </c>
      <c r="N2577">
        <v>-1.0036939999999999E-2</v>
      </c>
      <c r="O2577">
        <v>-0.1074417</v>
      </c>
      <c r="P2577">
        <v>0.97577199999999997</v>
      </c>
      <c r="Q2577">
        <v>0.1997738</v>
      </c>
      <c r="R2577">
        <v>-8.9215100000000006E-2</v>
      </c>
      <c r="S2577">
        <v>3.1009220000000002</v>
      </c>
      <c r="T2577">
        <v>-4.6586160000000001E-2</v>
      </c>
      <c r="U2577">
        <v>0.1886902</v>
      </c>
      <c r="V2577">
        <v>-1.636342E-2</v>
      </c>
      <c r="W2577">
        <v>0.2095803</v>
      </c>
      <c r="X2577">
        <v>0.97765449999999998</v>
      </c>
      <c r="Y2577">
        <v>-0.167601799999999</v>
      </c>
      <c r="Z2577">
        <v>2.633163E-3</v>
      </c>
      <c r="AA2577">
        <v>0.98585129999999999</v>
      </c>
      <c r="AB2577">
        <v>29</v>
      </c>
      <c r="AC2577">
        <v>74.322299999999899</v>
      </c>
      <c r="AD2577">
        <v>-1.121340671981</v>
      </c>
      <c r="AE2577">
        <v>4.5746000000000002</v>
      </c>
      <c r="AF2577">
        <v>-12.5309917047538</v>
      </c>
      <c r="AG2577">
        <v>-1.121340671981</v>
      </c>
      <c r="AH2577">
        <v>73.383864266775106</v>
      </c>
      <c r="AI2577">
        <v>90.862949918490301</v>
      </c>
      <c r="AJ2577">
        <v>99.690333652481996</v>
      </c>
      <c r="AK2577">
        <v>74.4545142535476</v>
      </c>
      <c r="AL2577">
        <v>77.902242014137897</v>
      </c>
      <c r="AM2577">
        <v>90.958894343336496</v>
      </c>
      <c r="AN2577">
        <v>0.99999999251621796</v>
      </c>
    </row>
    <row r="2578" spans="1:40" x14ac:dyDescent="0.25">
      <c r="A2578" t="str">
        <f>"20190303171027165"</f>
        <v>20190303171027165</v>
      </c>
      <c r="B2578" t="str">
        <f>"1551604227153745"</f>
        <v>1551604227153745</v>
      </c>
      <c r="C2578" t="s">
        <v>40</v>
      </c>
      <c r="D2578">
        <v>4.9588660000000004</v>
      </c>
      <c r="E2578">
        <v>0.44560880000000003</v>
      </c>
      <c r="F2578" t="s">
        <v>53</v>
      </c>
      <c r="G2578">
        <v>-374.13389999999998</v>
      </c>
      <c r="H2578" s="1">
        <v>6.6308350000000002E-7</v>
      </c>
      <c r="I2578">
        <v>218.126</v>
      </c>
      <c r="J2578">
        <v>-449.39519999999999</v>
      </c>
      <c r="K2578">
        <v>1.1214440000000001</v>
      </c>
      <c r="L2578">
        <v>213.55760000000001</v>
      </c>
      <c r="M2578">
        <v>0.99425240000000004</v>
      </c>
      <c r="N2578">
        <v>-9.9689289999999996E-3</v>
      </c>
      <c r="O2578">
        <v>-0.1065967</v>
      </c>
      <c r="P2578">
        <v>0.97597679999999998</v>
      </c>
      <c r="Q2578">
        <v>0.19882859999999999</v>
      </c>
      <c r="R2578">
        <v>-8.9086990000000005E-2</v>
      </c>
      <c r="S2578">
        <v>3.1009519999999999</v>
      </c>
      <c r="T2578">
        <v>-4.6012160000000003E-2</v>
      </c>
      <c r="U2578">
        <v>0.18611150000000001</v>
      </c>
      <c r="V2578">
        <v>-1.5739880000000001E-2</v>
      </c>
      <c r="W2578">
        <v>0.20856659999999999</v>
      </c>
      <c r="X2578">
        <v>0.97788149999999996</v>
      </c>
      <c r="Y2578">
        <v>-0.16594719999999999</v>
      </c>
      <c r="Z2578">
        <v>2.5748049999999999E-3</v>
      </c>
      <c r="AA2578">
        <v>0.98613130000000004</v>
      </c>
      <c r="AB2578">
        <v>29</v>
      </c>
      <c r="AC2578">
        <v>75.261300000000006</v>
      </c>
      <c r="AD2578">
        <v>-1.1214433369165</v>
      </c>
      <c r="AE2578">
        <v>4.5683999999999596</v>
      </c>
      <c r="AF2578">
        <v>-12.5625937919114</v>
      </c>
      <c r="AG2578">
        <v>-1.1214433369165</v>
      </c>
      <c r="AH2578">
        <v>74.329000783877504</v>
      </c>
      <c r="AI2578">
        <v>90.852302295205604</v>
      </c>
      <c r="AJ2578">
        <v>99.593093622598801</v>
      </c>
      <c r="AK2578">
        <v>75.391489940630294</v>
      </c>
      <c r="AL2578">
        <v>77.961635427711002</v>
      </c>
      <c r="AM2578">
        <v>90.922147340808394</v>
      </c>
      <c r="AN2578">
        <v>0.99999999925011196</v>
      </c>
    </row>
    <row r="2579" spans="1:40" x14ac:dyDescent="0.25">
      <c r="A2579" t="str">
        <f>"20190303171027186"</f>
        <v>20190303171027186</v>
      </c>
      <c r="B2579" t="str">
        <f>"1551604227183025"</f>
        <v>1551604227183025</v>
      </c>
      <c r="C2579" t="s">
        <v>40</v>
      </c>
      <c r="D2579">
        <v>4.9477820000000001</v>
      </c>
      <c r="E2579">
        <v>0.44569360000000002</v>
      </c>
      <c r="F2579" t="s">
        <v>53</v>
      </c>
      <c r="G2579">
        <v>-378.28449999999998</v>
      </c>
      <c r="H2579" s="1">
        <v>2.8718390000000002E-6</v>
      </c>
      <c r="I2579">
        <v>217.8246</v>
      </c>
      <c r="J2579">
        <v>-449.11579999999998</v>
      </c>
      <c r="K2579">
        <v>1.1215569999999999</v>
      </c>
      <c r="L2579">
        <v>213.52850000000001</v>
      </c>
      <c r="M2579">
        <v>0.99435309999999999</v>
      </c>
      <c r="N2579">
        <v>-9.9049389999999998E-3</v>
      </c>
      <c r="O2579">
        <v>-0.1056608</v>
      </c>
      <c r="P2579">
        <v>0.97611400000000004</v>
      </c>
      <c r="Q2579">
        <v>0.19863649999999999</v>
      </c>
      <c r="R2579">
        <v>-8.8006749999999995E-2</v>
      </c>
      <c r="S2579">
        <v>3.1008300000000002</v>
      </c>
      <c r="T2579">
        <v>-4.8901199999999902E-2</v>
      </c>
      <c r="U2579">
        <v>0.1860657</v>
      </c>
      <c r="V2579">
        <v>-1.5966939999999999E-2</v>
      </c>
      <c r="W2579">
        <v>0.2083073</v>
      </c>
      <c r="X2579">
        <v>0.9779331</v>
      </c>
      <c r="Y2579">
        <v>-0.16500319999999999</v>
      </c>
      <c r="Z2579">
        <v>2.735267E-3</v>
      </c>
      <c r="AA2579">
        <v>0.98628930000000004</v>
      </c>
      <c r="AB2579">
        <v>29</v>
      </c>
      <c r="AC2579">
        <v>70.831299999999999</v>
      </c>
      <c r="AD2579">
        <v>-1.121554128161</v>
      </c>
      <c r="AE2579">
        <v>4.2960999999999903</v>
      </c>
      <c r="AF2579">
        <v>-11.7535704800734</v>
      </c>
      <c r="AG2579">
        <v>-1.121554128161</v>
      </c>
      <c r="AH2579">
        <v>69.963335332841098</v>
      </c>
      <c r="AI2579">
        <v>90.905717155923895</v>
      </c>
      <c r="AJ2579">
        <v>99.536420828730101</v>
      </c>
      <c r="AK2579">
        <v>70.952608081648606</v>
      </c>
      <c r="AL2579">
        <v>77.976826015525006</v>
      </c>
      <c r="AM2579">
        <v>90.935398336217105</v>
      </c>
      <c r="AN2579">
        <v>1.00000001124093</v>
      </c>
    </row>
    <row r="2580" spans="1:40" x14ac:dyDescent="0.25">
      <c r="A2580" t="str">
        <f>"20190303171027207"</f>
        <v>20190303171027207</v>
      </c>
      <c r="B2580" t="str">
        <f>"1551604227203523"</f>
        <v>1551604227203523</v>
      </c>
      <c r="C2580" t="s">
        <v>40</v>
      </c>
      <c r="D2580">
        <v>4.9971319999999997</v>
      </c>
      <c r="E2580">
        <v>0.44574259999999899</v>
      </c>
      <c r="F2580" t="s">
        <v>53</v>
      </c>
      <c r="G2580">
        <v>-379.47789999999998</v>
      </c>
      <c r="H2580" s="1">
        <v>3.5068719999999999E-6</v>
      </c>
      <c r="I2580">
        <v>217.7681</v>
      </c>
      <c r="J2580">
        <v>-448.84039999999999</v>
      </c>
      <c r="K2580">
        <v>1.1216820000000001</v>
      </c>
      <c r="L2580">
        <v>213.50030000000001</v>
      </c>
      <c r="M2580">
        <v>0.99446970000000001</v>
      </c>
      <c r="N2580">
        <v>-9.843447E-3</v>
      </c>
      <c r="O2580">
        <v>-0.1045616</v>
      </c>
      <c r="P2580">
        <v>0.9759428</v>
      </c>
      <c r="Q2580">
        <v>0.19975699999999999</v>
      </c>
      <c r="R2580">
        <v>-8.7365849999999995E-2</v>
      </c>
      <c r="S2580">
        <v>3.100616</v>
      </c>
      <c r="T2580">
        <v>-4.9937009999999997E-2</v>
      </c>
      <c r="U2580">
        <v>0.1887665</v>
      </c>
      <c r="V2580">
        <v>-1.557351E-2</v>
      </c>
      <c r="W2580">
        <v>0.20936170000000001</v>
      </c>
      <c r="X2580">
        <v>0.97771419999999998</v>
      </c>
      <c r="Y2580">
        <v>-0.1647718</v>
      </c>
      <c r="Z2580">
        <v>2.789859E-3</v>
      </c>
      <c r="AA2580">
        <v>0.98632779999999998</v>
      </c>
      <c r="AB2580">
        <v>30</v>
      </c>
      <c r="AC2580">
        <v>69.362499999999997</v>
      </c>
      <c r="AD2580">
        <v>-1.1216784931279999</v>
      </c>
      <c r="AE2580">
        <v>4.2677999999999896</v>
      </c>
      <c r="AF2580">
        <v>-11.494414196681999</v>
      </c>
      <c r="AG2580">
        <v>-1.1216784931279999</v>
      </c>
      <c r="AH2580">
        <v>68.518126237376705</v>
      </c>
      <c r="AI2580">
        <v>90.924956185084397</v>
      </c>
      <c r="AJ2580">
        <v>99.523109885949196</v>
      </c>
      <c r="AK2580">
        <v>69.484626669846406</v>
      </c>
      <c r="AL2580">
        <v>77.915050596983505</v>
      </c>
      <c r="AM2580">
        <v>90.912558028892306</v>
      </c>
      <c r="AN2580">
        <v>0.99999995626112403</v>
      </c>
    </row>
    <row r="2581" spans="1:40" x14ac:dyDescent="0.25">
      <c r="A2581" t="str">
        <f>"20190303171027231"</f>
        <v>20190303171027231</v>
      </c>
      <c r="B2581" t="str">
        <f>"1551604227223042"</f>
        <v>1551604227223042</v>
      </c>
      <c r="C2581" t="s">
        <v>40</v>
      </c>
      <c r="D2581">
        <v>5.024578</v>
      </c>
      <c r="E2581">
        <v>0.46996019999999999</v>
      </c>
      <c r="F2581" t="s">
        <v>53</v>
      </c>
      <c r="G2581">
        <v>-371.90069999999997</v>
      </c>
      <c r="H2581" s="1">
        <v>-5.253308E-7</v>
      </c>
      <c r="I2581">
        <v>218.25530000000001</v>
      </c>
      <c r="J2581">
        <v>-448.52260000000001</v>
      </c>
      <c r="K2581">
        <v>1.121858</v>
      </c>
      <c r="L2581">
        <v>213.4683</v>
      </c>
      <c r="M2581">
        <v>0.99462660000000003</v>
      </c>
      <c r="N2581">
        <v>-9.7756089999999993E-3</v>
      </c>
      <c r="O2581">
        <v>-0.1030669</v>
      </c>
      <c r="P2581">
        <v>0.97585650000000002</v>
      </c>
      <c r="Q2581">
        <v>0.20056599999999999</v>
      </c>
      <c r="R2581">
        <v>-8.6475460000000004E-2</v>
      </c>
      <c r="S2581">
        <v>3.1003419999999999</v>
      </c>
      <c r="T2581">
        <v>-4.5199040000000003E-2</v>
      </c>
      <c r="U2581">
        <v>0.19160460000000001</v>
      </c>
      <c r="V2581">
        <v>-1.507037E-2</v>
      </c>
      <c r="W2581">
        <v>0.2100969</v>
      </c>
      <c r="X2581">
        <v>0.9775644</v>
      </c>
      <c r="Y2581">
        <v>-0.16420019999999999</v>
      </c>
      <c r="Z2581">
        <v>2.4922780000000001E-3</v>
      </c>
      <c r="AA2581">
        <v>0.98642390000000002</v>
      </c>
      <c r="AB2581">
        <v>30</v>
      </c>
      <c r="AC2581">
        <v>76.621899999999997</v>
      </c>
      <c r="AD2581">
        <v>-1.1218585253308</v>
      </c>
      <c r="AE2581">
        <v>4.7869999999999999</v>
      </c>
      <c r="AF2581">
        <v>-12.656358815258001</v>
      </c>
      <c r="AG2581">
        <v>-1.1218585253308</v>
      </c>
      <c r="AH2581">
        <v>75.704234908489695</v>
      </c>
      <c r="AI2581">
        <v>90.837382140511195</v>
      </c>
      <c r="AJ2581">
        <v>99.491028645010203</v>
      </c>
      <c r="AK2581">
        <v>76.763097697338907</v>
      </c>
      <c r="AL2581">
        <v>77.871968983478197</v>
      </c>
      <c r="AM2581">
        <v>90.883215675935105</v>
      </c>
      <c r="AN2581">
        <v>0.99999998979445304</v>
      </c>
    </row>
    <row r="2582" spans="1:40" x14ac:dyDescent="0.25">
      <c r="A2582" t="str">
        <f>"20190303171027253"</f>
        <v>20190303171027253</v>
      </c>
      <c r="B2582" t="str">
        <f>"1551604227243538"</f>
        <v>1551604227243538</v>
      </c>
      <c r="C2582" t="s">
        <v>40</v>
      </c>
      <c r="D2582">
        <v>5.0224460000000004</v>
      </c>
      <c r="E2582">
        <v>0.48081180000000001</v>
      </c>
      <c r="F2582" t="s">
        <v>53</v>
      </c>
      <c r="G2582">
        <v>-379.26299999999998</v>
      </c>
      <c r="H2582" s="1">
        <v>3.3925199999999901E-6</v>
      </c>
      <c r="I2582">
        <v>213.53989999999999</v>
      </c>
      <c r="J2582">
        <v>-448.24189999999999</v>
      </c>
      <c r="K2582">
        <v>1.12202</v>
      </c>
      <c r="L2582">
        <v>213.44069999999999</v>
      </c>
      <c r="M2582">
        <v>0.99478500000000003</v>
      </c>
      <c r="N2582">
        <v>-9.7141280000000007E-3</v>
      </c>
      <c r="O2582">
        <v>-0.1015311</v>
      </c>
      <c r="P2582">
        <v>0.9761765</v>
      </c>
      <c r="Q2582">
        <v>0.19988810000000001</v>
      </c>
      <c r="R2582">
        <v>-8.4406389999999998E-2</v>
      </c>
      <c r="S2582">
        <v>3.0848080000000002</v>
      </c>
      <c r="T2582">
        <v>-4.9967169999999998E-2</v>
      </c>
      <c r="U2582">
        <v>3.1890870000000002E-3</v>
      </c>
      <c r="V2582">
        <v>-1.573345E-2</v>
      </c>
      <c r="W2582">
        <v>0.20935280000000001</v>
      </c>
      <c r="X2582">
        <v>0.97771359999999996</v>
      </c>
      <c r="Y2582">
        <v>-0.1025407</v>
      </c>
      <c r="Z2582">
        <v>1.983341E-3</v>
      </c>
      <c r="AA2582">
        <v>0.99472680000000002</v>
      </c>
      <c r="AB2582">
        <v>30</v>
      </c>
      <c r="AC2582">
        <v>68.978899999999896</v>
      </c>
      <c r="AD2582">
        <v>-1.12201660748</v>
      </c>
      <c r="AE2582">
        <v>9.9199999999996097E-2</v>
      </c>
      <c r="AF2582">
        <v>-7.1006422196212302</v>
      </c>
      <c r="AG2582">
        <v>-1.12201660748</v>
      </c>
      <c r="AH2582">
        <v>68.594187234097802</v>
      </c>
      <c r="AI2582">
        <v>90.932141359326593</v>
      </c>
      <c r="AJ2582">
        <v>95.910018600565493</v>
      </c>
      <c r="AK2582">
        <v>68.969852569836604</v>
      </c>
      <c r="AL2582">
        <v>77.915572744898398</v>
      </c>
      <c r="AM2582">
        <v>90.921928959219002</v>
      </c>
      <c r="AN2582">
        <v>1.0000000099708499</v>
      </c>
    </row>
    <row r="2583" spans="1:40" x14ac:dyDescent="0.25">
      <c r="A2583" t="str">
        <f>"20190303171027275"</f>
        <v>20190303171027275</v>
      </c>
      <c r="B2583" t="str">
        <f>"1551604227263057"</f>
        <v>1551604227263057</v>
      </c>
      <c r="C2583" t="s">
        <v>40</v>
      </c>
      <c r="D2583">
        <v>4.9601660000000001</v>
      </c>
      <c r="E2583">
        <v>0.48475299999999999</v>
      </c>
      <c r="F2583" t="s">
        <v>53</v>
      </c>
      <c r="G2583">
        <v>-393.10289999999998</v>
      </c>
      <c r="H2583" s="1">
        <v>1.144253E-7</v>
      </c>
      <c r="I2583">
        <v>212.0787</v>
      </c>
      <c r="J2583">
        <v>-447.94240000000002</v>
      </c>
      <c r="K2583">
        <v>1.1221920000000001</v>
      </c>
      <c r="L2583">
        <v>213.4119</v>
      </c>
      <c r="M2583">
        <v>0.99497420000000003</v>
      </c>
      <c r="N2583">
        <v>-9.6462500000000003E-3</v>
      </c>
      <c r="O2583">
        <v>-9.9667069999999996E-2</v>
      </c>
      <c r="P2583">
        <v>0.97628630000000005</v>
      </c>
      <c r="Q2583">
        <v>0.20041339999999999</v>
      </c>
      <c r="R2583">
        <v>-8.1854789999999997E-2</v>
      </c>
      <c r="S2583">
        <v>3.0794679999999999</v>
      </c>
      <c r="T2583">
        <v>-6.2663910000000003E-2</v>
      </c>
      <c r="U2583">
        <v>-7.6065060000000004E-2</v>
      </c>
      <c r="V2583">
        <v>-1.654489E-2</v>
      </c>
      <c r="W2583">
        <v>0.2098004</v>
      </c>
      <c r="X2583">
        <v>0.97760429999999998</v>
      </c>
      <c r="Y2583">
        <v>-7.5042559999999994E-2</v>
      </c>
      <c r="Z2583">
        <v>2.187095E-3</v>
      </c>
      <c r="AA2583">
        <v>0.99717800000000001</v>
      </c>
      <c r="AB2583">
        <v>30</v>
      </c>
      <c r="AC2583">
        <v>54.839500000000001</v>
      </c>
      <c r="AD2583">
        <v>-1.1221918855747</v>
      </c>
      <c r="AE2583">
        <v>-1.3331999999999999</v>
      </c>
      <c r="AF2583">
        <v>-4.1376531991004404</v>
      </c>
      <c r="AG2583">
        <v>-1.1221918855747</v>
      </c>
      <c r="AH2583">
        <v>54.676420506541902</v>
      </c>
      <c r="AI2583">
        <v>91.172435765409304</v>
      </c>
      <c r="AJ2583">
        <v>94.3276254197865</v>
      </c>
      <c r="AK2583">
        <v>54.844238056812102</v>
      </c>
      <c r="AL2583">
        <v>77.889345232400302</v>
      </c>
      <c r="AM2583">
        <v>90.969576219392906</v>
      </c>
      <c r="AN2583">
        <v>1.0000000543018699</v>
      </c>
    </row>
    <row r="2584" spans="1:40" x14ac:dyDescent="0.25">
      <c r="A2584" t="str">
        <f>"20190303171027297"</f>
        <v>20190303171027297</v>
      </c>
      <c r="B2584" t="str">
        <f>"1551604227293313"</f>
        <v>1551604227293313</v>
      </c>
      <c r="C2584" t="s">
        <v>40</v>
      </c>
      <c r="D2584">
        <v>4.9505619999999997</v>
      </c>
      <c r="E2584">
        <v>0.48719040000000002</v>
      </c>
      <c r="F2584" t="s">
        <v>53</v>
      </c>
      <c r="G2584">
        <v>-391.69220000000001</v>
      </c>
      <c r="H2584" s="1">
        <v>-6.3628569999999995E-7</v>
      </c>
      <c r="I2584">
        <v>211.5737</v>
      </c>
      <c r="J2584">
        <v>-447.66829999999999</v>
      </c>
      <c r="K2584">
        <v>1.1223609999999999</v>
      </c>
      <c r="L2584">
        <v>213.38630000000001</v>
      </c>
      <c r="M2584">
        <v>0.99516470000000001</v>
      </c>
      <c r="N2584">
        <v>-9.5880519999999997E-3</v>
      </c>
      <c r="O2584">
        <v>-9.7751149999999995E-2</v>
      </c>
      <c r="P2584">
        <v>0.97636659999999997</v>
      </c>
      <c r="Q2584">
        <v>0.2011512</v>
      </c>
      <c r="R2584">
        <v>-7.9034060000000003E-2</v>
      </c>
      <c r="S2584">
        <v>3.0770569999999999</v>
      </c>
      <c r="T2584">
        <v>-6.1387299999999999E-2</v>
      </c>
      <c r="U2584">
        <v>-0.1005554</v>
      </c>
      <c r="V2584">
        <v>-1.756272E-2</v>
      </c>
      <c r="W2584">
        <v>0.21046980000000001</v>
      </c>
      <c r="X2584">
        <v>0.97744260000000005</v>
      </c>
      <c r="Y2584">
        <v>-6.5173919999999996E-2</v>
      </c>
      <c r="Z2584">
        <v>1.9702930000000001E-3</v>
      </c>
      <c r="AA2584">
        <v>0.99787199999999998</v>
      </c>
      <c r="AB2584">
        <v>30</v>
      </c>
      <c r="AC2584">
        <v>55.976099999999903</v>
      </c>
      <c r="AD2584">
        <v>-1.1223616362856901</v>
      </c>
      <c r="AE2584">
        <v>-1.8126</v>
      </c>
      <c r="AF2584">
        <v>-3.6665886822749099</v>
      </c>
      <c r="AG2584">
        <v>-1.1223616362856901</v>
      </c>
      <c r="AH2584">
        <v>55.862756314283203</v>
      </c>
      <c r="AI2584">
        <v>91.148527611276506</v>
      </c>
      <c r="AJ2584">
        <v>93.755259679568297</v>
      </c>
      <c r="AK2584">
        <v>55.9942060505958</v>
      </c>
      <c r="AL2584">
        <v>77.850114998945699</v>
      </c>
      <c r="AM2584">
        <v>91.0293816355952</v>
      </c>
      <c r="AN2584">
        <v>1.00000001107029</v>
      </c>
    </row>
    <row r="2585" spans="1:40" x14ac:dyDescent="0.25">
      <c r="A2585" t="str">
        <f>"20190303171027320"</f>
        <v>20190303171027320</v>
      </c>
      <c r="B2585" t="str">
        <f>"1551604227312835"</f>
        <v>1551604227312835</v>
      </c>
      <c r="C2585" t="s">
        <v>40</v>
      </c>
      <c r="D2585">
        <v>4.9518069999999996</v>
      </c>
      <c r="E2585">
        <v>0.48805460000000001</v>
      </c>
      <c r="F2585" t="s">
        <v>53</v>
      </c>
      <c r="G2585">
        <v>-390.66590000000002</v>
      </c>
      <c r="H2585" s="1">
        <v>-1.1824460000000001E-6</v>
      </c>
      <c r="I2585">
        <v>211.34119999999999</v>
      </c>
      <c r="J2585">
        <v>-447.35079999999999</v>
      </c>
      <c r="K2585">
        <v>1.1225369999999999</v>
      </c>
      <c r="L2585">
        <v>213.35759999999999</v>
      </c>
      <c r="M2585">
        <v>0.99540300000000004</v>
      </c>
      <c r="N2585">
        <v>-9.5283629999999998E-3</v>
      </c>
      <c r="O2585">
        <v>-9.5299439999999999E-2</v>
      </c>
      <c r="P2585">
        <v>0.97625430000000002</v>
      </c>
      <c r="Q2585">
        <v>0.2027137</v>
      </c>
      <c r="R2585">
        <v>-7.638491E-2</v>
      </c>
      <c r="S2585">
        <v>3.0761409999999998</v>
      </c>
      <c r="T2585">
        <v>-6.0568329999999997E-2</v>
      </c>
      <c r="U2585">
        <v>-0.1103668</v>
      </c>
      <c r="V2585">
        <v>-1.787468E-2</v>
      </c>
      <c r="W2585">
        <v>0.21196219999999999</v>
      </c>
      <c r="X2585">
        <v>0.97711440000000005</v>
      </c>
      <c r="Y2585">
        <v>-5.9528480000000002E-2</v>
      </c>
      <c r="Z2585">
        <v>1.833086E-3</v>
      </c>
      <c r="AA2585">
        <v>0.99822489999999997</v>
      </c>
      <c r="AB2585">
        <v>30</v>
      </c>
      <c r="AC2585">
        <v>56.684899999999899</v>
      </c>
      <c r="AD2585">
        <v>-1.1225381824459999</v>
      </c>
      <c r="AE2585">
        <v>-2.0164</v>
      </c>
      <c r="AF2585">
        <v>-3.39373368230746</v>
      </c>
      <c r="AG2585">
        <v>-1.1225381824459999</v>
      </c>
      <c r="AH2585">
        <v>56.5968870571728</v>
      </c>
      <c r="AI2585">
        <v>91.134214258602299</v>
      </c>
      <c r="AJ2585">
        <v>93.431532688902294</v>
      </c>
      <c r="AK2585">
        <v>56.709656539603998</v>
      </c>
      <c r="AL2585">
        <v>77.762633169765607</v>
      </c>
      <c r="AM2585">
        <v>91.048013932852001</v>
      </c>
      <c r="AN2585">
        <v>1.00000001455065</v>
      </c>
    </row>
    <row r="2586" spans="1:40" x14ac:dyDescent="0.25">
      <c r="A2586" t="str">
        <f>"20190303171027342"</f>
        <v>20190303171027342</v>
      </c>
      <c r="B2586" t="str">
        <f>"1551604227333330"</f>
        <v>1551604227333330</v>
      </c>
      <c r="C2586" t="s">
        <v>40</v>
      </c>
      <c r="D2586">
        <v>5.020848</v>
      </c>
      <c r="E2586">
        <v>0.48883490000000002</v>
      </c>
      <c r="F2586" t="s">
        <v>53</v>
      </c>
      <c r="G2586">
        <v>-387.32389999999998</v>
      </c>
      <c r="H2586" s="1">
        <v>2.5085129999999999E-6</v>
      </c>
      <c r="I2586">
        <v>211.2336</v>
      </c>
      <c r="J2586">
        <v>-447.06569999999999</v>
      </c>
      <c r="K2586">
        <v>1.1226689999999999</v>
      </c>
      <c r="L2586">
        <v>213.33269999999999</v>
      </c>
      <c r="M2586">
        <v>0.9956256</v>
      </c>
      <c r="N2586">
        <v>-9.4793810000000003E-3</v>
      </c>
      <c r="O2586">
        <v>-9.2952069999999998E-2</v>
      </c>
      <c r="P2586">
        <v>0.97647070000000002</v>
      </c>
      <c r="Q2586">
        <v>0.20325480000000001</v>
      </c>
      <c r="R2586">
        <v>-7.2062760000000003E-2</v>
      </c>
      <c r="S2586">
        <v>3.0763850000000001</v>
      </c>
      <c r="T2586">
        <v>-5.7530049999999999E-2</v>
      </c>
      <c r="U2586">
        <v>-0.1088562</v>
      </c>
      <c r="V2586">
        <v>-1.996034E-2</v>
      </c>
      <c r="W2586">
        <v>0.21243890000000001</v>
      </c>
      <c r="X2586">
        <v>0.97697049999999996</v>
      </c>
      <c r="Y2586">
        <v>-5.7669819999999997E-2</v>
      </c>
      <c r="Z2586">
        <v>1.6652839999999999E-3</v>
      </c>
      <c r="AA2586">
        <v>0.99833430000000001</v>
      </c>
      <c r="AB2586">
        <v>30</v>
      </c>
      <c r="AC2586">
        <v>59.741799999999998</v>
      </c>
      <c r="AD2586">
        <v>-1.1226664914869999</v>
      </c>
      <c r="AE2586">
        <v>-2.0990999999999902</v>
      </c>
      <c r="AF2586">
        <v>-3.4621402942600499</v>
      </c>
      <c r="AG2586">
        <v>-1.1226664914869999</v>
      </c>
      <c r="AH2586">
        <v>59.6572128541304</v>
      </c>
      <c r="AI2586">
        <v>91.076289832266696</v>
      </c>
      <c r="AJ2586">
        <v>93.321371749013096</v>
      </c>
      <c r="AK2586">
        <v>59.768133992883399</v>
      </c>
      <c r="AL2586">
        <v>77.734683943638601</v>
      </c>
      <c r="AM2586">
        <v>91.170438772789694</v>
      </c>
      <c r="AN2586">
        <v>1.0000000296381799</v>
      </c>
    </row>
    <row r="2587" spans="1:40" x14ac:dyDescent="0.25">
      <c r="A2587" t="str">
        <f>"20190303171027366"</f>
        <v>20190303171027366</v>
      </c>
      <c r="B2587" t="str">
        <f>"1551604227352850"</f>
        <v>1551604227352850</v>
      </c>
      <c r="C2587" t="s">
        <v>40</v>
      </c>
      <c r="D2587">
        <v>5.0231769999999996</v>
      </c>
      <c r="E2587">
        <v>0.4895409</v>
      </c>
      <c r="F2587" t="s">
        <v>53</v>
      </c>
      <c r="G2587">
        <v>-388.06970000000001</v>
      </c>
      <c r="H2587" s="1">
        <v>2.8995930000000002E-6</v>
      </c>
      <c r="I2587">
        <v>211.36600000000001</v>
      </c>
      <c r="J2587">
        <v>-446.7423</v>
      </c>
      <c r="K2587">
        <v>1.122784</v>
      </c>
      <c r="L2587">
        <v>213.30529999999999</v>
      </c>
      <c r="M2587">
        <v>0.99588390000000004</v>
      </c>
      <c r="N2587">
        <v>-9.4291770000000004E-3</v>
      </c>
      <c r="O2587">
        <v>-9.0146840000000006E-2</v>
      </c>
      <c r="P2587">
        <v>0.97695980000000004</v>
      </c>
      <c r="Q2587">
        <v>0.20268050000000001</v>
      </c>
      <c r="R2587">
        <v>-6.6862660000000004E-2</v>
      </c>
      <c r="S2587">
        <v>3.0769039999999999</v>
      </c>
      <c r="T2587">
        <v>-5.8552029999999998E-2</v>
      </c>
      <c r="U2587">
        <v>-0.1025696</v>
      </c>
      <c r="V2587">
        <v>-2.248561E-2</v>
      </c>
      <c r="W2587">
        <v>0.2117986</v>
      </c>
      <c r="X2587">
        <v>0.9770546</v>
      </c>
      <c r="Y2587">
        <v>-5.6900149999999997E-2</v>
      </c>
      <c r="Z2587">
        <v>1.671056E-3</v>
      </c>
      <c r="AA2587">
        <v>0.99837849999999995</v>
      </c>
      <c r="AB2587">
        <v>30</v>
      </c>
      <c r="AC2587">
        <v>58.672599999999903</v>
      </c>
      <c r="AD2587">
        <v>-1.1227811004070001</v>
      </c>
      <c r="AE2587">
        <v>-1.9393</v>
      </c>
      <c r="AF2587">
        <v>-3.3567530384821</v>
      </c>
      <c r="AG2587">
        <v>-1.1227811004070001</v>
      </c>
      <c r="AH2587">
        <v>58.5870906620559</v>
      </c>
      <c r="AI2587">
        <v>91.096102429657293</v>
      </c>
      <c r="AJ2587">
        <v>93.279182155578397</v>
      </c>
      <c r="AK2587">
        <v>58.6939146812065</v>
      </c>
      <c r="AL2587">
        <v>77.772223978130995</v>
      </c>
      <c r="AM2587">
        <v>91.318353323679503</v>
      </c>
      <c r="AN2587">
        <v>0.99999997050009504</v>
      </c>
    </row>
    <row r="2588" spans="1:40" x14ac:dyDescent="0.25">
      <c r="A2588" t="str">
        <f>"20190303171027388"</f>
        <v>20190303171027388</v>
      </c>
      <c r="B2588" t="str">
        <f>"1551604227383106"</f>
        <v>1551604227383106</v>
      </c>
      <c r="C2588" t="s">
        <v>40</v>
      </c>
      <c r="D2588">
        <v>5.0033180000000002</v>
      </c>
      <c r="E2588">
        <v>0.49048320000000001</v>
      </c>
      <c r="F2588" t="s">
        <v>53</v>
      </c>
      <c r="G2588">
        <v>-390.90969999999999</v>
      </c>
      <c r="H2588" s="1">
        <v>-1.052672E-6</v>
      </c>
      <c r="I2588">
        <v>211.62629999999999</v>
      </c>
      <c r="J2588">
        <v>-446.43630000000002</v>
      </c>
      <c r="K2588">
        <v>1.1228689999999999</v>
      </c>
      <c r="L2588">
        <v>213.28039999999999</v>
      </c>
      <c r="M2588">
        <v>0.99613019999999997</v>
      </c>
      <c r="N2588">
        <v>-9.3874719999999991E-3</v>
      </c>
      <c r="O2588">
        <v>-8.7388190000000004E-2</v>
      </c>
      <c r="P2588">
        <v>0.97718479999999996</v>
      </c>
      <c r="Q2588">
        <v>0.2026085</v>
      </c>
      <c r="R2588">
        <v>-6.3717590000000005E-2</v>
      </c>
      <c r="S2588">
        <v>3.0772710000000001</v>
      </c>
      <c r="T2588">
        <v>-6.188345E-2</v>
      </c>
      <c r="U2588">
        <v>-9.2544559999999998E-2</v>
      </c>
      <c r="V2588">
        <v>-2.2974479999999999E-2</v>
      </c>
      <c r="W2588">
        <v>0.21167839999999999</v>
      </c>
      <c r="X2588">
        <v>0.97706930000000003</v>
      </c>
      <c r="Y2588">
        <v>-5.7385600000000002E-2</v>
      </c>
      <c r="Z2588">
        <v>1.7796089999999999E-3</v>
      </c>
      <c r="AA2588">
        <v>0.99835050000000003</v>
      </c>
      <c r="AB2588">
        <v>30</v>
      </c>
      <c r="AC2588">
        <v>55.526600000000002</v>
      </c>
      <c r="AD2588">
        <v>-1.1228700526719999</v>
      </c>
      <c r="AE2588">
        <v>-1.6540999999999899</v>
      </c>
      <c r="AF2588">
        <v>-3.2035021375294201</v>
      </c>
      <c r="AG2588">
        <v>-1.1228700526719999</v>
      </c>
      <c r="AH2588">
        <v>55.436060454473001</v>
      </c>
      <c r="AI2588">
        <v>91.158448305334005</v>
      </c>
      <c r="AJ2588">
        <v>93.307292185711404</v>
      </c>
      <c r="AK2588">
        <v>55.539896127129403</v>
      </c>
      <c r="AL2588">
        <v>77.779271002380099</v>
      </c>
      <c r="AM2588">
        <v>91.346985544092504</v>
      </c>
      <c r="AN2588">
        <v>0.99999999438015996</v>
      </c>
    </row>
    <row r="2589" spans="1:40" x14ac:dyDescent="0.25">
      <c r="A2589" t="str">
        <f>"20190303171027409"</f>
        <v>20190303171027409</v>
      </c>
      <c r="B2589" t="str">
        <f>"1551604227403602"</f>
        <v>1551604227403602</v>
      </c>
      <c r="C2589" t="s">
        <v>40</v>
      </c>
      <c r="D2589">
        <v>5.0169610000000002</v>
      </c>
      <c r="E2589">
        <v>0.491199</v>
      </c>
      <c r="F2589" t="s">
        <v>53</v>
      </c>
      <c r="G2589">
        <v>-393.05</v>
      </c>
      <c r="H2589" s="1">
        <v>8.6246759999999994E-8</v>
      </c>
      <c r="I2589">
        <v>211.714</v>
      </c>
      <c r="J2589">
        <v>-446.17039999999997</v>
      </c>
      <c r="K2589">
        <v>1.122935</v>
      </c>
      <c r="L2589">
        <v>213.2595</v>
      </c>
      <c r="M2589">
        <v>0.99634279999999997</v>
      </c>
      <c r="N2589">
        <v>-9.3556049999999995E-3</v>
      </c>
      <c r="O2589">
        <v>-8.493357E-2</v>
      </c>
      <c r="P2589">
        <v>0.9772419</v>
      </c>
      <c r="Q2589">
        <v>0.2032523</v>
      </c>
      <c r="R2589">
        <v>-6.0718599999999998E-2</v>
      </c>
      <c r="S2589">
        <v>3.0775760000000001</v>
      </c>
      <c r="T2589">
        <v>-6.4730289999999996E-2</v>
      </c>
      <c r="U2589">
        <v>-9.0301510000000001E-2</v>
      </c>
      <c r="V2589">
        <v>-2.3591879999999999E-2</v>
      </c>
      <c r="W2589">
        <v>0.21228330000000001</v>
      </c>
      <c r="X2589">
        <v>0.97692330000000005</v>
      </c>
      <c r="Y2589">
        <v>-5.5654090000000003E-2</v>
      </c>
      <c r="Z2589">
        <v>1.833809E-3</v>
      </c>
      <c r="AA2589">
        <v>0.99844840000000001</v>
      </c>
      <c r="AB2589">
        <v>30</v>
      </c>
      <c r="AC2589">
        <v>53.120399999999897</v>
      </c>
      <c r="AD2589">
        <v>-1.1229349137532401</v>
      </c>
      <c r="AE2589">
        <v>-1.5454999999999699</v>
      </c>
      <c r="AF2589">
        <v>-2.9706607720644702</v>
      </c>
      <c r="AG2589">
        <v>-1.1229349137532401</v>
      </c>
      <c r="AH2589">
        <v>53.036028918257898</v>
      </c>
      <c r="AI2589">
        <v>91.211047936462904</v>
      </c>
      <c r="AJ2589">
        <v>93.205908567844105</v>
      </c>
      <c r="AK2589">
        <v>53.131028332430198</v>
      </c>
      <c r="AL2589">
        <v>77.743806331093396</v>
      </c>
      <c r="AM2589">
        <v>91.383376239809294</v>
      </c>
      <c r="AN2589">
        <v>0.99999995517185603</v>
      </c>
    </row>
    <row r="2590" spans="1:40" x14ac:dyDescent="0.25">
      <c r="A2590" t="str">
        <f>"20190303171027431"</f>
        <v>20190303171027431</v>
      </c>
      <c r="B2590" t="str">
        <f>"1551604227423122"</f>
        <v>1551604227423122</v>
      </c>
      <c r="C2590" t="s">
        <v>40</v>
      </c>
      <c r="D2590">
        <v>5.0195600000000002</v>
      </c>
      <c r="E2590">
        <v>0.49177749999999998</v>
      </c>
      <c r="F2590" t="s">
        <v>53</v>
      </c>
      <c r="G2590">
        <v>-392.21019999999999</v>
      </c>
      <c r="H2590" s="1">
        <v>-3.6064980000000001E-7</v>
      </c>
      <c r="I2590">
        <v>211.74539999999999</v>
      </c>
      <c r="J2590">
        <v>-445.86320000000001</v>
      </c>
      <c r="K2590">
        <v>1.122992</v>
      </c>
      <c r="L2590">
        <v>213.2362</v>
      </c>
      <c r="M2590">
        <v>0.99658380000000002</v>
      </c>
      <c r="N2590">
        <v>-9.3232899999999997E-3</v>
      </c>
      <c r="O2590">
        <v>-8.2061659999999995E-2</v>
      </c>
      <c r="P2590">
        <v>0.97742329999999999</v>
      </c>
      <c r="Q2590">
        <v>0.20346919999999999</v>
      </c>
      <c r="R2590">
        <v>-5.6959049999999997E-2</v>
      </c>
      <c r="S2590">
        <v>3.0777890000000001</v>
      </c>
      <c r="T2590">
        <v>-6.4050079999999995E-2</v>
      </c>
      <c r="U2590">
        <v>-8.6364750000000004E-2</v>
      </c>
      <c r="V2590">
        <v>-2.4564030000000001E-2</v>
      </c>
      <c r="W2590">
        <v>0.21245990000000001</v>
      </c>
      <c r="X2590">
        <v>0.97686099999999998</v>
      </c>
      <c r="Y2590">
        <v>-5.4055640000000002E-2</v>
      </c>
      <c r="Z2590">
        <v>1.7538829999999999E-3</v>
      </c>
      <c r="AA2590">
        <v>0.99853639999999999</v>
      </c>
      <c r="AB2590">
        <v>30</v>
      </c>
      <c r="AC2590">
        <v>53.652999999999999</v>
      </c>
      <c r="AD2590">
        <v>-1.1229923606498</v>
      </c>
      <c r="AE2590">
        <v>-1.4907999999999999</v>
      </c>
      <c r="AF2590">
        <v>-2.91599696517829</v>
      </c>
      <c r="AG2590">
        <v>-1.1229923606498</v>
      </c>
      <c r="AH2590">
        <v>53.5709182939787</v>
      </c>
      <c r="AI2590">
        <v>91.199125105584798</v>
      </c>
      <c r="AJ2590">
        <v>93.115675621074104</v>
      </c>
      <c r="AK2590">
        <v>53.6619738455747</v>
      </c>
      <c r="AL2590">
        <v>77.733452341800799</v>
      </c>
      <c r="AM2590">
        <v>91.440449271619599</v>
      </c>
      <c r="AN2590">
        <v>1.0000000069994199</v>
      </c>
    </row>
    <row r="2591" spans="1:40" x14ac:dyDescent="0.25">
      <c r="A2591" t="str">
        <f>"20190303171027454"</f>
        <v>20190303171027454</v>
      </c>
      <c r="B2591" t="str">
        <f>"1551604227443617"</f>
        <v>1551604227443617</v>
      </c>
      <c r="C2591" t="s">
        <v>40</v>
      </c>
      <c r="D2591">
        <v>5.0743809999999998</v>
      </c>
      <c r="E2591">
        <v>0.49242780000000003</v>
      </c>
      <c r="F2591" t="s">
        <v>53</v>
      </c>
      <c r="G2591">
        <v>-392.0489</v>
      </c>
      <c r="H2591" s="1">
        <v>-4.4646440000000002E-7</v>
      </c>
      <c r="I2591">
        <v>211.84549999999999</v>
      </c>
      <c r="J2591">
        <v>-445.57040000000001</v>
      </c>
      <c r="K2591">
        <v>1.1230290000000001</v>
      </c>
      <c r="L2591">
        <v>213.2148</v>
      </c>
      <c r="M2591">
        <v>0.99680679999999999</v>
      </c>
      <c r="N2591">
        <v>-9.3060399999999998E-3</v>
      </c>
      <c r="O2591">
        <v>-7.9307269999999999E-2</v>
      </c>
      <c r="P2591">
        <v>0.97748679999999999</v>
      </c>
      <c r="Q2591">
        <v>0.20403569999999999</v>
      </c>
      <c r="R2591">
        <v>-5.3751500000000001E-2</v>
      </c>
      <c r="S2591">
        <v>3.078033</v>
      </c>
      <c r="T2591">
        <v>-6.4232109999999995E-2</v>
      </c>
      <c r="U2591">
        <v>-7.9544069999999995E-2</v>
      </c>
      <c r="V2591">
        <v>-2.508736E-2</v>
      </c>
      <c r="W2591">
        <v>0.21300269999999999</v>
      </c>
      <c r="X2591">
        <v>0.97672950000000003</v>
      </c>
      <c r="Y2591">
        <v>-5.3509649999999999E-2</v>
      </c>
      <c r="Z2591">
        <v>1.721366E-3</v>
      </c>
      <c r="AA2591">
        <v>0.99856590000000001</v>
      </c>
      <c r="AB2591">
        <v>30</v>
      </c>
      <c r="AC2591">
        <v>53.521500000000003</v>
      </c>
      <c r="AD2591">
        <v>-1.1230294464643999</v>
      </c>
      <c r="AE2591">
        <v>-1.3693</v>
      </c>
      <c r="AF2591">
        <v>-2.8785746024511698</v>
      </c>
      <c r="AG2591">
        <v>-1.1230294464643999</v>
      </c>
      <c r="AH2591">
        <v>53.437992350777598</v>
      </c>
      <c r="AI2591">
        <v>91.202183372986298</v>
      </c>
      <c r="AJ2591">
        <v>93.083404126529999</v>
      </c>
      <c r="AK2591">
        <v>53.527249260178301</v>
      </c>
      <c r="AL2591">
        <v>77.701623832286202</v>
      </c>
      <c r="AM2591">
        <v>91.471322282338406</v>
      </c>
      <c r="AN2591">
        <v>1.00000002100465</v>
      </c>
    </row>
    <row r="2592" spans="1:40" x14ac:dyDescent="0.25">
      <c r="A2592" t="str">
        <f>"20190303171027477"</f>
        <v>20190303171027477</v>
      </c>
      <c r="B2592" t="str">
        <f>"1551604227463141"</f>
        <v>1551604227463141</v>
      </c>
      <c r="C2592" t="s">
        <v>40</v>
      </c>
      <c r="D2592">
        <v>4.9550090000000004</v>
      </c>
      <c r="E2592">
        <v>0.49294579999999999</v>
      </c>
      <c r="F2592" t="s">
        <v>53</v>
      </c>
      <c r="G2592">
        <v>-391.03559999999999</v>
      </c>
      <c r="H2592" s="1">
        <v>-9.8571310000000003E-7</v>
      </c>
      <c r="I2592">
        <v>211.87559999999999</v>
      </c>
      <c r="J2592">
        <v>-445.26519999999999</v>
      </c>
      <c r="K2592">
        <v>1.1230549999999999</v>
      </c>
      <c r="L2592">
        <v>213.1935</v>
      </c>
      <c r="M2592">
        <v>0.99703169999999997</v>
      </c>
      <c r="N2592">
        <v>-9.2976980000000001E-3</v>
      </c>
      <c r="O2592">
        <v>-7.6430280000000003E-2</v>
      </c>
      <c r="P2592">
        <v>0.97761920000000002</v>
      </c>
      <c r="Q2592">
        <v>0.20414969999999999</v>
      </c>
      <c r="R2592">
        <v>-5.0832580000000002E-2</v>
      </c>
      <c r="S2592">
        <v>3.0781559999999999</v>
      </c>
      <c r="T2592">
        <v>-6.3388109999999998E-2</v>
      </c>
      <c r="U2592">
        <v>-7.5592039999999999E-2</v>
      </c>
      <c r="V2592">
        <v>-2.5199949999999999E-2</v>
      </c>
      <c r="W2592">
        <v>0.21310609999999999</v>
      </c>
      <c r="X2592">
        <v>0.97670400000000002</v>
      </c>
      <c r="Y2592">
        <v>-5.191138E-2</v>
      </c>
      <c r="Z2592">
        <v>1.6365869999999999E-3</v>
      </c>
      <c r="AA2592">
        <v>0.99865040000000005</v>
      </c>
      <c r="AB2592">
        <v>30</v>
      </c>
      <c r="AC2592">
        <v>54.229599999999998</v>
      </c>
      <c r="AD2592">
        <v>-1.1230559857130999</v>
      </c>
      <c r="AE2592">
        <v>-1.3179000000000001</v>
      </c>
      <c r="AF2592">
        <v>-2.8297045809224199</v>
      </c>
      <c r="AG2592">
        <v>-1.1230559857130999</v>
      </c>
      <c r="AH2592">
        <v>54.148483450006502</v>
      </c>
      <c r="AI2592">
        <v>91.186542903755495</v>
      </c>
      <c r="AJ2592">
        <v>92.991455576343199</v>
      </c>
      <c r="AK2592">
        <v>54.233999877364397</v>
      </c>
      <c r="AL2592">
        <v>77.695559661596604</v>
      </c>
      <c r="AM2592">
        <v>91.477961101976604</v>
      </c>
      <c r="AN2592">
        <v>0.99999997547660502</v>
      </c>
    </row>
    <row r="2593" spans="1:40" x14ac:dyDescent="0.25">
      <c r="A2593" t="str">
        <f>"20190303171027498"</f>
        <v>20190303171027498</v>
      </c>
      <c r="B2593" t="str">
        <f>"1551604227493394"</f>
        <v>1551604227493394</v>
      </c>
      <c r="C2593" t="s">
        <v>40</v>
      </c>
      <c r="D2593">
        <v>5.0128659999999998</v>
      </c>
      <c r="E2593">
        <v>0.50069560000000002</v>
      </c>
      <c r="F2593" t="s">
        <v>53</v>
      </c>
      <c r="G2593">
        <v>-390.79489999999998</v>
      </c>
      <c r="H2593" s="1">
        <v>-1.113798E-6</v>
      </c>
      <c r="I2593">
        <v>211.93520000000001</v>
      </c>
      <c r="J2593">
        <v>-444.97</v>
      </c>
      <c r="K2593">
        <v>1.1230719999999901</v>
      </c>
      <c r="L2593">
        <v>213.1737</v>
      </c>
      <c r="M2593">
        <v>0.99724100000000004</v>
      </c>
      <c r="N2593">
        <v>-9.2983389999999992E-3</v>
      </c>
      <c r="O2593">
        <v>-7.3648119999999997E-2</v>
      </c>
      <c r="P2593">
        <v>0.97781779999999996</v>
      </c>
      <c r="Q2593">
        <v>0.20364479999999999</v>
      </c>
      <c r="R2593">
        <v>-4.8998739999999999E-2</v>
      </c>
      <c r="S2593">
        <v>3.0782470000000002</v>
      </c>
      <c r="T2593">
        <v>-6.3466549999999997E-2</v>
      </c>
      <c r="U2593">
        <v>-7.1105959999999996E-2</v>
      </c>
      <c r="V2593">
        <v>-2.4320560000000001E-2</v>
      </c>
      <c r="W2593">
        <v>0.21260660000000001</v>
      </c>
      <c r="X2593">
        <v>0.97683509999999996</v>
      </c>
      <c r="Y2593">
        <v>-5.0580760000000002E-2</v>
      </c>
      <c r="Z2593">
        <v>1.587977E-3</v>
      </c>
      <c r="AA2593">
        <v>0.99871869999999996</v>
      </c>
      <c r="AB2593">
        <v>30</v>
      </c>
      <c r="AC2593">
        <v>54.1751</v>
      </c>
      <c r="AD2593">
        <v>-1.1230731137979999</v>
      </c>
      <c r="AE2593">
        <v>-1.23849999999998</v>
      </c>
      <c r="AF2593">
        <v>-2.7537474166599298</v>
      </c>
      <c r="AG2593">
        <v>-1.1230731137979999</v>
      </c>
      <c r="AH2593">
        <v>54.095944906551701</v>
      </c>
      <c r="AI2593">
        <v>91.187795737191095</v>
      </c>
      <c r="AJ2593">
        <v>92.914119215096306</v>
      </c>
      <c r="AK2593">
        <v>54.1776307472593</v>
      </c>
      <c r="AL2593">
        <v>77.724849626308398</v>
      </c>
      <c r="AM2593">
        <v>91.426215771014398</v>
      </c>
      <c r="AN2593">
        <v>0.99999993429713896</v>
      </c>
    </row>
    <row r="2594" spans="1:40" x14ac:dyDescent="0.25">
      <c r="A2594" t="str">
        <f>"20190303171027520"</f>
        <v>20190303171027520</v>
      </c>
      <c r="B2594" t="str">
        <f>"1551604227512914"</f>
        <v>1551604227512914</v>
      </c>
      <c r="C2594" t="s">
        <v>40</v>
      </c>
      <c r="D2594">
        <v>5.0042949999999999</v>
      </c>
      <c r="E2594">
        <v>0.5007568</v>
      </c>
      <c r="F2594" t="s">
        <v>53</v>
      </c>
      <c r="G2594">
        <v>-394.52109999999999</v>
      </c>
      <c r="H2594" s="1">
        <v>8.6911569999999996E-7</v>
      </c>
      <c r="I2594">
        <v>211.0993</v>
      </c>
      <c r="J2594">
        <v>-444.6703</v>
      </c>
      <c r="K2594">
        <v>1.123095</v>
      </c>
      <c r="L2594">
        <v>213.15440000000001</v>
      </c>
      <c r="M2594">
        <v>0.99744529999999998</v>
      </c>
      <c r="N2594">
        <v>-9.3040480000000005E-3</v>
      </c>
      <c r="O2594">
        <v>-7.0827730000000005E-2</v>
      </c>
      <c r="P2594">
        <v>0.97799389999999997</v>
      </c>
      <c r="Q2594">
        <v>0.2032746</v>
      </c>
      <c r="R2594">
        <v>-4.698633E-2</v>
      </c>
      <c r="S2594">
        <v>3.075958</v>
      </c>
      <c r="T2594">
        <v>-6.8475599999999998E-2</v>
      </c>
      <c r="U2594">
        <v>-0.12648010000000001</v>
      </c>
      <c r="V2594">
        <v>-2.3579039999999999E-2</v>
      </c>
      <c r="W2594">
        <v>0.21224599999999999</v>
      </c>
      <c r="X2594">
        <v>0.97693180000000002</v>
      </c>
      <c r="Y2594">
        <v>-2.9773620000000001E-2</v>
      </c>
      <c r="Z2594">
        <v>1.3847989999999999E-3</v>
      </c>
      <c r="AA2594">
        <v>0.99955570000000005</v>
      </c>
      <c r="AB2594">
        <v>30</v>
      </c>
      <c r="AC2594">
        <v>50.1492</v>
      </c>
      <c r="AD2594">
        <v>-1.1230941308843001</v>
      </c>
      <c r="AE2594">
        <v>-2.0551000000000101</v>
      </c>
      <c r="AF2594">
        <v>-1.50141722978354</v>
      </c>
      <c r="AG2594">
        <v>-1.1230941308843001</v>
      </c>
      <c r="AH2594">
        <v>50.143700057784599</v>
      </c>
      <c r="AI2594">
        <v>91.282493813126607</v>
      </c>
      <c r="AJ2594">
        <v>91.715054453669893</v>
      </c>
      <c r="AK2594">
        <v>50.178743005477799</v>
      </c>
      <c r="AL2594">
        <v>77.745994339979802</v>
      </c>
      <c r="AM2594">
        <v>91.382611597493096</v>
      </c>
      <c r="AN2594">
        <v>1.0000000387472801</v>
      </c>
    </row>
    <row r="2595" spans="1:40" x14ac:dyDescent="0.25">
      <c r="A2595" t="str">
        <f>"20190303171027542"</f>
        <v>20190303171027542</v>
      </c>
      <c r="B2595" t="str">
        <f>"1551604227533410"</f>
        <v>1551604227533410</v>
      </c>
      <c r="C2595" t="s">
        <v>40</v>
      </c>
      <c r="D2595">
        <v>4.9189879999999997</v>
      </c>
      <c r="E2595">
        <v>0.52587539999999999</v>
      </c>
      <c r="F2595" t="s">
        <v>53</v>
      </c>
      <c r="G2595">
        <v>-393.90640000000002</v>
      </c>
      <c r="H2595" s="1">
        <v>5.4202419999999997E-7</v>
      </c>
      <c r="I2595">
        <v>211.16929999999999</v>
      </c>
      <c r="J2595">
        <v>-444.37279999999998</v>
      </c>
      <c r="K2595">
        <v>1.123108</v>
      </c>
      <c r="L2595">
        <v>213.1362</v>
      </c>
      <c r="M2595">
        <v>0.99763950000000001</v>
      </c>
      <c r="N2595">
        <v>-9.3167800000000002E-3</v>
      </c>
      <c r="O2595">
        <v>-6.8035139999999994E-2</v>
      </c>
      <c r="P2595">
        <v>0.97815010000000002</v>
      </c>
      <c r="Q2595">
        <v>0.20304820000000001</v>
      </c>
      <c r="R2595">
        <v>-4.465264E-2</v>
      </c>
      <c r="S2595">
        <v>3.0758969999999999</v>
      </c>
      <c r="T2595">
        <v>-6.8050860000000005E-2</v>
      </c>
      <c r="U2595">
        <v>-0.120285</v>
      </c>
      <c r="V2595">
        <v>-2.3181839999999999E-2</v>
      </c>
      <c r="W2595">
        <v>0.212034</v>
      </c>
      <c r="X2595">
        <v>0.9769873</v>
      </c>
      <c r="Y2595">
        <v>-2.8985259999999999E-2</v>
      </c>
      <c r="Z2595">
        <v>1.3244729999999901E-3</v>
      </c>
      <c r="AA2595">
        <v>0.999579</v>
      </c>
      <c r="AB2595">
        <v>30</v>
      </c>
      <c r="AC2595">
        <v>50.466399999999901</v>
      </c>
      <c r="AD2595">
        <v>-1.1231074579758</v>
      </c>
      <c r="AE2595">
        <v>-1.9669000000000001</v>
      </c>
      <c r="AF2595">
        <v>-1.4705679835834899</v>
      </c>
      <c r="AG2595">
        <v>-1.1231074579758</v>
      </c>
      <c r="AH2595">
        <v>50.458327198936601</v>
      </c>
      <c r="AI2595">
        <v>91.274544748660105</v>
      </c>
      <c r="AJ2595">
        <v>91.669367577892004</v>
      </c>
      <c r="AK2595">
        <v>50.492244199198097</v>
      </c>
      <c r="AL2595">
        <v>77.758423465108706</v>
      </c>
      <c r="AM2595">
        <v>91.359252478617506</v>
      </c>
      <c r="AN2595">
        <v>0.99999999961153696</v>
      </c>
    </row>
    <row r="2596" spans="1:40" x14ac:dyDescent="0.25">
      <c r="A2596" t="str">
        <f>"20190303171027569"</f>
        <v>20190303171027569</v>
      </c>
      <c r="B2596" t="str">
        <f>"1551604227563666"</f>
        <v>1551604227563666</v>
      </c>
      <c r="C2596" t="s">
        <v>40</v>
      </c>
      <c r="D2596">
        <v>4.8756870000000001</v>
      </c>
      <c r="E2596">
        <v>0.54094310000000001</v>
      </c>
      <c r="F2596" t="s">
        <v>60</v>
      </c>
      <c r="G2596">
        <v>-406.05029999999999</v>
      </c>
      <c r="H2596">
        <v>8.0001500000000003E-2</v>
      </c>
      <c r="I2596">
        <v>209.22730000000001</v>
      </c>
      <c r="J2596">
        <v>-444.02350000000001</v>
      </c>
      <c r="K2596">
        <v>1.1231180000000001</v>
      </c>
      <c r="L2596">
        <v>213.11580000000001</v>
      </c>
      <c r="M2596">
        <v>0.99785699999999999</v>
      </c>
      <c r="N2596">
        <v>-9.3377760000000008E-3</v>
      </c>
      <c r="O2596">
        <v>-6.4763699999999993E-2</v>
      </c>
      <c r="P2596">
        <v>0.97833570000000003</v>
      </c>
      <c r="Q2596">
        <v>0.2027989</v>
      </c>
      <c r="R2596">
        <v>-4.1618910000000002E-2</v>
      </c>
      <c r="S2596">
        <v>3.0700379999999998</v>
      </c>
      <c r="T2596">
        <v>-8.356392E-2</v>
      </c>
      <c r="U2596">
        <v>-0.3131409</v>
      </c>
      <c r="V2596">
        <v>-2.301622E-2</v>
      </c>
      <c r="W2596">
        <v>0.2118061</v>
      </c>
      <c r="X2596">
        <v>0.97704060000000004</v>
      </c>
      <c r="Y2596">
        <v>3.6819320000000003E-2</v>
      </c>
      <c r="Z2596">
        <v>4.7951619999999999E-4</v>
      </c>
      <c r="AA2596">
        <v>0.99932180000000004</v>
      </c>
      <c r="AB2596">
        <v>30</v>
      </c>
      <c r="AC2596">
        <v>37.973199999999999</v>
      </c>
      <c r="AD2596">
        <v>-1.0431165</v>
      </c>
      <c r="AE2596">
        <v>-3.8884999999999899</v>
      </c>
      <c r="AF2596">
        <v>1.4198835623259001</v>
      </c>
      <c r="AG2596">
        <v>-1.0431165</v>
      </c>
      <c r="AH2596">
        <v>38.116853651628297</v>
      </c>
      <c r="AI2596">
        <v>91.566495177663796</v>
      </c>
      <c r="AJ2596">
        <v>87.866672356552399</v>
      </c>
      <c r="AK2596">
        <v>38.157550939005397</v>
      </c>
      <c r="AL2596">
        <v>77.771784057164993</v>
      </c>
      <c r="AM2596">
        <v>91.349471465429005</v>
      </c>
      <c r="AN2596">
        <v>0.99999995221432803</v>
      </c>
    </row>
    <row r="2597" spans="1:40" x14ac:dyDescent="0.25">
      <c r="A2597" t="str">
        <f>"20190303171027599"</f>
        <v>20190303171027599</v>
      </c>
      <c r="B2597" t="str">
        <f>"1551604227592947"</f>
        <v>1551604227592947</v>
      </c>
      <c r="C2597" t="s">
        <v>40</v>
      </c>
      <c r="D2597">
        <v>4.8628619999999998</v>
      </c>
      <c r="E2597">
        <v>0.54678509999999902</v>
      </c>
      <c r="F2597" t="s">
        <v>60</v>
      </c>
      <c r="G2597">
        <v>-408.21179999999998</v>
      </c>
      <c r="H2597">
        <v>8.0001340000000004E-2</v>
      </c>
      <c r="I2597">
        <v>208.1628</v>
      </c>
      <c r="J2597">
        <v>-443.608</v>
      </c>
      <c r="K2597">
        <v>1.1231340000000001</v>
      </c>
      <c r="L2597">
        <v>213.09299999999999</v>
      </c>
      <c r="M2597">
        <v>0.99810109999999996</v>
      </c>
      <c r="N2597">
        <v>-9.3758039999999997E-3</v>
      </c>
      <c r="O2597">
        <v>-6.0879450000000002E-2</v>
      </c>
      <c r="P2597">
        <v>0.97869969999999995</v>
      </c>
      <c r="Q2597">
        <v>0.2019089</v>
      </c>
      <c r="R2597">
        <v>-3.7143320000000001E-2</v>
      </c>
      <c r="S2597">
        <v>3.0669249999999999</v>
      </c>
      <c r="T2597">
        <v>-8.9332819999999993E-2</v>
      </c>
      <c r="U2597">
        <v>-0.42417909999999998</v>
      </c>
      <c r="V2597">
        <v>-2.3695770000000001E-2</v>
      </c>
      <c r="W2597">
        <v>0.2109509</v>
      </c>
      <c r="X2597">
        <v>0.97720940000000001</v>
      </c>
      <c r="Y2597">
        <v>7.6410729999999996E-2</v>
      </c>
      <c r="Z2597">
        <v>-2.7438030000000001E-4</v>
      </c>
      <c r="AA2597">
        <v>0.99707639999999997</v>
      </c>
      <c r="AB2597">
        <v>30</v>
      </c>
      <c r="AC2597">
        <v>35.3962</v>
      </c>
      <c r="AD2597">
        <v>-1.0431326599999999</v>
      </c>
      <c r="AE2597">
        <v>-4.9301999999999797</v>
      </c>
      <c r="AF2597">
        <v>2.76370383338213</v>
      </c>
      <c r="AG2597">
        <v>-1.0431326599999999</v>
      </c>
      <c r="AH2597">
        <v>35.600369577892103</v>
      </c>
      <c r="AI2597">
        <v>91.673321662322394</v>
      </c>
      <c r="AJ2597">
        <v>85.560955958342504</v>
      </c>
      <c r="AK2597">
        <v>35.722716843872803</v>
      </c>
      <c r="AL2597">
        <v>77.821916670288601</v>
      </c>
      <c r="AM2597">
        <v>91.389059101359805</v>
      </c>
      <c r="AN2597">
        <v>0.99999999158753095</v>
      </c>
    </row>
    <row r="2598" spans="1:40" x14ac:dyDescent="0.25">
      <c r="A2598" t="str">
        <f>"20190303171027623"</f>
        <v>20190303171027623</v>
      </c>
      <c r="B2598" t="str">
        <f>"1551604227613443"</f>
        <v>1551604227613443</v>
      </c>
      <c r="C2598" t="s">
        <v>40</v>
      </c>
      <c r="D2598">
        <v>4.8442759999999998</v>
      </c>
      <c r="E2598">
        <v>0.54906709999999903</v>
      </c>
      <c r="F2598" t="s">
        <v>60</v>
      </c>
      <c r="G2598">
        <v>-408.74639999999999</v>
      </c>
      <c r="H2598">
        <v>8.0001349999999999E-2</v>
      </c>
      <c r="I2598">
        <v>207.886</v>
      </c>
      <c r="J2598">
        <v>-443.2937</v>
      </c>
      <c r="K2598">
        <v>1.1231469999999999</v>
      </c>
      <c r="L2598">
        <v>213.07689999999999</v>
      </c>
      <c r="M2598">
        <v>0.99827549999999998</v>
      </c>
      <c r="N2598">
        <v>-9.4071109999999993E-3</v>
      </c>
      <c r="O2598">
        <v>-5.794386E-2</v>
      </c>
      <c r="P2598">
        <v>0.97895989999999999</v>
      </c>
      <c r="Q2598">
        <v>0.20128399999999999</v>
      </c>
      <c r="R2598">
        <v>-3.3502419999999998E-2</v>
      </c>
      <c r="S2598">
        <v>3.0668329999999999</v>
      </c>
      <c r="T2598">
        <v>-9.1766E-2</v>
      </c>
      <c r="U2598">
        <v>-0.4580688</v>
      </c>
      <c r="V2598">
        <v>-2.4466439999999999E-2</v>
      </c>
      <c r="W2598">
        <v>0.21035229999999999</v>
      </c>
      <c r="X2598">
        <v>0.97731939999999995</v>
      </c>
      <c r="Y2598">
        <v>9.0124410000000002E-2</v>
      </c>
      <c r="Z2598">
        <v>-5.8854209999999998E-4</v>
      </c>
      <c r="AA2598">
        <v>0.99593030000000005</v>
      </c>
      <c r="AB2598">
        <v>31</v>
      </c>
      <c r="AC2598">
        <v>34.5473</v>
      </c>
      <c r="AD2598">
        <v>-1.04314564999999</v>
      </c>
      <c r="AE2598">
        <v>-5.1908999999999903</v>
      </c>
      <c r="AF2598">
        <v>3.17745217608763</v>
      </c>
      <c r="AG2598">
        <v>-1.04314564999999</v>
      </c>
      <c r="AH2598">
        <v>34.759053197424002</v>
      </c>
      <c r="AI2598">
        <v>91.711840718688194</v>
      </c>
      <c r="AJ2598">
        <v>84.7768998392459</v>
      </c>
      <c r="AK2598">
        <v>34.919566640492398</v>
      </c>
      <c r="AL2598">
        <v>77.857000705890101</v>
      </c>
      <c r="AM2598">
        <v>91.434056271515701</v>
      </c>
      <c r="AN2598">
        <v>0.99999995320895996</v>
      </c>
    </row>
    <row r="2599" spans="1:40" x14ac:dyDescent="0.25">
      <c r="A2599" t="str">
        <f>"20190303171027644"</f>
        <v>20190303171027644</v>
      </c>
      <c r="B2599" t="str">
        <f>"1551604227632962"</f>
        <v>1551604227632962</v>
      </c>
      <c r="C2599" t="s">
        <v>40</v>
      </c>
      <c r="D2599">
        <v>4.8474709999999996</v>
      </c>
      <c r="E2599">
        <v>0.55091349999999994</v>
      </c>
      <c r="F2599" t="s">
        <v>60</v>
      </c>
      <c r="G2599">
        <v>-408.93220000000002</v>
      </c>
      <c r="H2599">
        <v>8.0001320000000001E-2</v>
      </c>
      <c r="I2599">
        <v>207.86789999999999</v>
      </c>
      <c r="J2599">
        <v>-442.99720000000002</v>
      </c>
      <c r="K2599">
        <v>1.123156</v>
      </c>
      <c r="L2599">
        <v>213.0626</v>
      </c>
      <c r="M2599">
        <v>0.99843199999999999</v>
      </c>
      <c r="N2599">
        <v>-9.4394700000000002E-3</v>
      </c>
      <c r="O2599">
        <v>-5.5176240000000001E-2</v>
      </c>
      <c r="P2599">
        <v>0.97902849999999997</v>
      </c>
      <c r="Q2599">
        <v>0.20148940000000001</v>
      </c>
      <c r="R2599">
        <v>-3.0088110000000001E-2</v>
      </c>
      <c r="S2599">
        <v>3.0677490000000001</v>
      </c>
      <c r="T2599">
        <v>-9.3130710000000005E-2</v>
      </c>
      <c r="U2599">
        <v>-0.46505740000000001</v>
      </c>
      <c r="V2599">
        <v>-2.516931E-2</v>
      </c>
      <c r="W2599">
        <v>0.21058450000000001</v>
      </c>
      <c r="X2599">
        <v>0.9772516</v>
      </c>
      <c r="Y2599">
        <v>9.5054879999999994E-2</v>
      </c>
      <c r="Z2599">
        <v>-7.4140670000000003E-4</v>
      </c>
      <c r="AA2599">
        <v>0.99547180000000002</v>
      </c>
      <c r="AB2599">
        <v>31</v>
      </c>
      <c r="AC2599">
        <v>34.064999999999998</v>
      </c>
      <c r="AD2599">
        <v>-1.04315468</v>
      </c>
      <c r="AE2599">
        <v>-5.1947000000000099</v>
      </c>
      <c r="AF2599">
        <v>3.3040955134932801</v>
      </c>
      <c r="AG2599">
        <v>-1.04315468</v>
      </c>
      <c r="AH2599">
        <v>34.268334225455199</v>
      </c>
      <c r="AI2599">
        <v>91.735545925422699</v>
      </c>
      <c r="AJ2599">
        <v>84.492660908973505</v>
      </c>
      <c r="AK2599">
        <v>34.443053718220099</v>
      </c>
      <c r="AL2599">
        <v>77.843392467803397</v>
      </c>
      <c r="AM2599">
        <v>91.475338082105097</v>
      </c>
      <c r="AN2599">
        <v>1.0000000077543401</v>
      </c>
    </row>
    <row r="2600" spans="1:40" x14ac:dyDescent="0.25">
      <c r="A2600" t="str">
        <f>"20190303171027666"</f>
        <v>20190303171027666</v>
      </c>
      <c r="B2600" t="str">
        <f>"1551604227653461"</f>
        <v>1551604227653461</v>
      </c>
      <c r="C2600" t="s">
        <v>40</v>
      </c>
      <c r="D2600">
        <v>4.8329409999999999</v>
      </c>
      <c r="E2600">
        <v>0.55240880000000003</v>
      </c>
      <c r="F2600" t="s">
        <v>60</v>
      </c>
      <c r="G2600">
        <v>-407.95159999999998</v>
      </c>
      <c r="H2600">
        <v>8.0001290000000003E-2</v>
      </c>
      <c r="I2600">
        <v>207.69980000000001</v>
      </c>
      <c r="J2600">
        <v>-442.70089999999999</v>
      </c>
      <c r="K2600">
        <v>1.1231690000000001</v>
      </c>
      <c r="L2600">
        <v>213.04900000000001</v>
      </c>
      <c r="M2600">
        <v>0.99858080000000005</v>
      </c>
      <c r="N2600">
        <v>-9.4799680000000001E-3</v>
      </c>
      <c r="O2600">
        <v>-5.2410900000000003E-2</v>
      </c>
      <c r="P2600">
        <v>0.97897690000000004</v>
      </c>
      <c r="Q2600">
        <v>0.20217760000000001</v>
      </c>
      <c r="R2600">
        <v>-2.6989869999999999E-2</v>
      </c>
      <c r="S2600">
        <v>3.0686339999999999</v>
      </c>
      <c r="T2600">
        <v>-9.1339950000000003E-2</v>
      </c>
      <c r="U2600">
        <v>-0.46957399999999999</v>
      </c>
      <c r="V2600">
        <v>-2.5555720000000001E-2</v>
      </c>
      <c r="W2600">
        <v>0.21130840000000001</v>
      </c>
      <c r="X2600">
        <v>0.97708530000000005</v>
      </c>
      <c r="Y2600">
        <v>9.9198629999999996E-2</v>
      </c>
      <c r="Z2600">
        <v>-8.8654130000000002E-4</v>
      </c>
      <c r="AA2600">
        <v>0.99506719999999904</v>
      </c>
      <c r="AB2600">
        <v>31</v>
      </c>
      <c r="AC2600">
        <v>34.749299999999998</v>
      </c>
      <c r="AD2600">
        <v>-1.0431677100000001</v>
      </c>
      <c r="AE2600">
        <v>-5.34919999999999</v>
      </c>
      <c r="AF2600">
        <v>3.5174273532597402</v>
      </c>
      <c r="AG2600">
        <v>-1.0431677100000001</v>
      </c>
      <c r="AH2600">
        <v>34.951136873510997</v>
      </c>
      <c r="AI2600">
        <v>91.700981616899895</v>
      </c>
      <c r="AJ2600">
        <v>84.253192289469993</v>
      </c>
      <c r="AK2600">
        <v>35.143170927045702</v>
      </c>
      <c r="AL2600">
        <v>77.800961265554804</v>
      </c>
      <c r="AM2600">
        <v>91.498232700275096</v>
      </c>
      <c r="AN2600">
        <v>1.00000000910568</v>
      </c>
    </row>
    <row r="2601" spans="1:40" x14ac:dyDescent="0.25">
      <c r="A2601" t="str">
        <f>"20190303171027687"</f>
        <v>20190303171027687</v>
      </c>
      <c r="B2601" t="str">
        <f>"1551604227672983"</f>
        <v>1551604227672983</v>
      </c>
      <c r="C2601" t="s">
        <v>40</v>
      </c>
      <c r="D2601">
        <v>4.7276259999999999</v>
      </c>
      <c r="E2601">
        <v>0.55310709999999996</v>
      </c>
      <c r="F2601" t="s">
        <v>60</v>
      </c>
      <c r="G2601">
        <v>-406.20350000000002</v>
      </c>
      <c r="H2601">
        <v>8.0001260000000005E-2</v>
      </c>
      <c r="I2601">
        <v>207.43770000000001</v>
      </c>
      <c r="J2601">
        <v>-442.41030000000001</v>
      </c>
      <c r="K2601">
        <v>1.1231739999999999</v>
      </c>
      <c r="L2601">
        <v>213.03649999999999</v>
      </c>
      <c r="M2601">
        <v>0.99871889999999997</v>
      </c>
      <c r="N2601">
        <v>-9.5192530000000001E-3</v>
      </c>
      <c r="O2601">
        <v>-4.9699680000000003E-2</v>
      </c>
      <c r="P2601">
        <v>0.97898810000000003</v>
      </c>
      <c r="Q2601">
        <v>0.2024881</v>
      </c>
      <c r="R2601">
        <v>-2.4108850000000001E-2</v>
      </c>
      <c r="S2601">
        <v>3.0695190000000001</v>
      </c>
      <c r="T2601">
        <v>-8.7732909999999997E-2</v>
      </c>
      <c r="U2601">
        <v>-0.4719238</v>
      </c>
      <c r="V2601">
        <v>-2.5780649999999999E-2</v>
      </c>
      <c r="W2601">
        <v>0.21165510000000001</v>
      </c>
      <c r="X2601">
        <v>0.97700430000000005</v>
      </c>
      <c r="Y2601">
        <v>0.1026012</v>
      </c>
      <c r="Z2601">
        <v>-1.0094800000000001E-3</v>
      </c>
      <c r="AA2601">
        <v>0.99472210000000005</v>
      </c>
      <c r="AB2601">
        <v>31</v>
      </c>
      <c r="AC2601">
        <v>36.206799999999902</v>
      </c>
      <c r="AD2601">
        <v>-1.0431727399999999</v>
      </c>
      <c r="AE2601">
        <v>-5.5987999999999802</v>
      </c>
      <c r="AF2601">
        <v>3.7892605906914798</v>
      </c>
      <c r="AG2601">
        <v>-1.0431727399999999</v>
      </c>
      <c r="AH2601">
        <v>36.4108041240342</v>
      </c>
      <c r="AI2601">
        <v>91.632269670716397</v>
      </c>
      <c r="AJ2601">
        <v>84.058634501017707</v>
      </c>
      <c r="AK2601">
        <v>36.622306892772798</v>
      </c>
      <c r="AL2601">
        <v>77.780636551149598</v>
      </c>
      <c r="AM2601">
        <v>91.511538631328506</v>
      </c>
      <c r="AN2601">
        <v>0.99999996274446001</v>
      </c>
    </row>
    <row r="2602" spans="1:40" x14ac:dyDescent="0.25">
      <c r="A2602" t="str">
        <f>"20190303171027711"</f>
        <v>20190303171027711</v>
      </c>
      <c r="B2602" t="str">
        <f>"1551604227703235"</f>
        <v>1551604227703235</v>
      </c>
      <c r="C2602" t="s">
        <v>40</v>
      </c>
      <c r="D2602">
        <v>4.8413629999999896</v>
      </c>
      <c r="E2602">
        <v>0.55535129999999999</v>
      </c>
      <c r="F2602" t="s">
        <v>60</v>
      </c>
      <c r="G2602">
        <v>-405.12</v>
      </c>
      <c r="H2602">
        <v>8.0001119999999995E-2</v>
      </c>
      <c r="I2602">
        <v>207.33840000000001</v>
      </c>
      <c r="J2602">
        <v>-442.08730000000003</v>
      </c>
      <c r="K2602">
        <v>1.123181</v>
      </c>
      <c r="L2602">
        <v>213.02359999999999</v>
      </c>
      <c r="M2602">
        <v>0.99886390000000003</v>
      </c>
      <c r="N2602">
        <v>-9.5596740000000006E-3</v>
      </c>
      <c r="O2602">
        <v>-4.668663E-2</v>
      </c>
      <c r="P2602">
        <v>0.97896240000000001</v>
      </c>
      <c r="Q2602">
        <v>0.20299159999999999</v>
      </c>
      <c r="R2602">
        <v>-2.0667850000000001E-2</v>
      </c>
      <c r="S2602">
        <v>3.0706479999999998</v>
      </c>
      <c r="T2602">
        <v>-8.5899349999999999E-2</v>
      </c>
      <c r="U2602">
        <v>-0.46920780000000001</v>
      </c>
      <c r="V2602">
        <v>-2.6269460000000001E-2</v>
      </c>
      <c r="W2602">
        <v>0.21219379999999999</v>
      </c>
      <c r="X2602">
        <v>0.97687449999999998</v>
      </c>
      <c r="Y2602">
        <v>0.1046869</v>
      </c>
      <c r="Z2602">
        <v>-1.1064270000000001E-3</v>
      </c>
      <c r="AA2602">
        <v>0.99450459999999996</v>
      </c>
      <c r="AB2602">
        <v>31</v>
      </c>
      <c r="AC2602">
        <v>36.967300000000002</v>
      </c>
      <c r="AD2602">
        <v>-1.0431798800000001</v>
      </c>
      <c r="AE2602">
        <v>-5.6851999999999796</v>
      </c>
      <c r="AF2602">
        <v>3.9499700521071501</v>
      </c>
      <c r="AG2602">
        <v>-1.0431798800000001</v>
      </c>
      <c r="AH2602">
        <v>37.163511585859197</v>
      </c>
      <c r="AI2602">
        <v>91.598869544180005</v>
      </c>
      <c r="AJ2602">
        <v>83.933024128135699</v>
      </c>
      <c r="AK2602">
        <v>37.3873920067564</v>
      </c>
      <c r="AL2602">
        <v>77.7490549212784</v>
      </c>
      <c r="AM2602">
        <v>91.540388798232499</v>
      </c>
      <c r="AN2602">
        <v>1.00000004101869</v>
      </c>
    </row>
    <row r="2603" spans="1:40" x14ac:dyDescent="0.25">
      <c r="A2603" t="str">
        <f>"20190303171027732"</f>
        <v>20190303171027732</v>
      </c>
      <c r="B2603" t="str">
        <f>"1551604227723730"</f>
        <v>1551604227723730</v>
      </c>
      <c r="C2603" t="s">
        <v>40</v>
      </c>
      <c r="D2603">
        <v>4.8218529999999999</v>
      </c>
      <c r="E2603">
        <v>0.55667069999999996</v>
      </c>
      <c r="F2603" t="s">
        <v>60</v>
      </c>
      <c r="G2603">
        <v>-402.9563</v>
      </c>
      <c r="H2603">
        <v>8.0001509999999998E-2</v>
      </c>
      <c r="I2603">
        <v>206.9442</v>
      </c>
      <c r="J2603">
        <v>-441.78269999999998</v>
      </c>
      <c r="K2603">
        <v>1.1231869999999999</v>
      </c>
      <c r="L2603">
        <v>213.01220000000001</v>
      </c>
      <c r="M2603">
        <v>0.99899210000000005</v>
      </c>
      <c r="N2603">
        <v>-9.5905669999999995E-3</v>
      </c>
      <c r="O2603">
        <v>-4.3851920000000003E-2</v>
      </c>
      <c r="P2603">
        <v>0.9789156</v>
      </c>
      <c r="Q2603">
        <v>0.20346259999999999</v>
      </c>
      <c r="R2603">
        <v>-1.8099560000000001E-2</v>
      </c>
      <c r="S2603">
        <v>3.0714109999999999</v>
      </c>
      <c r="T2603">
        <v>-8.1879499999999994E-2</v>
      </c>
      <c r="U2603">
        <v>-0.47717290000000001</v>
      </c>
      <c r="V2603">
        <v>-2.6059269999999999E-2</v>
      </c>
      <c r="W2603">
        <v>0.2126951</v>
      </c>
      <c r="X2603">
        <v>0.9767711</v>
      </c>
      <c r="Y2603">
        <v>0.1099902</v>
      </c>
      <c r="Z2603">
        <v>-1.2456959999999999E-3</v>
      </c>
      <c r="AA2603">
        <v>0.99393189999999998</v>
      </c>
      <c r="AB2603">
        <v>31</v>
      </c>
      <c r="AC2603">
        <v>38.8263999999999</v>
      </c>
      <c r="AD2603">
        <v>-1.0431854899999999</v>
      </c>
      <c r="AE2603">
        <v>-6.0680000000000103</v>
      </c>
      <c r="AF2603">
        <v>4.3564021199380196</v>
      </c>
      <c r="AG2603">
        <v>-1.0431854899999999</v>
      </c>
      <c r="AH2603">
        <v>39.027651069380703</v>
      </c>
      <c r="AI2603">
        <v>91.521670907669403</v>
      </c>
      <c r="AJ2603">
        <v>83.630811476896795</v>
      </c>
      <c r="AK2603">
        <v>39.283890125476098</v>
      </c>
      <c r="AL2603">
        <v>77.719661533685994</v>
      </c>
      <c r="AM2603">
        <v>91.528231225710897</v>
      </c>
      <c r="AN2603">
        <v>1.0000000364560699</v>
      </c>
    </row>
    <row r="2604" spans="1:40" x14ac:dyDescent="0.25">
      <c r="A2604" t="str">
        <f>"20190303171027755"</f>
        <v>20190303171027755</v>
      </c>
      <c r="B2604" t="str">
        <f>"1551604227743250"</f>
        <v>1551604227743250</v>
      </c>
      <c r="C2604" t="s">
        <v>40</v>
      </c>
      <c r="D2604">
        <v>4.7339659999999997</v>
      </c>
      <c r="E2604">
        <v>0.55733599999999905</v>
      </c>
      <c r="F2604" t="s">
        <v>60</v>
      </c>
      <c r="G2604">
        <v>-401.60219999999998</v>
      </c>
      <c r="H2604">
        <v>8.0001749999999996E-2</v>
      </c>
      <c r="I2604">
        <v>206.73679999999999</v>
      </c>
      <c r="J2604">
        <v>-441.46780000000001</v>
      </c>
      <c r="K2604">
        <v>1.1231880000000001</v>
      </c>
      <c r="L2604">
        <v>213.00139999999999</v>
      </c>
      <c r="M2604">
        <v>0.99911559999999999</v>
      </c>
      <c r="N2604">
        <v>-9.6109309999999996E-3</v>
      </c>
      <c r="O2604">
        <v>-4.0935550000000001E-2</v>
      </c>
      <c r="P2604">
        <v>0.97892170000000001</v>
      </c>
      <c r="Q2604">
        <v>0.20365140000000001</v>
      </c>
      <c r="R2604">
        <v>-1.5452789999999999E-2</v>
      </c>
      <c r="S2604">
        <v>3.0723569999999998</v>
      </c>
      <c r="T2604">
        <v>-7.9765920000000004E-2</v>
      </c>
      <c r="U2604">
        <v>-0.47984310000000002</v>
      </c>
      <c r="V2604">
        <v>-2.584614E-2</v>
      </c>
      <c r="W2604">
        <v>0.21290480000000001</v>
      </c>
      <c r="X2604">
        <v>0.97673100000000002</v>
      </c>
      <c r="Y2604">
        <v>0.1136875</v>
      </c>
      <c r="Z2604">
        <v>-1.352692E-3</v>
      </c>
      <c r="AA2604">
        <v>0.99351560000000005</v>
      </c>
      <c r="AB2604">
        <v>31</v>
      </c>
      <c r="AC2604">
        <v>39.865600000000001</v>
      </c>
      <c r="AD2604">
        <v>-1.04318624999999</v>
      </c>
      <c r="AE2604">
        <v>-6.2645999999999997</v>
      </c>
      <c r="AF2604">
        <v>4.6242627589767702</v>
      </c>
      <c r="AG2604">
        <v>-1.04318624999999</v>
      </c>
      <c r="AH2604">
        <v>40.061866843962001</v>
      </c>
      <c r="AI2604">
        <v>91.481775394100794</v>
      </c>
      <c r="AJ2604">
        <v>83.415600012943599</v>
      </c>
      <c r="AK2604">
        <v>40.341358661299303</v>
      </c>
      <c r="AL2604">
        <v>77.707364031269606</v>
      </c>
      <c r="AM2604">
        <v>91.515800391613595</v>
      </c>
      <c r="AN2604">
        <v>0.99999996158846904</v>
      </c>
    </row>
    <row r="2605" spans="1:40" x14ac:dyDescent="0.25">
      <c r="A2605" t="str">
        <f>"20190303171027779"</f>
        <v>20190303171027779</v>
      </c>
      <c r="B2605" t="str">
        <f>"1551604227773506"</f>
        <v>1551604227773506</v>
      </c>
      <c r="C2605" t="s">
        <v>40</v>
      </c>
      <c r="D2605">
        <v>4.7454269999999896</v>
      </c>
      <c r="E2605">
        <v>0.56958379999999997</v>
      </c>
      <c r="F2605" t="s">
        <v>60</v>
      </c>
      <c r="G2605">
        <v>-400.88659999999999</v>
      </c>
      <c r="H2605">
        <v>8.0001870000000003E-2</v>
      </c>
      <c r="I2605">
        <v>206.71080000000001</v>
      </c>
      <c r="J2605">
        <v>-441.15690000000001</v>
      </c>
      <c r="K2605">
        <v>1.1231709999999999</v>
      </c>
      <c r="L2605">
        <v>212.99160000000001</v>
      </c>
      <c r="M2605">
        <v>0.99922840000000002</v>
      </c>
      <c r="N2605">
        <v>-9.6183390000000001E-3</v>
      </c>
      <c r="O2605">
        <v>-3.8083939999999997E-2</v>
      </c>
      <c r="P2605">
        <v>0.97903430000000002</v>
      </c>
      <c r="Q2605">
        <v>0.20332790000000001</v>
      </c>
      <c r="R2605">
        <v>-1.2240640000000001E-2</v>
      </c>
      <c r="S2605">
        <v>3.073547</v>
      </c>
      <c r="T2605">
        <v>-7.9009060000000006E-2</v>
      </c>
      <c r="U2605">
        <v>-0.47644039999999999</v>
      </c>
      <c r="V2605">
        <v>-2.625924E-2</v>
      </c>
      <c r="W2605">
        <v>0.212588</v>
      </c>
      <c r="X2605">
        <v>0.97678900000000002</v>
      </c>
      <c r="Y2605">
        <v>0.1153898</v>
      </c>
      <c r="Z2605">
        <v>-1.4247350000000001E-3</v>
      </c>
      <c r="AA2605">
        <v>0.99331930000000002</v>
      </c>
      <c r="AB2605">
        <v>31</v>
      </c>
      <c r="AC2605">
        <v>40.270299999999999</v>
      </c>
      <c r="AD2605">
        <v>-1.0431691299999999</v>
      </c>
      <c r="AE2605">
        <v>-6.2807999999999904</v>
      </c>
      <c r="AF2605">
        <v>4.7394159742403597</v>
      </c>
      <c r="AG2605">
        <v>-1.0431691299999999</v>
      </c>
      <c r="AH2605">
        <v>40.453790675701597</v>
      </c>
      <c r="AI2605">
        <v>91.467111085286007</v>
      </c>
      <c r="AJ2605">
        <v>83.317899955775403</v>
      </c>
      <c r="AK2605">
        <v>40.743827086371603</v>
      </c>
      <c r="AL2605">
        <v>77.725940804332097</v>
      </c>
      <c r="AM2605">
        <v>91.539924521877197</v>
      </c>
      <c r="AN2605">
        <v>0.99999997797518803</v>
      </c>
    </row>
    <row r="2606" spans="1:40" x14ac:dyDescent="0.25">
      <c r="A2606" t="str">
        <f>"20190303171027800"</f>
        <v>20190303171027800</v>
      </c>
      <c r="B2606" t="str">
        <f>"1551604227793026"</f>
        <v>1551604227793026</v>
      </c>
      <c r="C2606" t="s">
        <v>40</v>
      </c>
      <c r="D2606">
        <v>4.701206</v>
      </c>
      <c r="E2606">
        <v>0.57022709999999999</v>
      </c>
      <c r="F2606" t="s">
        <v>75</v>
      </c>
      <c r="G2606">
        <v>-261.7432</v>
      </c>
      <c r="H2606">
        <v>21.62407</v>
      </c>
      <c r="I2606">
        <v>178.0675</v>
      </c>
      <c r="J2606">
        <v>-440.85489999999999</v>
      </c>
      <c r="K2606">
        <v>1.1231439999999999</v>
      </c>
      <c r="L2606">
        <v>212.9829</v>
      </c>
      <c r="M2606">
        <v>0.99932869999999996</v>
      </c>
      <c r="N2606">
        <v>-9.616042E-3</v>
      </c>
      <c r="O2606">
        <v>-3.5351430000000003E-2</v>
      </c>
      <c r="P2606">
        <v>0.97916530000000002</v>
      </c>
      <c r="Q2606">
        <v>0.20285110000000001</v>
      </c>
      <c r="R2606">
        <v>-9.3248250000000001E-3</v>
      </c>
      <c r="S2606">
        <v>2.9861149999999999</v>
      </c>
      <c r="T2606">
        <v>0.34121230000000002</v>
      </c>
      <c r="U2606">
        <v>-0.58126829999999996</v>
      </c>
      <c r="V2606">
        <v>-2.6487960000000001E-2</v>
      </c>
      <c r="W2606">
        <v>0.21210950000000001</v>
      </c>
      <c r="X2606">
        <v>0.9768869</v>
      </c>
      <c r="Y2606">
        <v>0.15562039999999999</v>
      </c>
      <c r="Z2606">
        <v>3.7020320000000001E-3</v>
      </c>
      <c r="AA2606">
        <v>0.98780999999999997</v>
      </c>
      <c r="AB2606">
        <v>31</v>
      </c>
      <c r="AC2606">
        <v>179.11169999999899</v>
      </c>
      <c r="AD2606">
        <v>20.500926</v>
      </c>
      <c r="AE2606">
        <v>-34.915399999999998</v>
      </c>
      <c r="AF2606">
        <v>28.205439235785299</v>
      </c>
      <c r="AG2606">
        <v>20.500926</v>
      </c>
      <c r="AH2606">
        <v>177.987677973074</v>
      </c>
      <c r="AI2606">
        <v>83.509810741201306</v>
      </c>
      <c r="AJ2606">
        <v>80.995302007693596</v>
      </c>
      <c r="AK2606">
        <v>181.37102381468699</v>
      </c>
      <c r="AL2606">
        <v>77.753997372609305</v>
      </c>
      <c r="AM2606">
        <v>91.553175247152296</v>
      </c>
      <c r="AN2606">
        <v>1.0000000337034101</v>
      </c>
    </row>
    <row r="2607" spans="1:40" x14ac:dyDescent="0.25">
      <c r="A2607" t="str">
        <f>"20190303171027823"</f>
        <v>20190303171027823</v>
      </c>
      <c r="B2607" t="str">
        <f>"1551604227813522"</f>
        <v>1551604227813522</v>
      </c>
      <c r="C2607" t="s">
        <v>40</v>
      </c>
      <c r="D2607">
        <v>4.7788079999999997</v>
      </c>
      <c r="E2607">
        <v>0.57065819999999901</v>
      </c>
      <c r="F2607" t="s">
        <v>75</v>
      </c>
      <c r="G2607">
        <v>-262.04020000000003</v>
      </c>
      <c r="H2607">
        <v>21.627970000000001</v>
      </c>
      <c r="I2607">
        <v>178.4101</v>
      </c>
      <c r="J2607">
        <v>-440.53949999999998</v>
      </c>
      <c r="K2607">
        <v>1.1231089999999999</v>
      </c>
      <c r="L2607">
        <v>212.97470000000001</v>
      </c>
      <c r="M2607">
        <v>0.99942430000000004</v>
      </c>
      <c r="N2607">
        <v>-9.6099089999999998E-3</v>
      </c>
      <c r="O2607">
        <v>-3.2536339999999997E-2</v>
      </c>
      <c r="P2607">
        <v>0.97919369999999994</v>
      </c>
      <c r="Q2607">
        <v>0.2028142</v>
      </c>
      <c r="R2607">
        <v>-6.8006309999999997E-3</v>
      </c>
      <c r="S2607">
        <v>2.9873660000000002</v>
      </c>
      <c r="T2607">
        <v>0.34256429999999999</v>
      </c>
      <c r="U2607">
        <v>-0.57759090000000002</v>
      </c>
      <c r="V2607">
        <v>-2.6240369999999999E-2</v>
      </c>
      <c r="W2607">
        <v>0.21206990000000001</v>
      </c>
      <c r="X2607">
        <v>0.9769021</v>
      </c>
      <c r="Y2607">
        <v>0.15711820000000001</v>
      </c>
      <c r="Z2607">
        <v>4.1427060000000003E-3</v>
      </c>
      <c r="AA2607">
        <v>0.98757110000000004</v>
      </c>
      <c r="AB2607">
        <v>31</v>
      </c>
      <c r="AC2607">
        <v>178.49929999999901</v>
      </c>
      <c r="AD2607">
        <v>20.504860999999998</v>
      </c>
      <c r="AE2607">
        <v>-34.564599999999999</v>
      </c>
      <c r="AF2607">
        <v>28.3773829784116</v>
      </c>
      <c r="AG2607">
        <v>20.504860999999998</v>
      </c>
      <c r="AH2607">
        <v>177.274680857042</v>
      </c>
      <c r="AI2607">
        <v>83.484304294955393</v>
      </c>
      <c r="AJ2607">
        <v>80.905489580275002</v>
      </c>
      <c r="AK2607">
        <v>180.69874836948699</v>
      </c>
      <c r="AL2607">
        <v>77.756318141231503</v>
      </c>
      <c r="AM2607">
        <v>91.538640388174997</v>
      </c>
      <c r="AN2607">
        <v>0.999999956244077</v>
      </c>
    </row>
    <row r="2608" spans="1:40" x14ac:dyDescent="0.25">
      <c r="A2608" t="str">
        <f>"20190303171027844"</f>
        <v>20190303171027844</v>
      </c>
      <c r="B2608" t="str">
        <f>"1551604227833045"</f>
        <v>1551604227833045</v>
      </c>
      <c r="C2608" t="s">
        <v>40</v>
      </c>
      <c r="D2608">
        <v>4.6504240000000001</v>
      </c>
      <c r="E2608">
        <v>0.57777990000000001</v>
      </c>
      <c r="F2608" t="s">
        <v>75</v>
      </c>
      <c r="G2608">
        <v>-262.39049999999997</v>
      </c>
      <c r="H2608">
        <v>21.59919</v>
      </c>
      <c r="I2608">
        <v>178.78149999999999</v>
      </c>
      <c r="J2608">
        <v>-440.24549999999999</v>
      </c>
      <c r="K2608">
        <v>1.1230739999999999</v>
      </c>
      <c r="L2608">
        <v>212.96770000000001</v>
      </c>
      <c r="M2608">
        <v>0.99950499999999998</v>
      </c>
      <c r="N2608">
        <v>-9.6006879999999996E-3</v>
      </c>
      <c r="O2608">
        <v>-2.9961809999999998E-2</v>
      </c>
      <c r="P2608">
        <v>0.97919259999999997</v>
      </c>
      <c r="Q2608">
        <v>0.20286860000000001</v>
      </c>
      <c r="R2608">
        <v>-5.1597689999999998E-3</v>
      </c>
      <c r="S2608">
        <v>2.9886170000000001</v>
      </c>
      <c r="T2608">
        <v>0.34350629999999999</v>
      </c>
      <c r="U2608">
        <v>-0.57362369999999996</v>
      </c>
      <c r="V2608">
        <v>-2.534382E-2</v>
      </c>
      <c r="W2608">
        <v>0.212122</v>
      </c>
      <c r="X2608">
        <v>0.97691450000000002</v>
      </c>
      <c r="Y2608">
        <v>0.15829079999999901</v>
      </c>
      <c r="Z2608">
        <v>4.5336090000000001E-3</v>
      </c>
      <c r="AA2608">
        <v>0.98738210000000004</v>
      </c>
      <c r="AB2608">
        <v>31</v>
      </c>
      <c r="AC2608">
        <v>177.85499999999999</v>
      </c>
      <c r="AD2608">
        <v>20.476116000000001</v>
      </c>
      <c r="AE2608">
        <v>-34.186199999999999</v>
      </c>
      <c r="AF2608">
        <v>28.4777383744083</v>
      </c>
      <c r="AG2608">
        <v>20.476116000000001</v>
      </c>
      <c r="AH2608">
        <v>176.542858914427</v>
      </c>
      <c r="AI2608">
        <v>83.467870672246093</v>
      </c>
      <c r="AJ2608">
        <v>80.836677534858197</v>
      </c>
      <c r="AK2608">
        <v>179.99342749957799</v>
      </c>
      <c r="AL2608">
        <v>77.7532640321309</v>
      </c>
      <c r="AM2608">
        <v>91.486075075323399</v>
      </c>
      <c r="AN2608">
        <v>0.999999996203221</v>
      </c>
    </row>
    <row r="2609" spans="1:40" x14ac:dyDescent="0.25">
      <c r="A2609" t="str">
        <f>"20190303171027865"</f>
        <v>20190303171027865</v>
      </c>
      <c r="B2609" t="str">
        <f>"1551604227853542"</f>
        <v>1551604227853542</v>
      </c>
      <c r="C2609" t="s">
        <v>40</v>
      </c>
      <c r="D2609">
        <v>4.7554109999999996</v>
      </c>
      <c r="E2609">
        <v>0.57945579999999997</v>
      </c>
      <c r="F2609" t="s">
        <v>41</v>
      </c>
      <c r="G2609">
        <v>-385.71269999999998</v>
      </c>
      <c r="H2609">
        <v>-0.05</v>
      </c>
      <c r="I2609">
        <v>202.1662</v>
      </c>
      <c r="J2609">
        <v>-439.95519999999999</v>
      </c>
      <c r="K2609">
        <v>1.1230290000000001</v>
      </c>
      <c r="L2609">
        <v>212.9615</v>
      </c>
      <c r="M2609">
        <v>0.99957640000000003</v>
      </c>
      <c r="N2609">
        <v>-9.5835090000000005E-3</v>
      </c>
      <c r="O2609">
        <v>-2.7482329999999999E-2</v>
      </c>
      <c r="P2609">
        <v>0.97925039999999997</v>
      </c>
      <c r="Q2609">
        <v>0.20262649999999999</v>
      </c>
      <c r="R2609">
        <v>-3.3983149999999998E-3</v>
      </c>
      <c r="S2609">
        <v>3.0741879999999999</v>
      </c>
      <c r="T2609">
        <v>-6.6129919999999995E-2</v>
      </c>
      <c r="U2609">
        <v>-0.60891719999999905</v>
      </c>
      <c r="V2609">
        <v>-2.4657169999999999E-2</v>
      </c>
      <c r="W2609">
        <v>0.21186949999999999</v>
      </c>
      <c r="X2609">
        <v>0.97698689999999999</v>
      </c>
      <c r="Y2609">
        <v>0.16721369999999999</v>
      </c>
      <c r="Z2609">
        <v>-2.2661550000000002E-3</v>
      </c>
      <c r="AA2609">
        <v>0.98591810000000002</v>
      </c>
      <c r="AB2609">
        <v>31</v>
      </c>
      <c r="AC2609">
        <v>54.2425</v>
      </c>
      <c r="AD2609">
        <v>-1.1730290000000001</v>
      </c>
      <c r="AE2609">
        <v>-10.7952999999999</v>
      </c>
      <c r="AF2609">
        <v>9.2962615287882304</v>
      </c>
      <c r="AG2609">
        <v>-1.1730290000000001</v>
      </c>
      <c r="AH2609">
        <v>54.494189522594098</v>
      </c>
      <c r="AI2609">
        <v>91.215589379148796</v>
      </c>
      <c r="AJ2609">
        <v>80.319003032622604</v>
      </c>
      <c r="AK2609">
        <v>55.293880015521403</v>
      </c>
      <c r="AL2609">
        <v>77.768068138728097</v>
      </c>
      <c r="AM2609">
        <v>91.445722493371605</v>
      </c>
      <c r="AN2609">
        <v>1.0000000319171301</v>
      </c>
    </row>
    <row r="2610" spans="1:40" x14ac:dyDescent="0.25">
      <c r="A2610" t="str">
        <f>"20190303171027888"</f>
        <v>20190303171027888</v>
      </c>
      <c r="B2610" t="str">
        <f>"1551604227883795"</f>
        <v>1551604227883795</v>
      </c>
      <c r="C2610" t="s">
        <v>40</v>
      </c>
      <c r="D2610">
        <v>4.8061249999999998</v>
      </c>
      <c r="E2610">
        <v>0.55385289999999998</v>
      </c>
      <c r="F2610" t="s">
        <v>41</v>
      </c>
      <c r="G2610">
        <v>-381.88499999999999</v>
      </c>
      <c r="H2610">
        <v>-0.05</v>
      </c>
      <c r="I2610">
        <v>201.2979</v>
      </c>
      <c r="J2610">
        <v>-439.63549999999998</v>
      </c>
      <c r="K2610">
        <v>1.1229690000000001</v>
      </c>
      <c r="L2610">
        <v>212.9555</v>
      </c>
      <c r="M2610">
        <v>0.99964580000000003</v>
      </c>
      <c r="N2610">
        <v>-9.5585440000000004E-3</v>
      </c>
      <c r="O2610">
        <v>-2.48396E-2</v>
      </c>
      <c r="P2610">
        <v>0.97934100000000002</v>
      </c>
      <c r="Q2610">
        <v>0.20221169999999999</v>
      </c>
      <c r="R2610">
        <v>-1.405288E-3</v>
      </c>
      <c r="S2610">
        <v>3.074249</v>
      </c>
      <c r="T2610">
        <v>-6.2100410000000002E-2</v>
      </c>
      <c r="U2610">
        <v>-0.61747739999999995</v>
      </c>
      <c r="V2610">
        <v>-2.403288E-2</v>
      </c>
      <c r="W2610">
        <v>0.21143790000000001</v>
      </c>
      <c r="X2610">
        <v>0.97709590000000002</v>
      </c>
      <c r="Y2610">
        <v>0.17245769999999999</v>
      </c>
      <c r="Z2610">
        <v>-2.2957910000000002E-3</v>
      </c>
      <c r="AA2610">
        <v>0.98501430000000001</v>
      </c>
      <c r="AB2610">
        <v>31</v>
      </c>
      <c r="AC2610">
        <v>57.750499999999903</v>
      </c>
      <c r="AD2610">
        <v>-1.1729689999999999</v>
      </c>
      <c r="AE2610">
        <v>-11.6576</v>
      </c>
      <c r="AF2610">
        <v>10.215388711663101</v>
      </c>
      <c r="AG2610">
        <v>-1.1729689999999999</v>
      </c>
      <c r="AH2610">
        <v>57.999272789985099</v>
      </c>
      <c r="AI2610">
        <v>91.141025396710802</v>
      </c>
      <c r="AJ2610">
        <v>80.010968446026396</v>
      </c>
      <c r="AK2610">
        <v>58.903698245292198</v>
      </c>
      <c r="AL2610">
        <v>77.793369595306501</v>
      </c>
      <c r="AM2610">
        <v>91.408976349599797</v>
      </c>
      <c r="AN2610">
        <v>0.99999998133715695</v>
      </c>
    </row>
    <row r="2611" spans="1:40" x14ac:dyDescent="0.25">
      <c r="A2611" t="str">
        <f>"20190303171027912"</f>
        <v>20190303171027912</v>
      </c>
      <c r="B2611" t="str">
        <f>"1551604227903314"</f>
        <v>1551604227903314</v>
      </c>
      <c r="C2611" t="s">
        <v>40</v>
      </c>
      <c r="D2611">
        <v>4.7379980000000002</v>
      </c>
      <c r="E2611">
        <v>0.50032759999999998</v>
      </c>
      <c r="F2611" t="s">
        <v>60</v>
      </c>
      <c r="G2611">
        <v>-408.22179999999997</v>
      </c>
      <c r="H2611">
        <v>8.0001240000000001E-2</v>
      </c>
      <c r="I2611">
        <v>208.82169999999999</v>
      </c>
      <c r="J2611">
        <v>-439.31319999999999</v>
      </c>
      <c r="K2611">
        <v>1.122898</v>
      </c>
      <c r="L2611">
        <v>212.95009999999999</v>
      </c>
      <c r="M2611">
        <v>0.99970650000000005</v>
      </c>
      <c r="N2611">
        <v>-9.5291019999999994E-3</v>
      </c>
      <c r="O2611">
        <v>-2.227633E-2</v>
      </c>
      <c r="P2611">
        <v>0.97928130000000002</v>
      </c>
      <c r="Q2611">
        <v>0.20250460000000001</v>
      </c>
      <c r="R2611">
        <v>5.1301160000000005E-4</v>
      </c>
      <c r="S2611">
        <v>3.0838320000000001</v>
      </c>
      <c r="T2611">
        <v>-0.10238659999999999</v>
      </c>
      <c r="U2611">
        <v>-0.40580749999999999</v>
      </c>
      <c r="V2611">
        <v>-2.3405740000000001E-2</v>
      </c>
      <c r="W2611">
        <v>0.21170820000000001</v>
      </c>
      <c r="X2611">
        <v>0.97705260000000005</v>
      </c>
      <c r="Y2611">
        <v>0.10827829999999999</v>
      </c>
      <c r="Z2611">
        <v>-1.78309E-3</v>
      </c>
      <c r="AA2611">
        <v>0.99411899999999997</v>
      </c>
      <c r="AB2611">
        <v>31</v>
      </c>
      <c r="AC2611">
        <v>31.0914</v>
      </c>
      <c r="AD2611">
        <v>-1.0428967600000001</v>
      </c>
      <c r="AE2611">
        <v>-4.1283999999999903</v>
      </c>
      <c r="AF2611">
        <v>3.4309483855338399</v>
      </c>
      <c r="AG2611">
        <v>-1.0428967600000001</v>
      </c>
      <c r="AH2611">
        <v>31.141222979473699</v>
      </c>
      <c r="AI2611">
        <v>91.9065492464225</v>
      </c>
      <c r="AJ2611">
        <v>83.7128599904552</v>
      </c>
      <c r="AK2611">
        <v>31.3470063823248</v>
      </c>
      <c r="AL2611">
        <v>77.777523901237004</v>
      </c>
      <c r="AM2611">
        <v>91.372284030507402</v>
      </c>
      <c r="AN2611">
        <v>0.999999986889473</v>
      </c>
    </row>
    <row r="2612" spans="1:40" x14ac:dyDescent="0.25">
      <c r="A2612" t="str">
        <f>"20190303171027946"</f>
        <v>20190303171027946</v>
      </c>
      <c r="B2612" t="str">
        <f>"1551604227933574"</f>
        <v>1551604227933574</v>
      </c>
      <c r="C2612" t="s">
        <v>40</v>
      </c>
      <c r="D2612">
        <v>4.6336219999999999</v>
      </c>
      <c r="E2612">
        <v>0.494807</v>
      </c>
      <c r="F2612" t="s">
        <v>77</v>
      </c>
      <c r="G2612">
        <v>-107.39749999999999</v>
      </c>
      <c r="H2612">
        <v>13.98405</v>
      </c>
      <c r="I2612">
        <v>214.9032</v>
      </c>
      <c r="J2612">
        <v>-438.84640000000002</v>
      </c>
      <c r="K2612">
        <v>1.1227769999999999</v>
      </c>
      <c r="L2612">
        <v>212.9436</v>
      </c>
      <c r="M2612">
        <v>0.99977890000000003</v>
      </c>
      <c r="N2612">
        <v>-9.4721240000000002E-3</v>
      </c>
      <c r="O2612">
        <v>-1.8773189999999999E-2</v>
      </c>
      <c r="P2612">
        <v>0.97901039999999995</v>
      </c>
      <c r="Q2612">
        <v>0.20379149999999999</v>
      </c>
      <c r="R2612">
        <v>2.8204649999999999E-3</v>
      </c>
      <c r="S2612">
        <v>3.0391240000000002</v>
      </c>
      <c r="T2612">
        <v>0.11776109999999999</v>
      </c>
      <c r="U2612">
        <v>1.7883300000000001E-2</v>
      </c>
      <c r="V2612">
        <v>-2.2225080000000001E-2</v>
      </c>
      <c r="W2612">
        <v>0.2129491</v>
      </c>
      <c r="X2612">
        <v>0.97681050000000003</v>
      </c>
      <c r="Y2612">
        <v>-2.462116E-2</v>
      </c>
      <c r="Z2612">
        <v>-1.2650649999999999E-3</v>
      </c>
      <c r="AA2612">
        <v>0.99969609999999998</v>
      </c>
      <c r="AB2612">
        <v>31</v>
      </c>
      <c r="AC2612">
        <v>331.44889999999998</v>
      </c>
      <c r="AD2612">
        <v>12.861272999999899</v>
      </c>
      <c r="AE2612">
        <v>1.95959999999999</v>
      </c>
      <c r="AF2612">
        <v>-8.1695865371021306</v>
      </c>
      <c r="AG2612">
        <v>12.861272999999899</v>
      </c>
      <c r="AH2612">
        <v>330.85554577086202</v>
      </c>
      <c r="AI2612">
        <v>87.774552582399295</v>
      </c>
      <c r="AJ2612">
        <v>91.414477520832094</v>
      </c>
      <c r="AK2612">
        <v>331.206199601854</v>
      </c>
      <c r="AL2612">
        <v>77.7047669000372</v>
      </c>
      <c r="AM2612">
        <v>91.303409014082902</v>
      </c>
      <c r="AN2612">
        <v>1.00000001314103</v>
      </c>
    </row>
    <row r="2613" spans="1:40" x14ac:dyDescent="0.25">
      <c r="A2613" t="str">
        <f>"20190303171027971"</f>
        <v>20190303171027971</v>
      </c>
      <c r="B2613" t="str">
        <f>"1551604227962850"</f>
        <v>1551604227962850</v>
      </c>
      <c r="C2613" t="s">
        <v>40</v>
      </c>
      <c r="D2613">
        <v>4.7299179999999996</v>
      </c>
      <c r="E2613">
        <v>0.49187130000000001</v>
      </c>
      <c r="F2613" t="s">
        <v>49</v>
      </c>
      <c r="G2613">
        <v>-158.4058</v>
      </c>
      <c r="H2613">
        <v>7.000839</v>
      </c>
      <c r="I2613">
        <v>219.4701</v>
      </c>
      <c r="J2613">
        <v>-438.47989999999999</v>
      </c>
      <c r="K2613">
        <v>1.122682</v>
      </c>
      <c r="L2613">
        <v>212.93940000000001</v>
      </c>
      <c r="M2613">
        <v>0.99982479999999996</v>
      </c>
      <c r="N2613">
        <v>-9.4216279999999996E-3</v>
      </c>
      <c r="O2613">
        <v>-1.618607E-2</v>
      </c>
      <c r="P2613">
        <v>0.97891430000000001</v>
      </c>
      <c r="Q2613">
        <v>0.2042313</v>
      </c>
      <c r="R2613">
        <v>4.1046490000000001E-3</v>
      </c>
      <c r="S2613">
        <v>3.0508120000000001</v>
      </c>
      <c r="T2613">
        <v>6.3945890000000005E-2</v>
      </c>
      <c r="U2613">
        <v>7.0999149999999997E-2</v>
      </c>
      <c r="V2613">
        <v>-2.093018E-2</v>
      </c>
      <c r="W2613">
        <v>0.21334929999999999</v>
      </c>
      <c r="X2613">
        <v>0.9767517</v>
      </c>
      <c r="Y2613">
        <v>-3.9433040000000003E-2</v>
      </c>
      <c r="Z2613">
        <v>-7.1900220000000001E-4</v>
      </c>
      <c r="AA2613">
        <v>0.99922200000000005</v>
      </c>
      <c r="AB2613">
        <v>31</v>
      </c>
      <c r="AC2613">
        <v>280.07409999999999</v>
      </c>
      <c r="AD2613">
        <v>5.8781569999999999</v>
      </c>
      <c r="AE2613">
        <v>6.5306999999999897</v>
      </c>
      <c r="AF2613">
        <v>-11.058475206294201</v>
      </c>
      <c r="AG2613">
        <v>5.8781569999999999</v>
      </c>
      <c r="AH2613">
        <v>279.80850917874301</v>
      </c>
      <c r="AI2613">
        <v>88.797458120990797</v>
      </c>
      <c r="AJ2613">
        <v>92.263242032132396</v>
      </c>
      <c r="AK2613">
        <v>280.08863670708899</v>
      </c>
      <c r="AL2613">
        <v>77.681296884336405</v>
      </c>
      <c r="AM2613">
        <v>91.227566309888402</v>
      </c>
      <c r="AN2613">
        <v>0.99999993984910396</v>
      </c>
    </row>
    <row r="2614" spans="1:40" x14ac:dyDescent="0.25">
      <c r="A2614" t="str">
        <f>"20190303171027992"</f>
        <v>20190303171027992</v>
      </c>
      <c r="B2614" t="str">
        <f>"1551604227983346"</f>
        <v>1551604227983346</v>
      </c>
      <c r="C2614" t="s">
        <v>40</v>
      </c>
      <c r="D2614">
        <v>4.6741149999999996</v>
      </c>
      <c r="E2614">
        <v>0.49111470000000002</v>
      </c>
      <c r="F2614" t="s">
        <v>49</v>
      </c>
      <c r="G2614">
        <v>-168.35059999999999</v>
      </c>
      <c r="H2614">
        <v>3.9609830000000001</v>
      </c>
      <c r="I2614">
        <v>221.74799999999999</v>
      </c>
      <c r="J2614">
        <v>-438.19889999999998</v>
      </c>
      <c r="K2614">
        <v>1.122603</v>
      </c>
      <c r="L2614">
        <v>212.93680000000001</v>
      </c>
      <c r="M2614">
        <v>0.99985400000000002</v>
      </c>
      <c r="N2614">
        <v>-9.3728189999999992E-3</v>
      </c>
      <c r="O2614">
        <v>-1.429654E-2</v>
      </c>
      <c r="P2614">
        <v>0.97898010000000002</v>
      </c>
      <c r="Q2614">
        <v>0.20389370000000001</v>
      </c>
      <c r="R2614">
        <v>5.0657230000000003E-3</v>
      </c>
      <c r="S2614">
        <v>3.0574949999999999</v>
      </c>
      <c r="T2614">
        <v>3.2126309999999998E-2</v>
      </c>
      <c r="U2614">
        <v>9.9700929999999993E-2</v>
      </c>
      <c r="V2614">
        <v>-2.0006880000000001E-2</v>
      </c>
      <c r="W2614">
        <v>0.21297240000000001</v>
      </c>
      <c r="X2614">
        <v>0.97685339999999998</v>
      </c>
      <c r="Y2614">
        <v>-4.6874520000000003E-2</v>
      </c>
      <c r="Z2614">
        <v>-3.1059039999999999E-4</v>
      </c>
      <c r="AA2614">
        <v>0.99890069999999997</v>
      </c>
      <c r="AB2614">
        <v>31</v>
      </c>
      <c r="AC2614">
        <v>269.84829999999999</v>
      </c>
      <c r="AD2614">
        <v>2.8383799999999999</v>
      </c>
      <c r="AE2614">
        <v>8.8111999999999799</v>
      </c>
      <c r="AF2614">
        <v>-12.666965441174799</v>
      </c>
      <c r="AG2614">
        <v>2.8383799999999999</v>
      </c>
      <c r="AH2614">
        <v>269.66494046050502</v>
      </c>
      <c r="AI2614">
        <v>89.3976150922946</v>
      </c>
      <c r="AJ2614">
        <v>92.689376578481003</v>
      </c>
      <c r="AK2614">
        <v>269.97720001526102</v>
      </c>
      <c r="AL2614">
        <v>77.703400923014797</v>
      </c>
      <c r="AM2614">
        <v>91.173307627377795</v>
      </c>
      <c r="AN2614">
        <v>1.0000000417503201</v>
      </c>
    </row>
    <row r="2615" spans="1:40" x14ac:dyDescent="0.25">
      <c r="A2615" t="str">
        <f>"20190303171028011"</f>
        <v>20190303171028011</v>
      </c>
      <c r="B2615" t="str">
        <f>"1551604228002866"</f>
        <v>1551604228002866</v>
      </c>
      <c r="C2615" t="s">
        <v>40</v>
      </c>
      <c r="D2615">
        <v>4.7264619999999997</v>
      </c>
      <c r="E2615">
        <v>0.49066300000000002</v>
      </c>
      <c r="F2615" t="s">
        <v>49</v>
      </c>
      <c r="G2615">
        <v>-168.35059999999999</v>
      </c>
      <c r="H2615">
        <v>2.922482</v>
      </c>
      <c r="I2615">
        <v>222.61959999999999</v>
      </c>
      <c r="J2615">
        <v>-437.9126</v>
      </c>
      <c r="K2615">
        <v>1.1225149999999999</v>
      </c>
      <c r="L2615">
        <v>212.93459999999999</v>
      </c>
      <c r="M2615">
        <v>0.99987919999999997</v>
      </c>
      <c r="N2615">
        <v>-9.3046180000000006E-3</v>
      </c>
      <c r="O2615">
        <v>-1.246003E-2</v>
      </c>
      <c r="P2615">
        <v>0.97909190000000001</v>
      </c>
      <c r="Q2615">
        <v>0.20334440000000001</v>
      </c>
      <c r="R2615">
        <v>5.5332209999999996E-3</v>
      </c>
      <c r="S2615">
        <v>3.059631</v>
      </c>
      <c r="T2615">
        <v>2.0408269999999999E-2</v>
      </c>
      <c r="U2615">
        <v>0.109787</v>
      </c>
      <c r="V2615">
        <v>-1.864085E-2</v>
      </c>
      <c r="W2615">
        <v>0.21236669999999999</v>
      </c>
      <c r="X2615">
        <v>0.9770122</v>
      </c>
      <c r="Y2615">
        <v>-4.8307950000000002E-2</v>
      </c>
      <c r="Z2615">
        <v>-1.3521759999999999E-4</v>
      </c>
      <c r="AA2615">
        <v>0.99883250000000001</v>
      </c>
      <c r="AB2615">
        <v>31</v>
      </c>
      <c r="AC2615">
        <v>269.56200000000001</v>
      </c>
      <c r="AD2615">
        <v>1.7999669999999901</v>
      </c>
      <c r="AE2615">
        <v>9.6850000000000005</v>
      </c>
      <c r="AF2615">
        <v>-13.0425629145488</v>
      </c>
      <c r="AG2615">
        <v>1.7999669999999901</v>
      </c>
      <c r="AH2615">
        <v>269.40839499170499</v>
      </c>
      <c r="AI2615">
        <v>89.617649845890995</v>
      </c>
      <c r="AJ2615">
        <v>92.771631609560004</v>
      </c>
      <c r="AK2615">
        <v>269.72992348011297</v>
      </c>
      <c r="AL2615">
        <v>77.738916523974197</v>
      </c>
      <c r="AM2615">
        <v>91.093039024245201</v>
      </c>
      <c r="AN2615">
        <v>0.99999996775322497</v>
      </c>
    </row>
    <row r="2616" spans="1:40" x14ac:dyDescent="0.25">
      <c r="A2616" t="str">
        <f>"20190303171028036"</f>
        <v>20190303171028036</v>
      </c>
      <c r="B2616" t="str">
        <f>"1551604228023362"</f>
        <v>1551604228023362</v>
      </c>
      <c r="C2616" t="s">
        <v>40</v>
      </c>
      <c r="D2616">
        <v>4.7249319999999999</v>
      </c>
      <c r="E2616">
        <v>0.49041360000000001</v>
      </c>
      <c r="F2616" t="s">
        <v>49</v>
      </c>
      <c r="G2616">
        <v>-168.35059999999999</v>
      </c>
      <c r="H2616">
        <v>2.00928</v>
      </c>
      <c r="I2616">
        <v>223.06270000000001</v>
      </c>
      <c r="J2616">
        <v>-437.5804</v>
      </c>
      <c r="K2616">
        <v>1.1224209999999999</v>
      </c>
      <c r="L2616">
        <v>212.9325</v>
      </c>
      <c r="M2616">
        <v>0.9999034</v>
      </c>
      <c r="N2616">
        <v>-9.2087560000000002E-3</v>
      </c>
      <c r="O2616">
        <v>-1.042742E-2</v>
      </c>
      <c r="P2616">
        <v>0.97904340000000001</v>
      </c>
      <c r="Q2616">
        <v>0.2035478</v>
      </c>
      <c r="R2616">
        <v>6.5385540000000002E-3</v>
      </c>
      <c r="S2616">
        <v>3.0613100000000002</v>
      </c>
      <c r="T2616">
        <v>1.007128E-2</v>
      </c>
      <c r="U2616">
        <v>0.11502080000000001</v>
      </c>
      <c r="V2616">
        <v>-1.7616389999999999E-2</v>
      </c>
      <c r="W2616">
        <v>0.21248359999999999</v>
      </c>
      <c r="X2616">
        <v>0.97700580000000004</v>
      </c>
      <c r="Y2616">
        <v>-4.7964029999999998E-2</v>
      </c>
      <c r="Z2616" s="1">
        <v>1.1775499999999999E-5</v>
      </c>
      <c r="AA2616">
        <v>0.99884899999999999</v>
      </c>
      <c r="AB2616">
        <v>31</v>
      </c>
      <c r="AC2616">
        <v>269.22980000000001</v>
      </c>
      <c r="AD2616">
        <v>0.88685899999999995</v>
      </c>
      <c r="AE2616">
        <v>10.1302</v>
      </c>
      <c r="AF2616">
        <v>-12.9369997893339</v>
      </c>
      <c r="AG2616">
        <v>0.88685899999999995</v>
      </c>
      <c r="AH2616">
        <v>269.10660932858099</v>
      </c>
      <c r="AI2616">
        <v>89.811396387212596</v>
      </c>
      <c r="AJ2616">
        <v>92.752311647646394</v>
      </c>
      <c r="AK2616">
        <v>269.41885544029799</v>
      </c>
      <c r="AL2616">
        <v>77.732062308170796</v>
      </c>
      <c r="AM2616">
        <v>91.032988170153303</v>
      </c>
      <c r="AN2616">
        <v>0.99999997534961504</v>
      </c>
    </row>
    <row r="2617" spans="1:40" x14ac:dyDescent="0.25">
      <c r="A2617" t="str">
        <f>"20190303171028056"</f>
        <v>20190303171028056</v>
      </c>
      <c r="B2617" t="str">
        <f>"1551604228042875"</f>
        <v>1551604228042875</v>
      </c>
      <c r="C2617" t="s">
        <v>40</v>
      </c>
      <c r="D2617">
        <v>4.6137550000000003</v>
      </c>
      <c r="E2617">
        <v>0.49027989999999999</v>
      </c>
      <c r="F2617" t="s">
        <v>49</v>
      </c>
      <c r="G2617">
        <v>-168.35059999999999</v>
      </c>
      <c r="H2617">
        <v>1.6602730000000001</v>
      </c>
      <c r="I2617">
        <v>223.52690000000001</v>
      </c>
      <c r="J2617">
        <v>-437.29020000000003</v>
      </c>
      <c r="K2617">
        <v>1.122341</v>
      </c>
      <c r="L2617">
        <v>212.93119999999999</v>
      </c>
      <c r="M2617">
        <v>0.99992040000000004</v>
      </c>
      <c r="N2617">
        <v>-9.1143189999999992E-3</v>
      </c>
      <c r="O2617">
        <v>-8.7325670000000001E-3</v>
      </c>
      <c r="P2617">
        <v>0.97899340000000001</v>
      </c>
      <c r="Q2617">
        <v>0.20377980000000001</v>
      </c>
      <c r="R2617">
        <v>6.7886300000000004E-3</v>
      </c>
      <c r="S2617">
        <v>3.0621640000000001</v>
      </c>
      <c r="T2617">
        <v>6.1180590000000003E-3</v>
      </c>
      <c r="U2617">
        <v>0.1204987</v>
      </c>
      <c r="V2617">
        <v>-1.6174419999999998E-2</v>
      </c>
      <c r="W2617">
        <v>0.21263180000000001</v>
      </c>
      <c r="X2617">
        <v>0.97699849999999999</v>
      </c>
      <c r="Y2617">
        <v>-4.8044860000000002E-2</v>
      </c>
      <c r="Z2617" s="1">
        <v>7.4059269999999995E-5</v>
      </c>
      <c r="AA2617">
        <v>0.99884519999999999</v>
      </c>
      <c r="AB2617">
        <v>31</v>
      </c>
      <c r="AC2617">
        <v>268.93959999999998</v>
      </c>
      <c r="AD2617">
        <v>0.53793199999999897</v>
      </c>
      <c r="AE2617">
        <v>10.595700000000001</v>
      </c>
      <c r="AF2617">
        <v>-12.9438747222922</v>
      </c>
      <c r="AG2617">
        <v>0.53793199999999897</v>
      </c>
      <c r="AH2617">
        <v>268.83573920819703</v>
      </c>
      <c r="AI2617">
        <v>89.8854857275944</v>
      </c>
      <c r="AJ2617">
        <v>92.756542353696005</v>
      </c>
      <c r="AK2617">
        <v>269.147706546574</v>
      </c>
      <c r="AL2617">
        <v>77.723372576530494</v>
      </c>
      <c r="AM2617">
        <v>90.948457292213604</v>
      </c>
      <c r="AN2617">
        <v>0.99999998161791304</v>
      </c>
    </row>
    <row r="2618" spans="1:40" x14ac:dyDescent="0.25">
      <c r="A2618" t="str">
        <f>"20190303171028078"</f>
        <v>20190303171028078</v>
      </c>
      <c r="B2618" t="str">
        <f>"1551604228073131"</f>
        <v>1551604228073131</v>
      </c>
      <c r="C2618" t="s">
        <v>40</v>
      </c>
      <c r="D2618">
        <v>4.5983099999999997</v>
      </c>
      <c r="E2618">
        <v>0.49008970000000002</v>
      </c>
      <c r="F2618" t="s">
        <v>49</v>
      </c>
      <c r="G2618">
        <v>-168.35059999999999</v>
      </c>
      <c r="H2618">
        <v>1.376498</v>
      </c>
      <c r="I2618">
        <v>223.6842</v>
      </c>
      <c r="J2618">
        <v>-436.98570000000001</v>
      </c>
      <c r="K2618">
        <v>1.122269</v>
      </c>
      <c r="L2618">
        <v>212.93029999999999</v>
      </c>
      <c r="M2618">
        <v>0.99993489999999996</v>
      </c>
      <c r="N2618">
        <v>-8.9987669999999995E-3</v>
      </c>
      <c r="O2618">
        <v>-7.0192709999999997E-3</v>
      </c>
      <c r="P2618">
        <v>0.97905609999999998</v>
      </c>
      <c r="Q2618">
        <v>0.20344719999999999</v>
      </c>
      <c r="R2618">
        <v>7.6482310000000001E-3</v>
      </c>
      <c r="S2618">
        <v>3.0629580000000001</v>
      </c>
      <c r="T2618">
        <v>2.8952359999999998E-3</v>
      </c>
      <c r="U2618">
        <v>0.12246700000000001</v>
      </c>
      <c r="V2618">
        <v>-1.532524E-2</v>
      </c>
      <c r="W2618">
        <v>0.2121924</v>
      </c>
      <c r="X2618">
        <v>0.97710770000000002</v>
      </c>
      <c r="Y2618">
        <v>-4.6964140000000001E-2</v>
      </c>
      <c r="Z2618">
        <v>1.1943920000000001E-4</v>
      </c>
      <c r="AA2618">
        <v>0.99889649999999996</v>
      </c>
      <c r="AB2618">
        <v>32</v>
      </c>
      <c r="AC2618">
        <v>268.63510000000002</v>
      </c>
      <c r="AD2618">
        <v>0.25422899999999998</v>
      </c>
      <c r="AE2618">
        <v>10.7539</v>
      </c>
      <c r="AF2618">
        <v>-12.6393226193471</v>
      </c>
      <c r="AG2618">
        <v>0.25422899999999998</v>
      </c>
      <c r="AH2618">
        <v>268.55275380518498</v>
      </c>
      <c r="AI2618">
        <v>89.945820185143702</v>
      </c>
      <c r="AJ2618">
        <v>92.694613393873794</v>
      </c>
      <c r="AK2618">
        <v>268.85014168679299</v>
      </c>
      <c r="AL2618">
        <v>77.749136089926793</v>
      </c>
      <c r="AM2618">
        <v>90.898569913713999</v>
      </c>
      <c r="AN2618">
        <v>0.99999996749905296</v>
      </c>
    </row>
    <row r="2619" spans="1:40" x14ac:dyDescent="0.25">
      <c r="A2619" t="str">
        <f>"20190303171028101"</f>
        <v>20190303171028101</v>
      </c>
      <c r="B2619" t="str">
        <f>"1551604228093628"</f>
        <v>1551604228093628</v>
      </c>
      <c r="C2619" t="s">
        <v>40</v>
      </c>
      <c r="D2619">
        <v>4.5455379999999996</v>
      </c>
      <c r="E2619">
        <v>0.48999949999999998</v>
      </c>
      <c r="F2619" t="s">
        <v>49</v>
      </c>
      <c r="G2619">
        <v>-168.35059999999999</v>
      </c>
      <c r="H2619">
        <v>0.76265530000000004</v>
      </c>
      <c r="I2619">
        <v>224.1224</v>
      </c>
      <c r="J2619">
        <v>-436.65230000000003</v>
      </c>
      <c r="K2619">
        <v>1.1221909999999999</v>
      </c>
      <c r="L2619">
        <v>212.9298</v>
      </c>
      <c r="M2619">
        <v>0.99994720000000004</v>
      </c>
      <c r="N2619">
        <v>-8.8620950000000004E-3</v>
      </c>
      <c r="O2619">
        <v>-5.201443E-3</v>
      </c>
      <c r="P2619">
        <v>0.9792071</v>
      </c>
      <c r="Q2619">
        <v>0.20264799999999999</v>
      </c>
      <c r="R2619">
        <v>9.3520670000000004E-3</v>
      </c>
      <c r="S2619">
        <v>3.0639949999999998</v>
      </c>
      <c r="T2619">
        <v>-4.1010380000000004E-3</v>
      </c>
      <c r="U2619">
        <v>0.12765499999999999</v>
      </c>
      <c r="V2619">
        <v>-1.5221210000000001E-2</v>
      </c>
      <c r="W2619">
        <v>0.21126310000000001</v>
      </c>
      <c r="X2619">
        <v>0.97731069999999998</v>
      </c>
      <c r="Y2619">
        <v>-4.682294E-2</v>
      </c>
      <c r="Z2619">
        <v>1.9977459999999999E-4</v>
      </c>
      <c r="AA2619">
        <v>0.99890319999999999</v>
      </c>
      <c r="AB2619">
        <v>32</v>
      </c>
      <c r="AC2619">
        <v>268.30169999999998</v>
      </c>
      <c r="AD2619">
        <v>-0.35953569999999901</v>
      </c>
      <c r="AE2619">
        <v>11.192600000000001</v>
      </c>
      <c r="AF2619">
        <v>-12.5880368214917</v>
      </c>
      <c r="AG2619">
        <v>-0.35953569999999901</v>
      </c>
      <c r="AH2619">
        <v>268.23936943611898</v>
      </c>
      <c r="AI2619">
        <v>90.076712154786307</v>
      </c>
      <c r="AJ2619">
        <v>92.686826418003406</v>
      </c>
      <c r="AK2619">
        <v>268.53481571748802</v>
      </c>
      <c r="AL2619">
        <v>77.803616519505795</v>
      </c>
      <c r="AM2619">
        <v>90.892285930158593</v>
      </c>
      <c r="AN2619">
        <v>0.99999999349498203</v>
      </c>
    </row>
    <row r="2620" spans="1:40" x14ac:dyDescent="0.25">
      <c r="A2620" t="str">
        <f>"20190303171028123"</f>
        <v>20190303171028123</v>
      </c>
      <c r="B2620" t="str">
        <f>"1551604228113151"</f>
        <v>1551604228113151</v>
      </c>
      <c r="C2620" t="s">
        <v>40</v>
      </c>
      <c r="D2620">
        <v>4.4174720000000001</v>
      </c>
      <c r="E2620">
        <v>0.48993399999999998</v>
      </c>
      <c r="F2620" t="s">
        <v>49</v>
      </c>
      <c r="G2620">
        <v>-157.25</v>
      </c>
      <c r="H2620">
        <v>0.37712760000000001</v>
      </c>
      <c r="I2620">
        <v>225.15719999999999</v>
      </c>
      <c r="J2620">
        <v>-436.33120000000002</v>
      </c>
      <c r="K2620">
        <v>1.122136</v>
      </c>
      <c r="L2620">
        <v>212.9298</v>
      </c>
      <c r="M2620">
        <v>0.99995579999999995</v>
      </c>
      <c r="N2620">
        <v>-8.7327169999999992E-3</v>
      </c>
      <c r="O2620">
        <v>-3.4874749999999999E-3</v>
      </c>
      <c r="P2620">
        <v>0.9792149</v>
      </c>
      <c r="Q2620">
        <v>0.20252339999999999</v>
      </c>
      <c r="R2620">
        <v>1.106525E-2</v>
      </c>
      <c r="S2620">
        <v>3.064117</v>
      </c>
      <c r="T2620">
        <v>-8.1702470000000003E-3</v>
      </c>
      <c r="U2620">
        <v>0.1340942</v>
      </c>
      <c r="V2620">
        <v>-1.523743E-2</v>
      </c>
      <c r="W2620">
        <v>0.21101329999999999</v>
      </c>
      <c r="X2620">
        <v>0.97736440000000002</v>
      </c>
      <c r="Y2620">
        <v>-4.7204139999999999E-2</v>
      </c>
      <c r="Z2620">
        <v>2.4797129999999998E-4</v>
      </c>
      <c r="AA2620">
        <v>0.99888520000000003</v>
      </c>
      <c r="AB2620">
        <v>32</v>
      </c>
      <c r="AC2620">
        <v>279.08120000000002</v>
      </c>
      <c r="AD2620">
        <v>-0.74500840000000002</v>
      </c>
      <c r="AE2620">
        <v>12.2273999999999</v>
      </c>
      <c r="AF2620">
        <v>-13.200557555768301</v>
      </c>
      <c r="AG2620">
        <v>-0.74500840000000002</v>
      </c>
      <c r="AH2620">
        <v>279.03487366497399</v>
      </c>
      <c r="AI2620">
        <v>90.1528054508846</v>
      </c>
      <c r="AJ2620">
        <v>92.708524368748797</v>
      </c>
      <c r="AK2620">
        <v>279.347938024477</v>
      </c>
      <c r="AL2620">
        <v>77.818258952756096</v>
      </c>
      <c r="AM2620">
        <v>90.893187542645705</v>
      </c>
      <c r="AN2620">
        <v>0.99999998121862699</v>
      </c>
    </row>
    <row r="2621" spans="1:40" x14ac:dyDescent="0.25">
      <c r="A2621" t="str">
        <f>"20190303171028146"</f>
        <v>20190303171028146</v>
      </c>
      <c r="B2621" t="str">
        <f>"1551604228133646"</f>
        <v>1551604228133646</v>
      </c>
      <c r="C2621" t="s">
        <v>40</v>
      </c>
      <c r="D2621">
        <v>4.6059060000000001</v>
      </c>
      <c r="E2621">
        <v>0.48991960000000001</v>
      </c>
      <c r="F2621" t="s">
        <v>49</v>
      </c>
      <c r="G2621">
        <v>-157.25</v>
      </c>
      <c r="H2621">
        <v>0.29951759999999999</v>
      </c>
      <c r="I2621">
        <v>225.69980000000001</v>
      </c>
      <c r="J2621">
        <v>-436.01870000000002</v>
      </c>
      <c r="K2621">
        <v>1.122104</v>
      </c>
      <c r="L2621">
        <v>212.93039999999999</v>
      </c>
      <c r="M2621">
        <v>0.9999614</v>
      </c>
      <c r="N2621">
        <v>-8.6021029999999998E-3</v>
      </c>
      <c r="O2621">
        <v>-1.8400580000000001E-3</v>
      </c>
      <c r="P2621">
        <v>0.97912339999999998</v>
      </c>
      <c r="Q2621">
        <v>0.2028876</v>
      </c>
      <c r="R2621">
        <v>1.24198E-2</v>
      </c>
      <c r="S2621">
        <v>3.063965</v>
      </c>
      <c r="T2621">
        <v>-9.0306999999999991E-3</v>
      </c>
      <c r="U2621">
        <v>0.14019779999999901</v>
      </c>
      <c r="V2621">
        <v>-1.4969140000000001E-2</v>
      </c>
      <c r="W2621">
        <v>0.21125060000000001</v>
      </c>
      <c r="X2621">
        <v>0.97731730000000006</v>
      </c>
      <c r="Y2621">
        <v>-4.7546430000000001E-2</v>
      </c>
      <c r="Z2621">
        <v>2.6424450000000002E-4</v>
      </c>
      <c r="AA2621">
        <v>0.99886900000000001</v>
      </c>
      <c r="AB2621">
        <v>32</v>
      </c>
      <c r="AC2621">
        <v>278.76870000000002</v>
      </c>
      <c r="AD2621">
        <v>-0.82258639999999905</v>
      </c>
      <c r="AE2621">
        <v>12.769399999999999</v>
      </c>
      <c r="AF2621">
        <v>-13.2822324817752</v>
      </c>
      <c r="AG2621">
        <v>-0.82258639999999905</v>
      </c>
      <c r="AH2621">
        <v>278.742308767824</v>
      </c>
      <c r="AI2621">
        <v>90.168891392256896</v>
      </c>
      <c r="AJ2621">
        <v>92.728113534722596</v>
      </c>
      <c r="AK2621">
        <v>279.059794748907</v>
      </c>
      <c r="AL2621">
        <v>77.804349310133603</v>
      </c>
      <c r="AM2621">
        <v>90.877505683717501</v>
      </c>
      <c r="AN2621">
        <v>0.99999999801599404</v>
      </c>
    </row>
    <row r="2622" spans="1:40" x14ac:dyDescent="0.25">
      <c r="A2622" t="str">
        <f>"20190303171028168"</f>
        <v>20190303171028168</v>
      </c>
      <c r="B2622" t="str">
        <f>"1551604228162923"</f>
        <v>1551604228162923</v>
      </c>
      <c r="C2622" t="s">
        <v>40</v>
      </c>
      <c r="D2622">
        <v>4.4855919999999996</v>
      </c>
      <c r="E2622">
        <v>0.49144779999999999</v>
      </c>
      <c r="F2622" t="s">
        <v>49</v>
      </c>
      <c r="G2622">
        <v>-157.25</v>
      </c>
      <c r="H2622">
        <v>0.32767770000000002</v>
      </c>
      <c r="I2622">
        <v>226.1429</v>
      </c>
      <c r="J2622">
        <v>-435.70100000000002</v>
      </c>
      <c r="K2622">
        <v>1.122072</v>
      </c>
      <c r="L2622">
        <v>212.9315</v>
      </c>
      <c r="M2622">
        <v>0.99996410000000002</v>
      </c>
      <c r="N2622">
        <v>-8.4620340000000002E-3</v>
      </c>
      <c r="O2622">
        <v>-1.7551670000000001E-4</v>
      </c>
      <c r="P2622">
        <v>0.97890679999999997</v>
      </c>
      <c r="Q2622">
        <v>0.20384099999999999</v>
      </c>
      <c r="R2622">
        <v>1.3801559999999999E-2</v>
      </c>
      <c r="S2622">
        <v>3.0639340000000002</v>
      </c>
      <c r="T2622">
        <v>-8.7308879999999991E-3</v>
      </c>
      <c r="U2622">
        <v>0.14521789999999901</v>
      </c>
      <c r="V2622">
        <v>-1.471855E-2</v>
      </c>
      <c r="W2622">
        <v>0.21206700000000001</v>
      </c>
      <c r="X2622">
        <v>0.97714429999999997</v>
      </c>
      <c r="Y2622">
        <v>-4.751731E-2</v>
      </c>
      <c r="Z2622">
        <v>2.678437E-4</v>
      </c>
      <c r="AA2622">
        <v>0.99887040000000005</v>
      </c>
      <c r="AB2622">
        <v>32</v>
      </c>
      <c r="AC2622">
        <v>278.45100000000002</v>
      </c>
      <c r="AD2622">
        <v>-0.7943943</v>
      </c>
      <c r="AE2622">
        <v>13.2113999999999</v>
      </c>
      <c r="AF2622">
        <v>-13.2601666679752</v>
      </c>
      <c r="AG2622">
        <v>-0.7943943</v>
      </c>
      <c r="AH2622">
        <v>278.44641560211102</v>
      </c>
      <c r="AI2622">
        <v>90.1632766360825</v>
      </c>
      <c r="AJ2622">
        <v>92.726478017699193</v>
      </c>
      <c r="AK2622">
        <v>278.76310631794502</v>
      </c>
      <c r="AL2622">
        <v>77.756488904401706</v>
      </c>
      <c r="AM2622">
        <v>90.862970827374397</v>
      </c>
      <c r="AN2622">
        <v>1.0000000156127899</v>
      </c>
    </row>
    <row r="2623" spans="1:40" x14ac:dyDescent="0.25">
      <c r="A2623" t="str">
        <f>"20190303171028192"</f>
        <v>20190303171028192</v>
      </c>
      <c r="B2623" t="str">
        <f>"1551604228183420"</f>
        <v>1551604228183420</v>
      </c>
      <c r="C2623" t="s">
        <v>40</v>
      </c>
      <c r="D2623">
        <v>4.4941810000000002</v>
      </c>
      <c r="E2623">
        <v>0.4896044</v>
      </c>
      <c r="F2623" t="s">
        <v>49</v>
      </c>
      <c r="G2623">
        <v>-157.25</v>
      </c>
      <c r="H2623">
        <v>38.414340000000003</v>
      </c>
      <c r="I2623">
        <v>224.0617</v>
      </c>
      <c r="J2623">
        <v>-435.35980000000001</v>
      </c>
      <c r="K2623">
        <v>1.122047</v>
      </c>
      <c r="L2623">
        <v>212.9332</v>
      </c>
      <c r="M2623">
        <v>0.99996419999999997</v>
      </c>
      <c r="N2623">
        <v>-8.3096249999999993E-3</v>
      </c>
      <c r="O2623">
        <v>1.6071589999999999E-3</v>
      </c>
      <c r="P2623">
        <v>0.9788232</v>
      </c>
      <c r="Q2623">
        <v>0.2040371</v>
      </c>
      <c r="R2623">
        <v>1.6563899999999999E-2</v>
      </c>
      <c r="S2623">
        <v>2.9798279999999999</v>
      </c>
      <c r="T2623">
        <v>0.39908169999999998</v>
      </c>
      <c r="U2623">
        <v>0.1191101</v>
      </c>
      <c r="V2623">
        <v>-1.5733210000000001E-2</v>
      </c>
      <c r="W2623">
        <v>0.21210989999999999</v>
      </c>
      <c r="X2623">
        <v>0.97711910000000002</v>
      </c>
      <c r="Y2623">
        <v>-3.8032650000000001E-2</v>
      </c>
      <c r="Z2623">
        <v>-2.1482670000000001E-3</v>
      </c>
      <c r="AA2623">
        <v>0.9992742</v>
      </c>
      <c r="AB2623">
        <v>32</v>
      </c>
      <c r="AC2623">
        <v>278.10980000000001</v>
      </c>
      <c r="AD2623">
        <v>37.292293000000001</v>
      </c>
      <c r="AE2623">
        <v>11.128500000000001</v>
      </c>
      <c r="AF2623">
        <v>-10.493131734423001</v>
      </c>
      <c r="AG2623">
        <v>37.292293000000001</v>
      </c>
      <c r="AH2623">
        <v>273.22246054403001</v>
      </c>
      <c r="AI2623">
        <v>82.233349009644797</v>
      </c>
      <c r="AJ2623">
        <v>92.199368369293794</v>
      </c>
      <c r="AK2623">
        <v>275.95531137582299</v>
      </c>
      <c r="AL2623">
        <v>77.753972750151704</v>
      </c>
      <c r="AM2623">
        <v>90.922475714121603</v>
      </c>
      <c r="AN2623">
        <v>0.99999993957986</v>
      </c>
    </row>
    <row r="2624" spans="1:40" x14ac:dyDescent="0.25">
      <c r="A2624" t="str">
        <f>"20190303171028213"</f>
        <v>20190303171028213</v>
      </c>
      <c r="B2624" t="str">
        <f>"1551604228202939"</f>
        <v>1551604228202939</v>
      </c>
      <c r="C2624" t="s">
        <v>40</v>
      </c>
      <c r="D2624">
        <v>4.4840239999999998</v>
      </c>
      <c r="E2624">
        <v>0.48896070000000003</v>
      </c>
      <c r="F2624" t="s">
        <v>53</v>
      </c>
      <c r="G2624">
        <v>-255.45050000000001</v>
      </c>
      <c r="H2624">
        <v>7.9999799999999996E-2</v>
      </c>
      <c r="I2624">
        <v>222.3956</v>
      </c>
      <c r="J2624">
        <v>-435.04689999999999</v>
      </c>
      <c r="K2624">
        <v>1.1220289999999999</v>
      </c>
      <c r="L2624">
        <v>212.93530000000001</v>
      </c>
      <c r="M2624">
        <v>0.99996130000000005</v>
      </c>
      <c r="N2624">
        <v>-8.1729160000000006E-3</v>
      </c>
      <c r="O2624">
        <v>3.243962E-3</v>
      </c>
      <c r="P2624">
        <v>0.97873149999999998</v>
      </c>
      <c r="Q2624">
        <v>0.20422470000000001</v>
      </c>
      <c r="R2624">
        <v>1.9423960000000001E-2</v>
      </c>
      <c r="S2624">
        <v>3.0659179999999999</v>
      </c>
      <c r="T2624">
        <v>-1.7758010000000001E-2</v>
      </c>
      <c r="U2624">
        <v>0.16125490000000001</v>
      </c>
      <c r="V2624">
        <v>-1.699148E-2</v>
      </c>
      <c r="W2624">
        <v>0.2121593</v>
      </c>
      <c r="X2624">
        <v>0.97708740000000005</v>
      </c>
      <c r="Y2624">
        <v>-4.9281499999999999E-2</v>
      </c>
      <c r="Z2624">
        <v>3.5187430000000001E-4</v>
      </c>
      <c r="AA2624">
        <v>0.99878480000000003</v>
      </c>
      <c r="AB2624">
        <v>32</v>
      </c>
      <c r="AC2624">
        <v>179.59639999999999</v>
      </c>
      <c r="AD2624">
        <v>-1.0420292</v>
      </c>
      <c r="AE2624">
        <v>9.4602999999999895</v>
      </c>
      <c r="AF2624">
        <v>-8.8773288223423599</v>
      </c>
      <c r="AG2624">
        <v>-1.0420292</v>
      </c>
      <c r="AH2624">
        <v>179.62011485820199</v>
      </c>
      <c r="AI2624">
        <v>90.331980772836502</v>
      </c>
      <c r="AJ2624">
        <v>92.829415567201906</v>
      </c>
      <c r="AK2624">
        <v>179.84237112968401</v>
      </c>
      <c r="AL2624">
        <v>77.751077582645095</v>
      </c>
      <c r="AM2624">
        <v>90.996269088643302</v>
      </c>
      <c r="AN2624">
        <v>1.0000000331039101</v>
      </c>
    </row>
    <row r="2625" spans="1:40" x14ac:dyDescent="0.25">
      <c r="A2625" t="str">
        <f>"20190303171028236"</f>
        <v>20190303171028236</v>
      </c>
      <c r="B2625" t="str">
        <f>"1551604228223439"</f>
        <v>1551604228223439</v>
      </c>
      <c r="C2625" t="s">
        <v>40</v>
      </c>
      <c r="D2625">
        <v>4.4452350000000003</v>
      </c>
      <c r="E2625">
        <v>0.48873339999999998</v>
      </c>
      <c r="F2625" t="s">
        <v>53</v>
      </c>
      <c r="G2625">
        <v>-245.8802</v>
      </c>
      <c r="H2625">
        <v>7.9999890000000004E-2</v>
      </c>
      <c r="I2625">
        <v>223.71369999999999</v>
      </c>
      <c r="J2625">
        <v>-434.73050000000001</v>
      </c>
      <c r="K2625">
        <v>1.1220190000000001</v>
      </c>
      <c r="L2625">
        <v>212.93790000000001</v>
      </c>
      <c r="M2625">
        <v>0.9999557</v>
      </c>
      <c r="N2625">
        <v>-8.0428469999999901E-3</v>
      </c>
      <c r="O2625">
        <v>4.9010779999999997E-3</v>
      </c>
      <c r="P2625">
        <v>0.97856690000000002</v>
      </c>
      <c r="Q2625">
        <v>0.20477200000000001</v>
      </c>
      <c r="R2625">
        <v>2.1801930000000001E-2</v>
      </c>
      <c r="S2625">
        <v>3.0652159999999999</v>
      </c>
      <c r="T2625">
        <v>-1.6884799999999998E-2</v>
      </c>
      <c r="U2625">
        <v>0.1746521</v>
      </c>
      <c r="V2625">
        <v>-1.7750189999999999E-2</v>
      </c>
      <c r="W2625">
        <v>0.21257590000000001</v>
      </c>
      <c r="X2625">
        <v>0.9769833</v>
      </c>
      <c r="Y2625">
        <v>-5.1990550000000003E-2</v>
      </c>
      <c r="Z2625">
        <v>3.6474540000000001E-4</v>
      </c>
      <c r="AA2625">
        <v>0.99864750000000002</v>
      </c>
      <c r="AB2625">
        <v>32</v>
      </c>
      <c r="AC2625">
        <v>188.8503</v>
      </c>
      <c r="AD2625">
        <v>-1.04201911</v>
      </c>
      <c r="AE2625">
        <v>10.775799999999901</v>
      </c>
      <c r="AF2625">
        <v>-9.8497717297619207</v>
      </c>
      <c r="AG2625">
        <v>-1.04201911</v>
      </c>
      <c r="AH2625">
        <v>188.89511418720201</v>
      </c>
      <c r="AI2625">
        <v>90.315633850580696</v>
      </c>
      <c r="AJ2625">
        <v>92.984935280285995</v>
      </c>
      <c r="AK2625">
        <v>189.15461392931999</v>
      </c>
      <c r="AL2625">
        <v>77.726650269105207</v>
      </c>
      <c r="AM2625">
        <v>91.040856167305094</v>
      </c>
      <c r="AN2625">
        <v>0.99999997549236697</v>
      </c>
    </row>
    <row r="2626" spans="1:40" x14ac:dyDescent="0.25">
      <c r="A2626" t="str">
        <f>"20190303171028256"</f>
        <v>20190303171028256</v>
      </c>
      <c r="B2626" t="str">
        <f>"1551604228242955"</f>
        <v>1551604228242955</v>
      </c>
      <c r="C2626" t="s">
        <v>40</v>
      </c>
      <c r="D2626">
        <v>4.5546430000000004</v>
      </c>
      <c r="E2626">
        <v>0.48942069999999999</v>
      </c>
      <c r="F2626" t="s">
        <v>52</v>
      </c>
      <c r="G2626">
        <v>-181.3202</v>
      </c>
      <c r="H2626" s="1">
        <v>3.803884E-7</v>
      </c>
      <c r="I2626">
        <v>228.14259999999999</v>
      </c>
      <c r="J2626">
        <v>-434.43529999999998</v>
      </c>
      <c r="K2626">
        <v>1.1220079999999999</v>
      </c>
      <c r="L2626">
        <v>212.9408</v>
      </c>
      <c r="M2626">
        <v>0.99994769999999999</v>
      </c>
      <c r="N2626">
        <v>-7.9325750000000007E-3</v>
      </c>
      <c r="O2626">
        <v>6.4494340000000004E-3</v>
      </c>
      <c r="P2626">
        <v>0.97842039999999997</v>
      </c>
      <c r="Q2626">
        <v>0.20526510000000001</v>
      </c>
      <c r="R2626">
        <v>2.3659690000000001E-2</v>
      </c>
      <c r="S2626">
        <v>3.0644529999999999</v>
      </c>
      <c r="T2626">
        <v>-1.35684E-2</v>
      </c>
      <c r="U2626">
        <v>0.18386839999999999</v>
      </c>
      <c r="V2626">
        <v>-1.8096640000000001E-2</v>
      </c>
      <c r="W2626">
        <v>0.21295890000000001</v>
      </c>
      <c r="X2626">
        <v>0.97689349999999997</v>
      </c>
      <c r="Y2626">
        <v>-5.3451970000000001E-2</v>
      </c>
      <c r="Z2626">
        <v>3.5301940000000002E-4</v>
      </c>
      <c r="AA2626">
        <v>0.99857039999999997</v>
      </c>
      <c r="AB2626">
        <v>32</v>
      </c>
      <c r="AC2626">
        <v>253.11510000000001</v>
      </c>
      <c r="AD2626">
        <v>-1.1220076196116</v>
      </c>
      <c r="AE2626">
        <v>15.201799999999899</v>
      </c>
      <c r="AF2626">
        <v>-13.5687175950178</v>
      </c>
      <c r="AG2626">
        <v>-1.1220076196116</v>
      </c>
      <c r="AH2626">
        <v>253.20292404674501</v>
      </c>
      <c r="AI2626">
        <v>90.253526988571096</v>
      </c>
      <c r="AJ2626">
        <v>93.067450149324699</v>
      </c>
      <c r="AK2626">
        <v>253.56870813271399</v>
      </c>
      <c r="AL2626">
        <v>77.704191379867495</v>
      </c>
      <c r="AM2626">
        <v>91.061264626479797</v>
      </c>
      <c r="AN2626">
        <v>0.999999945905373</v>
      </c>
    </row>
    <row r="2627" spans="1:40" x14ac:dyDescent="0.25">
      <c r="A2627" t="str">
        <f>"20190303171028279"</f>
        <v>20190303171028279</v>
      </c>
      <c r="B2627" t="str">
        <f>"1551604228273211"</f>
        <v>1551604228273211</v>
      </c>
      <c r="C2627" t="s">
        <v>40</v>
      </c>
      <c r="D2627">
        <v>4.5165290000000002</v>
      </c>
      <c r="E2627">
        <v>0.4897956</v>
      </c>
      <c r="F2627" t="s">
        <v>52</v>
      </c>
      <c r="G2627">
        <v>-179.94239999999999</v>
      </c>
      <c r="H2627">
        <v>6.5393709999999994E-2</v>
      </c>
      <c r="I2627">
        <v>228.2998</v>
      </c>
      <c r="J2627">
        <v>-434.1071</v>
      </c>
      <c r="K2627">
        <v>1.121993</v>
      </c>
      <c r="L2627">
        <v>212.94460000000001</v>
      </c>
      <c r="M2627">
        <v>0.99993609999999999</v>
      </c>
      <c r="N2627">
        <v>-7.8222489999999999E-3</v>
      </c>
      <c r="O2627">
        <v>8.164312E-3</v>
      </c>
      <c r="P2627">
        <v>0.97839810000000005</v>
      </c>
      <c r="Q2627">
        <v>0.205065</v>
      </c>
      <c r="R2627">
        <v>2.6187780000000001E-2</v>
      </c>
      <c r="S2627">
        <v>3.0643310000000001</v>
      </c>
      <c r="T2627">
        <v>-1.2722610000000001E-2</v>
      </c>
      <c r="U2627">
        <v>0.1849365</v>
      </c>
      <c r="V2627">
        <v>-1.8945739999999999E-2</v>
      </c>
      <c r="W2627">
        <v>0.21264810000000001</v>
      </c>
      <c r="X2627">
        <v>0.97694519999999996</v>
      </c>
      <c r="Y2627">
        <v>-5.2088759999999998E-2</v>
      </c>
      <c r="Z2627">
        <v>3.418971E-4</v>
      </c>
      <c r="AA2627">
        <v>0.99864240000000004</v>
      </c>
      <c r="AB2627">
        <v>32</v>
      </c>
      <c r="AC2627">
        <v>254.16470000000001</v>
      </c>
      <c r="AD2627">
        <v>-1.0565992900000001</v>
      </c>
      <c r="AE2627">
        <v>15.3551999999999</v>
      </c>
      <c r="AF2627">
        <v>-13.279316197393801</v>
      </c>
      <c r="AG2627">
        <v>-1.0565992900000001</v>
      </c>
      <c r="AH2627">
        <v>254.27721861780799</v>
      </c>
      <c r="AI2627">
        <v>90.237756050264295</v>
      </c>
      <c r="AJ2627">
        <v>92.989486094665295</v>
      </c>
      <c r="AK2627">
        <v>254.62592277444699</v>
      </c>
      <c r="AL2627">
        <v>77.722417520836004</v>
      </c>
      <c r="AM2627">
        <v>91.110988509913398</v>
      </c>
      <c r="AN2627">
        <v>1.0000000396503901</v>
      </c>
    </row>
    <row r="2628" spans="1:40" x14ac:dyDescent="0.25">
      <c r="A2628" t="str">
        <f>"20190303171028301"</f>
        <v>20190303171028301</v>
      </c>
      <c r="B2628" t="str">
        <f>"1551604228293708"</f>
        <v>1551604228293708</v>
      </c>
      <c r="C2628" t="s">
        <v>40</v>
      </c>
      <c r="D2628">
        <v>4.5500040000000004</v>
      </c>
      <c r="E2628">
        <v>0.48256320000000003</v>
      </c>
      <c r="F2628" t="s">
        <v>52</v>
      </c>
      <c r="G2628">
        <v>-204.4288</v>
      </c>
      <c r="H2628">
        <v>7.9998990000000006E-2</v>
      </c>
      <c r="I2628">
        <v>227.17439999999999</v>
      </c>
      <c r="J2628">
        <v>-433.77069999999998</v>
      </c>
      <c r="K2628">
        <v>1.12198</v>
      </c>
      <c r="L2628">
        <v>212.94900000000001</v>
      </c>
      <c r="M2628">
        <v>0.99992119999999995</v>
      </c>
      <c r="N2628">
        <v>-7.721599E-3</v>
      </c>
      <c r="O2628">
        <v>9.9036339999999997E-3</v>
      </c>
      <c r="P2628">
        <v>0.97832669999999999</v>
      </c>
      <c r="Q2628">
        <v>0.2050767</v>
      </c>
      <c r="R2628">
        <v>2.8647909999999999E-2</v>
      </c>
      <c r="S2628">
        <v>3.0640559999999999</v>
      </c>
      <c r="T2628">
        <v>-1.3900879999999999E-2</v>
      </c>
      <c r="U2628">
        <v>0.18983459999999999</v>
      </c>
      <c r="V2628">
        <v>-1.9702190000000001E-2</v>
      </c>
      <c r="W2628">
        <v>0.21255869999999999</v>
      </c>
      <c r="X2628">
        <v>0.97694970000000003</v>
      </c>
      <c r="Y2628">
        <v>-5.1947350000000003E-2</v>
      </c>
      <c r="Z2628">
        <v>3.5000269999999902E-4</v>
      </c>
      <c r="AA2628">
        <v>0.99864980000000003</v>
      </c>
      <c r="AB2628">
        <v>32</v>
      </c>
      <c r="AC2628">
        <v>229.34190000000001</v>
      </c>
      <c r="AD2628">
        <v>-1.04198101</v>
      </c>
      <c r="AE2628">
        <v>14.225399999999899</v>
      </c>
      <c r="AF2628">
        <v>-11.953070696917701</v>
      </c>
      <c r="AG2628">
        <v>-1.04198101</v>
      </c>
      <c r="AH2628">
        <v>229.466820738444</v>
      </c>
      <c r="AI2628">
        <v>90.259819142084496</v>
      </c>
      <c r="AJ2628">
        <v>92.981878017703806</v>
      </c>
      <c r="AK2628">
        <v>229.780293853324</v>
      </c>
      <c r="AL2628">
        <v>77.727659693725897</v>
      </c>
      <c r="AM2628">
        <v>91.155330037029998</v>
      </c>
      <c r="AN2628">
        <v>1.0000000467832799</v>
      </c>
    </row>
    <row r="2629" spans="1:40" x14ac:dyDescent="0.25">
      <c r="A2629" t="str">
        <f>"20190303171028324"</f>
        <v>20190303171028324</v>
      </c>
      <c r="B2629" t="str">
        <f>"1551604228313231"</f>
        <v>1551604228313231</v>
      </c>
      <c r="C2629" t="s">
        <v>40</v>
      </c>
      <c r="D2629">
        <v>4.5029669999999999</v>
      </c>
      <c r="E2629">
        <v>0.4822534</v>
      </c>
      <c r="F2629" t="s">
        <v>41</v>
      </c>
      <c r="G2629">
        <v>-201.87459999999999</v>
      </c>
      <c r="H2629">
        <v>-0.05</v>
      </c>
      <c r="I2629">
        <v>232.25579999999999</v>
      </c>
      <c r="J2629">
        <v>-433.44130000000001</v>
      </c>
      <c r="K2629">
        <v>1.121966</v>
      </c>
      <c r="L2629">
        <v>212.9539</v>
      </c>
      <c r="M2629">
        <v>0.99990380000000001</v>
      </c>
      <c r="N2629">
        <v>-7.6347430000000003E-3</v>
      </c>
      <c r="O2629">
        <v>1.158407E-2</v>
      </c>
      <c r="P2629">
        <v>0.97816060000000005</v>
      </c>
      <c r="Q2629">
        <v>0.2056335</v>
      </c>
      <c r="R2629">
        <v>3.027871E-2</v>
      </c>
      <c r="S2629">
        <v>3.0621640000000001</v>
      </c>
      <c r="T2629">
        <v>-1.5475869999999999E-2</v>
      </c>
      <c r="U2629">
        <v>0.2549438</v>
      </c>
      <c r="V2629">
        <v>-1.9687079999999999E-2</v>
      </c>
      <c r="W2629">
        <v>0.2130302</v>
      </c>
      <c r="X2629">
        <v>0.97684729999999997</v>
      </c>
      <c r="Y2629">
        <v>-7.1416770000000004E-2</v>
      </c>
      <c r="Z2629">
        <v>4.8312440000000001E-4</v>
      </c>
      <c r="AA2629">
        <v>0.99744639999999996</v>
      </c>
      <c r="AB2629">
        <v>33</v>
      </c>
      <c r="AC2629">
        <v>231.5667</v>
      </c>
      <c r="AD2629">
        <v>-1.1719660000000001</v>
      </c>
      <c r="AE2629">
        <v>19.3018999999999</v>
      </c>
      <c r="AF2629">
        <v>-16.617619180162698</v>
      </c>
      <c r="AG2629">
        <v>-1.1719660000000001</v>
      </c>
      <c r="AH2629">
        <v>231.76886702377399</v>
      </c>
      <c r="AI2629">
        <v>90.288978426539103</v>
      </c>
      <c r="AJ2629">
        <v>94.101037949172294</v>
      </c>
      <c r="AK2629">
        <v>232.36679300839401</v>
      </c>
      <c r="AL2629">
        <v>77.700011515333401</v>
      </c>
      <c r="AM2629">
        <v>91.154565215610702</v>
      </c>
      <c r="AN2629">
        <v>1.00000004737412</v>
      </c>
    </row>
    <row r="2630" spans="1:40" x14ac:dyDescent="0.25">
      <c r="A2630" t="str">
        <f>"20190303171028346"</f>
        <v>20190303171028346</v>
      </c>
      <c r="B2630" t="str">
        <f>"1551604228333723"</f>
        <v>1551604228333723</v>
      </c>
      <c r="C2630" t="s">
        <v>40</v>
      </c>
      <c r="D2630">
        <v>4.535304</v>
      </c>
      <c r="E2630">
        <v>0.48249690000000001</v>
      </c>
      <c r="F2630" t="s">
        <v>49</v>
      </c>
      <c r="G2630">
        <v>-157.8382</v>
      </c>
      <c r="H2630">
        <v>8.4002380000000001E-2</v>
      </c>
      <c r="I2630">
        <v>236.53370000000001</v>
      </c>
      <c r="J2630">
        <v>-433.13099999999997</v>
      </c>
      <c r="K2630">
        <v>1.12195</v>
      </c>
      <c r="L2630">
        <v>212.959</v>
      </c>
      <c r="M2630">
        <v>0.99988529999999998</v>
      </c>
      <c r="N2630">
        <v>-7.562633E-3</v>
      </c>
      <c r="O2630">
        <v>1.312967E-2</v>
      </c>
      <c r="P2630">
        <v>0.97806570000000004</v>
      </c>
      <c r="Q2630">
        <v>0.20593320000000001</v>
      </c>
      <c r="R2630">
        <v>3.1292479999999998E-2</v>
      </c>
      <c r="S2630">
        <v>3.0613100000000002</v>
      </c>
      <c r="T2630">
        <v>-1.1528729999999999E-2</v>
      </c>
      <c r="U2630">
        <v>0.26191710000000001</v>
      </c>
      <c r="V2630">
        <v>-1.9182560000000001E-2</v>
      </c>
      <c r="W2630">
        <v>0.2132617</v>
      </c>
      <c r="X2630">
        <v>0.97680679999999998</v>
      </c>
      <c r="Y2630">
        <v>-7.2154739999999995E-2</v>
      </c>
      <c r="Z2630">
        <v>4.5874579999999999E-4</v>
      </c>
      <c r="AA2630">
        <v>0.99739339999999999</v>
      </c>
      <c r="AB2630">
        <v>33</v>
      </c>
      <c r="AC2630">
        <v>275.29279999999898</v>
      </c>
      <c r="AD2630">
        <v>-1.03794762</v>
      </c>
      <c r="AE2630">
        <v>23.5747</v>
      </c>
      <c r="AF2630">
        <v>-19.957779519720599</v>
      </c>
      <c r="AG2630">
        <v>-1.03794762</v>
      </c>
      <c r="AH2630">
        <v>275.57471695287501</v>
      </c>
      <c r="AI2630">
        <v>90.215238866099796</v>
      </c>
      <c r="AJ2630">
        <v>94.142265304818196</v>
      </c>
      <c r="AK2630">
        <v>276.29841643099797</v>
      </c>
      <c r="AL2630">
        <v>77.686435279417395</v>
      </c>
      <c r="AM2630">
        <v>91.125031555313896</v>
      </c>
      <c r="AN2630">
        <v>1.0000000239106399</v>
      </c>
    </row>
    <row r="2631" spans="1:40" x14ac:dyDescent="0.25">
      <c r="A2631" t="str">
        <f>"20190303171028369"</f>
        <v>20190303171028369</v>
      </c>
      <c r="B2631" t="str">
        <f>"1551604228363003"</f>
        <v>1551604228363003</v>
      </c>
      <c r="C2631" t="s">
        <v>40</v>
      </c>
      <c r="D2631">
        <v>4.5756940000000004</v>
      </c>
      <c r="E2631">
        <v>0.48184650000000001</v>
      </c>
      <c r="F2631" t="s">
        <v>42</v>
      </c>
      <c r="G2631">
        <v>-179.946</v>
      </c>
      <c r="H2631">
        <v>6.180691E-2</v>
      </c>
      <c r="I2631">
        <v>234.71010000000001</v>
      </c>
      <c r="J2631">
        <v>-432.78390000000002</v>
      </c>
      <c r="K2631">
        <v>1.1219110000000001</v>
      </c>
      <c r="L2631">
        <v>212.96520000000001</v>
      </c>
      <c r="M2631">
        <v>0.99986249999999999</v>
      </c>
      <c r="N2631">
        <v>-7.4951569999999997E-3</v>
      </c>
      <c r="O2631">
        <v>1.479331E-2</v>
      </c>
      <c r="P2631">
        <v>0.97794820000000005</v>
      </c>
      <c r="Q2631">
        <v>0.20633019999999999</v>
      </c>
      <c r="R2631">
        <v>3.2329169999999997E-2</v>
      </c>
      <c r="S2631">
        <v>3.0615230000000002</v>
      </c>
      <c r="T2631">
        <v>-1.2819290000000001E-2</v>
      </c>
      <c r="U2631">
        <v>0.26301570000000002</v>
      </c>
      <c r="V2631">
        <v>-1.857659E-2</v>
      </c>
      <c r="W2631">
        <v>0.2135957</v>
      </c>
      <c r="X2631">
        <v>0.97674550000000004</v>
      </c>
      <c r="Y2631">
        <v>-7.084435E-2</v>
      </c>
      <c r="Z2631">
        <v>4.6291680000000001E-4</v>
      </c>
      <c r="AA2631">
        <v>0.99748720000000002</v>
      </c>
      <c r="AB2631">
        <v>33</v>
      </c>
      <c r="AC2631">
        <v>252.83789999999999</v>
      </c>
      <c r="AD2631">
        <v>-1.0601040900000001</v>
      </c>
      <c r="AE2631">
        <v>21.744900000000001</v>
      </c>
      <c r="AF2631">
        <v>-18.001791816265101</v>
      </c>
      <c r="AG2631">
        <v>-1.0601040900000001</v>
      </c>
      <c r="AH2631">
        <v>253.127501985251</v>
      </c>
      <c r="AI2631">
        <v>90.239350195182993</v>
      </c>
      <c r="AJ2631">
        <v>94.067883036436996</v>
      </c>
      <c r="AK2631">
        <v>253.76903000675799</v>
      </c>
      <c r="AL2631">
        <v>77.666846755939105</v>
      </c>
      <c r="AM2631">
        <v>91.0895692891621</v>
      </c>
      <c r="AN2631">
        <v>0.99999999226238401</v>
      </c>
    </row>
    <row r="2632" spans="1:40" x14ac:dyDescent="0.25">
      <c r="A2632" t="str">
        <f>"20190303171028392"</f>
        <v>20190303171028392</v>
      </c>
      <c r="B2632" t="str">
        <f>"1551604228383500"</f>
        <v>1551604228383500</v>
      </c>
      <c r="C2632" t="s">
        <v>40</v>
      </c>
      <c r="D2632">
        <v>4.6739269999999999</v>
      </c>
      <c r="E2632">
        <v>0.48158430000000002</v>
      </c>
      <c r="F2632" t="s">
        <v>79</v>
      </c>
      <c r="G2632">
        <v>-234.63659999999999</v>
      </c>
      <c r="H2632">
        <v>0.30983899999999998</v>
      </c>
      <c r="I2632">
        <v>230.48099999999999</v>
      </c>
      <c r="J2632">
        <v>-432.45339999999999</v>
      </c>
      <c r="K2632">
        <v>1.1218629999999901</v>
      </c>
      <c r="L2632">
        <v>212.97149999999999</v>
      </c>
      <c r="M2632">
        <v>0.9998397</v>
      </c>
      <c r="N2632">
        <v>-7.4476849999999999E-3</v>
      </c>
      <c r="O2632">
        <v>1.6290410000000002E-2</v>
      </c>
      <c r="P2632">
        <v>0.9777614</v>
      </c>
      <c r="Q2632">
        <v>0.2070661</v>
      </c>
      <c r="R2632">
        <v>3.326117E-2</v>
      </c>
      <c r="S2632">
        <v>3.0613100000000002</v>
      </c>
      <c r="T2632">
        <v>-1.25463E-2</v>
      </c>
      <c r="U2632">
        <v>0.27061459999999998</v>
      </c>
      <c r="V2632">
        <v>-1.802281E-2</v>
      </c>
      <c r="W2632">
        <v>0.21428839999999999</v>
      </c>
      <c r="X2632">
        <v>0.97660420000000003</v>
      </c>
      <c r="Y2632">
        <v>-7.1814080000000002E-2</v>
      </c>
      <c r="Z2632">
        <v>4.6932229999999998E-4</v>
      </c>
      <c r="AA2632">
        <v>0.99741789999999997</v>
      </c>
      <c r="AB2632">
        <v>33</v>
      </c>
      <c r="AC2632">
        <v>197.8168</v>
      </c>
      <c r="AD2632">
        <v>-0.81202399999999897</v>
      </c>
      <c r="AE2632">
        <v>17.509499999999999</v>
      </c>
      <c r="AF2632">
        <v>-14.2843318610976</v>
      </c>
      <c r="AG2632">
        <v>-0.81202399999999897</v>
      </c>
      <c r="AH2632">
        <v>198.07248189208801</v>
      </c>
      <c r="AI2632">
        <v>90.234281781302599</v>
      </c>
      <c r="AJ2632">
        <v>94.124841037229302</v>
      </c>
      <c r="AK2632">
        <v>198.58854348271501</v>
      </c>
      <c r="AL2632">
        <v>77.626217994753503</v>
      </c>
      <c r="AM2632">
        <v>91.057248928294499</v>
      </c>
      <c r="AN2632">
        <v>1.00000005175624</v>
      </c>
    </row>
    <row r="2633" spans="1:40" x14ac:dyDescent="0.25">
      <c r="A2633" t="str">
        <f>"20190303171028414"</f>
        <v>20190303171028414</v>
      </c>
      <c r="B2633" t="str">
        <f>"1551604228403019"</f>
        <v>1551604228403019</v>
      </c>
      <c r="C2633" t="s">
        <v>40</v>
      </c>
      <c r="D2633">
        <v>4.617432</v>
      </c>
      <c r="E2633">
        <v>0.48190309999999997</v>
      </c>
      <c r="F2633" t="s">
        <v>79</v>
      </c>
      <c r="G2633">
        <v>-238.6174</v>
      </c>
      <c r="H2633">
        <v>0.47104950000000001</v>
      </c>
      <c r="I2633">
        <v>230.41890000000001</v>
      </c>
      <c r="J2633">
        <v>-432.11880000000002</v>
      </c>
      <c r="K2633">
        <v>1.121799</v>
      </c>
      <c r="L2633">
        <v>212.97829999999999</v>
      </c>
      <c r="M2633">
        <v>0.99981580000000003</v>
      </c>
      <c r="N2633">
        <v>-7.411572E-3</v>
      </c>
      <c r="O2633">
        <v>1.7705189999999999E-2</v>
      </c>
      <c r="P2633">
        <v>0.97755309999999995</v>
      </c>
      <c r="Q2633">
        <v>0.20807809999999999</v>
      </c>
      <c r="R2633">
        <v>3.3073129999999999E-2</v>
      </c>
      <c r="S2633">
        <v>3.061035</v>
      </c>
      <c r="T2633">
        <v>-1.0277629999999999E-2</v>
      </c>
      <c r="U2633">
        <v>0.275528</v>
      </c>
      <c r="V2633">
        <v>-1.6422320000000001E-2</v>
      </c>
      <c r="W2633">
        <v>0.21527099999999999</v>
      </c>
      <c r="X2633">
        <v>0.97641619999999996</v>
      </c>
      <c r="Y2633">
        <v>-7.1999339999999995E-2</v>
      </c>
      <c r="Z2633">
        <v>4.5966550000000001E-4</v>
      </c>
      <c r="AA2633">
        <v>0.99740459999999997</v>
      </c>
      <c r="AB2633">
        <v>33</v>
      </c>
      <c r="AC2633">
        <v>193.50139999999999</v>
      </c>
      <c r="AD2633">
        <v>-0.65074949999999998</v>
      </c>
      <c r="AE2633">
        <v>17.4406</v>
      </c>
      <c r="AF2633">
        <v>-14.0116357709257</v>
      </c>
      <c r="AG2633">
        <v>-0.65074949999999998</v>
      </c>
      <c r="AH2633">
        <v>193.77769081545901</v>
      </c>
      <c r="AI2633">
        <v>90.191910482237802</v>
      </c>
      <c r="AJ2633">
        <v>94.135733199656997</v>
      </c>
      <c r="AK2633">
        <v>194.28469540769399</v>
      </c>
      <c r="AL2633">
        <v>77.568572556279506</v>
      </c>
      <c r="AM2633">
        <v>90.963565453058493</v>
      </c>
      <c r="AN2633">
        <v>0.99999994582880902</v>
      </c>
    </row>
    <row r="2634" spans="1:40" x14ac:dyDescent="0.25">
      <c r="A2634" t="str">
        <f>"20190303171028436"</f>
        <v>20190303171028436</v>
      </c>
      <c r="B2634" t="str">
        <f>"1551604228423519"</f>
        <v>1551604228423519</v>
      </c>
      <c r="C2634" t="s">
        <v>40</v>
      </c>
      <c r="D2634">
        <v>4.6768640000000001</v>
      </c>
      <c r="E2634">
        <v>0.48200660000000001</v>
      </c>
      <c r="F2634" t="s">
        <v>79</v>
      </c>
      <c r="G2634">
        <v>-237.2638</v>
      </c>
      <c r="H2634">
        <v>0.62843990000000005</v>
      </c>
      <c r="I2634">
        <v>230.41890000000001</v>
      </c>
      <c r="J2634">
        <v>-431.80619999999999</v>
      </c>
      <c r="K2634">
        <v>1.1217269999999999</v>
      </c>
      <c r="L2634">
        <v>212.98500000000001</v>
      </c>
      <c r="M2634">
        <v>0.99979379999999995</v>
      </c>
      <c r="N2634">
        <v>-7.3842859999999899E-3</v>
      </c>
      <c r="O2634">
        <v>1.8918500000000001E-2</v>
      </c>
      <c r="P2634">
        <v>0.97755420000000004</v>
      </c>
      <c r="Q2634">
        <v>0.20803559999999999</v>
      </c>
      <c r="R2634">
        <v>3.3302400000000003E-2</v>
      </c>
      <c r="S2634">
        <v>3.0612789999999999</v>
      </c>
      <c r="T2634">
        <v>-7.7509880000000003E-3</v>
      </c>
      <c r="U2634">
        <v>0.27400210000000003</v>
      </c>
      <c r="V2634">
        <v>-1.542571E-2</v>
      </c>
      <c r="W2634">
        <v>0.21520810000000001</v>
      </c>
      <c r="X2634">
        <v>0.97644640000000005</v>
      </c>
      <c r="Y2634">
        <v>-7.0289050000000006E-2</v>
      </c>
      <c r="Z2634">
        <v>4.405128E-4</v>
      </c>
      <c r="AA2634">
        <v>0.99752660000000004</v>
      </c>
      <c r="AB2634">
        <v>33</v>
      </c>
      <c r="AC2634">
        <v>194.54239999999999</v>
      </c>
      <c r="AD2634">
        <v>-0.49328709999999998</v>
      </c>
      <c r="AE2634">
        <v>17.433899999999898</v>
      </c>
      <c r="AF2634">
        <v>-13.7501413746915</v>
      </c>
      <c r="AG2634">
        <v>-0.49328709999999998</v>
      </c>
      <c r="AH2634">
        <v>194.836170203265</v>
      </c>
      <c r="AI2634">
        <v>90.144701508992696</v>
      </c>
      <c r="AJ2634">
        <v>94.036832764270997</v>
      </c>
      <c r="AK2634">
        <v>195.321383722988</v>
      </c>
      <c r="AL2634">
        <v>77.572263964710302</v>
      </c>
      <c r="AM2634">
        <v>90.905072274475799</v>
      </c>
      <c r="AN2634">
        <v>1.00000002545378</v>
      </c>
    </row>
    <row r="2635" spans="1:40" x14ac:dyDescent="0.25">
      <c r="A2635" t="str">
        <f>"20190303171028458"</f>
        <v>20190303171028458</v>
      </c>
      <c r="B2635" t="str">
        <f>"1551604228452796"</f>
        <v>1551604228452796</v>
      </c>
      <c r="C2635" t="s">
        <v>40</v>
      </c>
      <c r="D2635">
        <v>4.6737950000000001</v>
      </c>
      <c r="E2635">
        <v>0.48220350000000001</v>
      </c>
      <c r="F2635" t="s">
        <v>79</v>
      </c>
      <c r="G2635">
        <v>-234.63669999999999</v>
      </c>
      <c r="H2635">
        <v>0.52047619999999895</v>
      </c>
      <c r="I2635">
        <v>230.60470000000001</v>
      </c>
      <c r="J2635">
        <v>-431.48099999999999</v>
      </c>
      <c r="K2635">
        <v>1.1216349999999999</v>
      </c>
      <c r="L2635">
        <v>212.9922</v>
      </c>
      <c r="M2635">
        <v>0.99977169999999904</v>
      </c>
      <c r="N2635">
        <v>-7.3669599999999997E-3</v>
      </c>
      <c r="O2635">
        <v>2.0058579999999999E-2</v>
      </c>
      <c r="P2635">
        <v>0.97766319999999995</v>
      </c>
      <c r="Q2635">
        <v>0.20754139999999999</v>
      </c>
      <c r="R2635">
        <v>3.3186960000000001E-2</v>
      </c>
      <c r="S2635">
        <v>3.0615540000000001</v>
      </c>
      <c r="T2635">
        <v>-9.3359949999999997E-3</v>
      </c>
      <c r="U2635">
        <v>0.2735901</v>
      </c>
      <c r="V2635">
        <v>-1.4146880000000001E-2</v>
      </c>
      <c r="W2635">
        <v>0.2147047</v>
      </c>
      <c r="X2635">
        <v>0.97657660000000002</v>
      </c>
      <c r="Y2635">
        <v>-6.9010119999999994E-2</v>
      </c>
      <c r="Z2635">
        <v>4.4621089999999998E-4</v>
      </c>
      <c r="AA2635">
        <v>0.9976159</v>
      </c>
      <c r="AB2635">
        <v>33</v>
      </c>
      <c r="AC2635">
        <v>196.8443</v>
      </c>
      <c r="AD2635">
        <v>-0.60115879999999999</v>
      </c>
      <c r="AE2635">
        <v>17.612500000000001</v>
      </c>
      <c r="AF2635">
        <v>-13.6603057433191</v>
      </c>
      <c r="AG2635">
        <v>-0.60115879999999999</v>
      </c>
      <c r="AH2635">
        <v>197.156161131132</v>
      </c>
      <c r="AI2635">
        <v>90.174285073766896</v>
      </c>
      <c r="AJ2635">
        <v>93.963502851135402</v>
      </c>
      <c r="AK2635">
        <v>197.62974780348301</v>
      </c>
      <c r="AL2635">
        <v>77.6017973323208</v>
      </c>
      <c r="AM2635">
        <v>90.829939838842805</v>
      </c>
      <c r="AN2635">
        <v>1.00000004904169</v>
      </c>
    </row>
    <row r="2636" spans="1:40" x14ac:dyDescent="0.25">
      <c r="A2636" t="str">
        <f>"20190303171028480"</f>
        <v>20190303171028480</v>
      </c>
      <c r="B2636" t="str">
        <f>"1551604228473291"</f>
        <v>1551604228473291</v>
      </c>
      <c r="C2636" t="s">
        <v>40</v>
      </c>
      <c r="D2636">
        <v>4.6732230000000001</v>
      </c>
      <c r="E2636">
        <v>0.48235430000000001</v>
      </c>
      <c r="F2636" t="s">
        <v>79</v>
      </c>
      <c r="G2636">
        <v>-234.63659999999999</v>
      </c>
      <c r="H2636">
        <v>0.36641810000000002</v>
      </c>
      <c r="I2636">
        <v>230.44489999999999</v>
      </c>
      <c r="J2636">
        <v>-431.14420000000001</v>
      </c>
      <c r="K2636">
        <v>1.1215349999999999</v>
      </c>
      <c r="L2636">
        <v>213</v>
      </c>
      <c r="M2636">
        <v>0.99975029999999998</v>
      </c>
      <c r="N2636">
        <v>-7.3565449999999999E-3</v>
      </c>
      <c r="O2636">
        <v>2.1109490000000002E-2</v>
      </c>
      <c r="P2636">
        <v>0.97764180000000001</v>
      </c>
      <c r="Q2636">
        <v>0.20770079999999999</v>
      </c>
      <c r="R2636">
        <v>3.282728E-2</v>
      </c>
      <c r="S2636">
        <v>3.0618289999999999</v>
      </c>
      <c r="T2636">
        <v>-1.174712E-2</v>
      </c>
      <c r="U2636">
        <v>0.27146910000000002</v>
      </c>
      <c r="V2636">
        <v>-1.2711699999999999E-2</v>
      </c>
      <c r="W2636">
        <v>0.2148603</v>
      </c>
      <c r="X2636">
        <v>0.97656209999999999</v>
      </c>
      <c r="Y2636">
        <v>-6.7267419999999994E-2</v>
      </c>
      <c r="Z2636">
        <v>4.5093459999999999E-4</v>
      </c>
      <c r="AA2636">
        <v>0.99773489999999998</v>
      </c>
      <c r="AB2636">
        <v>33</v>
      </c>
      <c r="AC2636">
        <v>196.5076</v>
      </c>
      <c r="AD2636">
        <v>-0.75511689999999998</v>
      </c>
      <c r="AE2636">
        <v>17.444899999999901</v>
      </c>
      <c r="AF2636">
        <v>-13.2925311400152</v>
      </c>
      <c r="AG2636">
        <v>-0.75511689999999998</v>
      </c>
      <c r="AH2636">
        <v>196.82918897271699</v>
      </c>
      <c r="AI2636">
        <v>90.219309323710206</v>
      </c>
      <c r="AJ2636">
        <v>93.863508576727995</v>
      </c>
      <c r="AK2636">
        <v>197.27896800545699</v>
      </c>
      <c r="AL2636">
        <v>77.592668902545199</v>
      </c>
      <c r="AM2636">
        <v>90.745764790092096</v>
      </c>
      <c r="AN2636">
        <v>1.0000000354946901</v>
      </c>
    </row>
    <row r="2637" spans="1:40" x14ac:dyDescent="0.25">
      <c r="A2637" t="str">
        <f>"20190303171028502"</f>
        <v>20190303171028502</v>
      </c>
      <c r="B2637" t="str">
        <f>"1551604228493787"</f>
        <v>1551604228493787</v>
      </c>
      <c r="C2637" t="s">
        <v>40</v>
      </c>
      <c r="D2637">
        <v>4.6745169999999998</v>
      </c>
      <c r="E2637">
        <v>0.48241489999999998</v>
      </c>
      <c r="F2637" t="s">
        <v>79</v>
      </c>
      <c r="G2637">
        <v>-233.13390000000001</v>
      </c>
      <c r="H2637">
        <v>0.31205490000000002</v>
      </c>
      <c r="I2637">
        <v>230.3981</v>
      </c>
      <c r="J2637">
        <v>-430.81380000000001</v>
      </c>
      <c r="K2637">
        <v>1.121453</v>
      </c>
      <c r="L2637">
        <v>213.00790000000001</v>
      </c>
      <c r="M2637">
        <v>0.99973020000000001</v>
      </c>
      <c r="N2637">
        <v>-7.3498510000000001E-3</v>
      </c>
      <c r="O2637">
        <v>2.2039179999999998E-2</v>
      </c>
      <c r="P2637">
        <v>0.97766980000000003</v>
      </c>
      <c r="Q2637">
        <v>0.20772599999999999</v>
      </c>
      <c r="R2637">
        <v>3.1811770000000003E-2</v>
      </c>
      <c r="S2637">
        <v>3.062195</v>
      </c>
      <c r="T2637">
        <v>-1.251853E-2</v>
      </c>
      <c r="U2637">
        <v>0.26905820000000003</v>
      </c>
      <c r="V2637">
        <v>-1.074373E-2</v>
      </c>
      <c r="W2637">
        <v>0.2148854</v>
      </c>
      <c r="X2637">
        <v>0.97658009999999995</v>
      </c>
      <c r="Y2637">
        <v>-6.5549430000000006E-2</v>
      </c>
      <c r="Z2637">
        <v>4.4691389999999999E-4</v>
      </c>
      <c r="AA2637">
        <v>0.99784919999999999</v>
      </c>
      <c r="AB2637">
        <v>33</v>
      </c>
      <c r="AC2637">
        <v>197.6799</v>
      </c>
      <c r="AD2637">
        <v>-0.80939810000000001</v>
      </c>
      <c r="AE2637">
        <v>17.390199999999901</v>
      </c>
      <c r="AF2637">
        <v>-13.028938975372499</v>
      </c>
      <c r="AG2637">
        <v>-0.80939810000000001</v>
      </c>
      <c r="AH2637">
        <v>198.011864420677</v>
      </c>
      <c r="AI2637">
        <v>90.233696972606097</v>
      </c>
      <c r="AJ2637">
        <v>93.7645657420899</v>
      </c>
      <c r="AK2637">
        <v>198.441696292541</v>
      </c>
      <c r="AL2637">
        <v>77.591195019416205</v>
      </c>
      <c r="AM2637">
        <v>90.630307286407103</v>
      </c>
      <c r="AN2637">
        <v>0.99999992729173803</v>
      </c>
    </row>
    <row r="2638" spans="1:40" x14ac:dyDescent="0.25">
      <c r="A2638" t="str">
        <f>"20190303171028525"</f>
        <v>20190303171028525</v>
      </c>
      <c r="B2638" t="str">
        <f>"1551604228513311"</f>
        <v>1551604228513311</v>
      </c>
      <c r="C2638" t="s">
        <v>40</v>
      </c>
      <c r="D2638">
        <v>4.789822</v>
      </c>
      <c r="E2638">
        <v>0.4824755</v>
      </c>
      <c r="F2638" t="s">
        <v>42</v>
      </c>
      <c r="G2638">
        <v>-181.56630000000001</v>
      </c>
      <c r="H2638" s="1">
        <v>-4.1709899999999997E-6</v>
      </c>
      <c r="I2638">
        <v>234.66239999999999</v>
      </c>
      <c r="J2638">
        <v>-430.46480000000003</v>
      </c>
      <c r="K2638">
        <v>1.1213759999999999</v>
      </c>
      <c r="L2638">
        <v>213.01650000000001</v>
      </c>
      <c r="M2638">
        <v>0.99971049999999995</v>
      </c>
      <c r="N2638">
        <v>-7.3457330000000001E-3</v>
      </c>
      <c r="O2638">
        <v>2.2916599999999999E-2</v>
      </c>
      <c r="P2638">
        <v>0.97769220000000001</v>
      </c>
      <c r="Q2638">
        <v>0.20763809999999999</v>
      </c>
      <c r="R2638">
        <v>3.1696509999999997E-2</v>
      </c>
      <c r="S2638">
        <v>3.0628359999999999</v>
      </c>
      <c r="T2638">
        <v>-1.3780830000000001E-2</v>
      </c>
      <c r="U2638">
        <v>0.266098</v>
      </c>
      <c r="V2638">
        <v>-9.7282879999999999E-3</v>
      </c>
      <c r="W2638">
        <v>0.2147983</v>
      </c>
      <c r="X2638">
        <v>0.97660999999999998</v>
      </c>
      <c r="Y2638">
        <v>-6.3698060000000001E-2</v>
      </c>
      <c r="Z2638">
        <v>4.4262590000000002E-4</v>
      </c>
      <c r="AA2638">
        <v>0.99796910000000005</v>
      </c>
      <c r="AB2638">
        <v>33</v>
      </c>
      <c r="AC2638">
        <v>248.89850000000001</v>
      </c>
      <c r="AD2638">
        <v>-1.12138017099</v>
      </c>
      <c r="AE2638">
        <v>21.645899999999902</v>
      </c>
      <c r="AF2638">
        <v>-15.935833358630299</v>
      </c>
      <c r="AG2638">
        <v>-1.12138017099</v>
      </c>
      <c r="AH2638">
        <v>249.32417169871101</v>
      </c>
      <c r="AI2638">
        <v>90.2571715398484</v>
      </c>
      <c r="AJ2638">
        <v>93.657149111996702</v>
      </c>
      <c r="AK2638">
        <v>249.83544758814801</v>
      </c>
      <c r="AL2638">
        <v>77.596305978338805</v>
      </c>
      <c r="AM2638">
        <v>90.570720563292696</v>
      </c>
      <c r="AN2638">
        <v>1.00000002068515</v>
      </c>
    </row>
    <row r="2639" spans="1:40" x14ac:dyDescent="0.25">
      <c r="A2639" t="str">
        <f>"20190303171028546"</f>
        <v>20190303171028546</v>
      </c>
      <c r="B2639" t="str">
        <f>"1551604228533803"</f>
        <v>1551604228533803</v>
      </c>
      <c r="C2639" t="s">
        <v>40</v>
      </c>
      <c r="D2639">
        <v>4.7268410000000003</v>
      </c>
      <c r="E2639">
        <v>0.48244579999999998</v>
      </c>
      <c r="F2639" t="s">
        <v>41</v>
      </c>
      <c r="G2639">
        <v>-191.6018</v>
      </c>
      <c r="H2639">
        <v>-0.05</v>
      </c>
      <c r="I2639">
        <v>233.7055</v>
      </c>
      <c r="J2639">
        <v>-430.154</v>
      </c>
      <c r="K2639">
        <v>1.121305</v>
      </c>
      <c r="L2639">
        <v>213.02430000000001</v>
      </c>
      <c r="M2639">
        <v>0.99969419999999998</v>
      </c>
      <c r="N2639">
        <v>-7.3442430000000003E-3</v>
      </c>
      <c r="O2639">
        <v>2.3609229999999998E-2</v>
      </c>
      <c r="P2639">
        <v>0.97762550000000004</v>
      </c>
      <c r="Q2639">
        <v>0.2079713</v>
      </c>
      <c r="R2639">
        <v>3.156697E-2</v>
      </c>
      <c r="S2639">
        <v>3.0630489999999999</v>
      </c>
      <c r="T2639">
        <v>-1.5021090000000001E-2</v>
      </c>
      <c r="U2639">
        <v>0.2653046</v>
      </c>
      <c r="V2639">
        <v>-8.8875220000000001E-3</v>
      </c>
      <c r="W2639">
        <v>0.21513270000000001</v>
      </c>
      <c r="X2639">
        <v>0.97654439999999998</v>
      </c>
      <c r="Y2639">
        <v>-6.2743800000000002E-2</v>
      </c>
      <c r="Z2639">
        <v>4.4200110000000001E-4</v>
      </c>
      <c r="AA2639">
        <v>0.99802959999999996</v>
      </c>
      <c r="AB2639">
        <v>33</v>
      </c>
      <c r="AC2639">
        <v>238.5522</v>
      </c>
      <c r="AD2639">
        <v>-1.17130499999999</v>
      </c>
      <c r="AE2639">
        <v>20.681199999999901</v>
      </c>
      <c r="AF2639">
        <v>-15.042888979925401</v>
      </c>
      <c r="AG2639">
        <v>-1.17130499999999</v>
      </c>
      <c r="AH2639">
        <v>238.96826533474299</v>
      </c>
      <c r="AI2639">
        <v>90.280278744550699</v>
      </c>
      <c r="AJ2639">
        <v>93.601977426963003</v>
      </c>
      <c r="AK2639">
        <v>239.44413190003499</v>
      </c>
      <c r="AL2639">
        <v>77.576687564894399</v>
      </c>
      <c r="AM2639">
        <v>90.5214339895509</v>
      </c>
      <c r="AN2639">
        <v>1.0000000159139699</v>
      </c>
    </row>
    <row r="2640" spans="1:40" x14ac:dyDescent="0.25">
      <c r="A2640" t="str">
        <f>"20190303171028569"</f>
        <v>20190303171028569</v>
      </c>
      <c r="B2640" t="str">
        <f>"1551604228563083"</f>
        <v>1551604228563083</v>
      </c>
      <c r="C2640" t="s">
        <v>40</v>
      </c>
      <c r="D2640">
        <v>4.7908339999999896</v>
      </c>
      <c r="E2640">
        <v>0.48243449999999999</v>
      </c>
      <c r="F2640" t="s">
        <v>42</v>
      </c>
      <c r="G2640">
        <v>-191.88759999999999</v>
      </c>
      <c r="H2640" s="1">
        <v>-2.4285839999999999E-6</v>
      </c>
      <c r="I2640">
        <v>233.66669999999999</v>
      </c>
      <c r="J2640">
        <v>-429.8073</v>
      </c>
      <c r="K2640">
        <v>1.1212260000000001</v>
      </c>
      <c r="L2640">
        <v>213.03319999999999</v>
      </c>
      <c r="M2640">
        <v>0.99967810000000001</v>
      </c>
      <c r="N2640">
        <v>-7.3441540000000003E-3</v>
      </c>
      <c r="O2640">
        <v>2.4291110000000001E-2</v>
      </c>
      <c r="P2640">
        <v>0.97759430000000003</v>
      </c>
      <c r="Q2640">
        <v>0.2081537</v>
      </c>
      <c r="R2640">
        <v>3.1336179999999998E-2</v>
      </c>
      <c r="S2640">
        <v>3.0631710000000001</v>
      </c>
      <c r="T2640">
        <v>-1.4415620000000001E-2</v>
      </c>
      <c r="U2640">
        <v>0.26538089999999998</v>
      </c>
      <c r="V2640">
        <v>-7.9507569999999993E-3</v>
      </c>
      <c r="W2640">
        <v>0.21531800000000001</v>
      </c>
      <c r="X2640">
        <v>0.97651160000000004</v>
      </c>
      <c r="Y2640">
        <v>-6.2084420000000001E-2</v>
      </c>
      <c r="Z2640">
        <v>4.3828859999999999E-4</v>
      </c>
      <c r="AA2640">
        <v>0.99807080000000004</v>
      </c>
      <c r="AB2640">
        <v>34</v>
      </c>
      <c r="AC2640">
        <v>237.91970000000001</v>
      </c>
      <c r="AD2640">
        <v>-1.121228428584</v>
      </c>
      <c r="AE2640">
        <v>20.633500000000002</v>
      </c>
      <c r="AF2640">
        <v>-14.8475953994579</v>
      </c>
      <c r="AG2640">
        <v>-1.121228428584</v>
      </c>
      <c r="AH2640">
        <v>238.345462843218</v>
      </c>
      <c r="AI2640">
        <v>90.269008264623295</v>
      </c>
      <c r="AJ2640">
        <v>93.564601916849497</v>
      </c>
      <c r="AK2640">
        <v>238.81010845498801</v>
      </c>
      <c r="AL2640">
        <v>77.565815422651397</v>
      </c>
      <c r="AM2640">
        <v>90.466491902487306</v>
      </c>
      <c r="AN2640">
        <v>0.99999998029771597</v>
      </c>
    </row>
    <row r="2641" spans="1:40" x14ac:dyDescent="0.25">
      <c r="A2641" t="str">
        <f>"20190303171028594"</f>
        <v>20190303171028594</v>
      </c>
      <c r="B2641" t="str">
        <f>"1551604228583581"</f>
        <v>1551604228583581</v>
      </c>
      <c r="C2641" t="s">
        <v>40</v>
      </c>
      <c r="D2641">
        <v>4.7905009999999999</v>
      </c>
      <c r="E2641">
        <v>0.48243330000000001</v>
      </c>
      <c r="F2641" t="s">
        <v>41</v>
      </c>
      <c r="G2641">
        <v>-190.2448</v>
      </c>
      <c r="H2641">
        <v>-0.05</v>
      </c>
      <c r="I2641">
        <v>233.78380000000001</v>
      </c>
      <c r="J2641">
        <v>-429.44110000000001</v>
      </c>
      <c r="K2641">
        <v>1.1211439999999999</v>
      </c>
      <c r="L2641">
        <v>213.0427</v>
      </c>
      <c r="M2641">
        <v>0.99966239999999995</v>
      </c>
      <c r="N2641">
        <v>-7.3453879999999996E-3</v>
      </c>
      <c r="O2641">
        <v>2.4925220000000001E-2</v>
      </c>
      <c r="P2641">
        <v>0.97756560000000003</v>
      </c>
      <c r="Q2641">
        <v>0.20828830000000001</v>
      </c>
      <c r="R2641">
        <v>3.1332760000000001E-2</v>
      </c>
      <c r="S2641">
        <v>3.0634160000000001</v>
      </c>
      <c r="T2641">
        <v>-1.49771E-2</v>
      </c>
      <c r="U2641">
        <v>0.26535029999999998</v>
      </c>
      <c r="V2641">
        <v>-7.2865289999999999E-3</v>
      </c>
      <c r="W2641">
        <v>0.21545629999999999</v>
      </c>
      <c r="X2641">
        <v>0.97648630000000003</v>
      </c>
      <c r="Y2641">
        <v>-6.1434519999999999E-2</v>
      </c>
      <c r="Z2641">
        <v>4.3717460000000001E-4</v>
      </c>
      <c r="AA2641">
        <v>0.99811099999999997</v>
      </c>
      <c r="AB2641">
        <v>34</v>
      </c>
      <c r="AC2641">
        <v>239.19630000000001</v>
      </c>
      <c r="AD2641">
        <v>-1.171144</v>
      </c>
      <c r="AE2641">
        <v>20.741099999999999</v>
      </c>
      <c r="AF2641">
        <v>-14.772123451787101</v>
      </c>
      <c r="AG2641">
        <v>-1.171144</v>
      </c>
      <c r="AH2641">
        <v>239.63327079724999</v>
      </c>
      <c r="AI2641">
        <v>90.2794851640774</v>
      </c>
      <c r="AJ2641">
        <v>93.527517951380304</v>
      </c>
      <c r="AK2641">
        <v>240.091007083839</v>
      </c>
      <c r="AL2641">
        <v>77.557701238903604</v>
      </c>
      <c r="AM2641">
        <v>90.427532481016101</v>
      </c>
      <c r="AN2641">
        <v>1.00000000240112</v>
      </c>
    </row>
    <row r="2642" spans="1:40" x14ac:dyDescent="0.25">
      <c r="A2642" t="str">
        <f>"20190303171028617"</f>
        <v>20190303171028617</v>
      </c>
      <c r="B2642" t="str">
        <f>"1551604228603099"</f>
        <v>1551604228603099</v>
      </c>
      <c r="C2642" t="s">
        <v>40</v>
      </c>
      <c r="D2642">
        <v>4.7860630000000004</v>
      </c>
      <c r="E2642">
        <v>0.48238340000000002</v>
      </c>
      <c r="F2642" t="s">
        <v>42</v>
      </c>
      <c r="G2642">
        <v>-199.0258</v>
      </c>
      <c r="H2642" s="1">
        <v>-3.8276969999999999E-6</v>
      </c>
      <c r="I2642">
        <v>233.08449999999999</v>
      </c>
      <c r="J2642">
        <v>-429.09219999999999</v>
      </c>
      <c r="K2642">
        <v>1.1210709999999999</v>
      </c>
      <c r="L2642">
        <v>213.05199999999999</v>
      </c>
      <c r="M2642">
        <v>0.99964869999999995</v>
      </c>
      <c r="N2642">
        <v>-7.3476969999999898E-3</v>
      </c>
      <c r="O2642">
        <v>2.5463380000000001E-2</v>
      </c>
      <c r="P2642">
        <v>0.97768259999999996</v>
      </c>
      <c r="Q2642">
        <v>0.2077156</v>
      </c>
      <c r="R2642">
        <v>3.1479E-2</v>
      </c>
      <c r="S2642">
        <v>3.0634769999999998</v>
      </c>
      <c r="T2642">
        <v>-1.490617E-2</v>
      </c>
      <c r="U2642">
        <v>0.26646419999999998</v>
      </c>
      <c r="V2642">
        <v>-6.8678810000000002E-3</v>
      </c>
      <c r="W2642">
        <v>0.2148882</v>
      </c>
      <c r="X2642">
        <v>0.97661450000000005</v>
      </c>
      <c r="Y2642">
        <v>-6.1255709999999998E-2</v>
      </c>
      <c r="Z2642">
        <v>4.3741519999999999E-4</v>
      </c>
      <c r="AA2642">
        <v>0.99812199999999995</v>
      </c>
      <c r="AB2642">
        <v>34</v>
      </c>
      <c r="AC2642">
        <v>230.06639999999999</v>
      </c>
      <c r="AD2642">
        <v>-1.121074827697</v>
      </c>
      <c r="AE2642">
        <v>20.032499999999899</v>
      </c>
      <c r="AF2642">
        <v>-14.1672437392304</v>
      </c>
      <c r="AG2642">
        <v>-1.121074827697</v>
      </c>
      <c r="AH2642">
        <v>230.49647533390799</v>
      </c>
      <c r="AI2642">
        <v>90.278144664820104</v>
      </c>
      <c r="AJ2642">
        <v>93.517205196258701</v>
      </c>
      <c r="AK2642">
        <v>230.93417405245799</v>
      </c>
      <c r="AL2642">
        <v>77.591031594140006</v>
      </c>
      <c r="AM2642">
        <v>90.402916513115201</v>
      </c>
      <c r="AN2642">
        <v>0.99999999394946004</v>
      </c>
    </row>
    <row r="2643" spans="1:40" x14ac:dyDescent="0.25">
      <c r="A2643" t="str">
        <f>"20190303171028637"</f>
        <v>20190303171028637</v>
      </c>
      <c r="B2643" t="str">
        <f>"1551604228623596"</f>
        <v>1551604228623596</v>
      </c>
      <c r="C2643" t="s">
        <v>40</v>
      </c>
      <c r="D2643">
        <v>4.7858199999999904</v>
      </c>
      <c r="E2643">
        <v>0.48238189999999997</v>
      </c>
      <c r="F2643" t="s">
        <v>41</v>
      </c>
      <c r="G2643">
        <v>-230.6703</v>
      </c>
      <c r="H2643">
        <v>-0.05</v>
      </c>
      <c r="I2643">
        <v>230.34889999999999</v>
      </c>
      <c r="J2643">
        <v>-428.78019999999998</v>
      </c>
      <c r="K2643">
        <v>1.1210209999999901</v>
      </c>
      <c r="L2643">
        <v>213.06039999999999</v>
      </c>
      <c r="M2643">
        <v>0.99963740000000001</v>
      </c>
      <c r="N2643">
        <v>-7.3504540000000002E-3</v>
      </c>
      <c r="O2643">
        <v>2.5904150000000001E-2</v>
      </c>
      <c r="P2643">
        <v>0.97770089999999998</v>
      </c>
      <c r="Q2643">
        <v>0.20761779999999999</v>
      </c>
      <c r="R2643">
        <v>3.1558549999999998E-2</v>
      </c>
      <c r="S2643">
        <v>3.0637509999999999</v>
      </c>
      <c r="T2643">
        <v>-1.8082020000000001E-2</v>
      </c>
      <c r="U2643">
        <v>0.267074599999999</v>
      </c>
      <c r="V2643">
        <v>-6.4912759999999998E-3</v>
      </c>
      <c r="W2643">
        <v>0.2147946</v>
      </c>
      <c r="X2643">
        <v>0.97663770000000005</v>
      </c>
      <c r="Y2643">
        <v>-6.1004599999999902E-2</v>
      </c>
      <c r="Z2643">
        <v>4.4189920000000001E-4</v>
      </c>
      <c r="AA2643">
        <v>0.99813739999999995</v>
      </c>
      <c r="AB2643">
        <v>34</v>
      </c>
      <c r="AC2643">
        <v>198.10990000000001</v>
      </c>
      <c r="AD2643">
        <v>-1.1710210000000001</v>
      </c>
      <c r="AE2643">
        <v>17.288499999999999</v>
      </c>
      <c r="AF2643">
        <v>-12.150269645290001</v>
      </c>
      <c r="AG2643">
        <v>-1.1710210000000001</v>
      </c>
      <c r="AH2643">
        <v>198.484390368828</v>
      </c>
      <c r="AI2643">
        <v>90.337398961672704</v>
      </c>
      <c r="AJ2643">
        <v>93.503003664505698</v>
      </c>
      <c r="AK2643">
        <v>198.85938137970999</v>
      </c>
      <c r="AL2643">
        <v>77.596523118205297</v>
      </c>
      <c r="AM2643">
        <v>90.3808139311313</v>
      </c>
      <c r="AN2643">
        <v>1.00000002695727</v>
      </c>
    </row>
    <row r="2644" spans="1:40" x14ac:dyDescent="0.25">
      <c r="A2644" t="str">
        <f>"20190303171028659"</f>
        <v>20190303171028659</v>
      </c>
      <c r="B2644" t="str">
        <f>"1551604228653382"</f>
        <v>1551604228653382</v>
      </c>
      <c r="C2644" t="s">
        <v>40</v>
      </c>
      <c r="D2644">
        <v>4.7881229999999997</v>
      </c>
      <c r="E2644">
        <v>0.48241479999999998</v>
      </c>
      <c r="F2644" t="s">
        <v>41</v>
      </c>
      <c r="G2644">
        <v>-239.3013</v>
      </c>
      <c r="H2644">
        <v>-0.05</v>
      </c>
      <c r="I2644">
        <v>229.61529999999999</v>
      </c>
      <c r="J2644">
        <v>-428.45179999999999</v>
      </c>
      <c r="K2644">
        <v>1.120976</v>
      </c>
      <c r="L2644">
        <v>213.0693</v>
      </c>
      <c r="M2644">
        <v>0.99962600000000001</v>
      </c>
      <c r="N2644">
        <v>-7.3532629999999996E-3</v>
      </c>
      <c r="O2644">
        <v>2.6341429999999999E-2</v>
      </c>
      <c r="P2644">
        <v>0.97771169999999996</v>
      </c>
      <c r="Q2644">
        <v>0.20765330000000001</v>
      </c>
      <c r="R2644">
        <v>3.098687E-2</v>
      </c>
      <c r="S2644">
        <v>3.0637819999999998</v>
      </c>
      <c r="T2644">
        <v>-1.893485E-2</v>
      </c>
      <c r="U2644">
        <v>0.2676849</v>
      </c>
      <c r="V2644">
        <v>-5.4722809999999998E-3</v>
      </c>
      <c r="W2644">
        <v>0.2148342</v>
      </c>
      <c r="X2644">
        <v>0.97663520000000004</v>
      </c>
      <c r="Y2644">
        <v>-6.0764289999999999E-2</v>
      </c>
      <c r="Z2644">
        <v>4.4222860000000001E-4</v>
      </c>
      <c r="AA2644">
        <v>0.99815200000000004</v>
      </c>
      <c r="AB2644">
        <v>34</v>
      </c>
      <c r="AC2644">
        <v>189.15049999999999</v>
      </c>
      <c r="AD2644">
        <v>-1.170976</v>
      </c>
      <c r="AE2644">
        <v>16.5459999999999</v>
      </c>
      <c r="AF2644">
        <v>-11.5571895739248</v>
      </c>
      <c r="AG2644">
        <v>-1.170976</v>
      </c>
      <c r="AH2644">
        <v>189.513511186573</v>
      </c>
      <c r="AI2644">
        <v>90.353361209902303</v>
      </c>
      <c r="AJ2644">
        <v>93.489773008745203</v>
      </c>
      <c r="AK2644">
        <v>189.86919375692199</v>
      </c>
      <c r="AL2644">
        <v>77.594199588851694</v>
      </c>
      <c r="AM2644">
        <v>90.321036272707204</v>
      </c>
      <c r="AN2644">
        <v>0.99999999661401096</v>
      </c>
    </row>
    <row r="2645" spans="1:40" x14ac:dyDescent="0.25">
      <c r="A2645" t="str">
        <f>"20190303171028681"</f>
        <v>20190303171028681</v>
      </c>
      <c r="B2645" t="str">
        <f>"1551604228672902"</f>
        <v>1551604228672902</v>
      </c>
      <c r="C2645" t="s">
        <v>40</v>
      </c>
      <c r="D2645">
        <v>4.7880640000000003</v>
      </c>
      <c r="E2645">
        <v>0.48240870000000002</v>
      </c>
      <c r="F2645" t="s">
        <v>41</v>
      </c>
      <c r="G2645">
        <v>-235.88810000000001</v>
      </c>
      <c r="H2645">
        <v>-0.05</v>
      </c>
      <c r="I2645">
        <v>229.84370000000001</v>
      </c>
      <c r="J2645">
        <v>-428.10489999999999</v>
      </c>
      <c r="K2645">
        <v>1.1209499999999999</v>
      </c>
      <c r="L2645">
        <v>213.0789</v>
      </c>
      <c r="M2645">
        <v>0.99961420000000001</v>
      </c>
      <c r="N2645">
        <v>-7.3500190000000002E-3</v>
      </c>
      <c r="O2645">
        <v>2.6785529999999998E-2</v>
      </c>
      <c r="P2645">
        <v>0.9775488</v>
      </c>
      <c r="Q2645">
        <v>0.20854349999999999</v>
      </c>
      <c r="R2645">
        <v>3.013586E-2</v>
      </c>
      <c r="S2645">
        <v>3.063812</v>
      </c>
      <c r="T2645">
        <v>-1.8630979999999998E-2</v>
      </c>
      <c r="U2645">
        <v>0.2668915</v>
      </c>
      <c r="V2645">
        <v>-4.1791329999999998E-3</v>
      </c>
      <c r="W2645">
        <v>0.2157222</v>
      </c>
      <c r="X2645">
        <v>0.97644589999999998</v>
      </c>
      <c r="Y2645">
        <v>-6.0063520000000002E-2</v>
      </c>
      <c r="Z2645">
        <v>4.3750350000000001E-4</v>
      </c>
      <c r="AA2645">
        <v>0.99819449999999998</v>
      </c>
      <c r="AB2645">
        <v>34</v>
      </c>
      <c r="AC2645">
        <v>192.21680000000001</v>
      </c>
      <c r="AD2645">
        <v>-1.1709499999999999</v>
      </c>
      <c r="AE2645">
        <v>16.764800000000001</v>
      </c>
      <c r="AF2645">
        <v>-11.609589091540901</v>
      </c>
      <c r="AG2645">
        <v>-1.1709499999999999</v>
      </c>
      <c r="AH2645">
        <v>192.589802601511</v>
      </c>
      <c r="AI2645">
        <v>90.347724036813702</v>
      </c>
      <c r="AJ2645">
        <v>93.449697116861998</v>
      </c>
      <c r="AK2645">
        <v>192.942959832345</v>
      </c>
      <c r="AL2645">
        <v>77.542100182412497</v>
      </c>
      <c r="AM2645">
        <v>90.245221185203704</v>
      </c>
      <c r="AN2645">
        <v>1.00000006417613</v>
      </c>
    </row>
    <row r="2646" spans="1:40" x14ac:dyDescent="0.25">
      <c r="A2646" t="str">
        <f>"20190303171028704"</f>
        <v>20190303171028704</v>
      </c>
      <c r="B2646" t="str">
        <f>"1551604228693398"</f>
        <v>1551604228693398</v>
      </c>
      <c r="C2646" t="s">
        <v>40</v>
      </c>
      <c r="D2646">
        <v>4.7847520000000001</v>
      </c>
      <c r="E2646">
        <v>0.4823751</v>
      </c>
      <c r="F2646" t="s">
        <v>41</v>
      </c>
      <c r="G2646">
        <v>-208.054</v>
      </c>
      <c r="H2646">
        <v>-0.05</v>
      </c>
      <c r="I2646">
        <v>232.15559999999999</v>
      </c>
      <c r="J2646">
        <v>-427.75569999999999</v>
      </c>
      <c r="K2646">
        <v>1.1209279999999999</v>
      </c>
      <c r="L2646">
        <v>213.08869999999999</v>
      </c>
      <c r="M2646">
        <v>0.99960249999999995</v>
      </c>
      <c r="N2646">
        <v>-7.3401730000000002E-3</v>
      </c>
      <c r="O2646">
        <v>2.7223750000000001E-2</v>
      </c>
      <c r="P2646">
        <v>0.97741960000000006</v>
      </c>
      <c r="Q2646">
        <v>0.20921339999999999</v>
      </c>
      <c r="R2646">
        <v>2.968413E-2</v>
      </c>
      <c r="S2646">
        <v>3.0641780000000001</v>
      </c>
      <c r="T2646">
        <v>-1.630533E-2</v>
      </c>
      <c r="U2646">
        <v>0.2656403</v>
      </c>
      <c r="V2646">
        <v>-3.293987E-3</v>
      </c>
      <c r="W2646">
        <v>0.21638189999999999</v>
      </c>
      <c r="X2646">
        <v>0.97630320000000004</v>
      </c>
      <c r="Y2646">
        <v>-5.9211529999999998E-2</v>
      </c>
      <c r="Z2646">
        <v>4.29966E-4</v>
      </c>
      <c r="AA2646">
        <v>0.99824539999999995</v>
      </c>
      <c r="AB2646">
        <v>34</v>
      </c>
      <c r="AC2646">
        <v>219.70169999999999</v>
      </c>
      <c r="AD2646">
        <v>-1.170928</v>
      </c>
      <c r="AE2646">
        <v>19.0669</v>
      </c>
      <c r="AF2646">
        <v>-13.078199269621701</v>
      </c>
      <c r="AG2646">
        <v>-1.170928</v>
      </c>
      <c r="AH2646">
        <v>220.133146830638</v>
      </c>
      <c r="AI2646">
        <v>90.304227317184598</v>
      </c>
      <c r="AJ2646">
        <v>93.399969015478206</v>
      </c>
      <c r="AK2646">
        <v>220.524403869677</v>
      </c>
      <c r="AL2646">
        <v>77.503386491922697</v>
      </c>
      <c r="AM2646">
        <v>90.193311705560703</v>
      </c>
      <c r="AN2646">
        <v>0.99999995766410199</v>
      </c>
    </row>
    <row r="2647" spans="1:40" x14ac:dyDescent="0.25">
      <c r="A2647" t="str">
        <f>"20190303171028725"</f>
        <v>20190303171028725</v>
      </c>
      <c r="B2647" t="str">
        <f>"1551604228712918"</f>
        <v>1551604228712918</v>
      </c>
      <c r="C2647" t="s">
        <v>40</v>
      </c>
      <c r="D2647">
        <v>4.8447779999999998</v>
      </c>
      <c r="E2647">
        <v>0.48235899999999998</v>
      </c>
      <c r="F2647" t="s">
        <v>42</v>
      </c>
      <c r="G2647">
        <v>-200.29689999999999</v>
      </c>
      <c r="H2647">
        <v>7.9985749999999994E-2</v>
      </c>
      <c r="I2647">
        <v>232.8039</v>
      </c>
      <c r="J2647">
        <v>-427.4359</v>
      </c>
      <c r="K2647">
        <v>1.120908</v>
      </c>
      <c r="L2647">
        <v>213.09780000000001</v>
      </c>
      <c r="M2647">
        <v>0.99959180000000003</v>
      </c>
      <c r="N2647">
        <v>-7.3283719999999997E-3</v>
      </c>
      <c r="O2647">
        <v>2.7623399999999999E-2</v>
      </c>
      <c r="P2647">
        <v>0.9774176</v>
      </c>
      <c r="Q2647">
        <v>0.2092967</v>
      </c>
      <c r="R2647">
        <v>2.9157990000000002E-2</v>
      </c>
      <c r="S2647">
        <v>3.0642399999999999</v>
      </c>
      <c r="T2647">
        <v>-1.402318E-2</v>
      </c>
      <c r="U2647">
        <v>0.26559450000000001</v>
      </c>
      <c r="V2647">
        <v>-2.3707849999999998E-3</v>
      </c>
      <c r="W2647">
        <v>0.2164546</v>
      </c>
      <c r="X2647">
        <v>0.97628979999999999</v>
      </c>
      <c r="Y2647">
        <v>-5.8796349999999997E-2</v>
      </c>
      <c r="Z2647">
        <v>4.2614509999999999E-4</v>
      </c>
      <c r="AA2647">
        <v>0.99826990000000004</v>
      </c>
      <c r="AB2647">
        <v>34</v>
      </c>
      <c r="AC2647">
        <v>227.13900000000001</v>
      </c>
      <c r="AD2647">
        <v>-1.0409222499999999</v>
      </c>
      <c r="AE2647">
        <v>19.7060999999999</v>
      </c>
      <c r="AF2647">
        <v>-13.4237816603566</v>
      </c>
      <c r="AG2647">
        <v>-1.0409222499999999</v>
      </c>
      <c r="AH2647">
        <v>227.591939254533</v>
      </c>
      <c r="AI2647">
        <v>90.261593481546797</v>
      </c>
      <c r="AJ2647">
        <v>93.375497400355201</v>
      </c>
      <c r="AK2647">
        <v>227.98985119262301</v>
      </c>
      <c r="AL2647">
        <v>77.499120437294494</v>
      </c>
      <c r="AM2647">
        <v>90.139134617229701</v>
      </c>
      <c r="AN2647">
        <v>0.99999999403335804</v>
      </c>
    </row>
    <row r="2648" spans="1:40" x14ac:dyDescent="0.25">
      <c r="A2648" t="str">
        <f>"20190303171028748"</f>
        <v>20190303171028748</v>
      </c>
      <c r="B2648" t="str">
        <f>"1551604228743680"</f>
        <v>1551604228743680</v>
      </c>
      <c r="C2648" t="s">
        <v>40</v>
      </c>
      <c r="D2648">
        <v>4.784179</v>
      </c>
      <c r="E2648">
        <v>0.48234700000000003</v>
      </c>
      <c r="F2648" t="s">
        <v>42</v>
      </c>
      <c r="G2648">
        <v>-201.35929999999999</v>
      </c>
      <c r="H2648">
        <v>7.9985870000000001E-2</v>
      </c>
      <c r="I2648">
        <v>232.59620000000001</v>
      </c>
      <c r="J2648">
        <v>-427.07990000000001</v>
      </c>
      <c r="K2648">
        <v>1.1208830000000001</v>
      </c>
      <c r="L2648">
        <v>213.10810000000001</v>
      </c>
      <c r="M2648">
        <v>0.99957929999999995</v>
      </c>
      <c r="N2648">
        <v>-7.3118080000000004E-3</v>
      </c>
      <c r="O2648">
        <v>2.807047E-2</v>
      </c>
      <c r="P2648">
        <v>0.97750930000000003</v>
      </c>
      <c r="Q2648">
        <v>0.2089473</v>
      </c>
      <c r="R2648">
        <v>2.8575050000000001E-2</v>
      </c>
      <c r="S2648">
        <v>3.0644230000000001</v>
      </c>
      <c r="T2648">
        <v>-1.4109490000000001E-2</v>
      </c>
      <c r="U2648">
        <v>0.26429750000000002</v>
      </c>
      <c r="V2648">
        <v>-1.3420699999999999E-3</v>
      </c>
      <c r="W2648">
        <v>0.21609100000000001</v>
      </c>
      <c r="X2648">
        <v>0.97637229999999997</v>
      </c>
      <c r="Y2648">
        <v>-5.7925339999999999E-2</v>
      </c>
      <c r="Z2648">
        <v>4.2127089999999999E-4</v>
      </c>
      <c r="AA2648">
        <v>0.99832080000000001</v>
      </c>
      <c r="AB2648">
        <v>34</v>
      </c>
      <c r="AC2648">
        <v>225.72059999999999</v>
      </c>
      <c r="AD2648">
        <v>-1.0408971300000001</v>
      </c>
      <c r="AE2648">
        <v>19.488099999999999</v>
      </c>
      <c r="AF2648">
        <v>-13.143890694771301</v>
      </c>
      <c r="AG2648">
        <v>-1.0408971300000001</v>
      </c>
      <c r="AH2648">
        <v>226.173929926309</v>
      </c>
      <c r="AI2648">
        <v>90.263240507383003</v>
      </c>
      <c r="AJ2648">
        <v>93.325950906806099</v>
      </c>
      <c r="AK2648">
        <v>226.557921750139</v>
      </c>
      <c r="AL2648">
        <v>77.520458193977802</v>
      </c>
      <c r="AM2648">
        <v>90.078755714785402</v>
      </c>
      <c r="AN2648">
        <v>0.99999999482008695</v>
      </c>
    </row>
    <row r="2649" spans="1:40" x14ac:dyDescent="0.25">
      <c r="A2649" t="str">
        <f>"20190303171028771"</f>
        <v>20190303171028771</v>
      </c>
      <c r="B2649" t="str">
        <f>"1551604228763200"</f>
        <v>1551604228763200</v>
      </c>
      <c r="C2649" t="s">
        <v>40</v>
      </c>
      <c r="D2649">
        <v>4.8411330000000001</v>
      </c>
      <c r="E2649">
        <v>0.48240859999999902</v>
      </c>
      <c r="F2649" t="s">
        <v>41</v>
      </c>
      <c r="G2649">
        <v>-199.09209999999999</v>
      </c>
      <c r="H2649">
        <v>-0.05</v>
      </c>
      <c r="I2649">
        <v>232.643</v>
      </c>
      <c r="J2649">
        <v>-426.73340000000002</v>
      </c>
      <c r="K2649">
        <v>1.120868</v>
      </c>
      <c r="L2649">
        <v>213.1182</v>
      </c>
      <c r="M2649">
        <v>0.99956710000000004</v>
      </c>
      <c r="N2649">
        <v>-7.2954600000000001E-3</v>
      </c>
      <c r="O2649">
        <v>2.8508559999999999E-2</v>
      </c>
      <c r="P2649">
        <v>0.97760990000000003</v>
      </c>
      <c r="Q2649">
        <v>0.20852950000000001</v>
      </c>
      <c r="R2649">
        <v>2.8189550000000001E-2</v>
      </c>
      <c r="S2649">
        <v>3.0647890000000002</v>
      </c>
      <c r="T2649">
        <v>-1.5739920000000001E-2</v>
      </c>
      <c r="U2649">
        <v>0.2626038</v>
      </c>
      <c r="V2649">
        <v>-5.2178510000000001E-4</v>
      </c>
      <c r="W2649">
        <v>0.2156584</v>
      </c>
      <c r="X2649">
        <v>0.97646869999999997</v>
      </c>
      <c r="Y2649">
        <v>-5.6929630000000002E-2</v>
      </c>
      <c r="Z2649">
        <v>4.1557550000000001E-4</v>
      </c>
      <c r="AA2649">
        <v>0.99837810000000005</v>
      </c>
      <c r="AB2649">
        <v>34</v>
      </c>
      <c r="AC2649">
        <v>227.6413</v>
      </c>
      <c r="AD2649">
        <v>-1.170868</v>
      </c>
      <c r="AE2649">
        <v>19.524799999999999</v>
      </c>
      <c r="AF2649">
        <v>-13.0266243495618</v>
      </c>
      <c r="AG2649">
        <v>-1.170868</v>
      </c>
      <c r="AH2649">
        <v>228.099418199708</v>
      </c>
      <c r="AI2649">
        <v>90.293626683351405</v>
      </c>
      <c r="AJ2649">
        <v>93.268578065761105</v>
      </c>
      <c r="AK2649">
        <v>228.474087057731</v>
      </c>
      <c r="AL2649">
        <v>77.5458425773367</v>
      </c>
      <c r="AM2649">
        <v>90.030616527900193</v>
      </c>
      <c r="AN2649">
        <v>0.99999996991496898</v>
      </c>
    </row>
    <row r="2650" spans="1:40" x14ac:dyDescent="0.25">
      <c r="A2650" t="str">
        <f>"20190303171028794"</f>
        <v>20190303171028794</v>
      </c>
      <c r="B2650" t="str">
        <f>"1551604228783696"</f>
        <v>1551604228783696</v>
      </c>
      <c r="C2650" t="s">
        <v>40</v>
      </c>
      <c r="D2650">
        <v>4.7808519999999897</v>
      </c>
      <c r="E2650">
        <v>0.50265109999999902</v>
      </c>
      <c r="F2650" t="s">
        <v>41</v>
      </c>
      <c r="G2650">
        <v>-216.75790000000001</v>
      </c>
      <c r="H2650">
        <v>-0.05</v>
      </c>
      <c r="I2650">
        <v>230.9956</v>
      </c>
      <c r="J2650">
        <v>-426.3766</v>
      </c>
      <c r="K2650">
        <v>1.1208640000000001</v>
      </c>
      <c r="L2650">
        <v>213.12880000000001</v>
      </c>
      <c r="M2650">
        <v>0.99955400000000005</v>
      </c>
      <c r="N2650">
        <v>-7.27592E-3</v>
      </c>
      <c r="O2650">
        <v>2.8962640000000001E-2</v>
      </c>
      <c r="P2650">
        <v>0.9775488</v>
      </c>
      <c r="Q2650">
        <v>0.20881839999999999</v>
      </c>
      <c r="R2650">
        <v>2.816604E-2</v>
      </c>
      <c r="S2650">
        <v>3.064819</v>
      </c>
      <c r="T2650">
        <v>-1.7090080000000001E-2</v>
      </c>
      <c r="U2650">
        <v>0.26094060000000002</v>
      </c>
      <c r="V2650" s="1">
        <v>-5.2999240000000002E-5</v>
      </c>
      <c r="W2650">
        <v>0.2159285</v>
      </c>
      <c r="X2650">
        <v>0.97640919999999998</v>
      </c>
      <c r="Y2650">
        <v>-5.5937130000000002E-2</v>
      </c>
      <c r="Z2650">
        <v>4.0884390000000002E-4</v>
      </c>
      <c r="AA2650">
        <v>0.99843419999999905</v>
      </c>
      <c r="AB2650">
        <v>34</v>
      </c>
      <c r="AC2650">
        <v>209.61869999999999</v>
      </c>
      <c r="AD2650">
        <v>-1.1708639999999999</v>
      </c>
      <c r="AE2650">
        <v>17.866799999999898</v>
      </c>
      <c r="AF2650">
        <v>-11.787667530617799</v>
      </c>
      <c r="AG2650">
        <v>-1.1708639999999999</v>
      </c>
      <c r="AH2650">
        <v>210.04173658702101</v>
      </c>
      <c r="AI2650">
        <v>90.3188865234942</v>
      </c>
      <c r="AJ2650">
        <v>93.212103949598102</v>
      </c>
      <c r="AK2650">
        <v>210.37550032456301</v>
      </c>
      <c r="AL2650">
        <v>77.529994239933401</v>
      </c>
      <c r="AM2650">
        <v>90.003110000158102</v>
      </c>
      <c r="AN2650">
        <v>1.0000000228829</v>
      </c>
    </row>
    <row r="2651" spans="1:40" x14ac:dyDescent="0.25">
      <c r="A2651" t="str">
        <f>"20190303171028818"</f>
        <v>20190303171028818</v>
      </c>
      <c r="B2651" t="str">
        <f>"1551604228812975"</f>
        <v>1551604228812975</v>
      </c>
      <c r="C2651" t="s">
        <v>40</v>
      </c>
      <c r="D2651">
        <v>4.8481569999999996</v>
      </c>
      <c r="E2651">
        <v>0.51343700000000003</v>
      </c>
      <c r="F2651" t="s">
        <v>49</v>
      </c>
      <c r="G2651">
        <v>-157.8382</v>
      </c>
      <c r="H2651">
        <v>2.2474430000000001</v>
      </c>
      <c r="I2651">
        <v>221.6816</v>
      </c>
      <c r="J2651">
        <v>-426.00470000000001</v>
      </c>
      <c r="K2651">
        <v>1.1208560000000001</v>
      </c>
      <c r="L2651">
        <v>213.14</v>
      </c>
      <c r="M2651">
        <v>0.9995404</v>
      </c>
      <c r="N2651">
        <v>-7.2478680000000002E-3</v>
      </c>
      <c r="O2651">
        <v>2.9437270000000001E-2</v>
      </c>
      <c r="P2651">
        <v>0.97728000000000004</v>
      </c>
      <c r="Q2651">
        <v>0.210068</v>
      </c>
      <c r="R2651">
        <v>2.8197839999999998E-2</v>
      </c>
      <c r="S2651">
        <v>3.0633240000000002</v>
      </c>
      <c r="T2651">
        <v>1.2851949999999999E-2</v>
      </c>
      <c r="U2651">
        <v>9.7564700000000004E-2</v>
      </c>
      <c r="V2651">
        <v>3.724485E-4</v>
      </c>
      <c r="W2651">
        <v>0.2171495</v>
      </c>
      <c r="X2651">
        <v>0.97613830000000001</v>
      </c>
      <c r="Y2651">
        <v>-2.3981720000000001E-3</v>
      </c>
      <c r="Z2651">
        <v>3.4045780000000001E-4</v>
      </c>
      <c r="AA2651">
        <v>0.99999709999999997</v>
      </c>
      <c r="AB2651">
        <v>35</v>
      </c>
      <c r="AC2651">
        <v>268.16649999999998</v>
      </c>
      <c r="AD2651">
        <v>1.126587</v>
      </c>
      <c r="AE2651">
        <v>8.5416000000000096</v>
      </c>
      <c r="AF2651">
        <v>-0.64359014210020404</v>
      </c>
      <c r="AG2651">
        <v>1.126587</v>
      </c>
      <c r="AH2651">
        <v>268.29699609785501</v>
      </c>
      <c r="AI2651">
        <v>89.759415438054106</v>
      </c>
      <c r="AJ2651">
        <v>90.137440704465703</v>
      </c>
      <c r="AK2651">
        <v>268.30013328671998</v>
      </c>
      <c r="AL2651">
        <v>77.458335788439697</v>
      </c>
      <c r="AM2651">
        <v>89.978138624311299</v>
      </c>
      <c r="AN2651">
        <v>1.0000000123975099</v>
      </c>
    </row>
    <row r="2652" spans="1:40" x14ac:dyDescent="0.25">
      <c r="A2652" t="str">
        <f>"20190303171028838"</f>
        <v>20190303171028838</v>
      </c>
      <c r="B2652" t="str">
        <f>"1551604228823712"</f>
        <v>1551604228823712</v>
      </c>
      <c r="C2652" t="s">
        <v>40</v>
      </c>
      <c r="D2652">
        <v>4.644806</v>
      </c>
      <c r="E2652">
        <v>0.51493239999999996</v>
      </c>
      <c r="F2652" t="s">
        <v>77</v>
      </c>
      <c r="G2652">
        <v>-107.39749999999999</v>
      </c>
      <c r="H2652">
        <v>1.713141</v>
      </c>
      <c r="I2652">
        <v>214.4726</v>
      </c>
      <c r="J2652">
        <v>-425.7079</v>
      </c>
      <c r="K2652">
        <v>1.1208469999999999</v>
      </c>
      <c r="L2652">
        <v>213.1491</v>
      </c>
      <c r="M2652">
        <v>0.99952940000000001</v>
      </c>
      <c r="N2652">
        <v>-7.2203340000000001E-3</v>
      </c>
      <c r="O2652">
        <v>2.981547E-2</v>
      </c>
      <c r="P2652">
        <v>0.97713720000000004</v>
      </c>
      <c r="Q2652">
        <v>0.21079200000000001</v>
      </c>
      <c r="R2652">
        <v>2.7745309999999999E-2</v>
      </c>
      <c r="S2652">
        <v>3.0681759999999998</v>
      </c>
      <c r="T2652">
        <v>5.7041649999999998E-3</v>
      </c>
      <c r="U2652">
        <v>1.2832639999999999E-2</v>
      </c>
      <c r="V2652">
        <v>1.190506E-3</v>
      </c>
      <c r="W2652">
        <v>0.21784629999999999</v>
      </c>
      <c r="X2652">
        <v>0.97598240000000003</v>
      </c>
      <c r="Y2652">
        <v>2.5634290000000001E-2</v>
      </c>
      <c r="Z2652">
        <v>2.0201299999999999E-4</v>
      </c>
      <c r="AA2652">
        <v>0.99967130000000004</v>
      </c>
      <c r="AB2652">
        <v>35</v>
      </c>
      <c r="AC2652">
        <v>318.31040000000002</v>
      </c>
      <c r="AD2652">
        <v>0.59229399999999999</v>
      </c>
      <c r="AE2652">
        <v>1.3234999999999899</v>
      </c>
      <c r="AF2652">
        <v>8.1678811761933492</v>
      </c>
      <c r="AG2652">
        <v>0.59229399999999999</v>
      </c>
      <c r="AH2652">
        <v>318.20723828470699</v>
      </c>
      <c r="AI2652">
        <v>89.8933879275653</v>
      </c>
      <c r="AJ2652">
        <v>88.529629992441301</v>
      </c>
      <c r="AK2652">
        <v>318.312600428998</v>
      </c>
      <c r="AL2652">
        <v>77.417433213288703</v>
      </c>
      <c r="AM2652">
        <v>89.9301104861581</v>
      </c>
      <c r="AN2652">
        <v>1.00000003641899</v>
      </c>
    </row>
    <row r="2653" spans="1:40" x14ac:dyDescent="0.25">
      <c r="A2653" t="str">
        <f>"20190303171028860"</f>
        <v>20190303171028860</v>
      </c>
      <c r="B2653" t="str">
        <f>"1551604228852992"</f>
        <v>1551604228852992</v>
      </c>
      <c r="C2653" t="s">
        <v>40</v>
      </c>
      <c r="D2653">
        <v>4.7940930000000002</v>
      </c>
      <c r="E2653">
        <v>0.51687399999999994</v>
      </c>
      <c r="F2653" t="s">
        <v>77</v>
      </c>
      <c r="G2653">
        <v>-107.39749999999999</v>
      </c>
      <c r="H2653">
        <v>1.8737189999999999</v>
      </c>
      <c r="I2653">
        <v>213.17599999999999</v>
      </c>
      <c r="J2653">
        <v>-425.3467</v>
      </c>
      <c r="K2653">
        <v>1.120835</v>
      </c>
      <c r="L2653">
        <v>213.16030000000001</v>
      </c>
      <c r="M2653">
        <v>0.99951599999999996</v>
      </c>
      <c r="N2653">
        <v>-7.1857479999999996E-3</v>
      </c>
      <c r="O2653">
        <v>3.0274530000000001E-2</v>
      </c>
      <c r="P2653">
        <v>0.97725850000000003</v>
      </c>
      <c r="Q2653">
        <v>0.2102145</v>
      </c>
      <c r="R2653">
        <v>2.7858569999999999E-2</v>
      </c>
      <c r="S2653">
        <v>3.0686650000000002</v>
      </c>
      <c r="T2653">
        <v>7.2585339999999996E-3</v>
      </c>
      <c r="U2653">
        <v>2.5939939999999997E-4</v>
      </c>
      <c r="V2653">
        <v>1.5311910000000001E-3</v>
      </c>
      <c r="W2653">
        <v>0.2172356</v>
      </c>
      <c r="X2653">
        <v>0.97611800000000004</v>
      </c>
      <c r="Y2653">
        <v>3.01896E-2</v>
      </c>
      <c r="Z2653">
        <v>2.164101E-4</v>
      </c>
      <c r="AA2653">
        <v>0.99954410000000005</v>
      </c>
      <c r="AB2653">
        <v>35</v>
      </c>
      <c r="AC2653">
        <v>317.94920000000002</v>
      </c>
      <c r="AD2653">
        <v>0.752883999999999</v>
      </c>
      <c r="AE2653">
        <v>1.5699999999981101E-2</v>
      </c>
      <c r="AF2653">
        <v>9.6102624231965503</v>
      </c>
      <c r="AG2653">
        <v>0.752883999999999</v>
      </c>
      <c r="AH2653">
        <v>317.80214477593898</v>
      </c>
      <c r="AI2653">
        <v>89.864326638156598</v>
      </c>
      <c r="AJ2653">
        <v>88.2679168825277</v>
      </c>
      <c r="AK2653">
        <v>317.94830901004502</v>
      </c>
      <c r="AL2653">
        <v>77.453281825669904</v>
      </c>
      <c r="AM2653">
        <v>89.9101228437857</v>
      </c>
      <c r="AN2653">
        <v>1.00000000018861</v>
      </c>
    </row>
    <row r="2654" spans="1:40" x14ac:dyDescent="0.25">
      <c r="A2654" t="str">
        <f>"20190303171028883"</f>
        <v>20190303171028883</v>
      </c>
      <c r="B2654" t="str">
        <f>"1551604228873488"</f>
        <v>1551604228873488</v>
      </c>
      <c r="C2654" t="s">
        <v>40</v>
      </c>
      <c r="D2654">
        <v>4.8444430000000001</v>
      </c>
      <c r="E2654">
        <v>0.51769359999999998</v>
      </c>
      <c r="F2654" t="s">
        <v>77</v>
      </c>
      <c r="G2654">
        <v>-107.39749999999999</v>
      </c>
      <c r="H2654">
        <v>1.6261840000000001</v>
      </c>
      <c r="I2654">
        <v>211.6602</v>
      </c>
      <c r="J2654">
        <v>-424.9966</v>
      </c>
      <c r="K2654">
        <v>1.120817</v>
      </c>
      <c r="L2654">
        <v>213.1713</v>
      </c>
      <c r="M2654">
        <v>0.99950269999999997</v>
      </c>
      <c r="N2654">
        <v>-7.1485200000000002E-3</v>
      </c>
      <c r="O2654">
        <v>3.0714979999999999E-2</v>
      </c>
      <c r="P2654">
        <v>0.97742110000000004</v>
      </c>
      <c r="Q2654">
        <v>0.2094326</v>
      </c>
      <c r="R2654">
        <v>2.8036809999999999E-2</v>
      </c>
      <c r="S2654">
        <v>3.0691830000000002</v>
      </c>
      <c r="T2654">
        <v>4.8786400000000001E-3</v>
      </c>
      <c r="U2654">
        <v>-1.448059E-2</v>
      </c>
      <c r="V2654">
        <v>1.7905449999999999E-3</v>
      </c>
      <c r="W2654">
        <v>0.21641869999999999</v>
      </c>
      <c r="X2654">
        <v>0.97629900000000003</v>
      </c>
      <c r="Y2654">
        <v>3.5430199999999898E-2</v>
      </c>
      <c r="Z2654">
        <v>1.699277E-4</v>
      </c>
      <c r="AA2654">
        <v>0.99937209999999999</v>
      </c>
      <c r="AB2654">
        <v>35</v>
      </c>
      <c r="AC2654">
        <v>317.59910000000002</v>
      </c>
      <c r="AD2654">
        <v>0.50536700000000001</v>
      </c>
      <c r="AE2654">
        <v>-1.5110999999999899</v>
      </c>
      <c r="AF2654">
        <v>11.265656966898399</v>
      </c>
      <c r="AG2654">
        <v>0.50536700000000001</v>
      </c>
      <c r="AH2654">
        <v>317.40202571416302</v>
      </c>
      <c r="AI2654">
        <v>89.908831236151897</v>
      </c>
      <c r="AJ2654">
        <v>87.9672349300603</v>
      </c>
      <c r="AK2654">
        <v>317.602292734412</v>
      </c>
      <c r="AL2654">
        <v>77.501227353115695</v>
      </c>
      <c r="AM2654">
        <v>89.894918916742</v>
      </c>
      <c r="AN2654">
        <v>0.99999999858104305</v>
      </c>
    </row>
    <row r="2655" spans="1:40" x14ac:dyDescent="0.25">
      <c r="A2655" t="str">
        <f>"20190303171028905"</f>
        <v>20190303171028905</v>
      </c>
      <c r="B2655" t="str">
        <f>"1551604228893007"</f>
        <v>1551604228893007</v>
      </c>
      <c r="C2655" t="s">
        <v>40</v>
      </c>
      <c r="D2655">
        <v>4.8453160000000004</v>
      </c>
      <c r="E2655">
        <v>0.51842900000000003</v>
      </c>
      <c r="F2655" t="s">
        <v>77</v>
      </c>
      <c r="G2655">
        <v>-107.39749999999999</v>
      </c>
      <c r="H2655">
        <v>1.2047349999999999</v>
      </c>
      <c r="I2655">
        <v>211.0069</v>
      </c>
      <c r="J2655">
        <v>-424.64260000000002</v>
      </c>
      <c r="K2655">
        <v>1.1208020000000001</v>
      </c>
      <c r="L2655">
        <v>213.18260000000001</v>
      </c>
      <c r="M2655">
        <v>0.99948950000000003</v>
      </c>
      <c r="N2655">
        <v>-7.1073239999999999E-3</v>
      </c>
      <c r="O2655">
        <v>3.1149059999999999E-2</v>
      </c>
      <c r="P2655">
        <v>0.97733219999999998</v>
      </c>
      <c r="Q2655">
        <v>0.20980960000000001</v>
      </c>
      <c r="R2655">
        <v>2.8321570000000001E-2</v>
      </c>
      <c r="S2655">
        <v>3.0697329999999998</v>
      </c>
      <c r="T2655">
        <v>8.1157679999999902E-4</v>
      </c>
      <c r="U2655">
        <v>-2.0919799999999999E-2</v>
      </c>
      <c r="V2655">
        <v>1.9299429999999999E-3</v>
      </c>
      <c r="W2655">
        <v>0.21675530000000001</v>
      </c>
      <c r="X2655">
        <v>0.97622410000000004</v>
      </c>
      <c r="Y2655">
        <v>3.7959699999999999E-2</v>
      </c>
      <c r="Z2655" s="1">
        <v>9.9760520000000003E-5</v>
      </c>
      <c r="AA2655">
        <v>0.99927929999999998</v>
      </c>
      <c r="AB2655">
        <v>35</v>
      </c>
      <c r="AC2655">
        <v>317.24509999999998</v>
      </c>
      <c r="AD2655">
        <v>8.3932999999999994E-2</v>
      </c>
      <c r="AE2655">
        <v>-2.1757</v>
      </c>
      <c r="AF2655">
        <v>12.056779405414</v>
      </c>
      <c r="AG2655">
        <v>8.3932999999999994E-2</v>
      </c>
      <c r="AH2655">
        <v>317.02335422705602</v>
      </c>
      <c r="AI2655">
        <v>89.984841708200307</v>
      </c>
      <c r="AJ2655">
        <v>87.822022253593701</v>
      </c>
      <c r="AK2655">
        <v>317.25254939835003</v>
      </c>
      <c r="AL2655">
        <v>77.481473198664702</v>
      </c>
      <c r="AM2655">
        <v>89.886729446093696</v>
      </c>
      <c r="AN2655">
        <v>1.0000000390894399</v>
      </c>
    </row>
    <row r="2656" spans="1:40" x14ac:dyDescent="0.25">
      <c r="A2656" t="str">
        <f>"20190303171028926"</f>
        <v>20190303171028926</v>
      </c>
      <c r="B2656" t="str">
        <f>"1551604228913504"</f>
        <v>1551604228913504</v>
      </c>
      <c r="C2656" t="s">
        <v>40</v>
      </c>
      <c r="D2656">
        <v>4.9049160000000001</v>
      </c>
      <c r="E2656">
        <v>0.51895170000000002</v>
      </c>
      <c r="F2656" t="s">
        <v>77</v>
      </c>
      <c r="G2656">
        <v>-107.39749999999999</v>
      </c>
      <c r="H2656">
        <v>1.1785239999999999</v>
      </c>
      <c r="I2656">
        <v>210.46119999999999</v>
      </c>
      <c r="J2656">
        <v>-424.31420000000003</v>
      </c>
      <c r="K2656">
        <v>1.120787</v>
      </c>
      <c r="L2656">
        <v>213.19309999999999</v>
      </c>
      <c r="M2656">
        <v>0.99947790000000003</v>
      </c>
      <c r="N2656">
        <v>-7.0683159999999998E-3</v>
      </c>
      <c r="O2656">
        <v>3.1532409999999997E-2</v>
      </c>
      <c r="P2656">
        <v>0.97712810000000005</v>
      </c>
      <c r="Q2656">
        <v>0.21075540000000001</v>
      </c>
      <c r="R2656">
        <v>2.833863E-2</v>
      </c>
      <c r="S2656">
        <v>3.0702210000000001</v>
      </c>
      <c r="T2656">
        <v>5.5909160000000005E-4</v>
      </c>
      <c r="U2656">
        <v>-2.633667E-2</v>
      </c>
      <c r="V2656">
        <v>2.2864019999999999E-3</v>
      </c>
      <c r="W2656">
        <v>0.21766199999999999</v>
      </c>
      <c r="X2656">
        <v>0.97602149999999999</v>
      </c>
      <c r="Y2656">
        <v>4.0104750000000002E-2</v>
      </c>
      <c r="Z2656" s="1">
        <v>9.0551910000000004E-5</v>
      </c>
      <c r="AA2656">
        <v>0.99919550000000001</v>
      </c>
      <c r="AB2656">
        <v>35</v>
      </c>
      <c r="AC2656">
        <v>316.91669999999999</v>
      </c>
      <c r="AD2656">
        <v>5.77369999999999E-2</v>
      </c>
      <c r="AE2656">
        <v>-2.7318999999999898</v>
      </c>
      <c r="AF2656">
        <v>12.7239363502069</v>
      </c>
      <c r="AG2656">
        <v>5.77369999999999E-2</v>
      </c>
      <c r="AH2656">
        <v>316.672942944505</v>
      </c>
      <c r="AI2656">
        <v>89.989562040775695</v>
      </c>
      <c r="AJ2656">
        <v>87.699090104335895</v>
      </c>
      <c r="AK2656">
        <v>316.928469347484</v>
      </c>
      <c r="AL2656">
        <v>77.428251613445994</v>
      </c>
      <c r="AM2656">
        <v>89.865780676715104</v>
      </c>
      <c r="AN2656">
        <v>0.99999997117017703</v>
      </c>
    </row>
    <row r="2657" spans="1:40" x14ac:dyDescent="0.25">
      <c r="A2657" t="str">
        <f>"20190303171028949"</f>
        <v>20190303171028949</v>
      </c>
      <c r="B2657" t="str">
        <f>"1551604228943760"</f>
        <v>1551604228943760</v>
      </c>
      <c r="C2657" t="s">
        <v>40</v>
      </c>
      <c r="D2657">
        <v>4.7179019999999996</v>
      </c>
      <c r="E2657">
        <v>0.51970050000000001</v>
      </c>
      <c r="F2657" t="s">
        <v>77</v>
      </c>
      <c r="G2657">
        <v>-107.39749999999999</v>
      </c>
      <c r="H2657">
        <v>1.387267</v>
      </c>
      <c r="I2657">
        <v>210.13310000000001</v>
      </c>
      <c r="J2657">
        <v>-423.952</v>
      </c>
      <c r="K2657">
        <v>1.120762</v>
      </c>
      <c r="L2657">
        <v>213.20500000000001</v>
      </c>
      <c r="M2657">
        <v>0.99946570000000001</v>
      </c>
      <c r="N2657">
        <v>-7.0249650000000002E-3</v>
      </c>
      <c r="O2657">
        <v>3.1922029999999997E-2</v>
      </c>
      <c r="P2657">
        <v>0.97692610000000002</v>
      </c>
      <c r="Q2657">
        <v>0.2116644</v>
      </c>
      <c r="R2657">
        <v>2.8524020000000001E-2</v>
      </c>
      <c r="S2657">
        <v>3.0704959999999999</v>
      </c>
      <c r="T2657">
        <v>2.5823119999999998E-3</v>
      </c>
      <c r="U2657">
        <v>-2.964783E-2</v>
      </c>
      <c r="V2657">
        <v>2.4858530000000001E-3</v>
      </c>
      <c r="W2657">
        <v>0.2185271</v>
      </c>
      <c r="X2657">
        <v>0.97582769999999996</v>
      </c>
      <c r="Y2657">
        <v>4.1570790000000003E-2</v>
      </c>
      <c r="Z2657">
        <v>1.2257049999999999E-4</v>
      </c>
      <c r="AA2657">
        <v>0.99913560000000001</v>
      </c>
      <c r="AB2657">
        <v>35</v>
      </c>
      <c r="AC2657">
        <v>316.55450000000002</v>
      </c>
      <c r="AD2657">
        <v>0.26650499999999999</v>
      </c>
      <c r="AE2657">
        <v>-3.0718999999999901</v>
      </c>
      <c r="AF2657">
        <v>13.175636365614601</v>
      </c>
      <c r="AG2657">
        <v>0.26650499999999999</v>
      </c>
      <c r="AH2657">
        <v>316.29487602005503</v>
      </c>
      <c r="AI2657">
        <v>89.951765335805206</v>
      </c>
      <c r="AJ2657">
        <v>87.614655756361401</v>
      </c>
      <c r="AK2657">
        <v>316.569292596575</v>
      </c>
      <c r="AL2657">
        <v>77.377462612204994</v>
      </c>
      <c r="AM2657">
        <v>89.854043313898103</v>
      </c>
      <c r="AN2657">
        <v>0.99999998649341804</v>
      </c>
    </row>
    <row r="2658" spans="1:40" x14ac:dyDescent="0.25">
      <c r="A2658" t="str">
        <f>"20190303171028984"</f>
        <v>20190303171028984</v>
      </c>
      <c r="B2658" t="str">
        <f>"1551604228973044"</f>
        <v>1551604228973044</v>
      </c>
      <c r="C2658" t="s">
        <v>40</v>
      </c>
      <c r="D2658">
        <v>4.844957</v>
      </c>
      <c r="E2658">
        <v>0.52004329999999999</v>
      </c>
      <c r="F2658" t="s">
        <v>50</v>
      </c>
      <c r="G2658">
        <v>-167.49709999999999</v>
      </c>
      <c r="H2658">
        <v>1.420374</v>
      </c>
      <c r="I2658">
        <v>210.23609999999999</v>
      </c>
      <c r="J2658">
        <v>-423.40269999999998</v>
      </c>
      <c r="K2658">
        <v>1.1207020000000001</v>
      </c>
      <c r="L2658">
        <v>213.22300000000001</v>
      </c>
      <c r="M2658">
        <v>0.99945019999999996</v>
      </c>
      <c r="N2658">
        <v>-6.9649660000000004E-3</v>
      </c>
      <c r="O2658">
        <v>3.2418580000000002E-2</v>
      </c>
      <c r="P2658">
        <v>0.97695549999999998</v>
      </c>
      <c r="Q2658">
        <v>0.21127460000000001</v>
      </c>
      <c r="R2658">
        <v>3.034914E-2</v>
      </c>
      <c r="S2658">
        <v>3.0711059999999999</v>
      </c>
      <c r="T2658">
        <v>3.588319E-3</v>
      </c>
      <c r="U2658">
        <v>-3.5552979999999998E-2</v>
      </c>
      <c r="V2658">
        <v>1.1754669999999999E-3</v>
      </c>
      <c r="W2658">
        <v>0.21807850000000001</v>
      </c>
      <c r="X2658">
        <v>0.97593050000000003</v>
      </c>
      <c r="Y2658">
        <v>4.3986009999999999E-2</v>
      </c>
      <c r="Z2658">
        <v>1.361906E-4</v>
      </c>
      <c r="AA2658">
        <v>0.99903209999999998</v>
      </c>
      <c r="AB2658">
        <v>35</v>
      </c>
      <c r="AC2658">
        <v>255.90559999999999</v>
      </c>
      <c r="AD2658">
        <v>0.29967199999999899</v>
      </c>
      <c r="AE2658">
        <v>-2.9868999999999901</v>
      </c>
      <c r="AF2658">
        <v>11.2816111429801</v>
      </c>
      <c r="AG2658">
        <v>0.29967199999999899</v>
      </c>
      <c r="AH2658">
        <v>255.67390036283001</v>
      </c>
      <c r="AI2658">
        <v>89.9329096858512</v>
      </c>
      <c r="AJ2658">
        <v>87.473462549673599</v>
      </c>
      <c r="AK2658">
        <v>255.92285532955299</v>
      </c>
      <c r="AL2658">
        <v>77.403800629843204</v>
      </c>
      <c r="AM2658">
        <v>89.930989690875904</v>
      </c>
      <c r="AN2658">
        <v>0.99999997735758295</v>
      </c>
    </row>
    <row r="2659" spans="1:40" x14ac:dyDescent="0.25">
      <c r="A2659" t="str">
        <f>"20190303171029007"</f>
        <v>20190303171029007</v>
      </c>
      <c r="B2659" t="str">
        <f>"1551604228993535"</f>
        <v>1551604228993535</v>
      </c>
      <c r="C2659" t="s">
        <v>40</v>
      </c>
      <c r="D2659">
        <v>4.7890490000000003</v>
      </c>
      <c r="E2659">
        <v>0.52026130000000004</v>
      </c>
      <c r="F2659" t="s">
        <v>50</v>
      </c>
      <c r="G2659">
        <v>-151.66849999999999</v>
      </c>
      <c r="H2659">
        <v>1.2631129999999999</v>
      </c>
      <c r="I2659">
        <v>210.191</v>
      </c>
      <c r="J2659">
        <v>-423.0403</v>
      </c>
      <c r="K2659">
        <v>1.120655</v>
      </c>
      <c r="L2659">
        <v>213.23500000000001</v>
      </c>
      <c r="M2659">
        <v>0.99944189999999999</v>
      </c>
      <c r="N2659">
        <v>-6.9309069999999896E-3</v>
      </c>
      <c r="O2659">
        <v>3.2678369999999998E-2</v>
      </c>
      <c r="P2659">
        <v>0.97680210000000001</v>
      </c>
      <c r="Q2659">
        <v>0.2118353</v>
      </c>
      <c r="R2659">
        <v>3.1365299999999999E-2</v>
      </c>
      <c r="S2659">
        <v>3.071472</v>
      </c>
      <c r="T2659">
        <v>1.610041E-3</v>
      </c>
      <c r="U2659">
        <v>-3.4271240000000001E-2</v>
      </c>
      <c r="V2659">
        <v>4.3009040000000003E-4</v>
      </c>
      <c r="W2659">
        <v>0.2186043</v>
      </c>
      <c r="X2659">
        <v>0.9758135</v>
      </c>
      <c r="Y2659">
        <v>4.382755E-2</v>
      </c>
      <c r="Z2659">
        <v>1.032317E-4</v>
      </c>
      <c r="AA2659">
        <v>0.99903909999999996</v>
      </c>
      <c r="AB2659">
        <v>35</v>
      </c>
      <c r="AC2659">
        <v>271.37180000000001</v>
      </c>
      <c r="AD2659">
        <v>0.142457999999999</v>
      </c>
      <c r="AE2659">
        <v>-3.04400000000004</v>
      </c>
      <c r="AF2659">
        <v>11.9105718823108</v>
      </c>
      <c r="AG2659">
        <v>0.142457999999999</v>
      </c>
      <c r="AH2659">
        <v>271.12730858423203</v>
      </c>
      <c r="AI2659">
        <v>89.969924177062893</v>
      </c>
      <c r="AJ2659">
        <v>87.484624387115105</v>
      </c>
      <c r="AK2659">
        <v>271.38883447366601</v>
      </c>
      <c r="AL2659">
        <v>77.372930033015507</v>
      </c>
      <c r="AM2659">
        <v>89.974746851592599</v>
      </c>
      <c r="AN2659">
        <v>1.00000000586924</v>
      </c>
    </row>
    <row r="2660" spans="1:40" x14ac:dyDescent="0.25">
      <c r="A2660" t="str">
        <f>"20190303171029027"</f>
        <v>20190303171029027</v>
      </c>
      <c r="B2660" t="str">
        <f>"1551604229013056"</f>
        <v>1551604229013056</v>
      </c>
      <c r="C2660" t="s">
        <v>40</v>
      </c>
      <c r="D2660">
        <v>4.7893660000000002</v>
      </c>
      <c r="E2660">
        <v>0.52042659999999996</v>
      </c>
      <c r="F2660" t="s">
        <v>50</v>
      </c>
      <c r="G2660">
        <v>-138.91319999999999</v>
      </c>
      <c r="H2660">
        <v>1.40045</v>
      </c>
      <c r="I2660">
        <v>210.13829999999999</v>
      </c>
      <c r="J2660">
        <v>-422.71249999999998</v>
      </c>
      <c r="K2660">
        <v>1.1206179999999999</v>
      </c>
      <c r="L2660">
        <v>213.24590000000001</v>
      </c>
      <c r="M2660">
        <v>0.99943590000000004</v>
      </c>
      <c r="N2660">
        <v>-6.901211E-3</v>
      </c>
      <c r="O2660">
        <v>3.2867540000000001E-2</v>
      </c>
      <c r="P2660">
        <v>0.97651030000000005</v>
      </c>
      <c r="Q2660">
        <v>0.2131179</v>
      </c>
      <c r="R2660">
        <v>3.1754810000000001E-2</v>
      </c>
      <c r="S2660">
        <v>3.0716549999999998</v>
      </c>
      <c r="T2660">
        <v>3.0251739999999998E-3</v>
      </c>
      <c r="U2660">
        <v>-3.3477779999999999E-2</v>
      </c>
      <c r="V2660">
        <v>2.3536379999999999E-4</v>
      </c>
      <c r="W2660">
        <v>0.21985579999999999</v>
      </c>
      <c r="X2660">
        <v>0.97553239999999997</v>
      </c>
      <c r="Y2660">
        <v>4.3757879999999999E-2</v>
      </c>
      <c r="Z2660">
        <v>1.2975810000000001E-4</v>
      </c>
      <c r="AA2660">
        <v>0.99904219999999999</v>
      </c>
      <c r="AB2660">
        <v>36</v>
      </c>
      <c r="AC2660">
        <v>283.79930000000002</v>
      </c>
      <c r="AD2660">
        <v>0.27983199999999903</v>
      </c>
      <c r="AE2660">
        <v>-3.1076000000000099</v>
      </c>
      <c r="AF2660">
        <v>12.4339157323703</v>
      </c>
      <c r="AG2660">
        <v>0.27983199999999903</v>
      </c>
      <c r="AH2660">
        <v>283.543543368813</v>
      </c>
      <c r="AI2660">
        <v>89.943508522252102</v>
      </c>
      <c r="AJ2660">
        <v>87.489081360395105</v>
      </c>
      <c r="AK2660">
        <v>283.816175635798</v>
      </c>
      <c r="AL2660">
        <v>77.299437012750701</v>
      </c>
      <c r="AM2660">
        <v>89.986176417996404</v>
      </c>
      <c r="AN2660">
        <v>1.00000004581975</v>
      </c>
    </row>
    <row r="2661" spans="1:40" x14ac:dyDescent="0.25">
      <c r="A2661" t="str">
        <f>"20190303171029050"</f>
        <v>20190303171029050</v>
      </c>
      <c r="B2661" t="str">
        <f>"1551604229043312"</f>
        <v>1551604229043312</v>
      </c>
      <c r="C2661" t="s">
        <v>40</v>
      </c>
      <c r="D2661">
        <v>4.6574770000000001</v>
      </c>
      <c r="E2661">
        <v>0.52069220000000005</v>
      </c>
      <c r="F2661" t="s">
        <v>50</v>
      </c>
      <c r="G2661">
        <v>-138.91329999999999</v>
      </c>
      <c r="H2661">
        <v>1.71874199999999</v>
      </c>
      <c r="I2661">
        <v>210.16980000000001</v>
      </c>
      <c r="J2661">
        <v>-422.35320000000002</v>
      </c>
      <c r="K2661">
        <v>1.1205719999999999</v>
      </c>
      <c r="L2661">
        <v>213.25790000000001</v>
      </c>
      <c r="M2661">
        <v>0.99943110000000002</v>
      </c>
      <c r="N2661">
        <v>-6.8683850000000003E-3</v>
      </c>
      <c r="O2661">
        <v>3.3021519999999999E-2</v>
      </c>
      <c r="P2661">
        <v>0.97646529999999998</v>
      </c>
      <c r="Q2661">
        <v>0.2132164</v>
      </c>
      <c r="R2661">
        <v>3.2470249999999999E-2</v>
      </c>
      <c r="S2661">
        <v>3.0718079999999999</v>
      </c>
      <c r="T2661">
        <v>6.4743759999999996E-3</v>
      </c>
      <c r="U2661">
        <v>-3.329468E-2</v>
      </c>
      <c r="V2661">
        <v>-3.0869760000000002E-4</v>
      </c>
      <c r="W2661">
        <v>0.2199218</v>
      </c>
      <c r="X2661">
        <v>0.97551750000000004</v>
      </c>
      <c r="Y2661">
        <v>4.3851500000000002E-2</v>
      </c>
      <c r="Z2661">
        <v>1.920212E-4</v>
      </c>
      <c r="AA2661">
        <v>0.99903799999999998</v>
      </c>
      <c r="AB2661">
        <v>36</v>
      </c>
      <c r="AC2661">
        <v>283.43990000000002</v>
      </c>
      <c r="AD2661">
        <v>0.59816999999999898</v>
      </c>
      <c r="AE2661">
        <v>-3.0880999999999901</v>
      </c>
      <c r="AF2661">
        <v>12.446196916894801</v>
      </c>
      <c r="AG2661">
        <v>0.59816999999999898</v>
      </c>
      <c r="AH2661">
        <v>283.18207896335502</v>
      </c>
      <c r="AI2661">
        <v>89.879090120238899</v>
      </c>
      <c r="AJ2661">
        <v>87.483400391393403</v>
      </c>
      <c r="AK2661">
        <v>283.45609090483703</v>
      </c>
      <c r="AL2661">
        <v>77.295560581437201</v>
      </c>
      <c r="AM2661">
        <v>90.018130960270199</v>
      </c>
      <c r="AN2661">
        <v>1.00000004310784</v>
      </c>
    </row>
    <row r="2662" spans="1:40" x14ac:dyDescent="0.25">
      <c r="A2662" t="str">
        <f>"20190303171029073"</f>
        <v>20190303171029073</v>
      </c>
      <c r="B2662" t="str">
        <f>"1551604229063808"</f>
        <v>1551604229063808</v>
      </c>
      <c r="C2662" t="s">
        <v>40</v>
      </c>
      <c r="D2662">
        <v>4.6238989999999998</v>
      </c>
      <c r="E2662">
        <v>0.52086069999999995</v>
      </c>
      <c r="F2662" t="s">
        <v>50</v>
      </c>
      <c r="G2662">
        <v>-121.25320000000001</v>
      </c>
      <c r="H2662">
        <v>1.695997</v>
      </c>
      <c r="I2662">
        <v>210.10230000000001</v>
      </c>
      <c r="J2662">
        <v>-421.9803</v>
      </c>
      <c r="K2662">
        <v>1.1205229999999999</v>
      </c>
      <c r="L2662">
        <v>213.27029999999999</v>
      </c>
      <c r="M2662">
        <v>0.99942770000000003</v>
      </c>
      <c r="N2662">
        <v>-6.8373080000000003E-3</v>
      </c>
      <c r="O2662">
        <v>3.3130029999999998E-2</v>
      </c>
      <c r="P2662">
        <v>0.97665270000000004</v>
      </c>
      <c r="Q2662">
        <v>0.21230479999999999</v>
      </c>
      <c r="R2662">
        <v>3.280769E-2</v>
      </c>
      <c r="S2662">
        <v>3.0720830000000001</v>
      </c>
      <c r="T2662">
        <v>5.8712959999999998E-3</v>
      </c>
      <c r="U2662">
        <v>-3.2196040000000002E-2</v>
      </c>
      <c r="V2662">
        <v>-5.1208489999999998E-4</v>
      </c>
      <c r="W2662">
        <v>0.21898119999999999</v>
      </c>
      <c r="X2662">
        <v>0.97572890000000001</v>
      </c>
      <c r="Y2662">
        <v>4.3601800000000003E-2</v>
      </c>
      <c r="Z2662">
        <v>1.824459E-4</v>
      </c>
      <c r="AA2662">
        <v>0.99904890000000002</v>
      </c>
      <c r="AB2662">
        <v>36</v>
      </c>
      <c r="AC2662">
        <v>300.72710000000001</v>
      </c>
      <c r="AD2662">
        <v>0.57547400000000004</v>
      </c>
      <c r="AE2662">
        <v>-3.16799999999997</v>
      </c>
      <c r="AF2662">
        <v>13.129543130816201</v>
      </c>
      <c r="AG2662">
        <v>0.57547400000000004</v>
      </c>
      <c r="AH2662">
        <v>300.45594961420602</v>
      </c>
      <c r="AI2662">
        <v>89.890364112495803</v>
      </c>
      <c r="AJ2662">
        <v>87.497839136880998</v>
      </c>
      <c r="AK2662">
        <v>300.743235554389</v>
      </c>
      <c r="AL2662">
        <v>77.350798424593194</v>
      </c>
      <c r="AM2662">
        <v>90.030070136109003</v>
      </c>
      <c r="AN2662">
        <v>0.99999995723979596</v>
      </c>
    </row>
    <row r="2663" spans="1:40" x14ac:dyDescent="0.25">
      <c r="A2663" t="str">
        <f>"20190303171029095"</f>
        <v>20190303171029095</v>
      </c>
      <c r="B2663" t="str">
        <f>"1551604229083331"</f>
        <v>1551604229083331</v>
      </c>
      <c r="C2663" t="s">
        <v>40</v>
      </c>
      <c r="D2663">
        <v>4.7900859999999996</v>
      </c>
      <c r="E2663">
        <v>0.52115059999999902</v>
      </c>
      <c r="F2663" t="s">
        <v>50</v>
      </c>
      <c r="G2663">
        <v>-121.2531</v>
      </c>
      <c r="H2663">
        <v>1.33166299999999</v>
      </c>
      <c r="I2663">
        <v>210.089</v>
      </c>
      <c r="J2663">
        <v>-421.63889999999998</v>
      </c>
      <c r="K2663">
        <v>1.1204670000000001</v>
      </c>
      <c r="L2663">
        <v>213.2817</v>
      </c>
      <c r="M2663">
        <v>0.99942580000000003</v>
      </c>
      <c r="N2663">
        <v>-6.8126509999999899E-3</v>
      </c>
      <c r="O2663">
        <v>3.3192199999999998E-2</v>
      </c>
      <c r="P2663">
        <v>0.97682259999999999</v>
      </c>
      <c r="Q2663">
        <v>0.2116392</v>
      </c>
      <c r="R2663">
        <v>3.2036960000000003E-2</v>
      </c>
      <c r="S2663">
        <v>3.0723569999999998</v>
      </c>
      <c r="T2663">
        <v>2.15745E-3</v>
      </c>
      <c r="U2663">
        <v>-3.2501219999999997E-2</v>
      </c>
      <c r="V2663">
        <v>3.4266800000000002E-4</v>
      </c>
      <c r="W2663">
        <v>0.2182926</v>
      </c>
      <c r="X2663">
        <v>0.97588330000000001</v>
      </c>
      <c r="Y2663">
        <v>4.3762450000000001E-2</v>
      </c>
      <c r="Z2663">
        <v>1.1573930000000001E-4</v>
      </c>
      <c r="AA2663">
        <v>0.99904199999999999</v>
      </c>
      <c r="AB2663">
        <v>36</v>
      </c>
      <c r="AC2663">
        <v>300.38580000000002</v>
      </c>
      <c r="AD2663">
        <v>0.211195999999999</v>
      </c>
      <c r="AE2663">
        <v>-3.1926999999999701</v>
      </c>
      <c r="AF2663">
        <v>13.1616308093593</v>
      </c>
      <c r="AG2663">
        <v>0.211195999999999</v>
      </c>
      <c r="AH2663">
        <v>300.11415235195602</v>
      </c>
      <c r="AI2663">
        <v>89.959718601879999</v>
      </c>
      <c r="AJ2663">
        <v>87.488878843394801</v>
      </c>
      <c r="AK2663">
        <v>300.402692350194</v>
      </c>
      <c r="AL2663">
        <v>77.391230999100003</v>
      </c>
      <c r="AM2663">
        <v>89.979881375808702</v>
      </c>
      <c r="AN2663">
        <v>0.99999999592750399</v>
      </c>
    </row>
    <row r="2664" spans="1:40" x14ac:dyDescent="0.25">
      <c r="A2664" t="str">
        <f>"20190303171029116"</f>
        <v>20190303171029116</v>
      </c>
      <c r="B2664" t="str">
        <f>"1551604229103825"</f>
        <v>1551604229103825</v>
      </c>
      <c r="C2664" t="s">
        <v>40</v>
      </c>
      <c r="D2664">
        <v>4.5733920000000001</v>
      </c>
      <c r="E2664">
        <v>0.52130169999999998</v>
      </c>
      <c r="F2664" t="s">
        <v>50</v>
      </c>
      <c r="G2664">
        <v>-169.39230000000001</v>
      </c>
      <c r="H2664">
        <v>1.066322</v>
      </c>
      <c r="I2664">
        <v>210.20509999999999</v>
      </c>
      <c r="J2664">
        <v>-421.28910000000002</v>
      </c>
      <c r="K2664">
        <v>1.120433</v>
      </c>
      <c r="L2664">
        <v>213.29339999999999</v>
      </c>
      <c r="M2664">
        <v>0.9994248</v>
      </c>
      <c r="N2664">
        <v>-6.79074E-3</v>
      </c>
      <c r="O2664">
        <v>3.3229479999999999E-2</v>
      </c>
      <c r="P2664">
        <v>0.97695370000000004</v>
      </c>
      <c r="Q2664">
        <v>0.21119879999999999</v>
      </c>
      <c r="R2664">
        <v>3.0934759999999999E-2</v>
      </c>
      <c r="S2664">
        <v>3.0726010000000001</v>
      </c>
      <c r="T2664">
        <v>-6.5910820000000001E-4</v>
      </c>
      <c r="U2664">
        <v>-3.7475590000000003E-2</v>
      </c>
      <c r="V2664">
        <v>1.499933E-3</v>
      </c>
      <c r="W2664">
        <v>0.21783189999999999</v>
      </c>
      <c r="X2664">
        <v>0.9759852</v>
      </c>
      <c r="Y2664">
        <v>4.5416079999999998E-2</v>
      </c>
      <c r="Z2664" s="1">
        <v>5.9456670000000001E-5</v>
      </c>
      <c r="AA2664">
        <v>0.99896819999999997</v>
      </c>
      <c r="AB2664">
        <v>36</v>
      </c>
      <c r="AC2664">
        <v>251.89680000000001</v>
      </c>
      <c r="AD2664">
        <v>-5.4110999999999999E-2</v>
      </c>
      <c r="AE2664">
        <v>-3.0882999999999998</v>
      </c>
      <c r="AF2664">
        <v>11.457185537071201</v>
      </c>
      <c r="AG2664">
        <v>-5.4110999999999999E-2</v>
      </c>
      <c r="AH2664">
        <v>251.65504662275001</v>
      </c>
      <c r="AI2664">
        <v>90.012307020328507</v>
      </c>
      <c r="AJ2664">
        <v>87.393275439162906</v>
      </c>
      <c r="AK2664">
        <v>251.91572503345199</v>
      </c>
      <c r="AL2664">
        <v>77.418278729053497</v>
      </c>
      <c r="AM2664">
        <v>89.911945629100998</v>
      </c>
      <c r="AN2664">
        <v>1.00000004853782</v>
      </c>
    </row>
    <row r="2665" spans="1:40" x14ac:dyDescent="0.25">
      <c r="A2665" t="str">
        <f>"20190303171029139"</f>
        <v>20190303171029139</v>
      </c>
      <c r="B2665" t="str">
        <f>"1551604229133104"</f>
        <v>1551604229133104</v>
      </c>
      <c r="C2665" t="s">
        <v>40</v>
      </c>
      <c r="D2665">
        <v>4.5747730000000004</v>
      </c>
      <c r="E2665">
        <v>0.52159089999999997</v>
      </c>
      <c r="F2665" t="s">
        <v>50</v>
      </c>
      <c r="G2665">
        <v>-169.39230000000001</v>
      </c>
      <c r="H2665">
        <v>0.92474369999999995</v>
      </c>
      <c r="I2665">
        <v>209.92580000000001</v>
      </c>
      <c r="J2665">
        <v>-420.91329999999999</v>
      </c>
      <c r="K2665">
        <v>1.120406</v>
      </c>
      <c r="L2665">
        <v>213.30590000000001</v>
      </c>
      <c r="M2665">
        <v>0.99942419999999998</v>
      </c>
      <c r="N2665">
        <v>-6.7707519999999997E-3</v>
      </c>
      <c r="O2665">
        <v>3.3248079999999999E-2</v>
      </c>
      <c r="P2665">
        <v>0.97723439999999995</v>
      </c>
      <c r="Q2665">
        <v>0.2100641</v>
      </c>
      <c r="R2665">
        <v>2.9761610000000001E-2</v>
      </c>
      <c r="S2665">
        <v>3.0725709999999999</v>
      </c>
      <c r="T2665">
        <v>-2.3865700000000002E-3</v>
      </c>
      <c r="U2665">
        <v>-4.1076660000000001E-2</v>
      </c>
      <c r="V2665">
        <v>2.7126199999999998E-3</v>
      </c>
      <c r="W2665">
        <v>0.21667939999999999</v>
      </c>
      <c r="X2665">
        <v>0.97623899999999997</v>
      </c>
      <c r="Y2665">
        <v>4.6605380000000002E-2</v>
      </c>
      <c r="Z2665" s="1">
        <v>2.341928E-5</v>
      </c>
      <c r="AA2665">
        <v>0.99891339999999995</v>
      </c>
      <c r="AB2665">
        <v>36</v>
      </c>
      <c r="AC2665">
        <v>251.52099999999999</v>
      </c>
      <c r="AD2665">
        <v>-0.19566230000000001</v>
      </c>
      <c r="AE2665">
        <v>-3.3800999999999899</v>
      </c>
      <c r="AF2665">
        <v>11.7410060339809</v>
      </c>
      <c r="AG2665">
        <v>-0.19566230000000001</v>
      </c>
      <c r="AH2665">
        <v>251.26939870767799</v>
      </c>
      <c r="AI2665">
        <v>90.044567317861194</v>
      </c>
      <c r="AJ2665">
        <v>87.324699543397699</v>
      </c>
      <c r="AK2665">
        <v>251.54363484959001</v>
      </c>
      <c r="AL2665">
        <v>77.485926718823805</v>
      </c>
      <c r="AM2665">
        <v>89.840795873317504</v>
      </c>
      <c r="AN2665">
        <v>0.99999995290631105</v>
      </c>
    </row>
    <row r="2666" spans="1:40" x14ac:dyDescent="0.25">
      <c r="A2666" t="str">
        <f>"20190303171029161"</f>
        <v>20190303171029161</v>
      </c>
      <c r="B2666" t="str">
        <f>"1551604229153600"</f>
        <v>1551604229153600</v>
      </c>
      <c r="C2666" t="s">
        <v>40</v>
      </c>
      <c r="D2666">
        <v>4.5626220000000002</v>
      </c>
      <c r="E2666">
        <v>0.52169849999999995</v>
      </c>
      <c r="F2666" t="s">
        <v>50</v>
      </c>
      <c r="G2666">
        <v>-169.39240000000001</v>
      </c>
      <c r="H2666">
        <v>0.62077139999999997</v>
      </c>
      <c r="I2666">
        <v>209.44880000000001</v>
      </c>
      <c r="J2666">
        <v>-420.5514</v>
      </c>
      <c r="K2666">
        <v>1.120385</v>
      </c>
      <c r="L2666">
        <v>213.31790000000001</v>
      </c>
      <c r="M2666">
        <v>0.99942410000000004</v>
      </c>
      <c r="N2666">
        <v>-6.7547819999999904E-3</v>
      </c>
      <c r="O2666">
        <v>3.3254310000000002E-2</v>
      </c>
      <c r="P2666">
        <v>0.97743820000000003</v>
      </c>
      <c r="Q2666">
        <v>0.20905199999999999</v>
      </c>
      <c r="R2666">
        <v>3.0203420000000002E-2</v>
      </c>
      <c r="S2666">
        <v>3.0726619999999998</v>
      </c>
      <c r="T2666">
        <v>-6.1032769999999998E-3</v>
      </c>
      <c r="U2666">
        <v>-4.7119139999999997E-2</v>
      </c>
      <c r="V2666">
        <v>2.2930759999999998E-3</v>
      </c>
      <c r="W2666">
        <v>0.21565329999999999</v>
      </c>
      <c r="X2666">
        <v>0.97646730000000004</v>
      </c>
      <c r="Y2666">
        <v>4.857504E-2</v>
      </c>
      <c r="Z2666" s="1">
        <v>-5.372135E-5</v>
      </c>
      <c r="AA2666">
        <v>0.99881949999999997</v>
      </c>
      <c r="AB2666">
        <v>36</v>
      </c>
      <c r="AC2666">
        <v>251.15899999999999</v>
      </c>
      <c r="AD2666">
        <v>-0.49961359999999899</v>
      </c>
      <c r="AE2666">
        <v>-3.8691</v>
      </c>
      <c r="AF2666">
        <v>12.219221409928499</v>
      </c>
      <c r="AG2666">
        <v>-0.49961359999999899</v>
      </c>
      <c r="AH2666">
        <v>250.89042353068999</v>
      </c>
      <c r="AI2666">
        <v>90.113961395457807</v>
      </c>
      <c r="AJ2666">
        <v>87.211702888000303</v>
      </c>
      <c r="AK2666">
        <v>251.18830308161799</v>
      </c>
      <c r="AL2666">
        <v>77.546142157213296</v>
      </c>
      <c r="AM2666">
        <v>89.865450348014605</v>
      </c>
      <c r="AN2666">
        <v>0.99999999598386002</v>
      </c>
    </row>
    <row r="2667" spans="1:40" x14ac:dyDescent="0.25">
      <c r="A2667" t="str">
        <f>"20190303171029184"</f>
        <v>20190303171029184</v>
      </c>
      <c r="B2667" t="str">
        <f>"1551604229173119"</f>
        <v>1551604229173119</v>
      </c>
      <c r="C2667" t="s">
        <v>40</v>
      </c>
      <c r="D2667">
        <v>4.5408429999999997</v>
      </c>
      <c r="E2667">
        <v>0.5218971</v>
      </c>
      <c r="F2667" t="s">
        <v>50</v>
      </c>
      <c r="G2667">
        <v>-169.39230000000001</v>
      </c>
      <c r="H2667">
        <v>0.40189930000000001</v>
      </c>
      <c r="I2667">
        <v>209.42140000000001</v>
      </c>
      <c r="J2667">
        <v>-420.17630000000003</v>
      </c>
      <c r="K2667">
        <v>1.1203609999999999</v>
      </c>
      <c r="L2667">
        <v>213.3304</v>
      </c>
      <c r="M2667">
        <v>0.99942419999999998</v>
      </c>
      <c r="N2667">
        <v>-6.7412590000000003E-3</v>
      </c>
      <c r="O2667">
        <v>3.325525E-2</v>
      </c>
      <c r="P2667">
        <v>0.97731749999999995</v>
      </c>
      <c r="Q2667">
        <v>0.20951800000000001</v>
      </c>
      <c r="R2667">
        <v>3.087293E-2</v>
      </c>
      <c r="S2667">
        <v>3.0726010000000001</v>
      </c>
      <c r="T2667">
        <v>-8.7893009999999994E-3</v>
      </c>
      <c r="U2667">
        <v>-4.7668460000000003E-2</v>
      </c>
      <c r="V2667">
        <v>1.628256E-3</v>
      </c>
      <c r="W2667">
        <v>0.21610489999999999</v>
      </c>
      <c r="X2667">
        <v>0.97636880000000004</v>
      </c>
      <c r="Y2667">
        <v>4.8754680000000002E-2</v>
      </c>
      <c r="Z2667">
        <v>-1.050015E-4</v>
      </c>
      <c r="AA2667">
        <v>0.9988108</v>
      </c>
      <c r="AB2667">
        <v>36</v>
      </c>
      <c r="AC2667">
        <v>250.78399999999999</v>
      </c>
      <c r="AD2667">
        <v>-0.71846169999999998</v>
      </c>
      <c r="AE2667">
        <v>-3.90899999999999</v>
      </c>
      <c r="AF2667">
        <v>12.246811066796001</v>
      </c>
      <c r="AG2667">
        <v>-0.71846169999999998</v>
      </c>
      <c r="AH2667">
        <v>250.513229578742</v>
      </c>
      <c r="AI2667">
        <v>90.164125496642001</v>
      </c>
      <c r="AJ2667">
        <v>87.2012161134287</v>
      </c>
      <c r="AK2667">
        <v>250.81343417467099</v>
      </c>
      <c r="AL2667">
        <v>77.519642655195</v>
      </c>
      <c r="AM2667">
        <v>89.904449926829002</v>
      </c>
      <c r="AN2667">
        <v>1.0000000063175201</v>
      </c>
    </row>
    <row r="2668" spans="1:40" x14ac:dyDescent="0.25">
      <c r="A2668" t="str">
        <f>"20190303171029209"</f>
        <v>20190303171029209</v>
      </c>
      <c r="B2668" t="str">
        <f>"1551604229203376"</f>
        <v>1551604229203376</v>
      </c>
      <c r="C2668" t="s">
        <v>40</v>
      </c>
      <c r="D2668">
        <v>4.5475620000000001</v>
      </c>
      <c r="E2668">
        <v>0.52215979999999995</v>
      </c>
      <c r="F2668" t="s">
        <v>50</v>
      </c>
      <c r="G2668">
        <v>-169.39230000000001</v>
      </c>
      <c r="H2668">
        <v>0.5396919</v>
      </c>
      <c r="I2668">
        <v>209.42230000000001</v>
      </c>
      <c r="J2668">
        <v>-419.79239999999999</v>
      </c>
      <c r="K2668">
        <v>1.1203510000000001</v>
      </c>
      <c r="L2668">
        <v>213.3432</v>
      </c>
      <c r="M2668">
        <v>0.99942430000000004</v>
      </c>
      <c r="N2668">
        <v>-6.7302589999999997E-3</v>
      </c>
      <c r="O2668">
        <v>3.3254010000000001E-2</v>
      </c>
      <c r="P2668">
        <v>0.97720589999999996</v>
      </c>
      <c r="Q2668">
        <v>0.2099153</v>
      </c>
      <c r="R2668">
        <v>3.1691860000000002E-2</v>
      </c>
      <c r="S2668">
        <v>3.0726010000000001</v>
      </c>
      <c r="T2668">
        <v>-7.1139339999999997E-3</v>
      </c>
      <c r="U2668">
        <v>-4.788208E-2</v>
      </c>
      <c r="V2668">
        <v>8.1107909999999996E-4</v>
      </c>
      <c r="W2668">
        <v>0.2164913</v>
      </c>
      <c r="X2668">
        <v>0.97628419999999905</v>
      </c>
      <c r="Y2668">
        <v>4.8822940000000002E-2</v>
      </c>
      <c r="Z2668" s="1">
        <v>-7.3991980000000004E-5</v>
      </c>
      <c r="AA2668">
        <v>0.99880740000000001</v>
      </c>
      <c r="AB2668">
        <v>36</v>
      </c>
      <c r="AC2668">
        <v>250.40010000000001</v>
      </c>
      <c r="AD2668">
        <v>-0.58065909999999998</v>
      </c>
      <c r="AE2668">
        <v>-3.9208999999999801</v>
      </c>
      <c r="AF2668">
        <v>12.2456613311582</v>
      </c>
      <c r="AG2668">
        <v>-0.58065909999999998</v>
      </c>
      <c r="AH2668">
        <v>250.12987224807699</v>
      </c>
      <c r="AI2668">
        <v>90.132848817113</v>
      </c>
      <c r="AJ2668">
        <v>87.197196173847701</v>
      </c>
      <c r="AK2668">
        <v>250.43012274338599</v>
      </c>
      <c r="AL2668">
        <v>77.496966560715194</v>
      </c>
      <c r="AM2668">
        <v>89.952399722755104</v>
      </c>
      <c r="AN2668">
        <v>0.99999998999731798</v>
      </c>
    </row>
    <row r="2669" spans="1:40" x14ac:dyDescent="0.25">
      <c r="A2669" t="str">
        <f>"20190303171029230"</f>
        <v>20190303171029230</v>
      </c>
      <c r="B2669" t="str">
        <f>"1551604229222896"</f>
        <v>1551604229222896</v>
      </c>
      <c r="C2669" t="s">
        <v>40</v>
      </c>
      <c r="D2669">
        <v>4.5483969999999996</v>
      </c>
      <c r="E2669">
        <v>0.52225949999999999</v>
      </c>
      <c r="F2669" t="s">
        <v>50</v>
      </c>
      <c r="G2669">
        <v>-169.39230000000001</v>
      </c>
      <c r="H2669">
        <v>0.66141700000000003</v>
      </c>
      <c r="I2669">
        <v>209.53210000000001</v>
      </c>
      <c r="J2669">
        <v>-419.428</v>
      </c>
      <c r="K2669">
        <v>1.1203369999999999</v>
      </c>
      <c r="L2669">
        <v>213.3554</v>
      </c>
      <c r="M2669">
        <v>0.99942450000000005</v>
      </c>
      <c r="N2669">
        <v>-6.7221619999999899E-3</v>
      </c>
      <c r="O2669">
        <v>3.3252829999999997E-2</v>
      </c>
      <c r="P2669">
        <v>0.97707299999999997</v>
      </c>
      <c r="Q2669">
        <v>0.21040829999999999</v>
      </c>
      <c r="R2669">
        <v>3.2509339999999998E-2</v>
      </c>
      <c r="S2669">
        <v>3.0727540000000002</v>
      </c>
      <c r="T2669">
        <v>-5.6313279999999997E-3</v>
      </c>
      <c r="U2669">
        <v>-4.6768190000000001E-2</v>
      </c>
      <c r="V2669" s="1">
        <v>-6.8275259999999997E-6</v>
      </c>
      <c r="W2669">
        <v>0.21697540000000001</v>
      </c>
      <c r="X2669">
        <v>0.97617699999999996</v>
      </c>
      <c r="Y2669">
        <v>4.8459049999999997E-2</v>
      </c>
      <c r="Z2669" s="1">
        <v>-4.4684129999999997E-5</v>
      </c>
      <c r="AA2669">
        <v>0.99882519999999997</v>
      </c>
      <c r="AB2669">
        <v>36</v>
      </c>
      <c r="AC2669">
        <v>250.03569999999999</v>
      </c>
      <c r="AD2669">
        <v>-0.45891999999999999</v>
      </c>
      <c r="AE2669">
        <v>-3.8232999999999802</v>
      </c>
      <c r="AF2669">
        <v>12.135726004939</v>
      </c>
      <c r="AG2669">
        <v>-0.45891999999999999</v>
      </c>
      <c r="AH2669">
        <v>249.76943735915299</v>
      </c>
      <c r="AI2669">
        <v>90.105149643492794</v>
      </c>
      <c r="AJ2669">
        <v>87.218316639264003</v>
      </c>
      <c r="AK2669">
        <v>250.06450826125101</v>
      </c>
      <c r="AL2669">
        <v>77.468553571866806</v>
      </c>
      <c r="AM2669">
        <v>90.000400735137504</v>
      </c>
      <c r="AN2669">
        <v>0.99999992979038499</v>
      </c>
    </row>
    <row r="2670" spans="1:40" x14ac:dyDescent="0.25">
      <c r="A2670" t="str">
        <f>"20190303171029252"</f>
        <v>20190303171029252</v>
      </c>
      <c r="B2670" t="str">
        <f>"1551604229243392"</f>
        <v>1551604229243392</v>
      </c>
      <c r="C2670" t="s">
        <v>40</v>
      </c>
      <c r="D2670">
        <v>4.731954</v>
      </c>
      <c r="E2670">
        <v>0.52233240000000003</v>
      </c>
      <c r="F2670" t="s">
        <v>50</v>
      </c>
      <c r="G2670">
        <v>-169.39230000000001</v>
      </c>
      <c r="H2670">
        <v>0.80377010000000004</v>
      </c>
      <c r="I2670">
        <v>209.72110000000001</v>
      </c>
      <c r="J2670">
        <v>-419.07990000000001</v>
      </c>
      <c r="K2670">
        <v>1.1203369999999999</v>
      </c>
      <c r="L2670">
        <v>213.36699999999999</v>
      </c>
      <c r="M2670">
        <v>0.99942450000000005</v>
      </c>
      <c r="N2670">
        <v>-6.7163350000000004E-3</v>
      </c>
      <c r="O2670">
        <v>3.3252320000000002E-2</v>
      </c>
      <c r="P2670">
        <v>0.9770451</v>
      </c>
      <c r="Q2670">
        <v>0.21038119999999999</v>
      </c>
      <c r="R2670">
        <v>3.3508839999999998E-2</v>
      </c>
      <c r="S2670">
        <v>3.0727229999999999</v>
      </c>
      <c r="T2670">
        <v>-3.889918E-3</v>
      </c>
      <c r="U2670">
        <v>-4.4662479999999997E-2</v>
      </c>
      <c r="V2670">
        <v>-1.003873E-3</v>
      </c>
      <c r="W2670">
        <v>0.21694240000000001</v>
      </c>
      <c r="X2670">
        <v>0.97618389999999999</v>
      </c>
      <c r="Y2670">
        <v>4.777439E-2</v>
      </c>
      <c r="Z2670" s="1">
        <v>-9.4316059999999994E-6</v>
      </c>
      <c r="AA2670">
        <v>0.99885820000000003</v>
      </c>
      <c r="AB2670">
        <v>37</v>
      </c>
      <c r="AC2670">
        <v>249.6876</v>
      </c>
      <c r="AD2670">
        <v>-0.31656689999999998</v>
      </c>
      <c r="AE2670">
        <v>-3.6459000000000099</v>
      </c>
      <c r="AF2670">
        <v>11.946743078634301</v>
      </c>
      <c r="AG2670">
        <v>-0.31656689999999998</v>
      </c>
      <c r="AH2670">
        <v>249.42787551046001</v>
      </c>
      <c r="AI2670">
        <v>90.0726348982177</v>
      </c>
      <c r="AJ2670">
        <v>87.257823554854696</v>
      </c>
      <c r="AK2670">
        <v>249.71401635961601</v>
      </c>
      <c r="AL2670">
        <v>77.470491485018201</v>
      </c>
      <c r="AM2670">
        <v>90.058920932614697</v>
      </c>
      <c r="AN2670">
        <v>1.0000000096489801</v>
      </c>
    </row>
    <row r="2671" spans="1:40" x14ac:dyDescent="0.25">
      <c r="A2671" t="str">
        <f>"20190303171029273"</f>
        <v>20190303171029273</v>
      </c>
      <c r="B2671" t="str">
        <f>"1551604229262912"</f>
        <v>1551604229262912</v>
      </c>
      <c r="C2671" t="s">
        <v>40</v>
      </c>
      <c r="D2671">
        <v>4.4799920000000002</v>
      </c>
      <c r="E2671">
        <v>0.52290379999999903</v>
      </c>
      <c r="F2671" t="s">
        <v>50</v>
      </c>
      <c r="G2671">
        <v>-169.39230000000001</v>
      </c>
      <c r="H2671">
        <v>0.81206129999999999</v>
      </c>
      <c r="I2671">
        <v>209.89269999999999</v>
      </c>
      <c r="J2671">
        <v>-418.72539999999998</v>
      </c>
      <c r="K2671">
        <v>1.1203320000000001</v>
      </c>
      <c r="L2671">
        <v>213.37880000000001</v>
      </c>
      <c r="M2671">
        <v>0.99942439999999999</v>
      </c>
      <c r="N2671">
        <v>-6.7121230000000004E-3</v>
      </c>
      <c r="O2671">
        <v>3.3252589999999999E-2</v>
      </c>
      <c r="P2671">
        <v>0.97678739999999997</v>
      </c>
      <c r="Q2671">
        <v>0.2114</v>
      </c>
      <c r="R2671">
        <v>3.459193E-2</v>
      </c>
      <c r="S2671">
        <v>3.0727540000000002</v>
      </c>
      <c r="T2671">
        <v>-3.7933590000000001E-3</v>
      </c>
      <c r="U2671">
        <v>-4.2755130000000002E-2</v>
      </c>
      <c r="V2671">
        <v>-2.0916810000000002E-3</v>
      </c>
      <c r="W2671">
        <v>0.2179556</v>
      </c>
      <c r="X2671">
        <v>0.97595639999999995</v>
      </c>
      <c r="Y2671">
        <v>4.7154620000000001E-2</v>
      </c>
      <c r="Z2671" s="1">
        <v>-5.2086980000000002E-6</v>
      </c>
      <c r="AA2671">
        <v>0.99888759999999999</v>
      </c>
      <c r="AB2671">
        <v>37</v>
      </c>
      <c r="AC2671">
        <v>249.3331</v>
      </c>
      <c r="AD2671">
        <v>-0.30827069999999901</v>
      </c>
      <c r="AE2671">
        <v>-3.48610000000002</v>
      </c>
      <c r="AF2671">
        <v>11.7753124884436</v>
      </c>
      <c r="AG2671">
        <v>-0.30827069999999901</v>
      </c>
      <c r="AH2671">
        <v>249.07890236510599</v>
      </c>
      <c r="AI2671">
        <v>90.070832560507</v>
      </c>
      <c r="AJ2671">
        <v>87.2933325595707</v>
      </c>
      <c r="AK2671">
        <v>249.35727905643901</v>
      </c>
      <c r="AL2671">
        <v>77.411015579255107</v>
      </c>
      <c r="AM2671">
        <v>90.122796786713096</v>
      </c>
      <c r="AN2671">
        <v>0.99999995670086195</v>
      </c>
    </row>
    <row r="2672" spans="1:40" x14ac:dyDescent="0.25">
      <c r="A2672" t="str">
        <f>"20190303171029296"</f>
        <v>20190303171029296</v>
      </c>
      <c r="B2672" t="str">
        <f>"1551604229283411"</f>
        <v>1551604229283411</v>
      </c>
      <c r="C2672" t="s">
        <v>40</v>
      </c>
      <c r="D2672">
        <v>4.6323759999999998</v>
      </c>
      <c r="E2672">
        <v>0.52337869999999997</v>
      </c>
      <c r="F2672" t="s">
        <v>50</v>
      </c>
      <c r="G2672">
        <v>-169.39240000000001</v>
      </c>
      <c r="H2672">
        <v>0.96458630000000001</v>
      </c>
      <c r="I2672">
        <v>209.77760000000001</v>
      </c>
      <c r="J2672">
        <v>-418.35390000000001</v>
      </c>
      <c r="K2672">
        <v>1.120325</v>
      </c>
      <c r="L2672">
        <v>213.3912</v>
      </c>
      <c r="M2672">
        <v>0.99942450000000005</v>
      </c>
      <c r="N2672">
        <v>-6.7092549999999999E-3</v>
      </c>
      <c r="O2672">
        <v>3.3253390000000001E-2</v>
      </c>
      <c r="P2672">
        <v>0.97665069999999998</v>
      </c>
      <c r="Q2672">
        <v>0.21206820000000001</v>
      </c>
      <c r="R2672">
        <v>3.4360290000000002E-2</v>
      </c>
      <c r="S2672">
        <v>3.073242</v>
      </c>
      <c r="T2672">
        <v>-1.91927E-3</v>
      </c>
      <c r="U2672">
        <v>-4.4387820000000001E-2</v>
      </c>
      <c r="V2672">
        <v>-1.8610390000000001E-3</v>
      </c>
      <c r="W2672">
        <v>0.21862010000000001</v>
      </c>
      <c r="X2672">
        <v>0.97580829999999996</v>
      </c>
      <c r="Y2672">
        <v>4.768377E-2</v>
      </c>
      <c r="Z2672" s="1">
        <v>2.7489350000000001E-5</v>
      </c>
      <c r="AA2672">
        <v>0.99886249999999999</v>
      </c>
      <c r="AB2672">
        <v>37</v>
      </c>
      <c r="AC2672">
        <v>248.9615</v>
      </c>
      <c r="AD2672">
        <v>-0.15573869999999901</v>
      </c>
      <c r="AE2672">
        <v>-3.6135999999999902</v>
      </c>
      <c r="AF2672">
        <v>11.8905964088272</v>
      </c>
      <c r="AG2672">
        <v>-0.15573869999999901</v>
      </c>
      <c r="AH2672">
        <v>248.703541983614</v>
      </c>
      <c r="AI2672">
        <v>90.035837801194305</v>
      </c>
      <c r="AJ2672">
        <v>87.262754689106302</v>
      </c>
      <c r="AK2672">
        <v>248.98767506183</v>
      </c>
      <c r="AL2672">
        <v>77.372002565195899</v>
      </c>
      <c r="AM2672">
        <v>90.109273051814895</v>
      </c>
      <c r="AN2672">
        <v>1.00000002496952</v>
      </c>
    </row>
    <row r="2673" spans="1:40" x14ac:dyDescent="0.25">
      <c r="A2673" t="str">
        <f>"20190303171029318"</f>
        <v>20190303171029318</v>
      </c>
      <c r="B2673" t="str">
        <f>"1551604229313664"</f>
        <v>1551604229313664</v>
      </c>
      <c r="C2673" t="s">
        <v>40</v>
      </c>
      <c r="D2673">
        <v>4.554659</v>
      </c>
      <c r="E2673">
        <v>0.52392689999999997</v>
      </c>
      <c r="F2673" t="s">
        <v>50</v>
      </c>
      <c r="G2673">
        <v>-169.39250000000001</v>
      </c>
      <c r="H2673">
        <v>1.073904</v>
      </c>
      <c r="I2673">
        <v>209.4545</v>
      </c>
      <c r="J2673">
        <v>-417.98439999999999</v>
      </c>
      <c r="K2673">
        <v>1.1203209999999999</v>
      </c>
      <c r="L2673">
        <v>213.4034</v>
      </c>
      <c r="M2673">
        <v>0.99942439999999999</v>
      </c>
      <c r="N2673">
        <v>-6.7079510000000002E-3</v>
      </c>
      <c r="O2673">
        <v>3.3254680000000002E-2</v>
      </c>
      <c r="P2673">
        <v>0.97655979999999998</v>
      </c>
      <c r="Q2673">
        <v>0.2124548</v>
      </c>
      <c r="R2673">
        <v>3.4553630000000002E-2</v>
      </c>
      <c r="S2673">
        <v>3.073547</v>
      </c>
      <c r="T2673">
        <v>-5.7268140000000004E-4</v>
      </c>
      <c r="U2673">
        <v>-4.8599240000000002E-2</v>
      </c>
      <c r="V2673">
        <v>-2.0544230000000001E-3</v>
      </c>
      <c r="W2673">
        <v>0.21900539999999999</v>
      </c>
      <c r="X2673">
        <v>0.97572150000000002</v>
      </c>
      <c r="Y2673">
        <v>4.9051909999999997E-2</v>
      </c>
      <c r="Z2673" s="1">
        <v>4.7779579999999998E-5</v>
      </c>
      <c r="AA2673">
        <v>0.99879620000000002</v>
      </c>
      <c r="AB2673">
        <v>37</v>
      </c>
      <c r="AC2673">
        <v>248.59190000000001</v>
      </c>
      <c r="AD2673">
        <v>-4.6416999999999702E-2</v>
      </c>
      <c r="AE2673">
        <v>-3.9489000000000001</v>
      </c>
      <c r="AF2673">
        <v>12.2137454540257</v>
      </c>
      <c r="AG2673">
        <v>-4.6416999999999702E-2</v>
      </c>
      <c r="AH2673">
        <v>248.32306914527399</v>
      </c>
      <c r="AI2673">
        <v>90.010696900341699</v>
      </c>
      <c r="AJ2673">
        <v>87.184181954093702</v>
      </c>
      <c r="AK2673">
        <v>248.623257967315</v>
      </c>
      <c r="AL2673">
        <v>77.349378124670906</v>
      </c>
      <c r="AM2673">
        <v>90.120638515485297</v>
      </c>
      <c r="AN2673">
        <v>1.0000000157226301</v>
      </c>
    </row>
    <row r="2674" spans="1:40" x14ac:dyDescent="0.25">
      <c r="A2674" t="str">
        <f>"20190303171029341"</f>
        <v>20190303171029341</v>
      </c>
      <c r="B2674" t="str">
        <f>"1551604229333184"</f>
        <v>1551604229333184</v>
      </c>
      <c r="C2674" t="s">
        <v>40</v>
      </c>
      <c r="D2674">
        <v>4.721247</v>
      </c>
      <c r="E2674">
        <v>0.52427860000000004</v>
      </c>
      <c r="F2674" t="s">
        <v>50</v>
      </c>
      <c r="G2674">
        <v>-169.39259999999999</v>
      </c>
      <c r="H2674">
        <v>1.1399269999999999</v>
      </c>
      <c r="I2674">
        <v>209.19040000000001</v>
      </c>
      <c r="J2674">
        <v>-417.60140000000001</v>
      </c>
      <c r="K2674">
        <v>1.1203160000000001</v>
      </c>
      <c r="L2674">
        <v>213.4162</v>
      </c>
      <c r="M2674">
        <v>0.99942430000000004</v>
      </c>
      <c r="N2674">
        <v>-6.7079499999999999E-3</v>
      </c>
      <c r="O2674">
        <v>3.3256149999999998E-2</v>
      </c>
      <c r="P2674">
        <v>0.97659309999999999</v>
      </c>
      <c r="Q2674">
        <v>0.2122433</v>
      </c>
      <c r="R2674">
        <v>3.4908719999999997E-2</v>
      </c>
      <c r="S2674">
        <v>3.0737920000000001</v>
      </c>
      <c r="T2674">
        <v>2.4282930000000001E-4</v>
      </c>
      <c r="U2674">
        <v>-5.2093510000000003E-2</v>
      </c>
      <c r="V2674">
        <v>-2.40581E-3</v>
      </c>
      <c r="W2674">
        <v>0.21879370000000001</v>
      </c>
      <c r="X2674">
        <v>0.97576810000000003</v>
      </c>
      <c r="Y2674">
        <v>5.0187210000000003E-2</v>
      </c>
      <c r="Z2674" s="1">
        <v>5.935079E-5</v>
      </c>
      <c r="AA2674">
        <v>0.99873979999999996</v>
      </c>
      <c r="AB2674">
        <v>37</v>
      </c>
      <c r="AC2674">
        <v>248.2088</v>
      </c>
      <c r="AD2674">
        <v>1.9611E-2</v>
      </c>
      <c r="AE2674">
        <v>-4.2257999999999898</v>
      </c>
      <c r="AF2674">
        <v>12.4781175795486</v>
      </c>
      <c r="AG2674">
        <v>1.9611E-2</v>
      </c>
      <c r="AH2674">
        <v>247.93096134926</v>
      </c>
      <c r="AI2674">
        <v>89.995473711139297</v>
      </c>
      <c r="AJ2674">
        <v>87.118791727849398</v>
      </c>
      <c r="AK2674">
        <v>248.24476912613599</v>
      </c>
      <c r="AL2674">
        <v>77.361807998498904</v>
      </c>
      <c r="AM2674">
        <v>90.141265614235294</v>
      </c>
      <c r="AN2674">
        <v>0.99999992802952498</v>
      </c>
    </row>
    <row r="2675" spans="1:40" x14ac:dyDescent="0.25">
      <c r="A2675" t="str">
        <f>"20190303171029362"</f>
        <v>20190303171029362</v>
      </c>
      <c r="B2675" t="str">
        <f>"1551604229353680"</f>
        <v>1551604229353680</v>
      </c>
      <c r="C2675" t="s">
        <v>40</v>
      </c>
      <c r="D2675">
        <v>4.7286510000000002</v>
      </c>
      <c r="E2675">
        <v>0.52406809999999904</v>
      </c>
      <c r="F2675" t="s">
        <v>50</v>
      </c>
      <c r="G2675">
        <v>-169.39259999999999</v>
      </c>
      <c r="H2675">
        <v>1.0627979999999999</v>
      </c>
      <c r="I2675">
        <v>209.04480000000001</v>
      </c>
      <c r="J2675">
        <v>-417.24680000000001</v>
      </c>
      <c r="K2675">
        <v>1.120303</v>
      </c>
      <c r="L2675">
        <v>213.428</v>
      </c>
      <c r="M2675">
        <v>0.99942450000000005</v>
      </c>
      <c r="N2675">
        <v>-6.7089630000000001E-3</v>
      </c>
      <c r="O2675">
        <v>3.3256969999999997E-2</v>
      </c>
      <c r="P2675">
        <v>0.97683050000000005</v>
      </c>
      <c r="Q2675">
        <v>0.21116750000000001</v>
      </c>
      <c r="R2675">
        <v>3.4793079999999997E-2</v>
      </c>
      <c r="S2675">
        <v>3.0739749999999999</v>
      </c>
      <c r="T2675">
        <v>-7.1191789999999896E-4</v>
      </c>
      <c r="U2675">
        <v>-5.4138180000000001E-2</v>
      </c>
      <c r="V2675">
        <v>-2.2807449999999998E-3</v>
      </c>
      <c r="W2675">
        <v>0.21772059999999999</v>
      </c>
      <c r="X2675">
        <v>0.97600849999999995</v>
      </c>
      <c r="Y2675">
        <v>5.0851130000000001E-2</v>
      </c>
      <c r="Z2675" s="1">
        <v>3.8936139999999998E-5</v>
      </c>
      <c r="AA2675">
        <v>0.99870619999999999</v>
      </c>
      <c r="AB2675">
        <v>37</v>
      </c>
      <c r="AC2675">
        <v>247.85419999999999</v>
      </c>
      <c r="AD2675">
        <v>-5.7505000000000098E-2</v>
      </c>
      <c r="AE2675">
        <v>-4.38319999999998</v>
      </c>
      <c r="AF2675">
        <v>12.623838267418</v>
      </c>
      <c r="AG2675">
        <v>-5.7505000000000098E-2</v>
      </c>
      <c r="AH2675">
        <v>247.57130082792</v>
      </c>
      <c r="AI2675">
        <v>90.013291196296805</v>
      </c>
      <c r="AJ2675">
        <v>87.080975213186207</v>
      </c>
      <c r="AK2675">
        <v>247.89294784857299</v>
      </c>
      <c r="AL2675">
        <v>77.424812291262796</v>
      </c>
      <c r="AM2675">
        <v>90.133889023286898</v>
      </c>
      <c r="AN2675">
        <v>1.00000002676718</v>
      </c>
    </row>
    <row r="2676" spans="1:40" x14ac:dyDescent="0.25">
      <c r="A2676" t="str">
        <f>"20190303171029385"</f>
        <v>20190303171029385</v>
      </c>
      <c r="B2676" t="str">
        <f>"1551604229373204"</f>
        <v>1551604229373204</v>
      </c>
      <c r="C2676" t="s">
        <v>40</v>
      </c>
      <c r="D2676">
        <v>4.7576049999999999</v>
      </c>
      <c r="E2676">
        <v>0.49115950000000003</v>
      </c>
      <c r="F2676" t="s">
        <v>50</v>
      </c>
      <c r="G2676">
        <v>-169.39250000000001</v>
      </c>
      <c r="H2676">
        <v>0.83559799999999995</v>
      </c>
      <c r="I2676">
        <v>209.1549</v>
      </c>
      <c r="J2676">
        <v>-416.87049999999999</v>
      </c>
      <c r="K2676">
        <v>1.120298</v>
      </c>
      <c r="L2676">
        <v>213.44049999999999</v>
      </c>
      <c r="M2676">
        <v>0.99942439999999999</v>
      </c>
      <c r="N2676">
        <v>-6.711E-3</v>
      </c>
      <c r="O2676">
        <v>3.325815E-2</v>
      </c>
      <c r="P2676">
        <v>0.97691570000000005</v>
      </c>
      <c r="Q2676">
        <v>0.21081169999999999</v>
      </c>
      <c r="R2676">
        <v>3.456029E-2</v>
      </c>
      <c r="S2676">
        <v>3.0737920000000001</v>
      </c>
      <c r="T2676">
        <v>-3.5303829999999998E-3</v>
      </c>
      <c r="U2676">
        <v>-5.2993770000000003E-2</v>
      </c>
      <c r="V2676">
        <v>-2.0435560000000002E-3</v>
      </c>
      <c r="W2676">
        <v>0.21736739999999999</v>
      </c>
      <c r="X2676">
        <v>0.9760877</v>
      </c>
      <c r="Y2676">
        <v>5.0481640000000001E-2</v>
      </c>
      <c r="Z2676" s="1">
        <v>-1.339048E-5</v>
      </c>
      <c r="AA2676">
        <v>0.99872499999999997</v>
      </c>
      <c r="AB2676">
        <v>37</v>
      </c>
      <c r="AC2676">
        <v>247.47800000000001</v>
      </c>
      <c r="AD2676">
        <v>-0.28470000000000001</v>
      </c>
      <c r="AE2676">
        <v>-4.2855999999999801</v>
      </c>
      <c r="AF2676">
        <v>12.514057191826399</v>
      </c>
      <c r="AG2676">
        <v>-0.28470000000000001</v>
      </c>
      <c r="AH2676">
        <v>247.198226361156</v>
      </c>
      <c r="AI2676">
        <v>90.065903545005199</v>
      </c>
      <c r="AJ2676">
        <v>87.101956944704</v>
      </c>
      <c r="AK2676">
        <v>247.514940554285</v>
      </c>
      <c r="AL2676">
        <v>77.445545123318396</v>
      </c>
      <c r="AM2676">
        <v>90.119955371761506</v>
      </c>
      <c r="AN2676">
        <v>0.99999998039758697</v>
      </c>
    </row>
    <row r="2677" spans="1:40" x14ac:dyDescent="0.25">
      <c r="A2677" t="str">
        <f>"20190303171029407"</f>
        <v>20190303171029407</v>
      </c>
      <c r="B2677" t="str">
        <f>"1551604229403456"</f>
        <v>1551604229403456</v>
      </c>
      <c r="C2677" t="s">
        <v>40</v>
      </c>
      <c r="D2677">
        <v>4.7017160000000002</v>
      </c>
      <c r="E2677">
        <v>0.4841028</v>
      </c>
      <c r="F2677" t="s">
        <v>49</v>
      </c>
      <c r="G2677">
        <v>-157.25</v>
      </c>
      <c r="H2677">
        <v>6.0545640000000001</v>
      </c>
      <c r="I2677">
        <v>230.9649</v>
      </c>
      <c r="J2677">
        <v>-416.50880000000001</v>
      </c>
      <c r="K2677">
        <v>1.1202939999999999</v>
      </c>
      <c r="L2677">
        <v>213.45249999999999</v>
      </c>
      <c r="M2677">
        <v>0.99942419999999998</v>
      </c>
      <c r="N2677">
        <v>-6.7137500000000001E-3</v>
      </c>
      <c r="O2677">
        <v>3.3259089999999998E-2</v>
      </c>
      <c r="P2677">
        <v>0.9769021</v>
      </c>
      <c r="Q2677">
        <v>0.2109509</v>
      </c>
      <c r="R2677">
        <v>3.4086949999999998E-2</v>
      </c>
      <c r="S2677">
        <v>3.0510860000000002</v>
      </c>
      <c r="T2677">
        <v>5.7988640000000001E-2</v>
      </c>
      <c r="U2677">
        <v>0.20594789999999999</v>
      </c>
      <c r="V2677">
        <v>-1.569694E-3</v>
      </c>
      <c r="W2677">
        <v>0.21750890000000001</v>
      </c>
      <c r="X2677">
        <v>0.97605710000000001</v>
      </c>
      <c r="Y2677">
        <v>-3.4131990000000001E-2</v>
      </c>
      <c r="Z2677">
        <v>6.4494589999999896E-4</v>
      </c>
      <c r="AA2677">
        <v>0.99941709999999995</v>
      </c>
      <c r="AB2677">
        <v>37</v>
      </c>
      <c r="AC2677">
        <v>259.25880000000001</v>
      </c>
      <c r="AD2677">
        <v>4.9342699999999997</v>
      </c>
      <c r="AE2677">
        <v>17.5124</v>
      </c>
      <c r="AF2677">
        <v>-8.87660411885388</v>
      </c>
      <c r="AG2677">
        <v>4.9342699999999997</v>
      </c>
      <c r="AH2677">
        <v>259.60421359089599</v>
      </c>
      <c r="AI2677">
        <v>88.911752076421905</v>
      </c>
      <c r="AJ2677">
        <v>91.958342191571504</v>
      </c>
      <c r="AK2677">
        <v>259.80278835159402</v>
      </c>
      <c r="AL2677">
        <v>77.437239596410905</v>
      </c>
      <c r="AM2677">
        <v>90.092142932818604</v>
      </c>
      <c r="AN2677">
        <v>1.00000002398943</v>
      </c>
    </row>
    <row r="2678" spans="1:40" x14ac:dyDescent="0.25">
      <c r="A2678" t="str">
        <f>"20190303171029430"</f>
        <v>20190303171029430</v>
      </c>
      <c r="B2678" t="str">
        <f>"1551604229422976"</f>
        <v>1551604229422976</v>
      </c>
      <c r="C2678" t="s">
        <v>40</v>
      </c>
      <c r="D2678">
        <v>4.6391600000000004</v>
      </c>
      <c r="E2678">
        <v>0.48311120000000002</v>
      </c>
      <c r="F2678" t="s">
        <v>49</v>
      </c>
      <c r="G2678">
        <v>-157.8382</v>
      </c>
      <c r="H2678">
        <v>4.0177269999999998</v>
      </c>
      <c r="I2678">
        <v>235.68559999999999</v>
      </c>
      <c r="J2678">
        <v>-416.11099999999999</v>
      </c>
      <c r="K2678">
        <v>1.120293</v>
      </c>
      <c r="L2678">
        <v>213.4658</v>
      </c>
      <c r="M2678">
        <v>0.99942419999999998</v>
      </c>
      <c r="N2678">
        <v>-6.7175639999999997E-3</v>
      </c>
      <c r="O2678">
        <v>3.3260079999999997E-2</v>
      </c>
      <c r="P2678">
        <v>0.97689999999999999</v>
      </c>
      <c r="Q2678">
        <v>0.21099129999999999</v>
      </c>
      <c r="R2678">
        <v>3.3900340000000001E-2</v>
      </c>
      <c r="S2678">
        <v>3.0543819999999999</v>
      </c>
      <c r="T2678">
        <v>3.4213540000000001E-2</v>
      </c>
      <c r="U2678">
        <v>0.26252750000000002</v>
      </c>
      <c r="V2678">
        <v>-1.3816499999999999E-3</v>
      </c>
      <c r="W2678">
        <v>0.2175531</v>
      </c>
      <c r="X2678">
        <v>0.97604749999999996</v>
      </c>
      <c r="Y2678">
        <v>-5.2453329999999999E-2</v>
      </c>
      <c r="Z2678">
        <v>4.7807840000000003E-4</v>
      </c>
      <c r="AA2678">
        <v>0.99862329999999999</v>
      </c>
      <c r="AB2678">
        <v>37</v>
      </c>
      <c r="AC2678">
        <v>258.27280000000002</v>
      </c>
      <c r="AD2678">
        <v>2.8974340000000001</v>
      </c>
      <c r="AE2678">
        <v>22.2197999999999</v>
      </c>
      <c r="AF2678">
        <v>-13.6154375021353</v>
      </c>
      <c r="AG2678">
        <v>2.8974340000000001</v>
      </c>
      <c r="AH2678">
        <v>258.83661157538</v>
      </c>
      <c r="AI2678">
        <v>89.359539471663098</v>
      </c>
      <c r="AJ2678">
        <v>93.011122612874203</v>
      </c>
      <c r="AK2678">
        <v>259.210660957421</v>
      </c>
      <c r="AL2678">
        <v>77.434644573177096</v>
      </c>
      <c r="AM2678">
        <v>90.081105336460496</v>
      </c>
      <c r="AN2678">
        <v>0.99999999126629102</v>
      </c>
    </row>
    <row r="2679" spans="1:40" x14ac:dyDescent="0.25">
      <c r="A2679" t="str">
        <f>"20190303171029452"</f>
        <v>20190303171029452</v>
      </c>
      <c r="B2679" t="str">
        <f>"1551604229443472"</f>
        <v>1551604229443472</v>
      </c>
      <c r="C2679" t="s">
        <v>40</v>
      </c>
      <c r="D2679">
        <v>4.6877519999999997</v>
      </c>
      <c r="E2679">
        <v>0.48257679999999997</v>
      </c>
      <c r="F2679" t="s">
        <v>49</v>
      </c>
      <c r="G2679">
        <v>-157.8382</v>
      </c>
      <c r="H2679">
        <v>2.9754770000000001</v>
      </c>
      <c r="I2679">
        <v>236.35380000000001</v>
      </c>
      <c r="J2679">
        <v>-415.74790000000002</v>
      </c>
      <c r="K2679">
        <v>1.1202890000000001</v>
      </c>
      <c r="L2679">
        <v>213.4778</v>
      </c>
      <c r="M2679">
        <v>0.99942419999999998</v>
      </c>
      <c r="N2679">
        <v>-6.721688E-3</v>
      </c>
      <c r="O2679">
        <v>3.3260720000000001E-2</v>
      </c>
      <c r="P2679">
        <v>0.97699650000000005</v>
      </c>
      <c r="Q2679">
        <v>0.21061389999999999</v>
      </c>
      <c r="R2679">
        <v>3.346681E-2</v>
      </c>
      <c r="S2679">
        <v>3.0567630000000001</v>
      </c>
      <c r="T2679">
        <v>2.1957520000000001E-2</v>
      </c>
      <c r="U2679">
        <v>0.2708893</v>
      </c>
      <c r="V2679">
        <v>-9.4470470000000001E-4</v>
      </c>
      <c r="W2679">
        <v>0.21718019999999999</v>
      </c>
      <c r="X2679">
        <v>0.97613110000000003</v>
      </c>
      <c r="Y2679">
        <v>-5.5096350000000002E-2</v>
      </c>
      <c r="Z2679">
        <v>4.4960909999999999E-4</v>
      </c>
      <c r="AA2679">
        <v>0.9984809</v>
      </c>
      <c r="AB2679">
        <v>37</v>
      </c>
      <c r="AC2679">
        <v>257.90969999999999</v>
      </c>
      <c r="AD2679">
        <v>1.8551880000000001</v>
      </c>
      <c r="AE2679">
        <v>22.876000000000001</v>
      </c>
      <c r="AF2679">
        <v>-14.284153728646199</v>
      </c>
      <c r="AG2679">
        <v>1.8551880000000001</v>
      </c>
      <c r="AH2679">
        <v>258.51461228980901</v>
      </c>
      <c r="AI2679">
        <v>89.589459439156997</v>
      </c>
      <c r="AJ2679">
        <v>93.162646529631203</v>
      </c>
      <c r="AK2679">
        <v>258.91559153053998</v>
      </c>
      <c r="AL2679">
        <v>77.456534003261993</v>
      </c>
      <c r="AM2679">
        <v>90.055451132841299</v>
      </c>
      <c r="AN2679">
        <v>1.0000000280631001</v>
      </c>
    </row>
    <row r="2680" spans="1:40" x14ac:dyDescent="0.25">
      <c r="A2680" t="str">
        <f>"20190303171029474"</f>
        <v>20190303171029474</v>
      </c>
      <c r="B2680" t="str">
        <f>"1551604229462992"</f>
        <v>1551604229462992</v>
      </c>
      <c r="C2680" t="s">
        <v>40</v>
      </c>
      <c r="D2680">
        <v>4.686693</v>
      </c>
      <c r="E2680">
        <v>0.4819563</v>
      </c>
      <c r="F2680" t="s">
        <v>49</v>
      </c>
      <c r="G2680">
        <v>-157.8382</v>
      </c>
      <c r="H2680">
        <v>2.201749</v>
      </c>
      <c r="I2680">
        <v>236.61019999999999</v>
      </c>
      <c r="J2680">
        <v>-415.36540000000002</v>
      </c>
      <c r="K2680">
        <v>1.1202829999999999</v>
      </c>
      <c r="L2680">
        <v>213.4906</v>
      </c>
      <c r="M2680">
        <v>0.99942410000000004</v>
      </c>
      <c r="N2680">
        <v>-6.7265559999999999E-3</v>
      </c>
      <c r="O2680">
        <v>3.3261720000000002E-2</v>
      </c>
      <c r="P2680">
        <v>0.97698750000000001</v>
      </c>
      <c r="Q2680">
        <v>0.2106904</v>
      </c>
      <c r="R2680">
        <v>3.3242149999999998E-2</v>
      </c>
      <c r="S2680">
        <v>3.0585019999999998</v>
      </c>
      <c r="T2680">
        <v>1.282549E-2</v>
      </c>
      <c r="U2680">
        <v>0.27432250000000002</v>
      </c>
      <c r="V2680">
        <v>-7.1894609999999996E-4</v>
      </c>
      <c r="W2680">
        <v>0.21726119999999999</v>
      </c>
      <c r="X2680">
        <v>0.97611329999999996</v>
      </c>
      <c r="Y2680">
        <v>-5.6156539999999998E-2</v>
      </c>
      <c r="Z2680">
        <v>4.3427450000000002E-4</v>
      </c>
      <c r="AA2680">
        <v>0.99842189999999997</v>
      </c>
      <c r="AB2680">
        <v>38</v>
      </c>
      <c r="AC2680">
        <v>257.52719999999999</v>
      </c>
      <c r="AD2680">
        <v>1.081466</v>
      </c>
      <c r="AE2680">
        <v>23.119599999999899</v>
      </c>
      <c r="AF2680">
        <v>-14.5405615190093</v>
      </c>
      <c r="AG2680">
        <v>1.081466</v>
      </c>
      <c r="AH2680">
        <v>258.149196471099</v>
      </c>
      <c r="AI2680">
        <v>89.760351699742799</v>
      </c>
      <c r="AJ2680">
        <v>93.223846658656399</v>
      </c>
      <c r="AK2680">
        <v>258.56064112055202</v>
      </c>
      <c r="AL2680">
        <v>77.451779929654407</v>
      </c>
      <c r="AM2680">
        <v>90.042200602920303</v>
      </c>
      <c r="AN2680">
        <v>1.00000006017291</v>
      </c>
    </row>
    <row r="2681" spans="1:40" x14ac:dyDescent="0.25">
      <c r="A2681" t="str">
        <f>"20190303171029495"</f>
        <v>20190303171029495</v>
      </c>
      <c r="B2681" t="str">
        <f>"1551604229483492"</f>
        <v>1551604229483492</v>
      </c>
      <c r="C2681" t="s">
        <v>40</v>
      </c>
      <c r="D2681">
        <v>4.738302</v>
      </c>
      <c r="E2681">
        <v>0.48175990000000002</v>
      </c>
      <c r="F2681" t="s">
        <v>49</v>
      </c>
      <c r="G2681">
        <v>-157.8382</v>
      </c>
      <c r="H2681">
        <v>1.8927499999999999</v>
      </c>
      <c r="I2681">
        <v>236.99359999999999</v>
      </c>
      <c r="J2681">
        <v>-415.02609999999999</v>
      </c>
      <c r="K2681">
        <v>1.1202799999999999</v>
      </c>
      <c r="L2681">
        <v>213.50190000000001</v>
      </c>
      <c r="M2681">
        <v>0.99942390000000003</v>
      </c>
      <c r="N2681">
        <v>-6.7313E-3</v>
      </c>
      <c r="O2681">
        <v>3.3262529999999998E-2</v>
      </c>
      <c r="P2681">
        <v>0.97704259999999998</v>
      </c>
      <c r="Q2681">
        <v>0.21052080000000001</v>
      </c>
      <c r="R2681">
        <v>3.269325E-2</v>
      </c>
      <c r="S2681">
        <v>3.0591430000000002</v>
      </c>
      <c r="T2681">
        <v>9.1767310000000005E-3</v>
      </c>
      <c r="U2681">
        <v>0.2791901</v>
      </c>
      <c r="V2681">
        <v>-1.6786200000000001E-4</v>
      </c>
      <c r="W2681">
        <v>0.2170965</v>
      </c>
      <c r="X2681">
        <v>0.97615019999999997</v>
      </c>
      <c r="Y2681">
        <v>-5.7712399999999997E-2</v>
      </c>
      <c r="Z2681">
        <v>4.3133599999999999E-4</v>
      </c>
      <c r="AA2681">
        <v>0.99833320000000003</v>
      </c>
      <c r="AB2681">
        <v>38</v>
      </c>
      <c r="AC2681">
        <v>257.18790000000001</v>
      </c>
      <c r="AD2681">
        <v>0.77246999999999999</v>
      </c>
      <c r="AE2681">
        <v>23.491699999999899</v>
      </c>
      <c r="AF2681">
        <v>-14.923651990169301</v>
      </c>
      <c r="AG2681">
        <v>0.77246999999999999</v>
      </c>
      <c r="AH2681">
        <v>257.82468284241003</v>
      </c>
      <c r="AI2681">
        <v>89.828623154218505</v>
      </c>
      <c r="AJ2681">
        <v>93.312752045399805</v>
      </c>
      <c r="AK2681">
        <v>258.257389403312</v>
      </c>
      <c r="AL2681">
        <v>77.461447356823399</v>
      </c>
      <c r="AM2681">
        <v>90.009852770655399</v>
      </c>
      <c r="AN2681">
        <v>1.0000000657249599</v>
      </c>
    </row>
    <row r="2682" spans="1:40" x14ac:dyDescent="0.25">
      <c r="A2682" t="str">
        <f>"20190303171029519"</f>
        <v>20190303171029519</v>
      </c>
      <c r="B2682" t="str">
        <f>"1551604229513744"</f>
        <v>1551604229513744</v>
      </c>
      <c r="C2682" t="s">
        <v>40</v>
      </c>
      <c r="D2682">
        <v>4.7689370000000002</v>
      </c>
      <c r="E2682">
        <v>0.48129699999999997</v>
      </c>
      <c r="F2682" t="s">
        <v>49</v>
      </c>
      <c r="G2682">
        <v>-157.8382</v>
      </c>
      <c r="H2682">
        <v>1.5395650000000001</v>
      </c>
      <c r="I2682">
        <v>236.99379999999999</v>
      </c>
      <c r="J2682">
        <v>-414.62430000000001</v>
      </c>
      <c r="K2682">
        <v>1.120276</v>
      </c>
      <c r="L2682">
        <v>213.51519999999999</v>
      </c>
      <c r="M2682">
        <v>0.99942399999999998</v>
      </c>
      <c r="N2682">
        <v>-6.7373999999999898E-3</v>
      </c>
      <c r="O2682">
        <v>3.3263170000000002E-2</v>
      </c>
      <c r="P2682">
        <v>0.9770025</v>
      </c>
      <c r="Q2682">
        <v>0.21080989999999999</v>
      </c>
      <c r="R2682">
        <v>3.2023490000000002E-2</v>
      </c>
      <c r="S2682">
        <v>3.0600589999999999</v>
      </c>
      <c r="T2682">
        <v>4.9893860000000002E-3</v>
      </c>
      <c r="U2682">
        <v>0.2795105</v>
      </c>
      <c r="V2682">
        <v>5.0066179999999996E-4</v>
      </c>
      <c r="W2682">
        <v>0.2173911</v>
      </c>
      <c r="X2682">
        <v>0.97608450000000002</v>
      </c>
      <c r="Y2682">
        <v>-5.7787909999999998E-2</v>
      </c>
      <c r="Z2682">
        <v>4.2591699999999999E-4</v>
      </c>
      <c r="AA2682">
        <v>0.99832880000000002</v>
      </c>
      <c r="AB2682">
        <v>38</v>
      </c>
      <c r="AC2682">
        <v>256.78609999999998</v>
      </c>
      <c r="AD2682">
        <v>0.41928900000000002</v>
      </c>
      <c r="AE2682">
        <v>23.4786</v>
      </c>
      <c r="AF2682">
        <v>-14.923854674948201</v>
      </c>
      <c r="AG2682">
        <v>0.41928900000000002</v>
      </c>
      <c r="AH2682">
        <v>257.42430492801998</v>
      </c>
      <c r="AI2682">
        <v>89.906833974013296</v>
      </c>
      <c r="AJ2682">
        <v>93.317937903684196</v>
      </c>
      <c r="AK2682">
        <v>257.856878925692</v>
      </c>
      <c r="AL2682">
        <v>77.444154784578103</v>
      </c>
      <c r="AM2682">
        <v>89.970611350156901</v>
      </c>
      <c r="AN2682">
        <v>1.00000004608084</v>
      </c>
    </row>
    <row r="2683" spans="1:40" x14ac:dyDescent="0.25">
      <c r="A2683" t="str">
        <f>"20190303171029541"</f>
        <v>20190303171029541</v>
      </c>
      <c r="B2683" t="str">
        <f>"1551604229533265"</f>
        <v>1551604229533265</v>
      </c>
      <c r="C2683" t="s">
        <v>40</v>
      </c>
      <c r="D2683">
        <v>4.7586430000000002</v>
      </c>
      <c r="E2683">
        <v>0.48134779999999999</v>
      </c>
      <c r="F2683" t="s">
        <v>49</v>
      </c>
      <c r="G2683">
        <v>-157.8382</v>
      </c>
      <c r="H2683">
        <v>1.222601</v>
      </c>
      <c r="I2683">
        <v>237.17500000000001</v>
      </c>
      <c r="J2683">
        <v>-414.2448</v>
      </c>
      <c r="K2683">
        <v>1.1202749999999999</v>
      </c>
      <c r="L2683">
        <v>213.52780000000001</v>
      </c>
      <c r="M2683">
        <v>0.99942379999999997</v>
      </c>
      <c r="N2683">
        <v>-6.7435189999999999E-3</v>
      </c>
      <c r="O2683">
        <v>3.3263800000000003E-2</v>
      </c>
      <c r="P2683">
        <v>0.97698499999999999</v>
      </c>
      <c r="Q2683">
        <v>0.2109365</v>
      </c>
      <c r="R2683">
        <v>3.1716689999999999E-2</v>
      </c>
      <c r="S2683">
        <v>3.061096</v>
      </c>
      <c r="T2683">
        <v>1.220465E-3</v>
      </c>
      <c r="U2683">
        <v>0.2820435</v>
      </c>
      <c r="V2683">
        <v>8.0735840000000002E-4</v>
      </c>
      <c r="W2683">
        <v>0.21752379999999999</v>
      </c>
      <c r="X2683">
        <v>0.97605469999999905</v>
      </c>
      <c r="Y2683">
        <v>-5.857532E-2</v>
      </c>
      <c r="Z2683">
        <v>4.2345689999999999E-4</v>
      </c>
      <c r="AA2683">
        <v>0.99828289999999997</v>
      </c>
      <c r="AB2683">
        <v>38</v>
      </c>
      <c r="AC2683">
        <v>256.40660000000003</v>
      </c>
      <c r="AD2683">
        <v>0.102326</v>
      </c>
      <c r="AE2683">
        <v>23.647200000000002</v>
      </c>
      <c r="AF2683">
        <v>-15.104858538057201</v>
      </c>
      <c r="AG2683">
        <v>0.102326</v>
      </c>
      <c r="AH2683">
        <v>257.05127289848099</v>
      </c>
      <c r="AI2683">
        <v>89.977231189884904</v>
      </c>
      <c r="AJ2683">
        <v>93.362950017204199</v>
      </c>
      <c r="AK2683">
        <v>257.49470697626901</v>
      </c>
      <c r="AL2683">
        <v>77.436364850314405</v>
      </c>
      <c r="AM2683">
        <v>89.952606940651506</v>
      </c>
      <c r="AN2683">
        <v>1.00000001639305</v>
      </c>
    </row>
    <row r="2684" spans="1:40" x14ac:dyDescent="0.25">
      <c r="A2684" t="str">
        <f>"20190303171029565"</f>
        <v>20190303171029565</v>
      </c>
      <c r="B2684" t="str">
        <f>"1551604229553760"</f>
        <v>1551604229553760</v>
      </c>
      <c r="C2684" t="s">
        <v>40</v>
      </c>
      <c r="D2684">
        <v>4.7771749999999997</v>
      </c>
      <c r="E2684">
        <v>0.4811105</v>
      </c>
      <c r="F2684" t="s">
        <v>49</v>
      </c>
      <c r="G2684">
        <v>-157.8382</v>
      </c>
      <c r="H2684">
        <v>0.88269249999999899</v>
      </c>
      <c r="I2684">
        <v>237.01390000000001</v>
      </c>
      <c r="J2684">
        <v>-413.83710000000002</v>
      </c>
      <c r="K2684">
        <v>1.120271</v>
      </c>
      <c r="L2684">
        <v>213.54140000000001</v>
      </c>
      <c r="M2684">
        <v>0.99942390000000003</v>
      </c>
      <c r="N2684">
        <v>-6.7504380000000001E-3</v>
      </c>
      <c r="O2684">
        <v>3.3264429999999998E-2</v>
      </c>
      <c r="P2684">
        <v>0.97700019999999999</v>
      </c>
      <c r="Q2684">
        <v>0.2108749</v>
      </c>
      <c r="R2684">
        <v>3.1665069999999997E-2</v>
      </c>
      <c r="S2684">
        <v>3.062195</v>
      </c>
      <c r="T2684">
        <v>-2.8367039999999998E-3</v>
      </c>
      <c r="U2684">
        <v>0.28048709999999999</v>
      </c>
      <c r="V2684">
        <v>8.6006660000000003E-4</v>
      </c>
      <c r="W2684">
        <v>0.21746879999999999</v>
      </c>
      <c r="X2684">
        <v>0.97606689999999996</v>
      </c>
      <c r="Y2684">
        <v>-5.8038260000000001E-2</v>
      </c>
      <c r="Z2684">
        <v>4.1659500000000002E-4</v>
      </c>
      <c r="AA2684">
        <v>0.99831429999999999</v>
      </c>
      <c r="AB2684">
        <v>38</v>
      </c>
      <c r="AC2684">
        <v>255.99889999999999</v>
      </c>
      <c r="AD2684">
        <v>-0.2375785</v>
      </c>
      <c r="AE2684">
        <v>23.4725</v>
      </c>
      <c r="AF2684">
        <v>-14.943646060411</v>
      </c>
      <c r="AG2684">
        <v>-0.2375785</v>
      </c>
      <c r="AH2684">
        <v>256.63781797104298</v>
      </c>
      <c r="AI2684">
        <v>90.052950977839501</v>
      </c>
      <c r="AJ2684">
        <v>93.332486789321507</v>
      </c>
      <c r="AK2684">
        <v>257.07263295430897</v>
      </c>
      <c r="AL2684">
        <v>77.439593273155097</v>
      </c>
      <c r="AM2684">
        <v>89.949513528707499</v>
      </c>
      <c r="AN2684">
        <v>1.0000000059817999</v>
      </c>
    </row>
    <row r="2685" spans="1:40" x14ac:dyDescent="0.25">
      <c r="A2685" t="str">
        <f>"20190303171029586"</f>
        <v>20190303171029586</v>
      </c>
      <c r="B2685" t="str">
        <f>"1551604229583040"</f>
        <v>1551604229583040</v>
      </c>
      <c r="C2685" t="s">
        <v>40</v>
      </c>
      <c r="D2685">
        <v>4.8407049999999998</v>
      </c>
      <c r="E2685">
        <v>0.48124850000000002</v>
      </c>
      <c r="F2685" t="s">
        <v>49</v>
      </c>
      <c r="G2685">
        <v>-157.8382</v>
      </c>
      <c r="H2685">
        <v>0.60307809999999995</v>
      </c>
      <c r="I2685">
        <v>237.14869999999999</v>
      </c>
      <c r="J2685">
        <v>-413.46359999999999</v>
      </c>
      <c r="K2685">
        <v>1.1202669999999999</v>
      </c>
      <c r="L2685">
        <v>213.5539</v>
      </c>
      <c r="M2685">
        <v>0.99942390000000003</v>
      </c>
      <c r="N2685">
        <v>-6.7570460000000001E-3</v>
      </c>
      <c r="O2685">
        <v>3.3265059999999999E-2</v>
      </c>
      <c r="P2685">
        <v>0.97695319999999997</v>
      </c>
      <c r="Q2685">
        <v>0.211086</v>
      </c>
      <c r="R2685">
        <v>3.1709639999999997E-2</v>
      </c>
      <c r="S2685">
        <v>3.062805</v>
      </c>
      <c r="T2685">
        <v>-6.1870809999999997E-3</v>
      </c>
      <c r="U2685">
        <v>0.28244019999999997</v>
      </c>
      <c r="V2685">
        <v>8.1468139999999996E-4</v>
      </c>
      <c r="W2685">
        <v>0.2176862</v>
      </c>
      <c r="X2685">
        <v>0.97601850000000001</v>
      </c>
      <c r="Y2685">
        <v>-5.8650330000000001E-2</v>
      </c>
      <c r="Z2685">
        <v>4.1508499999999999E-4</v>
      </c>
      <c r="AA2685">
        <v>0.99827849999999996</v>
      </c>
      <c r="AB2685">
        <v>38</v>
      </c>
      <c r="AC2685">
        <v>255.62540000000001</v>
      </c>
      <c r="AD2685">
        <v>-0.51718889999999995</v>
      </c>
      <c r="AE2685">
        <v>23.5947999999999</v>
      </c>
      <c r="AF2685">
        <v>-15.078093120462</v>
      </c>
      <c r="AG2685">
        <v>-0.51718889999999995</v>
      </c>
      <c r="AH2685">
        <v>256.26778153835699</v>
      </c>
      <c r="AI2685">
        <v>90.115432155072796</v>
      </c>
      <c r="AJ2685">
        <v>93.367244438315893</v>
      </c>
      <c r="AK2685">
        <v>256.71149610233402</v>
      </c>
      <c r="AL2685">
        <v>77.426831728367105</v>
      </c>
      <c r="AM2685">
        <v>89.952175296854094</v>
      </c>
      <c r="AN2685">
        <v>1.0000000288592299</v>
      </c>
    </row>
    <row r="2686" spans="1:40" x14ac:dyDescent="0.25">
      <c r="A2686" t="str">
        <f>"20190303171029611"</f>
        <v>20190303171029611</v>
      </c>
      <c r="B2686" t="str">
        <f>"1551604229603537"</f>
        <v>1551604229603537</v>
      </c>
      <c r="C2686" t="s">
        <v>40</v>
      </c>
      <c r="D2686">
        <v>4.8041809999999998</v>
      </c>
      <c r="E2686">
        <v>0.48099429999999999</v>
      </c>
      <c r="F2686" t="s">
        <v>49</v>
      </c>
      <c r="G2686">
        <v>-157.8382</v>
      </c>
      <c r="H2686">
        <v>0.44227699999999998</v>
      </c>
      <c r="I2686">
        <v>237.06469999999999</v>
      </c>
      <c r="J2686">
        <v>-413.05040000000002</v>
      </c>
      <c r="K2686">
        <v>1.120261</v>
      </c>
      <c r="L2686">
        <v>213.5676</v>
      </c>
      <c r="M2686">
        <v>0.99942359999999997</v>
      </c>
      <c r="N2686">
        <v>-6.7646570000000003E-3</v>
      </c>
      <c r="O2686">
        <v>3.3266049999999998E-2</v>
      </c>
      <c r="P2686">
        <v>0.97693339999999995</v>
      </c>
      <c r="Q2686">
        <v>0.21114340000000001</v>
      </c>
      <c r="R2686">
        <v>3.1928400000000003E-2</v>
      </c>
      <c r="S2686">
        <v>3.0634160000000001</v>
      </c>
      <c r="T2686">
        <v>-8.1243519999999996E-3</v>
      </c>
      <c r="U2686">
        <v>0.28175349999999999</v>
      </c>
      <c r="V2686">
        <v>5.9652510000000002E-4</v>
      </c>
      <c r="W2686">
        <v>0.2177509</v>
      </c>
      <c r="X2686">
        <v>0.97600419999999999</v>
      </c>
      <c r="Y2686">
        <v>-5.8408969999999998E-2</v>
      </c>
      <c r="Z2686">
        <v>4.1195469999999999E-4</v>
      </c>
      <c r="AA2686">
        <v>0.99829259999999997</v>
      </c>
      <c r="AB2686">
        <v>38</v>
      </c>
      <c r="AC2686">
        <v>255.2122</v>
      </c>
      <c r="AD2686">
        <v>-0.67798399999999903</v>
      </c>
      <c r="AE2686">
        <v>23.4970999999999</v>
      </c>
      <c r="AF2686">
        <v>-14.9938931883813</v>
      </c>
      <c r="AG2686">
        <v>-0.67798399999999903</v>
      </c>
      <c r="AH2686">
        <v>255.85082487525199</v>
      </c>
      <c r="AI2686">
        <v>90.151568775703197</v>
      </c>
      <c r="AJ2686">
        <v>93.3539283211135</v>
      </c>
      <c r="AK2686">
        <v>256.290696445648</v>
      </c>
      <c r="AL2686">
        <v>77.423033266790199</v>
      </c>
      <c r="AM2686">
        <v>89.964981332715794</v>
      </c>
      <c r="AN2686">
        <v>1.0000000043553201</v>
      </c>
    </row>
    <row r="2687" spans="1:40" x14ac:dyDescent="0.25">
      <c r="A2687" t="str">
        <f>"20190303171029632"</f>
        <v>20190303171029632</v>
      </c>
      <c r="B2687" t="str">
        <f>"1551604229623057"</f>
        <v>1551604229623057</v>
      </c>
      <c r="C2687" t="s">
        <v>40</v>
      </c>
      <c r="D2687">
        <v>4.8176600000000001</v>
      </c>
      <c r="E2687">
        <v>0.4808248</v>
      </c>
      <c r="F2687" t="s">
        <v>49</v>
      </c>
      <c r="G2687">
        <v>-157.8382</v>
      </c>
      <c r="H2687">
        <v>0.32052709999999901</v>
      </c>
      <c r="I2687">
        <v>237.3075</v>
      </c>
      <c r="J2687">
        <v>-412.67599999999999</v>
      </c>
      <c r="K2687">
        <v>1.120252</v>
      </c>
      <c r="L2687">
        <v>213.58009999999999</v>
      </c>
      <c r="M2687">
        <v>0.99942370000000003</v>
      </c>
      <c r="N2687">
        <v>-6.7717940000000003E-3</v>
      </c>
      <c r="O2687">
        <v>3.326668E-2</v>
      </c>
      <c r="P2687">
        <v>0.97703300000000004</v>
      </c>
      <c r="Q2687">
        <v>0.21063809999999999</v>
      </c>
      <c r="R2687">
        <v>3.2225629999999998E-2</v>
      </c>
      <c r="S2687">
        <v>3.0635680000000001</v>
      </c>
      <c r="T2687">
        <v>-9.5993280000000007E-3</v>
      </c>
      <c r="U2687">
        <v>0.28497309999999998</v>
      </c>
      <c r="V2687">
        <v>3.0326939999999997E-4</v>
      </c>
      <c r="W2687">
        <v>0.21725330000000001</v>
      </c>
      <c r="X2687">
        <v>0.97611519999999996</v>
      </c>
      <c r="Y2687">
        <v>-5.944377E-2</v>
      </c>
      <c r="Z2687">
        <v>4.155904E-4</v>
      </c>
      <c r="AA2687">
        <v>0.9982316</v>
      </c>
      <c r="AB2687">
        <v>38</v>
      </c>
      <c r="AC2687">
        <v>254.83779999999999</v>
      </c>
      <c r="AD2687">
        <v>-0.79972489999999996</v>
      </c>
      <c r="AE2687">
        <v>23.727399999999999</v>
      </c>
      <c r="AF2687">
        <v>-15.2363169593243</v>
      </c>
      <c r="AG2687">
        <v>-0.79972489999999996</v>
      </c>
      <c r="AH2687">
        <v>255.48359901178799</v>
      </c>
      <c r="AI2687">
        <v>90.179030851805905</v>
      </c>
      <c r="AJ2687">
        <v>93.412915439693293</v>
      </c>
      <c r="AK2687">
        <v>255.93877056518201</v>
      </c>
      <c r="AL2687">
        <v>77.452242696501401</v>
      </c>
      <c r="AM2687">
        <v>89.982198764944499</v>
      </c>
      <c r="AN2687">
        <v>0.99999998600212903</v>
      </c>
    </row>
    <row r="2688" spans="1:40" x14ac:dyDescent="0.25">
      <c r="A2688" t="str">
        <f>"20190303171029654"</f>
        <v>20190303171029654</v>
      </c>
      <c r="B2688" t="str">
        <f>"1551604229643552"</f>
        <v>1551604229643552</v>
      </c>
      <c r="C2688" t="s">
        <v>40</v>
      </c>
      <c r="D2688">
        <v>4.823061</v>
      </c>
      <c r="E2688">
        <v>0.48067209999999999</v>
      </c>
      <c r="F2688" t="s">
        <v>79</v>
      </c>
      <c r="G2688">
        <v>-233.28819999999999</v>
      </c>
      <c r="H2688">
        <v>0.39863870000000001</v>
      </c>
      <c r="I2688">
        <v>230.3981</v>
      </c>
      <c r="J2688">
        <v>-412.31130000000002</v>
      </c>
      <c r="K2688">
        <v>1.1202529999999999</v>
      </c>
      <c r="L2688">
        <v>213.59219999999999</v>
      </c>
      <c r="M2688">
        <v>0.99942339999999996</v>
      </c>
      <c r="N2688">
        <v>-6.7788950000000001E-3</v>
      </c>
      <c r="O2688">
        <v>3.3267489999999997E-2</v>
      </c>
      <c r="P2688">
        <v>0.97715220000000003</v>
      </c>
      <c r="Q2688">
        <v>0.2100639</v>
      </c>
      <c r="R2688">
        <v>3.2356049999999997E-2</v>
      </c>
      <c r="S2688">
        <v>3.0637210000000001</v>
      </c>
      <c r="T2688">
        <v>-1.232433E-2</v>
      </c>
      <c r="U2688">
        <v>0.28723140000000003</v>
      </c>
      <c r="V2688">
        <v>1.7767999999999999E-4</v>
      </c>
      <c r="W2688">
        <v>0.21668680000000001</v>
      </c>
      <c r="X2688">
        <v>0.97624120000000003</v>
      </c>
      <c r="Y2688">
        <v>-6.0167320000000003E-2</v>
      </c>
      <c r="Z2688">
        <v>4.1682159999999999E-4</v>
      </c>
      <c r="AA2688">
        <v>0.99818819999999997</v>
      </c>
      <c r="AB2688">
        <v>38</v>
      </c>
      <c r="AC2688">
        <v>179.0231</v>
      </c>
      <c r="AD2688">
        <v>-0.72161430000000004</v>
      </c>
      <c r="AE2688">
        <v>16.805900000000001</v>
      </c>
      <c r="AF2688">
        <v>-10.8406360414892</v>
      </c>
      <c r="AG2688">
        <v>-0.72161430000000004</v>
      </c>
      <c r="AH2688">
        <v>179.48021559324999</v>
      </c>
      <c r="AI2688">
        <v>90.2299418908257</v>
      </c>
      <c r="AJ2688">
        <v>93.456475783456696</v>
      </c>
      <c r="AK2688">
        <v>179.808753697871</v>
      </c>
      <c r="AL2688">
        <v>77.485493528538299</v>
      </c>
      <c r="AM2688">
        <v>89.989571927520004</v>
      </c>
      <c r="AN2688">
        <v>1.00000004072093</v>
      </c>
    </row>
    <row r="2689" spans="1:40" x14ac:dyDescent="0.25">
      <c r="A2689" t="str">
        <f>"20190303171029675"</f>
        <v>20190303171029675</v>
      </c>
      <c r="B2689" t="str">
        <f>"1551604229663076"</f>
        <v>1551604229663076</v>
      </c>
      <c r="C2689" t="s">
        <v>40</v>
      </c>
      <c r="D2689">
        <v>4.8299719999999997</v>
      </c>
      <c r="E2689">
        <v>0.48050520000000002</v>
      </c>
      <c r="F2689" t="s">
        <v>79</v>
      </c>
      <c r="G2689">
        <v>-234.07660000000001</v>
      </c>
      <c r="H2689">
        <v>0.19320200000000001</v>
      </c>
      <c r="I2689">
        <v>230.3981</v>
      </c>
      <c r="J2689">
        <v>-411.94409999999999</v>
      </c>
      <c r="K2689">
        <v>1.1202529999999999</v>
      </c>
      <c r="L2689">
        <v>213.6044</v>
      </c>
      <c r="M2689">
        <v>0.99942339999999996</v>
      </c>
      <c r="N2689">
        <v>-6.7861969999999999E-3</v>
      </c>
      <c r="O2689">
        <v>3.3268300000000001E-2</v>
      </c>
      <c r="P2689">
        <v>0.97716910000000001</v>
      </c>
      <c r="Q2689">
        <v>0.20993490000000001</v>
      </c>
      <c r="R2689">
        <v>3.2682120000000002E-2</v>
      </c>
      <c r="S2689">
        <v>3.0640260000000001</v>
      </c>
      <c r="T2689">
        <v>-1.5936970000000002E-2</v>
      </c>
      <c r="U2689">
        <v>0.2889099</v>
      </c>
      <c r="V2689">
        <v>-1.474E-4</v>
      </c>
      <c r="W2689">
        <v>0.2165649</v>
      </c>
      <c r="X2689">
        <v>0.97626820000000003</v>
      </c>
      <c r="Y2689">
        <v>-6.069861E-2</v>
      </c>
      <c r="Z2689">
        <v>4.1674859999999998E-4</v>
      </c>
      <c r="AA2689">
        <v>0.99815609999999999</v>
      </c>
      <c r="AB2689">
        <v>38</v>
      </c>
      <c r="AC2689">
        <v>177.86749999999901</v>
      </c>
      <c r="AD2689">
        <v>-0.92705099999999996</v>
      </c>
      <c r="AE2689">
        <v>16.793700000000001</v>
      </c>
      <c r="AF2689">
        <v>-10.8666252345503</v>
      </c>
      <c r="AG2689">
        <v>-0.92705099999999996</v>
      </c>
      <c r="AH2689">
        <v>178.32294746963001</v>
      </c>
      <c r="AI2689">
        <v>90.297310508864797</v>
      </c>
      <c r="AJ2689">
        <v>93.487172068419696</v>
      </c>
      <c r="AK2689">
        <v>178.656140565616</v>
      </c>
      <c r="AL2689">
        <v>77.492647092942093</v>
      </c>
      <c r="AM2689">
        <v>90.008650694384997</v>
      </c>
      <c r="AN2689">
        <v>0.999999987985004</v>
      </c>
    </row>
    <row r="2690" spans="1:40" x14ac:dyDescent="0.25">
      <c r="A2690" t="str">
        <f>"20190303171029697"</f>
        <v>20190303171029697</v>
      </c>
      <c r="B2690" t="str">
        <f>"1551604229683572"</f>
        <v>1551604229683572</v>
      </c>
      <c r="C2690" t="s">
        <v>40</v>
      </c>
      <c r="D2690">
        <v>4.7855129999999999</v>
      </c>
      <c r="E2690">
        <v>0.48036770000000001</v>
      </c>
      <c r="F2690" t="s">
        <v>41</v>
      </c>
      <c r="G2690">
        <v>-208.25970000000001</v>
      </c>
      <c r="H2690">
        <v>-0.05</v>
      </c>
      <c r="I2690">
        <v>232.96440000000001</v>
      </c>
      <c r="J2690">
        <v>-411.56689999999998</v>
      </c>
      <c r="K2690">
        <v>1.120252</v>
      </c>
      <c r="L2690">
        <v>213.61699999999999</v>
      </c>
      <c r="M2690">
        <v>0.99942339999999996</v>
      </c>
      <c r="N2690">
        <v>-6.7938599999999997E-3</v>
      </c>
      <c r="O2690">
        <v>3.3269100000000003E-2</v>
      </c>
      <c r="P2690">
        <v>0.97693339999999995</v>
      </c>
      <c r="Q2690">
        <v>0.2109818</v>
      </c>
      <c r="R2690">
        <v>3.2989400000000002E-2</v>
      </c>
      <c r="S2690">
        <v>3.0641479999999999</v>
      </c>
      <c r="T2690">
        <v>-1.7604829999999998E-2</v>
      </c>
      <c r="U2690">
        <v>0.29124450000000002</v>
      </c>
      <c r="V2690">
        <v>-4.610498E-4</v>
      </c>
      <c r="W2690">
        <v>0.2176178</v>
      </c>
      <c r="X2690">
        <v>0.97603399999999996</v>
      </c>
      <c r="Y2690">
        <v>-6.1447479999999999E-2</v>
      </c>
      <c r="Z2690">
        <v>4.203597E-4</v>
      </c>
      <c r="AA2690">
        <v>0.99811019999999995</v>
      </c>
      <c r="AB2690">
        <v>39</v>
      </c>
      <c r="AC2690">
        <v>203.30719999999999</v>
      </c>
      <c r="AD2690">
        <v>-1.1702520000000001</v>
      </c>
      <c r="AE2690">
        <v>19.3474</v>
      </c>
      <c r="AF2690">
        <v>-12.5722733022473</v>
      </c>
      <c r="AG2690">
        <v>-1.1702520000000001</v>
      </c>
      <c r="AH2690">
        <v>203.831642680969</v>
      </c>
      <c r="AI2690">
        <v>90.328322859962896</v>
      </c>
      <c r="AJ2690">
        <v>93.529514789472401</v>
      </c>
      <c r="AK2690">
        <v>204.222354564216</v>
      </c>
      <c r="AL2690">
        <v>77.430847217672806</v>
      </c>
      <c r="AM2690">
        <v>90.027064841717106</v>
      </c>
      <c r="AN2690">
        <v>1.00000004429987</v>
      </c>
    </row>
    <row r="2691" spans="1:40" x14ac:dyDescent="0.25">
      <c r="A2691" t="str">
        <f>"20190303171029719"</f>
        <v>20190303171029719</v>
      </c>
      <c r="B2691" t="str">
        <f>"1551604229712848"</f>
        <v>1551604229712848</v>
      </c>
      <c r="C2691" t="s">
        <v>40</v>
      </c>
      <c r="D2691">
        <v>4.784402</v>
      </c>
      <c r="E2691">
        <v>0.4800701</v>
      </c>
      <c r="F2691" t="s">
        <v>79</v>
      </c>
      <c r="G2691">
        <v>-234.63659999999999</v>
      </c>
      <c r="H2691">
        <v>0.2199122</v>
      </c>
      <c r="I2691">
        <v>230.5301</v>
      </c>
      <c r="J2691">
        <v>-411.17290000000003</v>
      </c>
      <c r="K2691">
        <v>1.1202449999999999</v>
      </c>
      <c r="L2691">
        <v>213.6301</v>
      </c>
      <c r="M2691">
        <v>0.99942330000000001</v>
      </c>
      <c r="N2691">
        <v>-6.8020110000000002E-3</v>
      </c>
      <c r="O2691">
        <v>3.3269899999999998E-2</v>
      </c>
      <c r="P2691">
        <v>0.97682089999999999</v>
      </c>
      <c r="Q2691">
        <v>0.2114798</v>
      </c>
      <c r="R2691">
        <v>3.312491E-2</v>
      </c>
      <c r="S2691">
        <v>3.0643009999999999</v>
      </c>
      <c r="T2691">
        <v>-1.5593289999999999E-2</v>
      </c>
      <c r="U2691">
        <v>0.29292299999999999</v>
      </c>
      <c r="V2691">
        <v>-5.9920739999999996E-4</v>
      </c>
      <c r="W2691">
        <v>0.21812319999999999</v>
      </c>
      <c r="X2691">
        <v>0.97592109999999999</v>
      </c>
      <c r="Y2691">
        <v>-6.198414E-2</v>
      </c>
      <c r="Z2691">
        <v>4.2573090000000001E-4</v>
      </c>
      <c r="AA2691">
        <v>0.99807699999999999</v>
      </c>
      <c r="AB2691">
        <v>39</v>
      </c>
      <c r="AC2691">
        <v>176.53630000000001</v>
      </c>
      <c r="AD2691">
        <v>-0.90033280000000004</v>
      </c>
      <c r="AE2691">
        <v>16.899999999999999</v>
      </c>
      <c r="AF2691">
        <v>-11.0168791729671</v>
      </c>
      <c r="AG2691">
        <v>-0.90033280000000004</v>
      </c>
      <c r="AH2691">
        <v>176.99627808332801</v>
      </c>
      <c r="AI2691">
        <v>90.2908828921869</v>
      </c>
      <c r="AJ2691">
        <v>93.561698614512693</v>
      </c>
      <c r="AK2691">
        <v>177.341096988863</v>
      </c>
      <c r="AL2691">
        <v>77.401177152164394</v>
      </c>
      <c r="AM2691">
        <v>90.035179125401399</v>
      </c>
      <c r="AN2691">
        <v>1.00000004142647</v>
      </c>
    </row>
    <row r="2692" spans="1:40" x14ac:dyDescent="0.25">
      <c r="A2692" t="str">
        <f>"20190303171029742"</f>
        <v>20190303171029742</v>
      </c>
      <c r="B2692" t="str">
        <f>"1551604229733345"</f>
        <v>1551604229733345</v>
      </c>
      <c r="C2692" t="s">
        <v>40</v>
      </c>
      <c r="D2692">
        <v>4.8994400000000002</v>
      </c>
      <c r="E2692">
        <v>0.4799947</v>
      </c>
      <c r="F2692" t="s">
        <v>79</v>
      </c>
      <c r="G2692">
        <v>-237.69200000000001</v>
      </c>
      <c r="H2692">
        <v>0.28723140000000003</v>
      </c>
      <c r="I2692">
        <v>230.41890000000001</v>
      </c>
      <c r="J2692">
        <v>-410.78550000000001</v>
      </c>
      <c r="K2692">
        <v>1.1202399999999999</v>
      </c>
      <c r="L2692">
        <v>213.643</v>
      </c>
      <c r="M2692">
        <v>0.99942319999999996</v>
      </c>
      <c r="N2692">
        <v>-6.8102500000000003E-3</v>
      </c>
      <c r="O2692">
        <v>3.3270710000000002E-2</v>
      </c>
      <c r="P2692">
        <v>0.97692049999999997</v>
      </c>
      <c r="Q2692">
        <v>0.21108360000000001</v>
      </c>
      <c r="R2692">
        <v>3.2712619999999998E-2</v>
      </c>
      <c r="S2692">
        <v>3.0643310000000001</v>
      </c>
      <c r="T2692">
        <v>-1.471424E-2</v>
      </c>
      <c r="U2692">
        <v>0.2965546</v>
      </c>
      <c r="V2692">
        <v>-1.8319669999999999E-4</v>
      </c>
      <c r="W2692">
        <v>0.2177354</v>
      </c>
      <c r="X2692">
        <v>0.97600779999999998</v>
      </c>
      <c r="Y2692">
        <v>-6.3154489999999994E-2</v>
      </c>
      <c r="Z2692">
        <v>4.337085E-4</v>
      </c>
      <c r="AA2692">
        <v>0.99800370000000005</v>
      </c>
      <c r="AB2692">
        <v>39</v>
      </c>
      <c r="AC2692">
        <v>173.09350000000001</v>
      </c>
      <c r="AD2692">
        <v>-0.83300859999999899</v>
      </c>
      <c r="AE2692">
        <v>16.7759</v>
      </c>
      <c r="AF2692">
        <v>-11.007282440628201</v>
      </c>
      <c r="AG2692">
        <v>-0.83300859999999899</v>
      </c>
      <c r="AH2692">
        <v>173.55184394710099</v>
      </c>
      <c r="AI2692">
        <v>90.274452903353406</v>
      </c>
      <c r="AJ2692">
        <v>93.6290437080999</v>
      </c>
      <c r="AK2692">
        <v>173.90254945656901</v>
      </c>
      <c r="AL2692">
        <v>77.423942895742599</v>
      </c>
      <c r="AM2692">
        <v>90.010754419798104</v>
      </c>
      <c r="AN2692">
        <v>0.99999998181751504</v>
      </c>
    </row>
    <row r="2693" spans="1:40" x14ac:dyDescent="0.25">
      <c r="A2693" t="str">
        <f>"20190303171029765"</f>
        <v>20190303171029765</v>
      </c>
      <c r="B2693" t="str">
        <f>"1551604229752864"</f>
        <v>1551604229752864</v>
      </c>
      <c r="C2693" t="s">
        <v>40</v>
      </c>
      <c r="D2693">
        <v>4.8279129999999997</v>
      </c>
      <c r="E2693">
        <v>0.47982089999999999</v>
      </c>
      <c r="F2693" t="s">
        <v>79</v>
      </c>
      <c r="G2693">
        <v>-237.25620000000001</v>
      </c>
      <c r="H2693">
        <v>0.1757281</v>
      </c>
      <c r="I2693">
        <v>230.41890000000001</v>
      </c>
      <c r="J2693">
        <v>-410.3784</v>
      </c>
      <c r="K2693">
        <v>1.120234</v>
      </c>
      <c r="L2693">
        <v>213.6566</v>
      </c>
      <c r="M2693">
        <v>0.99942310000000001</v>
      </c>
      <c r="N2693">
        <v>-6.8187519999999904E-3</v>
      </c>
      <c r="O2693">
        <v>3.3271340000000003E-2</v>
      </c>
      <c r="P2693">
        <v>0.97702370000000005</v>
      </c>
      <c r="Q2693">
        <v>0.21064959999999999</v>
      </c>
      <c r="R2693">
        <v>3.2429430000000002E-2</v>
      </c>
      <c r="S2693">
        <v>3.0645449999999999</v>
      </c>
      <c r="T2693">
        <v>-1.6680239999999999E-2</v>
      </c>
      <c r="U2693">
        <v>0.29626459999999999</v>
      </c>
      <c r="V2693">
        <v>1.040301E-4</v>
      </c>
      <c r="W2693">
        <v>0.21731059999999999</v>
      </c>
      <c r="X2693">
        <v>0.97610249999999998</v>
      </c>
      <c r="Y2693">
        <v>-6.3053269999999995E-2</v>
      </c>
      <c r="Z2693">
        <v>4.3256860000000002E-4</v>
      </c>
      <c r="AA2693">
        <v>0.99801010000000001</v>
      </c>
      <c r="AB2693">
        <v>39</v>
      </c>
      <c r="AC2693">
        <v>173.12219999999999</v>
      </c>
      <c r="AD2693">
        <v>-0.94450590000000001</v>
      </c>
      <c r="AE2693">
        <v>16.7623</v>
      </c>
      <c r="AF2693">
        <v>-10.992553604039299</v>
      </c>
      <c r="AG2693">
        <v>-0.94450590000000001</v>
      </c>
      <c r="AH2693">
        <v>173.578946003016</v>
      </c>
      <c r="AI2693">
        <v>90.311140721932006</v>
      </c>
      <c r="AJ2693">
        <v>93.623636275446302</v>
      </c>
      <c r="AK2693">
        <v>173.92923509764199</v>
      </c>
      <c r="AL2693">
        <v>77.448879459899999</v>
      </c>
      <c r="AM2693">
        <v>89.993893586329506</v>
      </c>
      <c r="AN2693">
        <v>0.99999999910043502</v>
      </c>
    </row>
    <row r="2694" spans="1:40" x14ac:dyDescent="0.25">
      <c r="A2694" t="str">
        <f>"20190303171029786"</f>
        <v>20190303171029786</v>
      </c>
      <c r="B2694" t="str">
        <f>"1551604229773364"</f>
        <v>1551604229773364</v>
      </c>
      <c r="C2694" t="s">
        <v>40</v>
      </c>
      <c r="D2694">
        <v>4.865405</v>
      </c>
      <c r="E2694">
        <v>0.47975489999999998</v>
      </c>
      <c r="F2694" t="s">
        <v>41</v>
      </c>
      <c r="G2694">
        <v>-220.7313</v>
      </c>
      <c r="H2694">
        <v>-0.05</v>
      </c>
      <c r="I2694">
        <v>232.03659999999999</v>
      </c>
      <c r="J2694">
        <v>-410.01909999999998</v>
      </c>
      <c r="K2694">
        <v>1.120231</v>
      </c>
      <c r="L2694">
        <v>213.66849999999999</v>
      </c>
      <c r="M2694">
        <v>0.99942310000000001</v>
      </c>
      <c r="N2694">
        <v>-6.8262369999999998E-3</v>
      </c>
      <c r="O2694">
        <v>3.327215E-2</v>
      </c>
      <c r="P2694">
        <v>0.97709420000000002</v>
      </c>
      <c r="Q2694">
        <v>0.21042920000000001</v>
      </c>
      <c r="R2694">
        <v>3.172415E-2</v>
      </c>
      <c r="S2694">
        <v>3.0647579999999999</v>
      </c>
      <c r="T2694">
        <v>-1.8911359999999999E-2</v>
      </c>
      <c r="U2694">
        <v>0.2970276</v>
      </c>
      <c r="V2694">
        <v>8.1209469999999999E-4</v>
      </c>
      <c r="W2694">
        <v>0.21709780000000001</v>
      </c>
      <c r="X2694">
        <v>0.9761495</v>
      </c>
      <c r="Y2694">
        <v>-6.3291479999999997E-2</v>
      </c>
      <c r="Z2694">
        <v>4.3334990000000001E-4</v>
      </c>
      <c r="AA2694">
        <v>0.99799499999999997</v>
      </c>
      <c r="AB2694">
        <v>39</v>
      </c>
      <c r="AC2694">
        <v>189.2878</v>
      </c>
      <c r="AD2694">
        <v>-1.170231</v>
      </c>
      <c r="AE2694">
        <v>18.368099999999998</v>
      </c>
      <c r="AF2694">
        <v>-12.059314731474799</v>
      </c>
      <c r="AG2694">
        <v>-1.170231</v>
      </c>
      <c r="AH2694">
        <v>189.78696617265501</v>
      </c>
      <c r="AI2694">
        <v>90.352571658916801</v>
      </c>
      <c r="AJ2694">
        <v>93.6357617043776</v>
      </c>
      <c r="AK2694">
        <v>190.17331316829501</v>
      </c>
      <c r="AL2694">
        <v>77.461369963993405</v>
      </c>
      <c r="AM2694">
        <v>89.952333543027706</v>
      </c>
      <c r="AN2694">
        <v>0.99999998030644499</v>
      </c>
    </row>
    <row r="2695" spans="1:40" x14ac:dyDescent="0.25">
      <c r="A2695" t="str">
        <f>"20190303171029809"</f>
        <v>20190303171029809</v>
      </c>
      <c r="B2695" t="str">
        <f>"1551604229803616"</f>
        <v>1551604229803616</v>
      </c>
      <c r="C2695" t="s">
        <v>40</v>
      </c>
      <c r="D2695">
        <v>4.8473030000000001</v>
      </c>
      <c r="E2695">
        <v>0.47966239999999999</v>
      </c>
      <c r="F2695" t="s">
        <v>41</v>
      </c>
      <c r="G2695">
        <v>-236.12729999999999</v>
      </c>
      <c r="H2695">
        <v>-0.05</v>
      </c>
      <c r="I2695">
        <v>230.44739999999999</v>
      </c>
      <c r="J2695">
        <v>-409.60849999999999</v>
      </c>
      <c r="K2695">
        <v>1.1202270000000001</v>
      </c>
      <c r="L2695">
        <v>213.68219999999999</v>
      </c>
      <c r="M2695">
        <v>0.9994229</v>
      </c>
      <c r="N2695">
        <v>-6.8348180000000003E-3</v>
      </c>
      <c r="O2695">
        <v>3.3272950000000003E-2</v>
      </c>
      <c r="P2695">
        <v>0.97717229999999999</v>
      </c>
      <c r="Q2695">
        <v>0.21016460000000001</v>
      </c>
      <c r="R2695">
        <v>3.1070469999999999E-2</v>
      </c>
      <c r="S2695">
        <v>3.0651860000000002</v>
      </c>
      <c r="T2695">
        <v>-2.0627619999999999E-2</v>
      </c>
      <c r="U2695">
        <v>0.2957611</v>
      </c>
      <c r="V2695">
        <v>1.4685849999999999E-3</v>
      </c>
      <c r="W2695">
        <v>0.21684229999999999</v>
      </c>
      <c r="X2695">
        <v>0.97620549999999995</v>
      </c>
      <c r="Y2695">
        <v>-6.2868430000000003E-2</v>
      </c>
      <c r="Z2695">
        <v>4.3014049999999998E-4</v>
      </c>
      <c r="AA2695">
        <v>0.99802170000000001</v>
      </c>
      <c r="AB2695">
        <v>39</v>
      </c>
      <c r="AC2695">
        <v>173.4812</v>
      </c>
      <c r="AD2695">
        <v>-1.1702269999999999</v>
      </c>
      <c r="AE2695">
        <v>16.765199999999901</v>
      </c>
      <c r="AF2695">
        <v>-10.983055272998</v>
      </c>
      <c r="AG2695">
        <v>-1.1702269999999999</v>
      </c>
      <c r="AH2695">
        <v>173.93513878478899</v>
      </c>
      <c r="AI2695">
        <v>90.384711170379205</v>
      </c>
      <c r="AJ2695">
        <v>93.613118931303802</v>
      </c>
      <c r="AK2695">
        <v>174.28548258086499</v>
      </c>
      <c r="AL2695">
        <v>77.476366003293293</v>
      </c>
      <c r="AM2695">
        <v>89.9138053833139</v>
      </c>
      <c r="AN2695">
        <v>0.99999995902072003</v>
      </c>
    </row>
    <row r="2696" spans="1:40" x14ac:dyDescent="0.25">
      <c r="A2696" t="str">
        <f>"20190303171029832"</f>
        <v>20190303171029832</v>
      </c>
      <c r="B2696" t="str">
        <f>"1551604229823136"</f>
        <v>1551604229823136</v>
      </c>
      <c r="C2696" t="s">
        <v>40</v>
      </c>
      <c r="D2696">
        <v>4.7841659999999999</v>
      </c>
      <c r="E2696">
        <v>0.47964129999999999</v>
      </c>
      <c r="F2696" t="s">
        <v>41</v>
      </c>
      <c r="G2696">
        <v>-253.08340000000001</v>
      </c>
      <c r="H2696">
        <v>-0.05</v>
      </c>
      <c r="I2696">
        <v>228.70689999999999</v>
      </c>
      <c r="J2696">
        <v>-409.19760000000002</v>
      </c>
      <c r="K2696">
        <v>1.1202319999999999</v>
      </c>
      <c r="L2696">
        <v>213.69589999999999</v>
      </c>
      <c r="M2696">
        <v>0.9994229</v>
      </c>
      <c r="N2696">
        <v>-6.8434890000000003E-3</v>
      </c>
      <c r="O2696">
        <v>3.3273690000000002E-2</v>
      </c>
      <c r="P2696">
        <v>0.97703799999999996</v>
      </c>
      <c r="Q2696">
        <v>0.21083160000000001</v>
      </c>
      <c r="R2696">
        <v>3.0772979999999998E-2</v>
      </c>
      <c r="S2696">
        <v>3.0656129999999999</v>
      </c>
      <c r="T2696">
        <v>-2.2919419999999999E-2</v>
      </c>
      <c r="U2696">
        <v>0.29426570000000002</v>
      </c>
      <c r="V2696">
        <v>1.762441E-3</v>
      </c>
      <c r="W2696">
        <v>0.2175163</v>
      </c>
      <c r="X2696">
        <v>0.97605509999999995</v>
      </c>
      <c r="Y2696">
        <v>-6.2371570000000001E-2</v>
      </c>
      <c r="Z2696">
        <v>4.257873E-4</v>
      </c>
      <c r="AA2696">
        <v>0.99805290000000002</v>
      </c>
      <c r="AB2696">
        <v>39</v>
      </c>
      <c r="AC2696">
        <v>156.11420000000001</v>
      </c>
      <c r="AD2696">
        <v>-1.1702319999999999</v>
      </c>
      <c r="AE2696">
        <v>15.0109999999999</v>
      </c>
      <c r="AF2696">
        <v>-9.8075247809373796</v>
      </c>
      <c r="AG2696">
        <v>-1.1702319999999999</v>
      </c>
      <c r="AH2696">
        <v>156.518520831111</v>
      </c>
      <c r="AI2696">
        <v>90.427533237214405</v>
      </c>
      <c r="AJ2696">
        <v>93.585493017811402</v>
      </c>
      <c r="AK2696">
        <v>156.82985796212799</v>
      </c>
      <c r="AL2696">
        <v>77.436804934186696</v>
      </c>
      <c r="AM2696">
        <v>89.896542396845106</v>
      </c>
      <c r="AN2696">
        <v>1.00000000259998</v>
      </c>
    </row>
    <row r="2697" spans="1:40" x14ac:dyDescent="0.25">
      <c r="A2697" t="str">
        <f>"20190303171029855"</f>
        <v>20190303171029855</v>
      </c>
      <c r="B2697" t="str">
        <f>"1551604229843636"</f>
        <v>1551604229843636</v>
      </c>
      <c r="C2697" t="s">
        <v>40</v>
      </c>
      <c r="D2697">
        <v>4.8536950000000001</v>
      </c>
      <c r="E2697">
        <v>0.4769333</v>
      </c>
      <c r="F2697" t="s">
        <v>41</v>
      </c>
      <c r="G2697">
        <v>-241.8639</v>
      </c>
      <c r="H2697">
        <v>-0.05</v>
      </c>
      <c r="I2697">
        <v>229.69919999999999</v>
      </c>
      <c r="J2697">
        <v>-408.80770000000001</v>
      </c>
      <c r="K2697">
        <v>1.120231</v>
      </c>
      <c r="L2697">
        <v>213.7088</v>
      </c>
      <c r="M2697">
        <v>0.9994229</v>
      </c>
      <c r="N2697">
        <v>-6.8517889999999996E-3</v>
      </c>
      <c r="O2697">
        <v>3.3274379999999999E-2</v>
      </c>
      <c r="P2697">
        <v>0.97692049999999997</v>
      </c>
      <c r="Q2697">
        <v>0.2114587</v>
      </c>
      <c r="R2697">
        <v>3.0200270000000001E-2</v>
      </c>
      <c r="S2697">
        <v>3.065887</v>
      </c>
      <c r="T2697">
        <v>-2.1440979999999998E-2</v>
      </c>
      <c r="U2697">
        <v>0.2932129</v>
      </c>
      <c r="V2697">
        <v>2.331442E-3</v>
      </c>
      <c r="W2697">
        <v>0.2181506</v>
      </c>
      <c r="X2697">
        <v>0.97591229999999995</v>
      </c>
      <c r="Y2697">
        <v>-6.2023090000000003E-2</v>
      </c>
      <c r="Z2697">
        <v>4.2490630000000001E-4</v>
      </c>
      <c r="AA2697">
        <v>0.99807469999999998</v>
      </c>
      <c r="AB2697">
        <v>39</v>
      </c>
      <c r="AC2697">
        <v>166.94380000000001</v>
      </c>
      <c r="AD2697">
        <v>-1.170231</v>
      </c>
      <c r="AE2697">
        <v>15.9903999999999</v>
      </c>
      <c r="AF2697">
        <v>-10.425956234491499</v>
      </c>
      <c r="AG2697">
        <v>-1.170231</v>
      </c>
      <c r="AH2697">
        <v>167.37528493188401</v>
      </c>
      <c r="AI2697">
        <v>90.399811165017198</v>
      </c>
      <c r="AJ2697">
        <v>93.564399981766698</v>
      </c>
      <c r="AK2697">
        <v>167.70377458490901</v>
      </c>
      <c r="AL2697">
        <v>77.399567576040596</v>
      </c>
      <c r="AM2697">
        <v>89.863121376119807</v>
      </c>
      <c r="AN2697">
        <v>0.99999996859672402</v>
      </c>
    </row>
    <row r="2698" spans="1:40" x14ac:dyDescent="0.25">
      <c r="A2698" t="str">
        <f>"20190303171029874"</f>
        <v>20190303171029874</v>
      </c>
      <c r="B2698" t="str">
        <f>"1551604229863156"</f>
        <v>1551604229863156</v>
      </c>
      <c r="C2698" t="s">
        <v>40</v>
      </c>
      <c r="D2698">
        <v>4.791499</v>
      </c>
      <c r="E2698">
        <v>0.47746369999999999</v>
      </c>
      <c r="F2698" t="s">
        <v>79</v>
      </c>
      <c r="G2698">
        <v>-234.64449999999999</v>
      </c>
      <c r="H2698">
        <v>24.118390000000002</v>
      </c>
      <c r="I2698">
        <v>230.6045</v>
      </c>
      <c r="J2698">
        <v>-408.45339999999999</v>
      </c>
      <c r="K2698">
        <v>1.120228</v>
      </c>
      <c r="L2698">
        <v>213.72059999999999</v>
      </c>
      <c r="M2698">
        <v>0.99942279999999994</v>
      </c>
      <c r="N2698">
        <v>-6.8594889999999999E-3</v>
      </c>
      <c r="O2698">
        <v>3.327513E-2</v>
      </c>
      <c r="P2698">
        <v>0.9769641</v>
      </c>
      <c r="Q2698">
        <v>0.21123529999999999</v>
      </c>
      <c r="R2698">
        <v>3.03532E-2</v>
      </c>
      <c r="S2698">
        <v>2.9768680000000001</v>
      </c>
      <c r="T2698">
        <v>0.39309379999999999</v>
      </c>
      <c r="U2698">
        <v>0.28878779999999998</v>
      </c>
      <c r="V2698">
        <v>2.1807670000000001E-3</v>
      </c>
      <c r="W2698">
        <v>0.2179352</v>
      </c>
      <c r="X2698">
        <v>0.97596079999999996</v>
      </c>
      <c r="Y2698">
        <v>-6.318551E-2</v>
      </c>
      <c r="Z2698">
        <v>6.6324179999999904E-4</v>
      </c>
      <c r="AA2698">
        <v>0.99800160000000004</v>
      </c>
      <c r="AB2698">
        <v>39</v>
      </c>
      <c r="AC2698">
        <v>173.80889999999999</v>
      </c>
      <c r="AD2698">
        <v>22.998162000000001</v>
      </c>
      <c r="AE2698">
        <v>16.883900000000001</v>
      </c>
      <c r="AF2698">
        <v>-10.9018134100375</v>
      </c>
      <c r="AG2698">
        <v>22.998162000000001</v>
      </c>
      <c r="AH2698">
        <v>171.30329193128401</v>
      </c>
      <c r="AI2698">
        <v>82.3687862623283</v>
      </c>
      <c r="AJ2698">
        <v>93.641416721036606</v>
      </c>
      <c r="AK2698">
        <v>173.18366787171399</v>
      </c>
      <c r="AL2698">
        <v>77.412213694733694</v>
      </c>
      <c r="AM2698">
        <v>89.871973815700997</v>
      </c>
      <c r="AN2698">
        <v>0.999999995140194</v>
      </c>
    </row>
    <row r="2699" spans="1:40" x14ac:dyDescent="0.25">
      <c r="A2699" t="str">
        <f>"20190303171029899"</f>
        <v>20190303171029899</v>
      </c>
      <c r="B2699" t="str">
        <f>"1551604229893409"</f>
        <v>1551604229893409</v>
      </c>
      <c r="C2699" t="s">
        <v>40</v>
      </c>
      <c r="D2699">
        <v>4.8210329999999999</v>
      </c>
      <c r="E2699">
        <v>0.47806579999999899</v>
      </c>
      <c r="F2699" t="s">
        <v>53</v>
      </c>
      <c r="G2699">
        <v>-324.09649999999999</v>
      </c>
      <c r="H2699">
        <v>8.0001219999999998E-2</v>
      </c>
      <c r="I2699">
        <v>222.25040000000001</v>
      </c>
      <c r="J2699">
        <v>-408.03800000000001</v>
      </c>
      <c r="K2699">
        <v>1.1202219999999901</v>
      </c>
      <c r="L2699">
        <v>213.7345</v>
      </c>
      <c r="M2699">
        <v>0.9994227</v>
      </c>
      <c r="N2699">
        <v>-6.8685860000000003E-3</v>
      </c>
      <c r="O2699">
        <v>3.3275930000000002E-2</v>
      </c>
      <c r="P2699">
        <v>0.97700189999999998</v>
      </c>
      <c r="Q2699">
        <v>0.21104970000000001</v>
      </c>
      <c r="R2699">
        <v>3.042131E-2</v>
      </c>
      <c r="S2699">
        <v>3.0692750000000002</v>
      </c>
      <c r="T2699">
        <v>-3.7848E-2</v>
      </c>
      <c r="U2699">
        <v>0.31034850000000003</v>
      </c>
      <c r="V2699">
        <v>2.1149469999999998E-3</v>
      </c>
      <c r="W2699">
        <v>0.2177588</v>
      </c>
      <c r="X2699">
        <v>0.97600030000000004</v>
      </c>
      <c r="Y2699">
        <v>-6.7430589999999999E-2</v>
      </c>
      <c r="Z2699">
        <v>4.6591789999999997E-4</v>
      </c>
      <c r="AA2699">
        <v>0.9977239</v>
      </c>
      <c r="AB2699">
        <v>39</v>
      </c>
      <c r="AC2699">
        <v>83.941500000000005</v>
      </c>
      <c r="AD2699">
        <v>-1.0402207799999901</v>
      </c>
      <c r="AE2699">
        <v>8.5159000000000091</v>
      </c>
      <c r="AF2699">
        <v>-5.7170176045862799</v>
      </c>
      <c r="AG2699">
        <v>-1.0402207799999901</v>
      </c>
      <c r="AH2699">
        <v>84.165599026880201</v>
      </c>
      <c r="AI2699">
        <v>90.706467087267598</v>
      </c>
      <c r="AJ2699">
        <v>93.885893930650099</v>
      </c>
      <c r="AK2699">
        <v>84.365955272940894</v>
      </c>
      <c r="AL2699">
        <v>77.422569148996004</v>
      </c>
      <c r="AM2699">
        <v>89.875842920003294</v>
      </c>
      <c r="AN2699">
        <v>0.99999997678917096</v>
      </c>
    </row>
    <row r="2700" spans="1:40" x14ac:dyDescent="0.25">
      <c r="A2700" t="str">
        <f>"20190303171029920"</f>
        <v>20190303171029920</v>
      </c>
      <c r="B2700" t="str">
        <f>"1551604229913905"</f>
        <v>1551604229913905</v>
      </c>
      <c r="C2700" t="s">
        <v>40</v>
      </c>
      <c r="D2700">
        <v>4.9283250000000001</v>
      </c>
      <c r="E2700">
        <v>0.47762880000000002</v>
      </c>
      <c r="F2700" t="s">
        <v>53</v>
      </c>
      <c r="G2700">
        <v>-332.12189999999998</v>
      </c>
      <c r="H2700">
        <v>8.0000360000000006E-2</v>
      </c>
      <c r="I2700">
        <v>221.30359999999999</v>
      </c>
      <c r="J2700">
        <v>-407.63049999999998</v>
      </c>
      <c r="K2700">
        <v>1.1202270000000001</v>
      </c>
      <c r="L2700">
        <v>213.74799999999999</v>
      </c>
      <c r="M2700">
        <v>0.99942260000000005</v>
      </c>
      <c r="N2700">
        <v>-6.8775069999999997E-3</v>
      </c>
      <c r="O2700">
        <v>3.3276729999999997E-2</v>
      </c>
      <c r="P2700">
        <v>0.97698770000000001</v>
      </c>
      <c r="Q2700">
        <v>0.21103440000000001</v>
      </c>
      <c r="R2700">
        <v>3.0979989999999999E-2</v>
      </c>
      <c r="S2700">
        <v>3.07016</v>
      </c>
      <c r="T2700">
        <v>-4.2068120000000001E-2</v>
      </c>
      <c r="U2700">
        <v>0.30610660000000001</v>
      </c>
      <c r="V2700">
        <v>1.55678E-3</v>
      </c>
      <c r="W2700">
        <v>0.2177518</v>
      </c>
      <c r="X2700">
        <v>0.97600290000000001</v>
      </c>
      <c r="Y2700">
        <v>-6.6035129999999997E-2</v>
      </c>
      <c r="Z2700">
        <v>4.5278640000000003E-4</v>
      </c>
      <c r="AA2700">
        <v>0.99781719999999896</v>
      </c>
      <c r="AB2700">
        <v>40</v>
      </c>
      <c r="AC2700">
        <v>75.508600000000001</v>
      </c>
      <c r="AD2700">
        <v>-1.04022664</v>
      </c>
      <c r="AE2700">
        <v>7.5555999999999903</v>
      </c>
      <c r="AF2700">
        <v>-5.03773021871375</v>
      </c>
      <c r="AG2700">
        <v>-1.04022664</v>
      </c>
      <c r="AH2700">
        <v>75.703986067198798</v>
      </c>
      <c r="AI2700">
        <v>90.785498187444404</v>
      </c>
      <c r="AJ2700">
        <v>93.807141015905898</v>
      </c>
      <c r="AK2700">
        <v>75.878549694111499</v>
      </c>
      <c r="AL2700">
        <v>77.4229799346774</v>
      </c>
      <c r="AM2700">
        <v>89.908610058448204</v>
      </c>
      <c r="AN2700">
        <v>0.999999965387808</v>
      </c>
    </row>
    <row r="2701" spans="1:40" x14ac:dyDescent="0.25">
      <c r="A2701" t="str">
        <f>"20190303171029944"</f>
        <v>20190303171029944</v>
      </c>
      <c r="B2701" t="str">
        <f>"1551604229933428"</f>
        <v>1551604229933428</v>
      </c>
      <c r="C2701" t="s">
        <v>40</v>
      </c>
      <c r="D2701">
        <v>4.9176780000000004</v>
      </c>
      <c r="E2701">
        <v>0.47743029999999997</v>
      </c>
      <c r="F2701" t="s">
        <v>60</v>
      </c>
      <c r="G2701">
        <v>-319.28530000000001</v>
      </c>
      <c r="H2701">
        <v>7.9999899999999902E-2</v>
      </c>
      <c r="I2701">
        <v>222.68969999999999</v>
      </c>
      <c r="J2701">
        <v>-407.21899999999999</v>
      </c>
      <c r="K2701">
        <v>1.120228</v>
      </c>
      <c r="L2701">
        <v>213.76179999999999</v>
      </c>
      <c r="M2701">
        <v>0.99942240000000004</v>
      </c>
      <c r="N2701">
        <v>-6.8864449999999997E-3</v>
      </c>
      <c r="O2701">
        <v>3.327753E-2</v>
      </c>
      <c r="P2701">
        <v>0.9768424</v>
      </c>
      <c r="Q2701">
        <v>0.2117059</v>
      </c>
      <c r="R2701">
        <v>3.097134E-2</v>
      </c>
      <c r="S2701">
        <v>3.0685730000000002</v>
      </c>
      <c r="T2701">
        <v>-3.6131139999999999E-2</v>
      </c>
      <c r="U2701">
        <v>0.3105774</v>
      </c>
      <c r="V2701">
        <v>1.5615379999999999E-3</v>
      </c>
      <c r="W2701">
        <v>0.21843119999999999</v>
      </c>
      <c r="X2701">
        <v>0.97585109999999997</v>
      </c>
      <c r="Y2701">
        <v>-6.7525940000000007E-2</v>
      </c>
      <c r="Z2701">
        <v>4.6774160000000002E-4</v>
      </c>
      <c r="AA2701">
        <v>0.99771739999999998</v>
      </c>
      <c r="AB2701">
        <v>40</v>
      </c>
      <c r="AC2701">
        <v>87.933699999999902</v>
      </c>
      <c r="AD2701">
        <v>-1.0402281</v>
      </c>
      <c r="AE2701">
        <v>8.9278999999999904</v>
      </c>
      <c r="AF2701">
        <v>-5.9958387395146202</v>
      </c>
      <c r="AG2701">
        <v>-1.0402281</v>
      </c>
      <c r="AH2701">
        <v>88.169888354657999</v>
      </c>
      <c r="AI2701">
        <v>90.674386699876294</v>
      </c>
      <c r="AJ2701">
        <v>93.890309615443002</v>
      </c>
      <c r="AK2701">
        <v>88.379643409346002</v>
      </c>
      <c r="AL2701">
        <v>77.383093459376695</v>
      </c>
      <c r="AM2701">
        <v>89.908316483339604</v>
      </c>
      <c r="AN2701">
        <v>0.99999999845278698</v>
      </c>
    </row>
    <row r="2702" spans="1:40" x14ac:dyDescent="0.25">
      <c r="A2702" t="str">
        <f>"20190303171029965"</f>
        <v>20190303171029965</v>
      </c>
      <c r="B2702" t="str">
        <f>"1551604229953921"</f>
        <v>1551604229953921</v>
      </c>
      <c r="C2702" t="s">
        <v>40</v>
      </c>
      <c r="D2702">
        <v>4.7679220000000004</v>
      </c>
      <c r="E2702">
        <v>0.4775798</v>
      </c>
      <c r="F2702" t="s">
        <v>60</v>
      </c>
      <c r="G2702">
        <v>-295.54500000000002</v>
      </c>
      <c r="H2702" s="1">
        <v>8.9430200000000001E-7</v>
      </c>
      <c r="I2702">
        <v>225.12029999999999</v>
      </c>
      <c r="J2702">
        <v>-406.84140000000002</v>
      </c>
      <c r="K2702">
        <v>1.1202289999999999</v>
      </c>
      <c r="L2702">
        <v>213.77430000000001</v>
      </c>
      <c r="M2702">
        <v>0.99942249999999999</v>
      </c>
      <c r="N2702">
        <v>-6.8946340000000002E-3</v>
      </c>
      <c r="O2702">
        <v>3.3278160000000001E-2</v>
      </c>
      <c r="P2702">
        <v>0.97665069999999998</v>
      </c>
      <c r="Q2702">
        <v>0.21250060000000001</v>
      </c>
      <c r="R2702">
        <v>3.1578700000000001E-2</v>
      </c>
      <c r="S2702">
        <v>3.0679020000000001</v>
      </c>
      <c r="T2702">
        <v>-3.077483E-2</v>
      </c>
      <c r="U2702">
        <v>0.31204219999999999</v>
      </c>
      <c r="V2702">
        <v>9.4860370000000003E-4</v>
      </c>
      <c r="W2702">
        <v>0.21923290000000001</v>
      </c>
      <c r="X2702">
        <v>0.97567210000000004</v>
      </c>
      <c r="Y2702">
        <v>-6.8020120000000003E-2</v>
      </c>
      <c r="Z2702">
        <v>4.7159239999999998E-4</v>
      </c>
      <c r="AA2702">
        <v>0.99768380000000001</v>
      </c>
      <c r="AB2702">
        <v>40</v>
      </c>
      <c r="AC2702">
        <v>111.29640000000001</v>
      </c>
      <c r="AD2702">
        <v>-1.1202281056979999</v>
      </c>
      <c r="AE2702">
        <v>11.345999999999901</v>
      </c>
      <c r="AF2702">
        <v>-7.6351230488187101</v>
      </c>
      <c r="AG2702">
        <v>-1.1202281056979999</v>
      </c>
      <c r="AH2702">
        <v>111.601146142869</v>
      </c>
      <c r="AI2702">
        <v>90.573762198894599</v>
      </c>
      <c r="AJ2702">
        <v>93.913756598441793</v>
      </c>
      <c r="AK2702">
        <v>111.867626395581</v>
      </c>
      <c r="AL2702">
        <v>77.336018543567306</v>
      </c>
      <c r="AM2702">
        <v>89.944293814166798</v>
      </c>
      <c r="AN2702">
        <v>1.0000000055048901</v>
      </c>
    </row>
    <row r="2703" spans="1:40" x14ac:dyDescent="0.25">
      <c r="A2703" t="str">
        <f>"20190303171029988"</f>
        <v>20190303171029988</v>
      </c>
      <c r="B2703" t="str">
        <f>"1551604229973441"</f>
        <v>1551604229973441</v>
      </c>
      <c r="C2703" t="s">
        <v>40</v>
      </c>
      <c r="D2703">
        <v>4.6867830000000001</v>
      </c>
      <c r="E2703">
        <v>0.47880010000000001</v>
      </c>
      <c r="F2703" t="s">
        <v>60</v>
      </c>
      <c r="G2703">
        <v>-289.95780000000002</v>
      </c>
      <c r="H2703">
        <v>1.7851369999999998E-2</v>
      </c>
      <c r="I2703">
        <v>225.6943</v>
      </c>
      <c r="J2703">
        <v>-406.45229999999998</v>
      </c>
      <c r="K2703">
        <v>1.1202219999999901</v>
      </c>
      <c r="L2703">
        <v>213.78729999999999</v>
      </c>
      <c r="M2703">
        <v>0.99942229999999999</v>
      </c>
      <c r="N2703">
        <v>-6.903101E-3</v>
      </c>
      <c r="O2703">
        <v>3.3279139999999999E-2</v>
      </c>
      <c r="P2703">
        <v>0.97657640000000001</v>
      </c>
      <c r="Q2703">
        <v>0.21268909999999999</v>
      </c>
      <c r="R2703">
        <v>3.258846E-2</v>
      </c>
      <c r="S2703">
        <v>3.0678709999999998</v>
      </c>
      <c r="T2703">
        <v>-2.8934359999999999E-2</v>
      </c>
      <c r="U2703">
        <v>0.31286619999999998</v>
      </c>
      <c r="V2703" s="1">
        <v>-6.2065660000000002E-5</v>
      </c>
      <c r="W2703">
        <v>0.21942919999999999</v>
      </c>
      <c r="X2703">
        <v>0.97562839999999995</v>
      </c>
      <c r="Y2703">
        <v>-6.8285789999999999E-2</v>
      </c>
      <c r="Z2703">
        <v>4.7387999999999998E-4</v>
      </c>
      <c r="AA2703">
        <v>0.99766569999999999</v>
      </c>
      <c r="AB2703">
        <v>40</v>
      </c>
      <c r="AC2703">
        <v>116.49449999999899</v>
      </c>
      <c r="AD2703">
        <v>-1.10237062999999</v>
      </c>
      <c r="AE2703">
        <v>11.907</v>
      </c>
      <c r="AF2703">
        <v>-8.0227643964230708</v>
      </c>
      <c r="AG2703">
        <v>-1.10237062999999</v>
      </c>
      <c r="AH2703">
        <v>116.81588210392199</v>
      </c>
      <c r="AI2703">
        <v>90.539403447864899</v>
      </c>
      <c r="AJ2703">
        <v>93.928831001043605</v>
      </c>
      <c r="AK2703">
        <v>117.096243668547</v>
      </c>
      <c r="AL2703">
        <v>77.324490307780707</v>
      </c>
      <c r="AM2703">
        <v>90.003644933220301</v>
      </c>
      <c r="AN2703">
        <v>0.99999997627567205</v>
      </c>
    </row>
    <row r="2704" spans="1:40" x14ac:dyDescent="0.25">
      <c r="A2704" t="str">
        <f>"20190303171030023"</f>
        <v>20190303171030023</v>
      </c>
      <c r="B2704" t="str">
        <f>"1551604230013457"</f>
        <v>1551604230013457</v>
      </c>
      <c r="C2704" t="s">
        <v>40</v>
      </c>
      <c r="D2704">
        <v>4.8459709999999996</v>
      </c>
      <c r="E2704">
        <v>0.4774871</v>
      </c>
      <c r="F2704" t="s">
        <v>49</v>
      </c>
      <c r="G2704">
        <v>-157.8382</v>
      </c>
      <c r="H2704">
        <v>33.465089999999996</v>
      </c>
      <c r="I2704">
        <v>237.26949999999999</v>
      </c>
      <c r="J2704">
        <v>-405.81799999999998</v>
      </c>
      <c r="K2704">
        <v>1.120223</v>
      </c>
      <c r="L2704">
        <v>213.80840000000001</v>
      </c>
      <c r="M2704">
        <v>0.9994227</v>
      </c>
      <c r="N2704">
        <v>-6.9169510000000002E-3</v>
      </c>
      <c r="O2704">
        <v>3.326527E-2</v>
      </c>
      <c r="P2704">
        <v>0.97634900000000002</v>
      </c>
      <c r="Q2704">
        <v>0.2135021</v>
      </c>
      <c r="R2704">
        <v>3.4054609999999999E-2</v>
      </c>
      <c r="S2704">
        <v>2.97818</v>
      </c>
      <c r="T2704">
        <v>0.38746370000000002</v>
      </c>
      <c r="U2704">
        <v>0.28129579999999998</v>
      </c>
      <c r="V2704">
        <v>-1.544981E-3</v>
      </c>
      <c r="W2704">
        <v>0.2202549</v>
      </c>
      <c r="X2704">
        <v>0.97544109999999995</v>
      </c>
      <c r="Y2704">
        <v>-6.0691700000000001E-2</v>
      </c>
      <c r="Z2704">
        <v>8.1501580000000004E-4</v>
      </c>
      <c r="AA2704">
        <v>0.99815620000000005</v>
      </c>
      <c r="AB2704">
        <v>40</v>
      </c>
      <c r="AC2704">
        <v>247.97980000000001</v>
      </c>
      <c r="AD2704">
        <v>32.344867000000001</v>
      </c>
      <c r="AE2704">
        <v>23.461099999999899</v>
      </c>
      <c r="AF2704">
        <v>-14.9467714148595</v>
      </c>
      <c r="AG2704">
        <v>32.344867000000001</v>
      </c>
      <c r="AH2704">
        <v>244.50025525431701</v>
      </c>
      <c r="AI2704">
        <v>82.477996538717605</v>
      </c>
      <c r="AJ2704">
        <v>93.498247883293203</v>
      </c>
      <c r="AK2704">
        <v>247.08292376528499</v>
      </c>
      <c r="AL2704">
        <v>77.275994726913595</v>
      </c>
      <c r="AM2704">
        <v>90.090749525219593</v>
      </c>
      <c r="AN2704">
        <v>0.99999997375475402</v>
      </c>
    </row>
    <row r="2705" spans="1:40" x14ac:dyDescent="0.25">
      <c r="A2705" t="str">
        <f>"20190303171030044"</f>
        <v>20190303171030044</v>
      </c>
      <c r="B2705" t="str">
        <f>"1551604230032976"</f>
        <v>1551604230032976</v>
      </c>
      <c r="C2705" t="s">
        <v>40</v>
      </c>
      <c r="D2705">
        <v>4.9560040000000001</v>
      </c>
      <c r="E2705">
        <v>0.50471659999999996</v>
      </c>
      <c r="F2705" t="s">
        <v>78</v>
      </c>
      <c r="G2705">
        <v>-256.2647</v>
      </c>
      <c r="H2705">
        <v>0.1853919</v>
      </c>
      <c r="I2705">
        <v>229.3759</v>
      </c>
      <c r="J2705">
        <v>-405.43029999999999</v>
      </c>
      <c r="K2705">
        <v>1.1202099999999999</v>
      </c>
      <c r="L2705">
        <v>213.82130000000001</v>
      </c>
      <c r="M2705">
        <v>0.99942379999999997</v>
      </c>
      <c r="N2705">
        <v>-6.9253759999999996E-3</v>
      </c>
      <c r="O2705">
        <v>3.32275E-2</v>
      </c>
      <c r="P2705">
        <v>0.97617039999999999</v>
      </c>
      <c r="Q2705">
        <v>0.21432499999999999</v>
      </c>
      <c r="R2705">
        <v>3.4003100000000001E-2</v>
      </c>
      <c r="S2705">
        <v>3.0657350000000001</v>
      </c>
      <c r="T2705">
        <v>-1.916265E-2</v>
      </c>
      <c r="U2705">
        <v>0.31912230000000003</v>
      </c>
      <c r="V2705">
        <v>-1.5284070000000001E-3</v>
      </c>
      <c r="W2705">
        <v>0.22108459999999999</v>
      </c>
      <c r="X2705">
        <v>0.97525340000000005</v>
      </c>
      <c r="Y2705">
        <v>-7.0424089999999995E-2</v>
      </c>
      <c r="Z2705">
        <v>4.8663759999999998E-4</v>
      </c>
      <c r="AA2705">
        <v>0.99751699999999999</v>
      </c>
      <c r="AB2705">
        <v>40</v>
      </c>
      <c r="AC2705">
        <v>149.16559999999899</v>
      </c>
      <c r="AD2705">
        <v>-0.93481809999999999</v>
      </c>
      <c r="AE2705">
        <v>15.554599999999899</v>
      </c>
      <c r="AF2705">
        <v>-10.5890802097246</v>
      </c>
      <c r="AG2705">
        <v>-0.93481809999999999</v>
      </c>
      <c r="AH2705">
        <v>149.59426966606901</v>
      </c>
      <c r="AI2705">
        <v>90.357144403545803</v>
      </c>
      <c r="AJ2705">
        <v>94.048947348294703</v>
      </c>
      <c r="AK2705">
        <v>149.97149069570699</v>
      </c>
      <c r="AL2705">
        <v>77.227254800380393</v>
      </c>
      <c r="AM2705">
        <v>90.089793277095197</v>
      </c>
      <c r="AN2705">
        <v>0.99999996529833801</v>
      </c>
    </row>
    <row r="2706" spans="1:40" x14ac:dyDescent="0.25">
      <c r="A2706" t="str">
        <f>"20190303171030065"</f>
        <v>20190303171030065</v>
      </c>
      <c r="B2706" t="str">
        <f>"1551604230053403"</f>
        <v>1551604230053403</v>
      </c>
      <c r="C2706" t="s">
        <v>40</v>
      </c>
      <c r="D2706">
        <v>4.8392819999999999</v>
      </c>
      <c r="E2706">
        <v>0.50674169999999996</v>
      </c>
      <c r="F2706" t="s">
        <v>49</v>
      </c>
      <c r="G2706">
        <v>-166.905</v>
      </c>
      <c r="H2706">
        <v>0.57469459999999895</v>
      </c>
      <c r="I2706">
        <v>221.6901</v>
      </c>
      <c r="J2706">
        <v>-405.05220000000003</v>
      </c>
      <c r="K2706">
        <v>1.120187</v>
      </c>
      <c r="L2706">
        <v>213.8338</v>
      </c>
      <c r="M2706">
        <v>0.99942620000000004</v>
      </c>
      <c r="N2706">
        <v>-6.9337740000000002E-3</v>
      </c>
      <c r="O2706">
        <v>3.315879E-2</v>
      </c>
      <c r="P2706">
        <v>0.97611680000000001</v>
      </c>
      <c r="Q2706">
        <v>0.21463599999999999</v>
      </c>
      <c r="R2706">
        <v>3.3579699999999997E-2</v>
      </c>
      <c r="S2706">
        <v>3.071259</v>
      </c>
      <c r="T2706">
        <v>-7.0233350000000003E-3</v>
      </c>
      <c r="U2706">
        <v>0.1013184</v>
      </c>
      <c r="V2706">
        <v>-1.1614069999999999E-3</v>
      </c>
      <c r="W2706">
        <v>0.22140360000000001</v>
      </c>
      <c r="X2706">
        <v>0.97518159999999998</v>
      </c>
      <c r="Y2706">
        <v>1.8806270000000001E-4</v>
      </c>
      <c r="Z2706">
        <v>1.532665E-4</v>
      </c>
      <c r="AA2706">
        <v>1</v>
      </c>
      <c r="AB2706">
        <v>40</v>
      </c>
      <c r="AC2706">
        <v>238.1472</v>
      </c>
      <c r="AD2706">
        <v>-0.54549239999999999</v>
      </c>
      <c r="AE2706">
        <v>7.8563000000000001</v>
      </c>
      <c r="AF2706">
        <v>4.4881775519042003E-2</v>
      </c>
      <c r="AG2706">
        <v>-0.54549239999999999</v>
      </c>
      <c r="AH2706">
        <v>238.27549849683999</v>
      </c>
      <c r="AI2706">
        <v>90.131168992688401</v>
      </c>
      <c r="AJ2706">
        <v>89.989207718375994</v>
      </c>
      <c r="AK2706">
        <v>238.276127130373</v>
      </c>
      <c r="AL2706">
        <v>77.208513810432194</v>
      </c>
      <c r="AM2706">
        <v>90.0682372267228</v>
      </c>
      <c r="AN2706">
        <v>1.0000000279688599</v>
      </c>
    </row>
    <row r="2707" spans="1:40" x14ac:dyDescent="0.25">
      <c r="A2707" t="str">
        <f>"20190303171030087"</f>
        <v>20190303171030087</v>
      </c>
      <c r="B2707" t="str">
        <f>"1551604230073896"</f>
        <v>1551604230073896</v>
      </c>
      <c r="C2707" t="s">
        <v>40</v>
      </c>
      <c r="D2707">
        <v>4.7313989999999997</v>
      </c>
      <c r="E2707">
        <v>0.50808969999999998</v>
      </c>
      <c r="F2707" t="s">
        <v>49</v>
      </c>
      <c r="G2707">
        <v>-157.8382</v>
      </c>
      <c r="H2707">
        <v>0.61006930000000004</v>
      </c>
      <c r="I2707">
        <v>220.57040000000001</v>
      </c>
      <c r="J2707">
        <v>-404.64249999999998</v>
      </c>
      <c r="K2707">
        <v>1.120147</v>
      </c>
      <c r="L2707">
        <v>213.84729999999999</v>
      </c>
      <c r="M2707">
        <v>0.99943040000000005</v>
      </c>
      <c r="N2707">
        <v>-6.9429579999999999E-3</v>
      </c>
      <c r="O2707">
        <v>3.3028950000000001E-2</v>
      </c>
      <c r="P2707">
        <v>0.97625139999999999</v>
      </c>
      <c r="Q2707">
        <v>0.2141315</v>
      </c>
      <c r="R2707">
        <v>3.28846E-2</v>
      </c>
      <c r="S2707">
        <v>3.07193</v>
      </c>
      <c r="T2707">
        <v>-6.33812E-3</v>
      </c>
      <c r="U2707">
        <v>8.3709720000000001E-2</v>
      </c>
      <c r="V2707">
        <v>-5.6812870000000001E-4</v>
      </c>
      <c r="W2707">
        <v>0.2209084</v>
      </c>
      <c r="X2707">
        <v>0.97529440000000001</v>
      </c>
      <c r="Y2707">
        <v>5.7921309999999998E-3</v>
      </c>
      <c r="Z2707">
        <v>1.351341E-4</v>
      </c>
      <c r="AA2707">
        <v>0.99998319999999996</v>
      </c>
      <c r="AB2707">
        <v>40</v>
      </c>
      <c r="AC2707">
        <v>246.80430000000001</v>
      </c>
      <c r="AD2707">
        <v>-0.51007769999999997</v>
      </c>
      <c r="AE2707">
        <v>6.7231000000000103</v>
      </c>
      <c r="AF2707">
        <v>1.43244460173814</v>
      </c>
      <c r="AG2707">
        <v>-0.51007769999999997</v>
      </c>
      <c r="AH2707">
        <v>246.89064445493699</v>
      </c>
      <c r="AI2707">
        <v>90.118371297676802</v>
      </c>
      <c r="AJ2707">
        <v>89.667577079164701</v>
      </c>
      <c r="AK2707">
        <v>246.895326800997</v>
      </c>
      <c r="AL2707">
        <v>77.237606780453305</v>
      </c>
      <c r="AM2707">
        <v>90.033375945815294</v>
      </c>
      <c r="AN2707">
        <v>1.00000000531606</v>
      </c>
    </row>
    <row r="2708" spans="1:40" x14ac:dyDescent="0.25">
      <c r="A2708" t="str">
        <f>"20190303171030110"</f>
        <v>20190303171030110</v>
      </c>
      <c r="B2708" t="str">
        <f>"1551604230103176"</f>
        <v>1551604230103176</v>
      </c>
      <c r="C2708" t="s">
        <v>40</v>
      </c>
      <c r="D2708">
        <v>4.6600760000000001</v>
      </c>
      <c r="E2708">
        <v>0.51005940000000005</v>
      </c>
      <c r="F2708" t="s">
        <v>49</v>
      </c>
      <c r="G2708">
        <v>-157.8382</v>
      </c>
      <c r="H2708">
        <v>0.56798930000000003</v>
      </c>
      <c r="I2708">
        <v>219.48009999999999</v>
      </c>
      <c r="J2708">
        <v>-404.21519999999998</v>
      </c>
      <c r="K2708">
        <v>1.1200859999999999</v>
      </c>
      <c r="L2708">
        <v>213.8613</v>
      </c>
      <c r="M2708">
        <v>0.99943720000000003</v>
      </c>
      <c r="N2708">
        <v>-6.9526559999999998E-3</v>
      </c>
      <c r="O2708">
        <v>3.282239E-2</v>
      </c>
      <c r="P2708">
        <v>0.97628890000000002</v>
      </c>
      <c r="Q2708">
        <v>0.2141217</v>
      </c>
      <c r="R2708">
        <v>3.182111E-2</v>
      </c>
      <c r="S2708">
        <v>3.0721129999999999</v>
      </c>
      <c r="T2708">
        <v>-6.872296E-3</v>
      </c>
      <c r="U2708">
        <v>7.0114140000000005E-2</v>
      </c>
      <c r="V2708">
        <v>3.2320709999999998E-4</v>
      </c>
      <c r="W2708">
        <v>0.22090789999999999</v>
      </c>
      <c r="X2708">
        <v>0.97529460000000001</v>
      </c>
      <c r="Y2708">
        <v>1.000963E-2</v>
      </c>
      <c r="Z2708">
        <v>1.088353E-4</v>
      </c>
      <c r="AA2708">
        <v>0.99994989999999995</v>
      </c>
      <c r="AB2708">
        <v>40</v>
      </c>
      <c r="AC2708">
        <v>246.37700000000001</v>
      </c>
      <c r="AD2708">
        <v>-0.5520967</v>
      </c>
      <c r="AE2708">
        <v>5.6187999999999896</v>
      </c>
      <c r="AF2708">
        <v>2.4710911146709398</v>
      </c>
      <c r="AG2708">
        <v>-0.5520967</v>
      </c>
      <c r="AH2708">
        <v>246.42743583903101</v>
      </c>
      <c r="AI2708">
        <v>90.128358952745998</v>
      </c>
      <c r="AJ2708">
        <v>89.425476526651494</v>
      </c>
      <c r="AK2708">
        <v>246.44044358883701</v>
      </c>
      <c r="AL2708">
        <v>77.237635835440202</v>
      </c>
      <c r="AM2708">
        <v>89.981012504261997</v>
      </c>
      <c r="AN2708">
        <v>0.99999998076719898</v>
      </c>
    </row>
    <row r="2709" spans="1:40" x14ac:dyDescent="0.25">
      <c r="A2709" t="str">
        <f>"20190303171030133"</f>
        <v>20190303171030133</v>
      </c>
      <c r="B2709" t="str">
        <f>"1551604230123675"</f>
        <v>1551604230123675</v>
      </c>
      <c r="C2709" t="s">
        <v>40</v>
      </c>
      <c r="D2709">
        <v>4.5662459999999996</v>
      </c>
      <c r="E2709">
        <v>0.51043170000000004</v>
      </c>
      <c r="F2709" t="s">
        <v>77</v>
      </c>
      <c r="G2709">
        <v>-107.39749999999999</v>
      </c>
      <c r="H2709">
        <v>0.48318949999999999</v>
      </c>
      <c r="I2709">
        <v>218.82419999999999</v>
      </c>
      <c r="J2709">
        <v>-403.80560000000003</v>
      </c>
      <c r="K2709">
        <v>1.1200220000000001</v>
      </c>
      <c r="L2709">
        <v>213.87450000000001</v>
      </c>
      <c r="M2709">
        <v>0.99944569999999999</v>
      </c>
      <c r="N2709">
        <v>-6.962083E-3</v>
      </c>
      <c r="O2709">
        <v>3.2553070000000003E-2</v>
      </c>
      <c r="P2709">
        <v>0.97630850000000002</v>
      </c>
      <c r="Q2709">
        <v>0.2143082</v>
      </c>
      <c r="R2709">
        <v>2.9894170000000001E-2</v>
      </c>
      <c r="S2709">
        <v>3.0726619999999998</v>
      </c>
      <c r="T2709">
        <v>-6.5926309999999998E-3</v>
      </c>
      <c r="U2709">
        <v>5.137634E-2</v>
      </c>
      <c r="V2709">
        <v>2.0182709999999999E-3</v>
      </c>
      <c r="W2709">
        <v>0.22110270000000001</v>
      </c>
      <c r="X2709">
        <v>0.97524849999999996</v>
      </c>
      <c r="Y2709">
        <v>1.5839519999999999E-2</v>
      </c>
      <c r="Z2709" s="1">
        <v>8.4710009999999994E-5</v>
      </c>
      <c r="AA2709">
        <v>0.9998745</v>
      </c>
      <c r="AB2709">
        <v>41</v>
      </c>
      <c r="AC2709">
        <v>296.40809999999999</v>
      </c>
      <c r="AD2709">
        <v>-0.63683249999999902</v>
      </c>
      <c r="AE2709">
        <v>4.9496999999999698</v>
      </c>
      <c r="AF2709">
        <v>4.7021297884353199</v>
      </c>
      <c r="AG2709">
        <v>-0.63683249999999902</v>
      </c>
      <c r="AH2709">
        <v>296.41076253317999</v>
      </c>
      <c r="AI2709">
        <v>90.123083142512201</v>
      </c>
      <c r="AJ2709">
        <v>89.091161220697998</v>
      </c>
      <c r="AK2709">
        <v>296.44874046904198</v>
      </c>
      <c r="AL2709">
        <v>77.226192623031594</v>
      </c>
      <c r="AM2709">
        <v>89.881426892603798</v>
      </c>
      <c r="AN2709">
        <v>1.00000005705868</v>
      </c>
    </row>
    <row r="2710" spans="1:40" x14ac:dyDescent="0.25">
      <c r="A2710" t="str">
        <f>"20190303171030154"</f>
        <v>20190303171030154</v>
      </c>
      <c r="B2710" t="str">
        <f>"1551604230143191"</f>
        <v>1551604230143191</v>
      </c>
      <c r="C2710" t="s">
        <v>40</v>
      </c>
      <c r="D2710">
        <v>4.8300080000000003</v>
      </c>
      <c r="E2710">
        <v>0.51539199999999996</v>
      </c>
      <c r="F2710" t="s">
        <v>77</v>
      </c>
      <c r="G2710">
        <v>-107.39749999999999</v>
      </c>
      <c r="H2710">
        <v>0.53040500000000002</v>
      </c>
      <c r="I2710">
        <v>218.00319999999999</v>
      </c>
      <c r="J2710">
        <v>-403.42259999999999</v>
      </c>
      <c r="K2710">
        <v>1.119961</v>
      </c>
      <c r="L2710">
        <v>213.88669999999999</v>
      </c>
      <c r="M2710">
        <v>0.99945589999999995</v>
      </c>
      <c r="N2710">
        <v>-6.9709669999999998E-3</v>
      </c>
      <c r="O2710">
        <v>3.2239070000000002E-2</v>
      </c>
      <c r="P2710">
        <v>0.97645439999999994</v>
      </c>
      <c r="Q2710">
        <v>0.2138688</v>
      </c>
      <c r="R2710">
        <v>2.823937E-2</v>
      </c>
      <c r="S2710">
        <v>3.072784</v>
      </c>
      <c r="T2710">
        <v>-6.1118600000000002E-3</v>
      </c>
      <c r="U2710">
        <v>4.2800900000000003E-2</v>
      </c>
      <c r="V2710">
        <v>3.3994089999999999E-3</v>
      </c>
      <c r="W2710">
        <v>0.22067120000000001</v>
      </c>
      <c r="X2710">
        <v>0.9753423</v>
      </c>
      <c r="Y2710">
        <v>1.8315729999999999E-2</v>
      </c>
      <c r="Z2710" s="1">
        <v>7.8604670000000001E-5</v>
      </c>
      <c r="AA2710">
        <v>0.99983230000000001</v>
      </c>
      <c r="AB2710">
        <v>41</v>
      </c>
      <c r="AC2710">
        <v>296.02510000000001</v>
      </c>
      <c r="AD2710">
        <v>-0.58955599999999997</v>
      </c>
      <c r="AE2710">
        <v>4.1165000000000003</v>
      </c>
      <c r="AF2710">
        <v>5.4294239687754402</v>
      </c>
      <c r="AG2710">
        <v>-0.58955599999999997</v>
      </c>
      <c r="AH2710">
        <v>296.002756083804</v>
      </c>
      <c r="AI2710">
        <v>90.114098075970205</v>
      </c>
      <c r="AJ2710">
        <v>88.949171277487594</v>
      </c>
      <c r="AK2710">
        <v>296.05313345769099</v>
      </c>
      <c r="AL2710">
        <v>77.251540742142694</v>
      </c>
      <c r="AM2710">
        <v>89.800304980240696</v>
      </c>
      <c r="AN2710">
        <v>0.99999996833013904</v>
      </c>
    </row>
    <row r="2711" spans="1:40" x14ac:dyDescent="0.25">
      <c r="A2711" t="str">
        <f>"20190303171030177"</f>
        <v>20190303171030177</v>
      </c>
      <c r="B2711" t="str">
        <f>"1551604230163688"</f>
        <v>1551604230163688</v>
      </c>
      <c r="C2711" t="s">
        <v>40</v>
      </c>
      <c r="D2711">
        <v>4.7305809999999999</v>
      </c>
      <c r="E2711">
        <v>0.51319329999999996</v>
      </c>
      <c r="F2711" t="s">
        <v>77</v>
      </c>
      <c r="G2711">
        <v>-107.39749999999999</v>
      </c>
      <c r="H2711">
        <v>40.284970000000001</v>
      </c>
      <c r="I2711">
        <v>211.49250000000001</v>
      </c>
      <c r="J2711">
        <v>-403.01909999999998</v>
      </c>
      <c r="K2711">
        <v>1.119902</v>
      </c>
      <c r="L2711">
        <v>213.89949999999999</v>
      </c>
      <c r="M2711">
        <v>0.99946829999999998</v>
      </c>
      <c r="N2711">
        <v>-6.980287E-3</v>
      </c>
      <c r="O2711">
        <v>3.1853729999999997E-2</v>
      </c>
      <c r="P2711">
        <v>0.9766513</v>
      </c>
      <c r="Q2711">
        <v>0.213086</v>
      </c>
      <c r="R2711">
        <v>2.732772E-2</v>
      </c>
      <c r="S2711">
        <v>2.9864809999999999</v>
      </c>
      <c r="T2711">
        <v>0.3951209</v>
      </c>
      <c r="U2711">
        <v>-2.4154660000000001E-2</v>
      </c>
      <c r="V2711">
        <v>3.9687150000000003E-3</v>
      </c>
      <c r="W2711">
        <v>0.21989810000000001</v>
      </c>
      <c r="X2711">
        <v>0.97551480000000002</v>
      </c>
      <c r="Y2711">
        <v>3.930525E-2</v>
      </c>
      <c r="Z2711">
        <v>6.8679880000000002E-3</v>
      </c>
      <c r="AA2711">
        <v>0.99920359999999997</v>
      </c>
      <c r="AB2711">
        <v>41</v>
      </c>
      <c r="AC2711">
        <v>295.6216</v>
      </c>
      <c r="AD2711">
        <v>39.165067999999998</v>
      </c>
      <c r="AE2711">
        <v>-2.40699999999998</v>
      </c>
      <c r="AF2711">
        <v>11.6187392320701</v>
      </c>
      <c r="AG2711">
        <v>39.165067999999998</v>
      </c>
      <c r="AH2711">
        <v>290.29991058660499</v>
      </c>
      <c r="AI2711">
        <v>82.322552790271104</v>
      </c>
      <c r="AJ2711">
        <v>87.708061272937002</v>
      </c>
      <c r="AK2711">
        <v>293.16025607059697</v>
      </c>
      <c r="AL2711">
        <v>77.296952333694904</v>
      </c>
      <c r="AM2711">
        <v>89.766903213497102</v>
      </c>
      <c r="AN2711">
        <v>1.0000000250507</v>
      </c>
    </row>
    <row r="2712" spans="1:40" x14ac:dyDescent="0.25">
      <c r="A2712" t="str">
        <f>"20190303171030198"</f>
        <v>20190303171030198</v>
      </c>
      <c r="B2712" t="str">
        <f>"1551604230192968"</f>
        <v>1551604230192968</v>
      </c>
      <c r="C2712" t="s">
        <v>40</v>
      </c>
      <c r="D2712">
        <v>4.8365019999999896</v>
      </c>
      <c r="E2712">
        <v>0.51355209999999996</v>
      </c>
      <c r="F2712" t="s">
        <v>77</v>
      </c>
      <c r="G2712">
        <v>-107.39749999999999</v>
      </c>
      <c r="H2712">
        <v>0.93537210000000004</v>
      </c>
      <c r="I2712">
        <v>215.18289999999999</v>
      </c>
      <c r="J2712">
        <v>-402.60629999999998</v>
      </c>
      <c r="K2712">
        <v>1.119848</v>
      </c>
      <c r="L2712">
        <v>213.91229999999999</v>
      </c>
      <c r="M2712">
        <v>0.99948219999999999</v>
      </c>
      <c r="N2712">
        <v>-6.9896929999999999E-3</v>
      </c>
      <c r="O2712">
        <v>3.1411349999999998E-2</v>
      </c>
      <c r="P2712">
        <v>0.97688869999999906</v>
      </c>
      <c r="Q2712">
        <v>0.21214340000000001</v>
      </c>
      <c r="R2712">
        <v>2.615319E-2</v>
      </c>
      <c r="S2712">
        <v>3.0717469999999998</v>
      </c>
      <c r="T2712">
        <v>-1.9168849999999999E-3</v>
      </c>
      <c r="U2712">
        <v>1.333618E-2</v>
      </c>
      <c r="V2712">
        <v>4.7414559999999998E-3</v>
      </c>
      <c r="W2712">
        <v>0.2189644</v>
      </c>
      <c r="X2712">
        <v>0.97572130000000001</v>
      </c>
      <c r="Y2712">
        <v>2.7071749999999999E-2</v>
      </c>
      <c r="Z2712" s="1">
        <v>9.6929239999999996E-5</v>
      </c>
      <c r="AA2712">
        <v>0.99963349999999995</v>
      </c>
      <c r="AB2712">
        <v>41</v>
      </c>
      <c r="AC2712">
        <v>295.2088</v>
      </c>
      <c r="AD2712">
        <v>-0.1844759</v>
      </c>
      <c r="AE2712">
        <v>1.2706</v>
      </c>
      <c r="AF2712">
        <v>8.0031564465246898</v>
      </c>
      <c r="AG2712">
        <v>-0.1844759</v>
      </c>
      <c r="AH2712">
        <v>295.102916701982</v>
      </c>
      <c r="AI2712">
        <v>90.035803794950695</v>
      </c>
      <c r="AJ2712">
        <v>88.446525967129304</v>
      </c>
      <c r="AK2712">
        <v>295.21147672555298</v>
      </c>
      <c r="AL2712">
        <v>77.351785132550106</v>
      </c>
      <c r="AM2712">
        <v>89.721576971624103</v>
      </c>
      <c r="AN2712">
        <v>0.99999997257302398</v>
      </c>
    </row>
    <row r="2713" spans="1:40" x14ac:dyDescent="0.25">
      <c r="A2713" t="str">
        <f>"20190303171030223"</f>
        <v>20190303171030223</v>
      </c>
      <c r="B2713" t="str">
        <f>"1551604230213464"</f>
        <v>1551604230213464</v>
      </c>
      <c r="C2713" t="s">
        <v>40</v>
      </c>
      <c r="D2713">
        <v>4.780087</v>
      </c>
      <c r="E2713">
        <v>0.51325449999999995</v>
      </c>
      <c r="F2713" t="s">
        <v>77</v>
      </c>
      <c r="G2713">
        <v>-107.39749999999999</v>
      </c>
      <c r="H2713">
        <v>0.51145289999999999</v>
      </c>
      <c r="I2713">
        <v>214.60290000000001</v>
      </c>
      <c r="J2713">
        <v>-402.1678</v>
      </c>
      <c r="K2713">
        <v>1.1197950000000001</v>
      </c>
      <c r="L2713">
        <v>213.92570000000001</v>
      </c>
      <c r="M2713">
        <v>0.99949790000000005</v>
      </c>
      <c r="N2713">
        <v>-6.9995719999999999E-3</v>
      </c>
      <c r="O2713">
        <v>3.09071E-2</v>
      </c>
      <c r="P2713">
        <v>0.97708050000000002</v>
      </c>
      <c r="Q2713">
        <v>0.211422</v>
      </c>
      <c r="R2713">
        <v>2.4796579999999999E-2</v>
      </c>
      <c r="S2713">
        <v>3.0721440000000002</v>
      </c>
      <c r="T2713">
        <v>-6.330848E-3</v>
      </c>
      <c r="U2713">
        <v>7.1868899999999996E-3</v>
      </c>
      <c r="V2713">
        <v>5.630726E-3</v>
      </c>
      <c r="W2713">
        <v>0.21825249999999999</v>
      </c>
      <c r="X2713">
        <v>0.97587610000000002</v>
      </c>
      <c r="Y2713">
        <v>2.8568880000000001E-2</v>
      </c>
      <c r="Z2713" s="1">
        <v>2.3261360000000001E-5</v>
      </c>
      <c r="AA2713">
        <v>0.99959180000000003</v>
      </c>
      <c r="AB2713">
        <v>41</v>
      </c>
      <c r="AC2713">
        <v>294.77030000000002</v>
      </c>
      <c r="AD2713">
        <v>-0.608342099999999</v>
      </c>
      <c r="AE2713">
        <v>0.67719999999999902</v>
      </c>
      <c r="AF2713">
        <v>8.4338046027320992</v>
      </c>
      <c r="AG2713">
        <v>-0.608342099999999</v>
      </c>
      <c r="AH2713">
        <v>294.64914584359502</v>
      </c>
      <c r="AI2713">
        <v>90.118246111691803</v>
      </c>
      <c r="AJ2713">
        <v>88.360458481699794</v>
      </c>
      <c r="AK2713">
        <v>294.770450158335</v>
      </c>
      <c r="AL2713">
        <v>77.393585516979499</v>
      </c>
      <c r="AM2713">
        <v>89.669411664776504</v>
      </c>
      <c r="AN2713">
        <v>1.00000001069137</v>
      </c>
    </row>
    <row r="2714" spans="1:40" x14ac:dyDescent="0.25">
      <c r="A2714" t="str">
        <f>"20190303171030244"</f>
        <v>20190303171030244</v>
      </c>
      <c r="B2714" t="str">
        <f>"1551604230232985"</f>
        <v>1551604230232985</v>
      </c>
      <c r="C2714" t="s">
        <v>40</v>
      </c>
      <c r="D2714">
        <v>4.7776969999999999</v>
      </c>
      <c r="E2714">
        <v>0.5132582</v>
      </c>
      <c r="F2714" t="s">
        <v>77</v>
      </c>
      <c r="G2714">
        <v>-107.39749999999999</v>
      </c>
      <c r="H2714">
        <v>0.2859584</v>
      </c>
      <c r="I2714">
        <v>214.5025</v>
      </c>
      <c r="J2714">
        <v>-401.77769999999998</v>
      </c>
      <c r="K2714">
        <v>1.119766</v>
      </c>
      <c r="L2714">
        <v>213.9374</v>
      </c>
      <c r="M2714">
        <v>0.99951210000000001</v>
      </c>
      <c r="N2714">
        <v>-7.0085089999999996E-3</v>
      </c>
      <c r="O2714">
        <v>3.044038E-2</v>
      </c>
      <c r="P2714">
        <v>0.97723380000000004</v>
      </c>
      <c r="Q2714">
        <v>0.21083150000000001</v>
      </c>
      <c r="R2714">
        <v>2.3757810000000001E-2</v>
      </c>
      <c r="S2714">
        <v>3.0721129999999999</v>
      </c>
      <c r="T2714">
        <v>-8.6897609999999903E-3</v>
      </c>
      <c r="U2714">
        <v>6.0119630000000004E-3</v>
      </c>
      <c r="V2714">
        <v>6.2320600000000002E-3</v>
      </c>
      <c r="W2714">
        <v>0.2176708</v>
      </c>
      <c r="X2714">
        <v>0.97600229999999999</v>
      </c>
      <c r="Y2714">
        <v>2.8484369999999998E-2</v>
      </c>
      <c r="Z2714" s="1">
        <v>-1.282532E-5</v>
      </c>
      <c r="AA2714">
        <v>0.99959419999999999</v>
      </c>
      <c r="AB2714">
        <v>41</v>
      </c>
      <c r="AC2714">
        <v>294.3802</v>
      </c>
      <c r="AD2714">
        <v>-0.83380759999999998</v>
      </c>
      <c r="AE2714">
        <v>0.56510000000000005</v>
      </c>
      <c r="AF2714">
        <v>8.3963589894605501</v>
      </c>
      <c r="AG2714">
        <v>-0.83380759999999998</v>
      </c>
      <c r="AH2714">
        <v>294.258614474198</v>
      </c>
      <c r="AI2714">
        <v>90.162286131650205</v>
      </c>
      <c r="AJ2714">
        <v>88.365568884995596</v>
      </c>
      <c r="AK2714">
        <v>294.37956157258702</v>
      </c>
      <c r="AL2714">
        <v>77.427734788100196</v>
      </c>
      <c r="AM2714">
        <v>89.634154670571306</v>
      </c>
      <c r="AN2714">
        <v>0.99999995267488495</v>
      </c>
    </row>
    <row r="2715" spans="1:40" x14ac:dyDescent="0.25">
      <c r="A2715" t="str">
        <f>"20190303171030266"</f>
        <v>20190303171030266</v>
      </c>
      <c r="B2715" t="str">
        <f>"1551604230253480"</f>
        <v>1551604230253480</v>
      </c>
      <c r="C2715" t="s">
        <v>40</v>
      </c>
      <c r="D2715">
        <v>4.731719</v>
      </c>
      <c r="E2715">
        <v>0.51322630000000002</v>
      </c>
      <c r="F2715" t="s">
        <v>77</v>
      </c>
      <c r="G2715">
        <v>-107.39749999999999</v>
      </c>
      <c r="H2715">
        <v>7.4906009999999995E-2</v>
      </c>
      <c r="I2715">
        <v>214.23560000000001</v>
      </c>
      <c r="J2715">
        <v>-401.3766</v>
      </c>
      <c r="K2715">
        <v>1.11974</v>
      </c>
      <c r="L2715">
        <v>213.94919999999999</v>
      </c>
      <c r="M2715">
        <v>0.9995269</v>
      </c>
      <c r="N2715">
        <v>-7.0176049999999997E-3</v>
      </c>
      <c r="O2715">
        <v>2.994985E-2</v>
      </c>
      <c r="P2715">
        <v>0.97729429999999995</v>
      </c>
      <c r="Q2715">
        <v>0.21060200000000001</v>
      </c>
      <c r="R2715">
        <v>2.3301470000000001E-2</v>
      </c>
      <c r="S2715">
        <v>3.0721440000000002</v>
      </c>
      <c r="T2715">
        <v>-1.0903599999999999E-2</v>
      </c>
      <c r="U2715">
        <v>3.112793E-3</v>
      </c>
      <c r="V2715">
        <v>6.2233710000000001E-3</v>
      </c>
      <c r="W2715">
        <v>0.2174497</v>
      </c>
      <c r="X2715">
        <v>0.97605169999999997</v>
      </c>
      <c r="Y2715">
        <v>2.8937069999999999E-2</v>
      </c>
      <c r="Z2715" s="1">
        <v>-4.896902E-5</v>
      </c>
      <c r="AA2715">
        <v>0.99958119999999995</v>
      </c>
      <c r="AB2715">
        <v>41</v>
      </c>
      <c r="AC2715">
        <v>293.97910000000002</v>
      </c>
      <c r="AD2715">
        <v>-1.0448339900000001</v>
      </c>
      <c r="AE2715">
        <v>0.28640000000001398</v>
      </c>
      <c r="AF2715">
        <v>8.5184664751659103</v>
      </c>
      <c r="AG2715">
        <v>-1.0448339900000001</v>
      </c>
      <c r="AH2715">
        <v>293.85208128566398</v>
      </c>
      <c r="AI2715">
        <v>90.203637107634805</v>
      </c>
      <c r="AJ2715">
        <v>88.339519921191396</v>
      </c>
      <c r="AK2715">
        <v>293.97738284615002</v>
      </c>
      <c r="AL2715">
        <v>77.440714526349495</v>
      </c>
      <c r="AM2715">
        <v>89.634683223545906</v>
      </c>
      <c r="AN2715">
        <v>1.00000001172479</v>
      </c>
    </row>
    <row r="2716" spans="1:40" x14ac:dyDescent="0.25">
      <c r="A2716" t="str">
        <f>"20190303171030288"</f>
        <v>20190303171030288</v>
      </c>
      <c r="B2716" t="str">
        <f>"1551604230283736"</f>
        <v>1551604230283736</v>
      </c>
      <c r="C2716" t="s">
        <v>40</v>
      </c>
      <c r="D2716">
        <v>4.5036740000000002</v>
      </c>
      <c r="E2716">
        <v>0.51288409999999995</v>
      </c>
      <c r="F2716" t="s">
        <v>41</v>
      </c>
      <c r="G2716">
        <v>-89.206180000000003</v>
      </c>
      <c r="H2716">
        <v>-0.05</v>
      </c>
      <c r="I2716">
        <v>214.12899999999999</v>
      </c>
      <c r="J2716">
        <v>-400.96559999999999</v>
      </c>
      <c r="K2716">
        <v>1.1197170000000001</v>
      </c>
      <c r="L2716">
        <v>213.96119999999999</v>
      </c>
      <c r="M2716">
        <v>0.99954180000000004</v>
      </c>
      <c r="N2716">
        <v>-7.0267460000000004E-3</v>
      </c>
      <c r="O2716">
        <v>2.944242E-2</v>
      </c>
      <c r="P2716">
        <v>0.97727600000000003</v>
      </c>
      <c r="Q2716">
        <v>0.21072399999999999</v>
      </c>
      <c r="R2716">
        <v>2.2960890000000001E-2</v>
      </c>
      <c r="S2716">
        <v>3.072174</v>
      </c>
      <c r="T2716">
        <v>-1.1511800000000001E-2</v>
      </c>
      <c r="U2716">
        <v>1.77002E-3</v>
      </c>
      <c r="V2716">
        <v>6.0791439999999999E-3</v>
      </c>
      <c r="W2716">
        <v>0.217581</v>
      </c>
      <c r="X2716">
        <v>0.97602330000000004</v>
      </c>
      <c r="Y2716">
        <v>2.8866510000000001E-2</v>
      </c>
      <c r="Z2716" s="1">
        <v>-5.8905240000000003E-5</v>
      </c>
      <c r="AA2716">
        <v>0.99958320000000001</v>
      </c>
      <c r="AB2716">
        <v>41</v>
      </c>
      <c r="AC2716">
        <v>311.75941999999998</v>
      </c>
      <c r="AD2716">
        <v>-1.1697169999999999</v>
      </c>
      <c r="AE2716">
        <v>0.16780000000002801</v>
      </c>
      <c r="AF2716">
        <v>9.0113241005942193</v>
      </c>
      <c r="AG2716">
        <v>-1.1697169999999999</v>
      </c>
      <c r="AH2716">
        <v>311.62481245175701</v>
      </c>
      <c r="AI2716">
        <v>90.214974952746701</v>
      </c>
      <c r="AJ2716">
        <v>88.343626770745402</v>
      </c>
      <c r="AK2716">
        <v>311.75727086228301</v>
      </c>
      <c r="AL2716">
        <v>77.433006450968605</v>
      </c>
      <c r="AM2716">
        <v>89.643138857182706</v>
      </c>
      <c r="AN2716">
        <v>0.99999996484783005</v>
      </c>
    </row>
    <row r="2717" spans="1:40" x14ac:dyDescent="0.25">
      <c r="A2717" t="str">
        <f>"20190303171030311"</f>
        <v>20190303171030311</v>
      </c>
      <c r="B2717" t="str">
        <f>"1551604230303256"</f>
        <v>1551604230303256</v>
      </c>
      <c r="C2717" t="s">
        <v>40</v>
      </c>
      <c r="D2717">
        <v>4.6159140000000001</v>
      </c>
      <c r="E2717">
        <v>0.51252059999999999</v>
      </c>
      <c r="F2717" t="s">
        <v>77</v>
      </c>
      <c r="G2717">
        <v>-107.39749999999999</v>
      </c>
      <c r="H2717">
        <v>0.16395999999999999</v>
      </c>
      <c r="I2717">
        <v>214.25139999999999</v>
      </c>
      <c r="J2717">
        <v>-400.53480000000002</v>
      </c>
      <c r="K2717">
        <v>1.1196889999999999</v>
      </c>
      <c r="L2717">
        <v>213.9735</v>
      </c>
      <c r="M2717">
        <v>0.99955729999999998</v>
      </c>
      <c r="N2717">
        <v>-7.0336259999999899E-3</v>
      </c>
      <c r="O2717">
        <v>2.8909859999999999E-2</v>
      </c>
      <c r="P2717">
        <v>0.97721610000000003</v>
      </c>
      <c r="Q2717">
        <v>0.2110436</v>
      </c>
      <c r="R2717">
        <v>2.2574940000000002E-2</v>
      </c>
      <c r="S2717">
        <v>3.0718079999999999</v>
      </c>
      <c r="T2717">
        <v>-1.0000230000000001E-2</v>
      </c>
      <c r="U2717">
        <v>3.0364989999999998E-3</v>
      </c>
      <c r="V2717">
        <v>5.9538179999999996E-3</v>
      </c>
      <c r="W2717">
        <v>0.2179063</v>
      </c>
      <c r="X2717">
        <v>0.97595160000000003</v>
      </c>
      <c r="Y2717">
        <v>2.7921789999999998E-2</v>
      </c>
      <c r="Z2717" s="1">
        <v>-3.4386169999999997E-5</v>
      </c>
      <c r="AA2717">
        <v>0.99961009999999995</v>
      </c>
      <c r="AB2717">
        <v>41</v>
      </c>
      <c r="AC2717">
        <v>293.13729999999998</v>
      </c>
      <c r="AD2717">
        <v>-0.95572900000000005</v>
      </c>
      <c r="AE2717">
        <v>0.27789999999998799</v>
      </c>
      <c r="AF2717">
        <v>8.1968967647741096</v>
      </c>
      <c r="AG2717">
        <v>-0.95572900000000005</v>
      </c>
      <c r="AH2717">
        <v>293.01968868390497</v>
      </c>
      <c r="AI2717">
        <v>90.1868053007952</v>
      </c>
      <c r="AJ2717">
        <v>88.397632788233807</v>
      </c>
      <c r="AK2717">
        <v>293.13587377000903</v>
      </c>
      <c r="AL2717">
        <v>77.413911206375801</v>
      </c>
      <c r="AM2717">
        <v>89.650469949921998</v>
      </c>
      <c r="AN2717">
        <v>1.00000006453551</v>
      </c>
    </row>
    <row r="2718" spans="1:40" x14ac:dyDescent="0.25">
      <c r="A2718" t="str">
        <f>"20190303171030336"</f>
        <v>20190303171030336</v>
      </c>
      <c r="B2718" t="str">
        <f>"1551604230323752"</f>
        <v>1551604230323752</v>
      </c>
      <c r="C2718" t="s">
        <v>40</v>
      </c>
      <c r="D2718">
        <v>4.7204800000000002</v>
      </c>
      <c r="E2718">
        <v>0.51225410000000005</v>
      </c>
      <c r="F2718" t="s">
        <v>77</v>
      </c>
      <c r="G2718">
        <v>-107.39749999999999</v>
      </c>
      <c r="H2718">
        <v>0.26664300000000002</v>
      </c>
      <c r="I2718">
        <v>214.44820000000001</v>
      </c>
      <c r="J2718">
        <v>-400.07589999999999</v>
      </c>
      <c r="K2718">
        <v>1.1196660000000001</v>
      </c>
      <c r="L2718">
        <v>213.9864</v>
      </c>
      <c r="M2718">
        <v>0.9995735</v>
      </c>
      <c r="N2718">
        <v>-7.0370939999999998E-3</v>
      </c>
      <c r="O2718">
        <v>2.8343520000000001E-2</v>
      </c>
      <c r="P2718">
        <v>0.97711669999999995</v>
      </c>
      <c r="Q2718">
        <v>0.21160970000000001</v>
      </c>
      <c r="R2718">
        <v>2.1547489999999999E-2</v>
      </c>
      <c r="S2718">
        <v>3.0717469999999998</v>
      </c>
      <c r="T2718">
        <v>-8.9384319999999996E-3</v>
      </c>
      <c r="U2718">
        <v>4.9743649999999997E-3</v>
      </c>
      <c r="V2718">
        <v>6.435858E-3</v>
      </c>
      <c r="W2718">
        <v>0.218474</v>
      </c>
      <c r="X2718">
        <v>0.97582159999999996</v>
      </c>
      <c r="Y2718">
        <v>2.672482E-2</v>
      </c>
      <c r="Z2718" s="1">
        <v>-1.5904670000000002E-5</v>
      </c>
      <c r="AA2718">
        <v>0.99964280000000005</v>
      </c>
      <c r="AB2718">
        <v>41</v>
      </c>
      <c r="AC2718">
        <v>292.67840000000001</v>
      </c>
      <c r="AD2718">
        <v>-0.85302299999999998</v>
      </c>
      <c r="AE2718">
        <v>0.46180000000000998</v>
      </c>
      <c r="AF2718">
        <v>7.83406024704591</v>
      </c>
      <c r="AG2718">
        <v>-0.85302299999999998</v>
      </c>
      <c r="AH2718">
        <v>292.57141232169499</v>
      </c>
      <c r="AI2718">
        <v>90.166991597820598</v>
      </c>
      <c r="AJ2718">
        <v>88.466181790556703</v>
      </c>
      <c r="AK2718">
        <v>292.677521268894</v>
      </c>
      <c r="AL2718">
        <v>77.380581192746703</v>
      </c>
      <c r="AM2718">
        <v>89.622121344251696</v>
      </c>
      <c r="AN2718">
        <v>1.00000005198537</v>
      </c>
    </row>
    <row r="2719" spans="1:40" x14ac:dyDescent="0.25">
      <c r="A2719" t="str">
        <f>"20190303171030355"</f>
        <v>20190303171030355</v>
      </c>
      <c r="B2719" t="str">
        <f>"1551604230343272"</f>
        <v>1551604230343272</v>
      </c>
      <c r="C2719" t="s">
        <v>40</v>
      </c>
      <c r="D2719">
        <v>4.7819909999999997</v>
      </c>
      <c r="E2719">
        <v>0.51222500000000004</v>
      </c>
      <c r="F2719" t="s">
        <v>77</v>
      </c>
      <c r="G2719">
        <v>-107.39749999999999</v>
      </c>
      <c r="H2719">
        <v>0.54151899999999997</v>
      </c>
      <c r="I2719">
        <v>214.4211</v>
      </c>
      <c r="J2719">
        <v>-399.72460000000001</v>
      </c>
      <c r="K2719">
        <v>1.11965</v>
      </c>
      <c r="L2719">
        <v>213.99610000000001</v>
      </c>
      <c r="M2719">
        <v>0.99958559999999996</v>
      </c>
      <c r="N2719">
        <v>-7.0389419999999899E-3</v>
      </c>
      <c r="O2719">
        <v>2.791161E-2</v>
      </c>
      <c r="P2719">
        <v>0.97712310000000002</v>
      </c>
      <c r="Q2719">
        <v>0.21166189999999999</v>
      </c>
      <c r="R2719">
        <v>2.0732110000000002E-2</v>
      </c>
      <c r="S2719">
        <v>3.0714419999999998</v>
      </c>
      <c r="T2719">
        <v>-6.0666799999999996E-3</v>
      </c>
      <c r="U2719">
        <v>4.5623779999999997E-3</v>
      </c>
      <c r="V2719">
        <v>6.8357280000000001E-3</v>
      </c>
      <c r="W2719">
        <v>0.21852750000000001</v>
      </c>
      <c r="X2719">
        <v>0.97580679999999997</v>
      </c>
      <c r="Y2719">
        <v>2.642684E-2</v>
      </c>
      <c r="Z2719" s="1">
        <v>2.2257119999999999E-5</v>
      </c>
      <c r="AA2719">
        <v>0.99965079999999995</v>
      </c>
      <c r="AB2719">
        <v>42</v>
      </c>
      <c r="AC2719">
        <v>292.32709999999997</v>
      </c>
      <c r="AD2719">
        <v>-0.57813099999999995</v>
      </c>
      <c r="AE2719">
        <v>0.424999999999982</v>
      </c>
      <c r="AF2719">
        <v>7.7346575833737203</v>
      </c>
      <c r="AG2719">
        <v>-0.57813099999999995</v>
      </c>
      <c r="AH2719">
        <v>292.22392206062301</v>
      </c>
      <c r="AI2719">
        <v>90.113313194943402</v>
      </c>
      <c r="AJ2719">
        <v>88.483834632308501</v>
      </c>
      <c r="AK2719">
        <v>292.326837269311</v>
      </c>
      <c r="AL2719">
        <v>77.3774386988174</v>
      </c>
      <c r="AM2719">
        <v>89.598637806293198</v>
      </c>
      <c r="AN2719">
        <v>0.99999995317988799</v>
      </c>
    </row>
    <row r="2720" spans="1:40" x14ac:dyDescent="0.25">
      <c r="A2720" t="str">
        <f>"20190303171030377"</f>
        <v>20190303171030377</v>
      </c>
      <c r="B2720" t="str">
        <f>"1551604230373058"</f>
        <v>1551604230373058</v>
      </c>
      <c r="C2720" t="s">
        <v>40</v>
      </c>
      <c r="D2720">
        <v>4.6645989999999999</v>
      </c>
      <c r="E2720">
        <v>0.51215639999999996</v>
      </c>
      <c r="F2720" t="s">
        <v>77</v>
      </c>
      <c r="G2720">
        <v>-107.39749999999999</v>
      </c>
      <c r="H2720">
        <v>0.52507689999999996</v>
      </c>
      <c r="I2720">
        <v>214.20660000000001</v>
      </c>
      <c r="J2720">
        <v>-399.30489999999998</v>
      </c>
      <c r="K2720">
        <v>1.119632</v>
      </c>
      <c r="L2720">
        <v>214.00739999999999</v>
      </c>
      <c r="M2720">
        <v>0.99960000000000004</v>
      </c>
      <c r="N2720">
        <v>-7.0415749999999996E-3</v>
      </c>
      <c r="O2720">
        <v>2.7395829999999999E-2</v>
      </c>
      <c r="P2720">
        <v>0.97706970000000004</v>
      </c>
      <c r="Q2720">
        <v>0.21202489999999999</v>
      </c>
      <c r="R2720">
        <v>1.9502930000000002E-2</v>
      </c>
      <c r="S2720">
        <v>3.071564</v>
      </c>
      <c r="T2720">
        <v>-6.2468050000000002E-3</v>
      </c>
      <c r="U2720">
        <v>2.212524E-3</v>
      </c>
      <c r="V2720">
        <v>7.566354E-3</v>
      </c>
      <c r="W2720">
        <v>0.218891</v>
      </c>
      <c r="X2720">
        <v>0.97572000000000003</v>
      </c>
      <c r="Y2720">
        <v>2.6675859999999999E-2</v>
      </c>
      <c r="Z2720" s="1">
        <v>1.61725999999999E-5</v>
      </c>
      <c r="AA2720">
        <v>0.99964419999999998</v>
      </c>
      <c r="AB2720">
        <v>42</v>
      </c>
      <c r="AC2720">
        <v>291.9074</v>
      </c>
      <c r="AD2720">
        <v>-0.594555099999999</v>
      </c>
      <c r="AE2720">
        <v>0.199200000000018</v>
      </c>
      <c r="AF2720">
        <v>7.7980850946856197</v>
      </c>
      <c r="AG2720">
        <v>-0.594555099999999</v>
      </c>
      <c r="AH2720">
        <v>291.80207802056799</v>
      </c>
      <c r="AI2720">
        <v>90.116699967866694</v>
      </c>
      <c r="AJ2720">
        <v>88.469198539315101</v>
      </c>
      <c r="AK2720">
        <v>291.906862481909</v>
      </c>
      <c r="AL2720">
        <v>77.356095797163107</v>
      </c>
      <c r="AM2720">
        <v>89.5557009582745</v>
      </c>
      <c r="AN2720">
        <v>1.00000001899692</v>
      </c>
    </row>
    <row r="2721" spans="1:40" x14ac:dyDescent="0.25">
      <c r="A2721" t="str">
        <f>"20190303171030400"</f>
        <v>20190303171030400</v>
      </c>
      <c r="B2721" t="str">
        <f>"1551604230393555"</f>
        <v>1551604230393555</v>
      </c>
      <c r="C2721" t="s">
        <v>40</v>
      </c>
      <c r="D2721">
        <v>4.6623609999999998</v>
      </c>
      <c r="E2721">
        <v>0.51204229999999995</v>
      </c>
      <c r="F2721" t="s">
        <v>77</v>
      </c>
      <c r="G2721">
        <v>-107.39749999999999</v>
      </c>
      <c r="H2721">
        <v>0.68397859999999999</v>
      </c>
      <c r="I2721">
        <v>213.91900000000001</v>
      </c>
      <c r="J2721">
        <v>-398.86720000000003</v>
      </c>
      <c r="K2721">
        <v>1.1196170000000001</v>
      </c>
      <c r="L2721">
        <v>214.01900000000001</v>
      </c>
      <c r="M2721">
        <v>0.99961440000000001</v>
      </c>
      <c r="N2721">
        <v>-7.0450570000000004E-3</v>
      </c>
      <c r="O2721">
        <v>2.6858429999999999E-2</v>
      </c>
      <c r="P2721">
        <v>0.9771784</v>
      </c>
      <c r="Q2721">
        <v>0.2116307</v>
      </c>
      <c r="R2721">
        <v>1.8305370000000001E-2</v>
      </c>
      <c r="S2721">
        <v>3.0714109999999999</v>
      </c>
      <c r="T2721">
        <v>-4.5833590000000004E-3</v>
      </c>
      <c r="U2721">
        <v>-9.307861E-4</v>
      </c>
      <c r="V2721">
        <v>8.2465850000000007E-3</v>
      </c>
      <c r="W2721">
        <v>0.21849959999999999</v>
      </c>
      <c r="X2721">
        <v>0.97580219999999995</v>
      </c>
      <c r="Y2721">
        <v>2.716145E-2</v>
      </c>
      <c r="Z2721" s="1">
        <v>3.321801E-5</v>
      </c>
      <c r="AA2721">
        <v>0.99963100000000005</v>
      </c>
      <c r="AB2721">
        <v>42</v>
      </c>
      <c r="AC2721">
        <v>291.46969999999999</v>
      </c>
      <c r="AD2721">
        <v>-0.43563839999999998</v>
      </c>
      <c r="AE2721">
        <v>-9.9999999999994302E-2</v>
      </c>
      <c r="AF2721">
        <v>7.92855919553267</v>
      </c>
      <c r="AG2721">
        <v>-0.43563839999999998</v>
      </c>
      <c r="AH2721">
        <v>291.36120950945701</v>
      </c>
      <c r="AI2721">
        <v>90.085635925165803</v>
      </c>
      <c r="AJ2721">
        <v>88.441244459541707</v>
      </c>
      <c r="AK2721">
        <v>291.46939159806499</v>
      </c>
      <c r="AL2721">
        <v>77.379077534736794</v>
      </c>
      <c r="AM2721">
        <v>89.515800161412898</v>
      </c>
      <c r="AN2721">
        <v>1.0000000074445801</v>
      </c>
    </row>
    <row r="2722" spans="1:40" x14ac:dyDescent="0.25">
      <c r="A2722" t="str">
        <f>"20190303171030425"</f>
        <v>20190303171030425</v>
      </c>
      <c r="B2722" t="str">
        <f>"1551604230413074"</f>
        <v>1551604230413074</v>
      </c>
      <c r="C2722" t="s">
        <v>40</v>
      </c>
      <c r="D2722">
        <v>4.4828519999999896</v>
      </c>
      <c r="E2722">
        <v>0.51204450000000001</v>
      </c>
      <c r="F2722" t="s">
        <v>77</v>
      </c>
      <c r="G2722">
        <v>-107.39749999999999</v>
      </c>
      <c r="H2722">
        <v>0.55337829999999999</v>
      </c>
      <c r="I2722">
        <v>213.65700000000001</v>
      </c>
      <c r="J2722">
        <v>-398.40870000000001</v>
      </c>
      <c r="K2722">
        <v>1.1196060000000001</v>
      </c>
      <c r="L2722">
        <v>214.0309</v>
      </c>
      <c r="M2722">
        <v>0.9996294</v>
      </c>
      <c r="N2722">
        <v>-7.0489810000000002E-3</v>
      </c>
      <c r="O2722">
        <v>2.6294939999999999E-2</v>
      </c>
      <c r="P2722">
        <v>0.97714659999999998</v>
      </c>
      <c r="Q2722">
        <v>0.2118661</v>
      </c>
      <c r="R2722">
        <v>1.7250250000000002E-2</v>
      </c>
      <c r="S2722">
        <v>3.0714109999999999</v>
      </c>
      <c r="T2722">
        <v>-5.9663059999999898E-3</v>
      </c>
      <c r="U2722">
        <v>-3.8146970000000001E-3</v>
      </c>
      <c r="V2722">
        <v>8.7550359999999904E-3</v>
      </c>
      <c r="W2722">
        <v>0.2187374</v>
      </c>
      <c r="X2722">
        <v>0.97574450000000001</v>
      </c>
      <c r="Y2722">
        <v>2.7536560000000002E-2</v>
      </c>
      <c r="Z2722" s="1">
        <v>1.049681E-5</v>
      </c>
      <c r="AA2722">
        <v>0.99962079999999998</v>
      </c>
      <c r="AB2722">
        <v>42</v>
      </c>
      <c r="AC2722">
        <v>291.01119999999997</v>
      </c>
      <c r="AD2722">
        <v>-0.566227699999999</v>
      </c>
      <c r="AE2722">
        <v>-0.37389999999999102</v>
      </c>
      <c r="AF2722">
        <v>8.0260522956217297</v>
      </c>
      <c r="AG2722">
        <v>-0.566227699999999</v>
      </c>
      <c r="AH2722">
        <v>290.899638341512</v>
      </c>
      <c r="AI2722">
        <v>90.111482006728394</v>
      </c>
      <c r="AJ2722">
        <v>88.419584527564098</v>
      </c>
      <c r="AK2722">
        <v>291.01088934348002</v>
      </c>
      <c r="AL2722">
        <v>77.365114944349102</v>
      </c>
      <c r="AM2722">
        <v>89.485917521297097</v>
      </c>
      <c r="AN2722">
        <v>1.0000000150471799</v>
      </c>
    </row>
    <row r="2723" spans="1:40" x14ac:dyDescent="0.25">
      <c r="A2723" t="str">
        <f>"20190303171030447"</f>
        <v>20190303171030447</v>
      </c>
      <c r="B2723" t="str">
        <f>"1551604230433570"</f>
        <v>1551604230433570</v>
      </c>
      <c r="C2723" t="s">
        <v>40</v>
      </c>
      <c r="D2723">
        <v>4.6618240000000002</v>
      </c>
      <c r="E2723">
        <v>0.51199459999999997</v>
      </c>
      <c r="F2723" t="s">
        <v>77</v>
      </c>
      <c r="G2723">
        <v>-107.39749999999999</v>
      </c>
      <c r="H2723">
        <v>0.69098780000000004</v>
      </c>
      <c r="I2723">
        <v>213.32679999999999</v>
      </c>
      <c r="J2723">
        <v>-397.99599999999998</v>
      </c>
      <c r="K2723">
        <v>1.119594</v>
      </c>
      <c r="L2723">
        <v>214.04140000000001</v>
      </c>
      <c r="M2723">
        <v>0.9996427</v>
      </c>
      <c r="N2723">
        <v>-7.0527519999999998E-3</v>
      </c>
      <c r="O2723">
        <v>2.5787439999999998E-2</v>
      </c>
      <c r="P2723">
        <v>0.97714449999999997</v>
      </c>
      <c r="Q2723">
        <v>0.21195749999999999</v>
      </c>
      <c r="R2723">
        <v>1.622154E-2</v>
      </c>
      <c r="S2723">
        <v>3.0712890000000002</v>
      </c>
      <c r="T2723">
        <v>-4.5230390000000004E-3</v>
      </c>
      <c r="U2723">
        <v>-7.4310299999999999E-3</v>
      </c>
      <c r="V2723">
        <v>9.2910489999999991E-3</v>
      </c>
      <c r="W2723">
        <v>0.21883140000000001</v>
      </c>
      <c r="X2723">
        <v>0.97571839999999999</v>
      </c>
      <c r="Y2723">
        <v>2.8206129999999999E-2</v>
      </c>
      <c r="Z2723" s="1">
        <v>2.3678229999999998E-5</v>
      </c>
      <c r="AA2723">
        <v>0.99960210000000005</v>
      </c>
      <c r="AB2723">
        <v>42</v>
      </c>
      <c r="AC2723">
        <v>290.5985</v>
      </c>
      <c r="AD2723">
        <v>-0.42860619999999999</v>
      </c>
      <c r="AE2723">
        <v>-0.714600000000018</v>
      </c>
      <c r="AF2723">
        <v>8.2083212783051493</v>
      </c>
      <c r="AG2723">
        <v>-0.42860619999999999</v>
      </c>
      <c r="AH2723">
        <v>290.48279624076099</v>
      </c>
      <c r="AI2723">
        <v>90.084505899713903</v>
      </c>
      <c r="AJ2723">
        <v>88.381394507932399</v>
      </c>
      <c r="AK2723">
        <v>290.59906254723899</v>
      </c>
      <c r="AL2723">
        <v>77.359594593531995</v>
      </c>
      <c r="AM2723">
        <v>89.4544309032473</v>
      </c>
      <c r="AN2723">
        <v>0.99999995065801806</v>
      </c>
    </row>
    <row r="2724" spans="1:40" x14ac:dyDescent="0.25">
      <c r="A2724" t="str">
        <f>"20190303171030469"</f>
        <v>20190303171030469</v>
      </c>
      <c r="B2724" t="str">
        <f>"1551604230463357"</f>
        <v>1551604230463357</v>
      </c>
      <c r="C2724" t="s">
        <v>40</v>
      </c>
      <c r="D2724">
        <v>4.600028</v>
      </c>
      <c r="E2724">
        <v>0.51195400000000002</v>
      </c>
      <c r="F2724" t="s">
        <v>77</v>
      </c>
      <c r="G2724">
        <v>-107.39749999999999</v>
      </c>
      <c r="H2724">
        <v>0.77173259999999999</v>
      </c>
      <c r="I2724">
        <v>213.1361</v>
      </c>
      <c r="J2724">
        <v>-397.59210000000002</v>
      </c>
      <c r="K2724">
        <v>1.1195850000000001</v>
      </c>
      <c r="L2724">
        <v>214.0515</v>
      </c>
      <c r="M2724">
        <v>0.99965530000000002</v>
      </c>
      <c r="N2724">
        <v>-7.0569710000000004E-3</v>
      </c>
      <c r="O2724">
        <v>2.52911E-2</v>
      </c>
      <c r="P2724">
        <v>0.97722010000000004</v>
      </c>
      <c r="Q2724">
        <v>0.21168629999999999</v>
      </c>
      <c r="R2724">
        <v>1.516582E-2</v>
      </c>
      <c r="S2724">
        <v>3.071167</v>
      </c>
      <c r="T2724">
        <v>-3.675818E-3</v>
      </c>
      <c r="U2724">
        <v>-9.5672610000000005E-3</v>
      </c>
      <c r="V2724">
        <v>9.8659300000000002E-3</v>
      </c>
      <c r="W2724">
        <v>0.2185638</v>
      </c>
      <c r="X2724">
        <v>0.9757728</v>
      </c>
      <c r="Y2724">
        <v>2.840521E-2</v>
      </c>
      <c r="Z2724" s="1">
        <v>3.0997100000000002E-5</v>
      </c>
      <c r="AA2724">
        <v>0.9995965</v>
      </c>
      <c r="AB2724">
        <v>42</v>
      </c>
      <c r="AC2724">
        <v>290.19459999999998</v>
      </c>
      <c r="AD2724">
        <v>-0.34785240000000001</v>
      </c>
      <c r="AE2724">
        <v>-0.91540000000000499</v>
      </c>
      <c r="AF2724">
        <v>8.2546181375658705</v>
      </c>
      <c r="AG2724">
        <v>-0.34785240000000001</v>
      </c>
      <c r="AH2724">
        <v>290.07820170371298</v>
      </c>
      <c r="AI2724">
        <v>90.068679411493505</v>
      </c>
      <c r="AJ2724">
        <v>88.370000993390093</v>
      </c>
      <c r="AK2724">
        <v>290.19583530014597</v>
      </c>
      <c r="AL2724">
        <v>77.375308123489205</v>
      </c>
      <c r="AM2724">
        <v>89.420708500571493</v>
      </c>
      <c r="AN2724">
        <v>1.0000000142325201</v>
      </c>
    </row>
    <row r="2725" spans="1:40" x14ac:dyDescent="0.25">
      <c r="A2725" t="str">
        <f>"20190303171030490"</f>
        <v>20190303171030490</v>
      </c>
      <c r="B2725" t="str">
        <f>"1551604230483854"</f>
        <v>1551604230483854</v>
      </c>
      <c r="C2725" t="s">
        <v>40</v>
      </c>
      <c r="D2725">
        <v>4.598433</v>
      </c>
      <c r="E2725">
        <v>0.51193619999999995</v>
      </c>
      <c r="F2725" t="s">
        <v>77</v>
      </c>
      <c r="G2725">
        <v>-107.39749999999999</v>
      </c>
      <c r="H2725">
        <v>0.72450490000000001</v>
      </c>
      <c r="I2725">
        <v>212.9254</v>
      </c>
      <c r="J2725">
        <v>-397.18020000000001</v>
      </c>
      <c r="K2725">
        <v>1.1195809999999999</v>
      </c>
      <c r="L2725">
        <v>214.0616</v>
      </c>
      <c r="M2725">
        <v>0.99966790000000005</v>
      </c>
      <c r="N2725">
        <v>-7.0670680000000001E-3</v>
      </c>
      <c r="O2725">
        <v>2.4784790000000001E-2</v>
      </c>
      <c r="P2725">
        <v>0.97735269999999996</v>
      </c>
      <c r="Q2725">
        <v>0.2111587</v>
      </c>
      <c r="R2725">
        <v>1.3936540000000001E-2</v>
      </c>
      <c r="S2725">
        <v>3.0710139999999999</v>
      </c>
      <c r="T2725">
        <v>-4.1804310000000001E-3</v>
      </c>
      <c r="U2725">
        <v>-1.191711E-2</v>
      </c>
      <c r="V2725">
        <v>1.0604809999999999E-2</v>
      </c>
      <c r="W2725">
        <v>0.21804589999999999</v>
      </c>
      <c r="X2725">
        <v>0.97588090000000005</v>
      </c>
      <c r="Y2725">
        <v>2.8663950000000001E-2</v>
      </c>
      <c r="Z2725" s="1">
        <v>2.063657E-5</v>
      </c>
      <c r="AA2725">
        <v>0.99958910000000001</v>
      </c>
      <c r="AB2725">
        <v>42</v>
      </c>
      <c r="AC2725">
        <v>289.78269999999998</v>
      </c>
      <c r="AD2725">
        <v>-0.39507609999999899</v>
      </c>
      <c r="AE2725">
        <v>-1.1362000000000001</v>
      </c>
      <c r="AF2725">
        <v>8.3182177148011203</v>
      </c>
      <c r="AG2725">
        <v>-0.39507609999999899</v>
      </c>
      <c r="AH2725">
        <v>289.66497761103199</v>
      </c>
      <c r="AI2725">
        <v>90.078113866604198</v>
      </c>
      <c r="AJ2725">
        <v>88.355107241100896</v>
      </c>
      <c r="AK2725">
        <v>289.78465812646999</v>
      </c>
      <c r="AL2725">
        <v>77.405714868331003</v>
      </c>
      <c r="AM2725">
        <v>89.377396422352604</v>
      </c>
      <c r="AN2725">
        <v>1.0000000037433701</v>
      </c>
    </row>
    <row r="2726" spans="1:40" x14ac:dyDescent="0.25">
      <c r="A2726" t="str">
        <f>"20190303171030513"</f>
        <v>20190303171030513</v>
      </c>
      <c r="B2726" t="str">
        <f>"1551604230503376"</f>
        <v>1551604230503376</v>
      </c>
      <c r="C2726" t="s">
        <v>40</v>
      </c>
      <c r="D2726">
        <v>4.3116019999999997</v>
      </c>
      <c r="E2726">
        <v>0.51186009999999904</v>
      </c>
      <c r="F2726" t="s">
        <v>77</v>
      </c>
      <c r="G2726">
        <v>-107.39749999999999</v>
      </c>
      <c r="H2726">
        <v>0.62239869999999997</v>
      </c>
      <c r="I2726">
        <v>212.64330000000001</v>
      </c>
      <c r="J2726">
        <v>-396.75229999999999</v>
      </c>
      <c r="K2726">
        <v>1.1195729999999999</v>
      </c>
      <c r="L2726">
        <v>214.0718</v>
      </c>
      <c r="M2726">
        <v>0.99968060000000003</v>
      </c>
      <c r="N2726">
        <v>-7.0856879999999997E-3</v>
      </c>
      <c r="O2726">
        <v>2.4259309999999999E-2</v>
      </c>
      <c r="P2726">
        <v>0.97747280000000003</v>
      </c>
      <c r="Q2726">
        <v>0.2106479</v>
      </c>
      <c r="R2726">
        <v>1.3215319999999999E-2</v>
      </c>
      <c r="S2726">
        <v>3.0708920000000002</v>
      </c>
      <c r="T2726">
        <v>-5.268216E-3</v>
      </c>
      <c r="U2726">
        <v>-1.502991E-2</v>
      </c>
      <c r="V2726">
        <v>1.081674E-2</v>
      </c>
      <c r="W2726">
        <v>0.21755350000000001</v>
      </c>
      <c r="X2726">
        <v>0.97598839999999998</v>
      </c>
      <c r="Y2726">
        <v>2.9151880000000002E-2</v>
      </c>
      <c r="Z2726" s="1">
        <v>2.0024449999999998E-6</v>
      </c>
      <c r="AA2726">
        <v>0.99957499999999999</v>
      </c>
      <c r="AB2726">
        <v>42</v>
      </c>
      <c r="AC2726">
        <v>289.35480000000001</v>
      </c>
      <c r="AD2726">
        <v>-0.49717430000000001</v>
      </c>
      <c r="AE2726">
        <v>-1.4284999999999799</v>
      </c>
      <c r="AF2726">
        <v>8.4477785651410695</v>
      </c>
      <c r="AG2726">
        <v>-0.49717430000000001</v>
      </c>
      <c r="AH2726">
        <v>289.234129331627</v>
      </c>
      <c r="AI2726">
        <v>90.098445569264399</v>
      </c>
      <c r="AJ2726">
        <v>88.327014539202594</v>
      </c>
      <c r="AK2726">
        <v>289.35789900259198</v>
      </c>
      <c r="AL2726">
        <v>77.434620464324794</v>
      </c>
      <c r="AM2726">
        <v>89.365025058452005</v>
      </c>
      <c r="AN2726">
        <v>0.99999994208051701</v>
      </c>
    </row>
    <row r="2727" spans="1:40" x14ac:dyDescent="0.25">
      <c r="A2727" t="str">
        <f>"20190303171030535"</f>
        <v>20190303171030535</v>
      </c>
      <c r="B2727" t="str">
        <f>"1551604230523869"</f>
        <v>1551604230523869</v>
      </c>
      <c r="C2727" t="s">
        <v>40</v>
      </c>
      <c r="D2727">
        <v>4.395823</v>
      </c>
      <c r="E2727">
        <v>0.51178880000000004</v>
      </c>
      <c r="F2727" t="s">
        <v>77</v>
      </c>
      <c r="G2727">
        <v>-107.39749999999999</v>
      </c>
      <c r="H2727">
        <v>0.42059340000000001</v>
      </c>
      <c r="I2727">
        <v>212.49029999999999</v>
      </c>
      <c r="J2727">
        <v>-396.33260000000001</v>
      </c>
      <c r="K2727">
        <v>1.11957</v>
      </c>
      <c r="L2727">
        <v>214.08170000000001</v>
      </c>
      <c r="M2727">
        <v>0.99969280000000005</v>
      </c>
      <c r="N2727">
        <v>-7.1103210000000002E-3</v>
      </c>
      <c r="O2727">
        <v>2.3743710000000001E-2</v>
      </c>
      <c r="P2727">
        <v>0.97764209999999996</v>
      </c>
      <c r="Q2727">
        <v>0.20992820000000001</v>
      </c>
      <c r="R2727">
        <v>1.20927E-2</v>
      </c>
      <c r="S2727">
        <v>3.0709529999999998</v>
      </c>
      <c r="T2727">
        <v>-7.4177979999999998E-3</v>
      </c>
      <c r="U2727">
        <v>-1.6784670000000002E-2</v>
      </c>
      <c r="V2727">
        <v>1.144008E-2</v>
      </c>
      <c r="W2727">
        <v>0.21685769999999999</v>
      </c>
      <c r="X2727">
        <v>0.97613620000000001</v>
      </c>
      <c r="Y2727">
        <v>2.9207360000000002E-2</v>
      </c>
      <c r="Z2727" s="1">
        <v>-2.762668E-5</v>
      </c>
      <c r="AA2727">
        <v>0.9995733</v>
      </c>
      <c r="AB2727">
        <v>42</v>
      </c>
      <c r="AC2727">
        <v>288.93509999999998</v>
      </c>
      <c r="AD2727">
        <v>-0.69897659999999995</v>
      </c>
      <c r="AE2727">
        <v>-1.5914000000000199</v>
      </c>
      <c r="AF2727">
        <v>8.4514664667234101</v>
      </c>
      <c r="AG2727">
        <v>-0.69897659999999995</v>
      </c>
      <c r="AH2727">
        <v>288.81416196671199</v>
      </c>
      <c r="AI2727">
        <v>90.138605375254002</v>
      </c>
      <c r="AJ2727">
        <v>88.323852230170402</v>
      </c>
      <c r="AK2727">
        <v>288.93863709490302</v>
      </c>
      <c r="AL2727">
        <v>77.475462779654194</v>
      </c>
      <c r="AM2727">
        <v>89.328538073226298</v>
      </c>
      <c r="AN2727">
        <v>1.00000000921506</v>
      </c>
    </row>
    <row r="2728" spans="1:40" x14ac:dyDescent="0.25">
      <c r="A2728" t="str">
        <f>"20190303171030557"</f>
        <v>20190303171030557</v>
      </c>
      <c r="B2728" t="str">
        <f>"1551604230543389"</f>
        <v>1551604230543389</v>
      </c>
      <c r="C2728" t="s">
        <v>40</v>
      </c>
      <c r="D2728">
        <v>4.542764</v>
      </c>
      <c r="E2728">
        <v>0.51172379999999995</v>
      </c>
      <c r="F2728" t="s">
        <v>77</v>
      </c>
      <c r="G2728">
        <v>-107.39749999999999</v>
      </c>
      <c r="H2728">
        <v>0.26637909999999998</v>
      </c>
      <c r="I2728">
        <v>212.26830000000001</v>
      </c>
      <c r="J2728">
        <v>-395.92529999999999</v>
      </c>
      <c r="K2728">
        <v>1.1195660000000001</v>
      </c>
      <c r="L2728">
        <v>214.09100000000001</v>
      </c>
      <c r="M2728">
        <v>0.99970440000000005</v>
      </c>
      <c r="N2728">
        <v>-7.1408629999999999E-3</v>
      </c>
      <c r="O2728">
        <v>2.3243460000000001E-2</v>
      </c>
      <c r="P2728">
        <v>0.97768189999999999</v>
      </c>
      <c r="Q2728">
        <v>0.20979629999999999</v>
      </c>
      <c r="R2728">
        <v>1.112524E-2</v>
      </c>
      <c r="S2728">
        <v>3.0708009999999999</v>
      </c>
      <c r="T2728">
        <v>-9.0671780000000004E-3</v>
      </c>
      <c r="U2728">
        <v>-1.927185E-2</v>
      </c>
      <c r="V2728">
        <v>1.1920729999999999E-2</v>
      </c>
      <c r="W2728">
        <v>0.21675530000000001</v>
      </c>
      <c r="X2728">
        <v>0.97615320000000005</v>
      </c>
      <c r="Y2728">
        <v>2.951697E-2</v>
      </c>
      <c r="Z2728" s="1">
        <v>-5.1607870000000002E-5</v>
      </c>
      <c r="AA2728">
        <v>0.99956429999999996</v>
      </c>
      <c r="AB2728">
        <v>42</v>
      </c>
      <c r="AC2728">
        <v>288.52780000000001</v>
      </c>
      <c r="AD2728">
        <v>-0.85318689999999997</v>
      </c>
      <c r="AE2728">
        <v>-1.82269999999996</v>
      </c>
      <c r="AF2728">
        <v>8.5286878801038402</v>
      </c>
      <c r="AG2728">
        <v>-0.85318689999999997</v>
      </c>
      <c r="AH2728">
        <v>288.40495705603797</v>
      </c>
      <c r="AI2728">
        <v>90.169423251615896</v>
      </c>
      <c r="AJ2728">
        <v>88.306147520811194</v>
      </c>
      <c r="AK2728">
        <v>288.53229576485501</v>
      </c>
      <c r="AL2728">
        <v>77.481472916074495</v>
      </c>
      <c r="AM2728">
        <v>89.300341823312195</v>
      </c>
      <c r="AN2728">
        <v>1.0000000168760299</v>
      </c>
    </row>
    <row r="2729" spans="1:40" x14ac:dyDescent="0.25">
      <c r="A2729" t="str">
        <f>"20190303171030580"</f>
        <v>20190303171030580</v>
      </c>
      <c r="B2729" t="str">
        <f>"1551604230573176"</f>
        <v>1551604230573176</v>
      </c>
      <c r="C2729" t="s">
        <v>40</v>
      </c>
      <c r="D2729">
        <v>4.4897539999999996</v>
      </c>
      <c r="E2729">
        <v>0.51163769999999997</v>
      </c>
      <c r="F2729" t="s">
        <v>77</v>
      </c>
      <c r="G2729">
        <v>-107.39749999999999</v>
      </c>
      <c r="H2729">
        <v>0.29312179999999999</v>
      </c>
      <c r="I2729">
        <v>212.0249</v>
      </c>
      <c r="J2729">
        <v>-395.47120000000001</v>
      </c>
      <c r="K2729">
        <v>1.1195660000000001</v>
      </c>
      <c r="L2729">
        <v>214.10120000000001</v>
      </c>
      <c r="M2729">
        <v>0.99971699999999997</v>
      </c>
      <c r="N2729">
        <v>-7.1786069999999896E-3</v>
      </c>
      <c r="O2729">
        <v>2.2686020000000001E-2</v>
      </c>
      <c r="P2729">
        <v>0.9776378</v>
      </c>
      <c r="Q2729">
        <v>0.2100397</v>
      </c>
      <c r="R2729">
        <v>1.0383969999999999E-2</v>
      </c>
      <c r="S2729">
        <v>3.0706180000000001</v>
      </c>
      <c r="T2729">
        <v>-8.7947849999999994E-3</v>
      </c>
      <c r="U2729">
        <v>-2.1987920000000001E-2</v>
      </c>
      <c r="V2729">
        <v>1.211783E-2</v>
      </c>
      <c r="W2729">
        <v>0.21703449999999999</v>
      </c>
      <c r="X2729">
        <v>0.97608870000000003</v>
      </c>
      <c r="Y2729">
        <v>2.984411E-2</v>
      </c>
      <c r="Z2729" s="1">
        <v>-5.1972979999999997E-5</v>
      </c>
      <c r="AA2729">
        <v>0.99955459999999996</v>
      </c>
      <c r="AB2729">
        <v>43</v>
      </c>
      <c r="AC2729">
        <v>288.07369999999997</v>
      </c>
      <c r="AD2729">
        <v>-0.82644419999999996</v>
      </c>
      <c r="AE2729">
        <v>-2.0762999999999998</v>
      </c>
      <c r="AF2729">
        <v>8.6111079840905802</v>
      </c>
      <c r="AG2729">
        <v>-0.82644419999999996</v>
      </c>
      <c r="AH2729">
        <v>287.95008329482698</v>
      </c>
      <c r="AI2729">
        <v>90.164370418323401</v>
      </c>
      <c r="AJ2729">
        <v>88.287088022757601</v>
      </c>
      <c r="AK2729">
        <v>288.07999698039998</v>
      </c>
      <c r="AL2729">
        <v>77.465085409793801</v>
      </c>
      <c r="AM2729">
        <v>89.288727705149896</v>
      </c>
      <c r="AN2729">
        <v>0.99999998313092398</v>
      </c>
    </row>
    <row r="2730" spans="1:40" x14ac:dyDescent="0.25">
      <c r="A2730" t="str">
        <f>"20190303171030602"</f>
        <v>20190303171030602</v>
      </c>
      <c r="B2730" t="str">
        <f>"1551604230593671"</f>
        <v>1551604230593671</v>
      </c>
      <c r="C2730" t="s">
        <v>40</v>
      </c>
      <c r="D2730">
        <v>4.3638139999999996</v>
      </c>
      <c r="E2730">
        <v>0.51159540000000003</v>
      </c>
      <c r="F2730" t="s">
        <v>77</v>
      </c>
      <c r="G2730">
        <v>-107.39749999999999</v>
      </c>
      <c r="H2730">
        <v>0.41917939999999998</v>
      </c>
      <c r="I2730">
        <v>211.8579</v>
      </c>
      <c r="J2730">
        <v>-395.04399999999998</v>
      </c>
      <c r="K2730">
        <v>1.1195649999999999</v>
      </c>
      <c r="L2730">
        <v>214.1105</v>
      </c>
      <c r="M2730">
        <v>0.99972839999999996</v>
      </c>
      <c r="N2730">
        <v>-7.2156729999999997E-3</v>
      </c>
      <c r="O2730">
        <v>2.216226E-2</v>
      </c>
      <c r="P2730">
        <v>0.97757099999999997</v>
      </c>
      <c r="Q2730">
        <v>0.21038609999999999</v>
      </c>
      <c r="R2730">
        <v>9.6426099999999994E-3</v>
      </c>
      <c r="S2730">
        <v>3.0705260000000001</v>
      </c>
      <c r="T2730">
        <v>-7.4647669999999998E-3</v>
      </c>
      <c r="U2730">
        <v>-2.3910520000000001E-2</v>
      </c>
      <c r="V2730">
        <v>1.234762E-2</v>
      </c>
      <c r="W2730">
        <v>0.2174162</v>
      </c>
      <c r="X2730">
        <v>0.97600089999999995</v>
      </c>
      <c r="Y2730">
        <v>2.9946520000000001E-2</v>
      </c>
      <c r="Z2730" s="1">
        <v>-3.8400369999999997E-5</v>
      </c>
      <c r="AA2730">
        <v>0.99955150000000004</v>
      </c>
      <c r="AB2730">
        <v>43</v>
      </c>
      <c r="AC2730">
        <v>287.6465</v>
      </c>
      <c r="AD2730">
        <v>-0.70038559999999905</v>
      </c>
      <c r="AE2730">
        <v>-2.2526000000000002</v>
      </c>
      <c r="AF2730">
        <v>8.6270577084177198</v>
      </c>
      <c r="AG2730">
        <v>-0.70038559999999905</v>
      </c>
      <c r="AH2730">
        <v>287.52421806354403</v>
      </c>
      <c r="AI2730">
        <v>90.139504798652496</v>
      </c>
      <c r="AJ2730">
        <v>88.281376971518597</v>
      </c>
      <c r="AK2730">
        <v>287.65446743922701</v>
      </c>
      <c r="AL2730">
        <v>77.442680988854505</v>
      </c>
      <c r="AM2730">
        <v>89.275176106483499</v>
      </c>
      <c r="AN2730">
        <v>1.0000000122714501</v>
      </c>
    </row>
    <row r="2731" spans="1:40" x14ac:dyDescent="0.25">
      <c r="A2731" t="str">
        <f>"20190303171030627"</f>
        <v>20190303171030627</v>
      </c>
      <c r="B2731" t="str">
        <f>"1551604230613190"</f>
        <v>1551604230613190</v>
      </c>
      <c r="C2731" t="s">
        <v>40</v>
      </c>
      <c r="D2731">
        <v>4.4897749999999998</v>
      </c>
      <c r="E2731">
        <v>0.51150249999999997</v>
      </c>
      <c r="F2731" t="s">
        <v>77</v>
      </c>
      <c r="G2731">
        <v>-107.39749999999999</v>
      </c>
      <c r="H2731">
        <v>0.58611139999999995</v>
      </c>
      <c r="I2731">
        <v>211.71600000000001</v>
      </c>
      <c r="J2731">
        <v>-394.58019999999999</v>
      </c>
      <c r="K2731">
        <v>1.11957</v>
      </c>
      <c r="L2731">
        <v>214.12029999999999</v>
      </c>
      <c r="M2731">
        <v>0.99974050000000003</v>
      </c>
      <c r="N2731">
        <v>-7.2652180000000004E-3</v>
      </c>
      <c r="O2731">
        <v>2.159345E-2</v>
      </c>
      <c r="P2731">
        <v>0.97761419999999999</v>
      </c>
      <c r="Q2731">
        <v>0.2102233</v>
      </c>
      <c r="R2731">
        <v>8.7761579999999992E-3</v>
      </c>
      <c r="S2731">
        <v>3.0703429999999998</v>
      </c>
      <c r="T2731">
        <v>-5.6935550000000003E-3</v>
      </c>
      <c r="U2731">
        <v>-2.555847E-2</v>
      </c>
      <c r="V2731">
        <v>1.266017E-2</v>
      </c>
      <c r="W2731">
        <v>0.21730169999999999</v>
      </c>
      <c r="X2731">
        <v>0.97602239999999996</v>
      </c>
      <c r="Y2731">
        <v>2.9914779999999998E-2</v>
      </c>
      <c r="Z2731" s="1">
        <v>-1.9562129999999999E-5</v>
      </c>
      <c r="AA2731">
        <v>0.99955240000000001</v>
      </c>
      <c r="AB2731">
        <v>43</v>
      </c>
      <c r="AC2731">
        <v>287.18270000000001</v>
      </c>
      <c r="AD2731">
        <v>-0.53345860000000001</v>
      </c>
      <c r="AE2731">
        <v>-2.4043000000000001</v>
      </c>
      <c r="AF2731">
        <v>8.6051382253435804</v>
      </c>
      <c r="AG2731">
        <v>-0.53345860000000001</v>
      </c>
      <c r="AH2731">
        <v>287.06282636505199</v>
      </c>
      <c r="AI2731">
        <v>90.106426764300593</v>
      </c>
      <c r="AJ2731">
        <v>88.282987356886693</v>
      </c>
      <c r="AK2731">
        <v>287.192268807235</v>
      </c>
      <c r="AL2731">
        <v>77.449402104761305</v>
      </c>
      <c r="AM2731">
        <v>89.256847351863797</v>
      </c>
      <c r="AN2731">
        <v>1.00000001701453</v>
      </c>
    </row>
    <row r="2732" spans="1:40" x14ac:dyDescent="0.25">
      <c r="A2732" t="str">
        <f>"20190303171030649"</f>
        <v>20190303171030649</v>
      </c>
      <c r="B2732" t="str">
        <f>"1551604230643447"</f>
        <v>1551604230643447</v>
      </c>
      <c r="C2732" t="s">
        <v>40</v>
      </c>
      <c r="D2732">
        <v>4.4286849999999998</v>
      </c>
      <c r="E2732">
        <v>0.51140459999999999</v>
      </c>
      <c r="F2732" t="s">
        <v>77</v>
      </c>
      <c r="G2732">
        <v>-107.39749999999999</v>
      </c>
      <c r="H2732">
        <v>0.56568430000000003</v>
      </c>
      <c r="I2732">
        <v>211.55840000000001</v>
      </c>
      <c r="J2732">
        <v>-394.16120000000001</v>
      </c>
      <c r="K2732">
        <v>1.1195740000000001</v>
      </c>
      <c r="L2732">
        <v>214.12899999999999</v>
      </c>
      <c r="M2732">
        <v>0.9997511</v>
      </c>
      <c r="N2732">
        <v>-7.3207999999999997E-3</v>
      </c>
      <c r="O2732">
        <v>2.1081180000000001E-2</v>
      </c>
      <c r="P2732">
        <v>0.97772570000000003</v>
      </c>
      <c r="Q2732">
        <v>0.20969160000000001</v>
      </c>
      <c r="R2732">
        <v>9.0776139999999995E-3</v>
      </c>
      <c r="S2732">
        <v>3.0702509999999998</v>
      </c>
      <c r="T2732">
        <v>-5.9210060000000004E-3</v>
      </c>
      <c r="U2732">
        <v>-2.7389529999999999E-2</v>
      </c>
      <c r="V2732">
        <v>1.18604E-2</v>
      </c>
      <c r="W2732">
        <v>0.21682599999999999</v>
      </c>
      <c r="X2732">
        <v>0.97613819999999996</v>
      </c>
      <c r="Y2732">
        <v>2.9998940000000002E-2</v>
      </c>
      <c r="Z2732" s="1">
        <v>-2.5055890000000001E-5</v>
      </c>
      <c r="AA2732">
        <v>0.99954989999999999</v>
      </c>
      <c r="AB2732">
        <v>43</v>
      </c>
      <c r="AC2732">
        <v>286.76369999999997</v>
      </c>
      <c r="AD2732">
        <v>-0.55388970000000004</v>
      </c>
      <c r="AE2732">
        <v>-2.57060000000001</v>
      </c>
      <c r="AF2732">
        <v>8.6154749157305002</v>
      </c>
      <c r="AG2732">
        <v>-0.55388970000000004</v>
      </c>
      <c r="AH2732">
        <v>286.644706265195</v>
      </c>
      <c r="AI2732">
        <v>90.110663748749204</v>
      </c>
      <c r="AJ2732">
        <v>88.278420024510396</v>
      </c>
      <c r="AK2732">
        <v>286.77468652529899</v>
      </c>
      <c r="AL2732">
        <v>77.477323008864204</v>
      </c>
      <c r="AM2732">
        <v>89.303871700246603</v>
      </c>
      <c r="AN2732">
        <v>0.99999998443169902</v>
      </c>
    </row>
    <row r="2733" spans="1:40" x14ac:dyDescent="0.25">
      <c r="A2733" t="str">
        <f>"20190303171030671"</f>
        <v>20190303171030671</v>
      </c>
      <c r="B2733" t="str">
        <f>"1551604230663474"</f>
        <v>1551604230663474</v>
      </c>
      <c r="C2733" t="s">
        <v>40</v>
      </c>
      <c r="D2733">
        <v>4.3028399999999998</v>
      </c>
      <c r="E2733">
        <v>0.5113529</v>
      </c>
      <c r="F2733" t="s">
        <v>77</v>
      </c>
      <c r="G2733">
        <v>-107.39749999999999</v>
      </c>
      <c r="H2733">
        <v>0.45338539999999999</v>
      </c>
      <c r="I2733">
        <v>211.6918</v>
      </c>
      <c r="J2733">
        <v>-393.7482</v>
      </c>
      <c r="K2733">
        <v>1.1195820000000001</v>
      </c>
      <c r="L2733">
        <v>214.13740000000001</v>
      </c>
      <c r="M2733">
        <v>0.99976089999999995</v>
      </c>
      <c r="N2733">
        <v>-7.3849600000000003E-3</v>
      </c>
      <c r="O2733">
        <v>2.058111E-2</v>
      </c>
      <c r="P2733">
        <v>0.97767329999999997</v>
      </c>
      <c r="Q2733">
        <v>0.20992659999999999</v>
      </c>
      <c r="R2733">
        <v>9.2586200000000004E-3</v>
      </c>
      <c r="S2733">
        <v>3.0700989999999999</v>
      </c>
      <c r="T2733">
        <v>-7.1316959999999999E-3</v>
      </c>
      <c r="U2733">
        <v>-2.6092529999999999E-2</v>
      </c>
      <c r="V2733">
        <v>1.119013E-2</v>
      </c>
      <c r="W2733">
        <v>0.2171244</v>
      </c>
      <c r="X2733">
        <v>0.97607980000000005</v>
      </c>
      <c r="Y2733">
        <v>2.907715E-2</v>
      </c>
      <c r="Z2733" s="1">
        <v>-3.6953940000000001E-5</v>
      </c>
      <c r="AA2733">
        <v>0.99957720000000005</v>
      </c>
      <c r="AB2733">
        <v>43</v>
      </c>
      <c r="AC2733">
        <v>286.35070000000002</v>
      </c>
      <c r="AD2733">
        <v>-0.66619659999999903</v>
      </c>
      <c r="AE2733">
        <v>-2.44560000000001</v>
      </c>
      <c r="AF2733">
        <v>8.3386128665725501</v>
      </c>
      <c r="AG2733">
        <v>-0.66619659999999903</v>
      </c>
      <c r="AH2733">
        <v>286.23816002884303</v>
      </c>
      <c r="AI2733">
        <v>90.133294590178295</v>
      </c>
      <c r="AJ2733">
        <v>88.331346738194995</v>
      </c>
      <c r="AK2733">
        <v>286.36036831088597</v>
      </c>
      <c r="AL2733">
        <v>77.459808905464797</v>
      </c>
      <c r="AM2733">
        <v>89.343169344937095</v>
      </c>
      <c r="AN2733">
        <v>1.0000000000264</v>
      </c>
    </row>
    <row r="2734" spans="1:40" x14ac:dyDescent="0.25">
      <c r="A2734" t="str">
        <f>"20190303171030691"</f>
        <v>20190303171030691</v>
      </c>
      <c r="B2734" t="str">
        <f>"1551604230682994"</f>
        <v>1551604230682994</v>
      </c>
      <c r="C2734" t="s">
        <v>40</v>
      </c>
      <c r="D2734">
        <v>4.2956589999999997</v>
      </c>
      <c r="E2734">
        <v>0.51128509999999905</v>
      </c>
      <c r="F2734" t="s">
        <v>77</v>
      </c>
      <c r="G2734">
        <v>-107.39749999999999</v>
      </c>
      <c r="H2734">
        <v>0.60608019999999996</v>
      </c>
      <c r="I2734">
        <v>211.7107</v>
      </c>
      <c r="J2734">
        <v>-393.33640000000003</v>
      </c>
      <c r="K2734">
        <v>1.11959599999999</v>
      </c>
      <c r="L2734">
        <v>214.1455</v>
      </c>
      <c r="M2734">
        <v>0.99977059999999995</v>
      </c>
      <c r="N2734">
        <v>-7.4552799999999999E-3</v>
      </c>
      <c r="O2734">
        <v>2.0087399999999998E-2</v>
      </c>
      <c r="P2734">
        <v>0.97749019999999998</v>
      </c>
      <c r="Q2734">
        <v>0.2108015</v>
      </c>
      <c r="R2734">
        <v>8.7289740000000005E-3</v>
      </c>
      <c r="S2734">
        <v>3.0699770000000002</v>
      </c>
      <c r="T2734">
        <v>-5.5047269999999896E-3</v>
      </c>
      <c r="U2734">
        <v>-2.601624E-2</v>
      </c>
      <c r="V2734">
        <v>1.123386E-2</v>
      </c>
      <c r="W2734">
        <v>0.21806639999999999</v>
      </c>
      <c r="X2734">
        <v>0.97586930000000005</v>
      </c>
      <c r="Y2734">
        <v>2.8559080000000001E-2</v>
      </c>
      <c r="Z2734" s="1">
        <v>-1.832105E-5</v>
      </c>
      <c r="AA2734">
        <v>0.99959209999999998</v>
      </c>
      <c r="AB2734">
        <v>43</v>
      </c>
      <c r="AC2734">
        <v>285.93889999999999</v>
      </c>
      <c r="AD2734">
        <v>-0.51351579999999897</v>
      </c>
      <c r="AE2734">
        <v>-2.4347999999999899</v>
      </c>
      <c r="AF2734">
        <v>8.1782100433072298</v>
      </c>
      <c r="AG2734">
        <v>-0.51351579999999897</v>
      </c>
      <c r="AH2734">
        <v>285.831370339812</v>
      </c>
      <c r="AI2734">
        <v>90.102893606659705</v>
      </c>
      <c r="AJ2734">
        <v>88.361099709650304</v>
      </c>
      <c r="AK2734">
        <v>285.94880501293301</v>
      </c>
      <c r="AL2734">
        <v>77.404511584287206</v>
      </c>
      <c r="AM2734">
        <v>89.340460514483496</v>
      </c>
      <c r="AN2734">
        <v>1.00000002255097</v>
      </c>
    </row>
    <row r="2735" spans="1:40" x14ac:dyDescent="0.25">
      <c r="A2735" t="str">
        <f>"20190303171030716"</f>
        <v>20190303171030716</v>
      </c>
      <c r="B2735" t="str">
        <f>"1551604230703491"</f>
        <v>1551604230703491</v>
      </c>
      <c r="C2735" t="s">
        <v>40</v>
      </c>
      <c r="D2735">
        <v>4.5461559999999999</v>
      </c>
      <c r="E2735">
        <v>0.51124409999999998</v>
      </c>
      <c r="F2735" t="s">
        <v>77</v>
      </c>
      <c r="G2735">
        <v>-107.39749999999999</v>
      </c>
      <c r="H2735">
        <v>0.90795420000000004</v>
      </c>
      <c r="I2735">
        <v>211.66540000000001</v>
      </c>
      <c r="J2735">
        <v>-392.87360000000001</v>
      </c>
      <c r="K2735">
        <v>1.1196079999999999</v>
      </c>
      <c r="L2735">
        <v>214.15440000000001</v>
      </c>
      <c r="M2735">
        <v>0.99978080000000003</v>
      </c>
      <c r="N2735">
        <v>-7.5390609999999997E-3</v>
      </c>
      <c r="O2735">
        <v>1.9537550000000001E-2</v>
      </c>
      <c r="P2735">
        <v>0.97739359999999997</v>
      </c>
      <c r="Q2735">
        <v>0.21125959999999999</v>
      </c>
      <c r="R2735">
        <v>8.4541570000000003E-3</v>
      </c>
      <c r="S2735">
        <v>3.069855</v>
      </c>
      <c r="T2735">
        <v>-2.2716519999999999E-3</v>
      </c>
      <c r="U2735">
        <v>-2.6626589999999999E-2</v>
      </c>
      <c r="V2735">
        <v>1.096926E-2</v>
      </c>
      <c r="W2735">
        <v>0.2186062</v>
      </c>
      <c r="X2735">
        <v>0.97575149999999999</v>
      </c>
      <c r="Y2735">
        <v>2.8208420000000001E-2</v>
      </c>
      <c r="Z2735" s="1">
        <v>1.6068429999999999E-5</v>
      </c>
      <c r="AA2735">
        <v>0.99960210000000005</v>
      </c>
      <c r="AB2735">
        <v>43</v>
      </c>
      <c r="AC2735">
        <v>285.47609999999997</v>
      </c>
      <c r="AD2735">
        <v>-0.2116538</v>
      </c>
      <c r="AE2735">
        <v>-2.4889999999999999</v>
      </c>
      <c r="AF2735">
        <v>8.0661819771151109</v>
      </c>
      <c r="AG2735">
        <v>-0.2116538</v>
      </c>
      <c r="AH2735">
        <v>285.37281914354401</v>
      </c>
      <c r="AI2735">
        <v>90.042477857179506</v>
      </c>
      <c r="AJ2735">
        <v>88.380941932429593</v>
      </c>
      <c r="AK2735">
        <v>285.48687184343999</v>
      </c>
      <c r="AL2735">
        <v>77.372818301779901</v>
      </c>
      <c r="AM2735">
        <v>89.355916103399096</v>
      </c>
      <c r="AN2735">
        <v>0.99999999254781802</v>
      </c>
    </row>
    <row r="2736" spans="1:40" x14ac:dyDescent="0.25">
      <c r="A2736" t="str">
        <f>"20190303171030736"</f>
        <v>20190303171030736</v>
      </c>
      <c r="B2736" t="str">
        <f>"1551604230723010"</f>
        <v>1551604230723010</v>
      </c>
      <c r="C2736" t="s">
        <v>40</v>
      </c>
      <c r="D2736">
        <v>4.2985879999999996</v>
      </c>
      <c r="E2736">
        <v>0.51117590000000002</v>
      </c>
      <c r="F2736" t="s">
        <v>77</v>
      </c>
      <c r="G2736">
        <v>-107.39749999999999</v>
      </c>
      <c r="H2736">
        <v>1.064316</v>
      </c>
      <c r="I2736">
        <v>211.65549999999999</v>
      </c>
      <c r="J2736">
        <v>-392.47149999999999</v>
      </c>
      <c r="K2736">
        <v>1.119618</v>
      </c>
      <c r="L2736">
        <v>214.1619</v>
      </c>
      <c r="M2736">
        <v>0.99978940000000005</v>
      </c>
      <c r="N2736">
        <v>-7.615775E-3</v>
      </c>
      <c r="O2736">
        <v>1.9063960000000001E-2</v>
      </c>
      <c r="P2736">
        <v>0.97735709999999998</v>
      </c>
      <c r="Q2736">
        <v>0.2114181</v>
      </c>
      <c r="R2736">
        <v>8.6932520000000003E-3</v>
      </c>
      <c r="S2736">
        <v>3.069763</v>
      </c>
      <c r="T2736">
        <v>-5.9401989999999997E-4</v>
      </c>
      <c r="U2736">
        <v>-2.6870729999999999E-2</v>
      </c>
      <c r="V2736">
        <v>1.026621E-2</v>
      </c>
      <c r="W2736">
        <v>0.21884020000000001</v>
      </c>
      <c r="X2736">
        <v>0.97570670000000004</v>
      </c>
      <c r="Y2736">
        <v>2.781467E-2</v>
      </c>
      <c r="Z2736" s="1">
        <v>3.2891110000000002E-5</v>
      </c>
      <c r="AA2736">
        <v>0.99961310000000003</v>
      </c>
      <c r="AB2736">
        <v>43</v>
      </c>
      <c r="AC2736">
        <v>285.07400000000001</v>
      </c>
      <c r="AD2736">
        <v>-5.53019999999999E-2</v>
      </c>
      <c r="AE2736">
        <v>-2.50640000000001</v>
      </c>
      <c r="AF2736">
        <v>7.9407403637486498</v>
      </c>
      <c r="AG2736">
        <v>-5.53019999999999E-2</v>
      </c>
      <c r="AH2736">
        <v>284.97439541617302</v>
      </c>
      <c r="AI2736">
        <v>90.011114478409894</v>
      </c>
      <c r="AJ2736">
        <v>88.403880425735395</v>
      </c>
      <c r="AK2736">
        <v>285.08501268682801</v>
      </c>
      <c r="AL2736">
        <v>77.359078452738004</v>
      </c>
      <c r="AM2736">
        <v>89.397166382720101</v>
      </c>
      <c r="AN2736">
        <v>0.99999999631434699</v>
      </c>
    </row>
    <row r="2737" spans="1:40" x14ac:dyDescent="0.25">
      <c r="A2737" t="str">
        <f>"20190303171030760"</f>
        <v>20190303171030760</v>
      </c>
      <c r="B2737" t="str">
        <f>"1551604230753268"</f>
        <v>1551604230753268</v>
      </c>
      <c r="C2737" t="s">
        <v>40</v>
      </c>
      <c r="D2737">
        <v>4.266966</v>
      </c>
      <c r="E2737">
        <v>0.51121190000000005</v>
      </c>
      <c r="F2737" t="s">
        <v>77</v>
      </c>
      <c r="G2737">
        <v>-107.39749999999999</v>
      </c>
      <c r="H2737">
        <v>1.1423509999999999</v>
      </c>
      <c r="I2737">
        <v>211.75299999999999</v>
      </c>
      <c r="J2737">
        <v>-392.03789999999998</v>
      </c>
      <c r="K2737">
        <v>1.1196280000000001</v>
      </c>
      <c r="L2737">
        <v>214.16980000000001</v>
      </c>
      <c r="M2737">
        <v>0.99979819999999997</v>
      </c>
      <c r="N2737">
        <v>-7.7022459999999899E-3</v>
      </c>
      <c r="O2737">
        <v>1.8556219999999998E-2</v>
      </c>
      <c r="P2737">
        <v>0.97729630000000001</v>
      </c>
      <c r="Q2737">
        <v>0.21169740000000001</v>
      </c>
      <c r="R2737">
        <v>8.7319389999999993E-3</v>
      </c>
      <c r="S2737">
        <v>3.0697329999999998</v>
      </c>
      <c r="T2737">
        <v>2.4533269999999998E-4</v>
      </c>
      <c r="U2737">
        <v>-2.5939940000000002E-2</v>
      </c>
      <c r="V2737">
        <v>9.7302680000000003E-3</v>
      </c>
      <c r="W2737">
        <v>0.21920400000000001</v>
      </c>
      <c r="X2737">
        <v>0.97563049999999996</v>
      </c>
      <c r="Y2737">
        <v>2.700402E-2</v>
      </c>
      <c r="Z2737" s="1">
        <v>4.1490250000000001E-5</v>
      </c>
      <c r="AA2737">
        <v>0.9996353</v>
      </c>
      <c r="AB2737">
        <v>43</v>
      </c>
      <c r="AC2737">
        <v>284.6404</v>
      </c>
      <c r="AD2737">
        <v>2.2723E-2</v>
      </c>
      <c r="AE2737">
        <v>-2.4168000000000198</v>
      </c>
      <c r="AF2737">
        <v>7.6983900997013004</v>
      </c>
      <c r="AG2737">
        <v>2.2723E-2</v>
      </c>
      <c r="AH2737">
        <v>284.54653747955399</v>
      </c>
      <c r="AI2737">
        <v>89.995426211190093</v>
      </c>
      <c r="AJ2737">
        <v>88.450244053126596</v>
      </c>
      <c r="AK2737">
        <v>284.65065908594897</v>
      </c>
      <c r="AL2737">
        <v>77.3377152432857</v>
      </c>
      <c r="AM2737">
        <v>89.428590222786596</v>
      </c>
      <c r="AN2737">
        <v>0.99999997213080005</v>
      </c>
    </row>
    <row r="2738" spans="1:40" x14ac:dyDescent="0.25">
      <c r="A2738" t="str">
        <f>"20190303171030780"</f>
        <v>20190303171030780</v>
      </c>
      <c r="B2738" t="str">
        <f>"1551604230773762"</f>
        <v>1551604230773762</v>
      </c>
      <c r="C2738" t="s">
        <v>40</v>
      </c>
      <c r="D2738">
        <v>4.3351749999999996</v>
      </c>
      <c r="E2738">
        <v>0.51118430000000004</v>
      </c>
      <c r="F2738" t="s">
        <v>77</v>
      </c>
      <c r="G2738">
        <v>-107.39749999999999</v>
      </c>
      <c r="H2738">
        <v>1.215104</v>
      </c>
      <c r="I2738">
        <v>211.715</v>
      </c>
      <c r="J2738">
        <v>-391.61329999999998</v>
      </c>
      <c r="K2738">
        <v>1.1196360000000001</v>
      </c>
      <c r="L2738">
        <v>214.17740000000001</v>
      </c>
      <c r="M2738">
        <v>0.99980650000000004</v>
      </c>
      <c r="N2738">
        <v>-7.7930839999999996E-3</v>
      </c>
      <c r="O2738">
        <v>1.8061919999999999E-2</v>
      </c>
      <c r="P2738">
        <v>0.97721290000000005</v>
      </c>
      <c r="Q2738">
        <v>0.2121074</v>
      </c>
      <c r="R2738">
        <v>8.1019569999999999E-3</v>
      </c>
      <c r="S2738">
        <v>3.0697019999999999</v>
      </c>
      <c r="T2738">
        <v>1.030207E-3</v>
      </c>
      <c r="U2738">
        <v>-2.6474000000000001E-2</v>
      </c>
      <c r="V2738">
        <v>9.8760250000000001E-3</v>
      </c>
      <c r="W2738">
        <v>0.2197018</v>
      </c>
      <c r="X2738">
        <v>0.97551710000000003</v>
      </c>
      <c r="Y2738">
        <v>2.6683789999999999E-2</v>
      </c>
      <c r="Z2738" s="1">
        <v>4.7321450000000001E-5</v>
      </c>
      <c r="AA2738">
        <v>0.99964390000000003</v>
      </c>
      <c r="AB2738">
        <v>43</v>
      </c>
      <c r="AC2738">
        <v>284.2158</v>
      </c>
      <c r="AD2738">
        <v>9.5468000000000094E-2</v>
      </c>
      <c r="AE2738">
        <v>-2.4624000000000001</v>
      </c>
      <c r="AF2738">
        <v>7.5956363545157597</v>
      </c>
      <c r="AG2738">
        <v>9.5468000000000094E-2</v>
      </c>
      <c r="AH2738">
        <v>284.12492404485499</v>
      </c>
      <c r="AI2738">
        <v>89.980755086065201</v>
      </c>
      <c r="AJ2738">
        <v>88.468651504442505</v>
      </c>
      <c r="AK2738">
        <v>284.226450685477</v>
      </c>
      <c r="AL2738">
        <v>77.308481304666699</v>
      </c>
      <c r="AM2738">
        <v>89.419963812019304</v>
      </c>
      <c r="AN2738">
        <v>1.0000000145927199</v>
      </c>
    </row>
    <row r="2739" spans="1:40" x14ac:dyDescent="0.25">
      <c r="A2739" t="str">
        <f>"20190303171030803"</f>
        <v>20190303171030803</v>
      </c>
      <c r="B2739" t="str">
        <f>"1551604230793282"</f>
        <v>1551604230793282</v>
      </c>
      <c r="C2739" t="s">
        <v>40</v>
      </c>
      <c r="D2739">
        <v>4.2733119999999998</v>
      </c>
      <c r="E2739">
        <v>0.52257379999999998</v>
      </c>
      <c r="F2739" t="s">
        <v>77</v>
      </c>
      <c r="G2739">
        <v>-107.39749999999999</v>
      </c>
      <c r="H2739">
        <v>1.35562</v>
      </c>
      <c r="I2739">
        <v>211.59200000000001</v>
      </c>
      <c r="J2739">
        <v>-391.1703</v>
      </c>
      <c r="K2739">
        <v>1.1196469999999901</v>
      </c>
      <c r="L2739">
        <v>214.185</v>
      </c>
      <c r="M2739">
        <v>0.99981500000000001</v>
      </c>
      <c r="N2739">
        <v>-7.8886100000000008E-3</v>
      </c>
      <c r="O2739">
        <v>1.7547320000000002E-2</v>
      </c>
      <c r="P2739">
        <v>0.97726519999999995</v>
      </c>
      <c r="Q2739">
        <v>0.21190429999999999</v>
      </c>
      <c r="R2739">
        <v>7.0460770000000004E-3</v>
      </c>
      <c r="S2739">
        <v>3.0696720000000002</v>
      </c>
      <c r="T2739">
        <v>2.549291E-3</v>
      </c>
      <c r="U2739">
        <v>-2.792358E-2</v>
      </c>
      <c r="V2739">
        <v>1.042969E-2</v>
      </c>
      <c r="W2739">
        <v>0.21959110000000001</v>
      </c>
      <c r="X2739">
        <v>0.97553619999999996</v>
      </c>
      <c r="Y2739">
        <v>2.6641379999999999E-2</v>
      </c>
      <c r="Z2739" s="1">
        <v>5.8974580000000001E-5</v>
      </c>
      <c r="AA2739">
        <v>0.99964509999999995</v>
      </c>
      <c r="AB2739">
        <v>43</v>
      </c>
      <c r="AC2739">
        <v>283.77280000000002</v>
      </c>
      <c r="AD2739">
        <v>0.23597299999999999</v>
      </c>
      <c r="AE2739">
        <v>-2.59299999999998</v>
      </c>
      <c r="AF2739">
        <v>7.5722021474184302</v>
      </c>
      <c r="AG2739">
        <v>0.23597299999999999</v>
      </c>
      <c r="AH2739">
        <v>283.68340814556001</v>
      </c>
      <c r="AI2739">
        <v>89.952357312591502</v>
      </c>
      <c r="AJ2739">
        <v>88.470998946002993</v>
      </c>
      <c r="AK2739">
        <v>283.78454853233001</v>
      </c>
      <c r="AL2739">
        <v>77.314981927843306</v>
      </c>
      <c r="AM2739">
        <v>89.387460504299199</v>
      </c>
      <c r="AN2739">
        <v>0.99999995357157201</v>
      </c>
    </row>
    <row r="2740" spans="1:40" x14ac:dyDescent="0.25">
      <c r="A2740" t="str">
        <f>"20190303171030827"</f>
        <v>20190303171030827</v>
      </c>
      <c r="B2740" t="str">
        <f>"1551604230813779"</f>
        <v>1551604230813779</v>
      </c>
      <c r="C2740" t="s">
        <v>40</v>
      </c>
      <c r="D2740">
        <v>4.2730040000000002</v>
      </c>
      <c r="E2740">
        <v>0.52430529999999997</v>
      </c>
      <c r="F2740" t="s">
        <v>46</v>
      </c>
      <c r="G2740">
        <v>-177.60140000000001</v>
      </c>
      <c r="H2740">
        <v>1.1787080000000001</v>
      </c>
      <c r="I2740">
        <v>205.70400000000001</v>
      </c>
      <c r="J2740">
        <v>-390.71589999999998</v>
      </c>
      <c r="K2740">
        <v>1.119651</v>
      </c>
      <c r="L2740">
        <v>214.1926</v>
      </c>
      <c r="M2740">
        <v>0.99982329999999997</v>
      </c>
      <c r="N2740">
        <v>-7.9863590000000002E-3</v>
      </c>
      <c r="O2740">
        <v>1.7020779999999999E-2</v>
      </c>
      <c r="P2740">
        <v>0.97736210000000001</v>
      </c>
      <c r="Q2740">
        <v>0.21148</v>
      </c>
      <c r="R2740">
        <v>6.3126199999999997E-3</v>
      </c>
      <c r="S2740">
        <v>3.0705260000000001</v>
      </c>
      <c r="T2740">
        <v>8.4912780000000003E-4</v>
      </c>
      <c r="U2740">
        <v>-0.121933</v>
      </c>
      <c r="V2740">
        <v>1.0649870000000001E-2</v>
      </c>
      <c r="W2740">
        <v>0.21926309999999999</v>
      </c>
      <c r="X2740">
        <v>0.97560760000000002</v>
      </c>
      <c r="Y2740">
        <v>5.668115E-2</v>
      </c>
      <c r="Z2740" s="1">
        <v>-7.8015089999999997E-5</v>
      </c>
      <c r="AA2740">
        <v>0.99839230000000001</v>
      </c>
      <c r="AB2740">
        <v>43</v>
      </c>
      <c r="AC2740">
        <v>213.11449999999999</v>
      </c>
      <c r="AD2740">
        <v>5.9057000000000102E-2</v>
      </c>
      <c r="AE2740">
        <v>-8.4885999999999893</v>
      </c>
      <c r="AF2740">
        <v>12.1148597880485</v>
      </c>
      <c r="AG2740">
        <v>5.9057000000000102E-2</v>
      </c>
      <c r="AH2740">
        <v>212.939121903581</v>
      </c>
      <c r="AI2740">
        <v>89.984135119654795</v>
      </c>
      <c r="AJ2740">
        <v>86.743750783689293</v>
      </c>
      <c r="AK2740">
        <v>213.28348026155601</v>
      </c>
      <c r="AL2740">
        <v>77.334244448582695</v>
      </c>
      <c r="AM2740">
        <v>89.374576040805707</v>
      </c>
      <c r="AN2740">
        <v>0.99999995796519203</v>
      </c>
    </row>
    <row r="2741" spans="1:40" x14ac:dyDescent="0.25">
      <c r="A2741" t="str">
        <f>"20190303171030848"</f>
        <v>20190303171030848</v>
      </c>
      <c r="B2741" t="str">
        <f>"1551604230833298"</f>
        <v>1551604230833298</v>
      </c>
      <c r="C2741" t="s">
        <v>40</v>
      </c>
      <c r="D2741">
        <v>4.2247769999999996</v>
      </c>
      <c r="E2741">
        <v>0.52511140000000001</v>
      </c>
      <c r="F2741" t="s">
        <v>50</v>
      </c>
      <c r="G2741">
        <v>-168.41149999999999</v>
      </c>
      <c r="H2741">
        <v>0.89277269999999898</v>
      </c>
      <c r="I2741">
        <v>204.21299999999999</v>
      </c>
      <c r="J2741">
        <v>-390.29750000000001</v>
      </c>
      <c r="K2741">
        <v>1.11965</v>
      </c>
      <c r="L2741">
        <v>214.1994</v>
      </c>
      <c r="M2741">
        <v>0.99983069999999996</v>
      </c>
      <c r="N2741">
        <v>-8.0771369999999999E-3</v>
      </c>
      <c r="O2741">
        <v>1.6536599999999999E-2</v>
      </c>
      <c r="P2741">
        <v>0.97742640000000003</v>
      </c>
      <c r="Q2741">
        <v>0.2112069</v>
      </c>
      <c r="R2741">
        <v>5.4290850000000002E-3</v>
      </c>
      <c r="S2741">
        <v>3.0710449999999998</v>
      </c>
      <c r="T2741">
        <v>-3.1337740000000002E-3</v>
      </c>
      <c r="U2741">
        <v>-0.13786319999999999</v>
      </c>
      <c r="V2741">
        <v>1.1060830000000001E-2</v>
      </c>
      <c r="W2741">
        <v>0.21907840000000001</v>
      </c>
      <c r="X2741">
        <v>0.97564459999999997</v>
      </c>
      <c r="Y2741">
        <v>6.1359789999999997E-2</v>
      </c>
      <c r="Z2741">
        <v>-1.62597E-4</v>
      </c>
      <c r="AA2741">
        <v>0.99811570000000005</v>
      </c>
      <c r="AB2741">
        <v>43</v>
      </c>
      <c r="AC2741">
        <v>221.886</v>
      </c>
      <c r="AD2741">
        <v>-0.2268773</v>
      </c>
      <c r="AE2741">
        <v>-9.9863999999999997</v>
      </c>
      <c r="AF2741">
        <v>13.6543796243767</v>
      </c>
      <c r="AG2741">
        <v>-0.2268773</v>
      </c>
      <c r="AH2741">
        <v>221.69027978595699</v>
      </c>
      <c r="AI2741">
        <v>90.058525437041595</v>
      </c>
      <c r="AJ2741">
        <v>86.475482461646195</v>
      </c>
      <c r="AK2741">
        <v>222.110498868945</v>
      </c>
      <c r="AL2741">
        <v>77.345091698570599</v>
      </c>
      <c r="AM2741">
        <v>89.350468676511696</v>
      </c>
      <c r="AN2741">
        <v>1.0000000364079999</v>
      </c>
    </row>
    <row r="2742" spans="1:40" x14ac:dyDescent="0.25">
      <c r="A2742" t="str">
        <f>"20190303171030870"</f>
        <v>20190303171030870</v>
      </c>
      <c r="B2742" t="str">
        <f>"1551604230863554"</f>
        <v>1551604230863554</v>
      </c>
      <c r="C2742" t="s">
        <v>40</v>
      </c>
      <c r="D2742">
        <v>4.2471990000000002</v>
      </c>
      <c r="E2742">
        <v>0.52553739999999904</v>
      </c>
      <c r="F2742" t="s">
        <v>46</v>
      </c>
      <c r="G2742">
        <v>-234.64940000000001</v>
      </c>
      <c r="H2742">
        <v>0.90947599999999995</v>
      </c>
      <c r="I2742">
        <v>206.75190000000001</v>
      </c>
      <c r="J2742">
        <v>-389.86110000000002</v>
      </c>
      <c r="K2742">
        <v>1.119659</v>
      </c>
      <c r="L2742">
        <v>214.2062</v>
      </c>
      <c r="M2742">
        <v>0.99983809999999995</v>
      </c>
      <c r="N2742">
        <v>-8.1729909999999992E-3</v>
      </c>
      <c r="O2742">
        <v>1.603212E-2</v>
      </c>
      <c r="P2742">
        <v>0.97742660000000003</v>
      </c>
      <c r="Q2742">
        <v>0.21122669999999999</v>
      </c>
      <c r="R2742">
        <v>4.5264679999999996E-3</v>
      </c>
      <c r="S2742">
        <v>3.0710139999999999</v>
      </c>
      <c r="T2742">
        <v>-4.1458609999999998E-3</v>
      </c>
      <c r="U2742">
        <v>-0.14694209999999999</v>
      </c>
      <c r="V2742">
        <v>1.147054E-2</v>
      </c>
      <c r="W2742">
        <v>0.21919050000000001</v>
      </c>
      <c r="X2742">
        <v>0.97561469999999995</v>
      </c>
      <c r="Y2742">
        <v>6.3800819999999994E-2</v>
      </c>
      <c r="Z2742">
        <v>-1.9459950000000001E-4</v>
      </c>
      <c r="AA2742">
        <v>0.99796269999999998</v>
      </c>
      <c r="AB2742">
        <v>44</v>
      </c>
      <c r="AC2742">
        <v>155.21170000000001</v>
      </c>
      <c r="AD2742">
        <v>-0.21018299999999901</v>
      </c>
      <c r="AE2742">
        <v>-7.4542999999999804</v>
      </c>
      <c r="AF2742">
        <v>9.9417793473532594</v>
      </c>
      <c r="AG2742">
        <v>-0.21018299999999901</v>
      </c>
      <c r="AH2742">
        <v>155.07195450900801</v>
      </c>
      <c r="AI2742">
        <v>90.077498983557604</v>
      </c>
      <c r="AJ2742">
        <v>86.331744832058007</v>
      </c>
      <c r="AK2742">
        <v>155.39045732839801</v>
      </c>
      <c r="AL2742">
        <v>77.3385089633001</v>
      </c>
      <c r="AM2742">
        <v>89.326390581826402</v>
      </c>
      <c r="AN2742">
        <v>1.0000000457171101</v>
      </c>
    </row>
    <row r="2743" spans="1:40" x14ac:dyDescent="0.25">
      <c r="A2743" t="str">
        <f>"20190303171030892"</f>
        <v>20190303171030892</v>
      </c>
      <c r="B2743" t="str">
        <f>"1551604230883078"</f>
        <v>1551604230883078</v>
      </c>
      <c r="C2743" t="s">
        <v>40</v>
      </c>
      <c r="D2743">
        <v>4.2486090000000001</v>
      </c>
      <c r="E2743">
        <v>0.52557969999999998</v>
      </c>
      <c r="F2743" t="s">
        <v>50</v>
      </c>
      <c r="G2743">
        <v>-168.4118</v>
      </c>
      <c r="H2743">
        <v>0.77940940000000003</v>
      </c>
      <c r="I2743">
        <v>203.20429999999999</v>
      </c>
      <c r="J2743">
        <v>-389.42809999999997</v>
      </c>
      <c r="K2743">
        <v>1.1196729999999999</v>
      </c>
      <c r="L2743">
        <v>214.21279999999999</v>
      </c>
      <c r="M2743">
        <v>0.99984530000000005</v>
      </c>
      <c r="N2743">
        <v>-8.266018E-3</v>
      </c>
      <c r="O2743">
        <v>1.5531949999999999E-2</v>
      </c>
      <c r="P2743">
        <v>0.9774178</v>
      </c>
      <c r="Q2743">
        <v>0.2112811</v>
      </c>
      <c r="R2743">
        <v>3.8885550000000001E-3</v>
      </c>
      <c r="S2743">
        <v>3.0710139999999999</v>
      </c>
      <c r="T2743">
        <v>-4.7180649999999996E-3</v>
      </c>
      <c r="U2743">
        <v>-0.1525726</v>
      </c>
      <c r="V2743">
        <v>1.16195E-2</v>
      </c>
      <c r="W2743">
        <v>0.21933569999999999</v>
      </c>
      <c r="X2743">
        <v>0.97558029999999996</v>
      </c>
      <c r="Y2743">
        <v>6.5126829999999997E-2</v>
      </c>
      <c r="Z2743">
        <v>-2.14885E-4</v>
      </c>
      <c r="AA2743">
        <v>0.99787689999999996</v>
      </c>
      <c r="AB2743">
        <v>44</v>
      </c>
      <c r="AC2743">
        <v>221.0163</v>
      </c>
      <c r="AD2743">
        <v>-0.340263599999999</v>
      </c>
      <c r="AE2743">
        <v>-11.0084999999999</v>
      </c>
      <c r="AF2743">
        <v>14.4400689085713</v>
      </c>
      <c r="AG2743">
        <v>-0.340263599999999</v>
      </c>
      <c r="AH2743">
        <v>220.81812604503699</v>
      </c>
      <c r="AI2743">
        <v>90.088100110640895</v>
      </c>
      <c r="AJ2743">
        <v>86.258555880599602</v>
      </c>
      <c r="AK2743">
        <v>221.29002724805201</v>
      </c>
      <c r="AL2743">
        <v>77.329982073370005</v>
      </c>
      <c r="AM2743">
        <v>89.317619643899107</v>
      </c>
      <c r="AN2743">
        <v>1.0000000419114099</v>
      </c>
    </row>
    <row r="2744" spans="1:40" x14ac:dyDescent="0.25">
      <c r="A2744" t="str">
        <f>"20190303171030915"</f>
        <v>20190303171030915</v>
      </c>
      <c r="B2744" t="str">
        <f>"1551604230903574"</f>
        <v>1551604230903574</v>
      </c>
      <c r="C2744" t="s">
        <v>40</v>
      </c>
      <c r="D2744">
        <v>4.2295150000000001</v>
      </c>
      <c r="E2744">
        <v>0.52556669999999905</v>
      </c>
      <c r="F2744" t="s">
        <v>50</v>
      </c>
      <c r="G2744">
        <v>-168.4119</v>
      </c>
      <c r="H2744">
        <v>0.84663960000000005</v>
      </c>
      <c r="I2744">
        <v>203.08420000000001</v>
      </c>
      <c r="J2744">
        <v>-388.9957</v>
      </c>
      <c r="K2744">
        <v>1.1196839999999999</v>
      </c>
      <c r="L2744">
        <v>214.2192</v>
      </c>
      <c r="M2744">
        <v>0.99985219999999997</v>
      </c>
      <c r="N2744">
        <v>-8.3561390000000003E-3</v>
      </c>
      <c r="O2744">
        <v>1.5033329999999999E-2</v>
      </c>
      <c r="P2744">
        <v>0.97748270000000004</v>
      </c>
      <c r="Q2744">
        <v>0.21099280000000001</v>
      </c>
      <c r="R2744">
        <v>3.1560619999999998E-3</v>
      </c>
      <c r="S2744">
        <v>3.0707399999999998</v>
      </c>
      <c r="T2744">
        <v>-3.7930009999999998E-3</v>
      </c>
      <c r="U2744">
        <v>-0.15461730000000001</v>
      </c>
      <c r="V2744">
        <v>1.18653E-2</v>
      </c>
      <c r="W2744">
        <v>0.21913569999999999</v>
      </c>
      <c r="X2744">
        <v>0.97562219999999999</v>
      </c>
      <c r="Y2744">
        <v>6.5296489999999999E-2</v>
      </c>
      <c r="Z2744">
        <v>-2.0631689999999999E-4</v>
      </c>
      <c r="AA2744">
        <v>0.99786589999999997</v>
      </c>
      <c r="AB2744">
        <v>44</v>
      </c>
      <c r="AC2744">
        <v>220.5838</v>
      </c>
      <c r="AD2744">
        <v>-0.27304440000000002</v>
      </c>
      <c r="AE2744">
        <v>-11.1349999999999</v>
      </c>
      <c r="AF2744">
        <v>14.4499439233568</v>
      </c>
      <c r="AG2744">
        <v>-0.27304440000000002</v>
      </c>
      <c r="AH2744">
        <v>220.39113199469901</v>
      </c>
      <c r="AI2744">
        <v>90.070832097794806</v>
      </c>
      <c r="AJ2744">
        <v>86.248771457606196</v>
      </c>
      <c r="AK2744">
        <v>220.86449804017201</v>
      </c>
      <c r="AL2744">
        <v>77.341725889036596</v>
      </c>
      <c r="AM2744">
        <v>89.303215837102101</v>
      </c>
      <c r="AN2744">
        <v>0.99999995874570902</v>
      </c>
    </row>
    <row r="2745" spans="1:40" x14ac:dyDescent="0.25">
      <c r="A2745" t="str">
        <f>"20190303171030935"</f>
        <v>20190303171030935</v>
      </c>
      <c r="B2745" t="str">
        <f>"1551604230923090"</f>
        <v>1551604230923090</v>
      </c>
      <c r="C2745" t="s">
        <v>40</v>
      </c>
      <c r="D2745">
        <v>4.2141659999999996</v>
      </c>
      <c r="E2745">
        <v>0.52550319999999995</v>
      </c>
      <c r="F2745" t="s">
        <v>50</v>
      </c>
      <c r="G2745">
        <v>-168.4119</v>
      </c>
      <c r="H2745">
        <v>0.63662719999999995</v>
      </c>
      <c r="I2745">
        <v>202.946</v>
      </c>
      <c r="J2745">
        <v>-388.5829</v>
      </c>
      <c r="K2745">
        <v>1.119691</v>
      </c>
      <c r="L2745">
        <v>214.22499999999999</v>
      </c>
      <c r="M2745">
        <v>0.99985840000000004</v>
      </c>
      <c r="N2745">
        <v>-8.4378709999999996E-3</v>
      </c>
      <c r="O2745">
        <v>1.4558E-2</v>
      </c>
      <c r="P2745">
        <v>0.97750230000000005</v>
      </c>
      <c r="Q2745">
        <v>0.2109096</v>
      </c>
      <c r="R2745">
        <v>2.502644E-3</v>
      </c>
      <c r="S2745">
        <v>3.0711059999999999</v>
      </c>
      <c r="T2745">
        <v>-6.724954E-3</v>
      </c>
      <c r="U2745">
        <v>-0.15695190000000001</v>
      </c>
      <c r="V2745">
        <v>1.2054479999999999E-2</v>
      </c>
      <c r="W2745">
        <v>0.21913189999999999</v>
      </c>
      <c r="X2745">
        <v>0.97562070000000001</v>
      </c>
      <c r="Y2745">
        <v>6.5572459999999999E-2</v>
      </c>
      <c r="Z2745">
        <v>-2.5768649999999998E-4</v>
      </c>
      <c r="AA2745">
        <v>0.99784779999999995</v>
      </c>
      <c r="AB2745">
        <v>44</v>
      </c>
      <c r="AC2745">
        <v>220.17099999999999</v>
      </c>
      <c r="AD2745">
        <v>-0.48306379999999999</v>
      </c>
      <c r="AE2745">
        <v>-11.2789999999999</v>
      </c>
      <c r="AF2745">
        <v>14.4830987080804</v>
      </c>
      <c r="AG2745">
        <v>-0.48306379999999999</v>
      </c>
      <c r="AH2745">
        <v>219.982404377948</v>
      </c>
      <c r="AI2745">
        <v>90.125544958674496</v>
      </c>
      <c r="AJ2745">
        <v>86.233223440491003</v>
      </c>
      <c r="AK2745">
        <v>220.45918382940201</v>
      </c>
      <c r="AL2745">
        <v>77.341948604687502</v>
      </c>
      <c r="AM2745">
        <v>89.292106363955298</v>
      </c>
      <c r="AN2745">
        <v>0.99999992517708203</v>
      </c>
    </row>
    <row r="2746" spans="1:40" x14ac:dyDescent="0.25">
      <c r="A2746" t="str">
        <f>"20190303171030960"</f>
        <v>20190303171030960</v>
      </c>
      <c r="B2746" t="str">
        <f>"1551604230953347"</f>
        <v>1551604230953347</v>
      </c>
      <c r="C2746" t="s">
        <v>40</v>
      </c>
      <c r="D2746">
        <v>4.2305449999999896</v>
      </c>
      <c r="E2746">
        <v>0.52569169999999998</v>
      </c>
      <c r="F2746" t="s">
        <v>50</v>
      </c>
      <c r="G2746">
        <v>-168.4118</v>
      </c>
      <c r="H2746">
        <v>0.53706929999999997</v>
      </c>
      <c r="I2746">
        <v>202.87370000000001</v>
      </c>
      <c r="J2746">
        <v>-388.10989999999998</v>
      </c>
      <c r="K2746">
        <v>1.11969599999999</v>
      </c>
      <c r="L2746">
        <v>214.23150000000001</v>
      </c>
      <c r="M2746">
        <v>0.99986549999999996</v>
      </c>
      <c r="N2746">
        <v>-8.5245679999999997E-3</v>
      </c>
      <c r="O2746">
        <v>1.401343E-2</v>
      </c>
      <c r="P2746">
        <v>0.97745190000000004</v>
      </c>
      <c r="Q2746">
        <v>0.2111518</v>
      </c>
      <c r="R2746">
        <v>1.686899E-3</v>
      </c>
      <c r="S2746">
        <v>3.0711979999999999</v>
      </c>
      <c r="T2746">
        <v>-8.1266159999999997E-3</v>
      </c>
      <c r="U2746">
        <v>-0.1583405</v>
      </c>
      <c r="V2746">
        <v>1.233768E-2</v>
      </c>
      <c r="W2746">
        <v>0.2194576</v>
      </c>
      <c r="X2746">
        <v>0.97554399999999997</v>
      </c>
      <c r="Y2746">
        <v>6.5477289999999994E-2</v>
      </c>
      <c r="Z2746">
        <v>-2.8353079999999999E-4</v>
      </c>
      <c r="AA2746">
        <v>0.99785400000000002</v>
      </c>
      <c r="AB2746">
        <v>44</v>
      </c>
      <c r="AC2746">
        <v>219.69810000000001</v>
      </c>
      <c r="AD2746">
        <v>-0.58262669999999905</v>
      </c>
      <c r="AE2746">
        <v>-11.3577999999999</v>
      </c>
      <c r="AF2746">
        <v>14.4354191305624</v>
      </c>
      <c r="AG2746">
        <v>-0.58262669999999905</v>
      </c>
      <c r="AH2746">
        <v>219.51581842403601</v>
      </c>
      <c r="AI2746">
        <v>90.151743175834198</v>
      </c>
      <c r="AJ2746">
        <v>86.237631268210606</v>
      </c>
      <c r="AK2746">
        <v>219.99071643530999</v>
      </c>
      <c r="AL2746">
        <v>77.322822453605298</v>
      </c>
      <c r="AM2746">
        <v>89.275420372469398</v>
      </c>
      <c r="AN2746">
        <v>0.99999997624076997</v>
      </c>
    </row>
    <row r="2747" spans="1:40" x14ac:dyDescent="0.25">
      <c r="A2747" t="str">
        <f>"20190303171030981"</f>
        <v>20190303171030981</v>
      </c>
      <c r="B2747" t="str">
        <f>"1551604230973842"</f>
        <v>1551604230973842</v>
      </c>
      <c r="C2747" t="s">
        <v>40</v>
      </c>
      <c r="D2747">
        <v>4.2490550000000002</v>
      </c>
      <c r="E2747">
        <v>0.52569149999999998</v>
      </c>
      <c r="F2747" t="s">
        <v>50</v>
      </c>
      <c r="G2747">
        <v>-168.4119</v>
      </c>
      <c r="H2747">
        <v>0.44932169999999999</v>
      </c>
      <c r="I2747">
        <v>202.61760000000001</v>
      </c>
      <c r="J2747">
        <v>-387.68209999999999</v>
      </c>
      <c r="K2747">
        <v>1.119705</v>
      </c>
      <c r="L2747">
        <v>214.2372</v>
      </c>
      <c r="M2747">
        <v>0.99987170000000003</v>
      </c>
      <c r="N2747">
        <v>-8.5994269999999998E-3</v>
      </c>
      <c r="O2747">
        <v>1.3521200000000001E-2</v>
      </c>
      <c r="P2747">
        <v>0.97730669999999997</v>
      </c>
      <c r="Q2747">
        <v>0.21182819999999999</v>
      </c>
      <c r="R2747">
        <v>8.4114629999999997E-4</v>
      </c>
      <c r="S2747">
        <v>3.0715029999999999</v>
      </c>
      <c r="T2747">
        <v>-9.3717580000000009E-3</v>
      </c>
      <c r="U2747">
        <v>-0.16236879999999901</v>
      </c>
      <c r="V2747">
        <v>1.2701560000000001E-2</v>
      </c>
      <c r="W2747">
        <v>0.2202056</v>
      </c>
      <c r="X2747">
        <v>0.97537079999999998</v>
      </c>
      <c r="Y2747">
        <v>6.6285910000000003E-2</v>
      </c>
      <c r="Z2747">
        <v>-3.1131319999999998E-4</v>
      </c>
      <c r="AA2747">
        <v>0.99780060000000004</v>
      </c>
      <c r="AB2747">
        <v>44</v>
      </c>
      <c r="AC2747">
        <v>219.27019999999999</v>
      </c>
      <c r="AD2747">
        <v>-0.67038329999999902</v>
      </c>
      <c r="AE2747">
        <v>-11.619599999999901</v>
      </c>
      <c r="AF2747">
        <v>14.5833073527662</v>
      </c>
      <c r="AG2747">
        <v>-0.67038329999999902</v>
      </c>
      <c r="AH2747">
        <v>219.09099489454999</v>
      </c>
      <c r="AI2747">
        <v>90.174928259079394</v>
      </c>
      <c r="AJ2747">
        <v>86.191850704527099</v>
      </c>
      <c r="AK2747">
        <v>219.57683464108399</v>
      </c>
      <c r="AL2747">
        <v>77.278891061748098</v>
      </c>
      <c r="AM2747">
        <v>89.253919998041397</v>
      </c>
      <c r="AN2747">
        <v>1.0000000166952101</v>
      </c>
    </row>
    <row r="2748" spans="1:40" x14ac:dyDescent="0.25">
      <c r="A2748" t="str">
        <f>"20190303171031004"</f>
        <v>20190303171031004</v>
      </c>
      <c r="B2748" t="str">
        <f>"1551604230993362"</f>
        <v>1551604230993362</v>
      </c>
      <c r="C2748" t="s">
        <v>40</v>
      </c>
      <c r="D2748">
        <v>4.2726759999999997</v>
      </c>
      <c r="E2748">
        <v>0.52568519999999996</v>
      </c>
      <c r="F2748" t="s">
        <v>50</v>
      </c>
      <c r="G2748">
        <v>-168.41200000000001</v>
      </c>
      <c r="H2748">
        <v>0.55937579999999998</v>
      </c>
      <c r="I2748">
        <v>202.47280000000001</v>
      </c>
      <c r="J2748">
        <v>-387.24599999999998</v>
      </c>
      <c r="K2748">
        <v>1.119712</v>
      </c>
      <c r="L2748">
        <v>214.24270000000001</v>
      </c>
      <c r="M2748">
        <v>0.99987760000000003</v>
      </c>
      <c r="N2748">
        <v>-8.6713669999999993E-3</v>
      </c>
      <c r="O2748">
        <v>1.3019910000000001E-2</v>
      </c>
      <c r="P2748">
        <v>0.97731939999999995</v>
      </c>
      <c r="Q2748">
        <v>0.21177119999999999</v>
      </c>
      <c r="R2748" s="1">
        <v>9.2867760000000003E-5</v>
      </c>
      <c r="S2748">
        <v>3.0715330000000001</v>
      </c>
      <c r="T2748">
        <v>-7.8486200000000006E-3</v>
      </c>
      <c r="U2748">
        <v>-0.16479489999999999</v>
      </c>
      <c r="V2748">
        <v>1.296041E-2</v>
      </c>
      <c r="W2748">
        <v>0.2202182</v>
      </c>
      <c r="X2748">
        <v>0.97536460000000003</v>
      </c>
      <c r="Y2748">
        <v>6.6571249999999998E-2</v>
      </c>
      <c r="Z2748">
        <v>-2.9427279999999999E-4</v>
      </c>
      <c r="AA2748">
        <v>0.99778160000000005</v>
      </c>
      <c r="AB2748">
        <v>44</v>
      </c>
      <c r="AC2748">
        <v>218.834</v>
      </c>
      <c r="AD2748">
        <v>-0.56033619999999995</v>
      </c>
      <c r="AE2748">
        <v>-11.7699</v>
      </c>
      <c r="AF2748">
        <v>14.6181129273469</v>
      </c>
      <c r="AG2748">
        <v>-0.56033619999999995</v>
      </c>
      <c r="AH2748">
        <v>218.66077135438999</v>
      </c>
      <c r="AI2748">
        <v>90.146497817211298</v>
      </c>
      <c r="AJ2748">
        <v>86.175300497844503</v>
      </c>
      <c r="AK2748">
        <v>219.149574791991</v>
      </c>
      <c r="AL2748">
        <v>77.278151596959702</v>
      </c>
      <c r="AM2748">
        <v>89.238712278317607</v>
      </c>
      <c r="AN2748">
        <v>1.00000006538588</v>
      </c>
    </row>
    <row r="2749" spans="1:40" x14ac:dyDescent="0.25">
      <c r="A2749" t="str">
        <f>"20190303171031025"</f>
        <v>20190303171031025</v>
      </c>
      <c r="B2749" t="str">
        <f>"1551604231013858"</f>
        <v>1551604231013858</v>
      </c>
      <c r="C2749" t="s">
        <v>40</v>
      </c>
      <c r="D2749">
        <v>4.4189619999999996</v>
      </c>
      <c r="E2749">
        <v>0.52589919999999901</v>
      </c>
      <c r="F2749" t="s">
        <v>50</v>
      </c>
      <c r="G2749">
        <v>-168.41200000000001</v>
      </c>
      <c r="H2749">
        <v>0.48648449999999999</v>
      </c>
      <c r="I2749">
        <v>202.37479999999999</v>
      </c>
      <c r="J2749">
        <v>-386.82600000000002</v>
      </c>
      <c r="K2749">
        <v>1.1197159999999999</v>
      </c>
      <c r="L2749">
        <v>214.24780000000001</v>
      </c>
      <c r="M2749">
        <v>0.99988339999999998</v>
      </c>
      <c r="N2749">
        <v>-8.7346500000000001E-3</v>
      </c>
      <c r="O2749">
        <v>1.2537380000000001E-2</v>
      </c>
      <c r="P2749">
        <v>0.97739670000000001</v>
      </c>
      <c r="Q2749">
        <v>0.2114134</v>
      </c>
      <c r="R2749">
        <v>-5.4757669999999897E-4</v>
      </c>
      <c r="S2749">
        <v>3.0715940000000002</v>
      </c>
      <c r="T2749">
        <v>-8.8876489999999992E-3</v>
      </c>
      <c r="U2749">
        <v>-0.16658020000000001</v>
      </c>
      <c r="V2749">
        <v>1.313011E-2</v>
      </c>
      <c r="W2749">
        <v>0.21992229999999999</v>
      </c>
      <c r="X2749">
        <v>0.97542899999999999</v>
      </c>
      <c r="Y2749">
        <v>6.6666799999999998E-2</v>
      </c>
      <c r="Z2749">
        <v>-3.1458419999999998E-4</v>
      </c>
      <c r="AA2749">
        <v>0.99777530000000003</v>
      </c>
      <c r="AB2749">
        <v>44</v>
      </c>
      <c r="AC2749">
        <v>218.41399999999999</v>
      </c>
      <c r="AD2749">
        <v>-0.63323149999999995</v>
      </c>
      <c r="AE2749">
        <v>-11.872999999999999</v>
      </c>
      <c r="AF2749">
        <v>14.610387691227499</v>
      </c>
      <c r="AG2749">
        <v>-0.63323149999999995</v>
      </c>
      <c r="AH2749">
        <v>218.24614118542399</v>
      </c>
      <c r="AI2749">
        <v>90.165869436546402</v>
      </c>
      <c r="AJ2749">
        <v>86.170074893418402</v>
      </c>
      <c r="AK2749">
        <v>218.73555392973699</v>
      </c>
      <c r="AL2749">
        <v>77.2955303468908</v>
      </c>
      <c r="AM2749">
        <v>89.228796298954805</v>
      </c>
      <c r="AN2749">
        <v>0.99999997593345002</v>
      </c>
    </row>
    <row r="2750" spans="1:40" x14ac:dyDescent="0.25">
      <c r="A2750" t="str">
        <f>"20190303171031061"</f>
        <v>20190303171031061</v>
      </c>
      <c r="B2750" t="str">
        <f>"1551604231053876"</f>
        <v>1551604231053876</v>
      </c>
      <c r="C2750" t="s">
        <v>40</v>
      </c>
      <c r="D2750">
        <v>4.3222969999999998</v>
      </c>
      <c r="E2750">
        <v>0.52588519999999905</v>
      </c>
      <c r="F2750" t="s">
        <v>50</v>
      </c>
      <c r="G2750">
        <v>-168.41210000000001</v>
      </c>
      <c r="H2750">
        <v>0.39583780000000002</v>
      </c>
      <c r="I2750">
        <v>202.1309</v>
      </c>
      <c r="J2750">
        <v>-386.12759999999997</v>
      </c>
      <c r="K2750">
        <v>1.11972</v>
      </c>
      <c r="L2750">
        <v>214.2559</v>
      </c>
      <c r="M2750">
        <v>0.99989220000000001</v>
      </c>
      <c r="N2750">
        <v>-8.8268979999999997E-3</v>
      </c>
      <c r="O2750">
        <v>1.173576E-2</v>
      </c>
      <c r="P2750">
        <v>0.97728479999999995</v>
      </c>
      <c r="Q2750">
        <v>0.2119296</v>
      </c>
      <c r="R2750">
        <v>-8.6436789999999998E-4</v>
      </c>
      <c r="S2750">
        <v>3.071472</v>
      </c>
      <c r="T2750">
        <v>-1.017916E-2</v>
      </c>
      <c r="U2750">
        <v>-0.17039489999999999</v>
      </c>
      <c r="V2750">
        <v>1.266369E-2</v>
      </c>
      <c r="W2750">
        <v>0.2205279</v>
      </c>
      <c r="X2750">
        <v>0.97529849999999996</v>
      </c>
      <c r="Y2750">
        <v>6.710431E-2</v>
      </c>
      <c r="Z2750">
        <v>-3.428665E-4</v>
      </c>
      <c r="AA2750">
        <v>0.99774589999999996</v>
      </c>
      <c r="AB2750">
        <v>44</v>
      </c>
      <c r="AC2750">
        <v>217.71549999999999</v>
      </c>
      <c r="AD2750">
        <v>-0.72388219999999903</v>
      </c>
      <c r="AE2750">
        <v>-12.125</v>
      </c>
      <c r="AF2750">
        <v>14.6791594849738</v>
      </c>
      <c r="AG2750">
        <v>-0.72388219999999903</v>
      </c>
      <c r="AH2750">
        <v>217.55580628544499</v>
      </c>
      <c r="AI2750">
        <v>90.190209371936703</v>
      </c>
      <c r="AJ2750">
        <v>86.139928219221005</v>
      </c>
      <c r="AK2750">
        <v>218.051669512377</v>
      </c>
      <c r="AL2750">
        <v>77.259959585331103</v>
      </c>
      <c r="AM2750">
        <v>89.256089066110803</v>
      </c>
      <c r="AN2750">
        <v>1.0000000439125301</v>
      </c>
    </row>
    <row r="2751" spans="1:40" x14ac:dyDescent="0.25">
      <c r="A2751" t="str">
        <f>"20190303171031082"</f>
        <v>20190303171031082</v>
      </c>
      <c r="B2751" t="str">
        <f>"1551604231073404"</f>
        <v>1551604231073404</v>
      </c>
      <c r="C2751" t="s">
        <v>40</v>
      </c>
      <c r="D2751">
        <v>4.2982060000000004</v>
      </c>
      <c r="E2751">
        <v>0.52579750000000003</v>
      </c>
      <c r="F2751" t="s">
        <v>50</v>
      </c>
      <c r="G2751">
        <v>-168.41210000000001</v>
      </c>
      <c r="H2751">
        <v>0.41811179999999898</v>
      </c>
      <c r="I2751">
        <v>202.13550000000001</v>
      </c>
      <c r="J2751">
        <v>-385.69510000000002</v>
      </c>
      <c r="K2751">
        <v>1.1197170000000001</v>
      </c>
      <c r="L2751">
        <v>214.26060000000001</v>
      </c>
      <c r="M2751">
        <v>0.99989740000000005</v>
      </c>
      <c r="N2751">
        <v>-8.8763239999999997E-3</v>
      </c>
      <c r="O2751">
        <v>1.1239880000000001E-2</v>
      </c>
      <c r="P2751">
        <v>0.97706090000000001</v>
      </c>
      <c r="Q2751">
        <v>0.21295269999999999</v>
      </c>
      <c r="R2751">
        <v>-1.776012E-3</v>
      </c>
      <c r="S2751">
        <v>3.0717159999999999</v>
      </c>
      <c r="T2751">
        <v>-9.8984239999999994E-3</v>
      </c>
      <c r="U2751">
        <v>-0.1710052</v>
      </c>
      <c r="V2751">
        <v>1.309047E-2</v>
      </c>
      <c r="W2751">
        <v>0.22159699999999999</v>
      </c>
      <c r="X2751">
        <v>0.97505039999999998</v>
      </c>
      <c r="Y2751">
        <v>6.6802799999999996E-2</v>
      </c>
      <c r="Z2751">
        <v>-3.4077640000000002E-4</v>
      </c>
      <c r="AA2751">
        <v>0.99776609999999999</v>
      </c>
      <c r="AB2751">
        <v>44</v>
      </c>
      <c r="AC2751">
        <v>217.28299999999999</v>
      </c>
      <c r="AD2751">
        <v>-0.70160520000000004</v>
      </c>
      <c r="AE2751">
        <v>-12.1251</v>
      </c>
      <c r="AF2751">
        <v>14.5665137414412</v>
      </c>
      <c r="AG2751">
        <v>-0.70160520000000004</v>
      </c>
      <c r="AH2751">
        <v>217.13072636563001</v>
      </c>
      <c r="AI2751">
        <v>90.184721542013193</v>
      </c>
      <c r="AJ2751">
        <v>86.161984615519202</v>
      </c>
      <c r="AK2751">
        <v>217.619916148551</v>
      </c>
      <c r="AL2751">
        <v>77.197149358315201</v>
      </c>
      <c r="AM2751">
        <v>89.230825785563994</v>
      </c>
      <c r="AN2751">
        <v>0.99999993667698805</v>
      </c>
    </row>
    <row r="2752" spans="1:40" x14ac:dyDescent="0.25">
      <c r="A2752" t="str">
        <f>"20190303171031104"</f>
        <v>20190303171031104</v>
      </c>
      <c r="B2752" t="str">
        <f>"1551604231093890"</f>
        <v>1551604231093890</v>
      </c>
      <c r="C2752" t="s">
        <v>40</v>
      </c>
      <c r="D2752">
        <v>4.3274559999999997</v>
      </c>
      <c r="E2752">
        <v>0.52573259999999999</v>
      </c>
      <c r="F2752" t="s">
        <v>50</v>
      </c>
      <c r="G2752">
        <v>-168.41220000000001</v>
      </c>
      <c r="H2752">
        <v>0.61944390000000005</v>
      </c>
      <c r="I2752">
        <v>202.0291</v>
      </c>
      <c r="J2752">
        <v>-385.26420000000002</v>
      </c>
      <c r="K2752">
        <v>1.119718</v>
      </c>
      <c r="L2752">
        <v>214.26509999999999</v>
      </c>
      <c r="M2752">
        <v>0.99990259999999997</v>
      </c>
      <c r="N2752">
        <v>-8.9176459999999996E-3</v>
      </c>
      <c r="O2752">
        <v>1.0745599999999999E-2</v>
      </c>
      <c r="P2752">
        <v>0.97699769999999997</v>
      </c>
      <c r="Q2752">
        <v>0.21323320000000001</v>
      </c>
      <c r="R2752">
        <v>-2.7004070000000002E-3</v>
      </c>
      <c r="S2752">
        <v>3.0716549999999998</v>
      </c>
      <c r="T2752">
        <v>-7.0717330000000002E-3</v>
      </c>
      <c r="U2752">
        <v>-0.1729126</v>
      </c>
      <c r="V2752">
        <v>1.3532209999999999E-2</v>
      </c>
      <c r="W2752">
        <v>0.22191640000000001</v>
      </c>
      <c r="X2752">
        <v>0.97497180000000006</v>
      </c>
      <c r="Y2752">
        <v>6.6928680000000004E-2</v>
      </c>
      <c r="Z2752">
        <v>-3.046244E-4</v>
      </c>
      <c r="AA2752">
        <v>0.99775769999999997</v>
      </c>
      <c r="AB2752">
        <v>44</v>
      </c>
      <c r="AC2752">
        <v>216.852</v>
      </c>
      <c r="AD2752">
        <v>-0.50027409999999894</v>
      </c>
      <c r="AE2752">
        <v>-12.235999999999899</v>
      </c>
      <c r="AF2752">
        <v>14.565513492289901</v>
      </c>
      <c r="AG2752">
        <v>-0.50027409999999894</v>
      </c>
      <c r="AH2752">
        <v>216.706840852657</v>
      </c>
      <c r="AI2752">
        <v>90.131970994876895</v>
      </c>
      <c r="AJ2752">
        <v>86.154763107035194</v>
      </c>
      <c r="AK2752">
        <v>217.19636122598399</v>
      </c>
      <c r="AL2752">
        <v>77.178382767902903</v>
      </c>
      <c r="AM2752">
        <v>89.204809063832201</v>
      </c>
      <c r="AN2752">
        <v>1.0000000100458399</v>
      </c>
    </row>
    <row r="2753" spans="1:40" x14ac:dyDescent="0.25">
      <c r="A2753" t="str">
        <f>"20190303171031126"</f>
        <v>20190303171031126</v>
      </c>
      <c r="B2753" t="str">
        <f>"1551604231113414"</f>
        <v>1551604231113414</v>
      </c>
      <c r="C2753" t="s">
        <v>40</v>
      </c>
      <c r="D2753">
        <v>4.5055620000000003</v>
      </c>
      <c r="E2753">
        <v>0.52592700000000003</v>
      </c>
      <c r="F2753" t="s">
        <v>50</v>
      </c>
      <c r="G2753">
        <v>-168.41220000000001</v>
      </c>
      <c r="H2753">
        <v>0.6226254</v>
      </c>
      <c r="I2753">
        <v>201.9374</v>
      </c>
      <c r="J2753">
        <v>-384.84010000000001</v>
      </c>
      <c r="K2753">
        <v>1.1197189999999999</v>
      </c>
      <c r="L2753">
        <v>214.26929999999999</v>
      </c>
      <c r="M2753">
        <v>0.9999074</v>
      </c>
      <c r="N2753">
        <v>-8.9429190000000006E-3</v>
      </c>
      <c r="O2753">
        <v>1.025945E-2</v>
      </c>
      <c r="P2753">
        <v>0.97705929999999996</v>
      </c>
      <c r="Q2753">
        <v>0.2129442</v>
      </c>
      <c r="R2753">
        <v>-3.1564179999999998E-3</v>
      </c>
      <c r="S2753">
        <v>3.0717159999999999</v>
      </c>
      <c r="T2753">
        <v>-7.0408579999999997E-3</v>
      </c>
      <c r="U2753">
        <v>-0.17462159999999999</v>
      </c>
      <c r="V2753">
        <v>1.351393E-2</v>
      </c>
      <c r="W2753">
        <v>0.22165280000000001</v>
      </c>
      <c r="X2753">
        <v>0.97503200000000001</v>
      </c>
      <c r="Y2753">
        <v>6.6995830000000006E-2</v>
      </c>
      <c r="Z2753">
        <v>-3.0836569999999997E-4</v>
      </c>
      <c r="AA2753">
        <v>0.99775320000000001</v>
      </c>
      <c r="AB2753">
        <v>44</v>
      </c>
      <c r="AC2753">
        <v>216.42789999999999</v>
      </c>
      <c r="AD2753">
        <v>-0.49709360000000002</v>
      </c>
      <c r="AE2753">
        <v>-12.3318999999999</v>
      </c>
      <c r="AF2753">
        <v>14.5516943784411</v>
      </c>
      <c r="AG2753">
        <v>-0.49709360000000002</v>
      </c>
      <c r="AH2753">
        <v>216.28884771652</v>
      </c>
      <c r="AI2753">
        <v>90.131384830495193</v>
      </c>
      <c r="AJ2753">
        <v>86.150998506335895</v>
      </c>
      <c r="AK2753">
        <v>216.77837659201799</v>
      </c>
      <c r="AL2753">
        <v>77.193871487003605</v>
      </c>
      <c r="AM2753">
        <v>89.205932134424302</v>
      </c>
      <c r="AN2753">
        <v>0.99999999553794205</v>
      </c>
    </row>
    <row r="2754" spans="1:40" x14ac:dyDescent="0.25">
      <c r="A2754" t="str">
        <f>"20190303171031149"</f>
        <v>20190303171031149</v>
      </c>
      <c r="B2754" t="str">
        <f>"1551604231143667"</f>
        <v>1551604231143667</v>
      </c>
      <c r="C2754" t="s">
        <v>40</v>
      </c>
      <c r="D2754">
        <v>4.3825310000000002</v>
      </c>
      <c r="E2754">
        <v>0.52586619999999995</v>
      </c>
      <c r="F2754" t="s">
        <v>50</v>
      </c>
      <c r="G2754">
        <v>-168.41220000000001</v>
      </c>
      <c r="H2754">
        <v>0.5143394</v>
      </c>
      <c r="I2754">
        <v>201.77019999999999</v>
      </c>
      <c r="J2754">
        <v>-384.3707</v>
      </c>
      <c r="K2754">
        <v>1.1196980000000001</v>
      </c>
      <c r="L2754">
        <v>214.27369999999999</v>
      </c>
      <c r="M2754">
        <v>0.99991269999999999</v>
      </c>
      <c r="N2754">
        <v>-8.9509169999999992E-3</v>
      </c>
      <c r="O2754">
        <v>9.7211160000000001E-3</v>
      </c>
      <c r="P2754">
        <v>0.97714590000000001</v>
      </c>
      <c r="Q2754">
        <v>0.21254329999999999</v>
      </c>
      <c r="R2754">
        <v>-3.3818910000000002E-3</v>
      </c>
      <c r="S2754">
        <v>3.0717469999999998</v>
      </c>
      <c r="T2754">
        <v>-8.591652E-3</v>
      </c>
      <c r="U2754">
        <v>-0.17739869999999999</v>
      </c>
      <c r="V2754">
        <v>1.3214180000000001E-2</v>
      </c>
      <c r="W2754">
        <v>0.2212604</v>
      </c>
      <c r="X2754">
        <v>0.97512529999999997</v>
      </c>
      <c r="Y2754">
        <v>6.7356970000000002E-2</v>
      </c>
      <c r="Z2754">
        <v>-3.3606400000000001E-4</v>
      </c>
      <c r="AA2754">
        <v>0.99772890000000003</v>
      </c>
      <c r="AB2754">
        <v>44</v>
      </c>
      <c r="AC2754">
        <v>215.95849999999999</v>
      </c>
      <c r="AD2754">
        <v>-0.60535859999999897</v>
      </c>
      <c r="AE2754">
        <v>-12.503500000000001</v>
      </c>
      <c r="AF2754">
        <v>14.6022364997909</v>
      </c>
      <c r="AG2754">
        <v>-0.60535859999999897</v>
      </c>
      <c r="AH2754">
        <v>215.825051868971</v>
      </c>
      <c r="AI2754">
        <v>90.160339536065905</v>
      </c>
      <c r="AJ2754">
        <v>86.129395509730102</v>
      </c>
      <c r="AK2754">
        <v>216.319312092274</v>
      </c>
      <c r="AL2754">
        <v>77.216927711628301</v>
      </c>
      <c r="AM2754">
        <v>89.223617309474307</v>
      </c>
      <c r="AN2754">
        <v>1.00000006493065</v>
      </c>
    </row>
    <row r="2755" spans="1:40" x14ac:dyDescent="0.25">
      <c r="A2755" t="str">
        <f>"20190303171031170"</f>
        <v>20190303171031170</v>
      </c>
      <c r="B2755" t="str">
        <f>"1551604231163187"</f>
        <v>1551604231163187</v>
      </c>
      <c r="C2755" t="s">
        <v>40</v>
      </c>
      <c r="D2755">
        <v>4.3588060000000004</v>
      </c>
      <c r="E2755">
        <v>0.52572949999999996</v>
      </c>
      <c r="F2755" t="s">
        <v>50</v>
      </c>
      <c r="G2755">
        <v>-168.41220000000001</v>
      </c>
      <c r="H2755">
        <v>0.3788261</v>
      </c>
      <c r="I2755">
        <v>201.74850000000001</v>
      </c>
      <c r="J2755">
        <v>-383.935</v>
      </c>
      <c r="K2755">
        <v>1.1196900000000001</v>
      </c>
      <c r="L2755">
        <v>214.27760000000001</v>
      </c>
      <c r="M2755">
        <v>0.99991750000000001</v>
      </c>
      <c r="N2755">
        <v>-8.9470820000000003E-3</v>
      </c>
      <c r="O2755">
        <v>9.2216499999999996E-3</v>
      </c>
      <c r="P2755">
        <v>0.97708099999999998</v>
      </c>
      <c r="Q2755">
        <v>0.21283779999999999</v>
      </c>
      <c r="R2755">
        <v>-3.6214929999999999E-3</v>
      </c>
      <c r="S2755">
        <v>3.0718380000000001</v>
      </c>
      <c r="T2755">
        <v>-1.053786E-2</v>
      </c>
      <c r="U2755">
        <v>-0.1781616</v>
      </c>
      <c r="V2755">
        <v>1.2965809999999999E-2</v>
      </c>
      <c r="W2755">
        <v>0.22155150000000001</v>
      </c>
      <c r="X2755">
        <v>0.97506250000000005</v>
      </c>
      <c r="Y2755">
        <v>6.7103599999999999E-2</v>
      </c>
      <c r="Z2755">
        <v>-3.6462829999999997E-4</v>
      </c>
      <c r="AA2755">
        <v>0.99774589999999996</v>
      </c>
      <c r="AB2755">
        <v>44</v>
      </c>
      <c r="AC2755">
        <v>215.52279999999999</v>
      </c>
      <c r="AD2755">
        <v>-0.74086390000000002</v>
      </c>
      <c r="AE2755">
        <v>-12.5291</v>
      </c>
      <c r="AF2755">
        <v>14.5159515525174</v>
      </c>
      <c r="AG2755">
        <v>-0.74086390000000002</v>
      </c>
      <c r="AH2755">
        <v>215.395554916832</v>
      </c>
      <c r="AI2755">
        <v>90.196624957428696</v>
      </c>
      <c r="AJ2755">
        <v>86.144548722484998</v>
      </c>
      <c r="AK2755">
        <v>215.88540202320999</v>
      </c>
      <c r="AL2755">
        <v>77.199823971740599</v>
      </c>
      <c r="AM2755">
        <v>89.238159185080306</v>
      </c>
      <c r="AN2755">
        <v>1.0000000291437201</v>
      </c>
    </row>
    <row r="2756" spans="1:40" x14ac:dyDescent="0.25">
      <c r="A2756" t="str">
        <f>"20190303171031194"</f>
        <v>20190303171031194</v>
      </c>
      <c r="B2756" t="str">
        <f>"1551604231183682"</f>
        <v>1551604231183682</v>
      </c>
      <c r="C2756" t="s">
        <v>40</v>
      </c>
      <c r="D2756">
        <v>4.4407420000000002</v>
      </c>
      <c r="E2756">
        <v>0.5256786</v>
      </c>
      <c r="F2756" t="s">
        <v>50</v>
      </c>
      <c r="G2756">
        <v>-168.41220000000001</v>
      </c>
      <c r="H2756">
        <v>0.41547010000000001</v>
      </c>
      <c r="I2756">
        <v>201.7972</v>
      </c>
      <c r="J2756">
        <v>-383.48079999999999</v>
      </c>
      <c r="K2756">
        <v>1.1196889999999999</v>
      </c>
      <c r="L2756">
        <v>214.28139999999999</v>
      </c>
      <c r="M2756">
        <v>0.99992230000000004</v>
      </c>
      <c r="N2756">
        <v>-8.936612E-3</v>
      </c>
      <c r="O2756">
        <v>8.7009389999999995E-3</v>
      </c>
      <c r="P2756">
        <v>0.976908</v>
      </c>
      <c r="Q2756">
        <v>0.21360580000000001</v>
      </c>
      <c r="R2756">
        <v>-4.8919209999999996E-3</v>
      </c>
      <c r="S2756">
        <v>3.0718990000000002</v>
      </c>
      <c r="T2756">
        <v>-1.0036949999999999E-2</v>
      </c>
      <c r="U2756">
        <v>-0.17788699999999999</v>
      </c>
      <c r="V2756">
        <v>1.372744E-2</v>
      </c>
      <c r="W2756">
        <v>0.22230649999999999</v>
      </c>
      <c r="X2756">
        <v>0.97488019999999997</v>
      </c>
      <c r="Y2756">
        <v>6.6494049999999999E-2</v>
      </c>
      <c r="Z2756">
        <v>-3.5662850000000001E-4</v>
      </c>
      <c r="AA2756">
        <v>0.99778679999999997</v>
      </c>
      <c r="AB2756">
        <v>44</v>
      </c>
      <c r="AC2756">
        <v>215.0686</v>
      </c>
      <c r="AD2756">
        <v>-0.70421889999999898</v>
      </c>
      <c r="AE2756">
        <v>-12.4841999999999</v>
      </c>
      <c r="AF2756">
        <v>14.354947328636401</v>
      </c>
      <c r="AG2756">
        <v>-0.70421889999999898</v>
      </c>
      <c r="AH2756">
        <v>214.94953270517101</v>
      </c>
      <c r="AI2756">
        <v>90.187294896520498</v>
      </c>
      <c r="AJ2756">
        <v>86.179296549267505</v>
      </c>
      <c r="AK2756">
        <v>215.429482771598</v>
      </c>
      <c r="AL2756">
        <v>77.155459124579096</v>
      </c>
      <c r="AM2756">
        <v>89.193262517835194</v>
      </c>
      <c r="AN2756">
        <v>1.00000001345162</v>
      </c>
    </row>
    <row r="2757" spans="1:40" x14ac:dyDescent="0.25">
      <c r="A2757" t="str">
        <f>"20190303171031215"</f>
        <v>20190303171031215</v>
      </c>
      <c r="B2757" t="str">
        <f>"1551604231203206"</f>
        <v>1551604231203206</v>
      </c>
      <c r="C2757" t="s">
        <v>40</v>
      </c>
      <c r="D2757">
        <v>4.447667</v>
      </c>
      <c r="E2757">
        <v>0.52566859999999904</v>
      </c>
      <c r="F2757" t="s">
        <v>50</v>
      </c>
      <c r="G2757">
        <v>-168.41220000000001</v>
      </c>
      <c r="H2757">
        <v>0.52956579999999998</v>
      </c>
      <c r="I2757">
        <v>201.6756</v>
      </c>
      <c r="J2757">
        <v>-383.0521</v>
      </c>
      <c r="K2757">
        <v>1.11968</v>
      </c>
      <c r="L2757">
        <v>214.28479999999999</v>
      </c>
      <c r="M2757">
        <v>0.99992650000000005</v>
      </c>
      <c r="N2757">
        <v>-8.9192290000000007E-3</v>
      </c>
      <c r="O2757">
        <v>8.2098259999999999E-3</v>
      </c>
      <c r="P2757">
        <v>0.97684629999999995</v>
      </c>
      <c r="Q2757">
        <v>0.21386240000000001</v>
      </c>
      <c r="R2757">
        <v>-5.8336689999999997E-3</v>
      </c>
      <c r="S2757">
        <v>3.0718990000000002</v>
      </c>
      <c r="T2757">
        <v>-8.4284540000000002E-3</v>
      </c>
      <c r="U2757">
        <v>-0.18005370000000001</v>
      </c>
      <c r="V2757">
        <v>1.41899E-2</v>
      </c>
      <c r="W2757">
        <v>0.22254499999999999</v>
      </c>
      <c r="X2757">
        <v>0.97481910000000005</v>
      </c>
      <c r="Y2757">
        <v>6.6705619999999993E-2</v>
      </c>
      <c r="Z2757">
        <v>-3.3852390000000001E-4</v>
      </c>
      <c r="AA2757">
        <v>0.99777260000000001</v>
      </c>
      <c r="AB2757">
        <v>45</v>
      </c>
      <c r="AC2757">
        <v>214.63990000000001</v>
      </c>
      <c r="AD2757">
        <v>-0.59011419999999903</v>
      </c>
      <c r="AE2757">
        <v>-12.6091999999999</v>
      </c>
      <c r="AF2757">
        <v>14.370893132234899</v>
      </c>
      <c r="AG2757">
        <v>-0.59011419999999903</v>
      </c>
      <c r="AH2757">
        <v>214.527526358654</v>
      </c>
      <c r="AI2757">
        <v>90.157254224207307</v>
      </c>
      <c r="AJ2757">
        <v>86.167563222025805</v>
      </c>
      <c r="AK2757">
        <v>215.009140200481</v>
      </c>
      <c r="AL2757">
        <v>77.1414421940501</v>
      </c>
      <c r="AM2757">
        <v>89.166036072444399</v>
      </c>
      <c r="AN2757">
        <v>0.99999995400590802</v>
      </c>
    </row>
    <row r="2758" spans="1:40" x14ac:dyDescent="0.25">
      <c r="A2758" t="str">
        <f>"20190303171031239"</f>
        <v>20190303171031239</v>
      </c>
      <c r="B2758" t="str">
        <f>"1551604231233459"</f>
        <v>1551604231233459</v>
      </c>
      <c r="C2758" t="s">
        <v>40</v>
      </c>
      <c r="D2758">
        <v>4.4788670000000002</v>
      </c>
      <c r="E2758">
        <v>0.52553930000000004</v>
      </c>
      <c r="F2758" t="s">
        <v>50</v>
      </c>
      <c r="G2758">
        <v>-168.41229999999999</v>
      </c>
      <c r="H2758">
        <v>0.53342819999999902</v>
      </c>
      <c r="I2758">
        <v>201.5462</v>
      </c>
      <c r="J2758">
        <v>-382.59280000000001</v>
      </c>
      <c r="K2758">
        <v>1.1196660000000001</v>
      </c>
      <c r="L2758">
        <v>214.28819999999999</v>
      </c>
      <c r="M2758">
        <v>0.99993100000000001</v>
      </c>
      <c r="N2758">
        <v>-8.8917579999999996E-3</v>
      </c>
      <c r="O2758">
        <v>7.6837750000000003E-3</v>
      </c>
      <c r="P2758">
        <v>0.97690829999999995</v>
      </c>
      <c r="Q2758">
        <v>0.21354190000000001</v>
      </c>
      <c r="R2758">
        <v>-7.1095450000000001E-3</v>
      </c>
      <c r="S2758">
        <v>3.071869</v>
      </c>
      <c r="T2758">
        <v>-8.3898310000000004E-3</v>
      </c>
      <c r="U2758">
        <v>-0.182312</v>
      </c>
      <c r="V2758">
        <v>1.495225E-2</v>
      </c>
      <c r="W2758">
        <v>0.2221968</v>
      </c>
      <c r="X2758">
        <v>0.97488719999999995</v>
      </c>
      <c r="Y2758">
        <v>6.6912280000000005E-2</v>
      </c>
      <c r="Z2758">
        <v>-3.4175569999999998E-4</v>
      </c>
      <c r="AA2758">
        <v>0.99775879999999995</v>
      </c>
      <c r="AB2758">
        <v>45</v>
      </c>
      <c r="AC2758">
        <v>214.18049999999999</v>
      </c>
      <c r="AD2758">
        <v>-0.58623780000000003</v>
      </c>
      <c r="AE2758">
        <v>-12.7419999999999</v>
      </c>
      <c r="AF2758">
        <v>14.3872961551778</v>
      </c>
      <c r="AG2758">
        <v>-0.58623780000000003</v>
      </c>
      <c r="AH2758">
        <v>214.07466807582301</v>
      </c>
      <c r="AI2758">
        <v>90.156549431495904</v>
      </c>
      <c r="AJ2758">
        <v>86.155109785777896</v>
      </c>
      <c r="AK2758">
        <v>214.55838710520899</v>
      </c>
      <c r="AL2758">
        <v>77.161905793100402</v>
      </c>
      <c r="AM2758">
        <v>89.121299722685507</v>
      </c>
      <c r="AN2758">
        <v>1.00000002021707</v>
      </c>
    </row>
    <row r="2759" spans="1:40" x14ac:dyDescent="0.25">
      <c r="A2759" t="str">
        <f>"20190303171031261"</f>
        <v>20190303171031261</v>
      </c>
      <c r="B2759" t="str">
        <f>"1551604231252979"</f>
        <v>1551604231252979</v>
      </c>
      <c r="C2759" t="s">
        <v>40</v>
      </c>
      <c r="D2759">
        <v>4.5644070000000001</v>
      </c>
      <c r="E2759">
        <v>0.54884929999999998</v>
      </c>
      <c r="F2759" t="s">
        <v>50</v>
      </c>
      <c r="G2759">
        <v>-168.41229999999999</v>
      </c>
      <c r="H2759">
        <v>0.41949839999999999</v>
      </c>
      <c r="I2759">
        <v>201.37950000000001</v>
      </c>
      <c r="J2759">
        <v>-382.1225</v>
      </c>
      <c r="K2759">
        <v>1.1196520000000001</v>
      </c>
      <c r="L2759">
        <v>214.29150000000001</v>
      </c>
      <c r="M2759">
        <v>0.99993520000000002</v>
      </c>
      <c r="N2759">
        <v>-8.8605360000000005E-3</v>
      </c>
      <c r="O2759">
        <v>7.1457600000000001E-3</v>
      </c>
      <c r="P2759">
        <v>0.97707049999999995</v>
      </c>
      <c r="Q2759">
        <v>0.21274179999999901</v>
      </c>
      <c r="R2759">
        <v>-8.6256860000000005E-3</v>
      </c>
      <c r="S2759">
        <v>3.0717469999999998</v>
      </c>
      <c r="T2759">
        <v>-1.004124E-2</v>
      </c>
      <c r="U2759">
        <v>-0.18513489999999999</v>
      </c>
      <c r="V2759">
        <v>1.5943479999999999E-2</v>
      </c>
      <c r="W2759">
        <v>0.2213659</v>
      </c>
      <c r="X2759">
        <v>0.9750605</v>
      </c>
      <c r="Y2759">
        <v>6.7291180000000006E-2</v>
      </c>
      <c r="Z2759">
        <v>-3.683634E-4</v>
      </c>
      <c r="AA2759">
        <v>0.99773330000000005</v>
      </c>
      <c r="AB2759">
        <v>45</v>
      </c>
      <c r="AC2759">
        <v>213.71019999999999</v>
      </c>
      <c r="AD2759">
        <v>-0.70015360000000004</v>
      </c>
      <c r="AE2759">
        <v>-12.912000000000001</v>
      </c>
      <c r="AF2759">
        <v>14.4386976698339</v>
      </c>
      <c r="AG2759">
        <v>-0.70015360000000004</v>
      </c>
      <c r="AH2759">
        <v>213.61018918403499</v>
      </c>
      <c r="AI2759">
        <v>90.187371088708701</v>
      </c>
      <c r="AJ2759">
        <v>86.133049794361398</v>
      </c>
      <c r="AK2759">
        <v>214.09876022224799</v>
      </c>
      <c r="AL2759">
        <v>77.210728686562305</v>
      </c>
      <c r="AM2759">
        <v>89.063224573284998</v>
      </c>
      <c r="AN2759">
        <v>1.00000001744878</v>
      </c>
    </row>
    <row r="2760" spans="1:40" x14ac:dyDescent="0.25">
      <c r="A2760" t="str">
        <f>"20190303171031284"</f>
        <v>20190303171031284</v>
      </c>
      <c r="B2760" t="str">
        <f>"1551604231273478"</f>
        <v>1551604231273478</v>
      </c>
      <c r="C2760" t="s">
        <v>40</v>
      </c>
      <c r="D2760">
        <v>4.4985019999999896</v>
      </c>
      <c r="E2760">
        <v>0.55971879999999996</v>
      </c>
      <c r="F2760" t="s">
        <v>60</v>
      </c>
      <c r="G2760">
        <v>-289.95780000000002</v>
      </c>
      <c r="H2760">
        <v>3.4383360000000002E-2</v>
      </c>
      <c r="I2760">
        <v>203.06049999999999</v>
      </c>
      <c r="J2760">
        <v>-381.67250000000001</v>
      </c>
      <c r="K2760">
        <v>1.1196410000000001</v>
      </c>
      <c r="L2760">
        <v>214.29429999999999</v>
      </c>
      <c r="M2760">
        <v>0.99993900000000002</v>
      </c>
      <c r="N2760">
        <v>-8.8308650000000002E-3</v>
      </c>
      <c r="O2760">
        <v>6.631456E-3</v>
      </c>
      <c r="P2760">
        <v>0.97702480000000003</v>
      </c>
      <c r="Q2760">
        <v>0.21288869999999999</v>
      </c>
      <c r="R2760">
        <v>-1.005231E-2</v>
      </c>
      <c r="S2760">
        <v>3.0749819999999999</v>
      </c>
      <c r="T2760">
        <v>-3.6208869999999997E-2</v>
      </c>
      <c r="U2760">
        <v>-0.37471009999999999</v>
      </c>
      <c r="V2760">
        <v>1.686851E-2</v>
      </c>
      <c r="W2760">
        <v>0.22148219999999999</v>
      </c>
      <c r="X2760">
        <v>0.97501850000000001</v>
      </c>
      <c r="Y2760">
        <v>0.1275279</v>
      </c>
      <c r="Z2760">
        <v>-1.3327219999999999E-3</v>
      </c>
      <c r="AA2760">
        <v>0.99183410000000005</v>
      </c>
      <c r="AB2760">
        <v>45</v>
      </c>
      <c r="AC2760">
        <v>91.714699999999993</v>
      </c>
      <c r="AD2760">
        <v>-1.08525763999999</v>
      </c>
      <c r="AE2760">
        <v>-11.2338</v>
      </c>
      <c r="AF2760">
        <v>11.840145349432699</v>
      </c>
      <c r="AG2760">
        <v>-1.08525763999999</v>
      </c>
      <c r="AH2760">
        <v>91.625544122143907</v>
      </c>
      <c r="AI2760">
        <v>90.673012023486294</v>
      </c>
      <c r="AJ2760">
        <v>82.6368603056643</v>
      </c>
      <c r="AK2760">
        <v>92.393761487017201</v>
      </c>
      <c r="AL2760">
        <v>77.203895261015205</v>
      </c>
      <c r="AM2760">
        <v>89.008841351836793</v>
      </c>
      <c r="AN2760">
        <v>0.99999999344435497</v>
      </c>
    </row>
    <row r="2761" spans="1:40" x14ac:dyDescent="0.25">
      <c r="A2761" t="str">
        <f>"20190303171031304"</f>
        <v>20190303171031304</v>
      </c>
      <c r="B2761" t="str">
        <f>"1551604231292998"</f>
        <v>1551604231292998</v>
      </c>
      <c r="C2761" t="s">
        <v>40</v>
      </c>
      <c r="D2761">
        <v>4.5016389999999999</v>
      </c>
      <c r="E2761">
        <v>0.5650039</v>
      </c>
      <c r="F2761" t="s">
        <v>60</v>
      </c>
      <c r="G2761">
        <v>-289.95780000000002</v>
      </c>
      <c r="H2761">
        <v>4.560927E-2</v>
      </c>
      <c r="I2761">
        <v>200.39760000000001</v>
      </c>
      <c r="J2761">
        <v>-381.25940000000003</v>
      </c>
      <c r="K2761">
        <v>1.1196349999999999</v>
      </c>
      <c r="L2761">
        <v>214.29679999999999</v>
      </c>
      <c r="M2761">
        <v>0.99994229999999995</v>
      </c>
      <c r="N2761">
        <v>-8.8007009999999993E-3</v>
      </c>
      <c r="O2761">
        <v>6.1594149999999997E-3</v>
      </c>
      <c r="P2761">
        <v>0.97684550000000003</v>
      </c>
      <c r="Q2761">
        <v>0.21366859999999999</v>
      </c>
      <c r="R2761">
        <v>-1.0896960000000001E-2</v>
      </c>
      <c r="S2761">
        <v>3.0735779999999999</v>
      </c>
      <c r="T2761">
        <v>-3.5993339999999999E-2</v>
      </c>
      <c r="U2761">
        <v>-0.4657135</v>
      </c>
      <c r="V2761">
        <v>1.725266E-2</v>
      </c>
      <c r="W2761">
        <v>0.2222307</v>
      </c>
      <c r="X2761">
        <v>0.97484150000000003</v>
      </c>
      <c r="Y2761">
        <v>0.155880399999999</v>
      </c>
      <c r="Z2761">
        <v>-1.615221E-3</v>
      </c>
      <c r="AA2761">
        <v>0.98777459999999995</v>
      </c>
      <c r="AB2761">
        <v>45</v>
      </c>
      <c r="AC2761">
        <v>91.301599999999993</v>
      </c>
      <c r="AD2761">
        <v>-1.07402573</v>
      </c>
      <c r="AE2761">
        <v>-13.899199999999899</v>
      </c>
      <c r="AF2761">
        <v>14.4593669828075</v>
      </c>
      <c r="AG2761">
        <v>-1.07402573</v>
      </c>
      <c r="AH2761">
        <v>91.201919031696903</v>
      </c>
      <c r="AI2761">
        <v>90.666381733898206</v>
      </c>
      <c r="AJ2761">
        <v>80.991173812631899</v>
      </c>
      <c r="AK2761">
        <v>92.347262330165506</v>
      </c>
      <c r="AL2761">
        <v>77.159913972169207</v>
      </c>
      <c r="AM2761">
        <v>88.986090130988302</v>
      </c>
      <c r="AN2761">
        <v>1.0000000442109001</v>
      </c>
    </row>
    <row r="2762" spans="1:40" x14ac:dyDescent="0.25">
      <c r="A2762" t="str">
        <f>"20190303171031327"</f>
        <v>20190303171031327</v>
      </c>
      <c r="B2762" t="str">
        <f>"1551604231313491"</f>
        <v>1551604231313491</v>
      </c>
      <c r="C2762" t="s">
        <v>40</v>
      </c>
      <c r="D2762">
        <v>4.5296719999999997</v>
      </c>
      <c r="E2762">
        <v>0.56777290000000002</v>
      </c>
      <c r="F2762" t="s">
        <v>42</v>
      </c>
      <c r="G2762">
        <v>-288.63709999999998</v>
      </c>
      <c r="H2762">
        <v>7.9986669999999996E-2</v>
      </c>
      <c r="I2762">
        <v>198.89699999999999</v>
      </c>
      <c r="J2762">
        <v>-380.82190000000003</v>
      </c>
      <c r="K2762">
        <v>1.1196330000000001</v>
      </c>
      <c r="L2762">
        <v>214.29910000000001</v>
      </c>
      <c r="M2762">
        <v>0.99994559999999999</v>
      </c>
      <c r="N2762">
        <v>-8.7655440000000001E-3</v>
      </c>
      <c r="O2762">
        <v>5.6602179999999998E-3</v>
      </c>
      <c r="P2762">
        <v>0.97669680000000003</v>
      </c>
      <c r="Q2762">
        <v>0.214362</v>
      </c>
      <c r="R2762">
        <v>-1.060756E-2</v>
      </c>
      <c r="S2762">
        <v>3.0729679999999999</v>
      </c>
      <c r="T2762">
        <v>-3.4492849999999999E-2</v>
      </c>
      <c r="U2762">
        <v>-0.51092529999999903</v>
      </c>
      <c r="V2762">
        <v>1.6476729999999998E-2</v>
      </c>
      <c r="W2762">
        <v>0.222889</v>
      </c>
      <c r="X2762">
        <v>0.97470460000000003</v>
      </c>
      <c r="Y2762">
        <v>0.16957529999999901</v>
      </c>
      <c r="Z2762">
        <v>-1.7073570000000001E-3</v>
      </c>
      <c r="AA2762">
        <v>0.98551580000000005</v>
      </c>
      <c r="AB2762">
        <v>45</v>
      </c>
      <c r="AC2762">
        <v>92.184799999999996</v>
      </c>
      <c r="AD2762">
        <v>-1.0396463300000001</v>
      </c>
      <c r="AE2762">
        <v>-15.4020999999999</v>
      </c>
      <c r="AF2762">
        <v>15.9216892609476</v>
      </c>
      <c r="AG2762">
        <v>-1.0396463300000001</v>
      </c>
      <c r="AH2762">
        <v>92.084746395391207</v>
      </c>
      <c r="AI2762">
        <v>90.637391264298699</v>
      </c>
      <c r="AJ2762">
        <v>80.190398826049403</v>
      </c>
      <c r="AK2762">
        <v>93.456843366963597</v>
      </c>
      <c r="AL2762">
        <v>77.121225548682801</v>
      </c>
      <c r="AM2762">
        <v>89.031545370688804</v>
      </c>
      <c r="AN2762">
        <v>1.00000002310682</v>
      </c>
    </row>
    <row r="2763" spans="1:40" x14ac:dyDescent="0.25">
      <c r="A2763" t="str">
        <f>"20190303171031350"</f>
        <v>20190303171031350</v>
      </c>
      <c r="B2763" t="str">
        <f>"1551604231343747"</f>
        <v>1551604231343747</v>
      </c>
      <c r="C2763" t="s">
        <v>40</v>
      </c>
      <c r="D2763">
        <v>4.4963449999999998</v>
      </c>
      <c r="E2763">
        <v>0.57049850000000002</v>
      </c>
      <c r="F2763" t="s">
        <v>41</v>
      </c>
      <c r="G2763">
        <v>-271.95549999999997</v>
      </c>
      <c r="H2763">
        <v>-0.05</v>
      </c>
      <c r="I2763">
        <v>195.46530000000001</v>
      </c>
      <c r="J2763">
        <v>-380.33819999999997</v>
      </c>
      <c r="K2763">
        <v>1.1196280000000001</v>
      </c>
      <c r="L2763">
        <v>214.3015</v>
      </c>
      <c r="M2763">
        <v>0.99994890000000003</v>
      </c>
      <c r="N2763">
        <v>-8.7273369999999999E-3</v>
      </c>
      <c r="O2763">
        <v>5.1107990000000001E-3</v>
      </c>
      <c r="P2763">
        <v>0.97660630000000004</v>
      </c>
      <c r="Q2763">
        <v>0.2147444</v>
      </c>
      <c r="R2763">
        <v>-1.1171159999999999E-2</v>
      </c>
      <c r="S2763">
        <v>3.073029</v>
      </c>
      <c r="T2763">
        <v>-3.3015849999999999E-2</v>
      </c>
      <c r="U2763">
        <v>-0.53163149999999904</v>
      </c>
      <c r="V2763">
        <v>1.650443E-2</v>
      </c>
      <c r="W2763">
        <v>0.22323390000000001</v>
      </c>
      <c r="X2763">
        <v>0.97462519999999997</v>
      </c>
      <c r="Y2763">
        <v>0.175483</v>
      </c>
      <c r="Z2763">
        <v>-1.717384E-3</v>
      </c>
      <c r="AA2763">
        <v>0.98448100000000005</v>
      </c>
      <c r="AB2763">
        <v>45</v>
      </c>
      <c r="AC2763">
        <v>108.3827</v>
      </c>
      <c r="AD2763">
        <v>-1.1696279999999999</v>
      </c>
      <c r="AE2763">
        <v>-18.836199999999899</v>
      </c>
      <c r="AF2763">
        <v>19.387705554926299</v>
      </c>
      <c r="AG2763">
        <v>-1.1696279999999999</v>
      </c>
      <c r="AH2763">
        <v>108.272772974587</v>
      </c>
      <c r="AI2763">
        <v>90.609230306221406</v>
      </c>
      <c r="AJ2763">
        <v>79.848006320957296</v>
      </c>
      <c r="AK2763">
        <v>110.00111146688199</v>
      </c>
      <c r="AL2763">
        <v>77.100953497182999</v>
      </c>
      <c r="AM2763">
        <v>89.029838540705299</v>
      </c>
      <c r="AN2763">
        <v>1.0000000253969299</v>
      </c>
    </row>
    <row r="2764" spans="1:40" x14ac:dyDescent="0.25">
      <c r="A2764" t="str">
        <f>"20190303171031373"</f>
        <v>20190303171031373</v>
      </c>
      <c r="B2764" t="str">
        <f>"1551604231363270"</f>
        <v>1551604231363270</v>
      </c>
      <c r="C2764" t="s">
        <v>40</v>
      </c>
      <c r="D2764">
        <v>4.4948680000000003</v>
      </c>
      <c r="E2764">
        <v>0.57170600000000005</v>
      </c>
      <c r="F2764" t="s">
        <v>80</v>
      </c>
      <c r="G2764">
        <v>-279.2355</v>
      </c>
      <c r="H2764">
        <v>9.5393049999999993E-2</v>
      </c>
      <c r="I2764">
        <v>196.0498</v>
      </c>
      <c r="J2764">
        <v>-379.89069999999998</v>
      </c>
      <c r="K2764">
        <v>1.119626</v>
      </c>
      <c r="L2764">
        <v>214.30350000000001</v>
      </c>
      <c r="M2764">
        <v>0.9999517</v>
      </c>
      <c r="N2764">
        <v>-8.6951549999999996E-3</v>
      </c>
      <c r="O2764">
        <v>4.6079850000000002E-3</v>
      </c>
      <c r="P2764">
        <v>0.9765585</v>
      </c>
      <c r="Q2764">
        <v>0.21496670000000001</v>
      </c>
      <c r="R2764">
        <v>-1.1094420000000001E-2</v>
      </c>
      <c r="S2764">
        <v>3.0723569999999998</v>
      </c>
      <c r="T2764">
        <v>-3.1124949999999998E-2</v>
      </c>
      <c r="U2764">
        <v>-0.55464169999999902</v>
      </c>
      <c r="V2764">
        <v>1.5935970000000001E-2</v>
      </c>
      <c r="W2764">
        <v>0.2234254</v>
      </c>
      <c r="X2764">
        <v>0.97459079999999998</v>
      </c>
      <c r="Y2764">
        <v>0.18217069999999999</v>
      </c>
      <c r="Z2764">
        <v>-1.720304E-3</v>
      </c>
      <c r="AA2764">
        <v>0.98326539999999996</v>
      </c>
      <c r="AB2764">
        <v>45</v>
      </c>
      <c r="AC2764">
        <v>100.655199999999</v>
      </c>
      <c r="AD2764">
        <v>-1.02423295</v>
      </c>
      <c r="AE2764">
        <v>-18.253699999999998</v>
      </c>
      <c r="AF2764">
        <v>18.715465147293902</v>
      </c>
      <c r="AG2764">
        <v>-1.02423295</v>
      </c>
      <c r="AH2764">
        <v>100.559934487997</v>
      </c>
      <c r="AI2764">
        <v>90.573703754697902</v>
      </c>
      <c r="AJ2764">
        <v>79.457159559240097</v>
      </c>
      <c r="AK2764">
        <v>102.291828183124</v>
      </c>
      <c r="AL2764">
        <v>77.089697321602003</v>
      </c>
      <c r="AM2764">
        <v>89.063214570401499</v>
      </c>
      <c r="AN2764">
        <v>1.00000004597481</v>
      </c>
    </row>
    <row r="2765" spans="1:40" x14ac:dyDescent="0.25">
      <c r="A2765" t="str">
        <f>"20190303171031394"</f>
        <v>20190303171031394</v>
      </c>
      <c r="B2765" t="str">
        <f>"1551604231383766"</f>
        <v>1551604231383766</v>
      </c>
      <c r="C2765" t="s">
        <v>40</v>
      </c>
      <c r="D2765">
        <v>4.4841559999999996</v>
      </c>
      <c r="E2765">
        <v>0.57269519999999996</v>
      </c>
      <c r="F2765" t="s">
        <v>41</v>
      </c>
      <c r="G2765">
        <v>-268.23869999999999</v>
      </c>
      <c r="H2765">
        <v>-0.05</v>
      </c>
      <c r="I2765">
        <v>193.80240000000001</v>
      </c>
      <c r="J2765">
        <v>-379.44659999999999</v>
      </c>
      <c r="K2765">
        <v>1.119631</v>
      </c>
      <c r="L2765">
        <v>214.30520000000001</v>
      </c>
      <c r="M2765">
        <v>0.99995409999999996</v>
      </c>
      <c r="N2765">
        <v>-8.6667369999999903E-3</v>
      </c>
      <c r="O2765">
        <v>4.119139E-3</v>
      </c>
      <c r="P2765">
        <v>0.97666649999999999</v>
      </c>
      <c r="Q2765">
        <v>0.2144498</v>
      </c>
      <c r="R2765">
        <v>-1.1584789999999999E-2</v>
      </c>
      <c r="S2765">
        <v>3.0726930000000001</v>
      </c>
      <c r="T2765">
        <v>-3.2188420000000002E-2</v>
      </c>
      <c r="U2765">
        <v>-0.56419370000000002</v>
      </c>
      <c r="V2765">
        <v>1.5946209999999999E-2</v>
      </c>
      <c r="W2765">
        <v>0.2228821</v>
      </c>
      <c r="X2765">
        <v>0.974715</v>
      </c>
      <c r="Y2765">
        <v>0.18462809999999999</v>
      </c>
      <c r="Z2765">
        <v>-1.77315E-3</v>
      </c>
      <c r="AA2765">
        <v>0.98280690000000004</v>
      </c>
      <c r="AB2765">
        <v>45</v>
      </c>
      <c r="AC2765">
        <v>111.2079</v>
      </c>
      <c r="AD2765">
        <v>-1.1696309999999901</v>
      </c>
      <c r="AE2765">
        <v>-20.502800000000001</v>
      </c>
      <c r="AF2765">
        <v>20.958481809199899</v>
      </c>
      <c r="AG2765">
        <v>-1.1696309999999901</v>
      </c>
      <c r="AH2765">
        <v>111.110612617128</v>
      </c>
      <c r="AI2765">
        <v>90.592664069520794</v>
      </c>
      <c r="AJ2765">
        <v>79.317968059309905</v>
      </c>
      <c r="AK2765">
        <v>113.076055080535</v>
      </c>
      <c r="AL2765">
        <v>77.121631072296395</v>
      </c>
      <c r="AM2765">
        <v>89.062732148488706</v>
      </c>
      <c r="AN2765">
        <v>1.0000000216693801</v>
      </c>
    </row>
    <row r="2766" spans="1:40" x14ac:dyDescent="0.25">
      <c r="A2766" t="str">
        <f>"20190303171031415"</f>
        <v>20190303171031415</v>
      </c>
      <c r="B2766" t="str">
        <f>"1551604231403283"</f>
        <v>1551604231403283</v>
      </c>
      <c r="C2766" t="s">
        <v>40</v>
      </c>
      <c r="D2766">
        <v>4.4119970000000004</v>
      </c>
      <c r="E2766">
        <v>0.573094199999999</v>
      </c>
      <c r="F2766" t="s">
        <v>41</v>
      </c>
      <c r="G2766">
        <v>-272.98489999999998</v>
      </c>
      <c r="H2766">
        <v>-0.05</v>
      </c>
      <c r="I2766">
        <v>194.4272</v>
      </c>
      <c r="J2766">
        <v>-379.01929999999999</v>
      </c>
      <c r="K2766">
        <v>1.119637</v>
      </c>
      <c r="L2766">
        <v>214.30670000000001</v>
      </c>
      <c r="M2766">
        <v>0.99995599999999996</v>
      </c>
      <c r="N2766">
        <v>-8.6428640000000001E-3</v>
      </c>
      <c r="O2766">
        <v>3.6647720000000002E-3</v>
      </c>
      <c r="P2766">
        <v>0.9763771</v>
      </c>
      <c r="Q2766">
        <v>0.21572630000000001</v>
      </c>
      <c r="R2766">
        <v>-1.225534E-2</v>
      </c>
      <c r="S2766">
        <v>3.0722659999999999</v>
      </c>
      <c r="T2766">
        <v>-3.3753159999999997E-2</v>
      </c>
      <c r="U2766">
        <v>-0.57363889999999995</v>
      </c>
      <c r="V2766">
        <v>1.6168970000000001E-2</v>
      </c>
      <c r="W2766">
        <v>0.22413269999999999</v>
      </c>
      <c r="X2766">
        <v>0.97442450000000003</v>
      </c>
      <c r="Y2766">
        <v>0.18712490000000001</v>
      </c>
      <c r="Z2766">
        <v>-1.843232E-3</v>
      </c>
      <c r="AA2766">
        <v>0.98233440000000005</v>
      </c>
      <c r="AB2766">
        <v>45</v>
      </c>
      <c r="AC2766">
        <v>106.03440000000001</v>
      </c>
      <c r="AD2766">
        <v>-1.169637</v>
      </c>
      <c r="AE2766">
        <v>-19.8795</v>
      </c>
      <c r="AF2766">
        <v>20.265590755540099</v>
      </c>
      <c r="AG2766">
        <v>-1.169637</v>
      </c>
      <c r="AH2766">
        <v>105.94837759901699</v>
      </c>
      <c r="AI2766">
        <v>90.621240079175493</v>
      </c>
      <c r="AJ2766">
        <v>79.171378358237902</v>
      </c>
      <c r="AK2766">
        <v>107.875488111279</v>
      </c>
      <c r="AL2766">
        <v>77.048117004062405</v>
      </c>
      <c r="AM2766">
        <v>89.049358130816898</v>
      </c>
      <c r="AN2766">
        <v>1.0000000045002</v>
      </c>
    </row>
    <row r="2767" spans="1:40" x14ac:dyDescent="0.25">
      <c r="A2767" t="str">
        <f>"20190303171031439"</f>
        <v>20190303171031439</v>
      </c>
      <c r="B2767" t="str">
        <f>"1551604231433539"</f>
        <v>1551604231433539</v>
      </c>
      <c r="C2767" t="s">
        <v>40</v>
      </c>
      <c r="D2767">
        <v>4.4459710000000001</v>
      </c>
      <c r="E2767">
        <v>0.57442769999999899</v>
      </c>
      <c r="F2767" t="s">
        <v>80</v>
      </c>
      <c r="G2767">
        <v>-279.2355</v>
      </c>
      <c r="H2767">
        <v>0.14932490000000001</v>
      </c>
      <c r="I2767">
        <v>195.50020000000001</v>
      </c>
      <c r="J2767">
        <v>-378.54239999999999</v>
      </c>
      <c r="K2767">
        <v>1.119653</v>
      </c>
      <c r="L2767">
        <v>214.3081</v>
      </c>
      <c r="M2767">
        <v>0.99995789999999996</v>
      </c>
      <c r="N2767">
        <v>-8.6200289999999995E-3</v>
      </c>
      <c r="O2767">
        <v>3.1840850000000001E-3</v>
      </c>
      <c r="P2767">
        <v>0.97608600000000001</v>
      </c>
      <c r="Q2767">
        <v>0.21696579999999999</v>
      </c>
      <c r="R2767">
        <v>-1.351079E-2</v>
      </c>
      <c r="S2767">
        <v>3.0719599999999998</v>
      </c>
      <c r="T2767">
        <v>-2.9872180000000002E-2</v>
      </c>
      <c r="U2767">
        <v>-0.57897949999999998</v>
      </c>
      <c r="V2767">
        <v>1.6947110000000001E-2</v>
      </c>
      <c r="W2767">
        <v>0.2253464</v>
      </c>
      <c r="X2767">
        <v>0.97413130000000003</v>
      </c>
      <c r="Y2767">
        <v>0.1883232</v>
      </c>
      <c r="Z2767">
        <v>-1.729927E-3</v>
      </c>
      <c r="AA2767">
        <v>0.98210560000000002</v>
      </c>
      <c r="AB2767">
        <v>45</v>
      </c>
      <c r="AC2767">
        <v>99.306899999999899</v>
      </c>
      <c r="AD2767">
        <v>-0.97032809999999903</v>
      </c>
      <c r="AE2767">
        <v>-18.807899999999901</v>
      </c>
      <c r="AF2767">
        <v>19.122255539191801</v>
      </c>
      <c r="AG2767">
        <v>-0.97032809999999903</v>
      </c>
      <c r="AH2767">
        <v>99.237362017403299</v>
      </c>
      <c r="AI2767">
        <v>90.550092895008007</v>
      </c>
      <c r="AJ2767">
        <v>79.093235086270496</v>
      </c>
      <c r="AK2767">
        <v>101.06758240752001</v>
      </c>
      <c r="AL2767">
        <v>76.976751403131701</v>
      </c>
      <c r="AM2767">
        <v>89.003317176336395</v>
      </c>
      <c r="AN2767">
        <v>0.99999999708500098</v>
      </c>
    </row>
    <row r="2768" spans="1:40" x14ac:dyDescent="0.25">
      <c r="A2768" t="str">
        <f>"20190303171031463"</f>
        <v>20190303171031463</v>
      </c>
      <c r="B2768" t="str">
        <f>"1551604231453059"</f>
        <v>1551604231453059</v>
      </c>
      <c r="C2768" t="s">
        <v>40</v>
      </c>
      <c r="D2768">
        <v>4.4403990000000002</v>
      </c>
      <c r="E2768">
        <v>0.57503040000000005</v>
      </c>
      <c r="F2768" t="s">
        <v>80</v>
      </c>
      <c r="G2768">
        <v>-279.2355</v>
      </c>
      <c r="H2768">
        <v>0.28204069999999998</v>
      </c>
      <c r="I2768">
        <v>195.12459999999999</v>
      </c>
      <c r="J2768">
        <v>-378.03730000000002</v>
      </c>
      <c r="K2768">
        <v>1.119685</v>
      </c>
      <c r="L2768">
        <v>214.30940000000001</v>
      </c>
      <c r="M2768">
        <v>0.9999595</v>
      </c>
      <c r="N2768">
        <v>-8.6000439999999994E-3</v>
      </c>
      <c r="O2768">
        <v>2.7119959999999999E-3</v>
      </c>
      <c r="P2768">
        <v>0.97595160000000003</v>
      </c>
      <c r="Q2768">
        <v>0.2175281</v>
      </c>
      <c r="R2768">
        <v>-1.415809E-2</v>
      </c>
      <c r="S2768">
        <v>3.0710449999999998</v>
      </c>
      <c r="T2768">
        <v>-2.5902990000000001E-2</v>
      </c>
      <c r="U2768">
        <v>-0.59324650000000001</v>
      </c>
      <c r="V2768">
        <v>1.7121040000000001E-2</v>
      </c>
      <c r="W2768">
        <v>0.22588939999999999</v>
      </c>
      <c r="X2768">
        <v>0.97400249999999999</v>
      </c>
      <c r="Y2768">
        <v>0.1923163</v>
      </c>
      <c r="Z2768">
        <v>-1.6377529999999901E-3</v>
      </c>
      <c r="AA2768">
        <v>0.98133159999999997</v>
      </c>
      <c r="AB2768">
        <v>45</v>
      </c>
      <c r="AC2768">
        <v>98.8018</v>
      </c>
      <c r="AD2768">
        <v>-0.83764430000000001</v>
      </c>
      <c r="AE2768">
        <v>-19.184799999999999</v>
      </c>
      <c r="AF2768">
        <v>19.451342092211299</v>
      </c>
      <c r="AG2768">
        <v>-0.83764430000000001</v>
      </c>
      <c r="AH2768">
        <v>98.742566175542393</v>
      </c>
      <c r="AI2768">
        <v>90.476870840370793</v>
      </c>
      <c r="AJ2768">
        <v>78.855965747207193</v>
      </c>
      <c r="AK2768">
        <v>100.6436820277</v>
      </c>
      <c r="AL2768">
        <v>76.944816556027902</v>
      </c>
      <c r="AM2768">
        <v>88.992957085177096</v>
      </c>
      <c r="AN2768">
        <v>1.00000001052464</v>
      </c>
    </row>
    <row r="2769" spans="1:40" x14ac:dyDescent="0.25">
      <c r="A2769" t="str">
        <f>"20190303171031484"</f>
        <v>20190303171031484</v>
      </c>
      <c r="B2769" t="str">
        <f>"1551604231473555"</f>
        <v>1551604231473555</v>
      </c>
      <c r="C2769" t="s">
        <v>40</v>
      </c>
      <c r="D2769">
        <v>4.4620800000000003</v>
      </c>
      <c r="E2769">
        <v>0.57558540000000002</v>
      </c>
      <c r="F2769" t="s">
        <v>80</v>
      </c>
      <c r="G2769">
        <v>-279.2355</v>
      </c>
      <c r="H2769">
        <v>0.35335040000000001</v>
      </c>
      <c r="I2769">
        <v>195.0043</v>
      </c>
      <c r="J2769">
        <v>-377.63130000000001</v>
      </c>
      <c r="K2769">
        <v>1.1197079999999999</v>
      </c>
      <c r="L2769">
        <v>214.31030000000001</v>
      </c>
      <c r="M2769">
        <v>0.99996050000000003</v>
      </c>
      <c r="N2769">
        <v>-8.5865590000000006E-3</v>
      </c>
      <c r="O2769">
        <v>2.3584000000000001E-3</v>
      </c>
      <c r="P2769">
        <v>0.97596229999999995</v>
      </c>
      <c r="Q2769">
        <v>0.21746460000000001</v>
      </c>
      <c r="R2769">
        <v>-1.439353E-2</v>
      </c>
      <c r="S2769">
        <v>3.070557</v>
      </c>
      <c r="T2769">
        <v>-2.3816110000000001E-2</v>
      </c>
      <c r="U2769">
        <v>-0.5999603</v>
      </c>
      <c r="V2769">
        <v>1.6999549999999999E-2</v>
      </c>
      <c r="W2769">
        <v>0.22581370000000001</v>
      </c>
      <c r="X2769">
        <v>0.97402219999999995</v>
      </c>
      <c r="Y2769">
        <v>0.1940672</v>
      </c>
      <c r="Z2769">
        <v>-1.584652E-3</v>
      </c>
      <c r="AA2769">
        <v>0.98098700000000005</v>
      </c>
      <c r="AB2769">
        <v>45</v>
      </c>
      <c r="AC2769">
        <v>98.395799999999994</v>
      </c>
      <c r="AD2769">
        <v>-0.76635759999999897</v>
      </c>
      <c r="AE2769">
        <v>-19.306000000000001</v>
      </c>
      <c r="AF2769">
        <v>19.536870287629998</v>
      </c>
      <c r="AG2769">
        <v>-0.76635759999999897</v>
      </c>
      <c r="AH2769">
        <v>98.344248881017293</v>
      </c>
      <c r="AI2769">
        <v>90.437916936872796</v>
      </c>
      <c r="AJ2769">
        <v>78.764021007214694</v>
      </c>
      <c r="AK2769">
        <v>100.268977717827</v>
      </c>
      <c r="AL2769">
        <v>76.9492691317338</v>
      </c>
      <c r="AM2769">
        <v>89.000121772043698</v>
      </c>
      <c r="AN2769">
        <v>1.0000000289503601</v>
      </c>
    </row>
    <row r="2770" spans="1:40" x14ac:dyDescent="0.25">
      <c r="A2770" t="str">
        <f>"20190303171031505"</f>
        <v>20190303171031505</v>
      </c>
      <c r="B2770" t="str">
        <f>"1551604231493075"</f>
        <v>1551604231493075</v>
      </c>
      <c r="C2770" t="s">
        <v>40</v>
      </c>
      <c r="D2770">
        <v>4.4486780000000001</v>
      </c>
      <c r="E2770">
        <v>0.57617469999999904</v>
      </c>
      <c r="F2770" t="s">
        <v>80</v>
      </c>
      <c r="G2770">
        <v>-279.2355</v>
      </c>
      <c r="H2770">
        <v>0.34539370000000003</v>
      </c>
      <c r="I2770">
        <v>194.91239999999999</v>
      </c>
      <c r="J2770">
        <v>-377.19760000000002</v>
      </c>
      <c r="K2770">
        <v>1.1197299999999999</v>
      </c>
      <c r="L2770">
        <v>214.31110000000001</v>
      </c>
      <c r="M2770">
        <v>0.99996130000000005</v>
      </c>
      <c r="N2770">
        <v>-8.5745809999999995E-3</v>
      </c>
      <c r="O2770">
        <v>2.0123580000000001E-3</v>
      </c>
      <c r="P2770">
        <v>0.9760721</v>
      </c>
      <c r="Q2770">
        <v>0.21697259999999999</v>
      </c>
      <c r="R2770">
        <v>-1.4364439999999999E-2</v>
      </c>
      <c r="S2770">
        <v>3.0703130000000001</v>
      </c>
      <c r="T2770">
        <v>-2.4161459999999999E-2</v>
      </c>
      <c r="U2770">
        <v>-0.60528559999999998</v>
      </c>
      <c r="V2770">
        <v>1.6617839999999998E-2</v>
      </c>
      <c r="W2770">
        <v>0.22531290000000001</v>
      </c>
      <c r="X2770">
        <v>0.97414469999999997</v>
      </c>
      <c r="Y2770">
        <v>0.19538030000000001</v>
      </c>
      <c r="Z2770">
        <v>-1.605696E-3</v>
      </c>
      <c r="AA2770">
        <v>0.98072619999999999</v>
      </c>
      <c r="AB2770">
        <v>46</v>
      </c>
      <c r="AC2770">
        <v>97.962100000000007</v>
      </c>
      <c r="AD2770">
        <v>-0.77433629999999898</v>
      </c>
      <c r="AE2770">
        <v>-19.398700000000002</v>
      </c>
      <c r="AF2770">
        <v>19.594624682689101</v>
      </c>
      <c r="AG2770">
        <v>-0.77433629999999898</v>
      </c>
      <c r="AH2770">
        <v>97.916976037728105</v>
      </c>
      <c r="AI2770">
        <v>90.444282599054702</v>
      </c>
      <c r="AJ2770">
        <v>78.683749503326595</v>
      </c>
      <c r="AK2770">
        <v>99.861319386106501</v>
      </c>
      <c r="AL2770">
        <v>76.978721197920507</v>
      </c>
      <c r="AM2770">
        <v>89.022691645323505</v>
      </c>
      <c r="AN2770">
        <v>0.99999997602538204</v>
      </c>
    </row>
    <row r="2771" spans="1:40" x14ac:dyDescent="0.25">
      <c r="A2771" t="str">
        <f>"20190303171031528"</f>
        <v>20190303171031528</v>
      </c>
      <c r="B2771" t="str">
        <f>"1551604231523331"</f>
        <v>1551604231523331</v>
      </c>
      <c r="C2771" t="s">
        <v>40</v>
      </c>
      <c r="D2771">
        <v>4.4081049999999999</v>
      </c>
      <c r="E2771">
        <v>0.57700909999999905</v>
      </c>
      <c r="F2771" t="s">
        <v>80</v>
      </c>
      <c r="G2771">
        <v>-279.2355</v>
      </c>
      <c r="H2771">
        <v>0.32197029999999999</v>
      </c>
      <c r="I2771">
        <v>194.83349999999999</v>
      </c>
      <c r="J2771">
        <v>-376.72930000000002</v>
      </c>
      <c r="K2771">
        <v>1.119753</v>
      </c>
      <c r="L2771">
        <v>214.31180000000001</v>
      </c>
      <c r="M2771">
        <v>0.99996200000000002</v>
      </c>
      <c r="N2771">
        <v>-8.5642859999999904E-3</v>
      </c>
      <c r="O2771">
        <v>1.6782959999999999E-3</v>
      </c>
      <c r="P2771">
        <v>0.97615439999999998</v>
      </c>
      <c r="Q2771">
        <v>0.21658949999999999</v>
      </c>
      <c r="R2771">
        <v>-1.456082E-2</v>
      </c>
      <c r="S2771">
        <v>3.0701290000000001</v>
      </c>
      <c r="T2771">
        <v>-2.5001760000000001E-2</v>
      </c>
      <c r="U2771">
        <v>-0.61042790000000002</v>
      </c>
      <c r="V2771">
        <v>1.6470160000000001E-2</v>
      </c>
      <c r="W2771">
        <v>0.22492129999999999</v>
      </c>
      <c r="X2771">
        <v>0.97423769999999998</v>
      </c>
      <c r="Y2771">
        <v>0.1966435</v>
      </c>
      <c r="Z2771">
        <v>-1.642478E-3</v>
      </c>
      <c r="AA2771">
        <v>0.9804737</v>
      </c>
      <c r="AB2771">
        <v>46</v>
      </c>
      <c r="AC2771">
        <v>97.493799999999993</v>
      </c>
      <c r="AD2771">
        <v>-0.79778269999999996</v>
      </c>
      <c r="AE2771">
        <v>-19.478300000000001</v>
      </c>
      <c r="AF2771">
        <v>19.6406373516717</v>
      </c>
      <c r="AG2771">
        <v>-0.79778269999999996</v>
      </c>
      <c r="AH2771">
        <v>97.454696050065905</v>
      </c>
      <c r="AI2771">
        <v>90.459779642727696</v>
      </c>
      <c r="AJ2771">
        <v>78.605466750554399</v>
      </c>
      <c r="AK2771">
        <v>99.417346952265007</v>
      </c>
      <c r="AL2771">
        <v>77.001749327625703</v>
      </c>
      <c r="AM2771">
        <v>89.031467607724494</v>
      </c>
      <c r="AN2771">
        <v>0.99999997673270202</v>
      </c>
    </row>
    <row r="2772" spans="1:40" x14ac:dyDescent="0.25">
      <c r="A2772" t="str">
        <f>"20190303171031550"</f>
        <v>20190303171031550</v>
      </c>
      <c r="B2772" t="str">
        <f>"1551604231543827"</f>
        <v>1551604231543827</v>
      </c>
      <c r="C2772" t="s">
        <v>40</v>
      </c>
      <c r="D2772">
        <v>4.5642110000000002</v>
      </c>
      <c r="E2772">
        <v>0.57725899999999997</v>
      </c>
      <c r="F2772" t="s">
        <v>80</v>
      </c>
      <c r="G2772">
        <v>-279.2355</v>
      </c>
      <c r="H2772">
        <v>0.29613640000000002</v>
      </c>
      <c r="I2772">
        <v>194.70249999999999</v>
      </c>
      <c r="J2772">
        <v>-376.25880000000001</v>
      </c>
      <c r="K2772">
        <v>1.1197859999999999</v>
      </c>
      <c r="L2772">
        <v>214.3124</v>
      </c>
      <c r="M2772">
        <v>0.99996240000000003</v>
      </c>
      <c r="N2772">
        <v>-8.5563180000000003E-3</v>
      </c>
      <c r="O2772">
        <v>1.3831119999999999E-3</v>
      </c>
      <c r="P2772">
        <v>0.97602409999999995</v>
      </c>
      <c r="Q2772">
        <v>0.2171546</v>
      </c>
      <c r="R2772">
        <v>-1.4872379999999999E-2</v>
      </c>
      <c r="S2772">
        <v>3.0698240000000001</v>
      </c>
      <c r="T2772">
        <v>-2.5933500000000002E-2</v>
      </c>
      <c r="U2772">
        <v>-0.61744690000000002</v>
      </c>
      <c r="V2772">
        <v>1.6475090000000001E-2</v>
      </c>
      <c r="W2772">
        <v>0.22547929999999999</v>
      </c>
      <c r="X2772">
        <v>0.97410859999999999</v>
      </c>
      <c r="Y2772">
        <v>0.19852710000000001</v>
      </c>
      <c r="Z2772">
        <v>-1.6878869999999999E-3</v>
      </c>
      <c r="AA2772">
        <v>0.98009400000000002</v>
      </c>
      <c r="AB2772">
        <v>46</v>
      </c>
      <c r="AC2772">
        <v>97.023300000000006</v>
      </c>
      <c r="AD2772">
        <v>-0.82364959999999898</v>
      </c>
      <c r="AE2772">
        <v>-19.6099</v>
      </c>
      <c r="AF2772">
        <v>19.742713303866399</v>
      </c>
      <c r="AG2772">
        <v>-0.82364959999999898</v>
      </c>
      <c r="AH2772">
        <v>96.989368158958797</v>
      </c>
      <c r="AI2772">
        <v>90.476776590470095</v>
      </c>
      <c r="AJ2772">
        <v>78.494325601158394</v>
      </c>
      <c r="AK2772">
        <v>98.981769347371696</v>
      </c>
      <c r="AL2772">
        <v>76.968935070487206</v>
      </c>
      <c r="AM2772">
        <v>89.031049378022601</v>
      </c>
      <c r="AN2772">
        <v>0.99999995395647701</v>
      </c>
    </row>
    <row r="2773" spans="1:40" x14ac:dyDescent="0.25">
      <c r="A2773" t="str">
        <f>"20190303171031574"</f>
        <v>20190303171031574</v>
      </c>
      <c r="B2773" t="str">
        <f>"1551604231563347"</f>
        <v>1551604231563347</v>
      </c>
      <c r="C2773" t="s">
        <v>40</v>
      </c>
      <c r="D2773">
        <v>4.3749549999999999</v>
      </c>
      <c r="E2773">
        <v>0.55119069999999903</v>
      </c>
      <c r="F2773" t="s">
        <v>80</v>
      </c>
      <c r="G2773">
        <v>-279.2355</v>
      </c>
      <c r="H2773">
        <v>0.35321570000000002</v>
      </c>
      <c r="I2773">
        <v>194.7054</v>
      </c>
      <c r="J2773">
        <v>-375.79559999999998</v>
      </c>
      <c r="K2773">
        <v>1.1198239999999999</v>
      </c>
      <c r="L2773">
        <v>214.31290000000001</v>
      </c>
      <c r="M2773">
        <v>0.99996289999999999</v>
      </c>
      <c r="N2773">
        <v>-8.5503780000000008E-3</v>
      </c>
      <c r="O2773">
        <v>1.130002E-3</v>
      </c>
      <c r="P2773">
        <v>0.97579009999999999</v>
      </c>
      <c r="Q2773">
        <v>0.21821560000000001</v>
      </c>
      <c r="R2773">
        <v>-1.468305E-2</v>
      </c>
      <c r="S2773">
        <v>3.0696409999999998</v>
      </c>
      <c r="T2773">
        <v>-2.4252889999999999E-2</v>
      </c>
      <c r="U2773">
        <v>-0.62033079999999996</v>
      </c>
      <c r="V2773">
        <v>1.602019E-2</v>
      </c>
      <c r="W2773">
        <v>0.2265346</v>
      </c>
      <c r="X2773">
        <v>0.97387140000000005</v>
      </c>
      <c r="Y2773">
        <v>0.1991764</v>
      </c>
      <c r="Z2773">
        <v>-1.6383039999999999E-3</v>
      </c>
      <c r="AA2773">
        <v>0.97996229999999995</v>
      </c>
      <c r="AB2773">
        <v>46</v>
      </c>
      <c r="AC2773">
        <v>96.560099999999906</v>
      </c>
      <c r="AD2773">
        <v>-0.76660829999999902</v>
      </c>
      <c r="AE2773">
        <v>-19.607500000000002</v>
      </c>
      <c r="AF2773">
        <v>19.715411101193599</v>
      </c>
      <c r="AG2773">
        <v>-0.76660829999999902</v>
      </c>
      <c r="AH2773">
        <v>96.532037498011206</v>
      </c>
      <c r="AI2773">
        <v>90.445801909546503</v>
      </c>
      <c r="AJ2773">
        <v>78.456835151590198</v>
      </c>
      <c r="AK2773">
        <v>98.527759472608196</v>
      </c>
      <c r="AL2773">
        <v>76.906865917380003</v>
      </c>
      <c r="AM2773">
        <v>89.057569107169797</v>
      </c>
      <c r="AN2773">
        <v>1.00000003761137</v>
      </c>
    </row>
    <row r="2774" spans="1:40" x14ac:dyDescent="0.25">
      <c r="A2774" t="str">
        <f>"20190303171031595"</f>
        <v>20190303171031595</v>
      </c>
      <c r="B2774" t="str">
        <f>"1551604231583843"</f>
        <v>1551604231583843</v>
      </c>
      <c r="C2774" t="s">
        <v>40</v>
      </c>
      <c r="D2774">
        <v>4.3772909999999996</v>
      </c>
      <c r="E2774">
        <v>0.54431649999999998</v>
      </c>
      <c r="F2774" t="s">
        <v>80</v>
      </c>
      <c r="G2774">
        <v>-265.59249999999997</v>
      </c>
      <c r="H2774">
        <v>0.1246382</v>
      </c>
      <c r="I2774">
        <v>199.57599999999999</v>
      </c>
      <c r="J2774">
        <v>-375.3503</v>
      </c>
      <c r="K2774">
        <v>1.119858</v>
      </c>
      <c r="L2774">
        <v>214.3133</v>
      </c>
      <c r="M2774">
        <v>0.99996309999999999</v>
      </c>
      <c r="N2774">
        <v>-8.5465650000000008E-3</v>
      </c>
      <c r="O2774">
        <v>9.1965000000000005E-4</v>
      </c>
      <c r="P2774">
        <v>0.97569810000000001</v>
      </c>
      <c r="Q2774">
        <v>0.21865850000000001</v>
      </c>
      <c r="R2774">
        <v>-1.4206989999999999E-2</v>
      </c>
      <c r="S2774">
        <v>3.0744630000000002</v>
      </c>
      <c r="T2774">
        <v>-2.7763840000000001E-2</v>
      </c>
      <c r="U2774">
        <v>-0.41113280000000002</v>
      </c>
      <c r="V2774">
        <v>1.5320759999999999E-2</v>
      </c>
      <c r="W2774">
        <v>0.22697490000000001</v>
      </c>
      <c r="X2774">
        <v>0.97378010000000004</v>
      </c>
      <c r="Y2774">
        <v>0.13344629999999999</v>
      </c>
      <c r="Z2774">
        <v>-1.173115E-3</v>
      </c>
      <c r="AA2774">
        <v>0.99105540000000003</v>
      </c>
      <c r="AB2774">
        <v>46</v>
      </c>
      <c r="AC2774">
        <v>109.7578</v>
      </c>
      <c r="AD2774">
        <v>-0.99521979999999999</v>
      </c>
      <c r="AE2774">
        <v>-14.737299999999999</v>
      </c>
      <c r="AF2774">
        <v>14.8370379411038</v>
      </c>
      <c r="AG2774">
        <v>-0.99521979999999999</v>
      </c>
      <c r="AH2774">
        <v>109.735337482112</v>
      </c>
      <c r="AI2774">
        <v>90.514931678410306</v>
      </c>
      <c r="AJ2774">
        <v>82.299877858946999</v>
      </c>
      <c r="AK2774">
        <v>110.73830615297</v>
      </c>
      <c r="AL2774">
        <v>76.880963479204794</v>
      </c>
      <c r="AM2774">
        <v>89.098623531791404</v>
      </c>
      <c r="AN2774">
        <v>1.0000000070364901</v>
      </c>
    </row>
    <row r="2775" spans="1:40" x14ac:dyDescent="0.25">
      <c r="A2775" t="str">
        <f>"20190303171031618"</f>
        <v>20190303171031618</v>
      </c>
      <c r="B2775" t="str">
        <f>"1551604231613123"</f>
        <v>1551604231613123</v>
      </c>
      <c r="C2775" t="s">
        <v>40</v>
      </c>
      <c r="D2775">
        <v>4.3145030000000002</v>
      </c>
      <c r="E2775">
        <v>0.53928409999999904</v>
      </c>
      <c r="F2775" t="s">
        <v>81</v>
      </c>
      <c r="G2775">
        <v>-250.65860000000001</v>
      </c>
      <c r="H2775">
        <v>0.2213511</v>
      </c>
      <c r="I2775">
        <v>199.90719999999999</v>
      </c>
      <c r="J2775">
        <v>-374.87450000000001</v>
      </c>
      <c r="K2775">
        <v>1.119888</v>
      </c>
      <c r="L2775">
        <v>214.31360000000001</v>
      </c>
      <c r="M2775">
        <v>0.9999633</v>
      </c>
      <c r="N2775">
        <v>-8.5442829999999997E-3</v>
      </c>
      <c r="O2775">
        <v>7.2424529999999998E-4</v>
      </c>
      <c r="P2775">
        <v>0.97572630000000005</v>
      </c>
      <c r="Q2775">
        <v>0.21853710000000001</v>
      </c>
      <c r="R2775">
        <v>-1.4139799999999999E-2</v>
      </c>
      <c r="S2775">
        <v>3.0744929999999999</v>
      </c>
      <c r="T2775">
        <v>-2.215433E-2</v>
      </c>
      <c r="U2775">
        <v>-0.35520940000000001</v>
      </c>
      <c r="V2775">
        <v>1.5044419999999999E-2</v>
      </c>
      <c r="W2775">
        <v>0.22685269999999999</v>
      </c>
      <c r="X2775">
        <v>0.97381289999999998</v>
      </c>
      <c r="Y2775">
        <v>0.1154838</v>
      </c>
      <c r="Z2775">
        <v>-9.0875000000000005E-4</v>
      </c>
      <c r="AA2775">
        <v>0.993309</v>
      </c>
      <c r="AB2775">
        <v>46</v>
      </c>
      <c r="AC2775">
        <v>124.2159</v>
      </c>
      <c r="AD2775">
        <v>-0.89853689999999997</v>
      </c>
      <c r="AE2775">
        <v>-14.4064</v>
      </c>
      <c r="AF2775">
        <v>14.4956138511756</v>
      </c>
      <c r="AG2775">
        <v>-0.89853689999999997</v>
      </c>
      <c r="AH2775">
        <v>124.199020691689</v>
      </c>
      <c r="AI2775">
        <v>90.411713317966402</v>
      </c>
      <c r="AJ2775">
        <v>83.3429679501415</v>
      </c>
      <c r="AK2775">
        <v>125.045299512847</v>
      </c>
      <c r="AL2775">
        <v>76.888152766361799</v>
      </c>
      <c r="AM2775">
        <v>89.114908824553794</v>
      </c>
      <c r="AN2775">
        <v>1.0000000231384101</v>
      </c>
    </row>
    <row r="2776" spans="1:40" x14ac:dyDescent="0.25">
      <c r="A2776" t="str">
        <f>"20190303171031641"</f>
        <v>20190303171031641</v>
      </c>
      <c r="B2776" t="str">
        <f>"1551604231633619"</f>
        <v>1551604231633619</v>
      </c>
      <c r="C2776" t="s">
        <v>40</v>
      </c>
      <c r="D2776">
        <v>4.3013729999999999</v>
      </c>
      <c r="E2776">
        <v>0.53774630000000001</v>
      </c>
      <c r="F2776" t="s">
        <v>81</v>
      </c>
      <c r="G2776">
        <v>-234.32910000000001</v>
      </c>
      <c r="H2776">
        <v>0.16868929999999999</v>
      </c>
      <c r="I2776">
        <v>199.90719999999999</v>
      </c>
      <c r="J2776">
        <v>-374.39830000000001</v>
      </c>
      <c r="K2776">
        <v>1.119915</v>
      </c>
      <c r="L2776">
        <v>214.31379999999999</v>
      </c>
      <c r="M2776">
        <v>0.99996350000000001</v>
      </c>
      <c r="N2776">
        <v>-8.5435230000000008E-3</v>
      </c>
      <c r="O2776">
        <v>5.5066149999999999E-4</v>
      </c>
      <c r="P2776">
        <v>0.97576779999999996</v>
      </c>
      <c r="Q2776">
        <v>0.2183339</v>
      </c>
      <c r="R2776">
        <v>-1.4421750000000001E-2</v>
      </c>
      <c r="S2776">
        <v>3.0747070000000001</v>
      </c>
      <c r="T2776">
        <v>-2.080941E-2</v>
      </c>
      <c r="U2776">
        <v>-0.31517030000000001</v>
      </c>
      <c r="V2776">
        <v>1.5140560000000001E-2</v>
      </c>
      <c r="W2776">
        <v>0.2266503</v>
      </c>
      <c r="X2776">
        <v>0.97385849999999996</v>
      </c>
      <c r="Y2776">
        <v>0.1025124</v>
      </c>
      <c r="Z2776">
        <v>-7.8408479999999897E-4</v>
      </c>
      <c r="AA2776">
        <v>0.99473140000000004</v>
      </c>
      <c r="AB2776">
        <v>46</v>
      </c>
      <c r="AC2776">
        <v>140.0692</v>
      </c>
      <c r="AD2776">
        <v>-0.95122569999999995</v>
      </c>
      <c r="AE2776">
        <v>-14.4065999999999</v>
      </c>
      <c r="AF2776">
        <v>14.483070379433901</v>
      </c>
      <c r="AG2776">
        <v>-0.95122569999999995</v>
      </c>
      <c r="AH2776">
        <v>140.05485371022201</v>
      </c>
      <c r="AI2776">
        <v>90.387071925943502</v>
      </c>
      <c r="AJ2776">
        <v>84.0960295464361</v>
      </c>
      <c r="AK2776">
        <v>140.80492251956099</v>
      </c>
      <c r="AL2776">
        <v>76.900059084631906</v>
      </c>
      <c r="AM2776">
        <v>89.109295339815205</v>
      </c>
      <c r="AN2776">
        <v>0.99999998653472599</v>
      </c>
    </row>
    <row r="2777" spans="1:40" x14ac:dyDescent="0.25">
      <c r="A2777" t="str">
        <f>"20190303171031664"</f>
        <v>20190303171031664</v>
      </c>
      <c r="B2777" t="str">
        <f>"1551604231653139"</f>
        <v>1551604231653139</v>
      </c>
      <c r="C2777" t="s">
        <v>40</v>
      </c>
      <c r="D2777">
        <v>4.350543</v>
      </c>
      <c r="E2777">
        <v>0.53656409999999999</v>
      </c>
      <c r="F2777" t="s">
        <v>46</v>
      </c>
      <c r="G2777">
        <v>-285.76609999999999</v>
      </c>
      <c r="H2777">
        <v>0.55200760000000004</v>
      </c>
      <c r="I2777">
        <v>205.55869999999999</v>
      </c>
      <c r="J2777">
        <v>-373.93990000000002</v>
      </c>
      <c r="K2777">
        <v>1.1199349999999999</v>
      </c>
      <c r="L2777">
        <v>214.31399999999999</v>
      </c>
      <c r="M2777">
        <v>0.99996339999999995</v>
      </c>
      <c r="N2777">
        <v>-8.5440020000000002E-3</v>
      </c>
      <c r="O2777">
        <v>3.9769430000000003E-4</v>
      </c>
      <c r="P2777">
        <v>0.97560000000000002</v>
      </c>
      <c r="Q2777">
        <v>0.21904299999999999</v>
      </c>
      <c r="R2777">
        <v>-1.49994E-2</v>
      </c>
      <c r="S2777">
        <v>3.0744319999999998</v>
      </c>
      <c r="T2777">
        <v>-1.9699339999999999E-2</v>
      </c>
      <c r="U2777">
        <v>-0.30369570000000001</v>
      </c>
      <c r="V2777">
        <v>1.555602E-2</v>
      </c>
      <c r="W2777">
        <v>0.2273589</v>
      </c>
      <c r="X2777">
        <v>0.97368679999999996</v>
      </c>
      <c r="Y2777">
        <v>9.8693699999999995E-2</v>
      </c>
      <c r="Z2777">
        <v>-7.3723080000000002E-4</v>
      </c>
      <c r="AA2777">
        <v>0.99511760000000005</v>
      </c>
      <c r="AB2777">
        <v>46</v>
      </c>
      <c r="AC2777">
        <v>88.1738</v>
      </c>
      <c r="AD2777">
        <v>-0.56792739999999997</v>
      </c>
      <c r="AE2777">
        <v>-8.7553000000000303</v>
      </c>
      <c r="AF2777">
        <v>8.7900056999880896</v>
      </c>
      <c r="AG2777">
        <v>-0.56792739999999997</v>
      </c>
      <c r="AH2777">
        <v>88.166688953425293</v>
      </c>
      <c r="AI2777">
        <v>90.367246168172898</v>
      </c>
      <c r="AJ2777">
        <v>84.306563094594907</v>
      </c>
      <c r="AK2777">
        <v>88.605596791328907</v>
      </c>
      <c r="AL2777">
        <v>76.858371442813805</v>
      </c>
      <c r="AM2777">
        <v>89.084696977895604</v>
      </c>
      <c r="AN2777">
        <v>1.00000002183084</v>
      </c>
    </row>
    <row r="2778" spans="1:40" x14ac:dyDescent="0.25">
      <c r="A2778" t="str">
        <f>"20190303171031685"</f>
        <v>20190303171031685</v>
      </c>
      <c r="B2778" t="str">
        <f>"1551604231673166"</f>
        <v>1551604231673166</v>
      </c>
      <c r="C2778" t="s">
        <v>40</v>
      </c>
      <c r="D2778">
        <v>4.3836269999999997</v>
      </c>
      <c r="E2778">
        <v>0.53582069999999904</v>
      </c>
      <c r="F2778" t="s">
        <v>46</v>
      </c>
      <c r="G2778">
        <v>-285.74799999999999</v>
      </c>
      <c r="H2778">
        <v>0.63288990000000001</v>
      </c>
      <c r="I2778">
        <v>205.83619999999999</v>
      </c>
      <c r="J2778">
        <v>-373.4982</v>
      </c>
      <c r="K2778">
        <v>1.119955</v>
      </c>
      <c r="L2778">
        <v>214.3141</v>
      </c>
      <c r="M2778">
        <v>0.99996350000000001</v>
      </c>
      <c r="N2778">
        <v>-8.5454469999999994E-3</v>
      </c>
      <c r="O2778">
        <v>2.5867959999999998E-4</v>
      </c>
      <c r="P2778">
        <v>0.97545150000000003</v>
      </c>
      <c r="Q2778">
        <v>0.21965709999999999</v>
      </c>
      <c r="R2778">
        <v>-1.5670469999999999E-2</v>
      </c>
      <c r="S2778">
        <v>3.074341</v>
      </c>
      <c r="T2778">
        <v>-1.6978259999999998E-2</v>
      </c>
      <c r="U2778">
        <v>-0.29553220000000002</v>
      </c>
      <c r="V2778">
        <v>1.6080669999999998E-2</v>
      </c>
      <c r="W2778">
        <v>0.2279737</v>
      </c>
      <c r="X2778">
        <v>0.97353449999999997</v>
      </c>
      <c r="Y2778">
        <v>9.594134E-2</v>
      </c>
      <c r="Z2778">
        <v>-6.74419E-4</v>
      </c>
      <c r="AA2778">
        <v>0.99538680000000002</v>
      </c>
      <c r="AB2778">
        <v>46</v>
      </c>
      <c r="AC2778">
        <v>87.750200000000007</v>
      </c>
      <c r="AD2778">
        <v>-0.48706509999999997</v>
      </c>
      <c r="AE2778">
        <v>-8.4779</v>
      </c>
      <c r="AF2778">
        <v>8.5003402655755291</v>
      </c>
      <c r="AG2778">
        <v>-0.48706509999999997</v>
      </c>
      <c r="AH2778">
        <v>87.745325577600894</v>
      </c>
      <c r="AI2778">
        <v>90.316557681910098</v>
      </c>
      <c r="AJ2778">
        <v>84.466730043184995</v>
      </c>
      <c r="AK2778">
        <v>88.157445390400198</v>
      </c>
      <c r="AL2778">
        <v>76.822195833598897</v>
      </c>
      <c r="AM2778">
        <v>89.053684545531496</v>
      </c>
      <c r="AN2778">
        <v>1.00000000926479</v>
      </c>
    </row>
    <row r="2779" spans="1:40" x14ac:dyDescent="0.25">
      <c r="A2779" t="str">
        <f>"20190303171031708"</f>
        <v>20190303171031708</v>
      </c>
      <c r="B2779" t="str">
        <f>"1551604231693663"</f>
        <v>1551604231693663</v>
      </c>
      <c r="C2779" t="s">
        <v>40</v>
      </c>
      <c r="D2779">
        <v>4.3569889999999996</v>
      </c>
      <c r="E2779">
        <v>0.5353388</v>
      </c>
      <c r="F2779" t="s">
        <v>46</v>
      </c>
      <c r="G2779">
        <v>-285.33440000000002</v>
      </c>
      <c r="H2779">
        <v>0.71116269999999904</v>
      </c>
      <c r="I2779">
        <v>205.94450000000001</v>
      </c>
      <c r="J2779">
        <v>-373.04700000000003</v>
      </c>
      <c r="K2779">
        <v>1.1199699999999999</v>
      </c>
      <c r="L2779">
        <v>214.3141</v>
      </c>
      <c r="M2779">
        <v>0.99996359999999995</v>
      </c>
      <c r="N2779">
        <v>-8.5477569999999996E-3</v>
      </c>
      <c r="O2779">
        <v>1.2231429999999999E-4</v>
      </c>
      <c r="P2779">
        <v>0.9754429</v>
      </c>
      <c r="Q2779">
        <v>0.21963740000000001</v>
      </c>
      <c r="R2779">
        <v>-1.64616E-2</v>
      </c>
      <c r="S2779">
        <v>3.074036</v>
      </c>
      <c r="T2779">
        <v>-1.4253500000000001E-2</v>
      </c>
      <c r="U2779">
        <v>-0.29182429999999998</v>
      </c>
      <c r="V2779">
        <v>1.6729129999999998E-2</v>
      </c>
      <c r="W2779">
        <v>0.22795650000000001</v>
      </c>
      <c r="X2779">
        <v>0.97352760000000005</v>
      </c>
      <c r="Y2779">
        <v>9.4626009999999997E-2</v>
      </c>
      <c r="Z2779">
        <v>-6.2374809999999996E-4</v>
      </c>
      <c r="AA2779">
        <v>0.99551270000000003</v>
      </c>
      <c r="AB2779">
        <v>46</v>
      </c>
      <c r="AC2779">
        <v>87.712599999999895</v>
      </c>
      <c r="AD2779">
        <v>-0.40880729999999998</v>
      </c>
      <c r="AE2779">
        <v>-8.3695999999999895</v>
      </c>
      <c r="AF2779">
        <v>8.3801484363966594</v>
      </c>
      <c r="AG2779">
        <v>-0.40880729999999998</v>
      </c>
      <c r="AH2779">
        <v>87.709687487069502</v>
      </c>
      <c r="AI2779">
        <v>90.265838157778205</v>
      </c>
      <c r="AJ2779">
        <v>84.542289867378599</v>
      </c>
      <c r="AK2779">
        <v>88.110063501872304</v>
      </c>
      <c r="AL2779">
        <v>76.823207965351003</v>
      </c>
      <c r="AM2779">
        <v>89.015524352539998</v>
      </c>
      <c r="AN2779">
        <v>1.00000000882228</v>
      </c>
    </row>
    <row r="2780" spans="1:40" x14ac:dyDescent="0.25">
      <c r="A2780" t="str">
        <f>"20190303171031729"</f>
        <v>20190303171031729</v>
      </c>
      <c r="B2780" t="str">
        <f>"1551604231723919"</f>
        <v>1551604231723919</v>
      </c>
      <c r="C2780" t="s">
        <v>40</v>
      </c>
      <c r="D2780">
        <v>4.3766069999999999</v>
      </c>
      <c r="E2780">
        <v>0.53479679999999996</v>
      </c>
      <c r="F2780" t="s">
        <v>80</v>
      </c>
      <c r="G2780">
        <v>-217.03970000000001</v>
      </c>
      <c r="H2780">
        <v>0.45761560000000001</v>
      </c>
      <c r="I2780">
        <v>199.57599999999999</v>
      </c>
      <c r="J2780">
        <v>-372.57819999999998</v>
      </c>
      <c r="K2780">
        <v>1.1199779999999999</v>
      </c>
      <c r="L2780">
        <v>214.3141</v>
      </c>
      <c r="M2780">
        <v>0.99996359999999995</v>
      </c>
      <c r="N2780">
        <v>-8.55092E-3</v>
      </c>
      <c r="O2780" s="1">
        <v>-1.59244299999999E-5</v>
      </c>
      <c r="P2780">
        <v>0.97556290000000001</v>
      </c>
      <c r="Q2780">
        <v>0.21905949999999999</v>
      </c>
      <c r="R2780">
        <v>-1.7041379999999998E-2</v>
      </c>
      <c r="S2780">
        <v>3.073547</v>
      </c>
      <c r="T2780">
        <v>-1.304924E-2</v>
      </c>
      <c r="U2780">
        <v>-0.29035949999999999</v>
      </c>
      <c r="V2780">
        <v>1.7165010000000001E-2</v>
      </c>
      <c r="W2780">
        <v>0.227383</v>
      </c>
      <c r="X2780">
        <v>0.97365409999999997</v>
      </c>
      <c r="Y2780">
        <v>9.4033329999999998E-2</v>
      </c>
      <c r="Z2780">
        <v>-6.021825E-4</v>
      </c>
      <c r="AA2780">
        <v>0.99556889999999998</v>
      </c>
      <c r="AB2780">
        <v>46</v>
      </c>
      <c r="AC2780">
        <v>155.538499999999</v>
      </c>
      <c r="AD2780">
        <v>-0.66236240000000002</v>
      </c>
      <c r="AE2780">
        <v>-14.738099999999999</v>
      </c>
      <c r="AF2780">
        <v>14.7353581994864</v>
      </c>
      <c r="AG2780">
        <v>-0.66236240000000002</v>
      </c>
      <c r="AH2780">
        <v>155.53593915346499</v>
      </c>
      <c r="AI2780">
        <v>90.242909572528802</v>
      </c>
      <c r="AJ2780">
        <v>84.587994121461307</v>
      </c>
      <c r="AK2780">
        <v>156.23379235481201</v>
      </c>
      <c r="AL2780">
        <v>76.856953000817896</v>
      </c>
      <c r="AM2780">
        <v>88.990010149363201</v>
      </c>
      <c r="AN2780">
        <v>0.999999986352054</v>
      </c>
    </row>
    <row r="2781" spans="1:40" x14ac:dyDescent="0.25">
      <c r="A2781" t="str">
        <f>"20190303171031752"</f>
        <v>20190303171031752</v>
      </c>
      <c r="B2781" t="str">
        <f>"1551604231743438"</f>
        <v>1551604231743438</v>
      </c>
      <c r="C2781" t="s">
        <v>40</v>
      </c>
      <c r="D2781">
        <v>4.3512399999999998</v>
      </c>
      <c r="E2781">
        <v>0.53469100000000003</v>
      </c>
      <c r="F2781" t="s">
        <v>80</v>
      </c>
      <c r="G2781">
        <v>-215.4212</v>
      </c>
      <c r="H2781">
        <v>0.3630488</v>
      </c>
      <c r="I2781">
        <v>199.57599999999999</v>
      </c>
      <c r="J2781">
        <v>-372.09829999999999</v>
      </c>
      <c r="K2781">
        <v>1.119977</v>
      </c>
      <c r="L2781">
        <v>214.31399999999999</v>
      </c>
      <c r="M2781">
        <v>0.99996339999999995</v>
      </c>
      <c r="N2781">
        <v>-8.5548869999999902E-3</v>
      </c>
      <c r="O2781">
        <v>-1.5555880000000001E-4</v>
      </c>
      <c r="P2781">
        <v>0.97572829999999999</v>
      </c>
      <c r="Q2781">
        <v>0.2182954</v>
      </c>
      <c r="R2781">
        <v>-1.7360799999999999E-2</v>
      </c>
      <c r="S2781">
        <v>3.0734249999999999</v>
      </c>
      <c r="T2781">
        <v>-1.480281E-2</v>
      </c>
      <c r="U2781">
        <v>-0.28822330000000002</v>
      </c>
      <c r="V2781">
        <v>1.7340149999999999E-2</v>
      </c>
      <c r="W2781">
        <v>0.2266252</v>
      </c>
      <c r="X2781">
        <v>0.97382769999999996</v>
      </c>
      <c r="Y2781">
        <v>9.3211619999999995E-2</v>
      </c>
      <c r="Z2781">
        <v>-6.2415330000000001E-4</v>
      </c>
      <c r="AA2781">
        <v>0.99564609999999998</v>
      </c>
      <c r="AB2781">
        <v>46</v>
      </c>
      <c r="AC2781">
        <v>156.6771</v>
      </c>
      <c r="AD2781">
        <v>-0.75692819999999905</v>
      </c>
      <c r="AE2781">
        <v>-14.738</v>
      </c>
      <c r="AF2781">
        <v>14.7132860340898</v>
      </c>
      <c r="AG2781">
        <v>-0.75692819999999905</v>
      </c>
      <c r="AH2781">
        <v>156.67576609563099</v>
      </c>
      <c r="AI2781">
        <v>90.275591317555097</v>
      </c>
      <c r="AJ2781">
        <v>84.635136633256906</v>
      </c>
      <c r="AK2781">
        <v>157.366926029181</v>
      </c>
      <c r="AL2781">
        <v>76.901536151612802</v>
      </c>
      <c r="AM2781">
        <v>88.979888917154895</v>
      </c>
      <c r="AN2781">
        <v>1.0000000256821699</v>
      </c>
    </row>
    <row r="2782" spans="1:40" x14ac:dyDescent="0.25">
      <c r="A2782" t="str">
        <f>"20190303171031774"</f>
        <v>20190303171031774</v>
      </c>
      <c r="B2782" t="str">
        <f>"1551604231762958"</f>
        <v>1551604231762958</v>
      </c>
      <c r="C2782" t="s">
        <v>40</v>
      </c>
      <c r="D2782">
        <v>4.3833099999999998</v>
      </c>
      <c r="E2782">
        <v>0.53476699999999999</v>
      </c>
      <c r="F2782" t="s">
        <v>80</v>
      </c>
      <c r="G2782">
        <v>-214.7379</v>
      </c>
      <c r="H2782">
        <v>0.2096654</v>
      </c>
      <c r="I2782">
        <v>199.57599999999999</v>
      </c>
      <c r="J2782">
        <v>-371.6465</v>
      </c>
      <c r="K2782">
        <v>1.119991</v>
      </c>
      <c r="L2782">
        <v>214.31379999999999</v>
      </c>
      <c r="M2782">
        <v>0.99996339999999995</v>
      </c>
      <c r="N2782">
        <v>-8.5654819999999993E-3</v>
      </c>
      <c r="O2782">
        <v>-2.8660980000000001E-4</v>
      </c>
      <c r="P2782">
        <v>0.97579720000000003</v>
      </c>
      <c r="Q2782">
        <v>0.21799350000000001</v>
      </c>
      <c r="R2782">
        <v>-1.7296479999999999E-2</v>
      </c>
      <c r="S2782">
        <v>3.0735169999999998</v>
      </c>
      <c r="T2782">
        <v>-1.7779949999999999E-2</v>
      </c>
      <c r="U2782">
        <v>-0.28785709999999998</v>
      </c>
      <c r="V2782">
        <v>1.7141400000000001E-2</v>
      </c>
      <c r="W2782">
        <v>0.22633439999999999</v>
      </c>
      <c r="X2782">
        <v>0.97389879999999995</v>
      </c>
      <c r="Y2782">
        <v>9.2959920000000001E-2</v>
      </c>
      <c r="Z2782">
        <v>-6.6809529999999995E-4</v>
      </c>
      <c r="AA2782">
        <v>0.99566960000000004</v>
      </c>
      <c r="AB2782">
        <v>46</v>
      </c>
      <c r="AC2782">
        <v>156.90860000000001</v>
      </c>
      <c r="AD2782">
        <v>-0.91032559999999996</v>
      </c>
      <c r="AE2782">
        <v>-14.737799999999901</v>
      </c>
      <c r="AF2782">
        <v>14.6923360046416</v>
      </c>
      <c r="AG2782">
        <v>-0.91032559999999996</v>
      </c>
      <c r="AH2782">
        <v>156.90758255442501</v>
      </c>
      <c r="AI2782">
        <v>90.330959618573004</v>
      </c>
      <c r="AJ2782">
        <v>84.650600026618207</v>
      </c>
      <c r="AK2782">
        <v>157.59658274545501</v>
      </c>
      <c r="AL2782">
        <v>76.918641648687796</v>
      </c>
      <c r="AM2782">
        <v>88.991652442362593</v>
      </c>
      <c r="AN2782">
        <v>0.99999998042937899</v>
      </c>
    </row>
    <row r="2783" spans="1:40" x14ac:dyDescent="0.25">
      <c r="A2783" t="str">
        <f>"20190303171031795"</f>
        <v>20190303171031795</v>
      </c>
      <c r="B2783" t="str">
        <f>"1551604231783454"</f>
        <v>1551604231783454</v>
      </c>
      <c r="C2783" t="s">
        <v>40</v>
      </c>
      <c r="D2783">
        <v>4.4442879999999896</v>
      </c>
      <c r="E2783">
        <v>0.53508619999999996</v>
      </c>
      <c r="F2783" t="s">
        <v>80</v>
      </c>
      <c r="G2783">
        <v>-214.70740000000001</v>
      </c>
      <c r="H2783">
        <v>0.143069</v>
      </c>
      <c r="I2783">
        <v>199.57599999999999</v>
      </c>
      <c r="J2783">
        <v>-371.21300000000002</v>
      </c>
      <c r="K2783">
        <v>1.120001</v>
      </c>
      <c r="L2783">
        <v>214.31360000000001</v>
      </c>
      <c r="M2783">
        <v>0.99996309999999999</v>
      </c>
      <c r="N2783">
        <v>-8.5856830000000002E-3</v>
      </c>
      <c r="O2783">
        <v>-4.1176850000000003E-4</v>
      </c>
      <c r="P2783">
        <v>0.97568080000000001</v>
      </c>
      <c r="Q2783">
        <v>0.2185164</v>
      </c>
      <c r="R2783">
        <v>-1.7250850000000002E-2</v>
      </c>
      <c r="S2783">
        <v>3.0736080000000001</v>
      </c>
      <c r="T2783">
        <v>-1.9132730000000001E-2</v>
      </c>
      <c r="U2783">
        <v>-0.28863529999999998</v>
      </c>
      <c r="V2783">
        <v>1.6969140000000001E-2</v>
      </c>
      <c r="W2783">
        <v>0.22687640000000001</v>
      </c>
      <c r="X2783">
        <v>0.97377570000000002</v>
      </c>
      <c r="Y2783">
        <v>9.3082020000000001E-2</v>
      </c>
      <c r="Z2783">
        <v>-6.9052179999999901E-4</v>
      </c>
      <c r="AA2783">
        <v>0.99565820000000005</v>
      </c>
      <c r="AB2783">
        <v>46</v>
      </c>
      <c r="AC2783">
        <v>156.50559999999999</v>
      </c>
      <c r="AD2783">
        <v>-0.97693200000000002</v>
      </c>
      <c r="AE2783">
        <v>-14.7376</v>
      </c>
      <c r="AF2783">
        <v>14.672585617032199</v>
      </c>
      <c r="AG2783">
        <v>-0.97693200000000002</v>
      </c>
      <c r="AH2783">
        <v>156.50561087303501</v>
      </c>
      <c r="AI2783">
        <v>90.356082995149904</v>
      </c>
      <c r="AJ2783">
        <v>84.644107965821206</v>
      </c>
      <c r="AK2783">
        <v>157.19492803383801</v>
      </c>
      <c r="AL2783">
        <v>76.886757970442602</v>
      </c>
      <c r="AM2783">
        <v>89.001657459201397</v>
      </c>
      <c r="AN2783">
        <v>0.99999998324989403</v>
      </c>
    </row>
    <row r="2784" spans="1:40" x14ac:dyDescent="0.25">
      <c r="A2784" t="str">
        <f>"20190303171031820"</f>
        <v>20190303171031820</v>
      </c>
      <c r="B2784" t="str">
        <f>"1551604231802987"</f>
        <v>1551604231802987</v>
      </c>
      <c r="C2784" t="s">
        <v>40</v>
      </c>
      <c r="D2784">
        <v>4.4097670000000004</v>
      </c>
      <c r="E2784">
        <v>0.53519729999999999</v>
      </c>
      <c r="F2784" t="s">
        <v>80</v>
      </c>
      <c r="G2784">
        <v>-215.7817</v>
      </c>
      <c r="H2784">
        <v>0.19016159999999999</v>
      </c>
      <c r="I2784">
        <v>199.57599999999999</v>
      </c>
      <c r="J2784">
        <v>-370.69630000000001</v>
      </c>
      <c r="K2784">
        <v>1.1200159999999999</v>
      </c>
      <c r="L2784">
        <v>214.3133</v>
      </c>
      <c r="M2784">
        <v>0.99996280000000004</v>
      </c>
      <c r="N2784">
        <v>-8.6172739999999994E-3</v>
      </c>
      <c r="O2784">
        <v>-5.6035000000000004E-4</v>
      </c>
      <c r="P2784">
        <v>0.97568699999999997</v>
      </c>
      <c r="Q2784">
        <v>0.21853049999999999</v>
      </c>
      <c r="R2784">
        <v>-1.6723990000000001E-2</v>
      </c>
      <c r="S2784">
        <v>3.0737299999999999</v>
      </c>
      <c r="T2784">
        <v>-1.838803E-2</v>
      </c>
      <c r="U2784">
        <v>-0.2914429</v>
      </c>
      <c r="V2784">
        <v>1.6292560000000001E-2</v>
      </c>
      <c r="W2784">
        <v>0.2269224</v>
      </c>
      <c r="X2784">
        <v>0.97377659999999999</v>
      </c>
      <c r="Y2784">
        <v>9.3831990000000004E-2</v>
      </c>
      <c r="Z2784">
        <v>-6.8671819999999997E-4</v>
      </c>
      <c r="AA2784">
        <v>0.99558780000000002</v>
      </c>
      <c r="AB2784">
        <v>47</v>
      </c>
      <c r="AC2784">
        <v>154.91460000000001</v>
      </c>
      <c r="AD2784">
        <v>-0.92985439999999997</v>
      </c>
      <c r="AE2784">
        <v>-14.737299999999999</v>
      </c>
      <c r="AF2784">
        <v>14.6499649931721</v>
      </c>
      <c r="AG2784">
        <v>-0.92985439999999997</v>
      </c>
      <c r="AH2784">
        <v>154.91730266290301</v>
      </c>
      <c r="AI2784">
        <v>90.342372768913094</v>
      </c>
      <c r="AJ2784">
        <v>84.597812174080502</v>
      </c>
      <c r="AK2784">
        <v>155.61123599488499</v>
      </c>
      <c r="AL2784">
        <v>76.884052605580393</v>
      </c>
      <c r="AM2784">
        <v>89.041455880573906</v>
      </c>
      <c r="AN2784">
        <v>1.0000000449203299</v>
      </c>
    </row>
    <row r="2785" spans="1:40" x14ac:dyDescent="0.25">
      <c r="A2785" t="str">
        <f>"20190303171031842"</f>
        <v>20190303171031842</v>
      </c>
      <c r="B2785" t="str">
        <f>"1551604231833231"</f>
        <v>1551604231833231</v>
      </c>
      <c r="C2785" t="s">
        <v>40</v>
      </c>
      <c r="D2785">
        <v>4.4216879999999996</v>
      </c>
      <c r="E2785">
        <v>0.5354101</v>
      </c>
      <c r="F2785" t="s">
        <v>80</v>
      </c>
      <c r="G2785">
        <v>-214.8433</v>
      </c>
      <c r="H2785">
        <v>0.14688099999999901</v>
      </c>
      <c r="I2785">
        <v>199.57599999999999</v>
      </c>
      <c r="J2785">
        <v>-370.24459999999999</v>
      </c>
      <c r="K2785">
        <v>1.1200209999999999</v>
      </c>
      <c r="L2785">
        <v>214.31290000000001</v>
      </c>
      <c r="M2785">
        <v>0.99996240000000003</v>
      </c>
      <c r="N2785">
        <v>-8.6487309999999998E-3</v>
      </c>
      <c r="O2785">
        <v>-6.8976649999999895E-4</v>
      </c>
      <c r="P2785">
        <v>0.97568379999999999</v>
      </c>
      <c r="Q2785">
        <v>0.21861050000000001</v>
      </c>
      <c r="R2785">
        <v>-1.5844839999999999E-2</v>
      </c>
      <c r="S2785">
        <v>3.0740660000000002</v>
      </c>
      <c r="T2785">
        <v>-1.919425E-2</v>
      </c>
      <c r="U2785">
        <v>-0.29067989999999999</v>
      </c>
      <c r="V2785">
        <v>1.528377E-2</v>
      </c>
      <c r="W2785">
        <v>0.2270334</v>
      </c>
      <c r="X2785">
        <v>0.97376700000000005</v>
      </c>
      <c r="Y2785">
        <v>9.3447769999999999E-2</v>
      </c>
      <c r="Z2785">
        <v>-6.9776240000000002E-4</v>
      </c>
      <c r="AA2785">
        <v>0.99562390000000001</v>
      </c>
      <c r="AB2785">
        <v>47</v>
      </c>
      <c r="AC2785">
        <v>155.40129999999999</v>
      </c>
      <c r="AD2785">
        <v>-0.97314000000000001</v>
      </c>
      <c r="AE2785">
        <v>-14.7369</v>
      </c>
      <c r="AF2785">
        <v>14.629133324058101</v>
      </c>
      <c r="AG2785">
        <v>-0.97314000000000001</v>
      </c>
      <c r="AH2785">
        <v>155.40538867418999</v>
      </c>
      <c r="AI2785">
        <v>90.357199211365</v>
      </c>
      <c r="AJ2785">
        <v>84.622291854718199</v>
      </c>
      <c r="AK2785">
        <v>156.095462369182</v>
      </c>
      <c r="AL2785">
        <v>76.877521257027794</v>
      </c>
      <c r="AM2785">
        <v>89.100787336438998</v>
      </c>
      <c r="AN2785">
        <v>0.99999996431498495</v>
      </c>
    </row>
    <row r="2786" spans="1:40" x14ac:dyDescent="0.25">
      <c r="A2786" t="str">
        <f>"20190303171031865"</f>
        <v>20190303171031865</v>
      </c>
      <c r="B2786" t="str">
        <f>"1551604231853726"</f>
        <v>1551604231853726</v>
      </c>
      <c r="C2786" t="s">
        <v>40</v>
      </c>
      <c r="D2786">
        <v>4.4708930000000002</v>
      </c>
      <c r="E2786">
        <v>0.53552359999999999</v>
      </c>
      <c r="F2786" t="s">
        <v>80</v>
      </c>
      <c r="G2786">
        <v>-213.98519999999999</v>
      </c>
      <c r="H2786">
        <v>9.232638E-2</v>
      </c>
      <c r="I2786">
        <v>199.57599999999999</v>
      </c>
      <c r="J2786">
        <v>-369.76499999999999</v>
      </c>
      <c r="K2786">
        <v>1.120023</v>
      </c>
      <c r="L2786">
        <v>214.3125</v>
      </c>
      <c r="M2786">
        <v>0.99996220000000002</v>
      </c>
      <c r="N2786">
        <v>-8.6846019999999996E-3</v>
      </c>
      <c r="O2786">
        <v>-8.2660709999999996E-4</v>
      </c>
      <c r="P2786">
        <v>0.97570939999999995</v>
      </c>
      <c r="Q2786">
        <v>0.21854609999999999</v>
      </c>
      <c r="R2786">
        <v>-1.5138789999999999E-2</v>
      </c>
      <c r="S2786">
        <v>3.074554</v>
      </c>
      <c r="T2786">
        <v>-2.022088E-2</v>
      </c>
      <c r="U2786">
        <v>-0.28996280000000002</v>
      </c>
      <c r="V2786">
        <v>1.4441529999999999E-2</v>
      </c>
      <c r="W2786">
        <v>0.2270046</v>
      </c>
      <c r="X2786">
        <v>0.97378659999999995</v>
      </c>
      <c r="Y2786">
        <v>9.3066189999999993E-2</v>
      </c>
      <c r="Z2786">
        <v>-7.1213280000000003E-4</v>
      </c>
      <c r="AA2786">
        <v>0.99565959999999998</v>
      </c>
      <c r="AB2786">
        <v>47</v>
      </c>
      <c r="AC2786">
        <v>155.77979999999999</v>
      </c>
      <c r="AD2786">
        <v>-1.0276966199999999</v>
      </c>
      <c r="AE2786">
        <v>-14.736499999999999</v>
      </c>
      <c r="AF2786">
        <v>14.6070913632865</v>
      </c>
      <c r="AG2786">
        <v>-1.0276966199999999</v>
      </c>
      <c r="AH2786">
        <v>155.78520859881499</v>
      </c>
      <c r="AI2786">
        <v>90.376317431386795</v>
      </c>
      <c r="AJ2786">
        <v>84.643362647151704</v>
      </c>
      <c r="AK2786">
        <v>156.47189682691999</v>
      </c>
      <c r="AL2786">
        <v>76.879216014773704</v>
      </c>
      <c r="AM2786">
        <v>89.150349711961098</v>
      </c>
      <c r="AN2786">
        <v>0.99999999427472996</v>
      </c>
    </row>
    <row r="2787" spans="1:40" x14ac:dyDescent="0.25">
      <c r="A2787" t="str">
        <f>"20190303171031886"</f>
        <v>20190303171031886</v>
      </c>
      <c r="B2787" t="str">
        <f>"1551604231873247"</f>
        <v>1551604231873247</v>
      </c>
      <c r="C2787" t="s">
        <v>40</v>
      </c>
      <c r="D2787">
        <v>4.4652890000000003</v>
      </c>
      <c r="E2787">
        <v>0.53544429999999998</v>
      </c>
      <c r="F2787" t="s">
        <v>41</v>
      </c>
      <c r="G2787">
        <v>-199.52940000000001</v>
      </c>
      <c r="H2787">
        <v>-0.05</v>
      </c>
      <c r="I2787">
        <v>198.31370000000001</v>
      </c>
      <c r="J2787">
        <v>-369.30360000000002</v>
      </c>
      <c r="K2787">
        <v>1.120028</v>
      </c>
      <c r="L2787">
        <v>214.31209999999999</v>
      </c>
      <c r="M2787">
        <v>0.99996160000000001</v>
      </c>
      <c r="N2787">
        <v>-8.7237749999999996E-3</v>
      </c>
      <c r="O2787">
        <v>-9.5727840000000002E-4</v>
      </c>
      <c r="P2787">
        <v>0.97588140000000001</v>
      </c>
      <c r="Q2787">
        <v>0.2177917</v>
      </c>
      <c r="R2787">
        <v>-1.491697E-2</v>
      </c>
      <c r="S2787">
        <v>3.074951</v>
      </c>
      <c r="T2787">
        <v>-2.113402E-2</v>
      </c>
      <c r="U2787">
        <v>-0.28898620000000003</v>
      </c>
      <c r="V2787">
        <v>1.408968E-2</v>
      </c>
      <c r="W2787">
        <v>0.2262903</v>
      </c>
      <c r="X2787">
        <v>0.97395799999999999</v>
      </c>
      <c r="Y2787">
        <v>9.2610339999999999E-2</v>
      </c>
      <c r="Z2787">
        <v>-7.2418089999999895E-4</v>
      </c>
      <c r="AA2787">
        <v>0.99570210000000003</v>
      </c>
      <c r="AB2787">
        <v>47</v>
      </c>
      <c r="AC2787">
        <v>169.77420000000001</v>
      </c>
      <c r="AD2787">
        <v>-1.1700280000000001</v>
      </c>
      <c r="AE2787">
        <v>-15.998399999999901</v>
      </c>
      <c r="AF2787">
        <v>15.8351198565883</v>
      </c>
      <c r="AG2787">
        <v>-1.1700280000000001</v>
      </c>
      <c r="AH2787">
        <v>169.78144489199701</v>
      </c>
      <c r="AI2787">
        <v>90.393134431535998</v>
      </c>
      <c r="AJ2787">
        <v>84.671570855143699</v>
      </c>
      <c r="AK2787">
        <v>170.52231236998799</v>
      </c>
      <c r="AL2787">
        <v>76.921235987647293</v>
      </c>
      <c r="AM2787">
        <v>89.171193325860401</v>
      </c>
      <c r="AN2787">
        <v>1.00000000236029</v>
      </c>
    </row>
    <row r="2788" spans="1:40" x14ac:dyDescent="0.25">
      <c r="A2788" t="str">
        <f>"20190303171031908"</f>
        <v>20190303171031908</v>
      </c>
      <c r="B2788" t="str">
        <f>"1551604231903503"</f>
        <v>1551604231903503</v>
      </c>
      <c r="C2788" t="s">
        <v>40</v>
      </c>
      <c r="D2788">
        <v>4.5223659999999999</v>
      </c>
      <c r="E2788">
        <v>0.53551309999999996</v>
      </c>
      <c r="F2788" t="s">
        <v>41</v>
      </c>
      <c r="G2788">
        <v>-221.0342</v>
      </c>
      <c r="H2788">
        <v>-0.05</v>
      </c>
      <c r="I2788">
        <v>200.47989999999999</v>
      </c>
      <c r="J2788">
        <v>-368.85340000000002</v>
      </c>
      <c r="K2788">
        <v>1.120034</v>
      </c>
      <c r="L2788">
        <v>214.3115</v>
      </c>
      <c r="M2788">
        <v>0.99996099999999999</v>
      </c>
      <c r="N2788">
        <v>-8.7658370000000003E-3</v>
      </c>
      <c r="O2788">
        <v>-1.0842779999999999E-3</v>
      </c>
      <c r="P2788">
        <v>0.9759951</v>
      </c>
      <c r="Q2788">
        <v>0.21728939999999999</v>
      </c>
      <c r="R2788">
        <v>-1.480566E-2</v>
      </c>
      <c r="S2788">
        <v>3.0751339999999998</v>
      </c>
      <c r="T2788">
        <v>-2.4266599999999999E-2</v>
      </c>
      <c r="U2788">
        <v>-0.28688049999999998</v>
      </c>
      <c r="V2788">
        <v>1.385261E-2</v>
      </c>
      <c r="W2788">
        <v>0.22583</v>
      </c>
      <c r="X2788">
        <v>0.97406820000000005</v>
      </c>
      <c r="Y2788">
        <v>9.1801380000000002E-2</v>
      </c>
      <c r="Z2788">
        <v>-7.6562009999999998E-4</v>
      </c>
      <c r="AA2788">
        <v>0.99577709999999997</v>
      </c>
      <c r="AB2788">
        <v>47</v>
      </c>
      <c r="AC2788">
        <v>147.8192</v>
      </c>
      <c r="AD2788">
        <v>-1.170034</v>
      </c>
      <c r="AE2788">
        <v>-13.8316</v>
      </c>
      <c r="AF2788">
        <v>13.670459556988099</v>
      </c>
      <c r="AG2788">
        <v>-1.170034</v>
      </c>
      <c r="AH2788">
        <v>147.824929827929</v>
      </c>
      <c r="AI2788">
        <v>90.451559808395899</v>
      </c>
      <c r="AJ2788">
        <v>84.716464964853103</v>
      </c>
      <c r="AK2788">
        <v>148.460298809791</v>
      </c>
      <c r="AL2788">
        <v>76.948309676378102</v>
      </c>
      <c r="AM2788">
        <v>89.1852289327515</v>
      </c>
      <c r="AN2788">
        <v>0.99999997097752502</v>
      </c>
    </row>
    <row r="2789" spans="1:40" x14ac:dyDescent="0.25">
      <c r="A2789" t="str">
        <f>"20190303171031930"</f>
        <v>20190303171031930</v>
      </c>
      <c r="B2789" t="str">
        <f>"1551604231923023"</f>
        <v>1551604231923023</v>
      </c>
      <c r="C2789" t="s">
        <v>40</v>
      </c>
      <c r="D2789">
        <v>4.5756690000000004</v>
      </c>
      <c r="E2789">
        <v>0.53555759999999997</v>
      </c>
      <c r="F2789" t="s">
        <v>41</v>
      </c>
      <c r="G2789">
        <v>-235.01900000000001</v>
      </c>
      <c r="H2789">
        <v>-0.05</v>
      </c>
      <c r="I2789">
        <v>201.792</v>
      </c>
      <c r="J2789">
        <v>-368.37869999999998</v>
      </c>
      <c r="K2789">
        <v>1.1200289999999999</v>
      </c>
      <c r="L2789">
        <v>214.31100000000001</v>
      </c>
      <c r="M2789">
        <v>0.99996059999999998</v>
      </c>
      <c r="N2789">
        <v>-8.8126980000000008E-3</v>
      </c>
      <c r="O2789">
        <v>-1.218102E-3</v>
      </c>
      <c r="P2789">
        <v>0.97597500000000004</v>
      </c>
      <c r="Q2789">
        <v>0.21738299999999999</v>
      </c>
      <c r="R2789">
        <v>-1.476152E-2</v>
      </c>
      <c r="S2789">
        <v>3.0754090000000001</v>
      </c>
      <c r="T2789">
        <v>-2.6886460000000001E-2</v>
      </c>
      <c r="U2789">
        <v>-0.28768919999999998</v>
      </c>
      <c r="V2789">
        <v>1.3676819999999999E-2</v>
      </c>
      <c r="W2789">
        <v>0.22596930000000001</v>
      </c>
      <c r="X2789">
        <v>0.97403839999999997</v>
      </c>
      <c r="Y2789">
        <v>9.1918459999999994E-2</v>
      </c>
      <c r="Z2789">
        <v>-8.0692779999999998E-4</v>
      </c>
      <c r="AA2789">
        <v>0.99576620000000005</v>
      </c>
      <c r="AB2789">
        <v>47</v>
      </c>
      <c r="AC2789">
        <v>133.35969999999901</v>
      </c>
      <c r="AD2789">
        <v>-1.170029</v>
      </c>
      <c r="AE2789">
        <v>-12.518999999999901</v>
      </c>
      <c r="AF2789">
        <v>12.3555959624649</v>
      </c>
      <c r="AG2789">
        <v>-1.170029</v>
      </c>
      <c r="AH2789">
        <v>133.36467512468201</v>
      </c>
      <c r="AI2789">
        <v>90.500508606641304</v>
      </c>
      <c r="AJ2789">
        <v>84.706930690627999</v>
      </c>
      <c r="AK2789">
        <v>133.94090596438599</v>
      </c>
      <c r="AL2789">
        <v>76.940116870966804</v>
      </c>
      <c r="AM2789">
        <v>89.195542424650199</v>
      </c>
      <c r="AN2789">
        <v>0.99999999231118097</v>
      </c>
    </row>
    <row r="2790" spans="1:40" x14ac:dyDescent="0.25">
      <c r="A2790" t="str">
        <f>"20190303171031953"</f>
        <v>20190303171031953</v>
      </c>
      <c r="B2790" t="str">
        <f>"1551604231943519"</f>
        <v>1551604231943519</v>
      </c>
      <c r="C2790" t="s">
        <v>40</v>
      </c>
      <c r="D2790">
        <v>4.573969</v>
      </c>
      <c r="E2790">
        <v>0.53559909999999999</v>
      </c>
      <c r="F2790" t="s">
        <v>41</v>
      </c>
      <c r="G2790">
        <v>-236.09379999999999</v>
      </c>
      <c r="H2790">
        <v>-0.05</v>
      </c>
      <c r="I2790">
        <v>201.92189999999999</v>
      </c>
      <c r="J2790">
        <v>-367.9074</v>
      </c>
      <c r="K2790">
        <v>1.120034</v>
      </c>
      <c r="L2790">
        <v>214.31030000000001</v>
      </c>
      <c r="M2790">
        <v>0.99995979999999995</v>
      </c>
      <c r="N2790">
        <v>-8.8605479999999993E-3</v>
      </c>
      <c r="O2790">
        <v>-1.3502690000000001E-3</v>
      </c>
      <c r="P2790">
        <v>0.97608150000000005</v>
      </c>
      <c r="Q2790">
        <v>0.21689159999999999</v>
      </c>
      <c r="R2790">
        <v>-1.494118E-2</v>
      </c>
      <c r="S2790">
        <v>3.0755620000000001</v>
      </c>
      <c r="T2790">
        <v>-2.7202609999999999E-2</v>
      </c>
      <c r="U2790">
        <v>-0.28804020000000002</v>
      </c>
      <c r="V2790">
        <v>1.3726260000000001E-2</v>
      </c>
      <c r="W2790">
        <v>0.2255257</v>
      </c>
      <c r="X2790">
        <v>0.97414049999999996</v>
      </c>
      <c r="Y2790">
        <v>9.1894749999999997E-2</v>
      </c>
      <c r="Z2790">
        <v>-8.1355220000000001E-4</v>
      </c>
      <c r="AA2790">
        <v>0.9957684</v>
      </c>
      <c r="AB2790">
        <v>47</v>
      </c>
      <c r="AC2790">
        <v>131.81360000000001</v>
      </c>
      <c r="AD2790">
        <v>-1.170034</v>
      </c>
      <c r="AE2790">
        <v>-12.388400000000001</v>
      </c>
      <c r="AF2790">
        <v>12.2094443236573</v>
      </c>
      <c r="AG2790">
        <v>-1.170034</v>
      </c>
      <c r="AH2790">
        <v>131.819912875211</v>
      </c>
      <c r="AI2790">
        <v>90.506376864508695</v>
      </c>
      <c r="AJ2790">
        <v>84.708239430124905</v>
      </c>
      <c r="AK2790">
        <v>132.38930825667799</v>
      </c>
      <c r="AL2790">
        <v>76.966206639739596</v>
      </c>
      <c r="AM2790">
        <v>89.192719404023194</v>
      </c>
      <c r="AN2790">
        <v>0.99999998265716294</v>
      </c>
    </row>
    <row r="2791" spans="1:40" x14ac:dyDescent="0.25">
      <c r="A2791" t="str">
        <f>"20190303171031974"</f>
        <v>20190303171031974</v>
      </c>
      <c r="B2791" t="str">
        <f>"1551604231964015"</f>
        <v>1551604231964015</v>
      </c>
      <c r="C2791" t="s">
        <v>40</v>
      </c>
      <c r="D2791">
        <v>4.5848779999999998</v>
      </c>
      <c r="E2791">
        <v>0.53567519999999902</v>
      </c>
      <c r="F2791" t="s">
        <v>41</v>
      </c>
      <c r="G2791">
        <v>-246.1114</v>
      </c>
      <c r="H2791">
        <v>-0.05</v>
      </c>
      <c r="I2791">
        <v>202.86099999999999</v>
      </c>
      <c r="J2791">
        <v>-367.4529</v>
      </c>
      <c r="K2791">
        <v>1.120042</v>
      </c>
      <c r="L2791">
        <v>214.30959999999999</v>
      </c>
      <c r="M2791">
        <v>0.99995940000000005</v>
      </c>
      <c r="N2791">
        <v>-8.9050980000000002E-3</v>
      </c>
      <c r="O2791">
        <v>-1.4777760000000001E-3</v>
      </c>
      <c r="P2791">
        <v>0.9762052</v>
      </c>
      <c r="Q2791">
        <v>0.21631249999999999</v>
      </c>
      <c r="R2791">
        <v>-1.5258890000000001E-2</v>
      </c>
      <c r="S2791">
        <v>3.075653</v>
      </c>
      <c r="T2791">
        <v>-2.9546260000000001E-2</v>
      </c>
      <c r="U2791">
        <v>-0.28912349999999998</v>
      </c>
      <c r="V2791">
        <v>1.3918460000000001E-2</v>
      </c>
      <c r="W2791">
        <v>0.224991</v>
      </c>
      <c r="X2791">
        <v>0.97426140000000006</v>
      </c>
      <c r="Y2791">
        <v>9.2111739999999998E-2</v>
      </c>
      <c r="Z2791">
        <v>-8.5147969999999995E-4</v>
      </c>
      <c r="AA2791">
        <v>0.99574830000000003</v>
      </c>
      <c r="AB2791">
        <v>47</v>
      </c>
      <c r="AC2791">
        <v>121.3415</v>
      </c>
      <c r="AD2791">
        <v>-1.170042</v>
      </c>
      <c r="AE2791">
        <v>-11.448600000000001</v>
      </c>
      <c r="AF2791">
        <v>11.268226394556301</v>
      </c>
      <c r="AG2791">
        <v>-1.170042</v>
      </c>
      <c r="AH2791">
        <v>121.34710346775999</v>
      </c>
      <c r="AI2791">
        <v>90.550068681463898</v>
      </c>
      <c r="AJ2791">
        <v>84.694758815896094</v>
      </c>
      <c r="AK2791">
        <v>121.874777720314</v>
      </c>
      <c r="AL2791">
        <v>76.997650732257796</v>
      </c>
      <c r="AM2791">
        <v>89.181518667432201</v>
      </c>
      <c r="AN2791">
        <v>0.999999974569865</v>
      </c>
    </row>
    <row r="2792" spans="1:40" x14ac:dyDescent="0.25">
      <c r="A2792" t="str">
        <f>"20190303171031997"</f>
        <v>20190303171031997</v>
      </c>
      <c r="B2792" t="str">
        <f>"1551604231983536"</f>
        <v>1551604231983536</v>
      </c>
      <c r="C2792" t="s">
        <v>40</v>
      </c>
      <c r="D2792">
        <v>4.4875860000000003</v>
      </c>
      <c r="E2792">
        <v>0.53569259999999996</v>
      </c>
      <c r="F2792" t="s">
        <v>53</v>
      </c>
      <c r="G2792">
        <v>-267.80459999999999</v>
      </c>
      <c r="H2792">
        <v>8.0001059999999999E-2</v>
      </c>
      <c r="I2792">
        <v>204.8948</v>
      </c>
      <c r="J2792">
        <v>-366.98329999999999</v>
      </c>
      <c r="K2792">
        <v>1.1200460000000001</v>
      </c>
      <c r="L2792">
        <v>214.30889999999999</v>
      </c>
      <c r="M2792">
        <v>0.99995869999999998</v>
      </c>
      <c r="N2792">
        <v>-8.9517009999999994E-3</v>
      </c>
      <c r="O2792">
        <v>-1.608754E-3</v>
      </c>
      <c r="P2792">
        <v>0.97621400000000003</v>
      </c>
      <c r="Q2792">
        <v>0.2162838</v>
      </c>
      <c r="R2792">
        <v>-1.509691E-2</v>
      </c>
      <c r="S2792">
        <v>3.075653</v>
      </c>
      <c r="T2792">
        <v>-3.2100919999999998E-2</v>
      </c>
      <c r="U2792">
        <v>-0.29058840000000002</v>
      </c>
      <c r="V2792">
        <v>1.3628100000000001E-2</v>
      </c>
      <c r="W2792">
        <v>0.22500819999999999</v>
      </c>
      <c r="X2792">
        <v>0.97426159999999995</v>
      </c>
      <c r="Y2792">
        <v>9.2450229999999994E-2</v>
      </c>
      <c r="Z2792">
        <v>-8.9373030000000002E-4</v>
      </c>
      <c r="AA2792">
        <v>0.99571690000000002</v>
      </c>
      <c r="AB2792">
        <v>47</v>
      </c>
      <c r="AC2792">
        <v>99.178700000000006</v>
      </c>
      <c r="AD2792">
        <v>-1.04004493999999</v>
      </c>
      <c r="AE2792">
        <v>-9.4140999999999906</v>
      </c>
      <c r="AF2792">
        <v>9.2535187961699901</v>
      </c>
      <c r="AG2792">
        <v>-1.04004493999999</v>
      </c>
      <c r="AH2792">
        <v>99.182907645684793</v>
      </c>
      <c r="AI2792">
        <v>90.598191391092598</v>
      </c>
      <c r="AJ2792">
        <v>84.669875651619094</v>
      </c>
      <c r="AK2792">
        <v>99.619066812737898</v>
      </c>
      <c r="AL2792">
        <v>76.996640179269207</v>
      </c>
      <c r="AM2792">
        <v>89.198591332331404</v>
      </c>
      <c r="AN2792">
        <v>1.0000000402057001</v>
      </c>
    </row>
    <row r="2793" spans="1:40" x14ac:dyDescent="0.25">
      <c r="A2793" t="str">
        <f>"20190303171032019"</f>
        <v>20190303171032019</v>
      </c>
      <c r="B2793" t="str">
        <f>"1551604232013791"</f>
        <v>1551604232013791</v>
      </c>
      <c r="C2793" t="s">
        <v>40</v>
      </c>
      <c r="D2793">
        <v>4.5912649999999999</v>
      </c>
      <c r="E2793">
        <v>0.53600879999999995</v>
      </c>
      <c r="F2793" t="s">
        <v>53</v>
      </c>
      <c r="G2793">
        <v>-268.45179999999999</v>
      </c>
      <c r="H2793">
        <v>8.0000870000000002E-2</v>
      </c>
      <c r="I2793">
        <v>204.9853</v>
      </c>
      <c r="J2793">
        <v>-366.51139999999998</v>
      </c>
      <c r="K2793">
        <v>1.1200509999999999</v>
      </c>
      <c r="L2793">
        <v>214.30799999999999</v>
      </c>
      <c r="M2793">
        <v>0.99995800000000001</v>
      </c>
      <c r="N2793">
        <v>-8.9980939999999999E-3</v>
      </c>
      <c r="O2793">
        <v>-1.740927E-3</v>
      </c>
      <c r="P2793">
        <v>0.9762189</v>
      </c>
      <c r="Q2793">
        <v>0.2162925</v>
      </c>
      <c r="R2793">
        <v>-1.4629420000000001E-2</v>
      </c>
      <c r="S2793">
        <v>3.0757750000000001</v>
      </c>
      <c r="T2793">
        <v>-3.2466170000000003E-2</v>
      </c>
      <c r="U2793">
        <v>-0.29104609999999997</v>
      </c>
      <c r="V2793">
        <v>1.30314E-2</v>
      </c>
      <c r="W2793">
        <v>0.22506209999999999</v>
      </c>
      <c r="X2793">
        <v>0.97425729999999999</v>
      </c>
      <c r="Y2793">
        <v>9.2461619999999994E-2</v>
      </c>
      <c r="Z2793">
        <v>-9.0112799999999996E-4</v>
      </c>
      <c r="AA2793">
        <v>0.99571589999999999</v>
      </c>
      <c r="AB2793">
        <v>47</v>
      </c>
      <c r="AC2793">
        <v>98.059600000000003</v>
      </c>
      <c r="AD2793">
        <v>-1.04005013</v>
      </c>
      <c r="AE2793">
        <v>-9.3226999999999904</v>
      </c>
      <c r="AF2793">
        <v>9.1509441516929204</v>
      </c>
      <c r="AG2793">
        <v>-1.04005013</v>
      </c>
      <c r="AH2793">
        <v>98.064749333120602</v>
      </c>
      <c r="AI2793">
        <v>90.605013633944694</v>
      </c>
      <c r="AJ2793">
        <v>84.668863897131999</v>
      </c>
      <c r="AK2793">
        <v>98.496276807339797</v>
      </c>
      <c r="AL2793">
        <v>76.993470457843898</v>
      </c>
      <c r="AM2793">
        <v>89.233672974754001</v>
      </c>
      <c r="AN2793">
        <v>1.0000000264228199</v>
      </c>
    </row>
    <row r="2794" spans="1:40" x14ac:dyDescent="0.25">
      <c r="A2794" t="str">
        <f>"20190303171032042"</f>
        <v>20190303171032042</v>
      </c>
      <c r="B2794" t="str">
        <f>"1551604232033325"</f>
        <v>1551604232033325</v>
      </c>
      <c r="C2794" t="s">
        <v>40</v>
      </c>
      <c r="D2794">
        <v>4.5825449999999996</v>
      </c>
      <c r="E2794">
        <v>0.53618559999999904</v>
      </c>
      <c r="F2794" t="s">
        <v>53</v>
      </c>
      <c r="G2794">
        <v>-274.47019999999998</v>
      </c>
      <c r="H2794">
        <v>8.0000539999999995E-2</v>
      </c>
      <c r="I2794">
        <v>205.5652</v>
      </c>
      <c r="J2794">
        <v>-366.02839999999998</v>
      </c>
      <c r="K2794">
        <v>1.1200460000000001</v>
      </c>
      <c r="L2794">
        <v>214.30709999999999</v>
      </c>
      <c r="M2794">
        <v>0.9999574</v>
      </c>
      <c r="N2794">
        <v>-9.0426870000000006E-3</v>
      </c>
      <c r="O2794">
        <v>-1.875598E-3</v>
      </c>
      <c r="P2794">
        <v>0.97621789999999997</v>
      </c>
      <c r="Q2794">
        <v>0.2163215</v>
      </c>
      <c r="R2794">
        <v>-1.4275889999999999E-2</v>
      </c>
      <c r="S2794">
        <v>3.076416</v>
      </c>
      <c r="T2794">
        <v>-3.4762979999999999E-2</v>
      </c>
      <c r="U2794">
        <v>-0.29222110000000001</v>
      </c>
      <c r="V2794">
        <v>1.2546099999999999E-2</v>
      </c>
      <c r="W2794">
        <v>0.225135</v>
      </c>
      <c r="X2794">
        <v>0.97424679999999997</v>
      </c>
      <c r="Y2794">
        <v>9.2683840000000003E-2</v>
      </c>
      <c r="Z2794">
        <v>-9.3827020000000001E-4</v>
      </c>
      <c r="AA2794">
        <v>0.9956952</v>
      </c>
      <c r="AB2794">
        <v>47</v>
      </c>
      <c r="AC2794">
        <v>91.558199999999999</v>
      </c>
      <c r="AD2794">
        <v>-1.04004546</v>
      </c>
      <c r="AE2794">
        <v>-8.7418999999999798</v>
      </c>
      <c r="AF2794">
        <v>8.5690555059072402</v>
      </c>
      <c r="AG2794">
        <v>-1.04004546</v>
      </c>
      <c r="AH2794">
        <v>91.562727768166198</v>
      </c>
      <c r="AI2794">
        <v>90.647953917159697</v>
      </c>
      <c r="AJ2794">
        <v>84.653448758380407</v>
      </c>
      <c r="AK2794">
        <v>91.968709478656393</v>
      </c>
      <c r="AL2794">
        <v>76.989183228375893</v>
      </c>
      <c r="AM2794">
        <v>89.262200453929907</v>
      </c>
      <c r="AN2794">
        <v>1.0000000000802201</v>
      </c>
    </row>
    <row r="2795" spans="1:40" x14ac:dyDescent="0.25">
      <c r="A2795" t="str">
        <f>"20190303171032065"</f>
        <v>20190303171032065</v>
      </c>
      <c r="B2795" t="str">
        <f>"1551604232053806"</f>
        <v>1551604232053806</v>
      </c>
      <c r="C2795" t="s">
        <v>40</v>
      </c>
      <c r="D2795">
        <v>4.5254570000000003</v>
      </c>
      <c r="E2795">
        <v>0.53821359999999996</v>
      </c>
      <c r="F2795" t="s">
        <v>53</v>
      </c>
      <c r="G2795">
        <v>-276.18</v>
      </c>
      <c r="H2795">
        <v>8.0001500000000003E-2</v>
      </c>
      <c r="I2795">
        <v>205.7671</v>
      </c>
      <c r="J2795">
        <v>-365.53649999999999</v>
      </c>
      <c r="K2795">
        <v>1.1200479999999999</v>
      </c>
      <c r="L2795">
        <v>214.30609999999999</v>
      </c>
      <c r="M2795">
        <v>0.99995679999999998</v>
      </c>
      <c r="N2795">
        <v>-9.0859140000000005E-3</v>
      </c>
      <c r="O2795">
        <v>-2.0126499999999999E-3</v>
      </c>
      <c r="P2795">
        <v>0.97627189999999997</v>
      </c>
      <c r="Q2795">
        <v>0.21613869999999999</v>
      </c>
      <c r="R2795">
        <v>-1.3326589999999999E-2</v>
      </c>
      <c r="S2795">
        <v>3.0766909999999998</v>
      </c>
      <c r="T2795">
        <v>-3.5614369999999999E-2</v>
      </c>
      <c r="U2795">
        <v>-0.29243469999999999</v>
      </c>
      <c r="V2795">
        <v>1.146257E-2</v>
      </c>
      <c r="W2795">
        <v>0.22499520000000001</v>
      </c>
      <c r="X2795">
        <v>0.97429250000000001</v>
      </c>
      <c r="Y2795">
        <v>9.2607099999999998E-2</v>
      </c>
      <c r="Z2795">
        <v>-9.514581E-4</v>
      </c>
      <c r="AA2795">
        <v>0.99570230000000004</v>
      </c>
      <c r="AB2795">
        <v>47</v>
      </c>
      <c r="AC2795">
        <v>89.356499999999897</v>
      </c>
      <c r="AD2795">
        <v>-1.0400465000000001</v>
      </c>
      <c r="AE2795">
        <v>-8.5389999999999802</v>
      </c>
      <c r="AF2795">
        <v>8.3580098993173202</v>
      </c>
      <c r="AG2795">
        <v>-1.0400465000000001</v>
      </c>
      <c r="AH2795">
        <v>89.361509196604999</v>
      </c>
      <c r="AI2795">
        <v>90.663917521161693</v>
      </c>
      <c r="AJ2795">
        <v>84.656652700844305</v>
      </c>
      <c r="AK2795">
        <v>89.757547605168995</v>
      </c>
      <c r="AL2795">
        <v>76.997404795904004</v>
      </c>
      <c r="AM2795">
        <v>89.325945150893304</v>
      </c>
      <c r="AN2795">
        <v>1.0000000530451401</v>
      </c>
    </row>
    <row r="2796" spans="1:40" x14ac:dyDescent="0.25">
      <c r="A2796" t="str">
        <f>"20190303171032097"</f>
        <v>20190303171032097</v>
      </c>
      <c r="B2796" t="str">
        <f>"1551604232083090"</f>
        <v>1551604232083090</v>
      </c>
      <c r="C2796" t="s">
        <v>40</v>
      </c>
      <c r="D2796">
        <v>4.5551469999999998</v>
      </c>
      <c r="E2796">
        <v>0.53851470000000001</v>
      </c>
      <c r="F2796" t="s">
        <v>50</v>
      </c>
      <c r="G2796">
        <v>-168.42330000000001</v>
      </c>
      <c r="H2796">
        <v>24.897469999999998</v>
      </c>
      <c r="I2796">
        <v>192.62270000000001</v>
      </c>
      <c r="J2796">
        <v>-364.8614</v>
      </c>
      <c r="K2796">
        <v>1.120055</v>
      </c>
      <c r="L2796">
        <v>214.30459999999999</v>
      </c>
      <c r="M2796">
        <v>0.99995579999999995</v>
      </c>
      <c r="N2796">
        <v>-9.1457650000000001E-3</v>
      </c>
      <c r="O2796">
        <v>-2.2005649999999998E-3</v>
      </c>
      <c r="P2796">
        <v>0.97625289999999998</v>
      </c>
      <c r="Q2796">
        <v>0.21628890000000001</v>
      </c>
      <c r="R2796">
        <v>-1.2225929999999999E-2</v>
      </c>
      <c r="S2796">
        <v>2.9886469999999998</v>
      </c>
      <c r="T2796">
        <v>0.3605158</v>
      </c>
      <c r="U2796">
        <v>-0.3287659</v>
      </c>
      <c r="V2796">
        <v>1.017859E-2</v>
      </c>
      <c r="W2796">
        <v>0.22520419999999999</v>
      </c>
      <c r="X2796">
        <v>0.97425839999999997</v>
      </c>
      <c r="Y2796">
        <v>0.10647189999999999</v>
      </c>
      <c r="Z2796">
        <v>5.605896E-3</v>
      </c>
      <c r="AA2796">
        <v>0.99429990000000001</v>
      </c>
      <c r="AB2796">
        <v>47</v>
      </c>
      <c r="AC2796">
        <v>196.43809999999999</v>
      </c>
      <c r="AD2796">
        <v>23.777414999999898</v>
      </c>
      <c r="AE2796">
        <v>-21.681899999999899</v>
      </c>
      <c r="AF2796">
        <v>20.946355886372299</v>
      </c>
      <c r="AG2796">
        <v>23.777414999999898</v>
      </c>
      <c r="AH2796">
        <v>193.68179256989899</v>
      </c>
      <c r="AI2796">
        <v>83.041259099079596</v>
      </c>
      <c r="AJ2796">
        <v>83.827548902840903</v>
      </c>
      <c r="AK2796">
        <v>196.25685226786399</v>
      </c>
      <c r="AL2796">
        <v>76.985113626867602</v>
      </c>
      <c r="AM2796">
        <v>89.401422629537706</v>
      </c>
      <c r="AN2796">
        <v>0.99999998268129298</v>
      </c>
    </row>
    <row r="2797" spans="1:40" x14ac:dyDescent="0.25">
      <c r="A2797" t="str">
        <f>"20190303171032120"</f>
        <v>20190303171032120</v>
      </c>
      <c r="B2797" t="str">
        <f>"1551604232113343"</f>
        <v>1551604232113343</v>
      </c>
      <c r="C2797" t="s">
        <v>40</v>
      </c>
      <c r="D2797">
        <v>4.6881000000000004</v>
      </c>
      <c r="E2797">
        <v>0.52295760000000002</v>
      </c>
      <c r="F2797" t="s">
        <v>50</v>
      </c>
      <c r="G2797">
        <v>-168.42330000000001</v>
      </c>
      <c r="H2797">
        <v>24.887149999999998</v>
      </c>
      <c r="I2797">
        <v>192.7422</v>
      </c>
      <c r="J2797">
        <v>-364.37360000000001</v>
      </c>
      <c r="K2797">
        <v>1.120058</v>
      </c>
      <c r="L2797">
        <v>214.30350000000001</v>
      </c>
      <c r="M2797">
        <v>0.99995509999999999</v>
      </c>
      <c r="N2797">
        <v>-9.1864630000000006E-3</v>
      </c>
      <c r="O2797">
        <v>-2.336178E-3</v>
      </c>
      <c r="P2797">
        <v>0.9761803</v>
      </c>
      <c r="Q2797">
        <v>0.2166151</v>
      </c>
      <c r="R2797">
        <v>-1.223949E-2</v>
      </c>
      <c r="S2797">
        <v>2.9887389999999998</v>
      </c>
      <c r="T2797">
        <v>0.36160890000000001</v>
      </c>
      <c r="U2797">
        <v>-0.32806400000000002</v>
      </c>
      <c r="V2797">
        <v>1.0060039999999999E-2</v>
      </c>
      <c r="W2797">
        <v>0.2255694</v>
      </c>
      <c r="X2797">
        <v>0.97417520000000002</v>
      </c>
      <c r="Y2797">
        <v>0.10610260000000001</v>
      </c>
      <c r="Z2797">
        <v>5.5839009999999996E-3</v>
      </c>
      <c r="AA2797">
        <v>0.99433950000000004</v>
      </c>
      <c r="AB2797">
        <v>47</v>
      </c>
      <c r="AC2797">
        <v>195.9503</v>
      </c>
      <c r="AD2797">
        <v>23.767092000000002</v>
      </c>
      <c r="AE2797">
        <v>-21.561299999999999</v>
      </c>
      <c r="AF2797">
        <v>20.801090338713198</v>
      </c>
      <c r="AG2797">
        <v>23.767092000000002</v>
      </c>
      <c r="AH2797">
        <v>193.19197339024399</v>
      </c>
      <c r="AI2797">
        <v>83.026436597097799</v>
      </c>
      <c r="AJ2797">
        <v>83.854605411957493</v>
      </c>
      <c r="AK2797">
        <v>195.75673322732101</v>
      </c>
      <c r="AL2797">
        <v>76.963637343012394</v>
      </c>
      <c r="AM2797">
        <v>89.408343236638004</v>
      </c>
      <c r="AN2797">
        <v>1.0000000394580999</v>
      </c>
    </row>
    <row r="2798" spans="1:40" x14ac:dyDescent="0.25">
      <c r="A2798" t="str">
        <f>"20190303171032141"</f>
        <v>20190303171032141</v>
      </c>
      <c r="B2798" t="str">
        <f>"1551604232133839"</f>
        <v>1551604232133839</v>
      </c>
      <c r="C2798" t="s">
        <v>40</v>
      </c>
      <c r="D2798">
        <v>4.7430399999999997</v>
      </c>
      <c r="E2798">
        <v>0.5175807</v>
      </c>
      <c r="F2798" t="s">
        <v>50</v>
      </c>
      <c r="G2798">
        <v>-168.4195</v>
      </c>
      <c r="H2798">
        <v>21.94389</v>
      </c>
      <c r="I2798">
        <v>201.16589999999999</v>
      </c>
      <c r="J2798">
        <v>-363.90550000000002</v>
      </c>
      <c r="K2798">
        <v>1.1200650000000001</v>
      </c>
      <c r="L2798">
        <v>214.3023</v>
      </c>
      <c r="M2798">
        <v>0.99995449999999997</v>
      </c>
      <c r="N2798">
        <v>-9.2242560000000001E-3</v>
      </c>
      <c r="O2798">
        <v>-2.4662960000000002E-3</v>
      </c>
      <c r="P2798">
        <v>0.97603799999999996</v>
      </c>
      <c r="Q2798">
        <v>0.21724669999999999</v>
      </c>
      <c r="R2798">
        <v>-1.239081E-2</v>
      </c>
      <c r="S2798">
        <v>2.999908</v>
      </c>
      <c r="T2798">
        <v>0.31879750000000001</v>
      </c>
      <c r="U2798">
        <v>-0.2011261</v>
      </c>
      <c r="V2798">
        <v>1.008504E-2</v>
      </c>
      <c r="W2798">
        <v>0.2262364</v>
      </c>
      <c r="X2798">
        <v>0.9740202</v>
      </c>
      <c r="Y2798">
        <v>6.4121200000000003E-2</v>
      </c>
      <c r="Z2798">
        <v>2.8131660000000002E-3</v>
      </c>
      <c r="AA2798">
        <v>0.9979382</v>
      </c>
      <c r="AB2798">
        <v>47</v>
      </c>
      <c r="AC2798">
        <v>195.48599999999999</v>
      </c>
      <c r="AD2798">
        <v>20.823824999999999</v>
      </c>
      <c r="AE2798">
        <v>-13.1364</v>
      </c>
      <c r="AF2798">
        <v>12.512865208755001</v>
      </c>
      <c r="AG2798">
        <v>20.823824999999999</v>
      </c>
      <c r="AH2798">
        <v>193.33386400554701</v>
      </c>
      <c r="AI2798">
        <v>83.865158190646994</v>
      </c>
      <c r="AJ2798">
        <v>86.296893831199299</v>
      </c>
      <c r="AK2798">
        <v>194.854269788164</v>
      </c>
      <c r="AL2798">
        <v>76.924406199649994</v>
      </c>
      <c r="AM2798">
        <v>89.406778647319598</v>
      </c>
      <c r="AN2798">
        <v>0.99999998336240004</v>
      </c>
    </row>
    <row r="2799" spans="1:40" x14ac:dyDescent="0.25">
      <c r="A2799" t="str">
        <f>"20190303171032165"</f>
        <v>20190303171032165</v>
      </c>
      <c r="B2799" t="str">
        <f>"1551604232153362"</f>
        <v>1551604232153362</v>
      </c>
      <c r="C2799" t="s">
        <v>40</v>
      </c>
      <c r="D2799">
        <v>4.6511990000000001</v>
      </c>
      <c r="E2799">
        <v>0.46843249999999997</v>
      </c>
      <c r="F2799" t="s">
        <v>50</v>
      </c>
      <c r="G2799">
        <v>-168.4188</v>
      </c>
      <c r="H2799">
        <v>22.43317</v>
      </c>
      <c r="I2799">
        <v>203.9359</v>
      </c>
      <c r="J2799">
        <v>-363.43</v>
      </c>
      <c r="K2799">
        <v>1.1200699999999999</v>
      </c>
      <c r="L2799">
        <v>214.30099999999999</v>
      </c>
      <c r="M2799">
        <v>0.9999536</v>
      </c>
      <c r="N2799">
        <v>-9.2686299999999999E-3</v>
      </c>
      <c r="O2799">
        <v>-2.5983529999999999E-3</v>
      </c>
      <c r="P2799">
        <v>0.97591890000000003</v>
      </c>
      <c r="Q2799">
        <v>0.217776</v>
      </c>
      <c r="R2799">
        <v>-1.2491789999999999E-2</v>
      </c>
      <c r="S2799">
        <v>2.998901</v>
      </c>
      <c r="T2799">
        <v>0.32695819999999998</v>
      </c>
      <c r="U2799">
        <v>-0.1590271</v>
      </c>
      <c r="V2799">
        <v>1.005755E-2</v>
      </c>
      <c r="W2799">
        <v>0.22680819999999999</v>
      </c>
      <c r="X2799">
        <v>0.97388750000000002</v>
      </c>
      <c r="Y2799">
        <v>5.0106419999999999E-2</v>
      </c>
      <c r="Z2799">
        <v>2.1822450000000002E-3</v>
      </c>
      <c r="AA2799">
        <v>0.99874149999999995</v>
      </c>
      <c r="AB2799">
        <v>48</v>
      </c>
      <c r="AC2799">
        <v>195.0112</v>
      </c>
      <c r="AD2799">
        <v>21.313099999999999</v>
      </c>
      <c r="AE2799">
        <v>-10.365099999999901</v>
      </c>
      <c r="AF2799">
        <v>9.7422946024061705</v>
      </c>
      <c r="AG2799">
        <v>21.313099999999999</v>
      </c>
      <c r="AH2799">
        <v>192.74172443541099</v>
      </c>
      <c r="AI2799">
        <v>83.697932054688707</v>
      </c>
      <c r="AJ2799">
        <v>87.106398625268895</v>
      </c>
      <c r="AK2799">
        <v>194.16110031122599</v>
      </c>
      <c r="AL2799">
        <v>76.890770200831696</v>
      </c>
      <c r="AM2799">
        <v>89.408314941509701</v>
      </c>
      <c r="AN2799">
        <v>0.99999998827774605</v>
      </c>
    </row>
    <row r="2800" spans="1:40" x14ac:dyDescent="0.25">
      <c r="A2800" t="str">
        <f>"20190303171032186"</f>
        <v>20190303171032186</v>
      </c>
      <c r="B2800" t="str">
        <f>"1551604232173855"</f>
        <v>1551604232173855</v>
      </c>
      <c r="C2800" t="s">
        <v>40</v>
      </c>
      <c r="D2800">
        <v>4.59666</v>
      </c>
      <c r="E2800">
        <v>0.46895579999999998</v>
      </c>
      <c r="F2800" t="s">
        <v>49</v>
      </c>
      <c r="G2800">
        <v>-157.25</v>
      </c>
      <c r="H2800">
        <v>18.449780000000001</v>
      </c>
      <c r="I2800">
        <v>230.50200000000001</v>
      </c>
      <c r="J2800">
        <v>-362.9701</v>
      </c>
      <c r="K2800">
        <v>1.12007099999999</v>
      </c>
      <c r="L2800">
        <v>214.2997</v>
      </c>
      <c r="M2800">
        <v>0.99995299999999998</v>
      </c>
      <c r="N2800">
        <v>-9.3188679999999992E-3</v>
      </c>
      <c r="O2800">
        <v>-2.7260309999999999E-3</v>
      </c>
      <c r="P2800">
        <v>0.97598240000000003</v>
      </c>
      <c r="Q2800">
        <v>0.2174432</v>
      </c>
      <c r="R2800">
        <v>-1.330625E-2</v>
      </c>
      <c r="S2800">
        <v>3.020416</v>
      </c>
      <c r="T2800">
        <v>0.25387080000000001</v>
      </c>
      <c r="U2800">
        <v>0.2373352</v>
      </c>
      <c r="V2800">
        <v>1.074721E-2</v>
      </c>
      <c r="W2800">
        <v>0.22652439999999999</v>
      </c>
      <c r="X2800">
        <v>0.97394619999999998</v>
      </c>
      <c r="Y2800">
        <v>-8.0789719999999995E-2</v>
      </c>
      <c r="Z2800">
        <v>-3.2601779999999999E-3</v>
      </c>
      <c r="AA2800">
        <v>0.99672590000000005</v>
      </c>
      <c r="AB2800">
        <v>48</v>
      </c>
      <c r="AC2800">
        <v>205.7201</v>
      </c>
      <c r="AD2800">
        <v>17.329709000000001</v>
      </c>
      <c r="AE2800">
        <v>16.202300000000001</v>
      </c>
      <c r="AF2800">
        <v>-16.645669744931599</v>
      </c>
      <c r="AG2800">
        <v>17.329709000000001</v>
      </c>
      <c r="AH2800">
        <v>204.23479844176501</v>
      </c>
      <c r="AI2800">
        <v>85.1659150145654</v>
      </c>
      <c r="AJ2800">
        <v>94.659456870815504</v>
      </c>
      <c r="AK2800">
        <v>205.64350227962601</v>
      </c>
      <c r="AL2800">
        <v>76.907465476315707</v>
      </c>
      <c r="AM2800">
        <v>89.367783576390806</v>
      </c>
      <c r="AN2800">
        <v>1.0000000034062899</v>
      </c>
    </row>
    <row r="2801" spans="1:40" x14ac:dyDescent="0.25">
      <c r="A2801" t="str">
        <f>"20190303171032208"</f>
        <v>20190303171032208</v>
      </c>
      <c r="B2801" t="str">
        <f>"1551604232203135"</f>
        <v>1551604232203135</v>
      </c>
      <c r="C2801" t="s">
        <v>40</v>
      </c>
      <c r="D2801">
        <v>4.7271029999999996</v>
      </c>
      <c r="E2801">
        <v>0.46846680000000002</v>
      </c>
      <c r="F2801" t="s">
        <v>49</v>
      </c>
      <c r="G2801">
        <v>-157.25</v>
      </c>
      <c r="H2801">
        <v>21.723690000000001</v>
      </c>
      <c r="I2801">
        <v>229.8835</v>
      </c>
      <c r="J2801">
        <v>-362.49470000000002</v>
      </c>
      <c r="K2801">
        <v>1.1200699999999999</v>
      </c>
      <c r="L2801">
        <v>214.29839999999999</v>
      </c>
      <c r="M2801">
        <v>0.99995210000000001</v>
      </c>
      <c r="N2801">
        <v>-9.3786349999999997E-3</v>
      </c>
      <c r="O2801">
        <v>-2.8574550000000001E-3</v>
      </c>
      <c r="P2801">
        <v>0.97609509999999999</v>
      </c>
      <c r="Q2801">
        <v>0.2169199</v>
      </c>
      <c r="R2801">
        <v>-1.3578410000000001E-2</v>
      </c>
      <c r="S2801">
        <v>3.0097659999999999</v>
      </c>
      <c r="T2801">
        <v>0.30143979999999998</v>
      </c>
      <c r="U2801">
        <v>0.2279968</v>
      </c>
      <c r="V2801">
        <v>1.0890779999999999E-2</v>
      </c>
      <c r="W2801">
        <v>0.22605990000000001</v>
      </c>
      <c r="X2801">
        <v>0.97405249999999999</v>
      </c>
      <c r="Y2801">
        <v>-7.8016589999999997E-2</v>
      </c>
      <c r="Z2801">
        <v>-3.8361139999999998E-3</v>
      </c>
      <c r="AA2801">
        <v>0.99694470000000002</v>
      </c>
      <c r="AB2801">
        <v>48</v>
      </c>
      <c r="AC2801">
        <v>205.24469999999999</v>
      </c>
      <c r="AD2801">
        <v>20.603619999999999</v>
      </c>
      <c r="AE2801">
        <v>15.585100000000001</v>
      </c>
      <c r="AF2801">
        <v>-16.011116124973999</v>
      </c>
      <c r="AG2801">
        <v>20.603619999999999</v>
      </c>
      <c r="AH2801">
        <v>203.16372664032201</v>
      </c>
      <c r="AI2801">
        <v>84.226989789996296</v>
      </c>
      <c r="AJ2801">
        <v>94.506105626122206</v>
      </c>
      <c r="AK2801">
        <v>204.83252871322799</v>
      </c>
      <c r="AL2801">
        <v>76.934787820380606</v>
      </c>
      <c r="AM2801">
        <v>89.359408523518297</v>
      </c>
      <c r="AN2801">
        <v>0.99999998011663305</v>
      </c>
    </row>
    <row r="2802" spans="1:40" x14ac:dyDescent="0.25">
      <c r="A2802" t="str">
        <f>"20190303171032231"</f>
        <v>20190303171032231</v>
      </c>
      <c r="B2802" t="str">
        <f>"1551604232223635"</f>
        <v>1551604232223635</v>
      </c>
      <c r="C2802" t="s">
        <v>40</v>
      </c>
      <c r="D2802">
        <v>4.7529190000000003</v>
      </c>
      <c r="E2802">
        <v>0.46867920000000002</v>
      </c>
      <c r="F2802" t="s">
        <v>53</v>
      </c>
      <c r="G2802">
        <v>-278.58870000000002</v>
      </c>
      <c r="H2802">
        <v>8.0000790000000002E-2</v>
      </c>
      <c r="I2802">
        <v>221.09450000000001</v>
      </c>
      <c r="J2802">
        <v>-361.99540000000002</v>
      </c>
      <c r="K2802">
        <v>1.120077</v>
      </c>
      <c r="L2802">
        <v>214.29689999999999</v>
      </c>
      <c r="M2802">
        <v>0.99995100000000003</v>
      </c>
      <c r="N2802">
        <v>-9.4504619999999998E-3</v>
      </c>
      <c r="O2802">
        <v>-2.995377E-3</v>
      </c>
      <c r="P2802">
        <v>0.97619679999999998</v>
      </c>
      <c r="Q2802">
        <v>0.21646750000000001</v>
      </c>
      <c r="R2802">
        <v>-1.349302E-2</v>
      </c>
      <c r="S2802">
        <v>3.0854189999999999</v>
      </c>
      <c r="T2802">
        <v>-3.8245800000000003E-2</v>
      </c>
      <c r="U2802">
        <v>0.2499084</v>
      </c>
      <c r="V2802">
        <v>1.067034E-2</v>
      </c>
      <c r="W2802">
        <v>0.22567899999999999</v>
      </c>
      <c r="X2802">
        <v>0.97414330000000005</v>
      </c>
      <c r="Y2802">
        <v>-8.3706290000000003E-2</v>
      </c>
      <c r="Z2802">
        <v>9.2295059999999995E-4</v>
      </c>
      <c r="AA2802">
        <v>0.99649010000000005</v>
      </c>
      <c r="AB2802">
        <v>48</v>
      </c>
      <c r="AC2802">
        <v>83.406700000000001</v>
      </c>
      <c r="AD2802">
        <v>-1.0400762100000001</v>
      </c>
      <c r="AE2802">
        <v>6.7976000000000099</v>
      </c>
      <c r="AF2802">
        <v>-7.0463266654832299</v>
      </c>
      <c r="AG2802">
        <v>-1.0400762100000001</v>
      </c>
      <c r="AH2802">
        <v>83.373084597687594</v>
      </c>
      <c r="AI2802">
        <v>90.712186952176594</v>
      </c>
      <c r="AJ2802">
        <v>94.830907074709998</v>
      </c>
      <c r="AK2802">
        <v>83.676781208005806</v>
      </c>
      <c r="AL2802">
        <v>76.957191232468006</v>
      </c>
      <c r="AM2802">
        <v>89.372432167754994</v>
      </c>
      <c r="AN2802">
        <v>1.0000000180658</v>
      </c>
    </row>
    <row r="2803" spans="1:40" x14ac:dyDescent="0.25">
      <c r="A2803" t="str">
        <f>"20190303171032253"</f>
        <v>20190303171032253</v>
      </c>
      <c r="B2803" t="str">
        <f>"1551604232243154"</f>
        <v>1551604232243154</v>
      </c>
      <c r="C2803" t="s">
        <v>40</v>
      </c>
      <c r="D2803">
        <v>4.7409350000000003</v>
      </c>
      <c r="E2803">
        <v>0.4687269</v>
      </c>
      <c r="F2803" t="s">
        <v>60</v>
      </c>
      <c r="G2803">
        <v>-285.87369999999999</v>
      </c>
      <c r="H2803">
        <v>7.9999570000000006E-2</v>
      </c>
      <c r="I2803">
        <v>220.43809999999999</v>
      </c>
      <c r="J2803">
        <v>-361.53300000000002</v>
      </c>
      <c r="K2803">
        <v>1.1200950000000001</v>
      </c>
      <c r="L2803">
        <v>214.2954</v>
      </c>
      <c r="M2803">
        <v>0.9999498</v>
      </c>
      <c r="N2803">
        <v>-9.5257390000000001E-3</v>
      </c>
      <c r="O2803">
        <v>-3.1230670000000002E-3</v>
      </c>
      <c r="P2803">
        <v>0.97618899999999997</v>
      </c>
      <c r="Q2803">
        <v>0.21650050000000001</v>
      </c>
      <c r="R2803">
        <v>-1.3529670000000001E-2</v>
      </c>
      <c r="S2803">
        <v>3.0859380000000001</v>
      </c>
      <c r="T2803">
        <v>-4.2164210000000001E-2</v>
      </c>
      <c r="U2803">
        <v>0.2489624</v>
      </c>
      <c r="V2803">
        <v>1.0582569999999999E-2</v>
      </c>
      <c r="W2803">
        <v>0.22578500000000001</v>
      </c>
      <c r="X2803">
        <v>0.97411970000000003</v>
      </c>
      <c r="Y2803">
        <v>-8.3514649999999996E-2</v>
      </c>
      <c r="Z2803">
        <v>9.8094840000000007E-4</v>
      </c>
      <c r="AA2803">
        <v>0.99650609999999995</v>
      </c>
      <c r="AB2803">
        <v>48</v>
      </c>
      <c r="AC2803">
        <v>75.659300000000002</v>
      </c>
      <c r="AD2803">
        <v>-1.04009543</v>
      </c>
      <c r="AE2803">
        <v>6.1426999999999898</v>
      </c>
      <c r="AF2803">
        <v>-6.3777724185561899</v>
      </c>
      <c r="AG2803">
        <v>-1.04009543</v>
      </c>
      <c r="AH2803">
        <v>75.625547739533303</v>
      </c>
      <c r="AI2803">
        <v>90.785165453109499</v>
      </c>
      <c r="AJ2803">
        <v>94.820551059688299</v>
      </c>
      <c r="AK2803">
        <v>75.901128123571695</v>
      </c>
      <c r="AL2803">
        <v>76.950957041918102</v>
      </c>
      <c r="AM2803">
        <v>89.3775788071043</v>
      </c>
      <c r="AN2803">
        <v>1.00000002347044</v>
      </c>
    </row>
    <row r="2804" spans="1:40" x14ac:dyDescent="0.25">
      <c r="A2804" t="str">
        <f>"20190303171032276"</f>
        <v>20190303171032276</v>
      </c>
      <c r="B2804" t="str">
        <f>"1551604232263177"</f>
        <v>1551604232263177</v>
      </c>
      <c r="C2804" t="s">
        <v>40</v>
      </c>
      <c r="D2804">
        <v>4.6529379999999998</v>
      </c>
      <c r="E2804">
        <v>0.46866289999999999</v>
      </c>
      <c r="F2804" t="s">
        <v>60</v>
      </c>
      <c r="G2804">
        <v>-286.1481</v>
      </c>
      <c r="H2804">
        <v>7.9999539999999994E-2</v>
      </c>
      <c r="I2804">
        <v>220.3631</v>
      </c>
      <c r="J2804">
        <v>-361.04570000000001</v>
      </c>
      <c r="K2804">
        <v>1.120107</v>
      </c>
      <c r="L2804">
        <v>214.2938</v>
      </c>
      <c r="M2804">
        <v>0.99994859999999997</v>
      </c>
      <c r="N2804">
        <v>-9.6159220000000007E-3</v>
      </c>
      <c r="O2804">
        <v>-3.2576300000000001E-3</v>
      </c>
      <c r="P2804">
        <v>0.97611630000000005</v>
      </c>
      <c r="Q2804">
        <v>0.216782</v>
      </c>
      <c r="R2804">
        <v>-1.423874E-2</v>
      </c>
      <c r="S2804">
        <v>3.08609</v>
      </c>
      <c r="T2804">
        <v>-4.257917E-2</v>
      </c>
      <c r="U2804">
        <v>0.2483978</v>
      </c>
      <c r="V2804">
        <v>1.116107E-2</v>
      </c>
      <c r="W2804">
        <v>0.2261533</v>
      </c>
      <c r="X2804">
        <v>0.9740278</v>
      </c>
      <c r="Y2804">
        <v>-8.3463419999999997E-2</v>
      </c>
      <c r="Z2804">
        <v>9.9039799999999997E-4</v>
      </c>
      <c r="AA2804">
        <v>0.99651029999999996</v>
      </c>
      <c r="AB2804">
        <v>48</v>
      </c>
      <c r="AC2804">
        <v>74.897599999999997</v>
      </c>
      <c r="AD2804">
        <v>-1.04010746</v>
      </c>
      <c r="AE2804">
        <v>6.0692999999999904</v>
      </c>
      <c r="AF2804">
        <v>-6.3120583664004197</v>
      </c>
      <c r="AG2804">
        <v>-1.04010746</v>
      </c>
      <c r="AH2804">
        <v>74.863086912181799</v>
      </c>
      <c r="AI2804">
        <v>90.793171566098493</v>
      </c>
      <c r="AJ2804">
        <v>94.819477261729006</v>
      </c>
      <c r="AK2804">
        <v>75.135914756992804</v>
      </c>
      <c r="AL2804">
        <v>76.929294650676397</v>
      </c>
      <c r="AM2804">
        <v>89.343494898423302</v>
      </c>
      <c r="AN2804">
        <v>1.0000000198786301</v>
      </c>
    </row>
    <row r="2805" spans="1:40" x14ac:dyDescent="0.25">
      <c r="A2805" t="str">
        <f>"20190303171032299"</f>
        <v>20190303171032299</v>
      </c>
      <c r="B2805" t="str">
        <f>"1551604232293433"</f>
        <v>1551604232293433</v>
      </c>
      <c r="C2805" t="s">
        <v>40</v>
      </c>
      <c r="D2805">
        <v>4.6777839999999999</v>
      </c>
      <c r="E2805">
        <v>0.4690878</v>
      </c>
      <c r="F2805" t="s">
        <v>49</v>
      </c>
      <c r="G2805">
        <v>-157.25</v>
      </c>
      <c r="H2805">
        <v>26.96855</v>
      </c>
      <c r="I2805">
        <v>229.48169999999999</v>
      </c>
      <c r="J2805">
        <v>-360.57650000000001</v>
      </c>
      <c r="K2805">
        <v>1.1201209999999999</v>
      </c>
      <c r="L2805">
        <v>214.29220000000001</v>
      </c>
      <c r="M2805">
        <v>0.99994720000000004</v>
      </c>
      <c r="N2805">
        <v>-9.7159929999999992E-3</v>
      </c>
      <c r="O2805">
        <v>-3.3867620000000002E-3</v>
      </c>
      <c r="P2805">
        <v>0.97613530000000004</v>
      </c>
      <c r="Q2805">
        <v>0.2166836</v>
      </c>
      <c r="R2805">
        <v>-1.4431569999999999E-2</v>
      </c>
      <c r="S2805">
        <v>2.9923709999999999</v>
      </c>
      <c r="T2805">
        <v>0.3795383</v>
      </c>
      <c r="U2805">
        <v>0.22300719999999999</v>
      </c>
      <c r="V2805">
        <v>1.1227869999999999E-2</v>
      </c>
      <c r="W2805">
        <v>0.22615279999999999</v>
      </c>
      <c r="X2805">
        <v>0.97402710000000003</v>
      </c>
      <c r="Y2805">
        <v>-7.7098299999999995E-2</v>
      </c>
      <c r="Z2805">
        <v>-4.9467749999999996E-3</v>
      </c>
      <c r="AA2805">
        <v>0.99701119999999999</v>
      </c>
      <c r="AB2805">
        <v>48</v>
      </c>
      <c r="AC2805">
        <v>203.32650000000001</v>
      </c>
      <c r="AD2805">
        <v>25.848428999999999</v>
      </c>
      <c r="AE2805">
        <v>15.189499999999899</v>
      </c>
      <c r="AF2805">
        <v>-15.6269118284784</v>
      </c>
      <c r="AG2805">
        <v>25.848428999999999</v>
      </c>
      <c r="AH2805">
        <v>200.05859508341999</v>
      </c>
      <c r="AI2805">
        <v>82.660038669626701</v>
      </c>
      <c r="AJ2805">
        <v>94.466400188430796</v>
      </c>
      <c r="AK2805">
        <v>202.32593289495699</v>
      </c>
      <c r="AL2805">
        <v>76.929323433918498</v>
      </c>
      <c r="AM2805">
        <v>89.339565529209594</v>
      </c>
      <c r="AN2805">
        <v>0.99999997277349295</v>
      </c>
    </row>
    <row r="2806" spans="1:40" x14ac:dyDescent="0.25">
      <c r="A2806" t="str">
        <f>"20190303171032321"</f>
        <v>20190303171032321</v>
      </c>
      <c r="B2806" t="str">
        <f>"1551604232313929"</f>
        <v>1551604232313929</v>
      </c>
      <c r="C2806" t="s">
        <v>40</v>
      </c>
      <c r="D2806">
        <v>4.7865419999999999</v>
      </c>
      <c r="E2806">
        <v>0.46775879999999997</v>
      </c>
      <c r="F2806" t="s">
        <v>49</v>
      </c>
      <c r="G2806">
        <v>-157.25</v>
      </c>
      <c r="H2806">
        <v>26.558029999999999</v>
      </c>
      <c r="I2806">
        <v>229.17939999999999</v>
      </c>
      <c r="J2806">
        <v>-360.0772</v>
      </c>
      <c r="K2806">
        <v>1.1201350000000001</v>
      </c>
      <c r="L2806">
        <v>214.29040000000001</v>
      </c>
      <c r="M2806">
        <v>0.99994550000000004</v>
      </c>
      <c r="N2806">
        <v>-9.8407939999999999E-3</v>
      </c>
      <c r="O2806">
        <v>-3.5246090000000002E-3</v>
      </c>
      <c r="P2806">
        <v>0.97621139999999995</v>
      </c>
      <c r="Q2806">
        <v>0.21633050000000001</v>
      </c>
      <c r="R2806">
        <v>-1.458626E-2</v>
      </c>
      <c r="S2806">
        <v>2.9934690000000002</v>
      </c>
      <c r="T2806">
        <v>0.3745097</v>
      </c>
      <c r="U2806">
        <v>0.21917719999999999</v>
      </c>
      <c r="V2806">
        <v>1.124786E-2</v>
      </c>
      <c r="W2806">
        <v>0.22592190000000001</v>
      </c>
      <c r="X2806">
        <v>0.97408039999999996</v>
      </c>
      <c r="Y2806">
        <v>-7.5963899999999904E-2</v>
      </c>
      <c r="Z2806">
        <v>-4.8247430000000003E-3</v>
      </c>
      <c r="AA2806">
        <v>0.99709890000000001</v>
      </c>
      <c r="AB2806">
        <v>48</v>
      </c>
      <c r="AC2806">
        <v>202.8272</v>
      </c>
      <c r="AD2806">
        <v>25.437895000000001</v>
      </c>
      <c r="AE2806">
        <v>14.8889999999999</v>
      </c>
      <c r="AF2806">
        <v>-15.3634669376106</v>
      </c>
      <c r="AG2806">
        <v>25.437895000000001</v>
      </c>
      <c r="AH2806">
        <v>199.649933421154</v>
      </c>
      <c r="AI2806">
        <v>82.760101592044705</v>
      </c>
      <c r="AJ2806">
        <v>94.400354274445604</v>
      </c>
      <c r="AK2806">
        <v>201.84949475647801</v>
      </c>
      <c r="AL2806">
        <v>76.942903858469407</v>
      </c>
      <c r="AM2806">
        <v>89.338426000924201</v>
      </c>
      <c r="AN2806">
        <v>0.99999992245917102</v>
      </c>
    </row>
    <row r="2807" spans="1:40" x14ac:dyDescent="0.25">
      <c r="A2807" t="str">
        <f>"20190303171032344"</f>
        <v>20190303171032344</v>
      </c>
      <c r="B2807" t="str">
        <f>"1551604232333453"</f>
        <v>1551604232333453</v>
      </c>
      <c r="C2807" t="s">
        <v>40</v>
      </c>
      <c r="D2807">
        <v>4.7810180000000004</v>
      </c>
      <c r="E2807">
        <v>0.46808490000000003</v>
      </c>
      <c r="F2807" t="s">
        <v>60</v>
      </c>
      <c r="G2807">
        <v>-288.4572</v>
      </c>
      <c r="H2807">
        <v>2.0574229999999999E-2</v>
      </c>
      <c r="I2807">
        <v>220.16159999999999</v>
      </c>
      <c r="J2807">
        <v>-359.59949999999998</v>
      </c>
      <c r="K2807">
        <v>1.120139</v>
      </c>
      <c r="L2807">
        <v>214.2886</v>
      </c>
      <c r="M2807">
        <v>0.99994360000000004</v>
      </c>
      <c r="N2807">
        <v>-9.9696549999999991E-3</v>
      </c>
      <c r="O2807">
        <v>-3.6558110000000001E-3</v>
      </c>
      <c r="P2807">
        <v>0.97624270000000002</v>
      </c>
      <c r="Q2807">
        <v>0.2161709</v>
      </c>
      <c r="R2807">
        <v>-1.48418E-2</v>
      </c>
      <c r="S2807">
        <v>3.087402</v>
      </c>
      <c r="T2807">
        <v>-4.7399999999999998E-2</v>
      </c>
      <c r="U2807">
        <v>0.25309749999999998</v>
      </c>
      <c r="V2807">
        <v>1.1375420000000001E-2</v>
      </c>
      <c r="W2807">
        <v>0.22588810000000001</v>
      </c>
      <c r="X2807">
        <v>0.97408680000000003</v>
      </c>
      <c r="Y2807">
        <v>-8.5330100000000006E-2</v>
      </c>
      <c r="Z2807">
        <v>1.0996549999999999E-3</v>
      </c>
      <c r="AA2807">
        <v>0.99635209999999996</v>
      </c>
      <c r="AB2807">
        <v>48</v>
      </c>
      <c r="AC2807">
        <v>71.142299999999906</v>
      </c>
      <c r="AD2807">
        <v>-1.09956477</v>
      </c>
      <c r="AE2807">
        <v>5.8729999999999896</v>
      </c>
      <c r="AF2807">
        <v>-6.1316016611123096</v>
      </c>
      <c r="AG2807">
        <v>-1.09956477</v>
      </c>
      <c r="AH2807">
        <v>71.103482434518497</v>
      </c>
      <c r="AI2807">
        <v>90.882692395404007</v>
      </c>
      <c r="AJ2807">
        <v>94.928702558275802</v>
      </c>
      <c r="AK2807">
        <v>71.375841822915504</v>
      </c>
      <c r="AL2807">
        <v>76.944892397606495</v>
      </c>
      <c r="AM2807">
        <v>89.330928280518407</v>
      </c>
      <c r="AN2807">
        <v>0.99999996391801205</v>
      </c>
    </row>
    <row r="2808" spans="1:40" x14ac:dyDescent="0.25">
      <c r="A2808" t="str">
        <f>"20190303171032365"</f>
        <v>20190303171032365</v>
      </c>
      <c r="B2808" t="str">
        <f>"1551604232353945"</f>
        <v>1551604232353945</v>
      </c>
      <c r="C2808" t="s">
        <v>40</v>
      </c>
      <c r="D2808">
        <v>4.7057070000000003</v>
      </c>
      <c r="E2808">
        <v>0.46816920000000001</v>
      </c>
      <c r="F2808" t="s">
        <v>60</v>
      </c>
      <c r="G2808">
        <v>-291.20260000000002</v>
      </c>
      <c r="H2808" s="1">
        <v>1.0896300000000001E-6</v>
      </c>
      <c r="I2808">
        <v>219.82050000000001</v>
      </c>
      <c r="J2808">
        <v>-359.14960000000002</v>
      </c>
      <c r="K2808">
        <v>1.1201589999999999</v>
      </c>
      <c r="L2808">
        <v>214.2869</v>
      </c>
      <c r="M2808">
        <v>0.99994190000000005</v>
      </c>
      <c r="N2808">
        <v>-1.0103900000000001E-2</v>
      </c>
      <c r="O2808">
        <v>-3.7794199999999999E-3</v>
      </c>
      <c r="P2808">
        <v>0.9763018</v>
      </c>
      <c r="Q2808">
        <v>0.21590960000000001</v>
      </c>
      <c r="R2808">
        <v>-1.476973E-2</v>
      </c>
      <c r="S2808">
        <v>3.0880130000000001</v>
      </c>
      <c r="T2808">
        <v>-5.0572510000000001E-2</v>
      </c>
      <c r="U2808">
        <v>0.2497559</v>
      </c>
      <c r="V2808">
        <v>1.118247E-2</v>
      </c>
      <c r="W2808">
        <v>0.2257584</v>
      </c>
      <c r="X2808">
        <v>0.97411910000000002</v>
      </c>
      <c r="Y2808">
        <v>-8.4364369999999994E-2</v>
      </c>
      <c r="Z2808">
        <v>1.140273E-3</v>
      </c>
      <c r="AA2808">
        <v>0.9964343</v>
      </c>
      <c r="AB2808">
        <v>48</v>
      </c>
      <c r="AC2808">
        <v>67.947000000000003</v>
      </c>
      <c r="AD2808">
        <v>-1.1201579103699999</v>
      </c>
      <c r="AE2808">
        <v>5.5335999999999999</v>
      </c>
      <c r="AF2808">
        <v>-5.7888108935579004</v>
      </c>
      <c r="AG2808">
        <v>-1.1201579103699999</v>
      </c>
      <c r="AH2808">
        <v>67.907265552780501</v>
      </c>
      <c r="AI2808">
        <v>90.941616949425594</v>
      </c>
      <c r="AJ2808">
        <v>94.872446346505797</v>
      </c>
      <c r="AK2808">
        <v>68.162759628417206</v>
      </c>
      <c r="AL2808">
        <v>76.952520686060595</v>
      </c>
      <c r="AM2808">
        <v>89.342297883847394</v>
      </c>
      <c r="AN2808">
        <v>0.99999996189533402</v>
      </c>
    </row>
    <row r="2809" spans="1:40" x14ac:dyDescent="0.25">
      <c r="A2809" t="str">
        <f>"20190303171032387"</f>
        <v>20190303171032387</v>
      </c>
      <c r="B2809" t="str">
        <f>"1551604232373971"</f>
        <v>1551604232373971</v>
      </c>
      <c r="C2809" t="s">
        <v>40</v>
      </c>
      <c r="D2809">
        <v>4.8111819999999996</v>
      </c>
      <c r="E2809">
        <v>0.4661362</v>
      </c>
      <c r="F2809" t="s">
        <v>49</v>
      </c>
      <c r="G2809">
        <v>-157.25</v>
      </c>
      <c r="H2809">
        <v>25.99269</v>
      </c>
      <c r="I2809">
        <v>229.4991</v>
      </c>
      <c r="J2809">
        <v>-358.6748</v>
      </c>
      <c r="K2809">
        <v>1.1201810000000001</v>
      </c>
      <c r="L2809">
        <v>214.285</v>
      </c>
      <c r="M2809">
        <v>0.99993980000000005</v>
      </c>
      <c r="N2809">
        <v>-1.0261920000000001E-2</v>
      </c>
      <c r="O2809">
        <v>-3.9097239999999998E-3</v>
      </c>
      <c r="P2809">
        <v>0.97630360000000005</v>
      </c>
      <c r="Q2809">
        <v>0.21590790000000001</v>
      </c>
      <c r="R2809">
        <v>-1.468004E-2</v>
      </c>
      <c r="S2809">
        <v>2.9946290000000002</v>
      </c>
      <c r="T2809">
        <v>0.36891669999999999</v>
      </c>
      <c r="U2809">
        <v>0.22563169999999999</v>
      </c>
      <c r="V2809">
        <v>1.096605E-2</v>
      </c>
      <c r="W2809">
        <v>0.22591130000000001</v>
      </c>
      <c r="X2809">
        <v>0.97408620000000001</v>
      </c>
      <c r="Y2809">
        <v>-7.8456200000000004E-2</v>
      </c>
      <c r="Z2809">
        <v>-4.9222520000000002E-3</v>
      </c>
      <c r="AA2809">
        <v>0.99690540000000005</v>
      </c>
      <c r="AB2809">
        <v>48</v>
      </c>
      <c r="AC2809">
        <v>201.4248</v>
      </c>
      <c r="AD2809">
        <v>24.872509000000001</v>
      </c>
      <c r="AE2809">
        <v>15.2141</v>
      </c>
      <c r="AF2809">
        <v>-15.7625562181621</v>
      </c>
      <c r="AG2809">
        <v>24.872509000000001</v>
      </c>
      <c r="AH2809">
        <v>198.35639062440401</v>
      </c>
      <c r="AI2809">
        <v>82.875041252484706</v>
      </c>
      <c r="AJ2809">
        <v>94.543509203046099</v>
      </c>
      <c r="AK2809">
        <v>200.53019120328699</v>
      </c>
      <c r="AL2809">
        <v>76.943528971945</v>
      </c>
      <c r="AM2809">
        <v>89.355003857457007</v>
      </c>
      <c r="AN2809">
        <v>1.0000000473753601</v>
      </c>
    </row>
    <row r="2810" spans="1:40" x14ac:dyDescent="0.25">
      <c r="A2810" t="str">
        <f>"20190303171032410"</f>
        <v>20190303171032410</v>
      </c>
      <c r="B2810" t="str">
        <f>"1551604232403251"</f>
        <v>1551604232403251</v>
      </c>
      <c r="C2810" t="s">
        <v>40</v>
      </c>
      <c r="D2810">
        <v>4.8457420000000004</v>
      </c>
      <c r="E2810">
        <v>0.46780759999999999</v>
      </c>
      <c r="F2810" t="s">
        <v>60</v>
      </c>
      <c r="G2810">
        <v>-283.99889999999999</v>
      </c>
      <c r="H2810">
        <v>7.9999340000000002E-2</v>
      </c>
      <c r="I2810">
        <v>220.70840000000001</v>
      </c>
      <c r="J2810">
        <v>-358.18720000000002</v>
      </c>
      <c r="K2810">
        <v>1.1202129999999999</v>
      </c>
      <c r="L2810">
        <v>214.28299999999999</v>
      </c>
      <c r="M2810">
        <v>0.99993739999999998</v>
      </c>
      <c r="N2810">
        <v>-1.043789E-2</v>
      </c>
      <c r="O2810">
        <v>-4.0431199999999999E-3</v>
      </c>
      <c r="P2810">
        <v>0.97622790000000004</v>
      </c>
      <c r="Q2810">
        <v>0.21621889999999999</v>
      </c>
      <c r="R2810">
        <v>-1.511409E-2</v>
      </c>
      <c r="S2810">
        <v>3.0863040000000002</v>
      </c>
      <c r="T2810">
        <v>-4.2989970000000002E-2</v>
      </c>
      <c r="U2810">
        <v>0.2654724</v>
      </c>
      <c r="V2810">
        <v>1.127097E-2</v>
      </c>
      <c r="W2810">
        <v>0.22639200000000001</v>
      </c>
      <c r="X2810">
        <v>0.97397109999999998</v>
      </c>
      <c r="Y2810">
        <v>-8.9712429999999996E-2</v>
      </c>
      <c r="Z2810">
        <v>1.1068429999999999E-3</v>
      </c>
      <c r="AA2810">
        <v>0.99596709999999999</v>
      </c>
      <c r="AB2810">
        <v>48</v>
      </c>
      <c r="AC2810">
        <v>74.188299999999998</v>
      </c>
      <c r="AD2810">
        <v>-1.04021365999999</v>
      </c>
      <c r="AE2810">
        <v>6.4254000000000202</v>
      </c>
      <c r="AF2810">
        <v>-6.7240039332957897</v>
      </c>
      <c r="AG2810">
        <v>-1.04021365999999</v>
      </c>
      <c r="AH2810">
        <v>74.147244975778804</v>
      </c>
      <c r="AI2810">
        <v>90.800467057716006</v>
      </c>
      <c r="AJ2810">
        <v>95.181664555556097</v>
      </c>
      <c r="AK2810">
        <v>74.458768528975696</v>
      </c>
      <c r="AL2810">
        <v>76.9152542316085</v>
      </c>
      <c r="AM2810">
        <v>89.336992455161393</v>
      </c>
      <c r="AN2810">
        <v>1.00000003803197</v>
      </c>
    </row>
    <row r="2811" spans="1:40" x14ac:dyDescent="0.25">
      <c r="A2811" t="str">
        <f>"20190303171032432"</f>
        <v>20190303171032432</v>
      </c>
      <c r="B2811" t="str">
        <f>"1551604232423751"</f>
        <v>1551604232423751</v>
      </c>
      <c r="C2811" t="s">
        <v>40</v>
      </c>
      <c r="D2811">
        <v>4.7845139999999997</v>
      </c>
      <c r="E2811">
        <v>0.46190320000000001</v>
      </c>
      <c r="F2811" t="s">
        <v>49</v>
      </c>
      <c r="G2811">
        <v>-157.25</v>
      </c>
      <c r="H2811">
        <v>25.68403</v>
      </c>
      <c r="I2811">
        <v>229.5515</v>
      </c>
      <c r="J2811">
        <v>-357.6925</v>
      </c>
      <c r="K2811">
        <v>1.1202379999999901</v>
      </c>
      <c r="L2811">
        <v>214.2809</v>
      </c>
      <c r="M2811">
        <v>0.99993480000000001</v>
      </c>
      <c r="N2811">
        <v>-1.062404E-2</v>
      </c>
      <c r="O2811">
        <v>-4.1777819999999997E-3</v>
      </c>
      <c r="P2811">
        <v>0.97624129999999998</v>
      </c>
      <c r="Q2811">
        <v>0.21617529999999999</v>
      </c>
      <c r="R2811">
        <v>-1.486996E-2</v>
      </c>
      <c r="S2811">
        <v>2.9954830000000001</v>
      </c>
      <c r="T2811">
        <v>0.3661875</v>
      </c>
      <c r="U2811">
        <v>0.2276154</v>
      </c>
      <c r="V2811">
        <v>1.089588E-2</v>
      </c>
      <c r="W2811">
        <v>0.22653039999999999</v>
      </c>
      <c r="X2811">
        <v>0.97394309999999995</v>
      </c>
      <c r="Y2811">
        <v>-7.9360749999999994E-2</v>
      </c>
      <c r="Z2811">
        <v>-4.9545819999999999E-3</v>
      </c>
      <c r="AA2811">
        <v>0.99683359999999999</v>
      </c>
      <c r="AB2811">
        <v>48</v>
      </c>
      <c r="AC2811">
        <v>200.4425</v>
      </c>
      <c r="AD2811">
        <v>24.563791999999999</v>
      </c>
      <c r="AE2811">
        <v>15.2706</v>
      </c>
      <c r="AF2811">
        <v>-15.870945133125501</v>
      </c>
      <c r="AG2811">
        <v>24.563791999999999</v>
      </c>
      <c r="AH2811">
        <v>197.42907565142201</v>
      </c>
      <c r="AI2811">
        <v>82.930375773776603</v>
      </c>
      <c r="AJ2811">
        <v>94.596014754332401</v>
      </c>
      <c r="AK2811">
        <v>199.583332694424</v>
      </c>
      <c r="AL2811">
        <v>76.907111844034702</v>
      </c>
      <c r="AM2811">
        <v>89.359036585166194</v>
      </c>
      <c r="AN2811">
        <v>0.99999995218137006</v>
      </c>
    </row>
    <row r="2812" spans="1:40" x14ac:dyDescent="0.25">
      <c r="A2812" t="str">
        <f>"20190303171032453"</f>
        <v>20190303171032453</v>
      </c>
      <c r="B2812" t="str">
        <f>"1551604232443267"</f>
        <v>1551604232443267</v>
      </c>
      <c r="C2812" t="s">
        <v>40</v>
      </c>
      <c r="D2812">
        <v>4.7675269999999896</v>
      </c>
      <c r="E2812">
        <v>0.45687559999999999</v>
      </c>
      <c r="F2812" t="s">
        <v>60</v>
      </c>
      <c r="G2812">
        <v>-283.12569999999999</v>
      </c>
      <c r="H2812">
        <v>7.9999039999999993E-2</v>
      </c>
      <c r="I2812">
        <v>221.489</v>
      </c>
      <c r="J2812">
        <v>-357.24799999999999</v>
      </c>
      <c r="K2812">
        <v>1.1202620000000001</v>
      </c>
      <c r="L2812">
        <v>214.279</v>
      </c>
      <c r="M2812">
        <v>0.99993259999999995</v>
      </c>
      <c r="N2812">
        <v>-1.079161E-2</v>
      </c>
      <c r="O2812">
        <v>-4.2987670000000002E-3</v>
      </c>
      <c r="P2812">
        <v>0.97626729999999995</v>
      </c>
      <c r="Q2812">
        <v>0.216089</v>
      </c>
      <c r="R2812">
        <v>-1.441575E-2</v>
      </c>
      <c r="S2812">
        <v>3.087097</v>
      </c>
      <c r="T2812">
        <v>-4.3066380000000001E-2</v>
      </c>
      <c r="U2812">
        <v>0.29841610000000002</v>
      </c>
      <c r="V2812">
        <v>1.0323840000000001E-2</v>
      </c>
      <c r="W2812">
        <v>0.226608</v>
      </c>
      <c r="X2812">
        <v>0.97393130000000006</v>
      </c>
      <c r="Y2812">
        <v>-0.100478</v>
      </c>
      <c r="Z2812">
        <v>1.2562249999999999E-3</v>
      </c>
      <c r="AA2812">
        <v>0.99493849999999995</v>
      </c>
      <c r="AB2812">
        <v>48</v>
      </c>
      <c r="AC2812">
        <v>74.122299999999996</v>
      </c>
      <c r="AD2812">
        <v>-1.04026296</v>
      </c>
      <c r="AE2812">
        <v>7.2099999999999698</v>
      </c>
      <c r="AF2812">
        <v>-7.5271177232009903</v>
      </c>
      <c r="AG2812">
        <v>-1.04026296</v>
      </c>
      <c r="AH2812">
        <v>74.076165500755906</v>
      </c>
      <c r="AI2812">
        <v>90.800439323986396</v>
      </c>
      <c r="AJ2812">
        <v>95.802094003150899</v>
      </c>
      <c r="AK2812">
        <v>74.464877247869396</v>
      </c>
      <c r="AL2812">
        <v>76.902547249646005</v>
      </c>
      <c r="AM2812">
        <v>89.392677587190605</v>
      </c>
      <c r="AN2812">
        <v>0.99999997222801695</v>
      </c>
    </row>
    <row r="2813" spans="1:40" x14ac:dyDescent="0.25">
      <c r="A2813" t="str">
        <f>"20190303171032478"</f>
        <v>20190303171032478</v>
      </c>
      <c r="B2813" t="str">
        <f>"1551604232473523"</f>
        <v>1551604232473523</v>
      </c>
      <c r="C2813" t="s">
        <v>40</v>
      </c>
      <c r="D2813">
        <v>4.7972679999999999</v>
      </c>
      <c r="E2813">
        <v>0.4522311</v>
      </c>
      <c r="F2813" t="s">
        <v>53</v>
      </c>
      <c r="G2813">
        <v>-273.33370000000002</v>
      </c>
      <c r="H2813">
        <v>8.000061E-2</v>
      </c>
      <c r="I2813">
        <v>223.51750000000001</v>
      </c>
      <c r="J2813">
        <v>-356.73039999999997</v>
      </c>
      <c r="K2813">
        <v>1.120287</v>
      </c>
      <c r="L2813">
        <v>214.2766</v>
      </c>
      <c r="M2813">
        <v>0.99992999999999999</v>
      </c>
      <c r="N2813">
        <v>-1.0985689999999999E-2</v>
      </c>
      <c r="O2813">
        <v>-4.4392279999999999E-3</v>
      </c>
      <c r="P2813">
        <v>0.97638939999999996</v>
      </c>
      <c r="Q2813">
        <v>0.215535</v>
      </c>
      <c r="R2813">
        <v>-1.4448799999999999E-2</v>
      </c>
      <c r="S2813">
        <v>3.0864259999999999</v>
      </c>
      <c r="T2813">
        <v>-3.8261530000000002E-2</v>
      </c>
      <c r="U2813">
        <v>0.33979799999999999</v>
      </c>
      <c r="V2813">
        <v>1.021947E-2</v>
      </c>
      <c r="W2813">
        <v>0.22624430000000001</v>
      </c>
      <c r="X2813">
        <v>0.97401700000000002</v>
      </c>
      <c r="Y2813">
        <v>-0.1138285</v>
      </c>
      <c r="Z2813">
        <v>1.336835E-3</v>
      </c>
      <c r="AA2813">
        <v>0.99349949999999998</v>
      </c>
      <c r="AB2813">
        <v>48</v>
      </c>
      <c r="AC2813">
        <v>83.396699999999896</v>
      </c>
      <c r="AD2813">
        <v>-1.0402863899999999</v>
      </c>
      <c r="AE2813">
        <v>9.2408999999999999</v>
      </c>
      <c r="AF2813">
        <v>-9.6095710606604801</v>
      </c>
      <c r="AG2813">
        <v>-1.0402863899999999</v>
      </c>
      <c r="AH2813">
        <v>83.3420425422931</v>
      </c>
      <c r="AI2813">
        <v>90.710429944152807</v>
      </c>
      <c r="AJ2813">
        <v>96.577318659968199</v>
      </c>
      <c r="AK2813">
        <v>83.900668095459807</v>
      </c>
      <c r="AL2813">
        <v>76.923941982926394</v>
      </c>
      <c r="AM2813">
        <v>89.3988698191244</v>
      </c>
      <c r="AN2813">
        <v>1.0000000185692799</v>
      </c>
    </row>
    <row r="2814" spans="1:40" x14ac:dyDescent="0.25">
      <c r="A2814" t="str">
        <f>"20190303171032499"</f>
        <v>20190303171032499</v>
      </c>
      <c r="B2814" t="str">
        <f>"1551604232493043"</f>
        <v>1551604232493043</v>
      </c>
      <c r="C2814" t="s">
        <v>40</v>
      </c>
      <c r="D2814">
        <v>4.9057000000000004</v>
      </c>
      <c r="E2814">
        <v>0.44888810000000001</v>
      </c>
      <c r="F2814" t="s">
        <v>41</v>
      </c>
      <c r="G2814">
        <v>-252.78129999999999</v>
      </c>
      <c r="H2814">
        <v>-0.05</v>
      </c>
      <c r="I2814">
        <v>226.96969999999999</v>
      </c>
      <c r="J2814">
        <v>-356.25659999999999</v>
      </c>
      <c r="K2814">
        <v>1.120306</v>
      </c>
      <c r="L2814">
        <v>214.27440000000001</v>
      </c>
      <c r="M2814">
        <v>0.99992720000000002</v>
      </c>
      <c r="N2814">
        <v>-1.116759E-2</v>
      </c>
      <c r="O2814">
        <v>-4.5693950000000004E-3</v>
      </c>
      <c r="P2814">
        <v>0.97640199999999999</v>
      </c>
      <c r="Q2814">
        <v>0.21544050000000001</v>
      </c>
      <c r="R2814">
        <v>-1.498468E-2</v>
      </c>
      <c r="S2814">
        <v>3.085785</v>
      </c>
      <c r="T2814">
        <v>-3.4740569999999998E-2</v>
      </c>
      <c r="U2814">
        <v>0.37680049999999998</v>
      </c>
      <c r="V2814">
        <v>1.0629080000000001E-2</v>
      </c>
      <c r="W2814">
        <v>0.22632650000000001</v>
      </c>
      <c r="X2814">
        <v>0.97399349999999996</v>
      </c>
      <c r="Y2814">
        <v>-0.12572719999999901</v>
      </c>
      <c r="Z2814">
        <v>1.4102079999999901E-3</v>
      </c>
      <c r="AA2814">
        <v>0.9920639</v>
      </c>
      <c r="AB2814">
        <v>48</v>
      </c>
      <c r="AC2814">
        <v>103.4753</v>
      </c>
      <c r="AD2814">
        <v>-1.1703059999999901</v>
      </c>
      <c r="AE2814">
        <v>12.6952999999999</v>
      </c>
      <c r="AF2814">
        <v>-13.166357238417399</v>
      </c>
      <c r="AG2814">
        <v>-1.1703059999999901</v>
      </c>
      <c r="AH2814">
        <v>103.403175360769</v>
      </c>
      <c r="AI2814">
        <v>90.643246700925005</v>
      </c>
      <c r="AJ2814">
        <v>97.256440627070702</v>
      </c>
      <c r="AK2814">
        <v>104.244612588629</v>
      </c>
      <c r="AL2814">
        <v>76.919106604380005</v>
      </c>
      <c r="AM2814">
        <v>89.374762510952607</v>
      </c>
      <c r="AN2814">
        <v>0.99999999999307299</v>
      </c>
    </row>
    <row r="2815" spans="1:40" x14ac:dyDescent="0.25">
      <c r="A2815" t="str">
        <f>"20190303171032522"</f>
        <v>20190303171032522</v>
      </c>
      <c r="B2815" t="str">
        <f>"1551604232513539"</f>
        <v>1551604232513539</v>
      </c>
      <c r="C2815" t="s">
        <v>40</v>
      </c>
      <c r="D2815">
        <v>4.9199489999999999</v>
      </c>
      <c r="E2815">
        <v>0.44872590000000001</v>
      </c>
      <c r="F2815" t="s">
        <v>49</v>
      </c>
      <c r="G2815">
        <v>-157.25</v>
      </c>
      <c r="H2815">
        <v>24.678560000000001</v>
      </c>
      <c r="I2815">
        <v>239.4744</v>
      </c>
      <c r="J2815">
        <v>-355.76499999999999</v>
      </c>
      <c r="K2815">
        <v>1.120325</v>
      </c>
      <c r="L2815">
        <v>214.27199999999999</v>
      </c>
      <c r="M2815">
        <v>0.99992449999999999</v>
      </c>
      <c r="N2815">
        <v>-1.1354950000000001E-2</v>
      </c>
      <c r="O2815">
        <v>-4.7067790000000003E-3</v>
      </c>
      <c r="P2815">
        <v>0.97654220000000003</v>
      </c>
      <c r="Q2815">
        <v>0.2147945</v>
      </c>
      <c r="R2815">
        <v>-1.5136770000000001E-2</v>
      </c>
      <c r="S2815">
        <v>2.9999690000000001</v>
      </c>
      <c r="T2815">
        <v>0.35513479999999997</v>
      </c>
      <c r="U2815">
        <v>0.37988280000000002</v>
      </c>
      <c r="V2815">
        <v>1.064762E-2</v>
      </c>
      <c r="W2815">
        <v>0.22586490000000001</v>
      </c>
      <c r="X2815">
        <v>0.97410050000000004</v>
      </c>
      <c r="Y2815">
        <v>-0.12945229999999999</v>
      </c>
      <c r="Z2815">
        <v>-7.4714919999999997E-3</v>
      </c>
      <c r="AA2815">
        <v>0.99155749999999998</v>
      </c>
      <c r="AB2815">
        <v>48</v>
      </c>
      <c r="AC2815">
        <v>198.51499999999999</v>
      </c>
      <c r="AD2815">
        <v>23.558235</v>
      </c>
      <c r="AE2815">
        <v>25.202399999999901</v>
      </c>
      <c r="AF2815">
        <v>-25.7792536108817</v>
      </c>
      <c r="AG2815">
        <v>23.558235</v>
      </c>
      <c r="AH2815">
        <v>195.682069418048</v>
      </c>
      <c r="AI2815">
        <v>83.1934320175382</v>
      </c>
      <c r="AJ2815">
        <v>97.504956190627794</v>
      </c>
      <c r="AK2815">
        <v>198.773822835853</v>
      </c>
      <c r="AL2815">
        <v>76.946258127739696</v>
      </c>
      <c r="AM2815">
        <v>89.373740807373906</v>
      </c>
      <c r="AN2815">
        <v>1.0000000544819601</v>
      </c>
    </row>
    <row r="2816" spans="1:40" x14ac:dyDescent="0.25">
      <c r="A2816" t="str">
        <f>"20190303171032542"</f>
        <v>20190303171032542</v>
      </c>
      <c r="B2816" t="str">
        <f>"1551604232533063"</f>
        <v>1551604232533063</v>
      </c>
      <c r="C2816" t="s">
        <v>40</v>
      </c>
      <c r="D2816">
        <v>4.9078900000000001</v>
      </c>
      <c r="E2816">
        <v>0.4466099</v>
      </c>
      <c r="F2816" t="s">
        <v>49</v>
      </c>
      <c r="G2816">
        <v>-157.25</v>
      </c>
      <c r="H2816">
        <v>24.749169999999999</v>
      </c>
      <c r="I2816">
        <v>239.45179999999999</v>
      </c>
      <c r="J2816">
        <v>-355.3306</v>
      </c>
      <c r="K2816">
        <v>1.120339</v>
      </c>
      <c r="L2816">
        <v>214.26990000000001</v>
      </c>
      <c r="M2816">
        <v>0.99992190000000003</v>
      </c>
      <c r="N2816">
        <v>-1.152602E-2</v>
      </c>
      <c r="O2816">
        <v>-4.8291979999999998E-3</v>
      </c>
      <c r="P2816">
        <v>0.97649439999999998</v>
      </c>
      <c r="Q2816">
        <v>0.21494489999999999</v>
      </c>
      <c r="R2816">
        <v>-1.6044449999999998E-2</v>
      </c>
      <c r="S2816">
        <v>2.9994200000000002</v>
      </c>
      <c r="T2816">
        <v>0.35701579999999999</v>
      </c>
      <c r="U2816">
        <v>0.38044739999999999</v>
      </c>
      <c r="V2816">
        <v>1.143808E-2</v>
      </c>
      <c r="W2816">
        <v>0.22618070000000001</v>
      </c>
      <c r="X2816">
        <v>0.97401819999999895</v>
      </c>
      <c r="Y2816">
        <v>-0.12976869999999999</v>
      </c>
      <c r="Z2816">
        <v>-7.5381179999999999E-3</v>
      </c>
      <c r="AA2816">
        <v>0.99151560000000005</v>
      </c>
      <c r="AB2816">
        <v>48</v>
      </c>
      <c r="AC2816">
        <v>198.0806</v>
      </c>
      <c r="AD2816">
        <v>23.628831000000002</v>
      </c>
      <c r="AE2816">
        <v>25.181899999999899</v>
      </c>
      <c r="AF2816">
        <v>-25.777267462292698</v>
      </c>
      <c r="AG2816">
        <v>23.628831000000002</v>
      </c>
      <c r="AH2816">
        <v>195.22286336664999</v>
      </c>
      <c r="AI2816">
        <v>83.157584644102599</v>
      </c>
      <c r="AJ2816">
        <v>97.521834602359107</v>
      </c>
      <c r="AK2816">
        <v>198.32991593131601</v>
      </c>
      <c r="AL2816">
        <v>76.927682672458502</v>
      </c>
      <c r="AM2816">
        <v>89.327195747209501</v>
      </c>
      <c r="AN2816">
        <v>0.99999999632890801</v>
      </c>
    </row>
    <row r="2817" spans="1:40" x14ac:dyDescent="0.25">
      <c r="A2817" t="str">
        <f>"20190303171032566"</f>
        <v>20190303171032566</v>
      </c>
      <c r="B2817" t="str">
        <f>"1551604232553556"</f>
        <v>1551604232553556</v>
      </c>
      <c r="C2817" t="s">
        <v>40</v>
      </c>
      <c r="D2817">
        <v>4.966799</v>
      </c>
      <c r="E2817">
        <v>0.44669429999999999</v>
      </c>
      <c r="F2817" t="s">
        <v>41</v>
      </c>
      <c r="G2817">
        <v>-252.0094</v>
      </c>
      <c r="H2817">
        <v>-0.05</v>
      </c>
      <c r="I2817">
        <v>228.20869999999999</v>
      </c>
      <c r="J2817">
        <v>-354.83679999999998</v>
      </c>
      <c r="K2817">
        <v>1.120363</v>
      </c>
      <c r="L2817">
        <v>214.26740000000001</v>
      </c>
      <c r="M2817">
        <v>0.99991890000000005</v>
      </c>
      <c r="N2817">
        <v>-1.173328E-2</v>
      </c>
      <c r="O2817">
        <v>-4.9585139999999998E-3</v>
      </c>
      <c r="P2817">
        <v>0.97661299999999995</v>
      </c>
      <c r="Q2817">
        <v>0.2143922</v>
      </c>
      <c r="R2817">
        <v>-1.623432E-2</v>
      </c>
      <c r="S2817">
        <v>3.0867610000000001</v>
      </c>
      <c r="T2817">
        <v>-3.496432E-2</v>
      </c>
      <c r="U2817">
        <v>0.41642760000000001</v>
      </c>
      <c r="V2817">
        <v>1.1502160000000001E-2</v>
      </c>
      <c r="W2817">
        <v>0.2258319</v>
      </c>
      <c r="X2817">
        <v>0.97409840000000003</v>
      </c>
      <c r="Y2817">
        <v>-0.1385912</v>
      </c>
      <c r="Z2817">
        <v>1.59617299999999E-3</v>
      </c>
      <c r="AA2817">
        <v>0.99034840000000002</v>
      </c>
      <c r="AB2817">
        <v>48</v>
      </c>
      <c r="AC2817">
        <v>102.827399999999</v>
      </c>
      <c r="AD2817">
        <v>-1.1703629999999901</v>
      </c>
      <c r="AE2817">
        <v>13.941299999999901</v>
      </c>
      <c r="AF2817">
        <v>-14.449196729264701</v>
      </c>
      <c r="AG2817">
        <v>-1.1703629999999901</v>
      </c>
      <c r="AH2817">
        <v>102.74393302703599</v>
      </c>
      <c r="AI2817">
        <v>90.646272776983395</v>
      </c>
      <c r="AJ2817">
        <v>98.005183363116501</v>
      </c>
      <c r="AK2817">
        <v>103.76157674947299</v>
      </c>
      <c r="AL2817">
        <v>76.948198576172601</v>
      </c>
      <c r="AM2817">
        <v>89.323482518020995</v>
      </c>
      <c r="AN2817">
        <v>1.0000000198124099</v>
      </c>
    </row>
    <row r="2818" spans="1:40" x14ac:dyDescent="0.25">
      <c r="A2818" t="str">
        <f>"20190303171032588"</f>
        <v>20190303171032588</v>
      </c>
      <c r="B2818" t="str">
        <f>"1551604232583811"</f>
        <v>1551604232583811</v>
      </c>
      <c r="C2818" t="s">
        <v>40</v>
      </c>
      <c r="D2818">
        <v>4.8848390000000004</v>
      </c>
      <c r="E2818">
        <v>0.44660709999999998</v>
      </c>
      <c r="F2818" t="s">
        <v>41</v>
      </c>
      <c r="G2818">
        <v>-255.6627</v>
      </c>
      <c r="H2818">
        <v>-0.05</v>
      </c>
      <c r="I2818">
        <v>227.59630000000001</v>
      </c>
      <c r="J2818">
        <v>-354.35120000000001</v>
      </c>
      <c r="K2818">
        <v>1.1203860000000001</v>
      </c>
      <c r="L2818">
        <v>214.26480000000001</v>
      </c>
      <c r="M2818">
        <v>0.99991580000000002</v>
      </c>
      <c r="N2818">
        <v>-1.195213E-2</v>
      </c>
      <c r="O2818">
        <v>-5.0802260000000002E-3</v>
      </c>
      <c r="P2818">
        <v>0.97660360000000002</v>
      </c>
      <c r="Q2818">
        <v>0.21442420000000001</v>
      </c>
      <c r="R2818">
        <v>-1.636611E-2</v>
      </c>
      <c r="S2818">
        <v>3.0867309999999999</v>
      </c>
      <c r="T2818">
        <v>-3.6426779999999999E-2</v>
      </c>
      <c r="U2818">
        <v>0.414856</v>
      </c>
      <c r="V2818">
        <v>1.1514480000000001E-2</v>
      </c>
      <c r="W2818">
        <v>0.22607669999999999</v>
      </c>
      <c r="X2818">
        <v>0.9740415</v>
      </c>
      <c r="Y2818">
        <v>-0.13821649999999999</v>
      </c>
      <c r="Z2818">
        <v>1.640891E-3</v>
      </c>
      <c r="AA2818">
        <v>0.99040070000000002</v>
      </c>
      <c r="AB2818">
        <v>48</v>
      </c>
      <c r="AC2818">
        <v>98.688500000000005</v>
      </c>
      <c r="AD2818">
        <v>-1.1703859999999999</v>
      </c>
      <c r="AE2818">
        <v>13.3315</v>
      </c>
      <c r="AF2818">
        <v>-13.830813193307501</v>
      </c>
      <c r="AG2818">
        <v>-1.1703859999999999</v>
      </c>
      <c r="AH2818">
        <v>98.605874529058497</v>
      </c>
      <c r="AI2818">
        <v>90.673439081085903</v>
      </c>
      <c r="AJ2818">
        <v>97.984421696936096</v>
      </c>
      <c r="AK2818">
        <v>99.578008057088596</v>
      </c>
      <c r="AL2818">
        <v>76.933800607092195</v>
      </c>
      <c r="AM2818">
        <v>89.322718407101206</v>
      </c>
      <c r="AN2818">
        <v>1.0000000506274001</v>
      </c>
    </row>
    <row r="2819" spans="1:40" x14ac:dyDescent="0.25">
      <c r="A2819" t="str">
        <f>"20190303171032612"</f>
        <v>20190303171032612</v>
      </c>
      <c r="B2819" t="str">
        <f>"1551604232603332"</f>
        <v>1551604232603332</v>
      </c>
      <c r="C2819" t="s">
        <v>40</v>
      </c>
      <c r="D2819">
        <v>4.8887549999999997</v>
      </c>
      <c r="E2819">
        <v>0.44624019999999998</v>
      </c>
      <c r="F2819" t="s">
        <v>41</v>
      </c>
      <c r="G2819">
        <v>-254.22389999999999</v>
      </c>
      <c r="H2819">
        <v>-0.05</v>
      </c>
      <c r="I2819">
        <v>227.73660000000001</v>
      </c>
      <c r="J2819">
        <v>-353.85250000000002</v>
      </c>
      <c r="K2819">
        <v>1.120422</v>
      </c>
      <c r="L2819">
        <v>214.26220000000001</v>
      </c>
      <c r="M2819">
        <v>0.99991220000000003</v>
      </c>
      <c r="N2819">
        <v>-1.218585E-2</v>
      </c>
      <c r="O2819">
        <v>-5.2116180000000003E-3</v>
      </c>
      <c r="P2819">
        <v>0.9766203</v>
      </c>
      <c r="Q2819">
        <v>0.21434039999999999</v>
      </c>
      <c r="R2819">
        <v>-1.6473169999999999E-2</v>
      </c>
      <c r="S2819">
        <v>3.0867610000000001</v>
      </c>
      <c r="T2819">
        <v>-3.6081080000000001E-2</v>
      </c>
      <c r="U2819">
        <v>0.41531370000000001</v>
      </c>
      <c r="V2819">
        <v>1.148863E-2</v>
      </c>
      <c r="W2819">
        <v>0.2262207</v>
      </c>
      <c r="X2819">
        <v>0.97400830000000005</v>
      </c>
      <c r="Y2819">
        <v>-0.13848969999999999</v>
      </c>
      <c r="Z2819">
        <v>1.650854E-3</v>
      </c>
      <c r="AA2819">
        <v>0.99036250000000003</v>
      </c>
      <c r="AB2819">
        <v>48</v>
      </c>
      <c r="AC2819">
        <v>99.628600000000006</v>
      </c>
      <c r="AD2819">
        <v>-1.1704219999999901</v>
      </c>
      <c r="AE2819">
        <v>13.474399999999999</v>
      </c>
      <c r="AF2819">
        <v>-13.9915854066015</v>
      </c>
      <c r="AG2819">
        <v>-1.1704219999999901</v>
      </c>
      <c r="AH2819">
        <v>99.543526724280497</v>
      </c>
      <c r="AI2819">
        <v>90.667089709398994</v>
      </c>
      <c r="AJ2819">
        <v>98.000934180803</v>
      </c>
      <c r="AK2819">
        <v>100.528841943771</v>
      </c>
      <c r="AL2819">
        <v>76.925329655340406</v>
      </c>
      <c r="AM2819">
        <v>89.324215730841402</v>
      </c>
      <c r="AN2819">
        <v>0.99999998109832799</v>
      </c>
    </row>
    <row r="2820" spans="1:40" x14ac:dyDescent="0.25">
      <c r="A2820" t="str">
        <f>"20190303171032634"</f>
        <v>20190303171032634</v>
      </c>
      <c r="B2820" t="str">
        <f>"1551604232623828"</f>
        <v>1551604232623828</v>
      </c>
      <c r="C2820" t="s">
        <v>40</v>
      </c>
      <c r="D2820">
        <v>4.9006540000000003</v>
      </c>
      <c r="E2820">
        <v>0.4460324</v>
      </c>
      <c r="F2820" t="s">
        <v>41</v>
      </c>
      <c r="G2820">
        <v>-248.0437</v>
      </c>
      <c r="H2820">
        <v>-0.05</v>
      </c>
      <c r="I2820">
        <v>228.61600000000001</v>
      </c>
      <c r="J2820">
        <v>-353.37200000000001</v>
      </c>
      <c r="K2820">
        <v>1.1204620000000001</v>
      </c>
      <c r="L2820">
        <v>214.2595</v>
      </c>
      <c r="M2820">
        <v>0.99990869999999998</v>
      </c>
      <c r="N2820">
        <v>-1.240873E-2</v>
      </c>
      <c r="O2820">
        <v>-5.3467599999999999E-3</v>
      </c>
      <c r="P2820">
        <v>0.97677309999999995</v>
      </c>
      <c r="Q2820">
        <v>0.21359620000000001</v>
      </c>
      <c r="R2820">
        <v>-1.7054320000000001E-2</v>
      </c>
      <c r="S2820">
        <v>3.0863339999999999</v>
      </c>
      <c r="T2820">
        <v>-3.4139990000000002E-2</v>
      </c>
      <c r="U2820">
        <v>0.4186859</v>
      </c>
      <c r="V2820">
        <v>1.193192E-2</v>
      </c>
      <c r="W2820">
        <v>0.2256958</v>
      </c>
      <c r="X2820">
        <v>0.97412480000000001</v>
      </c>
      <c r="Y2820">
        <v>-0.13970539999999901</v>
      </c>
      <c r="Z2820">
        <v>1.6328029999999999E-3</v>
      </c>
      <c r="AA2820">
        <v>0.99019179999999996</v>
      </c>
      <c r="AB2820">
        <v>48</v>
      </c>
      <c r="AC2820">
        <v>105.328299999999</v>
      </c>
      <c r="AD2820">
        <v>-1.1704619999999999</v>
      </c>
      <c r="AE2820">
        <v>14.356499999999899</v>
      </c>
      <c r="AF2820">
        <v>-14.9176947121717</v>
      </c>
      <c r="AG2820">
        <v>-1.1704619999999999</v>
      </c>
      <c r="AH2820">
        <v>105.237269031547</v>
      </c>
      <c r="AI2820">
        <v>90.630917758611204</v>
      </c>
      <c r="AJ2820">
        <v>98.0680932487098</v>
      </c>
      <c r="AK2820">
        <v>106.295768448407</v>
      </c>
      <c r="AL2820">
        <v>76.956203534199702</v>
      </c>
      <c r="AM2820">
        <v>89.298227013371999</v>
      </c>
      <c r="AN2820">
        <v>1.0000000454137801</v>
      </c>
    </row>
    <row r="2821" spans="1:40" x14ac:dyDescent="0.25">
      <c r="A2821" t="str">
        <f>"20190303171032655"</f>
        <v>20190303171032655</v>
      </c>
      <c r="B2821" t="str">
        <f>"1551604232643348"</f>
        <v>1551604232643348</v>
      </c>
      <c r="C2821" t="s">
        <v>40</v>
      </c>
      <c r="D2821">
        <v>4.9854989999999999</v>
      </c>
      <c r="E2821">
        <v>0.44576539999999998</v>
      </c>
      <c r="F2821" t="s">
        <v>41</v>
      </c>
      <c r="G2821">
        <v>-249.92269999999999</v>
      </c>
      <c r="H2821">
        <v>-0.05</v>
      </c>
      <c r="I2821">
        <v>228.30600000000001</v>
      </c>
      <c r="J2821">
        <v>-352.93560000000002</v>
      </c>
      <c r="K2821">
        <v>1.1204970000000001</v>
      </c>
      <c r="L2821">
        <v>214.25710000000001</v>
      </c>
      <c r="M2821">
        <v>0.99990579999999996</v>
      </c>
      <c r="N2821">
        <v>-1.259911E-2</v>
      </c>
      <c r="O2821">
        <v>-5.4730530000000003E-3</v>
      </c>
      <c r="P2821">
        <v>0.97679210000000005</v>
      </c>
      <c r="Q2821">
        <v>0.21351249999999999</v>
      </c>
      <c r="R2821">
        <v>-1.7039769999999999E-2</v>
      </c>
      <c r="S2821">
        <v>3.0863339999999999</v>
      </c>
      <c r="T2821">
        <v>-3.4919859999999997E-2</v>
      </c>
      <c r="U2821">
        <v>0.41906739999999998</v>
      </c>
      <c r="V2821">
        <v>1.179038E-2</v>
      </c>
      <c r="W2821">
        <v>0.225798</v>
      </c>
      <c r="X2821">
        <v>0.97410280000000005</v>
      </c>
      <c r="Y2821">
        <v>-0.13994989999999999</v>
      </c>
      <c r="Z2821">
        <v>1.66683E-3</v>
      </c>
      <c r="AA2821">
        <v>0.99015719999999996</v>
      </c>
      <c r="AB2821">
        <v>48</v>
      </c>
      <c r="AC2821">
        <v>103.0129</v>
      </c>
      <c r="AD2821">
        <v>-1.1704969999999999</v>
      </c>
      <c r="AE2821">
        <v>14.0488999999999</v>
      </c>
      <c r="AF2821">
        <v>-14.6106773534322</v>
      </c>
      <c r="AG2821">
        <v>-1.1704969999999999</v>
      </c>
      <c r="AH2821">
        <v>102.921414969507</v>
      </c>
      <c r="AI2821">
        <v>90.6451137289625</v>
      </c>
      <c r="AJ2821">
        <v>98.079696097371993</v>
      </c>
      <c r="AK2821">
        <v>103.95989426350199</v>
      </c>
      <c r="AL2821">
        <v>76.950192238555104</v>
      </c>
      <c r="AM2821">
        <v>89.306535176476899</v>
      </c>
      <c r="AN2821">
        <v>1.0000000074161901</v>
      </c>
    </row>
    <row r="2822" spans="1:40" x14ac:dyDescent="0.25">
      <c r="A2822" t="str">
        <f>"20190303171032679"</f>
        <v>20190303171032679</v>
      </c>
      <c r="B2822" t="str">
        <f>"1551604232673605"</f>
        <v>1551604232673605</v>
      </c>
      <c r="C2822" t="s">
        <v>40</v>
      </c>
      <c r="D2822">
        <v>4.89886</v>
      </c>
      <c r="E2822">
        <v>0.44566840000000002</v>
      </c>
      <c r="F2822" t="s">
        <v>41</v>
      </c>
      <c r="G2822">
        <v>-249.57310000000001</v>
      </c>
      <c r="H2822">
        <v>-0.05</v>
      </c>
      <c r="I2822">
        <v>228.35810000000001</v>
      </c>
      <c r="J2822">
        <v>-352.42989999999998</v>
      </c>
      <c r="K2822">
        <v>1.1205179999999999</v>
      </c>
      <c r="L2822">
        <v>214.2542</v>
      </c>
      <c r="M2822">
        <v>0.99990230000000002</v>
      </c>
      <c r="N2822">
        <v>-1.280387E-2</v>
      </c>
      <c r="O2822">
        <v>-5.6163169999999896E-3</v>
      </c>
      <c r="P2822">
        <v>0.97678310000000002</v>
      </c>
      <c r="Q2822">
        <v>0.2134914</v>
      </c>
      <c r="R2822">
        <v>-1.7795180000000001E-2</v>
      </c>
      <c r="S2822">
        <v>3.0862430000000001</v>
      </c>
      <c r="T2822">
        <v>-3.4949180000000003E-2</v>
      </c>
      <c r="U2822">
        <v>0.42103580000000002</v>
      </c>
      <c r="V2822">
        <v>1.240435E-2</v>
      </c>
      <c r="W2822">
        <v>0.22597629999999999</v>
      </c>
      <c r="X2822">
        <v>0.97405379999999997</v>
      </c>
      <c r="Y2822">
        <v>-0.14071539999999999</v>
      </c>
      <c r="Z2822">
        <v>1.6898830000000001E-3</v>
      </c>
      <c r="AA2822">
        <v>0.99004859999999995</v>
      </c>
      <c r="AB2822">
        <v>48</v>
      </c>
      <c r="AC2822">
        <v>102.856799999999</v>
      </c>
      <c r="AD2822">
        <v>-1.1705179999999999</v>
      </c>
      <c r="AE2822">
        <v>14.103899999999999</v>
      </c>
      <c r="AF2822">
        <v>-14.6795352437757</v>
      </c>
      <c r="AG2822">
        <v>-1.1705179999999999</v>
      </c>
      <c r="AH2822">
        <v>102.76289624227699</v>
      </c>
      <c r="AI2822">
        <v>90.646040203411999</v>
      </c>
      <c r="AJ2822">
        <v>98.129622336524605</v>
      </c>
      <c r="AK2822">
        <v>103.812676063488</v>
      </c>
      <c r="AL2822">
        <v>76.939704996166697</v>
      </c>
      <c r="AM2822">
        <v>89.270390930843007</v>
      </c>
      <c r="AN2822">
        <v>0.99999998067752605</v>
      </c>
    </row>
    <row r="2823" spans="1:40" x14ac:dyDescent="0.25">
      <c r="A2823" t="str">
        <f>"20190303171032701"</f>
        <v>20190303171032701</v>
      </c>
      <c r="B2823" t="str">
        <f>"1551604232694100"</f>
        <v>1551604232694100</v>
      </c>
      <c r="C2823" t="s">
        <v>40</v>
      </c>
      <c r="D2823">
        <v>4.9902150000000001</v>
      </c>
      <c r="E2823">
        <v>0.4454034</v>
      </c>
      <c r="F2823" t="s">
        <v>41</v>
      </c>
      <c r="G2823">
        <v>-245.73609999999999</v>
      </c>
      <c r="H2823">
        <v>-0.05</v>
      </c>
      <c r="I2823">
        <v>228.76439999999999</v>
      </c>
      <c r="J2823">
        <v>-351.92660000000001</v>
      </c>
      <c r="K2823">
        <v>1.1205309999999999</v>
      </c>
      <c r="L2823">
        <v>214.25120000000001</v>
      </c>
      <c r="M2823">
        <v>0.99989919999999999</v>
      </c>
      <c r="N2823">
        <v>-1.2988599999999999E-2</v>
      </c>
      <c r="O2823">
        <v>-5.7529670000000003E-3</v>
      </c>
      <c r="P2823">
        <v>0.9767593</v>
      </c>
      <c r="Q2823">
        <v>0.21349750000000001</v>
      </c>
      <c r="R2823">
        <v>-1.8982079999999998E-2</v>
      </c>
      <c r="S2823">
        <v>3.0863339999999999</v>
      </c>
      <c r="T2823">
        <v>-3.3859609999999998E-2</v>
      </c>
      <c r="U2823">
        <v>0.41973880000000002</v>
      </c>
      <c r="V2823">
        <v>1.3458360000000001E-2</v>
      </c>
      <c r="W2823">
        <v>0.22616159999999999</v>
      </c>
      <c r="X2823">
        <v>0.9739968</v>
      </c>
      <c r="Y2823">
        <v>-0.14043900000000001</v>
      </c>
      <c r="Z2823">
        <v>1.6715949999999999E-3</v>
      </c>
      <c r="AA2823">
        <v>0.99008790000000002</v>
      </c>
      <c r="AB2823">
        <v>48</v>
      </c>
      <c r="AC2823">
        <v>106.1905</v>
      </c>
      <c r="AD2823">
        <v>-1.170531</v>
      </c>
      <c r="AE2823">
        <v>14.5131999999999</v>
      </c>
      <c r="AF2823">
        <v>-15.1221179817683</v>
      </c>
      <c r="AG2823">
        <v>-1.170531</v>
      </c>
      <c r="AH2823">
        <v>106.09258700207801</v>
      </c>
      <c r="AI2823">
        <v>90.625800239518398</v>
      </c>
      <c r="AJ2823">
        <v>98.112124993299403</v>
      </c>
      <c r="AK2823">
        <v>107.171290987232</v>
      </c>
      <c r="AL2823">
        <v>76.928805937368693</v>
      </c>
      <c r="AM2823">
        <v>89.208356580315296</v>
      </c>
      <c r="AN2823">
        <v>0.999999981589344</v>
      </c>
    </row>
    <row r="2824" spans="1:40" x14ac:dyDescent="0.25">
      <c r="A2824" t="str">
        <f>"20190303171032723"</f>
        <v>20190303171032723</v>
      </c>
      <c r="B2824" t="str">
        <f>"1551604232713623"</f>
        <v>1551604232713623</v>
      </c>
      <c r="C2824" t="s">
        <v>40</v>
      </c>
      <c r="D2824">
        <v>5.0013889999999996</v>
      </c>
      <c r="E2824">
        <v>0.44540160000000001</v>
      </c>
      <c r="F2824" t="s">
        <v>41</v>
      </c>
      <c r="G2824">
        <v>-237.78200000000001</v>
      </c>
      <c r="H2824">
        <v>-0.05</v>
      </c>
      <c r="I2824">
        <v>229.72579999999999</v>
      </c>
      <c r="J2824">
        <v>-351.46120000000002</v>
      </c>
      <c r="K2824">
        <v>1.120547</v>
      </c>
      <c r="L2824">
        <v>214.24850000000001</v>
      </c>
      <c r="M2824">
        <v>0.99989629999999996</v>
      </c>
      <c r="N2824">
        <v>-1.314357E-2</v>
      </c>
      <c r="O2824">
        <v>-5.8737109999999898E-3</v>
      </c>
      <c r="P2824">
        <v>0.97671300000000005</v>
      </c>
      <c r="Q2824">
        <v>0.21365509999999999</v>
      </c>
      <c r="R2824">
        <v>-1.9584770000000001E-2</v>
      </c>
      <c r="S2824">
        <v>3.0864259999999999</v>
      </c>
      <c r="T2824">
        <v>-3.1650659999999997E-2</v>
      </c>
      <c r="U2824">
        <v>0.41842649999999998</v>
      </c>
      <c r="V2824">
        <v>1.3944160000000001E-2</v>
      </c>
      <c r="W2824">
        <v>0.22646959999999999</v>
      </c>
      <c r="X2824">
        <v>0.97391839999999996</v>
      </c>
      <c r="Y2824">
        <v>-0.14014289999999999</v>
      </c>
      <c r="Z2824">
        <v>1.623673E-3</v>
      </c>
      <c r="AA2824">
        <v>0.99012990000000001</v>
      </c>
      <c r="AB2824">
        <v>48</v>
      </c>
      <c r="AC2824">
        <v>113.67919999999999</v>
      </c>
      <c r="AD2824">
        <v>-1.170547</v>
      </c>
      <c r="AE2824">
        <v>15.4772999999999</v>
      </c>
      <c r="AF2824">
        <v>-16.1431290052384</v>
      </c>
      <c r="AG2824">
        <v>-1.170547</v>
      </c>
      <c r="AH2824">
        <v>113.574498815219</v>
      </c>
      <c r="AI2824">
        <v>90.584618171256196</v>
      </c>
      <c r="AJ2824">
        <v>98.089657646397399</v>
      </c>
      <c r="AK2824">
        <v>114.722001270406</v>
      </c>
      <c r="AL2824">
        <v>76.910688809293106</v>
      </c>
      <c r="AM2824">
        <v>89.179718823437398</v>
      </c>
      <c r="AN2824">
        <v>0.99999998459041195</v>
      </c>
    </row>
    <row r="2825" spans="1:40" x14ac:dyDescent="0.25">
      <c r="A2825" t="str">
        <f>"20190303171032744"</f>
        <v>20190303171032744</v>
      </c>
      <c r="B2825" t="str">
        <f>"1551604232733140"</f>
        <v>1551604232733140</v>
      </c>
      <c r="C2825" t="s">
        <v>40</v>
      </c>
      <c r="D2825">
        <v>4.9762110000000002</v>
      </c>
      <c r="E2825">
        <v>0.45195049999999998</v>
      </c>
      <c r="F2825" t="s">
        <v>41</v>
      </c>
      <c r="G2825">
        <v>-235.73859999999999</v>
      </c>
      <c r="H2825">
        <v>-0.05</v>
      </c>
      <c r="I2825">
        <v>229.86920000000001</v>
      </c>
      <c r="J2825">
        <v>-351.02050000000003</v>
      </c>
      <c r="K2825">
        <v>1.1205560000000001</v>
      </c>
      <c r="L2825">
        <v>214.2458</v>
      </c>
      <c r="M2825">
        <v>0.99989399999999995</v>
      </c>
      <c r="N2825">
        <v>-1.328033E-2</v>
      </c>
      <c r="O2825">
        <v>-5.9828709999999998E-3</v>
      </c>
      <c r="P2825">
        <v>0.97662420000000005</v>
      </c>
      <c r="Q2825">
        <v>0.2140176</v>
      </c>
      <c r="R2825">
        <v>-2.0051800000000002E-2</v>
      </c>
      <c r="S2825">
        <v>3.0867</v>
      </c>
      <c r="T2825">
        <v>-3.1222340000000001E-2</v>
      </c>
      <c r="U2825">
        <v>0.41665649999999999</v>
      </c>
      <c r="V2825">
        <v>1.4305190000000001E-2</v>
      </c>
      <c r="W2825">
        <v>0.22696369999999999</v>
      </c>
      <c r="X2825">
        <v>0.97379819999999995</v>
      </c>
      <c r="Y2825">
        <v>-0.139682</v>
      </c>
      <c r="Z2825">
        <v>1.6161939999999901E-3</v>
      </c>
      <c r="AA2825">
        <v>0.99019509999999999</v>
      </c>
      <c r="AB2825">
        <v>48</v>
      </c>
      <c r="AC2825">
        <v>115.28189999999999</v>
      </c>
      <c r="AD2825">
        <v>-1.1705559999999999</v>
      </c>
      <c r="AE2825">
        <v>15.6234</v>
      </c>
      <c r="AF2825">
        <v>-16.311246463902599</v>
      </c>
      <c r="AG2825">
        <v>-1.1705559999999999</v>
      </c>
      <c r="AH2825">
        <v>115.174694908962</v>
      </c>
      <c r="AI2825">
        <v>90.576541980624995</v>
      </c>
      <c r="AJ2825">
        <v>98.060725498539597</v>
      </c>
      <c r="AK2825">
        <v>116.329864222081</v>
      </c>
      <c r="AL2825">
        <v>76.881622921152697</v>
      </c>
      <c r="AM2825">
        <v>89.158379978983902</v>
      </c>
      <c r="AN2825">
        <v>1.00000004695093</v>
      </c>
    </row>
    <row r="2826" spans="1:40" x14ac:dyDescent="0.25">
      <c r="A2826" t="str">
        <f>"20190303171032766"</f>
        <v>20190303171032766</v>
      </c>
      <c r="B2826" t="str">
        <f>"1551604232753639"</f>
        <v>1551604232753639</v>
      </c>
      <c r="C2826" t="s">
        <v>40</v>
      </c>
      <c r="D2826">
        <v>5.0276589999999999</v>
      </c>
      <c r="E2826">
        <v>0.45689439999999998</v>
      </c>
      <c r="F2826" t="s">
        <v>49</v>
      </c>
      <c r="G2826">
        <v>-157.8382</v>
      </c>
      <c r="H2826">
        <v>0.42660579999999998</v>
      </c>
      <c r="I2826">
        <v>236.91</v>
      </c>
      <c r="J2826">
        <v>-350.55090000000001</v>
      </c>
      <c r="K2826">
        <v>1.120574</v>
      </c>
      <c r="L2826">
        <v>214.24289999999999</v>
      </c>
      <c r="M2826">
        <v>0.99989150000000004</v>
      </c>
      <c r="N2826">
        <v>-1.341873E-2</v>
      </c>
      <c r="O2826">
        <v>-6.0888740000000002E-3</v>
      </c>
      <c r="P2826">
        <v>0.97669600000000001</v>
      </c>
      <c r="Q2826">
        <v>0.2136545</v>
      </c>
      <c r="R2826">
        <v>-2.0414539999999998E-2</v>
      </c>
      <c r="S2826">
        <v>3.0816650000000001</v>
      </c>
      <c r="T2826">
        <v>-1.106906E-2</v>
      </c>
      <c r="U2826">
        <v>0.36154170000000002</v>
      </c>
      <c r="V2826">
        <v>1.456122E-2</v>
      </c>
      <c r="W2826">
        <v>0.22673660000000001</v>
      </c>
      <c r="X2826">
        <v>0.97384729999999997</v>
      </c>
      <c r="Y2826">
        <v>-0.1225629</v>
      </c>
      <c r="Z2826">
        <v>9.8491750000000004E-4</v>
      </c>
      <c r="AA2826">
        <v>0.99246029999999996</v>
      </c>
      <c r="AB2826">
        <v>48</v>
      </c>
      <c r="AC2826">
        <v>192.71270000000001</v>
      </c>
      <c r="AD2826">
        <v>-0.69396819999999904</v>
      </c>
      <c r="AE2826">
        <v>22.667100000000001</v>
      </c>
      <c r="AF2826">
        <v>-23.839883727893799</v>
      </c>
      <c r="AG2826">
        <v>-0.69396819999999904</v>
      </c>
      <c r="AH2826">
        <v>192.568634367839</v>
      </c>
      <c r="AI2826">
        <v>90.2049141663245</v>
      </c>
      <c r="AJ2826">
        <v>97.057276038933495</v>
      </c>
      <c r="AK2826">
        <v>194.03994586248601</v>
      </c>
      <c r="AL2826">
        <v>76.894982994305707</v>
      </c>
      <c r="AM2826">
        <v>89.143362327636893</v>
      </c>
      <c r="AN2826">
        <v>1.00000003931236</v>
      </c>
    </row>
    <row r="2827" spans="1:40" x14ac:dyDescent="0.25">
      <c r="A2827" t="str">
        <f>"20190303171032780"</f>
        <v>20190303171032780</v>
      </c>
      <c r="B2827" t="str">
        <f>"1551604232773157"</f>
        <v>1551604232773157</v>
      </c>
      <c r="C2827" t="s">
        <v>40</v>
      </c>
      <c r="D2827">
        <v>4.9688410000000003</v>
      </c>
      <c r="E2827">
        <v>0.4608988</v>
      </c>
      <c r="F2827" t="s">
        <v>49</v>
      </c>
      <c r="G2827">
        <v>-157.25</v>
      </c>
      <c r="H2827">
        <v>0.1911571</v>
      </c>
      <c r="I2827">
        <v>234.41130000000001</v>
      </c>
      <c r="J2827">
        <v>-350.24459999999999</v>
      </c>
      <c r="K2827">
        <v>1.1205879999999999</v>
      </c>
      <c r="L2827">
        <v>214.24100000000001</v>
      </c>
      <c r="M2827">
        <v>0.99988999999999995</v>
      </c>
      <c r="N2827">
        <v>-1.350495E-2</v>
      </c>
      <c r="O2827">
        <v>-6.1502709999999997E-3</v>
      </c>
      <c r="P2827">
        <v>0.976738</v>
      </c>
      <c r="Q2827">
        <v>0.2134527</v>
      </c>
      <c r="R2827">
        <v>-2.052636E-2</v>
      </c>
      <c r="S2827">
        <v>3.0815429999999999</v>
      </c>
      <c r="T2827">
        <v>-1.481557E-2</v>
      </c>
      <c r="U2827">
        <v>0.32151790000000002</v>
      </c>
      <c r="V2827">
        <v>1.460904E-2</v>
      </c>
      <c r="W2827">
        <v>0.2266196</v>
      </c>
      <c r="X2827">
        <v>0.97387380000000001</v>
      </c>
      <c r="Y2827">
        <v>-0.109884</v>
      </c>
      <c r="Z2827">
        <v>9.5414179999999999E-4</v>
      </c>
      <c r="AA2827">
        <v>0.99394400000000005</v>
      </c>
      <c r="AB2827">
        <v>48</v>
      </c>
      <c r="AC2827">
        <v>192.99459999999999</v>
      </c>
      <c r="AD2827">
        <v>-0.92943089999999895</v>
      </c>
      <c r="AE2827">
        <v>20.170300000000001</v>
      </c>
      <c r="AF2827">
        <v>-21.356505709471801</v>
      </c>
      <c r="AG2827">
        <v>-0.92943089999999895</v>
      </c>
      <c r="AH2827">
        <v>192.86246050226501</v>
      </c>
      <c r="AI2827">
        <v>90.274436723624603</v>
      </c>
      <c r="AJ2827">
        <v>96.318869206959107</v>
      </c>
      <c r="AK2827">
        <v>194.04353338595001</v>
      </c>
      <c r="AL2827">
        <v>76.901865539556297</v>
      </c>
      <c r="AM2827">
        <v>89.140572877646704</v>
      </c>
      <c r="AN2827">
        <v>1.00000002274016</v>
      </c>
    </row>
    <row r="2828" spans="1:40" x14ac:dyDescent="0.25">
      <c r="A2828" t="str">
        <f>"20190303171032801"</f>
        <v>20190303171032801</v>
      </c>
      <c r="B2828" t="str">
        <f>"1551604232793651"</f>
        <v>1551604232793651</v>
      </c>
      <c r="C2828" t="s">
        <v>40</v>
      </c>
      <c r="D2828">
        <v>4.9681579999999999</v>
      </c>
      <c r="E2828">
        <v>0.4641864</v>
      </c>
      <c r="F2828" t="s">
        <v>41</v>
      </c>
      <c r="G2828">
        <v>-148.10059999999999</v>
      </c>
      <c r="H2828">
        <v>-0.05</v>
      </c>
      <c r="I2828">
        <v>233.2518</v>
      </c>
      <c r="J2828">
        <v>-349.80540000000002</v>
      </c>
      <c r="K2828">
        <v>1.120609</v>
      </c>
      <c r="L2828">
        <v>214.23820000000001</v>
      </c>
      <c r="M2828">
        <v>0.99988790000000005</v>
      </c>
      <c r="N2828">
        <v>-1.3621380000000001E-2</v>
      </c>
      <c r="O2828">
        <v>-6.2224630000000001E-3</v>
      </c>
      <c r="P2828">
        <v>0.97668880000000002</v>
      </c>
      <c r="Q2828">
        <v>0.21370259999999999</v>
      </c>
      <c r="R2828">
        <v>-2.02577E-2</v>
      </c>
      <c r="S2828">
        <v>3.0814210000000002</v>
      </c>
      <c r="T2828">
        <v>-1.7844079999999998E-2</v>
      </c>
      <c r="U2828">
        <v>0.28979490000000002</v>
      </c>
      <c r="V2828">
        <v>1.4261940000000001E-2</v>
      </c>
      <c r="W2828">
        <v>0.22698280000000001</v>
      </c>
      <c r="X2828">
        <v>0.9737943</v>
      </c>
      <c r="Y2828">
        <v>-9.9820820000000005E-2</v>
      </c>
      <c r="Z2828">
        <v>9.2116690000000005E-4</v>
      </c>
      <c r="AA2828">
        <v>0.99500500000000003</v>
      </c>
      <c r="AB2828">
        <v>48</v>
      </c>
      <c r="AC2828">
        <v>201.70480000000001</v>
      </c>
      <c r="AD2828">
        <v>-1.170609</v>
      </c>
      <c r="AE2828">
        <v>19.0136</v>
      </c>
      <c r="AF2828">
        <v>-20.267772259542799</v>
      </c>
      <c r="AG2828">
        <v>-1.170609</v>
      </c>
      <c r="AH2828">
        <v>201.57584235719199</v>
      </c>
      <c r="AI2828">
        <v>90.331060159440995</v>
      </c>
      <c r="AJ2828">
        <v>95.7416011280379</v>
      </c>
      <c r="AK2828">
        <v>202.59559012922099</v>
      </c>
      <c r="AL2828">
        <v>76.880498171608494</v>
      </c>
      <c r="AM2828">
        <v>89.160920790307799</v>
      </c>
      <c r="AN2828">
        <v>0.99999996657044599</v>
      </c>
    </row>
    <row r="2829" spans="1:40" x14ac:dyDescent="0.25">
      <c r="A2829" t="str">
        <f>"20190303171032824"</f>
        <v>20190303171032824</v>
      </c>
      <c r="B2829" t="str">
        <f>"1551604232813172"</f>
        <v>1551604232813172</v>
      </c>
      <c r="C2829" t="s">
        <v>40</v>
      </c>
      <c r="D2829">
        <v>5.0823970000000003</v>
      </c>
      <c r="E2829">
        <v>0.46565649999999997</v>
      </c>
      <c r="F2829" t="s">
        <v>52</v>
      </c>
      <c r="G2829">
        <v>-179.1369</v>
      </c>
      <c r="H2829">
        <v>7.999995E-2</v>
      </c>
      <c r="I2829">
        <v>228.91399999999999</v>
      </c>
      <c r="J2829">
        <v>-349.3048</v>
      </c>
      <c r="K2829">
        <v>1.120649</v>
      </c>
      <c r="L2829">
        <v>214.23500000000001</v>
      </c>
      <c r="M2829">
        <v>0.99988589999999999</v>
      </c>
      <c r="N2829">
        <v>-1.3748460000000001E-2</v>
      </c>
      <c r="O2829">
        <v>-6.2844980000000003E-3</v>
      </c>
      <c r="P2829">
        <v>0.97665789999999997</v>
      </c>
      <c r="Q2829">
        <v>0.21381549999999999</v>
      </c>
      <c r="R2829">
        <v>-2.055601E-2</v>
      </c>
      <c r="S2829">
        <v>3.081207</v>
      </c>
      <c r="T2829">
        <v>-1.878691E-2</v>
      </c>
      <c r="U2829">
        <v>0.26495360000000001</v>
      </c>
      <c r="V2829">
        <v>1.448822E-2</v>
      </c>
      <c r="W2829">
        <v>0.22722010000000001</v>
      </c>
      <c r="X2829">
        <v>0.97373560000000003</v>
      </c>
      <c r="Y2829">
        <v>-9.1928599999999999E-2</v>
      </c>
      <c r="Z2829">
        <v>8.6489539999999902E-4</v>
      </c>
      <c r="AA2829">
        <v>0.99576520000000002</v>
      </c>
      <c r="AB2829">
        <v>48</v>
      </c>
      <c r="AC2829">
        <v>170.1679</v>
      </c>
      <c r="AD2829">
        <v>-1.0406490500000001</v>
      </c>
      <c r="AE2829">
        <v>14.679</v>
      </c>
      <c r="AF2829">
        <v>-15.7476462193342</v>
      </c>
      <c r="AG2829">
        <v>-1.0406490500000001</v>
      </c>
      <c r="AH2829">
        <v>170.065966876587</v>
      </c>
      <c r="AI2829">
        <v>90.349100280930898</v>
      </c>
      <c r="AJ2829">
        <v>95.290347579799104</v>
      </c>
      <c r="AK2829">
        <v>170.796675616252</v>
      </c>
      <c r="AL2829">
        <v>76.866536880758602</v>
      </c>
      <c r="AM2829">
        <v>89.147558527620603</v>
      </c>
      <c r="AN2829">
        <v>0.99999995053506796</v>
      </c>
    </row>
    <row r="2830" spans="1:40" x14ac:dyDescent="0.25">
      <c r="A2830" t="str">
        <f>"20190303171032845"</f>
        <v>20190303171032845</v>
      </c>
      <c r="B2830" t="str">
        <f>"1551604232833668"</f>
        <v>1551604232833668</v>
      </c>
      <c r="C2830" t="s">
        <v>40</v>
      </c>
      <c r="D2830">
        <v>4.9049300000000002</v>
      </c>
      <c r="E2830">
        <v>0.46833619999999998</v>
      </c>
      <c r="F2830" t="s">
        <v>52</v>
      </c>
      <c r="G2830">
        <v>-179.95089999999999</v>
      </c>
      <c r="H2830">
        <v>5.6872789999999999E-2</v>
      </c>
      <c r="I2830">
        <v>228.12309999999999</v>
      </c>
      <c r="J2830">
        <v>-348.87329999999997</v>
      </c>
      <c r="K2830">
        <v>1.1206799999999999</v>
      </c>
      <c r="L2830">
        <v>214.23230000000001</v>
      </c>
      <c r="M2830">
        <v>0.99988410000000005</v>
      </c>
      <c r="N2830">
        <v>-1.385252E-2</v>
      </c>
      <c r="O2830">
        <v>-6.3223430000000002E-3</v>
      </c>
      <c r="P2830">
        <v>0.97658259999999997</v>
      </c>
      <c r="Q2830">
        <v>0.2141922</v>
      </c>
      <c r="R2830">
        <v>-2.0198319999999999E-2</v>
      </c>
      <c r="S2830">
        <v>3.081299</v>
      </c>
      <c r="T2830">
        <v>-1.9354819999999998E-2</v>
      </c>
      <c r="U2830">
        <v>0.25268550000000001</v>
      </c>
      <c r="V2830">
        <v>1.4084269999999999E-2</v>
      </c>
      <c r="W2830">
        <v>0.22769790000000001</v>
      </c>
      <c r="X2830">
        <v>0.97363</v>
      </c>
      <c r="Y2830">
        <v>-8.8026229999999997E-2</v>
      </c>
      <c r="Z2830">
        <v>8.3897509999999998E-4</v>
      </c>
      <c r="AA2830">
        <v>0.99611780000000005</v>
      </c>
      <c r="AB2830">
        <v>48</v>
      </c>
      <c r="AC2830">
        <v>168.92239999999899</v>
      </c>
      <c r="AD2830">
        <v>-1.06380721</v>
      </c>
      <c r="AE2830">
        <v>13.890799999999899</v>
      </c>
      <c r="AF2830">
        <v>-14.958020869035099</v>
      </c>
      <c r="AG2830">
        <v>-1.06380721</v>
      </c>
      <c r="AH2830">
        <v>168.824541818592</v>
      </c>
      <c r="AI2830">
        <v>90.359622039647803</v>
      </c>
      <c r="AJ2830">
        <v>95.063241139459194</v>
      </c>
      <c r="AK2830">
        <v>169.48923267970699</v>
      </c>
      <c r="AL2830">
        <v>76.838425232570501</v>
      </c>
      <c r="AM2830">
        <v>89.171232452267006</v>
      </c>
      <c r="AN2830">
        <v>1.00000003861292</v>
      </c>
    </row>
    <row r="2831" spans="1:40" x14ac:dyDescent="0.25">
      <c r="A2831" t="str">
        <f>"20190303171032866"</f>
        <v>20190303171032866</v>
      </c>
      <c r="B2831" t="str">
        <f>"1551604232853191"</f>
        <v>1551604232853191</v>
      </c>
      <c r="C2831" t="s">
        <v>40</v>
      </c>
      <c r="D2831">
        <v>4.9612429999999996</v>
      </c>
      <c r="E2831">
        <v>0.47054780000000002</v>
      </c>
      <c r="F2831" t="s">
        <v>52</v>
      </c>
      <c r="G2831">
        <v>-176.7687</v>
      </c>
      <c r="H2831">
        <v>7.9999829999999994E-2</v>
      </c>
      <c r="I2831">
        <v>227.20840000000001</v>
      </c>
      <c r="J2831">
        <v>-348.41300000000001</v>
      </c>
      <c r="K2831">
        <v>1.120716</v>
      </c>
      <c r="L2831">
        <v>214.2294</v>
      </c>
      <c r="M2831">
        <v>0.99988250000000001</v>
      </c>
      <c r="N2831">
        <v>-1.3957779999999999E-2</v>
      </c>
      <c r="O2831">
        <v>-6.3403699999999997E-3</v>
      </c>
      <c r="P2831">
        <v>0.9765047</v>
      </c>
      <c r="Q2831">
        <v>0.21455099999999999</v>
      </c>
      <c r="R2831">
        <v>-2.0167750000000002E-2</v>
      </c>
      <c r="S2831">
        <v>3.0808409999999999</v>
      </c>
      <c r="T2831">
        <v>-1.862919E-2</v>
      </c>
      <c r="U2831">
        <v>0.2322845</v>
      </c>
      <c r="V2831">
        <v>1.4025050000000001E-2</v>
      </c>
      <c r="W2831">
        <v>0.22815840000000001</v>
      </c>
      <c r="X2831">
        <v>0.97352300000000003</v>
      </c>
      <c r="Y2831">
        <v>-8.1499489999999994E-2</v>
      </c>
      <c r="Z2831">
        <v>7.655944E-4</v>
      </c>
      <c r="AA2831">
        <v>0.99667309999999998</v>
      </c>
      <c r="AB2831">
        <v>48</v>
      </c>
      <c r="AC2831">
        <v>171.64429999999999</v>
      </c>
      <c r="AD2831">
        <v>-1.0407161700000001</v>
      </c>
      <c r="AE2831">
        <v>12.978999999999999</v>
      </c>
      <c r="AF2831">
        <v>-14.066619259185799</v>
      </c>
      <c r="AG2831">
        <v>-1.0407161700000001</v>
      </c>
      <c r="AH2831">
        <v>171.552278692475</v>
      </c>
      <c r="AI2831">
        <v>90.346416108213106</v>
      </c>
      <c r="AJ2831">
        <v>94.6875443709405</v>
      </c>
      <c r="AK2831">
        <v>172.13116275709601</v>
      </c>
      <c r="AL2831">
        <v>76.811326660649996</v>
      </c>
      <c r="AM2831">
        <v>89.174625986120006</v>
      </c>
      <c r="AN2831">
        <v>0.99999999452353106</v>
      </c>
    </row>
    <row r="2832" spans="1:40" x14ac:dyDescent="0.25">
      <c r="A2832" t="str">
        <f>"20190303171032902"</f>
        <v>20190303171032902</v>
      </c>
      <c r="B2832" t="str">
        <f>"1551604232893204"</f>
        <v>1551604232893204</v>
      </c>
      <c r="C2832" t="s">
        <v>40</v>
      </c>
      <c r="D2832">
        <v>4.9584650000000003</v>
      </c>
      <c r="E2832">
        <v>0.47338829999999998</v>
      </c>
      <c r="F2832" t="s">
        <v>52</v>
      </c>
      <c r="G2832">
        <v>-176.82849999999999</v>
      </c>
      <c r="H2832">
        <v>7.9999730000000005E-2</v>
      </c>
      <c r="I2832">
        <v>226.2158</v>
      </c>
      <c r="J2832">
        <v>-347.65050000000002</v>
      </c>
      <c r="K2832">
        <v>1.1207819999999999</v>
      </c>
      <c r="L2832">
        <v>214.22460000000001</v>
      </c>
      <c r="M2832">
        <v>0.99988069999999896</v>
      </c>
      <c r="N2832">
        <v>-1.411402E-2</v>
      </c>
      <c r="O2832">
        <v>-6.2893890000000003E-3</v>
      </c>
      <c r="P2832">
        <v>0.97644529999999996</v>
      </c>
      <c r="Q2832">
        <v>0.2148147</v>
      </c>
      <c r="R2832">
        <v>-2.024161E-2</v>
      </c>
      <c r="S2832">
        <v>3.0807190000000002</v>
      </c>
      <c r="T2832">
        <v>-1.868558E-2</v>
      </c>
      <c r="U2832">
        <v>0.21521000000000001</v>
      </c>
      <c r="V2832">
        <v>1.4122610000000001E-2</v>
      </c>
      <c r="W2832">
        <v>0.22857530000000001</v>
      </c>
      <c r="X2832">
        <v>0.97342379999999995</v>
      </c>
      <c r="Y2832">
        <v>-7.5955720000000004E-2</v>
      </c>
      <c r="Z2832">
        <v>7.1622229999999997E-4</v>
      </c>
      <c r="AA2832">
        <v>0.99711099999999997</v>
      </c>
      <c r="AB2832">
        <v>47</v>
      </c>
      <c r="AC2832">
        <v>170.822</v>
      </c>
      <c r="AD2832">
        <v>-1.04078227</v>
      </c>
      <c r="AE2832">
        <v>11.9911999999999</v>
      </c>
      <c r="AF2832">
        <v>-13.064953105000001</v>
      </c>
      <c r="AG2832">
        <v>-1.04078227</v>
      </c>
      <c r="AH2832">
        <v>170.736888885719</v>
      </c>
      <c r="AI2832">
        <v>90.348242696879097</v>
      </c>
      <c r="AJ2832">
        <v>94.375801397138503</v>
      </c>
      <c r="AK2832">
        <v>171.23919368457601</v>
      </c>
      <c r="AL2832">
        <v>76.7867918606334</v>
      </c>
      <c r="AM2832">
        <v>89.168800698306995</v>
      </c>
      <c r="AN2832">
        <v>1.0000000051448701</v>
      </c>
    </row>
    <row r="2833" spans="1:40" x14ac:dyDescent="0.25">
      <c r="A2833" t="str">
        <f>"20190303171032924"</f>
        <v>20190303171032924</v>
      </c>
      <c r="B2833" t="str">
        <f>"1551604232913700"</f>
        <v>1551604232913700</v>
      </c>
      <c r="C2833" t="s">
        <v>40</v>
      </c>
      <c r="D2833">
        <v>5.0145549999999997</v>
      </c>
      <c r="E2833">
        <v>0.47499859999999999</v>
      </c>
      <c r="F2833" t="s">
        <v>52</v>
      </c>
      <c r="G2833">
        <v>-179.9109</v>
      </c>
      <c r="H2833">
        <v>7.9999719999999996E-2</v>
      </c>
      <c r="I2833">
        <v>224.70240000000001</v>
      </c>
      <c r="J2833">
        <v>-347.19670000000002</v>
      </c>
      <c r="K2833">
        <v>1.1208370000000001</v>
      </c>
      <c r="L2833">
        <v>214.2218</v>
      </c>
      <c r="M2833">
        <v>0.99988010000000005</v>
      </c>
      <c r="N2833">
        <v>-1.419403E-2</v>
      </c>
      <c r="O2833">
        <v>-6.2011899999999997E-3</v>
      </c>
      <c r="P2833">
        <v>0.97636840000000003</v>
      </c>
      <c r="Q2833">
        <v>0.21521290000000001</v>
      </c>
      <c r="R2833">
        <v>-1.9706109999999999E-2</v>
      </c>
      <c r="S2833">
        <v>3.0805660000000001</v>
      </c>
      <c r="T2833">
        <v>-1.9114140000000002E-2</v>
      </c>
      <c r="U2833">
        <v>0.19242860000000001</v>
      </c>
      <c r="V2833">
        <v>1.365221E-2</v>
      </c>
      <c r="W2833">
        <v>0.22905110000000001</v>
      </c>
      <c r="X2833">
        <v>0.97331860000000003</v>
      </c>
      <c r="Y2833">
        <v>-6.8527829999999998E-2</v>
      </c>
      <c r="Z2833">
        <v>6.4975129999999995E-4</v>
      </c>
      <c r="AA2833">
        <v>0.99764900000000001</v>
      </c>
      <c r="AB2833">
        <v>47</v>
      </c>
      <c r="AC2833">
        <v>167.28579999999999</v>
      </c>
      <c r="AD2833">
        <v>-1.0408372800000001</v>
      </c>
      <c r="AE2833">
        <v>10.480600000000001</v>
      </c>
      <c r="AF2833">
        <v>-11.5174297948223</v>
      </c>
      <c r="AG2833">
        <v>-1.0408372800000001</v>
      </c>
      <c r="AH2833">
        <v>167.21113632097499</v>
      </c>
      <c r="AI2833">
        <v>90.355800779177898</v>
      </c>
      <c r="AJ2833">
        <v>93.940284628134805</v>
      </c>
      <c r="AK2833">
        <v>167.61055647265701</v>
      </c>
      <c r="AL2833">
        <v>76.758786749449001</v>
      </c>
      <c r="AM2833">
        <v>89.196395998076</v>
      </c>
      <c r="AN2833">
        <v>0.99999994317752505</v>
      </c>
    </row>
    <row r="2834" spans="1:40" x14ac:dyDescent="0.25">
      <c r="A2834" t="str">
        <f>"20190303171032945"</f>
        <v>20190303171032945</v>
      </c>
      <c r="B2834" t="str">
        <f>"1551604232933220"</f>
        <v>1551604232933220</v>
      </c>
      <c r="C2834" t="s">
        <v>40</v>
      </c>
      <c r="D2834">
        <v>5.0733309999999996</v>
      </c>
      <c r="E2834">
        <v>0.47572239999999999</v>
      </c>
      <c r="F2834" t="s">
        <v>41</v>
      </c>
      <c r="G2834">
        <v>-151.3723</v>
      </c>
      <c r="H2834">
        <v>-0.05</v>
      </c>
      <c r="I2834">
        <v>225.71770000000001</v>
      </c>
      <c r="J2834">
        <v>-346.74860000000001</v>
      </c>
      <c r="K2834">
        <v>1.1208830000000001</v>
      </c>
      <c r="L2834">
        <v>214.2191</v>
      </c>
      <c r="M2834">
        <v>0.99987999999999999</v>
      </c>
      <c r="N2834">
        <v>-1.4264000000000001E-2</v>
      </c>
      <c r="O2834">
        <v>-6.0737450000000002E-3</v>
      </c>
      <c r="P2834">
        <v>0.97646500000000003</v>
      </c>
      <c r="Q2834">
        <v>0.21484210000000001</v>
      </c>
      <c r="R2834">
        <v>-1.8953919999999999E-2</v>
      </c>
      <c r="S2834">
        <v>3.0803530000000001</v>
      </c>
      <c r="T2834">
        <v>-1.841748E-2</v>
      </c>
      <c r="U2834">
        <v>0.18083189999999999</v>
      </c>
      <c r="V2834">
        <v>1.299961E-2</v>
      </c>
      <c r="W2834">
        <v>0.22875129999999999</v>
      </c>
      <c r="X2834">
        <v>0.97339810000000004</v>
      </c>
      <c r="Y2834">
        <v>-6.4662750000000005E-2</v>
      </c>
      <c r="Z2834">
        <v>6.0447219999999996E-4</v>
      </c>
      <c r="AA2834">
        <v>0.99790699999999999</v>
      </c>
      <c r="AB2834">
        <v>47</v>
      </c>
      <c r="AC2834">
        <v>195.37629999999999</v>
      </c>
      <c r="AD2834">
        <v>-1.1708829999999999</v>
      </c>
      <c r="AE2834">
        <v>11.4986</v>
      </c>
      <c r="AF2834">
        <v>-12.684720200897299</v>
      </c>
      <c r="AG2834">
        <v>-1.1708829999999999</v>
      </c>
      <c r="AH2834">
        <v>195.29585886617201</v>
      </c>
      <c r="AI2834">
        <v>90.342786548261898</v>
      </c>
      <c r="AJ2834">
        <v>93.7162154820316</v>
      </c>
      <c r="AK2834">
        <v>195.71087242115701</v>
      </c>
      <c r="AL2834">
        <v>76.776433346836697</v>
      </c>
      <c r="AM2834">
        <v>89.234867509324303</v>
      </c>
      <c r="AN2834">
        <v>1.0000000040977199</v>
      </c>
    </row>
    <row r="2835" spans="1:40" x14ac:dyDescent="0.25">
      <c r="A2835" t="str">
        <f>"20190303171032968"</f>
        <v>20190303171032968</v>
      </c>
      <c r="B2835" t="str">
        <f>"1551604232963476"</f>
        <v>1551604232963476</v>
      </c>
      <c r="C2835" t="s">
        <v>40</v>
      </c>
      <c r="D2835">
        <v>5.0441370000000001</v>
      </c>
      <c r="E2835">
        <v>0.47638839999999999</v>
      </c>
      <c r="F2835" t="s">
        <v>52</v>
      </c>
      <c r="G2835">
        <v>-179.95779999999999</v>
      </c>
      <c r="H2835">
        <v>4.8858810000000003E-2</v>
      </c>
      <c r="I2835">
        <v>223.8006</v>
      </c>
      <c r="J2835">
        <v>-346.27249999999998</v>
      </c>
      <c r="K2835">
        <v>1.1209359999999999</v>
      </c>
      <c r="L2835">
        <v>214.21629999999999</v>
      </c>
      <c r="M2835">
        <v>0.99988010000000005</v>
      </c>
      <c r="N2835">
        <v>-1.4329430000000001E-2</v>
      </c>
      <c r="O2835">
        <v>-5.8981619999999898E-3</v>
      </c>
      <c r="P2835">
        <v>0.97662539999999998</v>
      </c>
      <c r="Q2835">
        <v>0.21419779999999999</v>
      </c>
      <c r="R2835">
        <v>-1.7951060000000001E-2</v>
      </c>
      <c r="S2835">
        <v>3.0801090000000002</v>
      </c>
      <c r="T2835">
        <v>-1.9796970000000001E-2</v>
      </c>
      <c r="U2835">
        <v>0.17694089999999901</v>
      </c>
      <c r="V2835">
        <v>1.214119E-2</v>
      </c>
      <c r="W2835">
        <v>0.22817419999999999</v>
      </c>
      <c r="X2835">
        <v>0.97354459999999998</v>
      </c>
      <c r="Y2835">
        <v>-6.3235440000000004E-2</v>
      </c>
      <c r="Z2835">
        <v>6.0995379999999896E-4</v>
      </c>
      <c r="AA2835">
        <v>0.99799850000000001</v>
      </c>
      <c r="AB2835">
        <v>47</v>
      </c>
      <c r="AC2835">
        <v>166.31469999999999</v>
      </c>
      <c r="AD2835">
        <v>-1.0720771899999999</v>
      </c>
      <c r="AE2835">
        <v>9.5843000000000096</v>
      </c>
      <c r="AF2835">
        <v>-10.564747326486801</v>
      </c>
      <c r="AG2835">
        <v>-1.0720771899999999</v>
      </c>
      <c r="AH2835">
        <v>166.248385857714</v>
      </c>
      <c r="AI2835">
        <v>90.3687313859282</v>
      </c>
      <c r="AJ2835">
        <v>93.636141036155294</v>
      </c>
      <c r="AK2835">
        <v>166.58718148726001</v>
      </c>
      <c r="AL2835">
        <v>76.810396681193495</v>
      </c>
      <c r="AM2835">
        <v>89.285494588877398</v>
      </c>
      <c r="AN2835">
        <v>0.999999981114707</v>
      </c>
    </row>
    <row r="2836" spans="1:40" x14ac:dyDescent="0.25">
      <c r="A2836" t="str">
        <f>"20190303171032990"</f>
        <v>20190303171032990</v>
      </c>
      <c r="B2836" t="str">
        <f>"1551604232983972"</f>
        <v>1551604232983972</v>
      </c>
      <c r="C2836" t="s">
        <v>40</v>
      </c>
      <c r="D2836">
        <v>4.8332490000000004</v>
      </c>
      <c r="E2836">
        <v>0.54034729999999997</v>
      </c>
      <c r="F2836" t="s">
        <v>52</v>
      </c>
      <c r="G2836">
        <v>-202.44380000000001</v>
      </c>
      <c r="H2836">
        <v>8.0000070000000006E-2</v>
      </c>
      <c r="I2836">
        <v>222.33680000000001</v>
      </c>
      <c r="J2836">
        <v>-345.78199999999998</v>
      </c>
      <c r="K2836">
        <v>1.120986</v>
      </c>
      <c r="L2836">
        <v>214.21360000000001</v>
      </c>
      <c r="M2836">
        <v>0.99988049999999995</v>
      </c>
      <c r="N2836">
        <v>-1.438819E-2</v>
      </c>
      <c r="O2836">
        <v>-5.6814419999999897E-3</v>
      </c>
      <c r="P2836">
        <v>0.97649540000000001</v>
      </c>
      <c r="Q2836">
        <v>0.21484429999999999</v>
      </c>
      <c r="R2836">
        <v>-1.7288370000000001E-2</v>
      </c>
      <c r="S2836">
        <v>3.079895</v>
      </c>
      <c r="T2836">
        <v>-2.2290230000000001E-2</v>
      </c>
      <c r="U2836">
        <v>0.17388919999999999</v>
      </c>
      <c r="V2836">
        <v>1.166552E-2</v>
      </c>
      <c r="W2836">
        <v>0.2288771</v>
      </c>
      <c r="X2836">
        <v>0.97338550000000001</v>
      </c>
      <c r="Y2836">
        <v>-6.2036760000000003E-2</v>
      </c>
      <c r="Z2836">
        <v>6.3040669999999896E-4</v>
      </c>
      <c r="AA2836">
        <v>0.99807360000000001</v>
      </c>
      <c r="AB2836">
        <v>47</v>
      </c>
      <c r="AC2836">
        <v>143.33819999999901</v>
      </c>
      <c r="AD2836">
        <v>-1.0409859299999999</v>
      </c>
      <c r="AE2836">
        <v>8.12319999999999</v>
      </c>
      <c r="AF2836">
        <v>-8.9370508598620493</v>
      </c>
      <c r="AG2836">
        <v>-1.0409859299999999</v>
      </c>
      <c r="AH2836">
        <v>143.28219689444899</v>
      </c>
      <c r="AI2836">
        <v>90.415455467963994</v>
      </c>
      <c r="AJ2836">
        <v>93.569130040144401</v>
      </c>
      <c r="AK2836">
        <v>143.56441925727299</v>
      </c>
      <c r="AL2836">
        <v>76.769030011208898</v>
      </c>
      <c r="AM2836">
        <v>89.313372692496799</v>
      </c>
      <c r="AN2836">
        <v>1.00000007143576</v>
      </c>
    </row>
    <row r="2837" spans="1:40" x14ac:dyDescent="0.25">
      <c r="A2837" t="str">
        <f>"20190303171033012"</f>
        <v>20190303171033012</v>
      </c>
      <c r="B2837" t="str">
        <f>"1551604233003495"</f>
        <v>1551604233003495</v>
      </c>
      <c r="C2837" t="s">
        <v>40</v>
      </c>
      <c r="D2837">
        <v>4.844506</v>
      </c>
      <c r="E2837">
        <v>0.54675319999999905</v>
      </c>
      <c r="F2837" t="s">
        <v>43</v>
      </c>
      <c r="G2837">
        <v>-344.94839999999999</v>
      </c>
      <c r="H2837">
        <v>1.0306040000000001</v>
      </c>
      <c r="I2837">
        <v>214.1294</v>
      </c>
      <c r="J2837">
        <v>-345.334</v>
      </c>
      <c r="K2837">
        <v>1.1210439999999999</v>
      </c>
      <c r="L2837">
        <v>214.21129999999999</v>
      </c>
      <c r="M2837">
        <v>0.99988100000000002</v>
      </c>
      <c r="N2837">
        <v>-1.443501E-2</v>
      </c>
      <c r="O2837">
        <v>-5.4572989999999997E-3</v>
      </c>
      <c r="P2837">
        <v>0.97631480000000004</v>
      </c>
      <c r="Q2837">
        <v>0.21572469999999999</v>
      </c>
      <c r="R2837">
        <v>-1.6504669999999999E-2</v>
      </c>
      <c r="S2837">
        <v>3.1415410000000001</v>
      </c>
      <c r="T2837">
        <v>-0.34066740000000001</v>
      </c>
      <c r="U2837">
        <v>-0.31706240000000002</v>
      </c>
      <c r="V2837">
        <v>1.1081509999999999E-2</v>
      </c>
      <c r="W2837">
        <v>0.2298007</v>
      </c>
      <c r="X2837">
        <v>0.9731746</v>
      </c>
      <c r="Y2837">
        <v>9.4386029999999996E-2</v>
      </c>
      <c r="Z2837">
        <v>-5.2649050000000003E-3</v>
      </c>
      <c r="AA2837">
        <v>0.99552169999999895</v>
      </c>
      <c r="AB2837">
        <v>47</v>
      </c>
      <c r="AC2837">
        <v>0.38560000000000999</v>
      </c>
      <c r="AD2837">
        <v>-9.0440000000000006E-2</v>
      </c>
      <c r="AE2837">
        <v>-8.18999999999903E-2</v>
      </c>
      <c r="AF2837">
        <v>7.5804185756565098E-2</v>
      </c>
      <c r="AG2837">
        <v>-9.0440000000000006E-2</v>
      </c>
      <c r="AH2837">
        <v>0.36673759927452099</v>
      </c>
      <c r="AI2837">
        <v>103.57706551154099</v>
      </c>
      <c r="AJ2837">
        <v>78.3215018736161</v>
      </c>
      <c r="AK2837">
        <v>0.38525593428246502</v>
      </c>
      <c r="AL2837">
        <v>76.714661343011898</v>
      </c>
      <c r="AM2837">
        <v>89.347602872383902</v>
      </c>
      <c r="AN2837">
        <v>0.99999998183476402</v>
      </c>
    </row>
    <row r="2838" spans="1:40" x14ac:dyDescent="0.25">
      <c r="A2838" t="str">
        <f>"20190303171033024"</f>
        <v>20190303171033024</v>
      </c>
      <c r="B2838" t="str">
        <f>"1551604233013253"</f>
        <v>1551604233013253</v>
      </c>
      <c r="C2838" t="s">
        <v>40</v>
      </c>
      <c r="D2838">
        <v>4.9053930000000001</v>
      </c>
      <c r="E2838">
        <v>0.54812869999999903</v>
      </c>
      <c r="F2838" t="s">
        <v>43</v>
      </c>
      <c r="G2838">
        <v>-344.53649999999999</v>
      </c>
      <c r="H2838">
        <v>1.009547</v>
      </c>
      <c r="I2838">
        <v>214.12049999999999</v>
      </c>
      <c r="J2838">
        <v>-345.06650000000002</v>
      </c>
      <c r="K2838">
        <v>1.1210659999999999</v>
      </c>
      <c r="L2838">
        <v>214.2099</v>
      </c>
      <c r="M2838">
        <v>0.99988140000000003</v>
      </c>
      <c r="N2838">
        <v>-1.445984E-2</v>
      </c>
      <c r="O2838">
        <v>-5.3140000000000001E-3</v>
      </c>
      <c r="P2838">
        <v>0.97623859999999996</v>
      </c>
      <c r="Q2838">
        <v>0.2160783</v>
      </c>
      <c r="R2838">
        <v>-1.6391570000000001E-2</v>
      </c>
      <c r="S2838">
        <v>3.1643979999999998</v>
      </c>
      <c r="T2838">
        <v>-0.44237280000000001</v>
      </c>
      <c r="U2838">
        <v>-0.35993960000000003</v>
      </c>
      <c r="V2838">
        <v>1.10982999999999E-2</v>
      </c>
      <c r="W2838">
        <v>0.23017789999999999</v>
      </c>
      <c r="X2838">
        <v>0.97308530000000004</v>
      </c>
      <c r="Y2838">
        <v>0.106645</v>
      </c>
      <c r="Z2838">
        <v>-7.5117609999999996E-3</v>
      </c>
      <c r="AA2838">
        <v>0.99426879999999995</v>
      </c>
      <c r="AB2838">
        <v>47</v>
      </c>
      <c r="AC2838">
        <v>0.530000000000029</v>
      </c>
      <c r="AD2838">
        <v>-0.11151899999999899</v>
      </c>
      <c r="AE2838">
        <v>-8.9400000000011901E-2</v>
      </c>
      <c r="AF2838">
        <v>8.3008597508769003E-2</v>
      </c>
      <c r="AG2838">
        <v>-0.11151899999999899</v>
      </c>
      <c r="AH2838">
        <v>0.508574100103803</v>
      </c>
      <c r="AI2838">
        <v>102.211298152257</v>
      </c>
      <c r="AJ2838">
        <v>80.730021846700197</v>
      </c>
      <c r="AK2838">
        <v>0.52723289912311599</v>
      </c>
      <c r="AL2838">
        <v>76.6924545778284</v>
      </c>
      <c r="AM2838">
        <v>89.346554531365697</v>
      </c>
      <c r="AN2838">
        <v>1.00000001949369</v>
      </c>
    </row>
    <row r="2839" spans="1:40" x14ac:dyDescent="0.25">
      <c r="A2839" t="str">
        <f>"20190303171033045"</f>
        <v>20190303171033045</v>
      </c>
      <c r="B2839" t="str">
        <f>"1551604233033748"</f>
        <v>1551604233033748</v>
      </c>
      <c r="C2839" t="s">
        <v>40</v>
      </c>
      <c r="D2839">
        <v>4.8721019999999999</v>
      </c>
      <c r="E2839">
        <v>0.5502764</v>
      </c>
      <c r="F2839" t="s">
        <v>43</v>
      </c>
      <c r="G2839">
        <v>-344.12889999999999</v>
      </c>
      <c r="H2839">
        <v>0.980016</v>
      </c>
      <c r="I2839">
        <v>214.10059999999999</v>
      </c>
      <c r="J2839">
        <v>-344.63749999999999</v>
      </c>
      <c r="K2839">
        <v>1.1210960000000001</v>
      </c>
      <c r="L2839">
        <v>214.20779999999999</v>
      </c>
      <c r="M2839">
        <v>0.99988220000000005</v>
      </c>
      <c r="N2839">
        <v>-1.4495879999999999E-2</v>
      </c>
      <c r="O2839">
        <v>-5.0743389999999998E-3</v>
      </c>
      <c r="P2839">
        <v>0.97624560000000005</v>
      </c>
      <c r="Q2839">
        <v>0.2161064</v>
      </c>
      <c r="R2839">
        <v>-1.558059E-2</v>
      </c>
      <c r="S2839">
        <v>3.1724549999999998</v>
      </c>
      <c r="T2839">
        <v>-0.47739710000000002</v>
      </c>
      <c r="U2839">
        <v>-0.3686371</v>
      </c>
      <c r="V2839">
        <v>1.050719E-2</v>
      </c>
      <c r="W2839">
        <v>0.230242</v>
      </c>
      <c r="X2839">
        <v>0.97307670000000002</v>
      </c>
      <c r="Y2839">
        <v>0.1090951</v>
      </c>
      <c r="Z2839">
        <v>-8.2499530000000008E-3</v>
      </c>
      <c r="AA2839">
        <v>0.99399709999999997</v>
      </c>
      <c r="AB2839">
        <v>47</v>
      </c>
      <c r="AC2839">
        <v>0.50860000000000105</v>
      </c>
      <c r="AD2839">
        <v>-0.14107999999999901</v>
      </c>
      <c r="AE2839">
        <v>-0.107200000000005</v>
      </c>
      <c r="AF2839">
        <v>9.7439042664514502E-2</v>
      </c>
      <c r="AG2839">
        <v>-0.14107999999999901</v>
      </c>
      <c r="AH2839">
        <v>0.47420220705142802</v>
      </c>
      <c r="AI2839">
        <v>106.24726419022601</v>
      </c>
      <c r="AJ2839">
        <v>78.388486564649</v>
      </c>
      <c r="AK2839">
        <v>0.50424762429566605</v>
      </c>
      <c r="AL2839">
        <v>76.688680583684501</v>
      </c>
      <c r="AM2839">
        <v>89.381349645087795</v>
      </c>
      <c r="AN2839">
        <v>1.0000000218442899</v>
      </c>
    </row>
    <row r="2840" spans="1:40" x14ac:dyDescent="0.25">
      <c r="A2840" t="str">
        <f>"20190303171033068"</f>
        <v>20190303171033068</v>
      </c>
      <c r="B2840" t="str">
        <f>"1551604233064005"</f>
        <v>1551604233064005</v>
      </c>
      <c r="C2840" t="s">
        <v>40</v>
      </c>
      <c r="D2840">
        <v>4.7837009999999998</v>
      </c>
      <c r="E2840">
        <v>0.55268030000000001</v>
      </c>
      <c r="F2840" t="s">
        <v>43</v>
      </c>
      <c r="G2840">
        <v>-343.71230000000003</v>
      </c>
      <c r="H2840">
        <v>0.96953610000000001</v>
      </c>
      <c r="I2840">
        <v>214.09719999999999</v>
      </c>
      <c r="J2840">
        <v>-344.15679999999998</v>
      </c>
      <c r="K2840">
        <v>1.12112099999999</v>
      </c>
      <c r="L2840">
        <v>214.2056</v>
      </c>
      <c r="M2840">
        <v>0.99988290000000002</v>
      </c>
      <c r="N2840">
        <v>-1.4530879999999999E-2</v>
      </c>
      <c r="O2840">
        <v>-4.7953650000000002E-3</v>
      </c>
      <c r="P2840">
        <v>0.97634089999999996</v>
      </c>
      <c r="Q2840">
        <v>0.2157317</v>
      </c>
      <c r="R2840">
        <v>-1.477913E-2</v>
      </c>
      <c r="S2840">
        <v>3.182312</v>
      </c>
      <c r="T2840">
        <v>-0.52124139999999997</v>
      </c>
      <c r="U2840">
        <v>-0.38093569999999999</v>
      </c>
      <c r="V2840">
        <v>9.9646170000000003E-3</v>
      </c>
      <c r="W2840">
        <v>0.22990269999999999</v>
      </c>
      <c r="X2840">
        <v>0.97316259999999999</v>
      </c>
      <c r="Y2840">
        <v>0.1125319</v>
      </c>
      <c r="Z2840">
        <v>-9.2409880000000003E-3</v>
      </c>
      <c r="AA2840">
        <v>0.99360510000000002</v>
      </c>
      <c r="AB2840">
        <v>47</v>
      </c>
      <c r="AC2840">
        <v>0.44449999999994799</v>
      </c>
      <c r="AD2840">
        <v>-0.151584899999999</v>
      </c>
      <c r="AE2840">
        <v>-0.108400000000017</v>
      </c>
      <c r="AF2840">
        <v>9.5755974619048195E-2</v>
      </c>
      <c r="AG2840">
        <v>-0.151584899999999</v>
      </c>
      <c r="AH2840">
        <v>0.40099773897209601</v>
      </c>
      <c r="AI2840">
        <v>110.187544701362</v>
      </c>
      <c r="AJ2840">
        <v>76.569603674188201</v>
      </c>
      <c r="AK2840">
        <v>0.43925661661947302</v>
      </c>
      <c r="AL2840">
        <v>76.708656580519204</v>
      </c>
      <c r="AM2840">
        <v>89.413345162846298</v>
      </c>
      <c r="AN2840">
        <v>0.99999999554900298</v>
      </c>
    </row>
    <row r="2841" spans="1:40" x14ac:dyDescent="0.25">
      <c r="A2841" t="str">
        <f>"20190303171033081"</f>
        <v>20190303171033081</v>
      </c>
      <c r="B2841" t="str">
        <f>"1551604233073764"</f>
        <v>1551604233073764</v>
      </c>
      <c r="C2841" t="s">
        <v>40</v>
      </c>
      <c r="D2841">
        <v>4.7779189999999998</v>
      </c>
      <c r="E2841">
        <v>0.55317139999999998</v>
      </c>
      <c r="F2841" t="s">
        <v>43</v>
      </c>
      <c r="G2841">
        <v>-343.29059999999998</v>
      </c>
      <c r="H2841">
        <v>0.97027909999999995</v>
      </c>
      <c r="I2841">
        <v>214.0975</v>
      </c>
      <c r="J2841">
        <v>-343.87699999999899</v>
      </c>
      <c r="K2841">
        <v>1.1211370000000001</v>
      </c>
      <c r="L2841">
        <v>214.20429999999999</v>
      </c>
      <c r="M2841">
        <v>0.99988350000000004</v>
      </c>
      <c r="N2841">
        <v>-1.454892E-2</v>
      </c>
      <c r="O2841">
        <v>-4.6304270000000003E-3</v>
      </c>
      <c r="P2841">
        <v>0.97639450000000005</v>
      </c>
      <c r="Q2841">
        <v>0.21547810000000001</v>
      </c>
      <c r="R2841">
        <v>-1.494011E-2</v>
      </c>
      <c r="S2841">
        <v>3.189514</v>
      </c>
      <c r="T2841">
        <v>-0.55555019999999999</v>
      </c>
      <c r="U2841">
        <v>-0.396698</v>
      </c>
      <c r="V2841">
        <v>1.02799E-2</v>
      </c>
      <c r="W2841">
        <v>0.22966800000000001</v>
      </c>
      <c r="X2841">
        <v>0.97321469999999999</v>
      </c>
      <c r="Y2841">
        <v>0.11700190000000001</v>
      </c>
      <c r="Z2841">
        <v>-1.0206079999999999E-2</v>
      </c>
      <c r="AA2841">
        <v>0.99307920000000005</v>
      </c>
      <c r="AB2841">
        <v>47</v>
      </c>
      <c r="AC2841">
        <v>0.58639999999996895</v>
      </c>
      <c r="AD2841">
        <v>-0.15085789999999999</v>
      </c>
      <c r="AE2841">
        <v>-0.106799999999992</v>
      </c>
      <c r="AF2841">
        <v>9.7817267168539807E-2</v>
      </c>
      <c r="AG2841">
        <v>-0.15085789999999999</v>
      </c>
      <c r="AH2841">
        <v>0.551556467196474</v>
      </c>
      <c r="AI2841">
        <v>105.072755388516</v>
      </c>
      <c r="AJ2841">
        <v>79.943290858850702</v>
      </c>
      <c r="AK2841">
        <v>0.58012141854527899</v>
      </c>
      <c r="AL2841">
        <v>76.722473137464107</v>
      </c>
      <c r="AM2841">
        <v>89.394817012211007</v>
      </c>
      <c r="AN2841">
        <v>0.999999959432049</v>
      </c>
    </row>
    <row r="2842" spans="1:40" x14ac:dyDescent="0.25">
      <c r="A2842" t="str">
        <f>"20190303171033104"</f>
        <v>20190303171033104</v>
      </c>
      <c r="B2842" t="str">
        <f>"1551604233093284"</f>
        <v>1551604233093284</v>
      </c>
      <c r="C2842" t="s">
        <v>40</v>
      </c>
      <c r="D2842">
        <v>4.7559310000000004</v>
      </c>
      <c r="E2842">
        <v>0.55393459999999894</v>
      </c>
      <c r="F2842" t="s">
        <v>43</v>
      </c>
      <c r="G2842">
        <v>-342.88130000000001</v>
      </c>
      <c r="H2842">
        <v>0.94518650000000004</v>
      </c>
      <c r="I2842">
        <v>214.0789</v>
      </c>
      <c r="J2842">
        <v>-343.41019999999997</v>
      </c>
      <c r="K2842">
        <v>1.121159</v>
      </c>
      <c r="L2842">
        <v>214.20240000000001</v>
      </c>
      <c r="M2842">
        <v>0.99988429999999995</v>
      </c>
      <c r="N2842">
        <v>-1.4575080000000001E-2</v>
      </c>
      <c r="O2842">
        <v>-4.3528020000000002E-3</v>
      </c>
      <c r="P2842">
        <v>0.97640320000000003</v>
      </c>
      <c r="Q2842">
        <v>0.21538840000000001</v>
      </c>
      <c r="R2842">
        <v>-1.564289E-2</v>
      </c>
      <c r="S2842">
        <v>3.190887</v>
      </c>
      <c r="T2842">
        <v>-0.56395640000000002</v>
      </c>
      <c r="U2842">
        <v>-0.40095520000000001</v>
      </c>
      <c r="V2842">
        <v>1.124375E-2</v>
      </c>
      <c r="W2842">
        <v>0.2296048</v>
      </c>
      <c r="X2842">
        <v>0.97321899999999995</v>
      </c>
      <c r="Y2842">
        <v>0.11845079999999999</v>
      </c>
      <c r="Z2842">
        <v>-1.0523299999999999E-2</v>
      </c>
      <c r="AA2842">
        <v>0.99290409999999996</v>
      </c>
      <c r="AB2842">
        <v>47</v>
      </c>
      <c r="AC2842">
        <v>0.52889999999996395</v>
      </c>
      <c r="AD2842">
        <v>-0.1759725</v>
      </c>
      <c r="AE2842">
        <v>-0.12350000000000699</v>
      </c>
      <c r="AF2842">
        <v>0.109682466757121</v>
      </c>
      <c r="AG2842">
        <v>-0.1759725</v>
      </c>
      <c r="AH2842">
        <v>0.47913536219519298</v>
      </c>
      <c r="AI2842">
        <v>109.697889391259</v>
      </c>
      <c r="AJ2842">
        <v>77.106156210765207</v>
      </c>
      <c r="AK2842">
        <v>0.52207974446064798</v>
      </c>
      <c r="AL2842">
        <v>76.726194259004302</v>
      </c>
      <c r="AM2842">
        <v>89.338082424700204</v>
      </c>
      <c r="AN2842">
        <v>1.00000000402905</v>
      </c>
    </row>
    <row r="2843" spans="1:40" x14ac:dyDescent="0.25">
      <c r="A2843" t="str">
        <f>"20190303171033125"</f>
        <v>20190303171033125</v>
      </c>
      <c r="B2843" t="str">
        <f>"1551604233113780"</f>
        <v>1551604233113780</v>
      </c>
      <c r="C2843" t="s">
        <v>40</v>
      </c>
      <c r="D2843">
        <v>4.754829</v>
      </c>
      <c r="E2843">
        <v>0.55444069999999901</v>
      </c>
      <c r="F2843" t="s">
        <v>43</v>
      </c>
      <c r="G2843">
        <v>-342.45850000000002</v>
      </c>
      <c r="H2843">
        <v>0.94947990000000004</v>
      </c>
      <c r="I2843">
        <v>214.08029999999999</v>
      </c>
      <c r="J2843">
        <v>-342.95600000000002</v>
      </c>
      <c r="K2843">
        <v>1.121181</v>
      </c>
      <c r="L2843">
        <v>214.20060000000001</v>
      </c>
      <c r="M2843">
        <v>0.99988529999999998</v>
      </c>
      <c r="N2843">
        <v>-1.4596980000000001E-2</v>
      </c>
      <c r="O2843">
        <v>-4.0823500000000002E-3</v>
      </c>
      <c r="P2843">
        <v>0.97644169999999997</v>
      </c>
      <c r="Q2843">
        <v>0.21520400000000001</v>
      </c>
      <c r="R2843">
        <v>-1.5789250000000001E-2</v>
      </c>
      <c r="S2843">
        <v>3.1930540000000001</v>
      </c>
      <c r="T2843">
        <v>-0.57609560000000004</v>
      </c>
      <c r="U2843">
        <v>-0.40853879999999998</v>
      </c>
      <c r="V2843">
        <v>1.1645809999999999E-2</v>
      </c>
      <c r="W2843">
        <v>0.22944290000000001</v>
      </c>
      <c r="X2843">
        <v>0.97325249999999996</v>
      </c>
      <c r="Y2843">
        <v>0.120836</v>
      </c>
      <c r="Z2843">
        <v>-1.099486E-2</v>
      </c>
      <c r="AA2843">
        <v>0.99261160000000004</v>
      </c>
      <c r="AB2843">
        <v>47</v>
      </c>
      <c r="AC2843">
        <v>0.49749999999994499</v>
      </c>
      <c r="AD2843">
        <v>-0.171701099999999</v>
      </c>
      <c r="AE2843">
        <v>-0.12030000000001401</v>
      </c>
      <c r="AF2843">
        <v>0.106304970862637</v>
      </c>
      <c r="AG2843">
        <v>-0.171701099999999</v>
      </c>
      <c r="AH2843">
        <v>0.44761540675718597</v>
      </c>
      <c r="AI2843">
        <v>110.466081654432</v>
      </c>
      <c r="AJ2843">
        <v>76.640228451660505</v>
      </c>
      <c r="AK2843">
        <v>0.49106167325267502</v>
      </c>
      <c r="AL2843">
        <v>76.735725491878497</v>
      </c>
      <c r="AM2843">
        <v>89.314439039802593</v>
      </c>
      <c r="AN2843">
        <v>1.0000000490036001</v>
      </c>
    </row>
    <row r="2844" spans="1:40" x14ac:dyDescent="0.25">
      <c r="A2844" t="str">
        <f>"20190303171033145"</f>
        <v>20190303171033145</v>
      </c>
      <c r="B2844" t="str">
        <f>"1551604233133300"</f>
        <v>1551604233133300</v>
      </c>
      <c r="C2844" t="s">
        <v>40</v>
      </c>
      <c r="D2844">
        <v>4.7298910000000003</v>
      </c>
      <c r="E2844">
        <v>0.55498059999999905</v>
      </c>
      <c r="F2844" t="s">
        <v>43</v>
      </c>
      <c r="G2844">
        <v>-342.03660000000002</v>
      </c>
      <c r="H2844">
        <v>0.95270750000000004</v>
      </c>
      <c r="I2844">
        <v>214.08199999999999</v>
      </c>
      <c r="J2844">
        <v>-342.51479999999998</v>
      </c>
      <c r="K2844">
        <v>1.121186</v>
      </c>
      <c r="L2844">
        <v>214.19900000000001</v>
      </c>
      <c r="M2844">
        <v>0.99988600000000005</v>
      </c>
      <c r="N2844">
        <v>-1.461523E-2</v>
      </c>
      <c r="O2844">
        <v>-3.8195439999999998E-3</v>
      </c>
      <c r="P2844">
        <v>0.97660009999999997</v>
      </c>
      <c r="Q2844">
        <v>0.21451490000000001</v>
      </c>
      <c r="R2844">
        <v>-1.536625E-2</v>
      </c>
      <c r="S2844">
        <v>3.1947939999999999</v>
      </c>
      <c r="T2844">
        <v>-0.58537169999999905</v>
      </c>
      <c r="U2844">
        <v>-0.41242980000000001</v>
      </c>
      <c r="V2844">
        <v>1.1472380000000001E-2</v>
      </c>
      <c r="W2844">
        <v>0.22877449999999999</v>
      </c>
      <c r="X2844">
        <v>0.9734119</v>
      </c>
      <c r="Y2844">
        <v>0.1221312</v>
      </c>
      <c r="Z2844">
        <v>-1.131978E-2</v>
      </c>
      <c r="AA2844">
        <v>0.99244940000000004</v>
      </c>
      <c r="AB2844">
        <v>47</v>
      </c>
      <c r="AC2844">
        <v>0.47819999999995799</v>
      </c>
      <c r="AD2844">
        <v>-0.168478499999999</v>
      </c>
      <c r="AE2844">
        <v>-0.11700000000001801</v>
      </c>
      <c r="AF2844">
        <v>0.10309791344969101</v>
      </c>
      <c r="AG2844">
        <v>-0.168478499999999</v>
      </c>
      <c r="AH2844">
        <v>0.42846307802058098</v>
      </c>
      <c r="AI2844">
        <v>110.92205907024901</v>
      </c>
      <c r="AJ2844">
        <v>76.470540235938003</v>
      </c>
      <c r="AK2844">
        <v>0.47179952728547803</v>
      </c>
      <c r="AL2844">
        <v>76.775068590535298</v>
      </c>
      <c r="AM2844">
        <v>89.324758077404695</v>
      </c>
      <c r="AN2844">
        <v>1.00000005720736</v>
      </c>
    </row>
    <row r="2845" spans="1:40" x14ac:dyDescent="0.25">
      <c r="A2845" t="str">
        <f>"20190303171033168"</f>
        <v>20190303171033168</v>
      </c>
      <c r="B2845" t="str">
        <f>"1551604233163556"</f>
        <v>1551604233163556</v>
      </c>
      <c r="C2845" t="s">
        <v>40</v>
      </c>
      <c r="D2845">
        <v>4.7234980000000002</v>
      </c>
      <c r="E2845">
        <v>0.55550999999999995</v>
      </c>
      <c r="F2845" t="s">
        <v>43</v>
      </c>
      <c r="G2845">
        <v>-341.61579999999998</v>
      </c>
      <c r="H2845">
        <v>0.95420559999999999</v>
      </c>
      <c r="I2845">
        <v>214.08170000000001</v>
      </c>
      <c r="J2845">
        <v>-342.03500000000003</v>
      </c>
      <c r="K2845">
        <v>1.1212009999999999</v>
      </c>
      <c r="L2845">
        <v>214.19739999999999</v>
      </c>
      <c r="M2845">
        <v>0.99988679999999996</v>
      </c>
      <c r="N2845">
        <v>-1.463213E-2</v>
      </c>
      <c r="O2845">
        <v>-3.534457E-3</v>
      </c>
      <c r="P2845">
        <v>0.97667559999999998</v>
      </c>
      <c r="Q2845">
        <v>0.21423130000000001</v>
      </c>
      <c r="R2845">
        <v>-1.449103E-2</v>
      </c>
      <c r="S2845">
        <v>3.1957089999999999</v>
      </c>
      <c r="T2845">
        <v>-0.59358409999999995</v>
      </c>
      <c r="U2845">
        <v>-0.41589359999999997</v>
      </c>
      <c r="V2845">
        <v>1.086935E-2</v>
      </c>
      <c r="W2845">
        <v>0.2285085</v>
      </c>
      <c r="X2845">
        <v>0.97348120000000005</v>
      </c>
      <c r="Y2845">
        <v>0.12335409999999999</v>
      </c>
      <c r="Z2845">
        <v>-1.1629820000000001E-2</v>
      </c>
      <c r="AA2845">
        <v>0.99229449999999997</v>
      </c>
      <c r="AB2845">
        <v>47</v>
      </c>
      <c r="AC2845">
        <v>0.41920000000004598</v>
      </c>
      <c r="AD2845">
        <v>-0.16699539999999999</v>
      </c>
      <c r="AE2845">
        <v>-0.115699999999975</v>
      </c>
      <c r="AF2845">
        <v>9.9539144395492704E-2</v>
      </c>
      <c r="AG2845">
        <v>-0.16699539999999999</v>
      </c>
      <c r="AH2845">
        <v>0.36568185784854601</v>
      </c>
      <c r="AI2845">
        <v>113.78001903373899</v>
      </c>
      <c r="AJ2845">
        <v>74.772924900333905</v>
      </c>
      <c r="AK2845">
        <v>0.41414819334111602</v>
      </c>
      <c r="AL2845">
        <v>76.790722687391295</v>
      </c>
      <c r="AM2845">
        <v>89.360293754597507</v>
      </c>
      <c r="AN2845">
        <v>0.99999996204755504</v>
      </c>
    </row>
    <row r="2846" spans="1:40" x14ac:dyDescent="0.25">
      <c r="A2846" t="str">
        <f>"20190303171033192"</f>
        <v>20190303171033192</v>
      </c>
      <c r="B2846" t="str">
        <f>"1551604233183076"</f>
        <v>1551604233183076</v>
      </c>
      <c r="C2846" t="s">
        <v>40</v>
      </c>
      <c r="D2846">
        <v>4.6876689999999996</v>
      </c>
      <c r="E2846">
        <v>0.55579979999999995</v>
      </c>
      <c r="F2846" t="s">
        <v>43</v>
      </c>
      <c r="G2846">
        <v>-341.19199999999898</v>
      </c>
      <c r="H2846">
        <v>0.96274199999999999</v>
      </c>
      <c r="I2846">
        <v>214.08709999999999</v>
      </c>
      <c r="J2846">
        <v>-341.54860000000002</v>
      </c>
      <c r="K2846">
        <v>1.121213</v>
      </c>
      <c r="L2846">
        <v>214.19589999999999</v>
      </c>
      <c r="M2846">
        <v>0.99988750000000004</v>
      </c>
      <c r="N2846">
        <v>-1.464652E-2</v>
      </c>
      <c r="O2846">
        <v>-3.2446240000000002E-3</v>
      </c>
      <c r="P2846">
        <v>0.97663710000000004</v>
      </c>
      <c r="Q2846">
        <v>0.21447089999999999</v>
      </c>
      <c r="R2846">
        <v>-1.351657E-2</v>
      </c>
      <c r="S2846">
        <v>3.1972049999999999</v>
      </c>
      <c r="T2846">
        <v>-0.60098430000000003</v>
      </c>
      <c r="U2846">
        <v>-0.41781620000000003</v>
      </c>
      <c r="V2846">
        <v>1.0173E-2</v>
      </c>
      <c r="W2846">
        <v>0.22876050000000001</v>
      </c>
      <c r="X2846">
        <v>0.97342960000000001</v>
      </c>
      <c r="Y2846">
        <v>0.1241004</v>
      </c>
      <c r="Z2846">
        <v>-1.1880720000000001E-2</v>
      </c>
      <c r="AA2846">
        <v>0.99219849999999998</v>
      </c>
      <c r="AB2846">
        <v>47</v>
      </c>
      <c r="AC2846">
        <v>0.35660000000007103</v>
      </c>
      <c r="AD2846">
        <v>-0.158471</v>
      </c>
      <c r="AE2846">
        <v>-0.10880000000000201</v>
      </c>
      <c r="AF2846">
        <v>9.1170637009917302E-2</v>
      </c>
      <c r="AG2846">
        <v>-0.158471</v>
      </c>
      <c r="AH2846">
        <v>0.30232980035321</v>
      </c>
      <c r="AI2846">
        <v>116.649509393974</v>
      </c>
      <c r="AJ2846">
        <v>73.218778872995799</v>
      </c>
      <c r="AK2846">
        <v>0.35331070048245899</v>
      </c>
      <c r="AL2846">
        <v>76.775892098278106</v>
      </c>
      <c r="AM2846">
        <v>89.401242014144103</v>
      </c>
      <c r="AN2846">
        <v>1.0000000212227</v>
      </c>
    </row>
    <row r="2847" spans="1:40" x14ac:dyDescent="0.25">
      <c r="A2847" t="str">
        <f>"20190303171033213"</f>
        <v>20190303171033213</v>
      </c>
      <c r="B2847" t="str">
        <f>"1551604233203576"</f>
        <v>1551604233203576</v>
      </c>
      <c r="C2847" t="s">
        <v>40</v>
      </c>
      <c r="D2847">
        <v>4.6635460000000002</v>
      </c>
      <c r="E2847">
        <v>0.56904259999999995</v>
      </c>
      <c r="F2847" t="s">
        <v>43</v>
      </c>
      <c r="G2847">
        <v>-340.767</v>
      </c>
      <c r="H2847">
        <v>0.97407469999999996</v>
      </c>
      <c r="I2847">
        <v>214.09360000000001</v>
      </c>
      <c r="J2847">
        <v>-341.1078</v>
      </c>
      <c r="K2847">
        <v>1.1212310000000001</v>
      </c>
      <c r="L2847">
        <v>214.19470000000001</v>
      </c>
      <c r="M2847">
        <v>0.9998882</v>
      </c>
      <c r="N2847">
        <v>-1.4657389999999999E-2</v>
      </c>
      <c r="O2847">
        <v>-2.9810380000000001E-3</v>
      </c>
      <c r="P2847">
        <v>0.97657360000000004</v>
      </c>
      <c r="Q2847">
        <v>0.21484300000000001</v>
      </c>
      <c r="R2847">
        <v>-1.20984E-2</v>
      </c>
      <c r="S2847">
        <v>3.1982119999999998</v>
      </c>
      <c r="T2847">
        <v>-0.60216700000000001</v>
      </c>
      <c r="U2847">
        <v>-0.417572</v>
      </c>
      <c r="V2847">
        <v>9.0089929999999999E-3</v>
      </c>
      <c r="W2847">
        <v>0.22914119999999999</v>
      </c>
      <c r="X2847">
        <v>0.97335150000000004</v>
      </c>
      <c r="Y2847">
        <v>0.1242336</v>
      </c>
      <c r="Z2847">
        <v>-1.1957799999999999E-2</v>
      </c>
      <c r="AA2847">
        <v>0.99218090000000003</v>
      </c>
      <c r="AB2847">
        <v>47</v>
      </c>
      <c r="AC2847">
        <v>0.34080000000000099</v>
      </c>
      <c r="AD2847">
        <v>-0.14715629999999899</v>
      </c>
      <c r="AE2847">
        <v>-0.10110000000000199</v>
      </c>
      <c r="AF2847">
        <v>8.5441605237116205E-2</v>
      </c>
      <c r="AG2847">
        <v>-0.14715629999999899</v>
      </c>
      <c r="AH2847">
        <v>0.29119806900142098</v>
      </c>
      <c r="AI2847">
        <v>115.869001189972</v>
      </c>
      <c r="AJ2847">
        <v>73.647570142702506</v>
      </c>
      <c r="AK2847">
        <v>0.33727075166005999</v>
      </c>
      <c r="AL2847">
        <v>76.753484075337596</v>
      </c>
      <c r="AM2847">
        <v>89.4697059206771</v>
      </c>
      <c r="AN2847">
        <v>0.99999999702228104</v>
      </c>
    </row>
    <row r="2848" spans="1:40" x14ac:dyDescent="0.25">
      <c r="A2848" t="str">
        <f>"20190303171033234"</f>
        <v>20190303171033234</v>
      </c>
      <c r="B2848" t="str">
        <f>"1551604233223092"</f>
        <v>1551604233223092</v>
      </c>
      <c r="C2848" t="s">
        <v>40</v>
      </c>
      <c r="D2848">
        <v>4.6641269999999997</v>
      </c>
      <c r="E2848">
        <v>0.56935019999999903</v>
      </c>
      <c r="F2848" t="s">
        <v>43</v>
      </c>
      <c r="G2848">
        <v>-340.34949999999998</v>
      </c>
      <c r="H2848">
        <v>0.96984769999999998</v>
      </c>
      <c r="I2848">
        <v>214.07220000000001</v>
      </c>
      <c r="J2848">
        <v>-340.65480000000002</v>
      </c>
      <c r="K2848">
        <v>1.121238</v>
      </c>
      <c r="L2848">
        <v>214.1936</v>
      </c>
      <c r="M2848">
        <v>0.99988889999999997</v>
      </c>
      <c r="N2848">
        <v>-1.4667029999999999E-2</v>
      </c>
      <c r="O2848">
        <v>-2.7093590000000002E-3</v>
      </c>
      <c r="P2848">
        <v>0.9765682</v>
      </c>
      <c r="Q2848">
        <v>0.2149441</v>
      </c>
      <c r="R2848">
        <v>-1.068619E-2</v>
      </c>
      <c r="S2848">
        <v>3.2064210000000002</v>
      </c>
      <c r="T2848">
        <v>-0.64015599999999995</v>
      </c>
      <c r="U2848">
        <v>-0.51686100000000001</v>
      </c>
      <c r="V2848">
        <v>7.8590199999999995E-3</v>
      </c>
      <c r="W2848">
        <v>0.22925119999999999</v>
      </c>
      <c r="X2848">
        <v>0.97333559999999997</v>
      </c>
      <c r="Y2848">
        <v>0.1533351</v>
      </c>
      <c r="Z2848">
        <v>-1.5712710000000001E-2</v>
      </c>
      <c r="AA2848">
        <v>0.98804930000000002</v>
      </c>
      <c r="AB2848">
        <v>47</v>
      </c>
      <c r="AC2848">
        <v>0.30530000000004498</v>
      </c>
      <c r="AD2848">
        <v>-0.15139030000000001</v>
      </c>
      <c r="AE2848">
        <v>-0.121399999999994</v>
      </c>
      <c r="AF2848">
        <v>9.9455897843828994E-2</v>
      </c>
      <c r="AG2848">
        <v>-0.15139030000000001</v>
      </c>
      <c r="AH2848">
        <v>0.25210177443014198</v>
      </c>
      <c r="AI2848">
        <v>119.188328665961</v>
      </c>
      <c r="AJ2848">
        <v>68.470421951081605</v>
      </c>
      <c r="AK2848">
        <v>0.31042841883570899</v>
      </c>
      <c r="AL2848">
        <v>76.747009672513599</v>
      </c>
      <c r="AM2848">
        <v>89.537385777290496</v>
      </c>
      <c r="AN2848">
        <v>1.00000003356207</v>
      </c>
    </row>
    <row r="2849" spans="1:40" x14ac:dyDescent="0.25">
      <c r="A2849" t="str">
        <f>"20190303171033258"</f>
        <v>20190303171033258</v>
      </c>
      <c r="B2849" t="str">
        <f>"1551604233253348"</f>
        <v>1551604233253348</v>
      </c>
      <c r="C2849" t="s">
        <v>40</v>
      </c>
      <c r="D2849">
        <v>4.6452780000000002</v>
      </c>
      <c r="E2849">
        <v>0.56983509999999904</v>
      </c>
      <c r="F2849" t="s">
        <v>43</v>
      </c>
      <c r="G2849">
        <v>-339.92739999999998</v>
      </c>
      <c r="H2849">
        <v>0.97662150000000003</v>
      </c>
      <c r="I2849">
        <v>214.0762</v>
      </c>
      <c r="J2849">
        <v>-340.1721</v>
      </c>
      <c r="K2849">
        <v>1.121245</v>
      </c>
      <c r="L2849">
        <v>214.1925</v>
      </c>
      <c r="M2849">
        <v>0.99988949999999999</v>
      </c>
      <c r="N2849">
        <v>-1.467532E-2</v>
      </c>
      <c r="O2849">
        <v>-2.4187369999999998E-3</v>
      </c>
      <c r="P2849">
        <v>0.97662090000000001</v>
      </c>
      <c r="Q2849">
        <v>0.2147511</v>
      </c>
      <c r="R2849">
        <v>-9.6800719999999996E-3</v>
      </c>
      <c r="S2849">
        <v>3.206696</v>
      </c>
      <c r="T2849">
        <v>-0.63768080000000005</v>
      </c>
      <c r="U2849">
        <v>-0.51583859999999904</v>
      </c>
      <c r="V2849">
        <v>7.1349719999999998E-3</v>
      </c>
      <c r="W2849">
        <v>0.22906599999999999</v>
      </c>
      <c r="X2849">
        <v>0.97338469999999999</v>
      </c>
      <c r="Y2849">
        <v>0.1533206</v>
      </c>
      <c r="Z2849">
        <v>-1.5708440000000001E-2</v>
      </c>
      <c r="AA2849">
        <v>0.98805169999999998</v>
      </c>
      <c r="AB2849">
        <v>47</v>
      </c>
      <c r="AC2849">
        <v>0.24470000000002301</v>
      </c>
      <c r="AD2849">
        <v>-0.14462349999999999</v>
      </c>
      <c r="AE2849">
        <v>-0.116299999999995</v>
      </c>
      <c r="AF2849">
        <v>9.0048860729216099E-2</v>
      </c>
      <c r="AG2849">
        <v>-0.14462349999999999</v>
      </c>
      <c r="AH2849">
        <v>0.190654720553182</v>
      </c>
      <c r="AI2849">
        <v>124.446411277031</v>
      </c>
      <c r="AJ2849">
        <v>64.717986336200397</v>
      </c>
      <c r="AK2849">
        <v>0.25568335209804199</v>
      </c>
      <c r="AL2849">
        <v>76.757909913411396</v>
      </c>
      <c r="AM2849">
        <v>89.580025799535704</v>
      </c>
      <c r="AN2849">
        <v>0.99999995718776402</v>
      </c>
    </row>
    <row r="2850" spans="1:40" x14ac:dyDescent="0.25">
      <c r="A2850" t="str">
        <f>"20190303171033282"</f>
        <v>20190303171033282</v>
      </c>
      <c r="B2850" t="str">
        <f>"1551604233273844"</f>
        <v>1551604233273844</v>
      </c>
      <c r="C2850" t="s">
        <v>40</v>
      </c>
      <c r="D2850">
        <v>4.6245890000000003</v>
      </c>
      <c r="E2850">
        <v>0.57004670000000002</v>
      </c>
      <c r="F2850" t="s">
        <v>43</v>
      </c>
      <c r="G2850">
        <v>-339.11869999999999</v>
      </c>
      <c r="H2850">
        <v>0.91154250000000003</v>
      </c>
      <c r="I2850">
        <v>214.0222</v>
      </c>
      <c r="J2850">
        <v>-339.66059999999999</v>
      </c>
      <c r="K2850">
        <v>1.121256</v>
      </c>
      <c r="L2850">
        <v>214.19149999999999</v>
      </c>
      <c r="M2850">
        <v>0.9998901</v>
      </c>
      <c r="N2850">
        <v>-1.4681990000000001E-2</v>
      </c>
      <c r="O2850">
        <v>-2.1102360000000001E-3</v>
      </c>
      <c r="P2850">
        <v>0.97651140000000003</v>
      </c>
      <c r="Q2850">
        <v>0.2152925</v>
      </c>
      <c r="R2850">
        <v>-8.6400580000000008E-3</v>
      </c>
      <c r="S2850">
        <v>3.2071230000000002</v>
      </c>
      <c r="T2850">
        <v>-0.63859750000000004</v>
      </c>
      <c r="U2850">
        <v>-0.5172272</v>
      </c>
      <c r="V2850">
        <v>6.3944379999999997E-3</v>
      </c>
      <c r="W2850">
        <v>0.22961229999999999</v>
      </c>
      <c r="X2850">
        <v>0.97326120000000005</v>
      </c>
      <c r="Y2850">
        <v>0.15399499999999999</v>
      </c>
      <c r="Z2850">
        <v>-1.5854259999999998E-2</v>
      </c>
      <c r="AA2850">
        <v>0.98794439999999994</v>
      </c>
      <c r="AB2850">
        <v>47</v>
      </c>
      <c r="AC2850">
        <v>0.54189999999999805</v>
      </c>
      <c r="AD2850">
        <v>-0.2097135</v>
      </c>
      <c r="AE2850">
        <v>-0.16929999999999201</v>
      </c>
      <c r="AF2850">
        <v>0.147966225213744</v>
      </c>
      <c r="AG2850">
        <v>-0.2097135</v>
      </c>
      <c r="AH2850">
        <v>0.47714981982840099</v>
      </c>
      <c r="AI2850">
        <v>112.772253808863</v>
      </c>
      <c r="AJ2850">
        <v>72.771110387252904</v>
      </c>
      <c r="AK2850">
        <v>0.54179858476054499</v>
      </c>
      <c r="AL2850">
        <v>76.725753099677704</v>
      </c>
      <c r="AM2850">
        <v>89.623565556495393</v>
      </c>
      <c r="AN2850">
        <v>1.00000003028703</v>
      </c>
    </row>
    <row r="2851" spans="1:40" x14ac:dyDescent="0.25">
      <c r="A2851" t="str">
        <f>"20190303171033305"</f>
        <v>20190303171033305</v>
      </c>
      <c r="B2851" t="str">
        <f>"1551604233293365"</f>
        <v>1551604233293365</v>
      </c>
      <c r="C2851" t="s">
        <v>40</v>
      </c>
      <c r="D2851">
        <v>4.7833809999999897</v>
      </c>
      <c r="E2851">
        <v>0.56976439999999995</v>
      </c>
      <c r="F2851" t="s">
        <v>43</v>
      </c>
      <c r="G2851">
        <v>-338.69380000000001</v>
      </c>
      <c r="H2851">
        <v>0.92925429999999998</v>
      </c>
      <c r="I2851">
        <v>214.03569999999999</v>
      </c>
      <c r="J2851">
        <v>-339.20209999999997</v>
      </c>
      <c r="K2851">
        <v>1.121264</v>
      </c>
      <c r="L2851">
        <v>214.1908</v>
      </c>
      <c r="M2851">
        <v>0.99989059999999996</v>
      </c>
      <c r="N2851">
        <v>-1.4686690000000001E-2</v>
      </c>
      <c r="O2851">
        <v>-1.8330880000000001E-3</v>
      </c>
      <c r="P2851">
        <v>0.97639909999999996</v>
      </c>
      <c r="Q2851">
        <v>0.2158301</v>
      </c>
      <c r="R2851">
        <v>-7.8997709999999999E-3</v>
      </c>
      <c r="S2851">
        <v>3.2080380000000002</v>
      </c>
      <c r="T2851">
        <v>-0.63708509999999996</v>
      </c>
      <c r="U2851">
        <v>-0.51701350000000001</v>
      </c>
      <c r="V2851">
        <v>5.9234519999999896E-3</v>
      </c>
      <c r="W2851">
        <v>0.23015240000000001</v>
      </c>
      <c r="X2851">
        <v>0.97313649999999996</v>
      </c>
      <c r="Y2851">
        <v>0.154168</v>
      </c>
      <c r="Z2851">
        <v>-1.5884849999999999E-2</v>
      </c>
      <c r="AA2851">
        <v>0.98791689999999999</v>
      </c>
      <c r="AB2851">
        <v>47</v>
      </c>
      <c r="AC2851">
        <v>0.508299999999962</v>
      </c>
      <c r="AD2851">
        <v>-0.19200970000000001</v>
      </c>
      <c r="AE2851">
        <v>-0.15510000000000401</v>
      </c>
      <c r="AF2851">
        <v>0.136366595392826</v>
      </c>
      <c r="AG2851">
        <v>-0.19200970000000001</v>
      </c>
      <c r="AH2851">
        <v>0.44985893707819402</v>
      </c>
      <c r="AI2851">
        <v>112.218422393602</v>
      </c>
      <c r="AJ2851">
        <v>73.136269758476502</v>
      </c>
      <c r="AK2851">
        <v>0.50777616771786704</v>
      </c>
      <c r="AL2851">
        <v>76.693954730903002</v>
      </c>
      <c r="AM2851">
        <v>89.651246656296806</v>
      </c>
      <c r="AN2851">
        <v>0.99999993107079999</v>
      </c>
    </row>
    <row r="2852" spans="1:40" x14ac:dyDescent="0.25">
      <c r="A2852" t="str">
        <f>"20190303171033324"</f>
        <v>20190303171033324</v>
      </c>
      <c r="B2852" t="str">
        <f>"1551604233313860"</f>
        <v>1551604233313860</v>
      </c>
      <c r="C2852" t="s">
        <v>40</v>
      </c>
      <c r="D2852">
        <v>4.6883850000000002</v>
      </c>
      <c r="E2852">
        <v>0.5265609</v>
      </c>
      <c r="F2852" t="s">
        <v>43</v>
      </c>
      <c r="G2852">
        <v>-338.27280000000002</v>
      </c>
      <c r="H2852">
        <v>0.93739470000000003</v>
      </c>
      <c r="I2852">
        <v>214.04159999999999</v>
      </c>
      <c r="J2852">
        <v>-338.77679999999998</v>
      </c>
      <c r="K2852">
        <v>1.1212719999999901</v>
      </c>
      <c r="L2852">
        <v>214.1902</v>
      </c>
      <c r="M2852">
        <v>0.99989099999999997</v>
      </c>
      <c r="N2852">
        <v>-1.4690170000000001E-2</v>
      </c>
      <c r="O2852">
        <v>-1.576203E-3</v>
      </c>
      <c r="P2852">
        <v>0.97632609999999997</v>
      </c>
      <c r="Q2852">
        <v>0.21618689999999999</v>
      </c>
      <c r="R2852">
        <v>-7.1221050000000001E-3</v>
      </c>
      <c r="S2852">
        <v>3.208771</v>
      </c>
      <c r="T2852">
        <v>-0.63502689999999995</v>
      </c>
      <c r="U2852">
        <v>-0.51377870000000003</v>
      </c>
      <c r="V2852">
        <v>5.395548E-3</v>
      </c>
      <c r="W2852">
        <v>0.2305111</v>
      </c>
      <c r="X2852">
        <v>0.97305469999999905</v>
      </c>
      <c r="Y2852">
        <v>0.15344579999999999</v>
      </c>
      <c r="Z2852">
        <v>-1.5806819999999999E-2</v>
      </c>
      <c r="AA2852">
        <v>0.98803059999999998</v>
      </c>
      <c r="AB2852">
        <v>47</v>
      </c>
      <c r="AC2852">
        <v>0.50399999999996203</v>
      </c>
      <c r="AD2852">
        <v>-0.18387729999999899</v>
      </c>
      <c r="AE2852">
        <v>-0.148600000000016</v>
      </c>
      <c r="AF2852">
        <v>0.13167985373322399</v>
      </c>
      <c r="AG2852">
        <v>-0.18387729999999899</v>
      </c>
      <c r="AH2852">
        <v>0.44922204526049903</v>
      </c>
      <c r="AI2852">
        <v>111.444710551496</v>
      </c>
      <c r="AJ2852">
        <v>73.662627160933397</v>
      </c>
      <c r="AK2852">
        <v>0.50294223453844</v>
      </c>
      <c r="AL2852">
        <v>76.672835315042803</v>
      </c>
      <c r="AM2852">
        <v>89.682300532266197</v>
      </c>
      <c r="AN2852">
        <v>0.99999996417675896</v>
      </c>
    </row>
    <row r="2853" spans="1:40" x14ac:dyDescent="0.25">
      <c r="A2853" t="str">
        <f>"20190303171033348"</f>
        <v>20190303171033348</v>
      </c>
      <c r="B2853" t="str">
        <f>"1551604233333384"</f>
        <v>1551604233333384</v>
      </c>
      <c r="C2853" t="s">
        <v>40</v>
      </c>
      <c r="D2853">
        <v>4.5912540000000002</v>
      </c>
      <c r="E2853">
        <v>0.50161639999999996</v>
      </c>
      <c r="F2853" t="s">
        <v>43</v>
      </c>
      <c r="G2853">
        <v>-337.82170000000002</v>
      </c>
      <c r="H2853">
        <v>1.0096969999999901</v>
      </c>
      <c r="I2853">
        <v>214.13560000000001</v>
      </c>
      <c r="J2853">
        <v>-338.30220000000003</v>
      </c>
      <c r="K2853">
        <v>1.121273</v>
      </c>
      <c r="L2853">
        <v>214.18960000000001</v>
      </c>
      <c r="M2853">
        <v>0.99989119999999998</v>
      </c>
      <c r="N2853">
        <v>-1.469325E-2</v>
      </c>
      <c r="O2853">
        <v>-1.2893990000000001E-3</v>
      </c>
      <c r="P2853">
        <v>0.97638530000000001</v>
      </c>
      <c r="Q2853">
        <v>0.2159404</v>
      </c>
      <c r="R2853">
        <v>-6.4392069999999997E-3</v>
      </c>
      <c r="S2853">
        <v>3.1530149999999999</v>
      </c>
      <c r="T2853">
        <v>-0.3683652</v>
      </c>
      <c r="U2853">
        <v>-0.1799316</v>
      </c>
      <c r="V2853">
        <v>4.9920590000000001E-3</v>
      </c>
      <c r="W2853">
        <v>0.230268</v>
      </c>
      <c r="X2853">
        <v>0.97311440000000005</v>
      </c>
      <c r="Y2853">
        <v>5.5270739999999999E-2</v>
      </c>
      <c r="Z2853">
        <v>-3.491914E-3</v>
      </c>
      <c r="AA2853">
        <v>0.9984653</v>
      </c>
      <c r="AB2853">
        <v>47</v>
      </c>
      <c r="AC2853">
        <v>0.48050000000000598</v>
      </c>
      <c r="AD2853">
        <v>-0.11157599999999999</v>
      </c>
      <c r="AE2853">
        <v>-5.4000000000001998E-2</v>
      </c>
      <c r="AF2853">
        <v>5.06816318831151E-2</v>
      </c>
      <c r="AG2853">
        <v>-0.11157599999999999</v>
      </c>
      <c r="AH2853">
        <v>0.45627354094932399</v>
      </c>
      <c r="AI2853">
        <v>103.660461748561</v>
      </c>
      <c r="AJ2853">
        <v>83.661722007665901</v>
      </c>
      <c r="AK2853">
        <v>0.47244404510668803</v>
      </c>
      <c r="AL2853">
        <v>76.687148840685893</v>
      </c>
      <c r="AM2853">
        <v>89.706076281729693</v>
      </c>
      <c r="AN2853">
        <v>0.99999995398220798</v>
      </c>
    </row>
    <row r="2854" spans="1:40" x14ac:dyDescent="0.25">
      <c r="A2854" t="str">
        <f>"20190303171033370"</f>
        <v>20190303171033370</v>
      </c>
      <c r="B2854" t="str">
        <f>"1551604233363636"</f>
        <v>1551604233363636</v>
      </c>
      <c r="C2854" t="s">
        <v>40</v>
      </c>
      <c r="D2854">
        <v>4.7424660000000003</v>
      </c>
      <c r="E2854">
        <v>0.49972830000000001</v>
      </c>
      <c r="F2854" t="s">
        <v>53</v>
      </c>
      <c r="G2854">
        <v>-240.20509999999999</v>
      </c>
      <c r="H2854" s="1">
        <v>-1.413106E-6</v>
      </c>
      <c r="I2854">
        <v>214.2834</v>
      </c>
      <c r="J2854">
        <v>-337.82740000000001</v>
      </c>
      <c r="K2854">
        <v>1.121278</v>
      </c>
      <c r="L2854">
        <v>214.1893</v>
      </c>
      <c r="M2854">
        <v>0.99989159999999999</v>
      </c>
      <c r="N2854">
        <v>-1.469561E-2</v>
      </c>
      <c r="O2854">
        <v>-1.0024789999999999E-3</v>
      </c>
      <c r="P2854">
        <v>0.976464</v>
      </c>
      <c r="Q2854">
        <v>0.21560560000000001</v>
      </c>
      <c r="R2854">
        <v>-5.6985880000000001E-3</v>
      </c>
      <c r="S2854">
        <v>3.0803530000000001</v>
      </c>
      <c r="T2854">
        <v>-3.520918E-2</v>
      </c>
      <c r="U2854">
        <v>2.9449459999999999E-3</v>
      </c>
      <c r="V2854">
        <v>4.5312199999999999E-3</v>
      </c>
      <c r="W2854">
        <v>0.22993620000000001</v>
      </c>
      <c r="X2854">
        <v>0.97319509999999998</v>
      </c>
      <c r="Y2854">
        <v>-1.9583299999999999E-3</v>
      </c>
      <c r="Z2854" s="1">
        <v>2.230824E-5</v>
      </c>
      <c r="AA2854">
        <v>0.9999981</v>
      </c>
      <c r="AB2854">
        <v>47</v>
      </c>
      <c r="AC2854">
        <v>97.622299999999996</v>
      </c>
      <c r="AD2854">
        <v>-1.121279413106</v>
      </c>
      <c r="AE2854">
        <v>9.4099999999997394E-2</v>
      </c>
      <c r="AF2854">
        <v>-0.19194949577689799</v>
      </c>
      <c r="AG2854">
        <v>-1.121279413106</v>
      </c>
      <c r="AH2854">
        <v>97.609279425454901</v>
      </c>
      <c r="AI2854">
        <v>90.658150828456698</v>
      </c>
      <c r="AJ2854">
        <v>90.112672502815101</v>
      </c>
      <c r="AK2854">
        <v>97.615908242907395</v>
      </c>
      <c r="AL2854">
        <v>76.706683655144403</v>
      </c>
      <c r="AM2854">
        <v>89.733231388024294</v>
      </c>
      <c r="AN2854">
        <v>0.99999994534456704</v>
      </c>
    </row>
    <row r="2855" spans="1:40" x14ac:dyDescent="0.25">
      <c r="A2855" t="str">
        <f>"20190303171033392"</f>
        <v>20190303171033392</v>
      </c>
      <c r="B2855" t="str">
        <f>"1551604233383159"</f>
        <v>1551604233383159</v>
      </c>
      <c r="C2855" t="s">
        <v>40</v>
      </c>
      <c r="D2855">
        <v>4.7954589999999904</v>
      </c>
      <c r="E2855">
        <v>0.49998130000000002</v>
      </c>
      <c r="F2855" t="s">
        <v>77</v>
      </c>
      <c r="G2855">
        <v>-107.39749999999999</v>
      </c>
      <c r="H2855">
        <v>0.85007129999999997</v>
      </c>
      <c r="I2855">
        <v>215.59190000000001</v>
      </c>
      <c r="J2855">
        <v>-337.36349999999999</v>
      </c>
      <c r="K2855">
        <v>1.1212789999999999</v>
      </c>
      <c r="L2855">
        <v>214.18899999999999</v>
      </c>
      <c r="M2855">
        <v>0.99989189999999994</v>
      </c>
      <c r="N2855">
        <v>-1.4697160000000001E-2</v>
      </c>
      <c r="O2855">
        <v>-7.21877E-4</v>
      </c>
      <c r="P2855">
        <v>0.97653440000000002</v>
      </c>
      <c r="Q2855">
        <v>0.2152878</v>
      </c>
      <c r="R2855">
        <v>-5.6548809999999996E-3</v>
      </c>
      <c r="S2855">
        <v>3.0731809999999999</v>
      </c>
      <c r="T2855">
        <v>-3.6163329999999998E-3</v>
      </c>
      <c r="U2855">
        <v>1.870728E-2</v>
      </c>
      <c r="V2855">
        <v>4.7615169999999998E-3</v>
      </c>
      <c r="W2855">
        <v>0.22962109999999999</v>
      </c>
      <c r="X2855">
        <v>0.97326840000000003</v>
      </c>
      <c r="Y2855">
        <v>-6.8089659999999996E-3</v>
      </c>
      <c r="Z2855" s="1">
        <v>4.428519E-5</v>
      </c>
      <c r="AA2855">
        <v>0.9999768</v>
      </c>
      <c r="AB2855">
        <v>47</v>
      </c>
      <c r="AC2855">
        <v>229.96599999999901</v>
      </c>
      <c r="AD2855">
        <v>-0.2712077</v>
      </c>
      <c r="AE2855">
        <v>1.4028999999999801</v>
      </c>
      <c r="AF2855">
        <v>-1.5689225225830901</v>
      </c>
      <c r="AG2855">
        <v>-0.2712077</v>
      </c>
      <c r="AH2855">
        <v>229.96460740644801</v>
      </c>
      <c r="AI2855">
        <v>90.067569909675697</v>
      </c>
      <c r="AJ2855">
        <v>90.390891647501405</v>
      </c>
      <c r="AK2855">
        <v>229.97011921356199</v>
      </c>
      <c r="AL2855">
        <v>76.725233970319906</v>
      </c>
      <c r="AM2855">
        <v>89.719694329289297</v>
      </c>
      <c r="AN2855">
        <v>0.99999995002395403</v>
      </c>
    </row>
    <row r="2856" spans="1:40" x14ac:dyDescent="0.25">
      <c r="A2856" t="str">
        <f>"20190303171033414"</f>
        <v>20190303171033414</v>
      </c>
      <c r="B2856" t="str">
        <f>"1551604233403652"</f>
        <v>1551604233403652</v>
      </c>
      <c r="C2856" t="s">
        <v>40</v>
      </c>
      <c r="D2856">
        <v>4.7375449999999999</v>
      </c>
      <c r="E2856">
        <v>0.50039509999999998</v>
      </c>
      <c r="F2856" t="s">
        <v>77</v>
      </c>
      <c r="G2856">
        <v>-107.39749999999999</v>
      </c>
      <c r="H2856">
        <v>0.9269676</v>
      </c>
      <c r="I2856">
        <v>215.49770000000001</v>
      </c>
      <c r="J2856">
        <v>-336.91950000000003</v>
      </c>
      <c r="K2856">
        <v>1.121278</v>
      </c>
      <c r="L2856">
        <v>214.18889999999999</v>
      </c>
      <c r="M2856">
        <v>0.99989189999999994</v>
      </c>
      <c r="N2856">
        <v>-1.4698009999999999E-2</v>
      </c>
      <c r="O2856">
        <v>-4.52955E-4</v>
      </c>
      <c r="P2856">
        <v>0.97655029999999998</v>
      </c>
      <c r="Q2856">
        <v>0.2152115</v>
      </c>
      <c r="R2856">
        <v>-5.7917480000000002E-3</v>
      </c>
      <c r="S2856">
        <v>3.0727540000000002</v>
      </c>
      <c r="T2856">
        <v>-2.5956629999999998E-3</v>
      </c>
      <c r="U2856">
        <v>1.748657E-2</v>
      </c>
      <c r="V2856">
        <v>5.1609480000000003E-3</v>
      </c>
      <c r="W2856">
        <v>0.22954640000000001</v>
      </c>
      <c r="X2856">
        <v>0.97328409999999999</v>
      </c>
      <c r="Y2856">
        <v>-6.1436679999999997E-3</v>
      </c>
      <c r="Z2856" s="1">
        <v>4.1472420000000001E-5</v>
      </c>
      <c r="AA2856">
        <v>0.99998109999999996</v>
      </c>
      <c r="AB2856">
        <v>47</v>
      </c>
      <c r="AC2856">
        <v>229.52199999999999</v>
      </c>
      <c r="AD2856">
        <v>-0.19431039999999999</v>
      </c>
      <c r="AE2856">
        <v>1.30880000000001</v>
      </c>
      <c r="AF2856">
        <v>-1.4127732196649101</v>
      </c>
      <c r="AG2856">
        <v>-0.19431039999999999</v>
      </c>
      <c r="AH2856">
        <v>229.52121906326599</v>
      </c>
      <c r="AI2856">
        <v>90.048505111299903</v>
      </c>
      <c r="AJ2856">
        <v>90.352668572265301</v>
      </c>
      <c r="AK2856">
        <v>229.52564929652101</v>
      </c>
      <c r="AL2856">
        <v>76.729632942273099</v>
      </c>
      <c r="AM2856">
        <v>89.696185556446693</v>
      </c>
      <c r="AN2856">
        <v>1.00000006222501</v>
      </c>
    </row>
    <row r="2857" spans="1:40" x14ac:dyDescent="0.25">
      <c r="A2857" t="str">
        <f>"20190303171033436"</f>
        <v>20190303171033436</v>
      </c>
      <c r="B2857" t="str">
        <f>"1551604233423175"</f>
        <v>1551604233423175</v>
      </c>
      <c r="C2857" t="s">
        <v>40</v>
      </c>
      <c r="D2857">
        <v>4.7319680000000002</v>
      </c>
      <c r="E2857">
        <v>0.50068970000000002</v>
      </c>
      <c r="F2857" t="s">
        <v>77</v>
      </c>
      <c r="G2857">
        <v>-107.39749999999999</v>
      </c>
      <c r="H2857">
        <v>0.88813839999999999</v>
      </c>
      <c r="I2857">
        <v>215.22380000000001</v>
      </c>
      <c r="J2857">
        <v>-336.45229999999998</v>
      </c>
      <c r="K2857">
        <v>1.1212819999999999</v>
      </c>
      <c r="L2857">
        <v>214.18889999999999</v>
      </c>
      <c r="M2857">
        <v>0.999892</v>
      </c>
      <c r="N2857">
        <v>-1.46984E-2</v>
      </c>
      <c r="O2857">
        <v>-1.6984890000000001E-4</v>
      </c>
      <c r="P2857">
        <v>0.97655179999999997</v>
      </c>
      <c r="Q2857">
        <v>0.21519260000000001</v>
      </c>
      <c r="R2857">
        <v>-6.2606060000000002E-3</v>
      </c>
      <c r="S2857">
        <v>3.072784</v>
      </c>
      <c r="T2857">
        <v>-3.120542E-3</v>
      </c>
      <c r="U2857">
        <v>1.3854979999999999E-2</v>
      </c>
      <c r="V2857">
        <v>5.9059990000000003E-3</v>
      </c>
      <c r="W2857">
        <v>0.22952819999999999</v>
      </c>
      <c r="X2857">
        <v>0.97328409999999999</v>
      </c>
      <c r="Y2857">
        <v>-4.6787010000000004E-3</v>
      </c>
      <c r="Z2857" s="1">
        <v>3.443842E-5</v>
      </c>
      <c r="AA2857">
        <v>0.99998900000000002</v>
      </c>
      <c r="AB2857">
        <v>47</v>
      </c>
      <c r="AC2857">
        <v>229.0548</v>
      </c>
      <c r="AD2857">
        <v>-0.23314359999999901</v>
      </c>
      <c r="AE2857">
        <v>1.0349000000000199</v>
      </c>
      <c r="AF2857">
        <v>-1.0738077800257</v>
      </c>
      <c r="AG2857">
        <v>-0.23314359999999901</v>
      </c>
      <c r="AH2857">
        <v>229.05438359960201</v>
      </c>
      <c r="AI2857">
        <v>90.058317997200106</v>
      </c>
      <c r="AJ2857">
        <v>90.268600854198993</v>
      </c>
      <c r="AK2857">
        <v>229.05701924472999</v>
      </c>
      <c r="AL2857">
        <v>76.730703590393205</v>
      </c>
      <c r="AM2857">
        <v>89.652326938028693</v>
      </c>
      <c r="AN2857">
        <v>1.0000000073661099</v>
      </c>
    </row>
    <row r="2858" spans="1:40" x14ac:dyDescent="0.25">
      <c r="A2858" t="str">
        <f>"20190303171033460"</f>
        <v>20190303171033460</v>
      </c>
      <c r="B2858" t="str">
        <f>"1551604233453429"</f>
        <v>1551604233453429</v>
      </c>
      <c r="C2858" t="s">
        <v>40</v>
      </c>
      <c r="D2858">
        <v>4.721387</v>
      </c>
      <c r="E2858">
        <v>0.500946</v>
      </c>
      <c r="F2858" t="s">
        <v>77</v>
      </c>
      <c r="G2858">
        <v>-107.39749999999999</v>
      </c>
      <c r="H2858">
        <v>0.76348669999999996</v>
      </c>
      <c r="I2858">
        <v>214.94059999999999</v>
      </c>
      <c r="J2858">
        <v>-335.95650000000001</v>
      </c>
      <c r="K2858">
        <v>1.121286</v>
      </c>
      <c r="L2858">
        <v>214.1891</v>
      </c>
      <c r="M2858">
        <v>0.999892</v>
      </c>
      <c r="N2858">
        <v>-1.4698299999999999E-2</v>
      </c>
      <c r="O2858">
        <v>1.310789E-4</v>
      </c>
      <c r="P2858">
        <v>0.97656759999999998</v>
      </c>
      <c r="Q2858">
        <v>0.21510309999999999</v>
      </c>
      <c r="R2858">
        <v>-6.8300050000000001E-3</v>
      </c>
      <c r="S2858">
        <v>3.0731510000000002</v>
      </c>
      <c r="T2858">
        <v>-4.799724E-3</v>
      </c>
      <c r="U2858">
        <v>1.0086060000000001E-2</v>
      </c>
      <c r="V2858">
        <v>6.7695580000000002E-3</v>
      </c>
      <c r="W2858">
        <v>0.22943959999999999</v>
      </c>
      <c r="X2858">
        <v>0.97329940000000004</v>
      </c>
      <c r="Y2858">
        <v>-3.1508550000000001E-3</v>
      </c>
      <c r="Z2858" s="1">
        <v>2.7340120000000001E-5</v>
      </c>
      <c r="AA2858">
        <v>0.99999510000000003</v>
      </c>
      <c r="AB2858">
        <v>47</v>
      </c>
      <c r="AC2858">
        <v>228.559</v>
      </c>
      <c r="AD2858">
        <v>-0.35779929999999999</v>
      </c>
      <c r="AE2858">
        <v>0.75149999999999195</v>
      </c>
      <c r="AF2858">
        <v>-0.721535727328527</v>
      </c>
      <c r="AG2858">
        <v>-0.35779929999999999</v>
      </c>
      <c r="AH2858">
        <v>228.55853644024501</v>
      </c>
      <c r="AI2858">
        <v>90.089693744207096</v>
      </c>
      <c r="AJ2858">
        <v>90.180876265896302</v>
      </c>
      <c r="AK2858">
        <v>228.55995540306699</v>
      </c>
      <c r="AL2858">
        <v>76.735919621936304</v>
      </c>
      <c r="AM2858">
        <v>89.601498934144502</v>
      </c>
      <c r="AN2858">
        <v>1.0000000395020101</v>
      </c>
    </row>
    <row r="2859" spans="1:40" x14ac:dyDescent="0.25">
      <c r="A2859" t="str">
        <f>"20190303171033481"</f>
        <v>20190303171033481</v>
      </c>
      <c r="B2859" t="str">
        <f>"1551604233473924"</f>
        <v>1551604233473924</v>
      </c>
      <c r="C2859" t="s">
        <v>40</v>
      </c>
      <c r="D2859">
        <v>4.7231719999999999</v>
      </c>
      <c r="E2859">
        <v>0.50109859999999995</v>
      </c>
      <c r="F2859" t="s">
        <v>77</v>
      </c>
      <c r="G2859">
        <v>-107.39749999999999</v>
      </c>
      <c r="H2859">
        <v>0.56793990000000005</v>
      </c>
      <c r="I2859">
        <v>214.65989999999999</v>
      </c>
      <c r="J2859">
        <v>-335.50150000000002</v>
      </c>
      <c r="K2859">
        <v>1.121289</v>
      </c>
      <c r="L2859">
        <v>214.1893</v>
      </c>
      <c r="M2859">
        <v>0.99989189999999994</v>
      </c>
      <c r="N2859">
        <v>-1.469783E-2</v>
      </c>
      <c r="O2859">
        <v>4.071557E-4</v>
      </c>
      <c r="P2859">
        <v>0.97666010000000003</v>
      </c>
      <c r="Q2859">
        <v>0.21465529999999999</v>
      </c>
      <c r="R2859">
        <v>-7.6134599999999998E-3</v>
      </c>
      <c r="S2859">
        <v>3.0737000000000001</v>
      </c>
      <c r="T2859">
        <v>-7.440805E-3</v>
      </c>
      <c r="U2859">
        <v>6.3323969999999896E-3</v>
      </c>
      <c r="V2859">
        <v>7.8230999999999995E-3</v>
      </c>
      <c r="W2859">
        <v>0.22899359999999999</v>
      </c>
      <c r="X2859">
        <v>0.9733965</v>
      </c>
      <c r="Y2859">
        <v>-1.6529800000000001E-3</v>
      </c>
      <c r="Z2859" s="1">
        <v>1.9148200000000001E-5</v>
      </c>
      <c r="AA2859">
        <v>0.99999859999999896</v>
      </c>
      <c r="AB2859">
        <v>46</v>
      </c>
      <c r="AC2859">
        <v>228.10400000000001</v>
      </c>
      <c r="AD2859">
        <v>-0.55334909999999904</v>
      </c>
      <c r="AE2859">
        <v>0.47059999999999003</v>
      </c>
      <c r="AF2859">
        <v>-0.37771386137870799</v>
      </c>
      <c r="AG2859">
        <v>-0.55334909999999904</v>
      </c>
      <c r="AH2859">
        <v>228.10283038040399</v>
      </c>
      <c r="AI2859">
        <v>90.138991972681495</v>
      </c>
      <c r="AJ2859">
        <v>90.094875588805294</v>
      </c>
      <c r="AK2859">
        <v>228.103814283188</v>
      </c>
      <c r="AL2859">
        <v>76.762172085396799</v>
      </c>
      <c r="AM2859">
        <v>89.539528894555602</v>
      </c>
      <c r="AN2859">
        <v>1.0000000079734099</v>
      </c>
    </row>
    <row r="2860" spans="1:40" x14ac:dyDescent="0.25">
      <c r="A2860" t="str">
        <f>"20190303171033506"</f>
        <v>20190303171033506</v>
      </c>
      <c r="B2860" t="str">
        <f>"1551604233493444"</f>
        <v>1551604233493444</v>
      </c>
      <c r="C2860" t="s">
        <v>40</v>
      </c>
      <c r="D2860">
        <v>4.7230939999999997</v>
      </c>
      <c r="E2860">
        <v>0.50108580000000003</v>
      </c>
      <c r="F2860" t="s">
        <v>77</v>
      </c>
      <c r="G2860">
        <v>-107.39749999999999</v>
      </c>
      <c r="H2860">
        <v>0.41129169999999998</v>
      </c>
      <c r="I2860">
        <v>214.3999</v>
      </c>
      <c r="J2860">
        <v>-335.01830000000001</v>
      </c>
      <c r="K2860">
        <v>1.121294</v>
      </c>
      <c r="L2860">
        <v>214.18979999999999</v>
      </c>
      <c r="M2860">
        <v>0.9998918</v>
      </c>
      <c r="N2860">
        <v>-1.4697E-2</v>
      </c>
      <c r="O2860">
        <v>7.0057470000000005E-4</v>
      </c>
      <c r="P2860">
        <v>0.97656399999999999</v>
      </c>
      <c r="Q2860">
        <v>0.2150697</v>
      </c>
      <c r="R2860">
        <v>-8.223157E-3</v>
      </c>
      <c r="S2860">
        <v>3.0738219999999998</v>
      </c>
      <c r="T2860">
        <v>-9.5669029999999999E-3</v>
      </c>
      <c r="U2860">
        <v>2.8381349999999999E-3</v>
      </c>
      <c r="V2860">
        <v>8.7191560000000005E-3</v>
      </c>
      <c r="W2860">
        <v>0.2294062</v>
      </c>
      <c r="X2860">
        <v>0.97329169999999998</v>
      </c>
      <c r="Y2860">
        <v>-2.2271460000000001E-4</v>
      </c>
      <c r="Z2860" s="1">
        <v>1.009986E-5</v>
      </c>
      <c r="AA2860">
        <v>1</v>
      </c>
      <c r="AB2860">
        <v>46</v>
      </c>
      <c r="AC2860">
        <v>227.6208</v>
      </c>
      <c r="AD2860">
        <v>-0.71000229999999998</v>
      </c>
      <c r="AE2860">
        <v>0.210100000000011</v>
      </c>
      <c r="AF2860">
        <v>-5.0616865399254099E-2</v>
      </c>
      <c r="AG2860">
        <v>-0.71000229999999998</v>
      </c>
      <c r="AH2860">
        <v>227.61867669583901</v>
      </c>
      <c r="AI2860">
        <v>90.178719966584296</v>
      </c>
      <c r="AJ2860">
        <v>90.012741189580098</v>
      </c>
      <c r="AK2860">
        <v>227.619789662713</v>
      </c>
      <c r="AL2860">
        <v>76.737884950641501</v>
      </c>
      <c r="AM2860">
        <v>89.486734063085606</v>
      </c>
      <c r="AN2860">
        <v>0.99999998078434005</v>
      </c>
    </row>
    <row r="2861" spans="1:40" x14ac:dyDescent="0.25">
      <c r="A2861" t="str">
        <f>"20190303171033526"</f>
        <v>20190303171033526</v>
      </c>
      <c r="B2861" t="str">
        <f>"1551604233513940"</f>
        <v>1551604233513940</v>
      </c>
      <c r="C2861" t="s">
        <v>40</v>
      </c>
      <c r="D2861">
        <v>4.7835960000000002</v>
      </c>
      <c r="E2861">
        <v>0.50114219999999998</v>
      </c>
      <c r="F2861" t="s">
        <v>77</v>
      </c>
      <c r="G2861">
        <v>-107.39749999999999</v>
      </c>
      <c r="H2861">
        <v>0.45810139999999999</v>
      </c>
      <c r="I2861">
        <v>214.29820000000001</v>
      </c>
      <c r="J2861">
        <v>-334.59160000000003</v>
      </c>
      <c r="K2861">
        <v>1.121292</v>
      </c>
      <c r="L2861">
        <v>214.1902</v>
      </c>
      <c r="M2861">
        <v>0.99989159999999999</v>
      </c>
      <c r="N2861">
        <v>-1.4696030000000001E-2</v>
      </c>
      <c r="O2861">
        <v>9.5972400000000002E-4</v>
      </c>
      <c r="P2861">
        <v>0.97638349999999996</v>
      </c>
      <c r="Q2861">
        <v>0.21589539999999999</v>
      </c>
      <c r="R2861">
        <v>-8.0704190000000006E-3</v>
      </c>
      <c r="S2861">
        <v>3.0739749999999999</v>
      </c>
      <c r="T2861">
        <v>-8.9555980000000004E-3</v>
      </c>
      <c r="U2861">
        <v>1.4648440000000001E-3</v>
      </c>
      <c r="V2861">
        <v>8.8185409999999992E-3</v>
      </c>
      <c r="W2861">
        <v>0.2302285</v>
      </c>
      <c r="X2861">
        <v>0.97309659999999998</v>
      </c>
      <c r="Y2861">
        <v>4.8321790000000001E-4</v>
      </c>
      <c r="Z2861" s="1">
        <v>7.0541809999999998E-6</v>
      </c>
      <c r="AA2861">
        <v>0.99999990000000005</v>
      </c>
      <c r="AB2861">
        <v>46</v>
      </c>
      <c r="AC2861">
        <v>227.19409999999999</v>
      </c>
      <c r="AD2861">
        <v>-0.66319059999999996</v>
      </c>
      <c r="AE2861">
        <v>0.108000000000004</v>
      </c>
      <c r="AF2861">
        <v>0.11006628036213401</v>
      </c>
      <c r="AG2861">
        <v>-0.66319059999999996</v>
      </c>
      <c r="AH2861">
        <v>227.19216313931901</v>
      </c>
      <c r="AI2861">
        <v>90.167250091209993</v>
      </c>
      <c r="AJ2861">
        <v>89.972242295900799</v>
      </c>
      <c r="AK2861">
        <v>227.19315774970099</v>
      </c>
      <c r="AL2861">
        <v>76.689474604188604</v>
      </c>
      <c r="AM2861">
        <v>89.480779863362599</v>
      </c>
      <c r="AN2861">
        <v>0.99999996090458798</v>
      </c>
    </row>
    <row r="2862" spans="1:40" x14ac:dyDescent="0.25">
      <c r="A2862" t="str">
        <f>"20190303171033549"</f>
        <v>20190303171033549</v>
      </c>
      <c r="B2862" t="str">
        <f>"1551604233543221"</f>
        <v>1551604233543221</v>
      </c>
      <c r="C2862" t="s">
        <v>40</v>
      </c>
      <c r="D2862">
        <v>4.785704</v>
      </c>
      <c r="E2862">
        <v>0.50115379999999998</v>
      </c>
      <c r="F2862" t="s">
        <v>77</v>
      </c>
      <c r="G2862">
        <v>-107.39749999999999</v>
      </c>
      <c r="H2862">
        <v>0.61220059999999998</v>
      </c>
      <c r="I2862">
        <v>214.33009999999999</v>
      </c>
      <c r="J2862">
        <v>-334.12099999999998</v>
      </c>
      <c r="K2862">
        <v>1.1212930000000001</v>
      </c>
      <c r="L2862">
        <v>214.1909</v>
      </c>
      <c r="M2862">
        <v>0.99989130000000004</v>
      </c>
      <c r="N2862">
        <v>-1.469474E-2</v>
      </c>
      <c r="O2862">
        <v>1.2458160000000001E-3</v>
      </c>
      <c r="P2862">
        <v>0.97647810000000002</v>
      </c>
      <c r="Q2862">
        <v>0.2154732</v>
      </c>
      <c r="R2862">
        <v>-7.8680980000000005E-3</v>
      </c>
      <c r="S2862">
        <v>3.0740970000000001</v>
      </c>
      <c r="T2862">
        <v>-6.8876739999999999E-3</v>
      </c>
      <c r="U2862">
        <v>1.8920899999999999E-3</v>
      </c>
      <c r="V2862">
        <v>8.8964330000000005E-3</v>
      </c>
      <c r="W2862">
        <v>0.22980619999999999</v>
      </c>
      <c r="X2862">
        <v>0.9731957</v>
      </c>
      <c r="Y2862">
        <v>6.3034759999999995E-4</v>
      </c>
      <c r="Z2862" s="1">
        <v>1.0178889999999999E-5</v>
      </c>
      <c r="AA2862">
        <v>0.99999979999999999</v>
      </c>
      <c r="AB2862">
        <v>46</v>
      </c>
      <c r="AC2862">
        <v>226.7235</v>
      </c>
      <c r="AD2862">
        <v>-0.5090924</v>
      </c>
      <c r="AE2862">
        <v>0.139199999999988</v>
      </c>
      <c r="AF2862">
        <v>0.14328563649541401</v>
      </c>
      <c r="AG2862">
        <v>-0.5090924</v>
      </c>
      <c r="AH2862">
        <v>226.722354327695</v>
      </c>
      <c r="AI2862">
        <v>90.128654235002202</v>
      </c>
      <c r="AJ2862">
        <v>89.963789802874103</v>
      </c>
      <c r="AK2862">
        <v>226.722971173497</v>
      </c>
      <c r="AL2862">
        <v>76.714337164378605</v>
      </c>
      <c r="AM2862">
        <v>89.476247310148096</v>
      </c>
      <c r="AN2862">
        <v>0.99999995328852498</v>
      </c>
    </row>
    <row r="2863" spans="1:40" x14ac:dyDescent="0.25">
      <c r="A2863" t="str">
        <f>"20190303171033571"</f>
        <v>20190303171033571</v>
      </c>
      <c r="B2863" t="str">
        <f>"1551604233563720"</f>
        <v>1551604233563720</v>
      </c>
      <c r="C2863" t="s">
        <v>40</v>
      </c>
      <c r="D2863">
        <v>4.7857760000000003</v>
      </c>
      <c r="E2863">
        <v>0.50114159999999996</v>
      </c>
      <c r="F2863" t="s">
        <v>77</v>
      </c>
      <c r="G2863">
        <v>-107.39749999999999</v>
      </c>
      <c r="H2863">
        <v>0.41677199999999998</v>
      </c>
      <c r="I2863">
        <v>214.3912</v>
      </c>
      <c r="J2863">
        <v>-333.64659999999998</v>
      </c>
      <c r="K2863">
        <v>1.121294</v>
      </c>
      <c r="L2863">
        <v>214.1918</v>
      </c>
      <c r="M2863">
        <v>0.99989099999999997</v>
      </c>
      <c r="N2863">
        <v>-1.469322E-2</v>
      </c>
      <c r="O2863">
        <v>1.534232E-3</v>
      </c>
      <c r="P2863">
        <v>0.97644540000000002</v>
      </c>
      <c r="Q2863">
        <v>0.215639</v>
      </c>
      <c r="R2863">
        <v>-7.3787030000000003E-3</v>
      </c>
      <c r="S2863">
        <v>3.0744020000000001</v>
      </c>
      <c r="T2863">
        <v>-9.5527170000000005E-3</v>
      </c>
      <c r="U2863">
        <v>2.7160639999999998E-3</v>
      </c>
      <c r="V2863">
        <v>8.6887040000000002E-3</v>
      </c>
      <c r="W2863">
        <v>0.2299696</v>
      </c>
      <c r="X2863">
        <v>0.973159</v>
      </c>
      <c r="Y2863">
        <v>6.5083209999999999E-4</v>
      </c>
      <c r="Z2863" s="1">
        <v>1.198425E-5</v>
      </c>
      <c r="AA2863">
        <v>0.99999979999999999</v>
      </c>
      <c r="AB2863">
        <v>46</v>
      </c>
      <c r="AC2863">
        <v>226.2491</v>
      </c>
      <c r="AD2863">
        <v>-0.70452199999999998</v>
      </c>
      <c r="AE2863">
        <v>0.199399999999997</v>
      </c>
      <c r="AF2863">
        <v>0.14775484260195901</v>
      </c>
      <c r="AG2863">
        <v>-0.70452199999999998</v>
      </c>
      <c r="AH2863">
        <v>226.24694581721499</v>
      </c>
      <c r="AI2863">
        <v>90.178415659704996</v>
      </c>
      <c r="AJ2863">
        <v>89.962581913980799</v>
      </c>
      <c r="AK2863">
        <v>226.248090985006</v>
      </c>
      <c r="AL2863">
        <v>76.704717680656302</v>
      </c>
      <c r="AM2863">
        <v>89.488456828605294</v>
      </c>
      <c r="AN2863">
        <v>0.99999997489117898</v>
      </c>
    </row>
    <row r="2864" spans="1:40" x14ac:dyDescent="0.25">
      <c r="A2864" t="str">
        <f>"20190303171033593"</f>
        <v>20190303171033593</v>
      </c>
      <c r="B2864" t="str">
        <f>"1551604233583236"</f>
        <v>1551604233583236</v>
      </c>
      <c r="C2864" t="s">
        <v>40</v>
      </c>
      <c r="D2864">
        <v>4.7711040000000002</v>
      </c>
      <c r="E2864">
        <v>0.50119290000000005</v>
      </c>
      <c r="F2864" t="s">
        <v>77</v>
      </c>
      <c r="G2864">
        <v>-107.39749999999999</v>
      </c>
      <c r="H2864">
        <v>0.4170645</v>
      </c>
      <c r="I2864">
        <v>214.52969999999999</v>
      </c>
      <c r="J2864">
        <v>-333.19069999999999</v>
      </c>
      <c r="K2864">
        <v>1.1213010000000001</v>
      </c>
      <c r="L2864">
        <v>214.1927</v>
      </c>
      <c r="M2864">
        <v>0.99989039999999996</v>
      </c>
      <c r="N2864">
        <v>-1.4691589999999999E-2</v>
      </c>
      <c r="O2864">
        <v>1.811801E-3</v>
      </c>
      <c r="P2864">
        <v>0.9762499</v>
      </c>
      <c r="Q2864">
        <v>0.21652769999999999</v>
      </c>
      <c r="R2864">
        <v>-7.223269E-3</v>
      </c>
      <c r="S2864">
        <v>3.0745239999999998</v>
      </c>
      <c r="T2864">
        <v>-9.5691679999999994E-3</v>
      </c>
      <c r="U2864">
        <v>4.592896E-3</v>
      </c>
      <c r="V2864">
        <v>8.8034020000000001E-3</v>
      </c>
      <c r="W2864">
        <v>0.230854</v>
      </c>
      <c r="X2864">
        <v>0.97294860000000005</v>
      </c>
      <c r="Y2864">
        <v>3.1801280000000001E-4</v>
      </c>
      <c r="Z2864" s="1">
        <v>1.8149770000000002E-5</v>
      </c>
      <c r="AA2864">
        <v>0.99999990000000005</v>
      </c>
      <c r="AB2864">
        <v>46</v>
      </c>
      <c r="AC2864">
        <v>225.79320000000001</v>
      </c>
      <c r="AD2864">
        <v>-0.70423649999999904</v>
      </c>
      <c r="AE2864">
        <v>0.33699999999998898</v>
      </c>
      <c r="AF2864">
        <v>7.2136366835914997E-2</v>
      </c>
      <c r="AG2864">
        <v>-0.70423649999999904</v>
      </c>
      <c r="AH2864">
        <v>225.79124351480499</v>
      </c>
      <c r="AI2864">
        <v>90.178703326585307</v>
      </c>
      <c r="AJ2864">
        <v>89.981694997714897</v>
      </c>
      <c r="AK2864">
        <v>225.79235328209199</v>
      </c>
      <c r="AL2864">
        <v>76.652644822563502</v>
      </c>
      <c r="AM2864">
        <v>89.481592331055097</v>
      </c>
      <c r="AN2864">
        <v>1.0000000237223601</v>
      </c>
    </row>
    <row r="2865" spans="1:40" x14ac:dyDescent="0.25">
      <c r="A2865" t="str">
        <f>"20190303171033616"</f>
        <v>20190303171033616</v>
      </c>
      <c r="B2865" t="str">
        <f>"1551604233603733"</f>
        <v>1551604233603733</v>
      </c>
      <c r="C2865" t="s">
        <v>40</v>
      </c>
      <c r="D2865">
        <v>4.7646629999999996</v>
      </c>
      <c r="E2865">
        <v>0.5011466</v>
      </c>
      <c r="F2865" t="s">
        <v>77</v>
      </c>
      <c r="G2865">
        <v>-107.39749999999999</v>
      </c>
      <c r="H2865">
        <v>0.58412449999999905</v>
      </c>
      <c r="I2865">
        <v>214.53440000000001</v>
      </c>
      <c r="J2865">
        <v>-332.74</v>
      </c>
      <c r="K2865">
        <v>1.12131</v>
      </c>
      <c r="L2865">
        <v>214.19370000000001</v>
      </c>
      <c r="M2865">
        <v>0.9998899</v>
      </c>
      <c r="N2865">
        <v>-1.4689799999999999E-2</v>
      </c>
      <c r="O2865">
        <v>2.0859749999999999E-3</v>
      </c>
      <c r="P2865">
        <v>0.97607730000000004</v>
      </c>
      <c r="Q2865">
        <v>0.2172983</v>
      </c>
      <c r="R2865">
        <v>-7.3953639999999998E-3</v>
      </c>
      <c r="S2865">
        <v>3.074646</v>
      </c>
      <c r="T2865">
        <v>-7.314086E-3</v>
      </c>
      <c r="U2865">
        <v>4.653931E-3</v>
      </c>
      <c r="V2865">
        <v>9.2424299999999994E-3</v>
      </c>
      <c r="W2865">
        <v>0.23162089999999999</v>
      </c>
      <c r="X2865">
        <v>0.97276220000000002</v>
      </c>
      <c r="Y2865">
        <v>5.7238540000000004E-4</v>
      </c>
      <c r="Z2865" s="1">
        <v>2.0797069999999999E-5</v>
      </c>
      <c r="AA2865">
        <v>0.99999979999999999</v>
      </c>
      <c r="AB2865">
        <v>46</v>
      </c>
      <c r="AC2865">
        <v>225.3425</v>
      </c>
      <c r="AD2865">
        <v>-0.53718549999999998</v>
      </c>
      <c r="AE2865">
        <v>0.340699999999998</v>
      </c>
      <c r="AF2865">
        <v>0.12940956359280101</v>
      </c>
      <c r="AG2865">
        <v>-0.53718549999999998</v>
      </c>
      <c r="AH2865">
        <v>225.34143982921</v>
      </c>
      <c r="AI2865">
        <v>90.136585612529402</v>
      </c>
      <c r="AJ2865">
        <v>89.967096060924206</v>
      </c>
      <c r="AK2865">
        <v>225.34211727814699</v>
      </c>
      <c r="AL2865">
        <v>76.607480033459495</v>
      </c>
      <c r="AM2865">
        <v>89.455636436621504</v>
      </c>
      <c r="AN2865">
        <v>0.99999998078897701</v>
      </c>
    </row>
    <row r="2866" spans="1:40" x14ac:dyDescent="0.25">
      <c r="A2866" t="str">
        <f>"20190303171033638"</f>
        <v>20190303171033638</v>
      </c>
      <c r="B2866" t="str">
        <f>"1551604233633012"</f>
        <v>1551604233633012</v>
      </c>
      <c r="C2866" t="s">
        <v>40</v>
      </c>
      <c r="D2866">
        <v>4.7743039999999999</v>
      </c>
      <c r="E2866">
        <v>0.50105169999999999</v>
      </c>
      <c r="F2866" t="s">
        <v>77</v>
      </c>
      <c r="G2866">
        <v>-107.39749999999999</v>
      </c>
      <c r="H2866">
        <v>0.71752819999999995</v>
      </c>
      <c r="I2866">
        <v>214.5549</v>
      </c>
      <c r="J2866">
        <v>-332.27730000000003</v>
      </c>
      <c r="K2866">
        <v>1.1213139999999999</v>
      </c>
      <c r="L2866">
        <v>214.19489999999999</v>
      </c>
      <c r="M2866">
        <v>0.99988929999999998</v>
      </c>
      <c r="N2866">
        <v>-1.4687820000000001E-2</v>
      </c>
      <c r="O2866">
        <v>2.3680730000000001E-3</v>
      </c>
      <c r="P2866">
        <v>0.97594119999999995</v>
      </c>
      <c r="Q2866">
        <v>0.217918</v>
      </c>
      <c r="R2866">
        <v>-7.1245229999999998E-3</v>
      </c>
      <c r="S2866">
        <v>3.0747990000000001</v>
      </c>
      <c r="T2866">
        <v>-5.5088999999999997E-3</v>
      </c>
      <c r="U2866">
        <v>4.9285889999999997E-3</v>
      </c>
      <c r="V2866">
        <v>9.2463130000000008E-3</v>
      </c>
      <c r="W2866">
        <v>0.23223630000000001</v>
      </c>
      <c r="X2866">
        <v>0.97261540000000002</v>
      </c>
      <c r="Y2866">
        <v>7.6522609999999996E-4</v>
      </c>
      <c r="Z2866" s="1">
        <v>2.4235640000000002E-5</v>
      </c>
      <c r="AA2866">
        <v>0.99999970000000005</v>
      </c>
      <c r="AB2866">
        <v>46</v>
      </c>
      <c r="AC2866">
        <v>224.87979999999999</v>
      </c>
      <c r="AD2866">
        <v>-0.40378579999999997</v>
      </c>
      <c r="AE2866">
        <v>0.36000000000001298</v>
      </c>
      <c r="AF2866">
        <v>0.172589699955006</v>
      </c>
      <c r="AG2866">
        <v>-0.40378579999999997</v>
      </c>
      <c r="AH2866">
        <v>224.87929690495699</v>
      </c>
      <c r="AI2866">
        <v>90.102878258733099</v>
      </c>
      <c r="AJ2866">
        <v>89.956026812652794</v>
      </c>
      <c r="AK2866">
        <v>224.879725646054</v>
      </c>
      <c r="AL2866">
        <v>76.571231467449294</v>
      </c>
      <c r="AM2866">
        <v>89.4553255561067</v>
      </c>
      <c r="AN2866">
        <v>0.99999995482947102</v>
      </c>
    </row>
    <row r="2867" spans="1:40" x14ac:dyDescent="0.25">
      <c r="A2867" t="str">
        <f>"20190303171033650"</f>
        <v>20190303171033650</v>
      </c>
      <c r="B2867" t="str">
        <f>"1551604233643749"</f>
        <v>1551604233643749</v>
      </c>
      <c r="C2867" t="s">
        <v>40</v>
      </c>
      <c r="D2867">
        <v>4.7759269999999896</v>
      </c>
      <c r="E2867">
        <v>0.50103599999999904</v>
      </c>
      <c r="F2867" t="s">
        <v>77</v>
      </c>
      <c r="G2867">
        <v>-107.39749999999999</v>
      </c>
      <c r="H2867">
        <v>0.83688469999999904</v>
      </c>
      <c r="I2867">
        <v>214.6814</v>
      </c>
      <c r="J2867">
        <v>-332.01119999999997</v>
      </c>
      <c r="K2867">
        <v>1.121313</v>
      </c>
      <c r="L2867">
        <v>214.19560000000001</v>
      </c>
      <c r="M2867">
        <v>0.99988900000000003</v>
      </c>
      <c r="N2867">
        <v>-1.4686630000000001E-2</v>
      </c>
      <c r="O2867">
        <v>2.530015E-3</v>
      </c>
      <c r="P2867">
        <v>0.97594510000000001</v>
      </c>
      <c r="Q2867">
        <v>0.2179043</v>
      </c>
      <c r="R2867">
        <v>-7.0054160000000004E-3</v>
      </c>
      <c r="S2867">
        <v>3.0748289999999998</v>
      </c>
      <c r="T2867">
        <v>-3.888369E-3</v>
      </c>
      <c r="U2867">
        <v>6.6528319999999896E-3</v>
      </c>
      <c r="V2867">
        <v>9.2854410000000002E-3</v>
      </c>
      <c r="W2867">
        <v>0.2322215</v>
      </c>
      <c r="X2867">
        <v>0.9726186</v>
      </c>
      <c r="Y2867">
        <v>3.6641890000000001E-4</v>
      </c>
      <c r="Z2867" s="1">
        <v>3.1037590000000002E-5</v>
      </c>
      <c r="AA2867">
        <v>0.99999990000000005</v>
      </c>
      <c r="AB2867">
        <v>46</v>
      </c>
      <c r="AC2867">
        <v>224.61369999999999</v>
      </c>
      <c r="AD2867">
        <v>-0.28442830000000002</v>
      </c>
      <c r="AE2867">
        <v>0.48579999999998302</v>
      </c>
      <c r="AF2867">
        <v>8.2538719273058198E-2</v>
      </c>
      <c r="AG2867">
        <v>-0.28442830000000002</v>
      </c>
      <c r="AH2867">
        <v>224.61385001411401</v>
      </c>
      <c r="AI2867">
        <v>90.0725535462403</v>
      </c>
      <c r="AJ2867">
        <v>89.978945554570203</v>
      </c>
      <c r="AK2867">
        <v>224.61404526489699</v>
      </c>
      <c r="AL2867">
        <v>76.572103798367493</v>
      </c>
      <c r="AM2867">
        <v>89.453022574283395</v>
      </c>
      <c r="AN2867">
        <v>0.99999999277138696</v>
      </c>
    </row>
    <row r="2868" spans="1:40" x14ac:dyDescent="0.25">
      <c r="A2868" t="str">
        <f>"20190303171033672"</f>
        <v>20190303171033672</v>
      </c>
      <c r="B2868" t="str">
        <f>"1551604233663268"</f>
        <v>1551604233663268</v>
      </c>
      <c r="C2868" t="s">
        <v>40</v>
      </c>
      <c r="D2868">
        <v>4.7747989999999998</v>
      </c>
      <c r="E2868">
        <v>0.50098560000000003</v>
      </c>
      <c r="F2868" t="s">
        <v>77</v>
      </c>
      <c r="G2868">
        <v>-107.39749999999999</v>
      </c>
      <c r="H2868">
        <v>0.82662769999999997</v>
      </c>
      <c r="I2868">
        <v>214.73509999999999</v>
      </c>
      <c r="J2868">
        <v>-331.5788</v>
      </c>
      <c r="K2868">
        <v>1.1213150000000001</v>
      </c>
      <c r="L2868">
        <v>214.1969</v>
      </c>
      <c r="M2868">
        <v>0.99988829999999995</v>
      </c>
      <c r="N2868">
        <v>-1.4684630000000001E-2</v>
      </c>
      <c r="O2868">
        <v>2.7931639999999999E-3</v>
      </c>
      <c r="P2868">
        <v>0.97580089999999997</v>
      </c>
      <c r="Q2868">
        <v>0.21854950000000001</v>
      </c>
      <c r="R2868">
        <v>-6.9779619999999999E-3</v>
      </c>
      <c r="S2868">
        <v>3.0748899999999999</v>
      </c>
      <c r="T2868">
        <v>-4.0334460000000004E-3</v>
      </c>
      <c r="U2868">
        <v>7.385254E-3</v>
      </c>
      <c r="V2868">
        <v>9.5141340000000005E-3</v>
      </c>
      <c r="W2868">
        <v>0.23286290000000001</v>
      </c>
      <c r="X2868">
        <v>0.97246299999999997</v>
      </c>
      <c r="Y2868">
        <v>3.914252E-4</v>
      </c>
      <c r="Z2868" s="1">
        <v>3.4224260000000001E-5</v>
      </c>
      <c r="AA2868">
        <v>0.99999990000000005</v>
      </c>
      <c r="AB2868">
        <v>46</v>
      </c>
      <c r="AC2868">
        <v>224.18129999999999</v>
      </c>
      <c r="AD2868">
        <v>-0.29468729999999999</v>
      </c>
      <c r="AE2868">
        <v>0.53819999999998902</v>
      </c>
      <c r="AF2868">
        <v>8.8044592547994502E-2</v>
      </c>
      <c r="AG2868">
        <v>-0.29468729999999999</v>
      </c>
      <c r="AH2868">
        <v>224.181541381801</v>
      </c>
      <c r="AI2868">
        <v>90.075315422648004</v>
      </c>
      <c r="AJ2868">
        <v>89.977497775813703</v>
      </c>
      <c r="AK2868">
        <v>224.181752354591</v>
      </c>
      <c r="AL2868">
        <v>76.534318103785495</v>
      </c>
      <c r="AM2868">
        <v>89.439462136470695</v>
      </c>
      <c r="AN2868">
        <v>0.99999996765558896</v>
      </c>
    </row>
    <row r="2869" spans="1:40" x14ac:dyDescent="0.25">
      <c r="A2869" t="str">
        <f>"20190303171033694"</f>
        <v>20190303171033694</v>
      </c>
      <c r="B2869" t="str">
        <f>"1551604233683768"</f>
        <v>1551604233683768</v>
      </c>
      <c r="C2869" t="s">
        <v>40</v>
      </c>
      <c r="D2869">
        <v>4.7751479999999997</v>
      </c>
      <c r="E2869">
        <v>0.50093639999999995</v>
      </c>
      <c r="F2869" t="s">
        <v>77</v>
      </c>
      <c r="G2869">
        <v>-107.39749999999999</v>
      </c>
      <c r="H2869">
        <v>0.93762579999999995</v>
      </c>
      <c r="I2869">
        <v>214.76429999999999</v>
      </c>
      <c r="J2869">
        <v>-331.12699999999899</v>
      </c>
      <c r="K2869">
        <v>1.121316</v>
      </c>
      <c r="L2869">
        <v>214.19839999999999</v>
      </c>
      <c r="M2869">
        <v>0.99988759999999999</v>
      </c>
      <c r="N2869">
        <v>-1.468246E-2</v>
      </c>
      <c r="O2869">
        <v>3.0682330000000001E-3</v>
      </c>
      <c r="P2869">
        <v>0.97569479999999997</v>
      </c>
      <c r="Q2869">
        <v>0.21902430000000001</v>
      </c>
      <c r="R2869">
        <v>-6.9484880000000001E-3</v>
      </c>
      <c r="S2869">
        <v>3.0750120000000001</v>
      </c>
      <c r="T2869">
        <v>-2.518892E-3</v>
      </c>
      <c r="U2869">
        <v>7.7819819999999998E-3</v>
      </c>
      <c r="V2869">
        <v>9.7525849999999994E-3</v>
      </c>
      <c r="W2869">
        <v>0.23333400000000001</v>
      </c>
      <c r="X2869">
        <v>0.97234770000000004</v>
      </c>
      <c r="Y2869">
        <v>5.3755980000000001E-4</v>
      </c>
      <c r="Z2869" s="1">
        <v>3.8371709999999998E-5</v>
      </c>
      <c r="AA2869">
        <v>0.99999990000000005</v>
      </c>
      <c r="AB2869">
        <v>46</v>
      </c>
      <c r="AC2869">
        <v>223.7295</v>
      </c>
      <c r="AD2869">
        <v>-0.1836902</v>
      </c>
      <c r="AE2869">
        <v>0.56589999999999896</v>
      </c>
      <c r="AF2869">
        <v>0.120630751847199</v>
      </c>
      <c r="AG2869">
        <v>-0.1836902</v>
      </c>
      <c r="AH2869">
        <v>223.730032354109</v>
      </c>
      <c r="AI2869">
        <v>90.047041826224401</v>
      </c>
      <c r="AJ2869">
        <v>89.969107266387795</v>
      </c>
      <c r="AK2869">
        <v>223.730140282972</v>
      </c>
      <c r="AL2869">
        <v>76.506561334411003</v>
      </c>
      <c r="AM2869">
        <v>89.425346279706204</v>
      </c>
      <c r="AN2869">
        <v>0.99999995908273498</v>
      </c>
    </row>
    <row r="2870" spans="1:40" x14ac:dyDescent="0.25">
      <c r="A2870" t="str">
        <f>"20190303171033716"</f>
        <v>20190303171033716</v>
      </c>
      <c r="B2870" t="str">
        <f>"1551604233703284"</f>
        <v>1551604233703284</v>
      </c>
      <c r="C2870" t="s">
        <v>40</v>
      </c>
      <c r="D2870">
        <v>4.7729499999999998</v>
      </c>
      <c r="E2870">
        <v>0.50088849999999996</v>
      </c>
      <c r="F2870" t="s">
        <v>77</v>
      </c>
      <c r="G2870">
        <v>-107.39749999999999</v>
      </c>
      <c r="H2870">
        <v>1.0071639999999999</v>
      </c>
      <c r="I2870">
        <v>214.8056</v>
      </c>
      <c r="J2870">
        <v>-330.66609999999997</v>
      </c>
      <c r="K2870">
        <v>1.1213219999999999</v>
      </c>
      <c r="L2870">
        <v>214.2</v>
      </c>
      <c r="M2870">
        <v>0.99988670000000002</v>
      </c>
      <c r="N2870">
        <v>-1.4680439999999999E-2</v>
      </c>
      <c r="O2870">
        <v>3.3492579999999999E-3</v>
      </c>
      <c r="P2870">
        <v>0.97568670000000002</v>
      </c>
      <c r="Q2870">
        <v>0.2190607</v>
      </c>
      <c r="R2870">
        <v>-6.9313380000000004E-3</v>
      </c>
      <c r="S2870">
        <v>3.0751339999999998</v>
      </c>
      <c r="T2870">
        <v>-1.5683170000000001E-3</v>
      </c>
      <c r="U2870">
        <v>8.3465580000000004E-3</v>
      </c>
      <c r="V2870">
        <v>1.000996E-2</v>
      </c>
      <c r="W2870">
        <v>0.2333683</v>
      </c>
      <c r="X2870">
        <v>0.97233689999999995</v>
      </c>
      <c r="Y2870">
        <v>6.3508409999999999E-4</v>
      </c>
      <c r="Z2870" s="1">
        <v>4.2639370000000002E-5</v>
      </c>
      <c r="AA2870">
        <v>0.99999979999999999</v>
      </c>
      <c r="AB2870">
        <v>46</v>
      </c>
      <c r="AC2870">
        <v>223.26859999999999</v>
      </c>
      <c r="AD2870">
        <v>-0.114157999999999</v>
      </c>
      <c r="AE2870">
        <v>0.60560000000000902</v>
      </c>
      <c r="AF2870">
        <v>0.142268042922889</v>
      </c>
      <c r="AG2870">
        <v>-0.114157999999999</v>
      </c>
      <c r="AH2870">
        <v>223.26931762567801</v>
      </c>
      <c r="AI2870">
        <v>90.029295425673993</v>
      </c>
      <c r="AJ2870">
        <v>89.9634909202817</v>
      </c>
      <c r="AK2870">
        <v>223.26939213712399</v>
      </c>
      <c r="AL2870">
        <v>76.504540923598</v>
      </c>
      <c r="AM2870">
        <v>89.410175422534294</v>
      </c>
      <c r="AN2870">
        <v>1.0000000049228499</v>
      </c>
    </row>
    <row r="2871" spans="1:40" x14ac:dyDescent="0.25">
      <c r="A2871" t="str">
        <f>"20190303171033738"</f>
        <v>20190303171033738</v>
      </c>
      <c r="B2871" t="str">
        <f>"1551604233733541"</f>
        <v>1551604233733541</v>
      </c>
      <c r="C2871" t="s">
        <v>40</v>
      </c>
      <c r="D2871">
        <v>4.7766999999999999</v>
      </c>
      <c r="E2871">
        <v>0.50077970000000005</v>
      </c>
      <c r="F2871" t="s">
        <v>77</v>
      </c>
      <c r="G2871">
        <v>-107.39749999999999</v>
      </c>
      <c r="H2871">
        <v>0.94916710000000004</v>
      </c>
      <c r="I2871">
        <v>214.8492</v>
      </c>
      <c r="J2871">
        <v>-330.21679999999998</v>
      </c>
      <c r="K2871">
        <v>1.1213219999999999</v>
      </c>
      <c r="L2871">
        <v>214.20179999999999</v>
      </c>
      <c r="M2871">
        <v>0.99988569999999999</v>
      </c>
      <c r="N2871">
        <v>-1.4678160000000001E-2</v>
      </c>
      <c r="O2871">
        <v>3.6232539999999998E-3</v>
      </c>
      <c r="P2871">
        <v>0.97572499999999995</v>
      </c>
      <c r="Q2871">
        <v>0.21888740000000001</v>
      </c>
      <c r="R2871">
        <v>-7.0080849999999998E-3</v>
      </c>
      <c r="S2871">
        <v>3.075348</v>
      </c>
      <c r="T2871">
        <v>-2.370596E-3</v>
      </c>
      <c r="U2871">
        <v>8.9416500000000006E-3</v>
      </c>
      <c r="V2871">
        <v>1.035462E-2</v>
      </c>
      <c r="W2871">
        <v>0.2331935</v>
      </c>
      <c r="X2871">
        <v>0.9723752</v>
      </c>
      <c r="Y2871">
        <v>7.1578089999999896E-4</v>
      </c>
      <c r="Z2871" s="1">
        <v>4.486348E-5</v>
      </c>
      <c r="AA2871">
        <v>0.99999979999999999</v>
      </c>
      <c r="AB2871">
        <v>46</v>
      </c>
      <c r="AC2871">
        <v>222.8193</v>
      </c>
      <c r="AD2871">
        <v>-0.172154899999999</v>
      </c>
      <c r="AE2871">
        <v>0.64740000000000397</v>
      </c>
      <c r="AF2871">
        <v>0.160022062331896</v>
      </c>
      <c r="AG2871">
        <v>-0.172154899999999</v>
      </c>
      <c r="AH2871">
        <v>222.82005003505199</v>
      </c>
      <c r="AI2871">
        <v>90.044267760843695</v>
      </c>
      <c r="AJ2871">
        <v>89.958852054728098</v>
      </c>
      <c r="AK2871">
        <v>222.820174001353</v>
      </c>
      <c r="AL2871">
        <v>76.514840025777204</v>
      </c>
      <c r="AM2871">
        <v>89.389892295897994</v>
      </c>
      <c r="AN2871">
        <v>0.99999997808631602</v>
      </c>
    </row>
    <row r="2872" spans="1:40" x14ac:dyDescent="0.25">
      <c r="A2872" t="str">
        <f>"20190303171033761"</f>
        <v>20190303171033761</v>
      </c>
      <c r="B2872" t="str">
        <f>"1551604233753064"</f>
        <v>1551604233753064</v>
      </c>
      <c r="C2872" t="s">
        <v>40</v>
      </c>
      <c r="D2872">
        <v>4.774559</v>
      </c>
      <c r="E2872">
        <v>0.50070360000000003</v>
      </c>
      <c r="F2872" t="s">
        <v>77</v>
      </c>
      <c r="G2872">
        <v>-107.39749999999999</v>
      </c>
      <c r="H2872">
        <v>0.83472800000000003</v>
      </c>
      <c r="I2872">
        <v>214.90479999999999</v>
      </c>
      <c r="J2872">
        <v>-329.73050000000001</v>
      </c>
      <c r="K2872">
        <v>1.1213200000000001</v>
      </c>
      <c r="L2872">
        <v>214.2038</v>
      </c>
      <c r="M2872">
        <v>0.99988460000000001</v>
      </c>
      <c r="N2872">
        <v>-1.467532E-2</v>
      </c>
      <c r="O2872">
        <v>3.9199029999999998E-3</v>
      </c>
      <c r="P2872">
        <v>0.97581169999999995</v>
      </c>
      <c r="Q2872">
        <v>0.21849640000000001</v>
      </c>
      <c r="R2872">
        <v>-7.1496179999999999E-3</v>
      </c>
      <c r="S2872">
        <v>3.0755620000000001</v>
      </c>
      <c r="T2872">
        <v>-3.9551259999999998E-3</v>
      </c>
      <c r="U2872">
        <v>9.7045900000000008E-3</v>
      </c>
      <c r="V2872">
        <v>1.078637E-2</v>
      </c>
      <c r="W2872">
        <v>0.2328017</v>
      </c>
      <c r="X2872">
        <v>0.97246440000000001</v>
      </c>
      <c r="Y2872">
        <v>7.6459899999999905E-4</v>
      </c>
      <c r="Z2872" s="1">
        <v>4.6385989999999999E-5</v>
      </c>
      <c r="AA2872">
        <v>0.99999970000000005</v>
      </c>
      <c r="AB2872">
        <v>46</v>
      </c>
      <c r="AC2872">
        <v>222.333</v>
      </c>
      <c r="AD2872">
        <v>-0.28659200000000001</v>
      </c>
      <c r="AE2872">
        <v>0.70099999999999296</v>
      </c>
      <c r="AF2872">
        <v>0.17062278448857399</v>
      </c>
      <c r="AG2872">
        <v>-0.28659200000000001</v>
      </c>
      <c r="AH2872">
        <v>222.33367020837301</v>
      </c>
      <c r="AI2872">
        <v>90.073855201944795</v>
      </c>
      <c r="AJ2872">
        <v>89.956030215703706</v>
      </c>
      <c r="AK2872">
        <v>222.333920388758</v>
      </c>
      <c r="AL2872">
        <v>76.537924050038697</v>
      </c>
      <c r="AM2872">
        <v>89.3645133591925</v>
      </c>
      <c r="AN2872">
        <v>0.99999999328401301</v>
      </c>
    </row>
    <row r="2873" spans="1:40" x14ac:dyDescent="0.25">
      <c r="A2873" t="str">
        <f>"20190303171033783"</f>
        <v>20190303171033783</v>
      </c>
      <c r="B2873" t="str">
        <f>"1551604233773560"</f>
        <v>1551604233773560</v>
      </c>
      <c r="C2873" t="s">
        <v>40</v>
      </c>
      <c r="D2873">
        <v>4.9027760000000002</v>
      </c>
      <c r="E2873">
        <v>0.50019809999999998</v>
      </c>
      <c r="F2873" t="s">
        <v>77</v>
      </c>
      <c r="G2873">
        <v>-107.39749999999999</v>
      </c>
      <c r="H2873">
        <v>0.69602959999999903</v>
      </c>
      <c r="I2873">
        <v>214.93729999999999</v>
      </c>
      <c r="J2873">
        <v>-329.29349999999999</v>
      </c>
      <c r="K2873">
        <v>1.121321</v>
      </c>
      <c r="L2873">
        <v>214.20570000000001</v>
      </c>
      <c r="M2873">
        <v>0.99988350000000004</v>
      </c>
      <c r="N2873">
        <v>-1.4672660000000001E-2</v>
      </c>
      <c r="O2873">
        <v>4.1867479999999997E-3</v>
      </c>
      <c r="P2873">
        <v>0.97583830000000005</v>
      </c>
      <c r="Q2873">
        <v>0.21836349999999999</v>
      </c>
      <c r="R2873">
        <v>-7.55705099999999E-3</v>
      </c>
      <c r="S2873">
        <v>3.075745</v>
      </c>
      <c r="T2873">
        <v>-5.88274E-3</v>
      </c>
      <c r="U2873">
        <v>1.0147089999999999E-2</v>
      </c>
      <c r="V2873">
        <v>1.1454779999999999E-2</v>
      </c>
      <c r="W2873">
        <v>0.2326667</v>
      </c>
      <c r="X2873">
        <v>0.9724891</v>
      </c>
      <c r="Y2873">
        <v>8.8779910000000002E-4</v>
      </c>
      <c r="Z2873" s="1">
        <v>4.6064269999999997E-5</v>
      </c>
      <c r="AA2873">
        <v>0.99999959999999999</v>
      </c>
      <c r="AB2873">
        <v>46</v>
      </c>
      <c r="AC2873">
        <v>221.89599999999999</v>
      </c>
      <c r="AD2873">
        <v>-0.42529139999999999</v>
      </c>
      <c r="AE2873">
        <v>0.73159999999998604</v>
      </c>
      <c r="AF2873">
        <v>0.19752842072608701</v>
      </c>
      <c r="AG2873">
        <v>-0.42529139999999999</v>
      </c>
      <c r="AH2873">
        <v>221.89630301905899</v>
      </c>
      <c r="AI2873">
        <v>90.1098141900504</v>
      </c>
      <c r="AJ2873">
        <v>89.948996257719998</v>
      </c>
      <c r="AK2873">
        <v>221.896798498262</v>
      </c>
      <c r="AL2873">
        <v>76.5458778438894</v>
      </c>
      <c r="AM2873">
        <v>89.325154184824001</v>
      </c>
      <c r="AN2873">
        <v>1.0000000274462699</v>
      </c>
    </row>
    <row r="2874" spans="1:40" x14ac:dyDescent="0.25">
      <c r="A2874" t="str">
        <f>"20190303171033796"</f>
        <v>20190303171033796</v>
      </c>
      <c r="B2874" t="str">
        <f>"1551604233783317"</f>
        <v>1551604233783317</v>
      </c>
      <c r="C2874" t="s">
        <v>40</v>
      </c>
      <c r="D2874">
        <v>4.778594</v>
      </c>
      <c r="E2874">
        <v>0.49975829999999999</v>
      </c>
      <c r="F2874" t="s">
        <v>77</v>
      </c>
      <c r="G2874">
        <v>-107.39749999999999</v>
      </c>
      <c r="H2874">
        <v>0.57332609999999995</v>
      </c>
      <c r="I2874">
        <v>215.18969999999999</v>
      </c>
      <c r="J2874">
        <v>-329.017</v>
      </c>
      <c r="K2874">
        <v>1.121324</v>
      </c>
      <c r="L2874">
        <v>214.20699999999999</v>
      </c>
      <c r="M2874">
        <v>0.99988290000000002</v>
      </c>
      <c r="N2874">
        <v>-1.467098E-2</v>
      </c>
      <c r="O2874">
        <v>4.3554270000000003E-3</v>
      </c>
      <c r="P2874">
        <v>0.97580909999999998</v>
      </c>
      <c r="Q2874">
        <v>0.21849499999999999</v>
      </c>
      <c r="R2874">
        <v>-7.5642819999999899E-3</v>
      </c>
      <c r="S2874">
        <v>3.0761409999999998</v>
      </c>
      <c r="T2874">
        <v>-7.5961350000000004E-3</v>
      </c>
      <c r="U2874">
        <v>1.364136E-2</v>
      </c>
      <c r="V2874">
        <v>1.162643E-2</v>
      </c>
      <c r="W2874">
        <v>0.23279659999999999</v>
      </c>
      <c r="X2874">
        <v>0.97245599999999999</v>
      </c>
      <c r="Y2874" s="1">
        <v>-7.8951229999999999E-5</v>
      </c>
      <c r="Z2874" s="1">
        <v>5.3823940000000001E-5</v>
      </c>
      <c r="AA2874">
        <v>1</v>
      </c>
      <c r="AB2874">
        <v>46</v>
      </c>
      <c r="AC2874">
        <v>221.61949999999999</v>
      </c>
      <c r="AD2874">
        <v>-0.54799790000000004</v>
      </c>
      <c r="AE2874">
        <v>0.98269999999999402</v>
      </c>
      <c r="AF2874">
        <v>-1.7339131735927001E-2</v>
      </c>
      <c r="AG2874">
        <v>-0.54799790000000004</v>
      </c>
      <c r="AH2874">
        <v>221.62032303244601</v>
      </c>
      <c r="AI2874">
        <v>90.141674293835294</v>
      </c>
      <c r="AJ2874">
        <v>90.004482707421701</v>
      </c>
      <c r="AK2874">
        <v>221.62100122359701</v>
      </c>
      <c r="AL2874">
        <v>76.538225310750306</v>
      </c>
      <c r="AM2874">
        <v>89.315019257438706</v>
      </c>
      <c r="AN2874">
        <v>1.0000000513910501</v>
      </c>
    </row>
    <row r="2875" spans="1:40" x14ac:dyDescent="0.25">
      <c r="A2875" t="str">
        <f>"20190303171033817"</f>
        <v>20190303171033817</v>
      </c>
      <c r="B2875" t="str">
        <f>"1551604233803813"</f>
        <v>1551604233803813</v>
      </c>
      <c r="C2875" t="s">
        <v>40</v>
      </c>
      <c r="D2875">
        <v>4.8297589999999904</v>
      </c>
      <c r="E2875">
        <v>0.4987239</v>
      </c>
      <c r="F2875" t="s">
        <v>77</v>
      </c>
      <c r="G2875">
        <v>-107.39749999999999</v>
      </c>
      <c r="H2875">
        <v>0.55160790000000004</v>
      </c>
      <c r="I2875">
        <v>215.4623</v>
      </c>
      <c r="J2875">
        <v>-328.59109999999998</v>
      </c>
      <c r="K2875">
        <v>1.1213249999999999</v>
      </c>
      <c r="L2875">
        <v>214.209</v>
      </c>
      <c r="M2875">
        <v>0.99988189999999999</v>
      </c>
      <c r="N2875">
        <v>-1.466841E-2</v>
      </c>
      <c r="O2875">
        <v>4.6154789999999996E-3</v>
      </c>
      <c r="P2875">
        <v>0.97579649999999996</v>
      </c>
      <c r="Q2875">
        <v>0.21854119999999999</v>
      </c>
      <c r="R2875">
        <v>-7.8064390000000001E-3</v>
      </c>
      <c r="S2875">
        <v>3.0762939999999999</v>
      </c>
      <c r="T2875">
        <v>-7.9075099999999995E-3</v>
      </c>
      <c r="U2875">
        <v>1.742554E-2</v>
      </c>
      <c r="V2875">
        <v>1.2122829999999999E-2</v>
      </c>
      <c r="W2875">
        <v>0.23284060000000001</v>
      </c>
      <c r="X2875">
        <v>0.97243930000000001</v>
      </c>
      <c r="Y2875">
        <v>-1.0487210000000001E-3</v>
      </c>
      <c r="Z2875" s="1">
        <v>6.488191E-5</v>
      </c>
      <c r="AA2875">
        <v>0.99999950000000004</v>
      </c>
      <c r="AB2875">
        <v>46</v>
      </c>
      <c r="AC2875">
        <v>221.1936</v>
      </c>
      <c r="AD2875">
        <v>-0.56971709999999898</v>
      </c>
      <c r="AE2875">
        <v>1.2532999999999901</v>
      </c>
      <c r="AF2875">
        <v>-0.232260984795055</v>
      </c>
      <c r="AG2875">
        <v>-0.56971709999999898</v>
      </c>
      <c r="AH2875">
        <v>221.19556132073799</v>
      </c>
      <c r="AI2875">
        <v>90.147572107574803</v>
      </c>
      <c r="AJ2875">
        <v>90.060162008695301</v>
      </c>
      <c r="AK2875">
        <v>221.19641694823</v>
      </c>
      <c r="AL2875">
        <v>76.535631672567703</v>
      </c>
      <c r="AM2875">
        <v>89.285764143992296</v>
      </c>
      <c r="AN2875">
        <v>0.99999995010002796</v>
      </c>
    </row>
    <row r="2876" spans="1:40" x14ac:dyDescent="0.25">
      <c r="A2876" t="str">
        <f>"20190303171033839"</f>
        <v>20190303171033839</v>
      </c>
      <c r="B2876" t="str">
        <f>"1551604233833094"</f>
        <v>1551604233833094</v>
      </c>
      <c r="C2876" t="s">
        <v>40</v>
      </c>
      <c r="D2876">
        <v>4.7222650000000002</v>
      </c>
      <c r="E2876">
        <v>0.49738870000000002</v>
      </c>
      <c r="F2876" t="s">
        <v>77</v>
      </c>
      <c r="G2876">
        <v>-107.39749999999999</v>
      </c>
      <c r="H2876">
        <v>1.118727</v>
      </c>
      <c r="I2876">
        <v>215.98519999999999</v>
      </c>
      <c r="J2876">
        <v>-328.14269999999999</v>
      </c>
      <c r="K2876">
        <v>1.1213249999999999</v>
      </c>
      <c r="L2876">
        <v>214.21129999999999</v>
      </c>
      <c r="M2876">
        <v>0.99988049999999995</v>
      </c>
      <c r="N2876">
        <v>-1.4665859999999999E-2</v>
      </c>
      <c r="O2876">
        <v>4.8886390000000002E-3</v>
      </c>
      <c r="P2876">
        <v>0.9759139</v>
      </c>
      <c r="Q2876">
        <v>0.21800810000000001</v>
      </c>
      <c r="R2876">
        <v>-8.0448280000000004E-3</v>
      </c>
      <c r="S2876">
        <v>3.0745849999999999</v>
      </c>
      <c r="T2876" s="1">
        <v>-3.54051599999999E-5</v>
      </c>
      <c r="U2876">
        <v>2.4688720000000001E-2</v>
      </c>
      <c r="V2876">
        <v>1.2629019999999999E-2</v>
      </c>
      <c r="W2876">
        <v>0.23230680000000001</v>
      </c>
      <c r="X2876">
        <v>0.9725606</v>
      </c>
      <c r="Y2876">
        <v>-3.1410990000000001E-3</v>
      </c>
      <c r="Z2876" s="1">
        <v>9.4696200000000003E-5</v>
      </c>
      <c r="AA2876">
        <v>0.99999510000000003</v>
      </c>
      <c r="AB2876">
        <v>46</v>
      </c>
      <c r="AC2876">
        <v>220.74520000000001</v>
      </c>
      <c r="AD2876">
        <v>-2.5979999999998699E-3</v>
      </c>
      <c r="AE2876">
        <v>1.77389999999999</v>
      </c>
      <c r="AF2876">
        <v>-0.69461913083592997</v>
      </c>
      <c r="AG2876">
        <v>-2.5979999999998699E-3</v>
      </c>
      <c r="AH2876">
        <v>220.75123450394</v>
      </c>
      <c r="AI2876">
        <v>90.000674305167905</v>
      </c>
      <c r="AJ2876">
        <v>90.180287160361999</v>
      </c>
      <c r="AK2876">
        <v>220.75232736598801</v>
      </c>
      <c r="AL2876">
        <v>76.567079579547595</v>
      </c>
      <c r="AM2876">
        <v>89.256037228696201</v>
      </c>
      <c r="AN2876">
        <v>1.00000003107237</v>
      </c>
    </row>
    <row r="2877" spans="1:40" x14ac:dyDescent="0.25">
      <c r="A2877" t="str">
        <f>"20190303171033862"</f>
        <v>20190303171033862</v>
      </c>
      <c r="B2877" t="str">
        <f>"1551604233853592"</f>
        <v>1551604233853592</v>
      </c>
      <c r="C2877" t="s">
        <v>40</v>
      </c>
      <c r="D2877">
        <v>4.8279889999999996</v>
      </c>
      <c r="E2877">
        <v>0.49649330000000003</v>
      </c>
      <c r="F2877" t="s">
        <v>77</v>
      </c>
      <c r="G2877">
        <v>-107.39749999999999</v>
      </c>
      <c r="H2877">
        <v>1.4318770000000001</v>
      </c>
      <c r="I2877">
        <v>216.68709999999999</v>
      </c>
      <c r="J2877">
        <v>-327.66539999999998</v>
      </c>
      <c r="K2877">
        <v>1.121318</v>
      </c>
      <c r="L2877">
        <v>214.2139</v>
      </c>
      <c r="M2877">
        <v>0.99987919999999997</v>
      </c>
      <c r="N2877">
        <v>-1.466306E-2</v>
      </c>
      <c r="O2877">
        <v>5.177821E-3</v>
      </c>
      <c r="P2877">
        <v>0.97576949999999996</v>
      </c>
      <c r="Q2877">
        <v>0.2186419</v>
      </c>
      <c r="R2877">
        <v>-8.3538409999999903E-3</v>
      </c>
      <c r="S2877">
        <v>3.0733640000000002</v>
      </c>
      <c r="T2877">
        <v>4.3244360000000001E-3</v>
      </c>
      <c r="U2877">
        <v>3.4469600000000003E-2</v>
      </c>
      <c r="V2877">
        <v>1.321985E-2</v>
      </c>
      <c r="W2877">
        <v>0.23293620000000001</v>
      </c>
      <c r="X2877">
        <v>0.97240219999999999</v>
      </c>
      <c r="Y2877">
        <v>-6.03741E-3</v>
      </c>
      <c r="Z2877">
        <v>1.232296E-4</v>
      </c>
      <c r="AA2877">
        <v>0.99998180000000003</v>
      </c>
      <c r="AB2877">
        <v>46</v>
      </c>
      <c r="AC2877">
        <v>220.2679</v>
      </c>
      <c r="AD2877">
        <v>0.31055899999999997</v>
      </c>
      <c r="AE2877">
        <v>2.4731999999999901</v>
      </c>
      <c r="AF2877">
        <v>-1.33253393647827</v>
      </c>
      <c r="AG2877">
        <v>0.31055899999999997</v>
      </c>
      <c r="AH2877">
        <v>220.277316010406</v>
      </c>
      <c r="AI2877">
        <v>89.919222809887202</v>
      </c>
      <c r="AJ2877">
        <v>90.346597828166097</v>
      </c>
      <c r="AK2877">
        <v>220.28156537107799</v>
      </c>
      <c r="AL2877">
        <v>76.530000533911206</v>
      </c>
      <c r="AM2877">
        <v>89.221109381278595</v>
      </c>
      <c r="AN2877">
        <v>1.0000000381346501</v>
      </c>
    </row>
    <row r="2878" spans="1:40" x14ac:dyDescent="0.25">
      <c r="A2878" t="str">
        <f>"20190303171033882"</f>
        <v>20190303171033882</v>
      </c>
      <c r="B2878" t="str">
        <f>"1551604233873927"</f>
        <v>1551604233873927</v>
      </c>
      <c r="C2878" t="s">
        <v>40</v>
      </c>
      <c r="D2878">
        <v>4.8575999999999997</v>
      </c>
      <c r="E2878">
        <v>0.4956217</v>
      </c>
      <c r="F2878" t="s">
        <v>77</v>
      </c>
      <c r="G2878">
        <v>-107.39749999999999</v>
      </c>
      <c r="H2878">
        <v>1.4995019999999999</v>
      </c>
      <c r="I2878">
        <v>217.1422</v>
      </c>
      <c r="J2878">
        <v>-327.24369999999999</v>
      </c>
      <c r="K2878">
        <v>1.12131</v>
      </c>
      <c r="L2878">
        <v>214.21629999999999</v>
      </c>
      <c r="M2878">
        <v>0.99987789999999999</v>
      </c>
      <c r="N2878">
        <v>-1.4660499999999899E-2</v>
      </c>
      <c r="O2878">
        <v>5.4291309999999898E-3</v>
      </c>
      <c r="P2878">
        <v>0.97579530000000003</v>
      </c>
      <c r="Q2878">
        <v>0.21849930000000001</v>
      </c>
      <c r="R2878">
        <v>-9.0441610000000002E-3</v>
      </c>
      <c r="S2878">
        <v>3.0736690000000002</v>
      </c>
      <c r="T2878">
        <v>5.2779910000000001E-3</v>
      </c>
      <c r="U2878">
        <v>4.0863040000000003E-2</v>
      </c>
      <c r="V2878">
        <v>1.415722E-2</v>
      </c>
      <c r="W2878">
        <v>0.232792</v>
      </c>
      <c r="X2878">
        <v>0.9724235</v>
      </c>
      <c r="Y2878">
        <v>-7.864757E-3</v>
      </c>
      <c r="Z2878">
        <v>1.398208E-4</v>
      </c>
      <c r="AA2878">
        <v>0.99996910000000006</v>
      </c>
      <c r="AB2878">
        <v>46</v>
      </c>
      <c r="AC2878">
        <v>219.84620000000001</v>
      </c>
      <c r="AD2878">
        <v>0.37819199999999997</v>
      </c>
      <c r="AE2878">
        <v>2.9259000000000102</v>
      </c>
      <c r="AF2878">
        <v>-1.7321497680904501</v>
      </c>
      <c r="AG2878">
        <v>0.37819199999999997</v>
      </c>
      <c r="AH2878">
        <v>219.858195538221</v>
      </c>
      <c r="AI2878">
        <v>89.901445058455806</v>
      </c>
      <c r="AJ2878">
        <v>90.451394671166298</v>
      </c>
      <c r="AK2878">
        <v>219.865344057063</v>
      </c>
      <c r="AL2878">
        <v>76.538495649806507</v>
      </c>
      <c r="AM2878">
        <v>89.165906980122998</v>
      </c>
      <c r="AN2878">
        <v>1.00000000274718</v>
      </c>
    </row>
    <row r="2879" spans="1:40" x14ac:dyDescent="0.25">
      <c r="A2879" t="str">
        <f>"20190303171033906"</f>
        <v>20190303171033906</v>
      </c>
      <c r="B2879" t="str">
        <f>"1551604233893448"</f>
        <v>1551604233893448</v>
      </c>
      <c r="C2879" t="s">
        <v>40</v>
      </c>
      <c r="D2879">
        <v>4.8649809999999896</v>
      </c>
      <c r="E2879">
        <v>0.49488100000000002</v>
      </c>
      <c r="F2879" t="s">
        <v>77</v>
      </c>
      <c r="G2879">
        <v>-107.39749999999999</v>
      </c>
      <c r="H2879">
        <v>1.381508</v>
      </c>
      <c r="I2879">
        <v>217.53479999999999</v>
      </c>
      <c r="J2879">
        <v>-326.7928</v>
      </c>
      <c r="K2879">
        <v>1.121305</v>
      </c>
      <c r="L2879">
        <v>214.21889999999999</v>
      </c>
      <c r="M2879">
        <v>0.99987630000000005</v>
      </c>
      <c r="N2879">
        <v>-1.4657709999999999E-2</v>
      </c>
      <c r="O2879">
        <v>5.6902879999999999E-3</v>
      </c>
      <c r="P2879">
        <v>0.97585480000000002</v>
      </c>
      <c r="Q2879">
        <v>0.2182027</v>
      </c>
      <c r="R2879">
        <v>-9.7390259999999996E-3</v>
      </c>
      <c r="S2879">
        <v>3.074036</v>
      </c>
      <c r="T2879">
        <v>3.6389830000000001E-3</v>
      </c>
      <c r="U2879">
        <v>4.6401980000000002E-2</v>
      </c>
      <c r="V2879">
        <v>1.5110810000000001E-2</v>
      </c>
      <c r="W2879">
        <v>0.2324938</v>
      </c>
      <c r="X2879">
        <v>0.97248049999999997</v>
      </c>
      <c r="Y2879">
        <v>-9.4033829999999995E-3</v>
      </c>
      <c r="Z2879">
        <v>1.5350070000000001E-4</v>
      </c>
      <c r="AA2879">
        <v>0.99995579999999995</v>
      </c>
      <c r="AB2879">
        <v>46</v>
      </c>
      <c r="AC2879">
        <v>219.39529999999999</v>
      </c>
      <c r="AD2879">
        <v>0.26020300000000002</v>
      </c>
      <c r="AE2879">
        <v>3.3158999999999899</v>
      </c>
      <c r="AF2879">
        <v>-2.0672867242286599</v>
      </c>
      <c r="AG2879">
        <v>0.26020300000000002</v>
      </c>
      <c r="AH2879">
        <v>219.410309168878</v>
      </c>
      <c r="AI2879">
        <v>89.932054856121098</v>
      </c>
      <c r="AJ2879">
        <v>90.5398255896243</v>
      </c>
      <c r="AK2879">
        <v>219.420202236677</v>
      </c>
      <c r="AL2879">
        <v>76.556063411467093</v>
      </c>
      <c r="AM2879">
        <v>89.109785780823202</v>
      </c>
      <c r="AN2879">
        <v>1.0000000132487701</v>
      </c>
    </row>
    <row r="2880" spans="1:40" x14ac:dyDescent="0.25">
      <c r="A2880" t="str">
        <f>"20190303171033929"</f>
        <v>20190303171033929</v>
      </c>
      <c r="B2880" t="str">
        <f>"1551604233923703"</f>
        <v>1551604233923703</v>
      </c>
      <c r="C2880" t="s">
        <v>40</v>
      </c>
      <c r="D2880">
        <v>4.870914</v>
      </c>
      <c r="E2880">
        <v>0.49376199999999998</v>
      </c>
      <c r="F2880" t="s">
        <v>77</v>
      </c>
      <c r="G2880">
        <v>-107.39749999999999</v>
      </c>
      <c r="H2880">
        <v>1.215578</v>
      </c>
      <c r="I2880">
        <v>217.809</v>
      </c>
      <c r="J2880">
        <v>-326.29919999999998</v>
      </c>
      <c r="K2880">
        <v>1.1213010000000001</v>
      </c>
      <c r="L2880">
        <v>214.22200000000001</v>
      </c>
      <c r="M2880">
        <v>0.99987479999999995</v>
      </c>
      <c r="N2880">
        <v>-1.465465E-2</v>
      </c>
      <c r="O2880">
        <v>5.9655200000000002E-3</v>
      </c>
      <c r="P2880">
        <v>0.97599309999999995</v>
      </c>
      <c r="Q2880">
        <v>0.21757760000000001</v>
      </c>
      <c r="R2880">
        <v>-9.8700060000000006E-3</v>
      </c>
      <c r="S2880">
        <v>3.0744319999999998</v>
      </c>
      <c r="T2880">
        <v>1.3217929999999999E-3</v>
      </c>
      <c r="U2880">
        <v>5.0308230000000002E-2</v>
      </c>
      <c r="V2880">
        <v>1.5516520000000001E-2</v>
      </c>
      <c r="W2880">
        <v>0.23186799999999999</v>
      </c>
      <c r="X2880">
        <v>0.97262349999999997</v>
      </c>
      <c r="Y2880">
        <v>-1.0396290000000001E-2</v>
      </c>
      <c r="Z2880">
        <v>1.6393859999999999E-4</v>
      </c>
      <c r="AA2880">
        <v>0.99994590000000005</v>
      </c>
      <c r="AB2880">
        <v>46</v>
      </c>
      <c r="AC2880">
        <v>218.90170000000001</v>
      </c>
      <c r="AD2880">
        <v>9.4276999999999903E-2</v>
      </c>
      <c r="AE2880">
        <v>3.58700000000001</v>
      </c>
      <c r="AF2880">
        <v>-2.2809329971118499</v>
      </c>
      <c r="AG2880">
        <v>9.4276999999999903E-2</v>
      </c>
      <c r="AH2880">
        <v>218.91916407718199</v>
      </c>
      <c r="AI2880">
        <v>89.975327054059505</v>
      </c>
      <c r="AJ2880">
        <v>90.596946849869397</v>
      </c>
      <c r="AK2880">
        <v>218.93106664825399</v>
      </c>
      <c r="AL2880">
        <v>76.592926331816599</v>
      </c>
      <c r="AM2880">
        <v>89.086022804505106</v>
      </c>
      <c r="AN2880">
        <v>1.0000000022845801</v>
      </c>
    </row>
    <row r="2881" spans="1:40" x14ac:dyDescent="0.25">
      <c r="A2881" t="str">
        <f>"20190303171033951"</f>
        <v>20190303171033951</v>
      </c>
      <c r="B2881" t="str">
        <f>"1551604233943224"</f>
        <v>1551604233943224</v>
      </c>
      <c r="C2881" t="s">
        <v>40</v>
      </c>
      <c r="D2881">
        <v>4.8965610000000002</v>
      </c>
      <c r="E2881">
        <v>0.4930484</v>
      </c>
      <c r="F2881" t="s">
        <v>77</v>
      </c>
      <c r="G2881">
        <v>-107.39749999999999</v>
      </c>
      <c r="H2881">
        <v>0.97339489999999995</v>
      </c>
      <c r="I2881">
        <v>218.41829999999999</v>
      </c>
      <c r="J2881">
        <v>-325.8612</v>
      </c>
      <c r="K2881">
        <v>1.1212899999999999</v>
      </c>
      <c r="L2881">
        <v>214.22479999999999</v>
      </c>
      <c r="M2881">
        <v>0.99987340000000002</v>
      </c>
      <c r="N2881">
        <v>-1.465194E-2</v>
      </c>
      <c r="O2881">
        <v>6.1997919999999896E-3</v>
      </c>
      <c r="P2881">
        <v>0.97595290000000001</v>
      </c>
      <c r="Q2881">
        <v>0.2177415</v>
      </c>
      <c r="R2881">
        <v>-1.0218120000000001E-2</v>
      </c>
      <c r="S2881">
        <v>3.0748600000000001</v>
      </c>
      <c r="T2881">
        <v>-2.0768639999999999E-3</v>
      </c>
      <c r="U2881">
        <v>5.8944700000000003E-2</v>
      </c>
      <c r="V2881">
        <v>1.6098419999999999E-2</v>
      </c>
      <c r="W2881">
        <v>0.2320286</v>
      </c>
      <c r="X2881">
        <v>0.97257570000000004</v>
      </c>
      <c r="Y2881">
        <v>-1.296721E-2</v>
      </c>
      <c r="Z2881">
        <v>1.860407E-4</v>
      </c>
      <c r="AA2881">
        <v>0.99991589999999997</v>
      </c>
      <c r="AB2881">
        <v>46</v>
      </c>
      <c r="AC2881">
        <v>218.46369999999999</v>
      </c>
      <c r="AD2881">
        <v>-0.147895099999999</v>
      </c>
      <c r="AE2881">
        <v>4.1935000000000002</v>
      </c>
      <c r="AF2881">
        <v>-2.8388431351824099</v>
      </c>
      <c r="AG2881">
        <v>-0.147895099999999</v>
      </c>
      <c r="AH2881">
        <v>218.485401992221</v>
      </c>
      <c r="AI2881">
        <v>90.038780845156694</v>
      </c>
      <c r="AJ2881">
        <v>90.744418512294502</v>
      </c>
      <c r="AK2881">
        <v>218.50389421474699</v>
      </c>
      <c r="AL2881">
        <v>76.583466085862099</v>
      </c>
      <c r="AM2881">
        <v>89.051706412777094</v>
      </c>
      <c r="AN2881">
        <v>0.99999996128747204</v>
      </c>
    </row>
    <row r="2882" spans="1:40" x14ac:dyDescent="0.25">
      <c r="A2882" t="str">
        <f>"20190303171033973"</f>
        <v>20190303171033973</v>
      </c>
      <c r="B2882" t="str">
        <f>"1551604233963724"</f>
        <v>1551604233963724</v>
      </c>
      <c r="C2882" t="s">
        <v>40</v>
      </c>
      <c r="D2882">
        <v>4.883953</v>
      </c>
      <c r="E2882">
        <v>0.49273289999999997</v>
      </c>
      <c r="F2882" t="s">
        <v>77</v>
      </c>
      <c r="G2882">
        <v>-107.39749999999999</v>
      </c>
      <c r="H2882">
        <v>0.96480489999999997</v>
      </c>
      <c r="I2882">
        <v>218.7268</v>
      </c>
      <c r="J2882">
        <v>-325.40499999999997</v>
      </c>
      <c r="K2882">
        <v>1.1212819999999999</v>
      </c>
      <c r="L2882">
        <v>214.2278</v>
      </c>
      <c r="M2882">
        <v>0.99987210000000004</v>
      </c>
      <c r="N2882">
        <v>-1.464909E-2</v>
      </c>
      <c r="O2882">
        <v>6.4318960000000003E-3</v>
      </c>
      <c r="P2882">
        <v>0.97590049999999995</v>
      </c>
      <c r="Q2882">
        <v>0.21795020000000001</v>
      </c>
      <c r="R2882">
        <v>-1.0783299999999999E-2</v>
      </c>
      <c r="S2882">
        <v>3.075043</v>
      </c>
      <c r="T2882">
        <v>-2.201915E-3</v>
      </c>
      <c r="U2882">
        <v>6.3369750000000002E-2</v>
      </c>
      <c r="V2882">
        <v>1.6895489999999999E-2</v>
      </c>
      <c r="W2882">
        <v>0.232234</v>
      </c>
      <c r="X2882">
        <v>0.97251319999999997</v>
      </c>
      <c r="Y2882">
        <v>-1.4172290000000001E-2</v>
      </c>
      <c r="Z2882">
        <v>1.9850980000000001E-4</v>
      </c>
      <c r="AA2882">
        <v>0.9998996</v>
      </c>
      <c r="AB2882">
        <v>46</v>
      </c>
      <c r="AC2882">
        <v>218.00749999999999</v>
      </c>
      <c r="AD2882">
        <v>-0.15647709999999901</v>
      </c>
      <c r="AE2882">
        <v>4.4989999999999899</v>
      </c>
      <c r="AF2882">
        <v>-3.09655340679697</v>
      </c>
      <c r="AG2882">
        <v>-0.15647709999999901</v>
      </c>
      <c r="AH2882">
        <v>218.03181750405301</v>
      </c>
      <c r="AI2882">
        <v>90.041115888170296</v>
      </c>
      <c r="AJ2882">
        <v>90.813677177507103</v>
      </c>
      <c r="AK2882">
        <v>218.053861631031</v>
      </c>
      <c r="AL2882">
        <v>76.571367655459994</v>
      </c>
      <c r="AM2882">
        <v>89.004699478053197</v>
      </c>
      <c r="AN2882">
        <v>1.0000000062562899</v>
      </c>
    </row>
    <row r="2883" spans="1:40" x14ac:dyDescent="0.25">
      <c r="A2883" t="str">
        <f>"20190303171033994"</f>
        <v>20190303171033994</v>
      </c>
      <c r="B2883" t="str">
        <f>"1551604233983746"</f>
        <v>1551604233983746</v>
      </c>
      <c r="C2883" t="s">
        <v>40</v>
      </c>
      <c r="D2883">
        <v>4.8605859999999996</v>
      </c>
      <c r="E2883">
        <v>0.49207079999999997</v>
      </c>
      <c r="F2883" t="s">
        <v>77</v>
      </c>
      <c r="G2883">
        <v>-107.39749999999999</v>
      </c>
      <c r="H2883">
        <v>1.003811</v>
      </c>
      <c r="I2883">
        <v>218.8338</v>
      </c>
      <c r="J2883">
        <v>-324.97269999999997</v>
      </c>
      <c r="K2883">
        <v>1.1212740000000001</v>
      </c>
      <c r="L2883">
        <v>214.23070000000001</v>
      </c>
      <c r="M2883">
        <v>0.9998707</v>
      </c>
      <c r="N2883">
        <v>-1.464644E-2</v>
      </c>
      <c r="O2883">
        <v>6.6387130000000001E-3</v>
      </c>
      <c r="P2883">
        <v>0.97584689999999996</v>
      </c>
      <c r="Q2883">
        <v>0.2181468</v>
      </c>
      <c r="R2883">
        <v>-1.160019E-2</v>
      </c>
      <c r="S2883">
        <v>3.0751949999999999</v>
      </c>
      <c r="T2883">
        <v>-1.656294E-3</v>
      </c>
      <c r="U2883">
        <v>6.4971920000000002E-2</v>
      </c>
      <c r="V2883">
        <v>1.792036E-2</v>
      </c>
      <c r="W2883">
        <v>0.23242699999999999</v>
      </c>
      <c r="X2883">
        <v>0.9724488</v>
      </c>
      <c r="Y2883">
        <v>-1.448522E-2</v>
      </c>
      <c r="Z2883">
        <v>2.036517E-4</v>
      </c>
      <c r="AA2883">
        <v>0.99989499999999998</v>
      </c>
      <c r="AB2883">
        <v>46</v>
      </c>
      <c r="AC2883">
        <v>217.5752</v>
      </c>
      <c r="AD2883">
        <v>-0.117462999999999</v>
      </c>
      <c r="AE2883">
        <v>4.60309999999998</v>
      </c>
      <c r="AF2883">
        <v>-3.15842336648429</v>
      </c>
      <c r="AG2883">
        <v>-0.117462999999999</v>
      </c>
      <c r="AH2883">
        <v>217.600902919513</v>
      </c>
      <c r="AI2883">
        <v>90.030925536481504</v>
      </c>
      <c r="AJ2883">
        <v>90.831575694719703</v>
      </c>
      <c r="AK2883">
        <v>217.62385528040201</v>
      </c>
      <c r="AL2883">
        <v>76.559999197916099</v>
      </c>
      <c r="AM2883">
        <v>88.944268539638799</v>
      </c>
      <c r="AN2883">
        <v>1.0000000591264799</v>
      </c>
    </row>
    <row r="2884" spans="1:40" x14ac:dyDescent="0.25">
      <c r="A2884" t="str">
        <f>"20190303171034017"</f>
        <v>20190303171034017</v>
      </c>
      <c r="B2884" t="str">
        <f>"1551604234003270"</f>
        <v>1551604234003270</v>
      </c>
      <c r="C2884" t="s">
        <v>40</v>
      </c>
      <c r="D2884">
        <v>4.88089</v>
      </c>
      <c r="E2884">
        <v>0.49153530000000001</v>
      </c>
      <c r="F2884" t="s">
        <v>77</v>
      </c>
      <c r="G2884">
        <v>-107.39749999999999</v>
      </c>
      <c r="H2884">
        <v>1.00064</v>
      </c>
      <c r="I2884">
        <v>219.0334</v>
      </c>
      <c r="J2884">
        <v>-324.50959999999998</v>
      </c>
      <c r="K2884">
        <v>1.121262</v>
      </c>
      <c r="L2884">
        <v>214.23400000000001</v>
      </c>
      <c r="M2884">
        <v>0.99986929999999996</v>
      </c>
      <c r="N2884">
        <v>-1.464356E-2</v>
      </c>
      <c r="O2884">
        <v>6.8447780000000001E-3</v>
      </c>
      <c r="P2884">
        <v>0.97603740000000005</v>
      </c>
      <c r="Q2884">
        <v>0.21728649999999999</v>
      </c>
      <c r="R2884">
        <v>-1.1731399999999999E-2</v>
      </c>
      <c r="S2884">
        <v>3.0754700000000001</v>
      </c>
      <c r="T2884">
        <v>-1.704454E-3</v>
      </c>
      <c r="U2884">
        <v>6.7886349999999998E-2</v>
      </c>
      <c r="V2884">
        <v>1.8262420000000001E-2</v>
      </c>
      <c r="W2884">
        <v>0.23156650000000001</v>
      </c>
      <c r="X2884">
        <v>0.97264759999999995</v>
      </c>
      <c r="Y2884">
        <v>-1.5224369999999999E-2</v>
      </c>
      <c r="Z2884">
        <v>2.1214239999999999E-4</v>
      </c>
      <c r="AA2884">
        <v>0.99988410000000005</v>
      </c>
      <c r="AB2884">
        <v>46</v>
      </c>
      <c r="AC2884">
        <v>217.1121</v>
      </c>
      <c r="AD2884">
        <v>-0.12062199999999999</v>
      </c>
      <c r="AE2884">
        <v>4.7993999999999897</v>
      </c>
      <c r="AF2884">
        <v>-3.3130429666160999</v>
      </c>
      <c r="AG2884">
        <v>-0.12062199999999999</v>
      </c>
      <c r="AH2884">
        <v>217.139800252627</v>
      </c>
      <c r="AI2884">
        <v>90.031824320077405</v>
      </c>
      <c r="AJ2884">
        <v>90.874131094972299</v>
      </c>
      <c r="AK2884">
        <v>217.16510690512999</v>
      </c>
      <c r="AL2884">
        <v>76.610683705777603</v>
      </c>
      <c r="AM2884">
        <v>88.924341503250204</v>
      </c>
      <c r="AN2884">
        <v>0.99999995684613197</v>
      </c>
    </row>
    <row r="2885" spans="1:40" x14ac:dyDescent="0.25">
      <c r="A2885" t="str">
        <f>"20190303171034040"</f>
        <v>20190303171034040</v>
      </c>
      <c r="B2885" t="str">
        <f>"1551604234033523"</f>
        <v>1551604234033523</v>
      </c>
      <c r="C2885" t="s">
        <v>40</v>
      </c>
      <c r="D2885">
        <v>4.8966260000000004</v>
      </c>
      <c r="E2885">
        <v>0.49063770000000001</v>
      </c>
      <c r="F2885" t="s">
        <v>49</v>
      </c>
      <c r="G2885">
        <v>-124.3813</v>
      </c>
      <c r="H2885">
        <v>0.72495080000000001</v>
      </c>
      <c r="I2885">
        <v>218.89709999999999</v>
      </c>
      <c r="J2885">
        <v>-324.04320000000001</v>
      </c>
      <c r="K2885">
        <v>1.1212500000000001</v>
      </c>
      <c r="L2885">
        <v>214.23740000000001</v>
      </c>
      <c r="M2885">
        <v>0.99986810000000004</v>
      </c>
      <c r="N2885">
        <v>-1.464068E-2</v>
      </c>
      <c r="O2885">
        <v>7.0384419999999998E-3</v>
      </c>
      <c r="P2885">
        <v>0.97624149999999998</v>
      </c>
      <c r="Q2885">
        <v>0.2163495</v>
      </c>
      <c r="R2885">
        <v>-1.2052999999999999E-2</v>
      </c>
      <c r="S2885">
        <v>3.0758969999999999</v>
      </c>
      <c r="T2885">
        <v>-6.0902830000000002E-3</v>
      </c>
      <c r="U2885">
        <v>7.1670529999999996E-2</v>
      </c>
      <c r="V2885">
        <v>1.8783000000000001E-2</v>
      </c>
      <c r="W2885">
        <v>0.230629</v>
      </c>
      <c r="X2885">
        <v>0.97286050000000002</v>
      </c>
      <c r="Y2885">
        <v>-1.6256799999999998E-2</v>
      </c>
      <c r="Z2885">
        <v>2.2422960000000001E-4</v>
      </c>
      <c r="AA2885">
        <v>0.99986779999999997</v>
      </c>
      <c r="AB2885">
        <v>46</v>
      </c>
      <c r="AC2885">
        <v>199.6619</v>
      </c>
      <c r="AD2885">
        <v>-0.39629920000000002</v>
      </c>
      <c r="AE2885">
        <v>4.6596999999999804</v>
      </c>
      <c r="AF2885">
        <v>-3.2541124751248498</v>
      </c>
      <c r="AG2885">
        <v>-0.39629920000000002</v>
      </c>
      <c r="AH2885">
        <v>199.688967555652</v>
      </c>
      <c r="AI2885">
        <v>90.113692948414993</v>
      </c>
      <c r="AJ2885">
        <v>90.933603952848102</v>
      </c>
      <c r="AK2885">
        <v>199.71587334135199</v>
      </c>
      <c r="AL2885">
        <v>76.665894181258196</v>
      </c>
      <c r="AM2885">
        <v>88.893928845009</v>
      </c>
      <c r="AN2885">
        <v>1.00000004459512</v>
      </c>
    </row>
    <row r="2886" spans="1:40" x14ac:dyDescent="0.25">
      <c r="A2886" t="str">
        <f>"20190303171034062"</f>
        <v>20190303171034062</v>
      </c>
      <c r="B2886" t="str">
        <f>"1551604234054019"</f>
        <v>1551604234054019</v>
      </c>
      <c r="C2886" t="s">
        <v>40</v>
      </c>
      <c r="D2886">
        <v>5.0199379999999998</v>
      </c>
      <c r="E2886">
        <v>0.49032320000000001</v>
      </c>
      <c r="F2886" t="s">
        <v>49</v>
      </c>
      <c r="G2886">
        <v>-139.8794</v>
      </c>
      <c r="H2886">
        <v>0.50291439999999998</v>
      </c>
      <c r="I2886">
        <v>218.89709999999999</v>
      </c>
      <c r="J2886">
        <v>-323.5865</v>
      </c>
      <c r="K2886">
        <v>1.1212249999999999</v>
      </c>
      <c r="L2886">
        <v>214.2407</v>
      </c>
      <c r="M2886">
        <v>0.9998669</v>
      </c>
      <c r="N2886">
        <v>-1.4637839999999999E-2</v>
      </c>
      <c r="O2886">
        <v>7.2187830000000003E-3</v>
      </c>
      <c r="P2886">
        <v>0.97644799999999998</v>
      </c>
      <c r="Q2886">
        <v>0.21535989999999999</v>
      </c>
      <c r="R2886">
        <v>-1.303793E-2</v>
      </c>
      <c r="S2886">
        <v>3.0762330000000002</v>
      </c>
      <c r="T2886">
        <v>-1.0327579999999999E-2</v>
      </c>
      <c r="U2886">
        <v>7.7835080000000001E-2</v>
      </c>
      <c r="V2886">
        <v>1.995282E-2</v>
      </c>
      <c r="W2886">
        <v>0.22964010000000001</v>
      </c>
      <c r="X2886">
        <v>0.97307109999999997</v>
      </c>
      <c r="Y2886">
        <v>-1.807599E-2</v>
      </c>
      <c r="Z2886">
        <v>2.4409449999999999E-4</v>
      </c>
      <c r="AA2886">
        <v>0.99983659999999996</v>
      </c>
      <c r="AB2886">
        <v>45</v>
      </c>
      <c r="AC2886">
        <v>183.7071</v>
      </c>
      <c r="AD2886">
        <v>-0.61831059999999904</v>
      </c>
      <c r="AE2886">
        <v>4.6563999999999899</v>
      </c>
      <c r="AF2886">
        <v>-3.32995729196274</v>
      </c>
      <c r="AG2886">
        <v>-0.61831059999999904</v>
      </c>
      <c r="AH2886">
        <v>183.73384944748599</v>
      </c>
      <c r="AI2886">
        <v>90.192782317197597</v>
      </c>
      <c r="AJ2886">
        <v>91.0383041200637</v>
      </c>
      <c r="AK2886">
        <v>183.765062937316</v>
      </c>
      <c r="AL2886">
        <v>76.724116517047094</v>
      </c>
      <c r="AM2886">
        <v>88.825314827755705</v>
      </c>
      <c r="AN2886">
        <v>1.00000002810458</v>
      </c>
    </row>
    <row r="2887" spans="1:40" x14ac:dyDescent="0.25">
      <c r="A2887" t="str">
        <f>"20190303171034075"</f>
        <v>20190303171034075</v>
      </c>
      <c r="B2887" t="str">
        <f>"1551604234063780"</f>
        <v>1551604234063780</v>
      </c>
      <c r="C2887" t="s">
        <v>40</v>
      </c>
      <c r="D2887">
        <v>4.8914780000000002</v>
      </c>
      <c r="E2887">
        <v>0.49053790000000003</v>
      </c>
      <c r="F2887" t="s">
        <v>49</v>
      </c>
      <c r="G2887">
        <v>-138.446</v>
      </c>
      <c r="H2887">
        <v>0.25456620000000002</v>
      </c>
      <c r="I2887">
        <v>218.89709999999999</v>
      </c>
      <c r="J2887">
        <v>-323.31479999999999</v>
      </c>
      <c r="K2887">
        <v>1.121218</v>
      </c>
      <c r="L2887">
        <v>214.24270000000001</v>
      </c>
      <c r="M2887">
        <v>0.99986609999999998</v>
      </c>
      <c r="N2887">
        <v>-1.463617E-2</v>
      </c>
      <c r="O2887">
        <v>7.3233400000000002E-3</v>
      </c>
      <c r="P2887">
        <v>0.97645280000000001</v>
      </c>
      <c r="Q2887">
        <v>0.2153195</v>
      </c>
      <c r="R2887">
        <v>-1.3348809999999999E-2</v>
      </c>
      <c r="S2887">
        <v>3.0765690000000001</v>
      </c>
      <c r="T2887">
        <v>-1.4400720000000001E-2</v>
      </c>
      <c r="U2887">
        <v>7.7377319999999999E-2</v>
      </c>
      <c r="V2887">
        <v>2.036951E-2</v>
      </c>
      <c r="W2887">
        <v>0.22959740000000001</v>
      </c>
      <c r="X2887">
        <v>0.97307250000000001</v>
      </c>
      <c r="Y2887">
        <v>-1.7819649999999999E-2</v>
      </c>
      <c r="Z2887">
        <v>2.4504090000000001E-4</v>
      </c>
      <c r="AA2887">
        <v>0.99984119999999999</v>
      </c>
      <c r="AB2887">
        <v>45</v>
      </c>
      <c r="AC2887">
        <v>184.86879999999999</v>
      </c>
      <c r="AD2887">
        <v>-0.86665179999999997</v>
      </c>
      <c r="AE2887">
        <v>4.6543999999999803</v>
      </c>
      <c r="AF2887">
        <v>-3.3002006134662198</v>
      </c>
      <c r="AG2887">
        <v>-0.86665179999999997</v>
      </c>
      <c r="AH2887">
        <v>184.893870118812</v>
      </c>
      <c r="AI2887">
        <v>90.268517387258797</v>
      </c>
      <c r="AJ2887">
        <v>91.022573056545397</v>
      </c>
      <c r="AK2887">
        <v>184.925351471732</v>
      </c>
      <c r="AL2887">
        <v>76.726629650589004</v>
      </c>
      <c r="AM2887">
        <v>88.800791794356698</v>
      </c>
      <c r="AN2887">
        <v>0.99999998664032397</v>
      </c>
    </row>
    <row r="2888" spans="1:40" x14ac:dyDescent="0.25">
      <c r="A2888" t="str">
        <f>"20190303171034095"</f>
        <v>20190303171034095</v>
      </c>
      <c r="B2888" t="str">
        <f>"1551604234083299"</f>
        <v>1551604234083299</v>
      </c>
      <c r="C2888" t="s">
        <v>40</v>
      </c>
      <c r="D2888">
        <v>4.7993600000000001</v>
      </c>
      <c r="E2888">
        <v>0.49110989999999999</v>
      </c>
      <c r="F2888" t="s">
        <v>49</v>
      </c>
      <c r="G2888">
        <v>-124.6118</v>
      </c>
      <c r="H2888">
        <v>0.1786499</v>
      </c>
      <c r="I2888">
        <v>219.054</v>
      </c>
      <c r="J2888">
        <v>-322.9282</v>
      </c>
      <c r="K2888">
        <v>1.121208</v>
      </c>
      <c r="L2888">
        <v>214.2457</v>
      </c>
      <c r="M2888">
        <v>0.99986509999999995</v>
      </c>
      <c r="N2888">
        <v>-1.4633810000000001E-2</v>
      </c>
      <c r="O2888">
        <v>7.4678130000000002E-3</v>
      </c>
      <c r="P2888">
        <v>0.97649609999999998</v>
      </c>
      <c r="Q2888">
        <v>0.21509159999999999</v>
      </c>
      <c r="R2888">
        <v>-1.382851E-2</v>
      </c>
      <c r="S2888">
        <v>3.0765690000000001</v>
      </c>
      <c r="T2888">
        <v>-1.4593119999999999E-2</v>
      </c>
      <c r="U2888">
        <v>7.4493409999999996E-2</v>
      </c>
      <c r="V2888">
        <v>2.0995340000000001E-2</v>
      </c>
      <c r="W2888">
        <v>0.22936809999999999</v>
      </c>
      <c r="X2888">
        <v>0.97311329999999996</v>
      </c>
      <c r="Y2888">
        <v>-1.6738550000000001E-2</v>
      </c>
      <c r="Z2888">
        <v>2.3605490000000001E-4</v>
      </c>
      <c r="AA2888">
        <v>0.99985990000000002</v>
      </c>
      <c r="AB2888">
        <v>45</v>
      </c>
      <c r="AC2888">
        <v>198.31639999999999</v>
      </c>
      <c r="AD2888">
        <v>-0.94255809999999995</v>
      </c>
      <c r="AE2888">
        <v>4.8083</v>
      </c>
      <c r="AF2888">
        <v>-3.3269424943091002</v>
      </c>
      <c r="AG2888">
        <v>-0.94255809999999995</v>
      </c>
      <c r="AH2888">
        <v>198.34230244734499</v>
      </c>
      <c r="AI2888">
        <v>90.272239448332499</v>
      </c>
      <c r="AJ2888">
        <v>90.960974470809006</v>
      </c>
      <c r="AK2888">
        <v>198.372442396232</v>
      </c>
      <c r="AL2888">
        <v>76.7401281458759</v>
      </c>
      <c r="AM2888">
        <v>88.764010555624793</v>
      </c>
      <c r="AN2888">
        <v>1.0000000121181001</v>
      </c>
    </row>
    <row r="2889" spans="1:40" x14ac:dyDescent="0.25">
      <c r="A2889" t="str">
        <f>"20190303171034119"</f>
        <v>20190303171034119</v>
      </c>
      <c r="B2889" t="str">
        <f>"1551604234113555"</f>
        <v>1551604234113555</v>
      </c>
      <c r="C2889" t="s">
        <v>40</v>
      </c>
      <c r="D2889">
        <v>4.8026150000000003</v>
      </c>
      <c r="E2889">
        <v>0.54055339999999996</v>
      </c>
      <c r="F2889" t="s">
        <v>41</v>
      </c>
      <c r="G2889">
        <v>-100.18819999999999</v>
      </c>
      <c r="H2889">
        <v>-0.05</v>
      </c>
      <c r="I2889">
        <v>219.2199</v>
      </c>
      <c r="J2889">
        <v>-322.4529</v>
      </c>
      <c r="K2889">
        <v>1.121194</v>
      </c>
      <c r="L2889">
        <v>214.24940000000001</v>
      </c>
      <c r="M2889">
        <v>0.99986379999999997</v>
      </c>
      <c r="N2889">
        <v>-1.4630870000000001E-2</v>
      </c>
      <c r="O2889">
        <v>7.6420269999999896E-3</v>
      </c>
      <c r="P2889">
        <v>0.97668200000000005</v>
      </c>
      <c r="Q2889">
        <v>0.2142858</v>
      </c>
      <c r="R2889">
        <v>-1.31953E-2</v>
      </c>
      <c r="S2889">
        <v>3.0767519999999999</v>
      </c>
      <c r="T2889">
        <v>-1.6178129999999999E-2</v>
      </c>
      <c r="U2889">
        <v>6.871033E-2</v>
      </c>
      <c r="V2889">
        <v>2.05387E-2</v>
      </c>
      <c r="W2889">
        <v>0.22856190000000001</v>
      </c>
      <c r="X2889">
        <v>0.97331270000000003</v>
      </c>
      <c r="Y2889">
        <v>-1.468451E-2</v>
      </c>
      <c r="Z2889">
        <v>2.176767E-4</v>
      </c>
      <c r="AA2889">
        <v>0.99989220000000001</v>
      </c>
      <c r="AB2889">
        <v>45</v>
      </c>
      <c r="AC2889">
        <v>222.2647</v>
      </c>
      <c r="AD2889">
        <v>-1.1711940000000001</v>
      </c>
      <c r="AE2889">
        <v>4.9704999999999799</v>
      </c>
      <c r="AF2889">
        <v>-3.2715294375706101</v>
      </c>
      <c r="AG2889">
        <v>-1.1711940000000001</v>
      </c>
      <c r="AH2889">
        <v>222.29002801499399</v>
      </c>
      <c r="AI2889">
        <v>90.301842537770099</v>
      </c>
      <c r="AJ2889">
        <v>90.843183561313495</v>
      </c>
      <c r="AK2889">
        <v>222.317185919472</v>
      </c>
      <c r="AL2889">
        <v>76.787580380191002</v>
      </c>
      <c r="AM2889">
        <v>88.791132382746994</v>
      </c>
      <c r="AN2889">
        <v>0.999999996155295</v>
      </c>
    </row>
    <row r="2890" spans="1:40" x14ac:dyDescent="0.25">
      <c r="A2890" t="str">
        <f>"20190303171034141"</f>
        <v>20190303171034141</v>
      </c>
      <c r="B2890" t="str">
        <f>"1551604234134051"</f>
        <v>1551604234134051</v>
      </c>
      <c r="C2890" t="s">
        <v>40</v>
      </c>
      <c r="D2890">
        <v>4.6858180000000003</v>
      </c>
      <c r="E2890">
        <v>0.54086709999999905</v>
      </c>
      <c r="F2890" t="s">
        <v>60</v>
      </c>
      <c r="G2890">
        <v>-283.3947</v>
      </c>
      <c r="H2890" s="1">
        <v>6.1132600000000001E-6</v>
      </c>
      <c r="I2890">
        <v>210.1891</v>
      </c>
      <c r="J2890">
        <v>-321.99250000000001</v>
      </c>
      <c r="K2890">
        <v>1.121197</v>
      </c>
      <c r="L2890">
        <v>214.25309999999999</v>
      </c>
      <c r="M2890">
        <v>0.99986260000000005</v>
      </c>
      <c r="N2890">
        <v>-1.4628E-2</v>
      </c>
      <c r="O2890">
        <v>7.8086969999999999E-3</v>
      </c>
      <c r="P2890">
        <v>0.97689689999999996</v>
      </c>
      <c r="Q2890">
        <v>0.21336240000000001</v>
      </c>
      <c r="R2890">
        <v>-1.2207269999999999E-2</v>
      </c>
      <c r="S2890">
        <v>3.0867</v>
      </c>
      <c r="T2890">
        <v>-8.8605519999999993E-2</v>
      </c>
      <c r="U2890">
        <v>-0.32087710000000003</v>
      </c>
      <c r="V2890">
        <v>1.971935E-2</v>
      </c>
      <c r="W2890">
        <v>0.22763800000000001</v>
      </c>
      <c r="X2890">
        <v>0.97354609999999997</v>
      </c>
      <c r="Y2890">
        <v>0.1110927</v>
      </c>
      <c r="Z2890">
        <v>-2.5145139999999998E-3</v>
      </c>
      <c r="AA2890">
        <v>0.99380679999999999</v>
      </c>
      <c r="AB2890">
        <v>45</v>
      </c>
      <c r="AC2890">
        <v>38.597799999999999</v>
      </c>
      <c r="AD2890">
        <v>-1.12119088674</v>
      </c>
      <c r="AE2890">
        <v>-4.0639999999999903</v>
      </c>
      <c r="AF2890">
        <v>4.3616668450574299</v>
      </c>
      <c r="AG2890">
        <v>-1.12119088674</v>
      </c>
      <c r="AH2890">
        <v>38.532728022798103</v>
      </c>
      <c r="AI2890">
        <v>91.656101174452402</v>
      </c>
      <c r="AJ2890">
        <v>83.541959936617801</v>
      </c>
      <c r="AK2890">
        <v>38.795004002457702</v>
      </c>
      <c r="AL2890">
        <v>76.841948760411</v>
      </c>
      <c r="AM2890">
        <v>88.8396224335184</v>
      </c>
      <c r="AN2890">
        <v>0.99999996031681504</v>
      </c>
    </row>
    <row r="2891" spans="1:40" x14ac:dyDescent="0.25">
      <c r="A2891" t="str">
        <f>"20190303171034162"</f>
        <v>20190303171034162</v>
      </c>
      <c r="B2891" t="str">
        <f>"1551604234153571"</f>
        <v>1551604234153571</v>
      </c>
      <c r="C2891" t="s">
        <v>40</v>
      </c>
      <c r="D2891">
        <v>4.8095829999999999</v>
      </c>
      <c r="E2891">
        <v>0.54109790000000002</v>
      </c>
      <c r="F2891" t="s">
        <v>60</v>
      </c>
      <c r="G2891">
        <v>-282.88979999999998</v>
      </c>
      <c r="H2891" s="1">
        <v>6.3377520000000001E-6</v>
      </c>
      <c r="I2891">
        <v>210.1841</v>
      </c>
      <c r="J2891">
        <v>-321.5625</v>
      </c>
      <c r="K2891">
        <v>1.121192</v>
      </c>
      <c r="L2891">
        <v>214.25649999999999</v>
      </c>
      <c r="M2891">
        <v>0.99986140000000001</v>
      </c>
      <c r="N2891">
        <v>-1.4625300000000001E-2</v>
      </c>
      <c r="O2891">
        <v>7.9635880000000006E-3</v>
      </c>
      <c r="P2891">
        <v>0.97687619999999997</v>
      </c>
      <c r="Q2891">
        <v>0.21344009999999999</v>
      </c>
      <c r="R2891">
        <v>-1.251856E-2</v>
      </c>
      <c r="S2891">
        <v>3.0862729999999998</v>
      </c>
      <c r="T2891">
        <v>-8.8492749999999995E-2</v>
      </c>
      <c r="U2891">
        <v>-0.32115169999999998</v>
      </c>
      <c r="V2891">
        <v>2.0184649999999998E-2</v>
      </c>
      <c r="W2891">
        <v>0.22771269999999999</v>
      </c>
      <c r="X2891">
        <v>0.97351909999999997</v>
      </c>
      <c r="Y2891">
        <v>0.1113483</v>
      </c>
      <c r="Z2891">
        <v>-2.5200219999999998E-3</v>
      </c>
      <c r="AA2891">
        <v>0.99377819999999994</v>
      </c>
      <c r="AB2891">
        <v>45</v>
      </c>
      <c r="AC2891">
        <v>38.672699999999999</v>
      </c>
      <c r="AD2891">
        <v>-1.1211856622480001</v>
      </c>
      <c r="AE2891">
        <v>-4.0723999999999796</v>
      </c>
      <c r="AF2891">
        <v>4.3766389176594798</v>
      </c>
      <c r="AG2891">
        <v>-1.1211856622480001</v>
      </c>
      <c r="AH2891">
        <v>38.606945175086999</v>
      </c>
      <c r="AI2891">
        <v>91.652880143487195</v>
      </c>
      <c r="AJ2891">
        <v>83.532331382760105</v>
      </c>
      <c r="AK2891">
        <v>38.870403152745602</v>
      </c>
      <c r="AL2891">
        <v>76.837553404197095</v>
      </c>
      <c r="AM2891">
        <v>88.812216855083804</v>
      </c>
      <c r="AN2891">
        <v>0.99999996595086005</v>
      </c>
    </row>
    <row r="2892" spans="1:40" x14ac:dyDescent="0.25">
      <c r="A2892" t="str">
        <f>"20190303171034184"</f>
        <v>20190303171034184</v>
      </c>
      <c r="B2892" t="str">
        <f>"1551604234173598"</f>
        <v>1551604234173598</v>
      </c>
      <c r="C2892" t="s">
        <v>40</v>
      </c>
      <c r="D2892">
        <v>4.689775</v>
      </c>
      <c r="E2892">
        <v>0.54125500000000004</v>
      </c>
      <c r="F2892" t="s">
        <v>60</v>
      </c>
      <c r="G2892">
        <v>-282.10050000000001</v>
      </c>
      <c r="H2892" s="1">
        <v>6.6944800000000003E-6</v>
      </c>
      <c r="I2892">
        <v>210.12790000000001</v>
      </c>
      <c r="J2892">
        <v>-321.12189999999998</v>
      </c>
      <c r="K2892">
        <v>1.1211899999999999</v>
      </c>
      <c r="L2892">
        <v>214.2602</v>
      </c>
      <c r="M2892">
        <v>0.99986010000000003</v>
      </c>
      <c r="N2892">
        <v>-1.4622680000000001E-2</v>
      </c>
      <c r="O2892">
        <v>8.1221850000000005E-3</v>
      </c>
      <c r="P2892">
        <v>0.97682800000000003</v>
      </c>
      <c r="Q2892">
        <v>0.21360670000000001</v>
      </c>
      <c r="R2892">
        <v>-1.338319E-2</v>
      </c>
      <c r="S2892">
        <v>3.0860599999999998</v>
      </c>
      <c r="T2892">
        <v>-8.7680460000000002E-2</v>
      </c>
      <c r="U2892">
        <v>-0.322876</v>
      </c>
      <c r="V2892">
        <v>2.120648E-2</v>
      </c>
      <c r="W2892">
        <v>0.2278761</v>
      </c>
      <c r="X2892">
        <v>0.97345919999999997</v>
      </c>
      <c r="Y2892">
        <v>0.1120628</v>
      </c>
      <c r="Z2892">
        <v>-2.5208399999999999E-3</v>
      </c>
      <c r="AA2892">
        <v>0.99369790000000002</v>
      </c>
      <c r="AB2892">
        <v>45</v>
      </c>
      <c r="AC2892">
        <v>39.0213999999999</v>
      </c>
      <c r="AD2892">
        <v>-1.12118330552</v>
      </c>
      <c r="AE2892">
        <v>-4.1322999999999803</v>
      </c>
      <c r="AF2892">
        <v>4.4455072596694603</v>
      </c>
      <c r="AG2892">
        <v>-1.12118330552</v>
      </c>
      <c r="AH2892">
        <v>38.954742944576303</v>
      </c>
      <c r="AI2892">
        <v>91.637988511605002</v>
      </c>
      <c r="AJ2892">
        <v>83.489582361601094</v>
      </c>
      <c r="AK2892">
        <v>39.223610041381598</v>
      </c>
      <c r="AL2892">
        <v>76.8279392539188</v>
      </c>
      <c r="AM2892">
        <v>88.752028180571003</v>
      </c>
      <c r="AN2892">
        <v>1.00000002290492</v>
      </c>
    </row>
    <row r="2893" spans="1:40" x14ac:dyDescent="0.25">
      <c r="A2893" t="str">
        <f>"20190303171034206"</f>
        <v>20190303171034206</v>
      </c>
      <c r="B2893" t="str">
        <f>"1551604234194093"</f>
        <v>1551604234194093</v>
      </c>
      <c r="C2893" t="s">
        <v>40</v>
      </c>
      <c r="D2893">
        <v>4.6914339999999903</v>
      </c>
      <c r="E2893">
        <v>0.54074949999999999</v>
      </c>
      <c r="F2893" t="s">
        <v>60</v>
      </c>
      <c r="G2893">
        <v>-280.9787</v>
      </c>
      <c r="H2893" s="1">
        <v>7.2056820000000002E-6</v>
      </c>
      <c r="I2893">
        <v>210.0128</v>
      </c>
      <c r="J2893">
        <v>-320.67790000000002</v>
      </c>
      <c r="K2893">
        <v>1.1211770000000001</v>
      </c>
      <c r="L2893">
        <v>214.26390000000001</v>
      </c>
      <c r="M2893">
        <v>0.99985880000000005</v>
      </c>
      <c r="N2893">
        <v>-1.462014E-2</v>
      </c>
      <c r="O2893">
        <v>8.2822829999999997E-3</v>
      </c>
      <c r="P2893">
        <v>0.97697199999999995</v>
      </c>
      <c r="Q2893">
        <v>0.2129278</v>
      </c>
      <c r="R2893">
        <v>-1.3690900000000001E-2</v>
      </c>
      <c r="S2893">
        <v>3.0855100000000002</v>
      </c>
      <c r="T2893">
        <v>-8.6176989999999995E-2</v>
      </c>
      <c r="U2893">
        <v>-0.32646180000000002</v>
      </c>
      <c r="V2893">
        <v>2.1674160000000001E-2</v>
      </c>
      <c r="W2893">
        <v>0.22719690000000001</v>
      </c>
      <c r="X2893">
        <v>0.97360769999999996</v>
      </c>
      <c r="Y2893">
        <v>0.1133835</v>
      </c>
      <c r="Z2893">
        <v>-2.5200230000000001E-3</v>
      </c>
      <c r="AA2893">
        <v>0.99354810000000005</v>
      </c>
      <c r="AB2893">
        <v>45</v>
      </c>
      <c r="AC2893">
        <v>39.699199999999998</v>
      </c>
      <c r="AD2893">
        <v>-1.1211697943179999</v>
      </c>
      <c r="AE2893">
        <v>-4.2511000000000001</v>
      </c>
      <c r="AF2893">
        <v>4.5761807882683598</v>
      </c>
      <c r="AG2893">
        <v>-1.1211697943179999</v>
      </c>
      <c r="AH2893">
        <v>39.631374293190497</v>
      </c>
      <c r="AI2893">
        <v>91.609772483024898</v>
      </c>
      <c r="AJ2893">
        <v>83.413304533966297</v>
      </c>
      <c r="AK2893">
        <v>39.910453275822</v>
      </c>
      <c r="AL2893">
        <v>76.867903532914198</v>
      </c>
      <c r="AM2893">
        <v>88.724709337430298</v>
      </c>
      <c r="AN2893">
        <v>1.0000000770402999</v>
      </c>
    </row>
    <row r="2894" spans="1:40" x14ac:dyDescent="0.25">
      <c r="A2894" t="str">
        <f>"20190303171034230"</f>
        <v>20190303171034230</v>
      </c>
      <c r="B2894" t="str">
        <f>"1551604234223374"</f>
        <v>1551604234223374</v>
      </c>
      <c r="C2894" t="s">
        <v>40</v>
      </c>
      <c r="D2894">
        <v>4.807048</v>
      </c>
      <c r="E2894">
        <v>0.54089589999999999</v>
      </c>
      <c r="F2894" t="s">
        <v>50</v>
      </c>
      <c r="G2894">
        <v>-168.41990000000001</v>
      </c>
      <c r="H2894">
        <v>18.296600000000002</v>
      </c>
      <c r="I2894">
        <v>196.51490000000001</v>
      </c>
      <c r="J2894">
        <v>-320.2038</v>
      </c>
      <c r="K2894">
        <v>1.1211679999999999</v>
      </c>
      <c r="L2894">
        <v>214.268</v>
      </c>
      <c r="M2894">
        <v>0.99985749999999995</v>
      </c>
      <c r="N2894">
        <v>-1.4617059999999999E-2</v>
      </c>
      <c r="O2894">
        <v>8.45329999999999E-3</v>
      </c>
      <c r="P2894">
        <v>0.97708249999999996</v>
      </c>
      <c r="Q2894">
        <v>0.2124337</v>
      </c>
      <c r="R2894">
        <v>-1.348946E-2</v>
      </c>
      <c r="S2894">
        <v>2.9922789999999999</v>
      </c>
      <c r="T2894">
        <v>0.3375437</v>
      </c>
      <c r="U2894">
        <v>-0.34881590000000001</v>
      </c>
      <c r="V2894">
        <v>2.1643030000000001E-2</v>
      </c>
      <c r="W2894">
        <v>0.22670129999999999</v>
      </c>
      <c r="X2894">
        <v>0.97372380000000003</v>
      </c>
      <c r="Y2894">
        <v>0.1234426</v>
      </c>
      <c r="Z2894">
        <v>7.0797300000000002E-3</v>
      </c>
      <c r="AA2894">
        <v>0.99232640000000005</v>
      </c>
      <c r="AB2894">
        <v>45</v>
      </c>
      <c r="AC2894">
        <v>151.78389999999999</v>
      </c>
      <c r="AD2894">
        <v>17.175432000000001</v>
      </c>
      <c r="AE2894">
        <v>-17.7530999999999</v>
      </c>
      <c r="AF2894">
        <v>18.798223279757</v>
      </c>
      <c r="AG2894">
        <v>17.175432000000001</v>
      </c>
      <c r="AH2894">
        <v>149.73695032349301</v>
      </c>
      <c r="AI2894">
        <v>83.5070667770715</v>
      </c>
      <c r="AJ2894">
        <v>82.844429081668693</v>
      </c>
      <c r="AK2894">
        <v>151.88654632666601</v>
      </c>
      <c r="AL2894">
        <v>76.897058677845394</v>
      </c>
      <c r="AM2894">
        <v>88.726692187145105</v>
      </c>
      <c r="AN2894">
        <v>0.99999996942785496</v>
      </c>
    </row>
    <row r="2895" spans="1:40" x14ac:dyDescent="0.25">
      <c r="A2895" t="str">
        <f>"20190303171034252"</f>
        <v>20190303171034252</v>
      </c>
      <c r="B2895" t="str">
        <f>"1551604234243870"</f>
        <v>1551604234243870</v>
      </c>
      <c r="C2895" t="s">
        <v>40</v>
      </c>
      <c r="D2895">
        <v>4.8283860000000001</v>
      </c>
      <c r="E2895">
        <v>0.54087149999999995</v>
      </c>
      <c r="F2895" t="s">
        <v>50</v>
      </c>
      <c r="G2895">
        <v>-168.41980000000001</v>
      </c>
      <c r="H2895">
        <v>18.10764</v>
      </c>
      <c r="I2895">
        <v>196.5615</v>
      </c>
      <c r="J2895">
        <v>-319.75549999999998</v>
      </c>
      <c r="K2895">
        <v>1.1211690000000001</v>
      </c>
      <c r="L2895">
        <v>214.27189999999999</v>
      </c>
      <c r="M2895">
        <v>0.99985619999999997</v>
      </c>
      <c r="N2895">
        <v>-1.4613950000000001E-2</v>
      </c>
      <c r="O2895">
        <v>8.6152729999999997E-3</v>
      </c>
      <c r="P2895">
        <v>0.97717259999999995</v>
      </c>
      <c r="Q2895">
        <v>0.21195520000000001</v>
      </c>
      <c r="R2895">
        <v>-1.446442E-2</v>
      </c>
      <c r="S2895">
        <v>2.992737</v>
      </c>
      <c r="T2895">
        <v>0.3349241</v>
      </c>
      <c r="U2895">
        <v>-0.34912110000000002</v>
      </c>
      <c r="V2895">
        <v>2.2778630000000001E-2</v>
      </c>
      <c r="W2895">
        <v>0.22622159999999999</v>
      </c>
      <c r="X2895">
        <v>0.97380949999999999</v>
      </c>
      <c r="Y2895">
        <v>0.1236954</v>
      </c>
      <c r="Z2895">
        <v>7.0506140000000002E-3</v>
      </c>
      <c r="AA2895">
        <v>0.99229520000000004</v>
      </c>
      <c r="AB2895">
        <v>45</v>
      </c>
      <c r="AC2895">
        <v>151.33569999999901</v>
      </c>
      <c r="AD2895">
        <v>16.986470999999899</v>
      </c>
      <c r="AE2895">
        <v>-17.7103999999999</v>
      </c>
      <c r="AF2895">
        <v>18.780270888917599</v>
      </c>
      <c r="AG2895">
        <v>16.986470999999899</v>
      </c>
      <c r="AH2895">
        <v>149.32165330161399</v>
      </c>
      <c r="AI2895">
        <v>83.560370157899598</v>
      </c>
      <c r="AJ2895">
        <v>82.831516066194396</v>
      </c>
      <c r="AK2895">
        <v>151.453606482059</v>
      </c>
      <c r="AL2895">
        <v>76.925277105205197</v>
      </c>
      <c r="AM2895">
        <v>88.6600239494947</v>
      </c>
      <c r="AN2895">
        <v>1.00000001029074</v>
      </c>
    </row>
    <row r="2896" spans="1:40" x14ac:dyDescent="0.25">
      <c r="A2896" t="str">
        <f>"20190303171034273"</f>
        <v>20190303171034273</v>
      </c>
      <c r="B2896" t="str">
        <f>"1551604234263390"</f>
        <v>1551604234263390</v>
      </c>
      <c r="C2896" t="s">
        <v>40</v>
      </c>
      <c r="D2896">
        <v>4.820818</v>
      </c>
      <c r="E2896">
        <v>0.54114309999999999</v>
      </c>
      <c r="F2896" t="s">
        <v>50</v>
      </c>
      <c r="G2896">
        <v>-168.41970000000001</v>
      </c>
      <c r="H2896">
        <v>17.952909999999999</v>
      </c>
      <c r="I2896">
        <v>196.49459999999999</v>
      </c>
      <c r="J2896">
        <v>-319.32859999999999</v>
      </c>
      <c r="K2896">
        <v>1.1211660000000001</v>
      </c>
      <c r="L2896">
        <v>214.2757</v>
      </c>
      <c r="M2896">
        <v>0.99985480000000004</v>
      </c>
      <c r="N2896">
        <v>-1.461111E-2</v>
      </c>
      <c r="O2896">
        <v>8.7691490000000004E-3</v>
      </c>
      <c r="P2896">
        <v>0.97718830000000001</v>
      </c>
      <c r="Q2896">
        <v>0.2118341</v>
      </c>
      <c r="R2896">
        <v>-1.515644E-2</v>
      </c>
      <c r="S2896">
        <v>2.9926759999999999</v>
      </c>
      <c r="T2896">
        <v>0.33284960000000002</v>
      </c>
      <c r="U2896">
        <v>-0.3515472</v>
      </c>
      <c r="V2896">
        <v>2.3622319999999999E-2</v>
      </c>
      <c r="W2896">
        <v>0.22609799999999999</v>
      </c>
      <c r="X2896">
        <v>0.97381810000000002</v>
      </c>
      <c r="Y2896">
        <v>0.1246473</v>
      </c>
      <c r="Z2896">
        <v>7.067154E-3</v>
      </c>
      <c r="AA2896">
        <v>0.9921759</v>
      </c>
      <c r="AB2896">
        <v>45</v>
      </c>
      <c r="AC2896">
        <v>150.90889999999999</v>
      </c>
      <c r="AD2896">
        <v>16.831744</v>
      </c>
      <c r="AE2896">
        <v>-17.781099999999999</v>
      </c>
      <c r="AF2896">
        <v>18.872338585229802</v>
      </c>
      <c r="AG2896">
        <v>16.831744</v>
      </c>
      <c r="AH2896">
        <v>148.91992368298801</v>
      </c>
      <c r="AI2896">
        <v>83.602224430692701</v>
      </c>
      <c r="AJ2896">
        <v>82.777515063192993</v>
      </c>
      <c r="AK2896">
        <v>151.05170121353899</v>
      </c>
      <c r="AL2896">
        <v>76.932547170454896</v>
      </c>
      <c r="AM2896">
        <v>88.610424407511402</v>
      </c>
      <c r="AN2896">
        <v>1.0000000057468901</v>
      </c>
    </row>
    <row r="2897" spans="1:40" x14ac:dyDescent="0.25">
      <c r="A2897" t="str">
        <f>"20190303171034296"</f>
        <v>20190303171034296</v>
      </c>
      <c r="B2897" t="str">
        <f>"1551604234283419"</f>
        <v>1551604234283419</v>
      </c>
      <c r="C2897" t="s">
        <v>40</v>
      </c>
      <c r="D2897">
        <v>4.750273</v>
      </c>
      <c r="E2897">
        <v>0.54425730000000005</v>
      </c>
      <c r="F2897" t="s">
        <v>50</v>
      </c>
      <c r="G2897">
        <v>-168.41980000000001</v>
      </c>
      <c r="H2897">
        <v>17.9574</v>
      </c>
      <c r="I2897">
        <v>196.3192</v>
      </c>
      <c r="J2897">
        <v>-318.87459999999999</v>
      </c>
      <c r="K2897">
        <v>1.121167</v>
      </c>
      <c r="L2897">
        <v>214.27979999999999</v>
      </c>
      <c r="M2897">
        <v>0.9998534</v>
      </c>
      <c r="N2897">
        <v>-1.4608019999999999E-2</v>
      </c>
      <c r="O2897">
        <v>8.9326279999999997E-3</v>
      </c>
      <c r="P2897">
        <v>0.97733289999999995</v>
      </c>
      <c r="Q2897">
        <v>0.2110861</v>
      </c>
      <c r="R2897">
        <v>-1.6231410000000002E-2</v>
      </c>
      <c r="S2897">
        <v>2.9921570000000002</v>
      </c>
      <c r="T2897">
        <v>0.33382250000000002</v>
      </c>
      <c r="U2897">
        <v>-0.3560333</v>
      </c>
      <c r="V2897">
        <v>2.4859470000000002E-2</v>
      </c>
      <c r="W2897">
        <v>0.2253492</v>
      </c>
      <c r="X2897">
        <v>0.97396090000000002</v>
      </c>
      <c r="Y2897">
        <v>0.1262817</v>
      </c>
      <c r="Z2897">
        <v>7.1897569999999997E-3</v>
      </c>
      <c r="AA2897">
        <v>0.99196830000000003</v>
      </c>
      <c r="AB2897">
        <v>45</v>
      </c>
      <c r="AC2897">
        <v>150.45479999999901</v>
      </c>
      <c r="AD2897">
        <v>16.836233</v>
      </c>
      <c r="AE2897">
        <v>-17.960599999999999</v>
      </c>
      <c r="AF2897">
        <v>19.0685596190749</v>
      </c>
      <c r="AG2897">
        <v>16.836233</v>
      </c>
      <c r="AH2897">
        <v>148.45548572692101</v>
      </c>
      <c r="AI2897">
        <v>83.582051664046006</v>
      </c>
      <c r="AJ2897">
        <v>82.680645534851195</v>
      </c>
      <c r="AK2897">
        <v>150.619055733305</v>
      </c>
      <c r="AL2897">
        <v>76.976587373982696</v>
      </c>
      <c r="AM2897">
        <v>88.537894567631895</v>
      </c>
      <c r="AN2897">
        <v>1.00000004495906</v>
      </c>
    </row>
    <row r="2898" spans="1:40" x14ac:dyDescent="0.25">
      <c r="A2898" t="str">
        <f>"20190303171034320"</f>
        <v>20190303171034320</v>
      </c>
      <c r="B2898" t="str">
        <f>"1551604234313672"</f>
        <v>1551604234313672</v>
      </c>
      <c r="C2898" t="s">
        <v>40</v>
      </c>
      <c r="D2898">
        <v>4.8254409999999996</v>
      </c>
      <c r="E2898">
        <v>0.54415069999999999</v>
      </c>
      <c r="F2898" t="s">
        <v>60</v>
      </c>
      <c r="G2898">
        <v>-280.39710000000002</v>
      </c>
      <c r="H2898" s="1">
        <v>7.4887549999999996E-6</v>
      </c>
      <c r="I2898">
        <v>209.80179999999999</v>
      </c>
      <c r="J2898">
        <v>-318.40289999999999</v>
      </c>
      <c r="K2898">
        <v>1.1211679999999999</v>
      </c>
      <c r="L2898">
        <v>214.2842</v>
      </c>
      <c r="M2898">
        <v>0.99985190000000002</v>
      </c>
      <c r="N2898">
        <v>-1.4604860000000001E-2</v>
      </c>
      <c r="O2898">
        <v>9.1022540000000006E-3</v>
      </c>
      <c r="P2898">
        <v>0.97731939999999995</v>
      </c>
      <c r="Q2898">
        <v>0.21111679999999999</v>
      </c>
      <c r="R2898">
        <v>-1.662955E-2</v>
      </c>
      <c r="S2898">
        <v>3.0829770000000001</v>
      </c>
      <c r="T2898">
        <v>-8.9831830000000001E-2</v>
      </c>
      <c r="U2898">
        <v>-0.35879519999999998</v>
      </c>
      <c r="V2898">
        <v>2.5424229999999999E-2</v>
      </c>
      <c r="W2898">
        <v>0.22537660000000001</v>
      </c>
      <c r="X2898">
        <v>0.97394000000000003</v>
      </c>
      <c r="Y2898">
        <v>0.124557</v>
      </c>
      <c r="Z2898">
        <v>-2.8529919999999999E-3</v>
      </c>
      <c r="AA2898">
        <v>0.99220839999999999</v>
      </c>
      <c r="AB2898">
        <v>45</v>
      </c>
      <c r="AC2898">
        <v>38.005799999999901</v>
      </c>
      <c r="AD2898">
        <v>-1.121160511245</v>
      </c>
      <c r="AE2898">
        <v>-4.4824000000000099</v>
      </c>
      <c r="AF2898">
        <v>4.8240491643079704</v>
      </c>
      <c r="AG2898">
        <v>-1.121160511245</v>
      </c>
      <c r="AH2898">
        <v>37.930865060113</v>
      </c>
      <c r="AI2898">
        <v>91.679534995028405</v>
      </c>
      <c r="AJ2898">
        <v>82.752031045908893</v>
      </c>
      <c r="AK2898">
        <v>38.252829639650699</v>
      </c>
      <c r="AL2898">
        <v>76.974976262446305</v>
      </c>
      <c r="AM2898">
        <v>88.504661145383807</v>
      </c>
      <c r="AN2898">
        <v>1.00000006344932</v>
      </c>
    </row>
    <row r="2899" spans="1:40" x14ac:dyDescent="0.25">
      <c r="A2899" t="str">
        <f>"20190303171034343"</f>
        <v>20190303171034343</v>
      </c>
      <c r="B2899" t="str">
        <f>"1551604234333192"</f>
        <v>1551604234333192</v>
      </c>
      <c r="C2899" t="s">
        <v>40</v>
      </c>
      <c r="D2899">
        <v>4.7464529999999998</v>
      </c>
      <c r="E2899">
        <v>0.54432159999999996</v>
      </c>
      <c r="F2899" t="s">
        <v>60</v>
      </c>
      <c r="G2899">
        <v>-280.38749999999999</v>
      </c>
      <c r="H2899" s="1">
        <v>7.486984E-6</v>
      </c>
      <c r="I2899">
        <v>209.85239999999999</v>
      </c>
      <c r="J2899">
        <v>-317.92809999999997</v>
      </c>
      <c r="K2899">
        <v>1.1211719999999901</v>
      </c>
      <c r="L2899">
        <v>214.28870000000001</v>
      </c>
      <c r="M2899">
        <v>0.99985049999999998</v>
      </c>
      <c r="N2899">
        <v>-1.4601930000000001E-2</v>
      </c>
      <c r="O2899">
        <v>9.2732500000000002E-3</v>
      </c>
      <c r="P2899">
        <v>0.97726559999999996</v>
      </c>
      <c r="Q2899">
        <v>0.21135680000000001</v>
      </c>
      <c r="R2899">
        <v>-1.6746150000000001E-2</v>
      </c>
      <c r="S2899">
        <v>3.0831909999999998</v>
      </c>
      <c r="T2899">
        <v>-9.0930339999999998E-2</v>
      </c>
      <c r="U2899">
        <v>-0.35943599999999998</v>
      </c>
      <c r="V2899">
        <v>2.5707850000000001E-2</v>
      </c>
      <c r="W2899">
        <v>0.2256126</v>
      </c>
      <c r="X2899">
        <v>0.97387780000000002</v>
      </c>
      <c r="Y2899">
        <v>0.1249205</v>
      </c>
      <c r="Z2899">
        <v>-2.8885590000000002E-3</v>
      </c>
      <c r="AA2899">
        <v>0.99216260000000001</v>
      </c>
      <c r="AB2899">
        <v>45</v>
      </c>
      <c r="AC2899">
        <v>37.540599999999898</v>
      </c>
      <c r="AD2899">
        <v>-1.12116451301599</v>
      </c>
      <c r="AE2899">
        <v>-4.4363000000000099</v>
      </c>
      <c r="AF2899">
        <v>4.7800648397143899</v>
      </c>
      <c r="AG2899">
        <v>-1.12116451301599</v>
      </c>
      <c r="AH2899">
        <v>37.464885957033196</v>
      </c>
      <c r="AI2899">
        <v>91.700331645884802</v>
      </c>
      <c r="AJ2899">
        <v>82.729037801466703</v>
      </c>
      <c r="AK2899">
        <v>37.785231367700099</v>
      </c>
      <c r="AL2899">
        <v>76.961095539444997</v>
      </c>
      <c r="AM2899">
        <v>88.487891068611802</v>
      </c>
      <c r="AN2899">
        <v>0.99999995408161002</v>
      </c>
    </row>
    <row r="2900" spans="1:40" x14ac:dyDescent="0.25">
      <c r="A2900" t="str">
        <f>"20190303171034363"</f>
        <v>20190303171034363</v>
      </c>
      <c r="B2900" t="str">
        <f>"1551604234353688"</f>
        <v>1551604234353688</v>
      </c>
      <c r="C2900" t="s">
        <v>40</v>
      </c>
      <c r="D2900">
        <v>4.8451610000000001</v>
      </c>
      <c r="E2900">
        <v>0.54440059999999901</v>
      </c>
      <c r="F2900" t="s">
        <v>53</v>
      </c>
      <c r="G2900">
        <v>-278.69409999999999</v>
      </c>
      <c r="H2900" s="1">
        <v>3.3050609999999999E-6</v>
      </c>
      <c r="I2900">
        <v>209.69159999999999</v>
      </c>
      <c r="J2900">
        <v>-317.52409999999998</v>
      </c>
      <c r="K2900">
        <v>1.121173</v>
      </c>
      <c r="L2900">
        <v>214.29249999999999</v>
      </c>
      <c r="M2900">
        <v>0.99984910000000005</v>
      </c>
      <c r="N2900">
        <v>-1.459943E-2</v>
      </c>
      <c r="O2900">
        <v>9.4187409999999996E-3</v>
      </c>
      <c r="P2900">
        <v>0.9772729</v>
      </c>
      <c r="Q2900">
        <v>0.21138570000000001</v>
      </c>
      <c r="R2900">
        <v>-1.5935729999999999E-2</v>
      </c>
      <c r="S2900">
        <v>3.082611</v>
      </c>
      <c r="T2900">
        <v>-8.8090180000000004E-2</v>
      </c>
      <c r="U2900">
        <v>-0.36119079999999998</v>
      </c>
      <c r="V2900">
        <v>2.5040150000000001E-2</v>
      </c>
      <c r="W2900">
        <v>0.22563910000000001</v>
      </c>
      <c r="X2900">
        <v>0.97388909999999995</v>
      </c>
      <c r="Y2900">
        <v>0.12564719999999999</v>
      </c>
      <c r="Z2900">
        <v>-2.8406410000000001E-3</v>
      </c>
      <c r="AA2900">
        <v>0.99207089999999998</v>
      </c>
      <c r="AB2900">
        <v>45</v>
      </c>
      <c r="AC2900">
        <v>38.829999999999899</v>
      </c>
      <c r="AD2900">
        <v>-1.121169694939</v>
      </c>
      <c r="AE2900">
        <v>-4.6008999999999904</v>
      </c>
      <c r="AF2900">
        <v>4.9623847108109702</v>
      </c>
      <c r="AG2900">
        <v>-1.121169694939</v>
      </c>
      <c r="AH2900">
        <v>38.753076946507498</v>
      </c>
      <c r="AI2900">
        <v>91.643754291468696</v>
      </c>
      <c r="AJ2900">
        <v>82.7029077025487</v>
      </c>
      <c r="AK2900">
        <v>39.085588857338003</v>
      </c>
      <c r="AL2900">
        <v>76.959537567116001</v>
      </c>
      <c r="AM2900">
        <v>88.527164038754293</v>
      </c>
      <c r="AN2900">
        <v>0.99999999582982102</v>
      </c>
    </row>
    <row r="2901" spans="1:40" x14ac:dyDescent="0.25">
      <c r="A2901" t="str">
        <f>"20190303171034385"</f>
        <v>20190303171034385</v>
      </c>
      <c r="B2901" t="str">
        <f>"1551604234373581"</f>
        <v>1551604234373581</v>
      </c>
      <c r="C2901" t="s">
        <v>40</v>
      </c>
      <c r="D2901">
        <v>4.8510980000000004</v>
      </c>
      <c r="E2901">
        <v>0.54435279999999997</v>
      </c>
      <c r="F2901" t="s">
        <v>53</v>
      </c>
      <c r="G2901">
        <v>-277.43529999999998</v>
      </c>
      <c r="H2901">
        <v>1.081179E-2</v>
      </c>
      <c r="I2901">
        <v>209.6163</v>
      </c>
      <c r="J2901">
        <v>-317.07639999999998</v>
      </c>
      <c r="K2901">
        <v>1.12117</v>
      </c>
      <c r="L2901">
        <v>214.29689999999999</v>
      </c>
      <c r="M2901">
        <v>0.99984759999999995</v>
      </c>
      <c r="N2901">
        <v>-1.459658E-2</v>
      </c>
      <c r="O2901">
        <v>9.5796130000000007E-3</v>
      </c>
      <c r="P2901">
        <v>0.9772168</v>
      </c>
      <c r="Q2901">
        <v>0.21168629999999999</v>
      </c>
      <c r="R2901">
        <v>-1.5383300000000001E-2</v>
      </c>
      <c r="S2901">
        <v>3.0823360000000002</v>
      </c>
      <c r="T2901">
        <v>-8.5373039999999997E-2</v>
      </c>
      <c r="U2901">
        <v>-0.3595428</v>
      </c>
      <c r="V2901">
        <v>2.4644559999999999E-2</v>
      </c>
      <c r="W2901">
        <v>0.2259359</v>
      </c>
      <c r="X2901">
        <v>0.97383039999999998</v>
      </c>
      <c r="Y2901">
        <v>0.12529789999999999</v>
      </c>
      <c r="Z2901">
        <v>-2.771978E-3</v>
      </c>
      <c r="AA2901">
        <v>0.99211530000000003</v>
      </c>
      <c r="AB2901">
        <v>45</v>
      </c>
      <c r="AC2901">
        <v>39.641100000000002</v>
      </c>
      <c r="AD2901">
        <v>-1.11035821</v>
      </c>
      <c r="AE2901">
        <v>-4.6805999999999903</v>
      </c>
      <c r="AF2901">
        <v>5.0562595580881</v>
      </c>
      <c r="AG2901">
        <v>-1.11035821</v>
      </c>
      <c r="AH2901">
        <v>39.5638235410904</v>
      </c>
      <c r="AI2901">
        <v>91.594620517936093</v>
      </c>
      <c r="AJ2901">
        <v>82.7170742650069</v>
      </c>
      <c r="AK2901">
        <v>39.901062507955999</v>
      </c>
      <c r="AL2901">
        <v>76.942081677757002</v>
      </c>
      <c r="AM2901">
        <v>88.550334890157004</v>
      </c>
      <c r="AN2901">
        <v>1.00000001660528</v>
      </c>
    </row>
    <row r="2902" spans="1:40" x14ac:dyDescent="0.25">
      <c r="A2902" t="str">
        <f>"20190303171034407"</f>
        <v>20190303171034407</v>
      </c>
      <c r="B2902" t="str">
        <f>"1551604234394077"</f>
        <v>1551604234394077</v>
      </c>
      <c r="C2902" t="s">
        <v>40</v>
      </c>
      <c r="D2902">
        <v>5.1348180000000001</v>
      </c>
      <c r="E2902">
        <v>0.54143660000000005</v>
      </c>
      <c r="F2902" t="s">
        <v>53</v>
      </c>
      <c r="G2902">
        <v>-276.71980000000002</v>
      </c>
      <c r="H2902" s="1">
        <v>2.2572580000000001E-6</v>
      </c>
      <c r="I2902">
        <v>209.62649999999999</v>
      </c>
      <c r="J2902">
        <v>-316.62939999999998</v>
      </c>
      <c r="K2902">
        <v>1.1211610000000001</v>
      </c>
      <c r="L2902">
        <v>214.3013</v>
      </c>
      <c r="M2902">
        <v>0.99984609999999996</v>
      </c>
      <c r="N2902">
        <v>-1.4593689999999999E-2</v>
      </c>
      <c r="O2902">
        <v>9.7405459999999992E-3</v>
      </c>
      <c r="P2902">
        <v>0.97719909999999999</v>
      </c>
      <c r="Q2902">
        <v>0.2117918</v>
      </c>
      <c r="R2902">
        <v>-1.5042410000000001E-2</v>
      </c>
      <c r="S2902">
        <v>3.082916</v>
      </c>
      <c r="T2902">
        <v>-8.5648059999999998E-2</v>
      </c>
      <c r="U2902">
        <v>-0.35678100000000001</v>
      </c>
      <c r="V2902">
        <v>2.4461219999999999E-2</v>
      </c>
      <c r="W2902">
        <v>0.22603809999999999</v>
      </c>
      <c r="X2902">
        <v>0.97381130000000005</v>
      </c>
      <c r="Y2902">
        <v>0.124559199999999</v>
      </c>
      <c r="Z2902">
        <v>-2.7643989999999998E-3</v>
      </c>
      <c r="AA2902">
        <v>0.99220830000000004</v>
      </c>
      <c r="AB2902">
        <v>45</v>
      </c>
      <c r="AC2902">
        <v>39.909599999999898</v>
      </c>
      <c r="AD2902">
        <v>-1.121158742742</v>
      </c>
      <c r="AE2902">
        <v>-4.6748000000000003</v>
      </c>
      <c r="AF2902">
        <v>5.0594220778341903</v>
      </c>
      <c r="AG2902">
        <v>-1.121158742742</v>
      </c>
      <c r="AH2902">
        <v>39.831157581408803</v>
      </c>
      <c r="AI2902">
        <v>91.5994783742306</v>
      </c>
      <c r="AJ2902">
        <v>82.760958339494806</v>
      </c>
      <c r="AK2902">
        <v>40.166850299259501</v>
      </c>
      <c r="AL2902">
        <v>76.936070468144194</v>
      </c>
      <c r="AM2902">
        <v>88.561086724529503</v>
      </c>
      <c r="AN2902">
        <v>1.0000000109715901</v>
      </c>
    </row>
    <row r="2903" spans="1:40" x14ac:dyDescent="0.25">
      <c r="A2903" t="str">
        <f>"20190303171034431"</f>
        <v>20190303171034431</v>
      </c>
      <c r="B2903" t="str">
        <f>"1551604234423360"</f>
        <v>1551604234423360</v>
      </c>
      <c r="C2903" t="s">
        <v>40</v>
      </c>
      <c r="D2903">
        <v>4.7815469999999998</v>
      </c>
      <c r="E2903">
        <v>0.53735769999999905</v>
      </c>
      <c r="F2903" t="s">
        <v>53</v>
      </c>
      <c r="G2903">
        <v>-241.68799999999999</v>
      </c>
      <c r="H2903">
        <v>8.0001340000000004E-2</v>
      </c>
      <c r="I2903">
        <v>206.1404</v>
      </c>
      <c r="J2903">
        <v>-316.16050000000001</v>
      </c>
      <c r="K2903">
        <v>1.121162</v>
      </c>
      <c r="L2903">
        <v>214.30600000000001</v>
      </c>
      <c r="M2903">
        <v>0.99984459999999997</v>
      </c>
      <c r="N2903">
        <v>-1.459065E-2</v>
      </c>
      <c r="O2903">
        <v>9.9094660000000005E-3</v>
      </c>
      <c r="P2903">
        <v>0.97721860000000005</v>
      </c>
      <c r="Q2903">
        <v>0.21170510000000001</v>
      </c>
      <c r="R2903">
        <v>-1.499644E-2</v>
      </c>
      <c r="S2903">
        <v>3.0740970000000001</v>
      </c>
      <c r="T2903">
        <v>-4.2708400000000001E-2</v>
      </c>
      <c r="U2903">
        <v>-0.33476260000000002</v>
      </c>
      <c r="V2903">
        <v>2.458107E-2</v>
      </c>
      <c r="W2903">
        <v>0.22594890000000001</v>
      </c>
      <c r="X2903">
        <v>0.97382899999999994</v>
      </c>
      <c r="Y2903">
        <v>0.11808159999999999</v>
      </c>
      <c r="Z2903">
        <v>-1.6750370000000001E-3</v>
      </c>
      <c r="AA2903">
        <v>0.99300250000000001</v>
      </c>
      <c r="AB2903">
        <v>45</v>
      </c>
      <c r="AC2903">
        <v>74.472499999999997</v>
      </c>
      <c r="AD2903">
        <v>-1.0411606600000001</v>
      </c>
      <c r="AE2903">
        <v>-8.16559999999998</v>
      </c>
      <c r="AF2903">
        <v>8.9015409730024597</v>
      </c>
      <c r="AG2903">
        <v>-1.0411606600000001</v>
      </c>
      <c r="AH2903">
        <v>74.373553396269202</v>
      </c>
      <c r="AI2903">
        <v>90.796352463941901</v>
      </c>
      <c r="AJ2903">
        <v>83.174911188907899</v>
      </c>
      <c r="AK2903">
        <v>74.911593842353199</v>
      </c>
      <c r="AL2903">
        <v>76.941317209267595</v>
      </c>
      <c r="AM2903">
        <v>88.5540658923465</v>
      </c>
      <c r="AN2903">
        <v>1.00000002782727</v>
      </c>
    </row>
    <row r="2904" spans="1:40" x14ac:dyDescent="0.25">
      <c r="A2904" t="str">
        <f>"20190303171034452"</f>
        <v>20190303171034452</v>
      </c>
      <c r="B2904" t="str">
        <f>"1551604234443853"</f>
        <v>1551604234443853</v>
      </c>
      <c r="C2904" t="s">
        <v>40</v>
      </c>
      <c r="D2904">
        <v>4.6780339999999896</v>
      </c>
      <c r="E2904">
        <v>0.53534869999999901</v>
      </c>
      <c r="F2904" t="s">
        <v>50</v>
      </c>
      <c r="G2904">
        <v>-168.41329999999999</v>
      </c>
      <c r="H2904">
        <v>1.6471789999999999</v>
      </c>
      <c r="I2904">
        <v>199.5752</v>
      </c>
      <c r="J2904">
        <v>-315.73390000000001</v>
      </c>
      <c r="K2904">
        <v>1.1211660000000001</v>
      </c>
      <c r="L2904">
        <v>214.31039999999999</v>
      </c>
      <c r="M2904">
        <v>0.99984309999999998</v>
      </c>
      <c r="N2904">
        <v>-1.4587900000000001E-2</v>
      </c>
      <c r="O2904">
        <v>1.006307E-2</v>
      </c>
      <c r="P2904">
        <v>0.97722450000000005</v>
      </c>
      <c r="Q2904">
        <v>0.21168290000000001</v>
      </c>
      <c r="R2904">
        <v>-1.4928719999999999E-2</v>
      </c>
      <c r="S2904">
        <v>3.0628359999999999</v>
      </c>
      <c r="T2904">
        <v>1.0905150000000001E-2</v>
      </c>
      <c r="U2904">
        <v>-0.30537409999999998</v>
      </c>
      <c r="V2904">
        <v>2.4663819999999999E-2</v>
      </c>
      <c r="W2904">
        <v>0.22592429999999999</v>
      </c>
      <c r="X2904">
        <v>0.97383260000000005</v>
      </c>
      <c r="Y2904">
        <v>0.1092211</v>
      </c>
      <c r="Z2904">
        <v>-4.2253050000000002E-4</v>
      </c>
      <c r="AA2904">
        <v>0.99401740000000005</v>
      </c>
      <c r="AB2904">
        <v>45</v>
      </c>
      <c r="AC2904">
        <v>147.32060000000001</v>
      </c>
      <c r="AD2904">
        <v>0.52601299999999995</v>
      </c>
      <c r="AE2904">
        <v>-14.735199999999899</v>
      </c>
      <c r="AF2904">
        <v>16.216904101198999</v>
      </c>
      <c r="AG2904">
        <v>0.52601299999999995</v>
      </c>
      <c r="AH2904">
        <v>147.16298432655299</v>
      </c>
      <c r="AI2904">
        <v>89.796437544016797</v>
      </c>
      <c r="AJ2904">
        <v>83.711555302578901</v>
      </c>
      <c r="AK2904">
        <v>148.05474873911001</v>
      </c>
      <c r="AL2904">
        <v>76.942763903171496</v>
      </c>
      <c r="AM2904">
        <v>88.549205720745903</v>
      </c>
      <c r="AN2904">
        <v>1.0000000130851201</v>
      </c>
    </row>
    <row r="2905" spans="1:40" x14ac:dyDescent="0.25">
      <c r="A2905" t="str">
        <f>"20190303171034474"</f>
        <v>20190303171034474</v>
      </c>
      <c r="B2905" t="str">
        <f>"1551604234463377"</f>
        <v>1551604234463377</v>
      </c>
      <c r="C2905" t="s">
        <v>40</v>
      </c>
      <c r="D2905">
        <v>4.6919040000000001</v>
      </c>
      <c r="E2905">
        <v>0.53355489999999905</v>
      </c>
      <c r="F2905" t="s">
        <v>50</v>
      </c>
      <c r="G2905">
        <v>-168.41380000000001</v>
      </c>
      <c r="H2905">
        <v>3.8441200000000002</v>
      </c>
      <c r="I2905">
        <v>200.21199999999999</v>
      </c>
      <c r="J2905">
        <v>-315.29759999999999</v>
      </c>
      <c r="K2905">
        <v>1.1211719999999901</v>
      </c>
      <c r="L2905">
        <v>214.31489999999999</v>
      </c>
      <c r="M2905">
        <v>0.99984139999999999</v>
      </c>
      <c r="N2905">
        <v>-1.458513E-2</v>
      </c>
      <c r="O2905">
        <v>1.022007E-2</v>
      </c>
      <c r="P2905">
        <v>0.97706199999999999</v>
      </c>
      <c r="Q2905">
        <v>0.2124123</v>
      </c>
      <c r="R2905">
        <v>-1.5194539999999999E-2</v>
      </c>
      <c r="S2905">
        <v>3.053223</v>
      </c>
      <c r="T2905">
        <v>5.6434150000000002E-2</v>
      </c>
      <c r="U2905">
        <v>-0.29219060000000002</v>
      </c>
      <c r="V2905">
        <v>2.5081050000000001E-2</v>
      </c>
      <c r="W2905">
        <v>0.2266484</v>
      </c>
      <c r="X2905">
        <v>0.97365369999999996</v>
      </c>
      <c r="Y2905">
        <v>0.1054243</v>
      </c>
      <c r="Z2905">
        <v>5.3854749999999996E-4</v>
      </c>
      <c r="AA2905">
        <v>0.99442719999999996</v>
      </c>
      <c r="AB2905">
        <v>45</v>
      </c>
      <c r="AC2905">
        <v>146.88379999999901</v>
      </c>
      <c r="AD2905">
        <v>2.7229480000000001</v>
      </c>
      <c r="AE2905">
        <v>-14.102899999999901</v>
      </c>
      <c r="AF2905">
        <v>15.598174185242801</v>
      </c>
      <c r="AG2905">
        <v>2.7229480000000001</v>
      </c>
      <c r="AH2905">
        <v>146.68203070666499</v>
      </c>
      <c r="AI2905">
        <v>88.942466877048204</v>
      </c>
      <c r="AJ2905">
        <v>83.929975827072397</v>
      </c>
      <c r="AK2905">
        <v>147.53418456735699</v>
      </c>
      <c r="AL2905">
        <v>76.900171593572395</v>
      </c>
      <c r="AM2905">
        <v>88.524402894038602</v>
      </c>
      <c r="AN2905">
        <v>1.00000004190767</v>
      </c>
    </row>
    <row r="2906" spans="1:40" x14ac:dyDescent="0.25">
      <c r="A2906" t="str">
        <f>"20190303171034497"</f>
        <v>20190303171034497</v>
      </c>
      <c r="B2906" t="str">
        <f>"1551604234483403"</f>
        <v>1551604234483403</v>
      </c>
      <c r="C2906" t="s">
        <v>40</v>
      </c>
      <c r="D2906">
        <v>4.6334819999999999</v>
      </c>
      <c r="E2906">
        <v>0.53234910000000002</v>
      </c>
      <c r="F2906" t="s">
        <v>46</v>
      </c>
      <c r="G2906">
        <v>-234.5401</v>
      </c>
      <c r="H2906">
        <v>3.6181800000000002</v>
      </c>
      <c r="I2906">
        <v>206.8648</v>
      </c>
      <c r="J2906">
        <v>-314.84820000000002</v>
      </c>
      <c r="K2906">
        <v>1.121175</v>
      </c>
      <c r="L2906">
        <v>214.31960000000001</v>
      </c>
      <c r="M2906">
        <v>0.99983979999999995</v>
      </c>
      <c r="N2906">
        <v>-1.458213E-2</v>
      </c>
      <c r="O2906">
        <v>1.0381970000000001E-2</v>
      </c>
      <c r="P2906">
        <v>0.97705039999999999</v>
      </c>
      <c r="Q2906">
        <v>0.21243519999999999</v>
      </c>
      <c r="R2906">
        <v>-1.5629759999999999E-2</v>
      </c>
      <c r="S2906">
        <v>3.045563</v>
      </c>
      <c r="T2906">
        <v>9.4170089999999998E-2</v>
      </c>
      <c r="U2906">
        <v>-0.28096009999999999</v>
      </c>
      <c r="V2906">
        <v>2.567444E-2</v>
      </c>
      <c r="W2906">
        <v>0.22666790000000001</v>
      </c>
      <c r="X2906">
        <v>0.97363359999999999</v>
      </c>
      <c r="Y2906">
        <v>0.1021603</v>
      </c>
      <c r="Z2906">
        <v>1.3004339999999901E-3</v>
      </c>
      <c r="AA2906">
        <v>0.99476710000000002</v>
      </c>
      <c r="AB2906">
        <v>45</v>
      </c>
      <c r="AC2906">
        <v>80.308099999999996</v>
      </c>
      <c r="AD2906">
        <v>2.4970050000000001</v>
      </c>
      <c r="AE2906">
        <v>-7.4547999999999996</v>
      </c>
      <c r="AF2906">
        <v>8.2803063620900907</v>
      </c>
      <c r="AG2906">
        <v>2.4970050000000001</v>
      </c>
      <c r="AH2906">
        <v>80.149543562557298</v>
      </c>
      <c r="AI2906">
        <v>88.225006892584901</v>
      </c>
      <c r="AJ2906">
        <v>84.101657405284897</v>
      </c>
      <c r="AK2906">
        <v>80.6148115466777</v>
      </c>
      <c r="AL2906">
        <v>76.899023251226893</v>
      </c>
      <c r="AM2906">
        <v>88.489476710877994</v>
      </c>
      <c r="AN2906">
        <v>0.99999995040433998</v>
      </c>
    </row>
    <row r="2907" spans="1:40" x14ac:dyDescent="0.25">
      <c r="A2907" t="str">
        <f>"20190303171034520"</f>
        <v>20190303171034520</v>
      </c>
      <c r="B2907" t="str">
        <f>"1551604234513655"</f>
        <v>1551604234513655</v>
      </c>
      <c r="C2907" t="s">
        <v>40</v>
      </c>
      <c r="D2907">
        <v>4.7272100000000004</v>
      </c>
      <c r="E2907">
        <v>0.53153349999999999</v>
      </c>
      <c r="F2907" t="s">
        <v>50</v>
      </c>
      <c r="G2907">
        <v>-169.71299999999999</v>
      </c>
      <c r="H2907">
        <v>6.9607849999999996</v>
      </c>
      <c r="I2907">
        <v>201.24029999999999</v>
      </c>
      <c r="J2907">
        <v>-314.37740000000002</v>
      </c>
      <c r="K2907">
        <v>1.1211770000000001</v>
      </c>
      <c r="L2907">
        <v>214.3246</v>
      </c>
      <c r="M2907">
        <v>0.99983809999999995</v>
      </c>
      <c r="N2907">
        <v>-1.4579180000000001E-2</v>
      </c>
      <c r="O2907">
        <v>1.0551659999999999E-2</v>
      </c>
      <c r="P2907">
        <v>0.9770991</v>
      </c>
      <c r="Q2907">
        <v>0.21220890000000001</v>
      </c>
      <c r="R2907">
        <v>-1.5645139999999998E-2</v>
      </c>
      <c r="S2907">
        <v>3.0394589999999999</v>
      </c>
      <c r="T2907">
        <v>0.1222954</v>
      </c>
      <c r="U2907">
        <v>-0.2739105</v>
      </c>
      <c r="V2907">
        <v>2.5856649999999998E-2</v>
      </c>
      <c r="W2907">
        <v>0.2264399</v>
      </c>
      <c r="X2907">
        <v>0.97368189999999999</v>
      </c>
      <c r="Y2907">
        <v>0.1001928</v>
      </c>
      <c r="Z2907">
        <v>1.8557249999999999E-3</v>
      </c>
      <c r="AA2907">
        <v>0.99496629999999997</v>
      </c>
      <c r="AB2907">
        <v>45</v>
      </c>
      <c r="AC2907">
        <v>144.6644</v>
      </c>
      <c r="AD2907">
        <v>5.8396080000000001</v>
      </c>
      <c r="AE2907">
        <v>-13.084300000000001</v>
      </c>
      <c r="AF2907">
        <v>14.58660770881</v>
      </c>
      <c r="AG2907">
        <v>5.8396080000000001</v>
      </c>
      <c r="AH2907">
        <v>144.285069764295</v>
      </c>
      <c r="AI2907">
        <v>87.694090226583398</v>
      </c>
      <c r="AJ2907">
        <v>84.227253237662794</v>
      </c>
      <c r="AK2907">
        <v>145.13804292097899</v>
      </c>
      <c r="AL2907">
        <v>76.912436331922606</v>
      </c>
      <c r="AM2907">
        <v>88.4788370612915</v>
      </c>
      <c r="AN2907">
        <v>1.00000001852442</v>
      </c>
    </row>
    <row r="2908" spans="1:40" x14ac:dyDescent="0.25">
      <c r="A2908" t="str">
        <f>"20190303171034543"</f>
        <v>20190303171034543</v>
      </c>
      <c r="B2908" t="str">
        <f>"1551604234533175"</f>
        <v>1551604234533175</v>
      </c>
      <c r="C2908" t="s">
        <v>40</v>
      </c>
      <c r="D2908">
        <v>4.7925300000000002</v>
      </c>
      <c r="E2908">
        <v>0.53101519999999902</v>
      </c>
      <c r="F2908" t="s">
        <v>50</v>
      </c>
      <c r="G2908">
        <v>-168.41399999999999</v>
      </c>
      <c r="H2908">
        <v>5.773752</v>
      </c>
      <c r="I2908">
        <v>201.57210000000001</v>
      </c>
      <c r="J2908">
        <v>-313.92509999999999</v>
      </c>
      <c r="K2908">
        <v>1.1211819999999999</v>
      </c>
      <c r="L2908">
        <v>214.3296</v>
      </c>
      <c r="M2908">
        <v>0.99983630000000001</v>
      </c>
      <c r="N2908">
        <v>-1.457637E-2</v>
      </c>
      <c r="O2908">
        <v>1.071481E-2</v>
      </c>
      <c r="P2908">
        <v>0.97716559999999997</v>
      </c>
      <c r="Q2908">
        <v>0.21197450000000001</v>
      </c>
      <c r="R2908">
        <v>-1.463444E-2</v>
      </c>
      <c r="S2908">
        <v>3.045013</v>
      </c>
      <c r="T2908">
        <v>9.7060320000000005E-2</v>
      </c>
      <c r="U2908">
        <v>-0.26603700000000002</v>
      </c>
      <c r="V2908">
        <v>2.5006520000000001E-2</v>
      </c>
      <c r="W2908">
        <v>0.2262035</v>
      </c>
      <c r="X2908">
        <v>0.97375909999999999</v>
      </c>
      <c r="Y2908">
        <v>9.7668740000000004E-2</v>
      </c>
      <c r="Z2908">
        <v>1.336594E-3</v>
      </c>
      <c r="AA2908">
        <v>0.99521809999999999</v>
      </c>
      <c r="AB2908">
        <v>45</v>
      </c>
      <c r="AC2908">
        <v>145.511099999999</v>
      </c>
      <c r="AD2908">
        <v>4.6525699999999999</v>
      </c>
      <c r="AE2908">
        <v>-12.757499999999901</v>
      </c>
      <c r="AF2908">
        <v>14.301547566323601</v>
      </c>
      <c r="AG2908">
        <v>4.6525699999999999</v>
      </c>
      <c r="AH2908">
        <v>145.21870659705201</v>
      </c>
      <c r="AI2908">
        <v>88.173793235230605</v>
      </c>
      <c r="AJ2908">
        <v>84.375487134557602</v>
      </c>
      <c r="AK2908">
        <v>145.99538833852699</v>
      </c>
      <c r="AL2908">
        <v>76.926342513188501</v>
      </c>
      <c r="AM2908">
        <v>88.5289449732214</v>
      </c>
      <c r="AN2908">
        <v>1.0000000671437801</v>
      </c>
    </row>
    <row r="2909" spans="1:40" x14ac:dyDescent="0.25">
      <c r="A2909" t="str">
        <f>"20190303171034565"</f>
        <v>20190303171034565</v>
      </c>
      <c r="B2909" t="str">
        <f>"1551604234553671"</f>
        <v>1551604234553671</v>
      </c>
      <c r="C2909" t="s">
        <v>40</v>
      </c>
      <c r="D2909">
        <v>4.9545890000000004</v>
      </c>
      <c r="E2909">
        <v>0.53033850000000005</v>
      </c>
      <c r="F2909" t="s">
        <v>50</v>
      </c>
      <c r="G2909">
        <v>-168.41399999999999</v>
      </c>
      <c r="H2909">
        <v>5.9553890000000003</v>
      </c>
      <c r="I2909">
        <v>201.94069999999999</v>
      </c>
      <c r="J2909">
        <v>-313.48289999999997</v>
      </c>
      <c r="K2909">
        <v>1.121181</v>
      </c>
      <c r="L2909">
        <v>214.33449999999999</v>
      </c>
      <c r="M2909">
        <v>0.99983469999999997</v>
      </c>
      <c r="N2909">
        <v>-1.457366E-2</v>
      </c>
      <c r="O2909">
        <v>1.0874129999999999E-2</v>
      </c>
      <c r="P2909">
        <v>0.97717330000000002</v>
      </c>
      <c r="Q2909">
        <v>0.21197460000000001</v>
      </c>
      <c r="R2909">
        <v>-1.4124340000000001E-2</v>
      </c>
      <c r="S2909">
        <v>3.0442200000000001</v>
      </c>
      <c r="T2909">
        <v>0.10113659999999999</v>
      </c>
      <c r="U2909">
        <v>-0.25918580000000002</v>
      </c>
      <c r="V2909">
        <v>2.4652070000000002E-2</v>
      </c>
      <c r="W2909">
        <v>0.2262007</v>
      </c>
      <c r="X2909">
        <v>0.97376870000000004</v>
      </c>
      <c r="Y2909">
        <v>9.5622830000000006E-2</v>
      </c>
      <c r="Z2909">
        <v>1.4055929999999999E-3</v>
      </c>
      <c r="AA2909">
        <v>0.99541659999999998</v>
      </c>
      <c r="AB2909">
        <v>45</v>
      </c>
      <c r="AC2909">
        <v>145.06889999999899</v>
      </c>
      <c r="AD2909">
        <v>4.8342080000000003</v>
      </c>
      <c r="AE2909">
        <v>-12.393800000000001</v>
      </c>
      <c r="AF2909">
        <v>13.9553481026756</v>
      </c>
      <c r="AG2909">
        <v>4.8342080000000003</v>
      </c>
      <c r="AH2909">
        <v>144.76594325386901</v>
      </c>
      <c r="AI2909">
        <v>88.096236051888596</v>
      </c>
      <c r="AJ2909">
        <v>84.493736227775599</v>
      </c>
      <c r="AK2909">
        <v>145.51735165895701</v>
      </c>
      <c r="AL2909">
        <v>76.926506066313905</v>
      </c>
      <c r="AM2909">
        <v>88.549801476057993</v>
      </c>
      <c r="AN2909">
        <v>0.99999998116773203</v>
      </c>
    </row>
    <row r="2910" spans="1:40" x14ac:dyDescent="0.25">
      <c r="A2910" t="str">
        <f>"20190303171034587"</f>
        <v>20190303171034587</v>
      </c>
      <c r="B2910" t="str">
        <f>"1551604234573502"</f>
        <v>1551604234573502</v>
      </c>
      <c r="C2910" t="s">
        <v>40</v>
      </c>
      <c r="D2910">
        <v>4.7971940000000002</v>
      </c>
      <c r="E2910">
        <v>0.52992159999999999</v>
      </c>
      <c r="F2910" t="s">
        <v>50</v>
      </c>
      <c r="G2910">
        <v>-168.41390000000001</v>
      </c>
      <c r="H2910">
        <v>6.1094629999999999</v>
      </c>
      <c r="I2910">
        <v>202.28819999999999</v>
      </c>
      <c r="J2910">
        <v>-313.0532</v>
      </c>
      <c r="K2910">
        <v>1.121181</v>
      </c>
      <c r="L2910">
        <v>214.33920000000001</v>
      </c>
      <c r="M2910">
        <v>0.99983319999999998</v>
      </c>
      <c r="N2910">
        <v>-1.457104E-2</v>
      </c>
      <c r="O2910">
        <v>1.102887E-2</v>
      </c>
      <c r="P2910">
        <v>0.97711749999999997</v>
      </c>
      <c r="Q2910">
        <v>0.2122848</v>
      </c>
      <c r="R2910">
        <v>-1.329118E-2</v>
      </c>
      <c r="S2910">
        <v>3.0437319999999999</v>
      </c>
      <c r="T2910">
        <v>0.10466110000000001</v>
      </c>
      <c r="U2910">
        <v>-0.25274659999999999</v>
      </c>
      <c r="V2910">
        <v>2.3969870000000001E-2</v>
      </c>
      <c r="W2910">
        <v>0.22650719999999999</v>
      </c>
      <c r="X2910">
        <v>0.97371450000000004</v>
      </c>
      <c r="Y2910">
        <v>9.3696050000000003E-2</v>
      </c>
      <c r="Z2910">
        <v>1.4625809999999999E-3</v>
      </c>
      <c r="AA2910">
        <v>0.99559969999999998</v>
      </c>
      <c r="AB2910">
        <v>45</v>
      </c>
      <c r="AC2910">
        <v>144.63929999999999</v>
      </c>
      <c r="AD2910">
        <v>4.9882819999999999</v>
      </c>
      <c r="AE2910">
        <v>-12.051</v>
      </c>
      <c r="AF2910">
        <v>13.6295447335677</v>
      </c>
      <c r="AG2910">
        <v>4.9882819999999999</v>
      </c>
      <c r="AH2910">
        <v>144.32709841924699</v>
      </c>
      <c r="AI2910">
        <v>88.029272834654606</v>
      </c>
      <c r="AJ2910">
        <v>84.605265796403202</v>
      </c>
      <c r="AK2910">
        <v>145.05501985479501</v>
      </c>
      <c r="AL2910">
        <v>76.908477176091594</v>
      </c>
      <c r="AM2910">
        <v>88.589838120947306</v>
      </c>
      <c r="AN2910">
        <v>0.999999996914953</v>
      </c>
    </row>
    <row r="2911" spans="1:40" x14ac:dyDescent="0.25">
      <c r="A2911" t="str">
        <f>"20190303171034610"</f>
        <v>20190303171034610</v>
      </c>
      <c r="B2911" t="str">
        <f>"1551604234603758"</f>
        <v>1551604234603758</v>
      </c>
      <c r="C2911" t="s">
        <v>40</v>
      </c>
      <c r="D2911">
        <v>4.7747679999999999</v>
      </c>
      <c r="E2911">
        <v>0.52963269999999996</v>
      </c>
      <c r="F2911" t="s">
        <v>50</v>
      </c>
      <c r="G2911">
        <v>-168.4136</v>
      </c>
      <c r="H2911">
        <v>5.5722120000000004</v>
      </c>
      <c r="I2911">
        <v>202.65629999999999</v>
      </c>
      <c r="J2911">
        <v>-312.58909999999997</v>
      </c>
      <c r="K2911">
        <v>1.121184</v>
      </c>
      <c r="L2911">
        <v>214.34450000000001</v>
      </c>
      <c r="M2911">
        <v>0.99983120000000003</v>
      </c>
      <c r="N2911">
        <v>-1.4568090000000001E-2</v>
      </c>
      <c r="O2911">
        <v>1.1196009999999999E-2</v>
      </c>
      <c r="P2911">
        <v>0.97707540000000004</v>
      </c>
      <c r="Q2911">
        <v>0.212507</v>
      </c>
      <c r="R2911">
        <v>-1.2817500000000001E-2</v>
      </c>
      <c r="S2911">
        <v>3.0465390000000001</v>
      </c>
      <c r="T2911">
        <v>9.3752619999999995E-2</v>
      </c>
      <c r="U2911">
        <v>-0.24607850000000001</v>
      </c>
      <c r="V2911">
        <v>2.3659199999999998E-2</v>
      </c>
      <c r="W2911">
        <v>0.22672590000000001</v>
      </c>
      <c r="X2911">
        <v>0.97367119999999996</v>
      </c>
      <c r="Y2911">
        <v>9.1632669999999999E-2</v>
      </c>
      <c r="Z2911">
        <v>1.245353E-3</v>
      </c>
      <c r="AA2911">
        <v>0.99579209999999996</v>
      </c>
      <c r="AB2911">
        <v>45</v>
      </c>
      <c r="AC2911">
        <v>144.175499999999</v>
      </c>
      <c r="AD2911">
        <v>4.451028</v>
      </c>
      <c r="AE2911">
        <v>-11.6882</v>
      </c>
      <c r="AF2911">
        <v>13.289245651130599</v>
      </c>
      <c r="AG2911">
        <v>4.451028</v>
      </c>
      <c r="AH2911">
        <v>143.89933174104499</v>
      </c>
      <c r="AI2911">
        <v>88.235820496105802</v>
      </c>
      <c r="AJ2911">
        <v>84.723644274442506</v>
      </c>
      <c r="AK2911">
        <v>144.58019703871</v>
      </c>
      <c r="AL2911">
        <v>76.895611908744101</v>
      </c>
      <c r="AM2911">
        <v>88.608045912606499</v>
      </c>
      <c r="AN2911">
        <v>0.99999999859244504</v>
      </c>
    </row>
    <row r="2912" spans="1:40" x14ac:dyDescent="0.25">
      <c r="A2912" t="str">
        <f>"20190303171034632"</f>
        <v>20190303171034632</v>
      </c>
      <c r="B2912" t="str">
        <f>"1551604234623278"</f>
        <v>1551604234623278</v>
      </c>
      <c r="C2912" t="s">
        <v>40</v>
      </c>
      <c r="D2912">
        <v>4.9486460000000001</v>
      </c>
      <c r="E2912">
        <v>0.52921300000000004</v>
      </c>
      <c r="F2912" t="s">
        <v>50</v>
      </c>
      <c r="G2912">
        <v>-168.4135</v>
      </c>
      <c r="H2912">
        <v>5.5854759999999999</v>
      </c>
      <c r="I2912">
        <v>202.86879999999999</v>
      </c>
      <c r="J2912">
        <v>-312.14190000000002</v>
      </c>
      <c r="K2912">
        <v>1.1211850000000001</v>
      </c>
      <c r="L2912">
        <v>214.34970000000001</v>
      </c>
      <c r="M2912">
        <v>0.99982950000000004</v>
      </c>
      <c r="N2912">
        <v>-1.456528E-2</v>
      </c>
      <c r="O2912">
        <v>1.135713E-2</v>
      </c>
      <c r="P2912">
        <v>0.97716159999999996</v>
      </c>
      <c r="Q2912">
        <v>0.21216579999999999</v>
      </c>
      <c r="R2912">
        <v>-1.1878390000000001E-2</v>
      </c>
      <c r="S2912">
        <v>3.0467529999999998</v>
      </c>
      <c r="T2912">
        <v>9.4341159999999993E-2</v>
      </c>
      <c r="U2912">
        <v>-0.2425079</v>
      </c>
      <c r="V2912">
        <v>2.2878679999999998E-2</v>
      </c>
      <c r="W2912">
        <v>0.22638320000000001</v>
      </c>
      <c r="X2912">
        <v>0.97376960000000001</v>
      </c>
      <c r="Y2912">
        <v>9.0627520000000003E-2</v>
      </c>
      <c r="Z2912">
        <v>1.255557E-3</v>
      </c>
      <c r="AA2912">
        <v>0.99588410000000005</v>
      </c>
      <c r="AB2912">
        <v>45</v>
      </c>
      <c r="AC2912">
        <v>143.72839999999999</v>
      </c>
      <c r="AD2912">
        <v>4.4642909999999896</v>
      </c>
      <c r="AE2912">
        <v>-11.4809</v>
      </c>
      <c r="AF2912">
        <v>13.10011620639</v>
      </c>
      <c r="AG2912">
        <v>4.4642909999999896</v>
      </c>
      <c r="AH2912">
        <v>143.451205789114</v>
      </c>
      <c r="AI2912">
        <v>88.224876632890897</v>
      </c>
      <c r="AJ2912">
        <v>84.782161335025293</v>
      </c>
      <c r="AK2912">
        <v>144.11728342257999</v>
      </c>
      <c r="AL2912">
        <v>76.915771508041701</v>
      </c>
      <c r="AM2912">
        <v>88.654085440575699</v>
      </c>
      <c r="AN2912">
        <v>1.00000001056247</v>
      </c>
    </row>
    <row r="2913" spans="1:40" x14ac:dyDescent="0.25">
      <c r="A2913" t="str">
        <f>"20190303171034653"</f>
        <v>20190303171034653</v>
      </c>
      <c r="B2913" t="str">
        <f>"1551604234643774"</f>
        <v>1551604234643774</v>
      </c>
      <c r="C2913" t="s">
        <v>40</v>
      </c>
      <c r="D2913">
        <v>4.823887</v>
      </c>
      <c r="E2913">
        <v>0.52891519999999903</v>
      </c>
      <c r="F2913" t="s">
        <v>50</v>
      </c>
      <c r="G2913">
        <v>-168.4135</v>
      </c>
      <c r="H2913">
        <v>5.7226100000000004</v>
      </c>
      <c r="I2913">
        <v>203.17099999999999</v>
      </c>
      <c r="J2913">
        <v>-311.73169999999999</v>
      </c>
      <c r="K2913">
        <v>1.121181</v>
      </c>
      <c r="L2913">
        <v>214.3545</v>
      </c>
      <c r="M2913">
        <v>0.99982789999999999</v>
      </c>
      <c r="N2913">
        <v>-1.4562739999999999E-2</v>
      </c>
      <c r="O2913">
        <v>1.1505309999999999E-2</v>
      </c>
      <c r="P2913">
        <v>0.97714529999999999</v>
      </c>
      <c r="Q2913">
        <v>0.2122917</v>
      </c>
      <c r="R2913">
        <v>-1.093876E-2</v>
      </c>
      <c r="S2913">
        <v>3.0460210000000001</v>
      </c>
      <c r="T2913">
        <v>9.7518209999999994E-2</v>
      </c>
      <c r="U2913">
        <v>-0.23690800000000001</v>
      </c>
      <c r="V2913">
        <v>2.2083910000000002E-2</v>
      </c>
      <c r="W2913">
        <v>0.22650580000000001</v>
      </c>
      <c r="X2913">
        <v>0.97375940000000005</v>
      </c>
      <c r="Y2913">
        <v>8.897178E-2</v>
      </c>
      <c r="Z2913">
        <v>1.307721E-3</v>
      </c>
      <c r="AA2913">
        <v>0.99603330000000001</v>
      </c>
      <c r="AB2913">
        <v>45</v>
      </c>
      <c r="AC2913">
        <v>143.31819999999999</v>
      </c>
      <c r="AD2913">
        <v>4.6014290000000004</v>
      </c>
      <c r="AE2913">
        <v>-11.1835</v>
      </c>
      <c r="AF2913">
        <v>12.8187207748843</v>
      </c>
      <c r="AG2913">
        <v>4.6014290000000004</v>
      </c>
      <c r="AH2913">
        <v>143.03347935196399</v>
      </c>
      <c r="AI2913">
        <v>88.164763777395905</v>
      </c>
      <c r="AJ2913">
        <v>84.878809646357595</v>
      </c>
      <c r="AK2913">
        <v>143.68044044571701</v>
      </c>
      <c r="AL2913">
        <v>76.908559209314106</v>
      </c>
      <c r="AM2913">
        <v>88.700810516539207</v>
      </c>
      <c r="AN2913">
        <v>0.99999997280144304</v>
      </c>
    </row>
    <row r="2914" spans="1:40" x14ac:dyDescent="0.25">
      <c r="A2914" t="str">
        <f>"20190303171034667"</f>
        <v>20190303171034667</v>
      </c>
      <c r="B2914" t="str">
        <f>"1551604234653535"</f>
        <v>1551604234653535</v>
      </c>
      <c r="C2914" t="s">
        <v>40</v>
      </c>
      <c r="D2914">
        <v>4.7699959999999999</v>
      </c>
      <c r="E2914">
        <v>0.52879279999999995</v>
      </c>
      <c r="F2914" t="s">
        <v>50</v>
      </c>
      <c r="G2914">
        <v>-168.41329999999999</v>
      </c>
      <c r="H2914">
        <v>5.3310199999999996</v>
      </c>
      <c r="I2914">
        <v>203.46789999999999</v>
      </c>
      <c r="J2914">
        <v>-311.4545</v>
      </c>
      <c r="K2914">
        <v>1.1211850000000001</v>
      </c>
      <c r="L2914">
        <v>214.35769999999999</v>
      </c>
      <c r="M2914">
        <v>0.99982680000000002</v>
      </c>
      <c r="N2914">
        <v>-1.4561030000000001E-2</v>
      </c>
      <c r="O2914">
        <v>1.1605209999999999E-2</v>
      </c>
      <c r="P2914">
        <v>0.977128</v>
      </c>
      <c r="Q2914">
        <v>0.21238789999999999</v>
      </c>
      <c r="R2914">
        <v>-1.0618499999999999E-2</v>
      </c>
      <c r="S2914">
        <v>3.0481259999999999</v>
      </c>
      <c r="T2914">
        <v>8.953643E-2</v>
      </c>
      <c r="U2914">
        <v>-0.23153689999999999</v>
      </c>
      <c r="V2914">
        <v>2.1861100000000001E-2</v>
      </c>
      <c r="W2914">
        <v>0.2266001</v>
      </c>
      <c r="X2914">
        <v>0.97374249999999996</v>
      </c>
      <c r="Y2914">
        <v>8.7280239999999995E-2</v>
      </c>
      <c r="Z2914">
        <v>1.1523589999999999E-3</v>
      </c>
      <c r="AA2914">
        <v>0.99618320000000005</v>
      </c>
      <c r="AB2914">
        <v>44</v>
      </c>
      <c r="AC2914">
        <v>143.0412</v>
      </c>
      <c r="AD2914">
        <v>4.209835</v>
      </c>
      <c r="AE2914">
        <v>-10.889799999999999</v>
      </c>
      <c r="AF2914">
        <v>12.538467414089199</v>
      </c>
      <c r="AG2914">
        <v>4.209835</v>
      </c>
      <c r="AH2914">
        <v>142.78221104246299</v>
      </c>
      <c r="AI2914">
        <v>88.317633346132993</v>
      </c>
      <c r="AJ2914">
        <v>84.981425918332704</v>
      </c>
      <c r="AK2914">
        <v>143.39349938541801</v>
      </c>
      <c r="AL2914">
        <v>76.903012140955894</v>
      </c>
      <c r="AM2914">
        <v>88.713891620513706</v>
      </c>
      <c r="AN2914">
        <v>0.99999998465973405</v>
      </c>
    </row>
    <row r="2915" spans="1:40" x14ac:dyDescent="0.25">
      <c r="A2915" t="str">
        <f>"20190303171034686"</f>
        <v>20190303171034686</v>
      </c>
      <c r="B2915" t="str">
        <f>"1551604234673561"</f>
        <v>1551604234673561</v>
      </c>
      <c r="C2915" t="s">
        <v>40</v>
      </c>
      <c r="D2915">
        <v>4.7169109999999996</v>
      </c>
      <c r="E2915">
        <v>0.52872769999999902</v>
      </c>
      <c r="F2915" t="s">
        <v>50</v>
      </c>
      <c r="G2915">
        <v>-168.41309999999999</v>
      </c>
      <c r="H2915">
        <v>5.1555479999999996</v>
      </c>
      <c r="I2915">
        <v>203.5993</v>
      </c>
      <c r="J2915">
        <v>-311.07100000000003</v>
      </c>
      <c r="K2915">
        <v>1.1211850000000001</v>
      </c>
      <c r="L2915">
        <v>214.3623</v>
      </c>
      <c r="M2915">
        <v>0.99982499999999996</v>
      </c>
      <c r="N2915">
        <v>-1.455862E-2</v>
      </c>
      <c r="O2915">
        <v>1.174362E-2</v>
      </c>
      <c r="P2915">
        <v>0.97703949999999995</v>
      </c>
      <c r="Q2915">
        <v>0.21281269999999999</v>
      </c>
      <c r="R2915">
        <v>-1.021919E-2</v>
      </c>
      <c r="S2915">
        <v>3.049042</v>
      </c>
      <c r="T2915">
        <v>8.5996390000000006E-2</v>
      </c>
      <c r="U2915">
        <v>-0.22932430000000001</v>
      </c>
      <c r="V2915">
        <v>2.1596170000000001E-2</v>
      </c>
      <c r="W2915">
        <v>0.22702130000000001</v>
      </c>
      <c r="X2915">
        <v>0.97365029999999997</v>
      </c>
      <c r="Y2915">
        <v>8.6679549999999994E-2</v>
      </c>
      <c r="Z2915">
        <v>1.089848E-3</v>
      </c>
      <c r="AA2915">
        <v>0.99623569999999995</v>
      </c>
      <c r="AB2915">
        <v>44</v>
      </c>
      <c r="AC2915">
        <v>142.65789999999899</v>
      </c>
      <c r="AD2915">
        <v>4.0343629999999999</v>
      </c>
      <c r="AE2915">
        <v>-10.763</v>
      </c>
      <c r="AF2915">
        <v>12.427872439623</v>
      </c>
      <c r="AG2915">
        <v>4.0343629999999999</v>
      </c>
      <c r="AH2915">
        <v>142.408402866573</v>
      </c>
      <c r="AI2915">
        <v>88.383412509697195</v>
      </c>
      <c r="AJ2915">
        <v>85.012477039483599</v>
      </c>
      <c r="AK2915">
        <v>143.006577838921</v>
      </c>
      <c r="AL2915">
        <v>76.878233412959005</v>
      </c>
      <c r="AM2915">
        <v>88.729352279577697</v>
      </c>
      <c r="AN2915">
        <v>0.99999998595122397</v>
      </c>
    </row>
    <row r="2916" spans="1:40" x14ac:dyDescent="0.25">
      <c r="A2916" t="str">
        <f>"20190303171034701"</f>
        <v>20190303171034701</v>
      </c>
      <c r="B2916" t="str">
        <f>"1551604234694057"</f>
        <v>1551604234694057</v>
      </c>
      <c r="C2916" t="s">
        <v>40</v>
      </c>
      <c r="D2916">
        <v>4.8967429999999998</v>
      </c>
      <c r="E2916">
        <v>0.52858059999999996</v>
      </c>
      <c r="F2916" t="s">
        <v>50</v>
      </c>
      <c r="G2916">
        <v>-168.41319999999999</v>
      </c>
      <c r="H2916">
        <v>5.3701589999999904</v>
      </c>
      <c r="I2916">
        <v>203.7029</v>
      </c>
      <c r="J2916">
        <v>-310.77260000000001</v>
      </c>
      <c r="K2916">
        <v>1.1211850000000001</v>
      </c>
      <c r="L2916">
        <v>214.36590000000001</v>
      </c>
      <c r="M2916">
        <v>0.99982380000000004</v>
      </c>
      <c r="N2916">
        <v>-1.4556690000000001E-2</v>
      </c>
      <c r="O2916">
        <v>1.1851209999999999E-2</v>
      </c>
      <c r="P2916">
        <v>0.97698059999999998</v>
      </c>
      <c r="Q2916">
        <v>0.2130872</v>
      </c>
      <c r="R2916">
        <v>-1.013875E-2</v>
      </c>
      <c r="S2916">
        <v>3.0483090000000002</v>
      </c>
      <c r="T2916">
        <v>9.0792659999999997E-2</v>
      </c>
      <c r="U2916">
        <v>-0.2277679</v>
      </c>
      <c r="V2916">
        <v>2.1619920000000001E-2</v>
      </c>
      <c r="W2916">
        <v>0.227293</v>
      </c>
      <c r="X2916">
        <v>0.97358639999999996</v>
      </c>
      <c r="Y2916">
        <v>8.6295049999999998E-2</v>
      </c>
      <c r="Z2916">
        <v>1.178655E-3</v>
      </c>
      <c r="AA2916">
        <v>0.99626890000000001</v>
      </c>
      <c r="AB2916">
        <v>44</v>
      </c>
      <c r="AC2916">
        <v>142.35939999999999</v>
      </c>
      <c r="AD2916">
        <v>4.2489739999999898</v>
      </c>
      <c r="AE2916">
        <v>-10.663</v>
      </c>
      <c r="AF2916">
        <v>12.338630613808499</v>
      </c>
      <c r="AG2916">
        <v>4.2489739999999898</v>
      </c>
      <c r="AH2916">
        <v>142.09713893918499</v>
      </c>
      <c r="AI2916">
        <v>88.293674683078905</v>
      </c>
      <c r="AJ2916">
        <v>85.037319626872403</v>
      </c>
      <c r="AK2916">
        <v>142.69510321023199</v>
      </c>
      <c r="AL2916">
        <v>76.862248502596699</v>
      </c>
      <c r="AM2916">
        <v>88.727871904993293</v>
      </c>
      <c r="AN2916">
        <v>1.0000000035273799</v>
      </c>
    </row>
    <row r="2917" spans="1:40" x14ac:dyDescent="0.25">
      <c r="A2917" t="str">
        <f>"20190303171034721"</f>
        <v>20190303171034721</v>
      </c>
      <c r="B2917" t="str">
        <f>"1551604234713579"</f>
        <v>1551604234713579</v>
      </c>
      <c r="C2917" t="s">
        <v>40</v>
      </c>
      <c r="D2917">
        <v>4.7316949999999904</v>
      </c>
      <c r="E2917">
        <v>0.52834389999999998</v>
      </c>
      <c r="F2917" t="s">
        <v>50</v>
      </c>
      <c r="G2917">
        <v>-168.41309999999999</v>
      </c>
      <c r="H2917">
        <v>5.07165</v>
      </c>
      <c r="I2917">
        <v>203.81620000000001</v>
      </c>
      <c r="J2917">
        <v>-310.37200000000001</v>
      </c>
      <c r="K2917">
        <v>1.1211949999999999</v>
      </c>
      <c r="L2917">
        <v>214.3708</v>
      </c>
      <c r="M2917">
        <v>0.99982230000000005</v>
      </c>
      <c r="N2917">
        <v>-1.4554030000000001E-2</v>
      </c>
      <c r="O2917">
        <v>1.19957E-2</v>
      </c>
      <c r="P2917">
        <v>0.97700949999999998</v>
      </c>
      <c r="Q2917">
        <v>0.21297940000000001</v>
      </c>
      <c r="R2917">
        <v>-9.5988789999999994E-3</v>
      </c>
      <c r="S2917">
        <v>3.0498660000000002</v>
      </c>
      <c r="T2917">
        <v>8.4634180000000003E-2</v>
      </c>
      <c r="U2917">
        <v>-0.2260132</v>
      </c>
      <c r="V2917">
        <v>2.1221879999999999E-2</v>
      </c>
      <c r="W2917">
        <v>0.22718250000000001</v>
      </c>
      <c r="X2917">
        <v>0.97362099999999996</v>
      </c>
      <c r="Y2917">
        <v>8.5835899999999896E-2</v>
      </c>
      <c r="Z2917">
        <v>1.070229E-3</v>
      </c>
      <c r="AA2917">
        <v>0.99630870000000005</v>
      </c>
      <c r="AB2917">
        <v>44</v>
      </c>
      <c r="AC2917">
        <v>141.9589</v>
      </c>
      <c r="AD2917">
        <v>3.9504549999999998</v>
      </c>
      <c r="AE2917">
        <v>-10.554599999999899</v>
      </c>
      <c r="AF2917">
        <v>12.247484497306999</v>
      </c>
      <c r="AG2917">
        <v>3.9504549999999998</v>
      </c>
      <c r="AH2917">
        <v>141.71292045723399</v>
      </c>
      <c r="AI2917">
        <v>88.4091369812827</v>
      </c>
      <c r="AJ2917">
        <v>85.060507993498604</v>
      </c>
      <c r="AK2917">
        <v>142.29602522817399</v>
      </c>
      <c r="AL2917">
        <v>76.868750439221898</v>
      </c>
      <c r="AM2917">
        <v>88.7513296764308</v>
      </c>
      <c r="AN2917">
        <v>1.00000005406899</v>
      </c>
    </row>
    <row r="2918" spans="1:40" x14ac:dyDescent="0.25">
      <c r="A2918" t="str">
        <f>"20190303171034743"</f>
        <v>20190303171034743</v>
      </c>
      <c r="B2918" t="str">
        <f>"1551604234734072"</f>
        <v>1551604234734072</v>
      </c>
      <c r="C2918" t="s">
        <v>40</v>
      </c>
      <c r="D2918">
        <v>4.7152200000000004</v>
      </c>
      <c r="E2918">
        <v>0.52822340000000001</v>
      </c>
      <c r="F2918" t="s">
        <v>50</v>
      </c>
      <c r="G2918">
        <v>-168.41290000000001</v>
      </c>
      <c r="H2918">
        <v>4.7581899999999999</v>
      </c>
      <c r="I2918">
        <v>204.0376</v>
      </c>
      <c r="J2918">
        <v>-309.9393</v>
      </c>
      <c r="K2918">
        <v>1.1211979999999999</v>
      </c>
      <c r="L2918">
        <v>214.37610000000001</v>
      </c>
      <c r="M2918">
        <v>0.99982040000000005</v>
      </c>
      <c r="N2918">
        <v>-1.45513E-2</v>
      </c>
      <c r="O2918">
        <v>1.215199E-2</v>
      </c>
      <c r="P2918">
        <v>0.97702719999999998</v>
      </c>
      <c r="Q2918">
        <v>0.21291840000000001</v>
      </c>
      <c r="R2918">
        <v>-9.1572549999999996E-3</v>
      </c>
      <c r="S2918">
        <v>3.051361</v>
      </c>
      <c r="T2918">
        <v>7.8176620000000002E-2</v>
      </c>
      <c r="U2918">
        <v>-0.2221069</v>
      </c>
      <c r="V2918">
        <v>2.093339E-2</v>
      </c>
      <c r="W2918">
        <v>0.2271193</v>
      </c>
      <c r="X2918">
        <v>0.97364189999999995</v>
      </c>
      <c r="Y2918">
        <v>8.4691600000000006E-2</v>
      </c>
      <c r="Z2918">
        <v>9.5366790000000004E-4</v>
      </c>
      <c r="AA2918">
        <v>0.99640669999999998</v>
      </c>
      <c r="AB2918">
        <v>44</v>
      </c>
      <c r="AC2918">
        <v>141.5264</v>
      </c>
      <c r="AD2918">
        <v>3.6369919999999998</v>
      </c>
      <c r="AE2918">
        <v>-10.3385</v>
      </c>
      <c r="AF2918">
        <v>12.0498302402502</v>
      </c>
      <c r="AG2918">
        <v>3.6369919999999998</v>
      </c>
      <c r="AH2918">
        <v>141.297482970364</v>
      </c>
      <c r="AI2918">
        <v>88.530864554913293</v>
      </c>
      <c r="AJ2918">
        <v>85.125617409475097</v>
      </c>
      <c r="AK2918">
        <v>141.856987185641</v>
      </c>
      <c r="AL2918">
        <v>76.872467557771898</v>
      </c>
      <c r="AM2918">
        <v>88.768325253048801</v>
      </c>
      <c r="AN2918">
        <v>0.99999996634249499</v>
      </c>
    </row>
    <row r="2919" spans="1:40" x14ac:dyDescent="0.25">
      <c r="A2919" t="str">
        <f>"20190303171034766"</f>
        <v>20190303171034766</v>
      </c>
      <c r="B2919" t="str">
        <f>"1551604234753592"</f>
        <v>1551604234753592</v>
      </c>
      <c r="C2919" t="s">
        <v>40</v>
      </c>
      <c r="D2919">
        <v>4.6930189999999996</v>
      </c>
      <c r="E2919">
        <v>0.52817919999999996</v>
      </c>
      <c r="F2919" t="s">
        <v>50</v>
      </c>
      <c r="G2919">
        <v>-168.41290000000001</v>
      </c>
      <c r="H2919">
        <v>4.9100510000000002</v>
      </c>
      <c r="I2919">
        <v>204.14570000000001</v>
      </c>
      <c r="J2919">
        <v>-309.50110000000001</v>
      </c>
      <c r="K2919">
        <v>1.1211990000000001</v>
      </c>
      <c r="L2919">
        <v>214.38149999999999</v>
      </c>
      <c r="M2919">
        <v>0.9998184</v>
      </c>
      <c r="N2919">
        <v>-1.454854E-2</v>
      </c>
      <c r="O2919">
        <v>1.231019E-2</v>
      </c>
      <c r="P2919">
        <v>0.97691879999999998</v>
      </c>
      <c r="Q2919">
        <v>0.21342349999999999</v>
      </c>
      <c r="R2919">
        <v>-8.9517420000000004E-3</v>
      </c>
      <c r="S2919">
        <v>3.050659</v>
      </c>
      <c r="T2919">
        <v>8.1670999999999994E-2</v>
      </c>
      <c r="U2919">
        <v>-0.22051999999999999</v>
      </c>
      <c r="V2919">
        <v>2.088096E-2</v>
      </c>
      <c r="W2919">
        <v>0.22761989999999999</v>
      </c>
      <c r="X2919">
        <v>0.97352620000000001</v>
      </c>
      <c r="Y2919">
        <v>8.4347770000000002E-2</v>
      </c>
      <c r="Z2919">
        <v>1.0208509999999999E-3</v>
      </c>
      <c r="AA2919">
        <v>0.99643590000000004</v>
      </c>
      <c r="AB2919">
        <v>44</v>
      </c>
      <c r="AC2919">
        <v>141.0882</v>
      </c>
      <c r="AD2919">
        <v>3.7888519999999999</v>
      </c>
      <c r="AE2919">
        <v>-10.2357999999999</v>
      </c>
      <c r="AF2919">
        <v>11.9634481594749</v>
      </c>
      <c r="AG2919">
        <v>3.7888519999999999</v>
      </c>
      <c r="AH2919">
        <v>140.85044464148501</v>
      </c>
      <c r="AI2919">
        <v>88.464650920295099</v>
      </c>
      <c r="AJ2919">
        <v>85.145107133017902</v>
      </c>
      <c r="AK2919">
        <v>141.40837049851899</v>
      </c>
      <c r="AL2919">
        <v>76.843014943525603</v>
      </c>
      <c r="AM2919">
        <v>88.771263203792202</v>
      </c>
      <c r="AN2919">
        <v>1.0000000477264801</v>
      </c>
    </row>
    <row r="2920" spans="1:40" x14ac:dyDescent="0.25">
      <c r="A2920" t="str">
        <f>"20190303171034789"</f>
        <v>20190303171034789</v>
      </c>
      <c r="B2920" t="str">
        <f>"1551604234783378"</f>
        <v>1551604234783378</v>
      </c>
      <c r="C2920" t="s">
        <v>40</v>
      </c>
      <c r="D2920">
        <v>4.7796079999999996</v>
      </c>
      <c r="E2920">
        <v>0.52785249999999995</v>
      </c>
      <c r="F2920" t="s">
        <v>50</v>
      </c>
      <c r="G2920">
        <v>-168.41290000000001</v>
      </c>
      <c r="H2920">
        <v>5.1129819999999997</v>
      </c>
      <c r="I2920">
        <v>204.20949999999999</v>
      </c>
      <c r="J2920">
        <v>-309.05549999999999</v>
      </c>
      <c r="K2920">
        <v>1.1212009999999999</v>
      </c>
      <c r="L2920">
        <v>214.3871</v>
      </c>
      <c r="M2920">
        <v>0.99981640000000005</v>
      </c>
      <c r="N2920">
        <v>-1.454573E-2</v>
      </c>
      <c r="O2920">
        <v>1.2471360000000001E-2</v>
      </c>
      <c r="P2920">
        <v>0.97689950000000003</v>
      </c>
      <c r="Q2920">
        <v>0.2134973</v>
      </c>
      <c r="R2920">
        <v>-9.2798059999999998E-3</v>
      </c>
      <c r="S2920">
        <v>3.0499879999999999</v>
      </c>
      <c r="T2920">
        <v>8.6293460000000002E-2</v>
      </c>
      <c r="U2920">
        <v>-0.21989439999999999</v>
      </c>
      <c r="V2920">
        <v>2.13665E-2</v>
      </c>
      <c r="W2920">
        <v>0.2276909</v>
      </c>
      <c r="X2920">
        <v>0.973499</v>
      </c>
      <c r="Y2920">
        <v>8.4317349999999999E-2</v>
      </c>
      <c r="Z2920">
        <v>1.110366E-3</v>
      </c>
      <c r="AA2920">
        <v>0.9964383</v>
      </c>
      <c r="AB2920">
        <v>44</v>
      </c>
      <c r="AC2920">
        <v>140.64259999999999</v>
      </c>
      <c r="AD2920">
        <v>3.991781</v>
      </c>
      <c r="AE2920">
        <v>-10.1776</v>
      </c>
      <c r="AF2920">
        <v>11.9214449933528</v>
      </c>
      <c r="AG2920">
        <v>3.991781</v>
      </c>
      <c r="AH2920">
        <v>140.39221225369701</v>
      </c>
      <c r="AI2920">
        <v>88.377181234330195</v>
      </c>
      <c r="AJ2920">
        <v>85.146355997467694</v>
      </c>
      <c r="AK2920">
        <v>140.95399401141</v>
      </c>
      <c r="AL2920">
        <v>76.838836445953106</v>
      </c>
      <c r="AM2920">
        <v>88.742665628057296</v>
      </c>
      <c r="AN2920">
        <v>0.99999998813302904</v>
      </c>
    </row>
    <row r="2921" spans="1:40" x14ac:dyDescent="0.25">
      <c r="A2921" t="str">
        <f>"20190303171034811"</f>
        <v>20190303171034811</v>
      </c>
      <c r="B2921" t="str">
        <f>"1551604234803874"</f>
        <v>1551604234803874</v>
      </c>
      <c r="C2921" t="s">
        <v>40</v>
      </c>
      <c r="D2921">
        <v>4.7300219999999999</v>
      </c>
      <c r="E2921">
        <v>0.52399379999999995</v>
      </c>
      <c r="F2921" t="s">
        <v>50</v>
      </c>
      <c r="G2921">
        <v>-168.4128</v>
      </c>
      <c r="H2921">
        <v>4.7171880000000002</v>
      </c>
      <c r="I2921">
        <v>204.37370000000001</v>
      </c>
      <c r="J2921">
        <v>-308.6121</v>
      </c>
      <c r="K2921">
        <v>1.121202</v>
      </c>
      <c r="L2921">
        <v>214.39279999999999</v>
      </c>
      <c r="M2921">
        <v>0.99981450000000005</v>
      </c>
      <c r="N2921">
        <v>-1.454301E-2</v>
      </c>
      <c r="O2921">
        <v>1.263189E-2</v>
      </c>
      <c r="P2921">
        <v>0.97683149999999996</v>
      </c>
      <c r="Q2921">
        <v>0.2138273</v>
      </c>
      <c r="R2921">
        <v>-8.8429210000000001E-3</v>
      </c>
      <c r="S2921">
        <v>3.0518489999999998</v>
      </c>
      <c r="T2921">
        <v>7.8031059999999999E-2</v>
      </c>
      <c r="U2921">
        <v>-0.21728520000000001</v>
      </c>
      <c r="V2921">
        <v>2.1085659999999999E-2</v>
      </c>
      <c r="W2921">
        <v>0.22801730000000001</v>
      </c>
      <c r="X2921">
        <v>0.97342870000000004</v>
      </c>
      <c r="Y2921">
        <v>8.3591979999999996E-2</v>
      </c>
      <c r="Z2921">
        <v>9.6441820000000005E-4</v>
      </c>
      <c r="AA2921">
        <v>0.99649960000000004</v>
      </c>
      <c r="AB2921">
        <v>44</v>
      </c>
      <c r="AC2921">
        <v>140.19929999999999</v>
      </c>
      <c r="AD2921">
        <v>3.5959859999999999</v>
      </c>
      <c r="AE2921">
        <v>-10.0190999999999</v>
      </c>
      <c r="AF2921">
        <v>11.7817582534651</v>
      </c>
      <c r="AG2921">
        <v>3.5959859999999999</v>
      </c>
      <c r="AH2921">
        <v>139.969923185456</v>
      </c>
      <c r="AI2921">
        <v>88.533513910797495</v>
      </c>
      <c r="AJ2921">
        <v>85.188555657087704</v>
      </c>
      <c r="AK2921">
        <v>140.51092604989</v>
      </c>
      <c r="AL2921">
        <v>76.819629557078798</v>
      </c>
      <c r="AM2921">
        <v>88.7590971726666</v>
      </c>
      <c r="AN2921">
        <v>0.999999964070307</v>
      </c>
    </row>
    <row r="2922" spans="1:40" x14ac:dyDescent="0.25">
      <c r="A2922" t="str">
        <f>"20190303171034833"</f>
        <v>20190303171034833</v>
      </c>
      <c r="B2922" t="str">
        <f>"1551604234823394"</f>
        <v>1551604234823394</v>
      </c>
      <c r="C2922" t="s">
        <v>40</v>
      </c>
      <c r="D2922">
        <v>4.7314679999999996</v>
      </c>
      <c r="E2922">
        <v>0.52368440000000005</v>
      </c>
      <c r="F2922" t="s">
        <v>50</v>
      </c>
      <c r="G2922">
        <v>-168.41730000000001</v>
      </c>
      <c r="H2922">
        <v>18.873950000000001</v>
      </c>
      <c r="I2922">
        <v>204.86410000000001</v>
      </c>
      <c r="J2922">
        <v>-308.17750000000001</v>
      </c>
      <c r="K2922">
        <v>1.1212029999999999</v>
      </c>
      <c r="L2922">
        <v>214.39840000000001</v>
      </c>
      <c r="M2922">
        <v>0.99981240000000005</v>
      </c>
      <c r="N2922">
        <v>-1.4540290000000001E-2</v>
      </c>
      <c r="O2922">
        <v>1.278901E-2</v>
      </c>
      <c r="P2922">
        <v>0.97670889999999999</v>
      </c>
      <c r="Q2922">
        <v>0.2144103</v>
      </c>
      <c r="R2922">
        <v>-8.2231070000000003E-3</v>
      </c>
      <c r="S2922">
        <v>2.986542</v>
      </c>
      <c r="T2922">
        <v>0.37818370000000001</v>
      </c>
      <c r="U2922">
        <v>-0.20298769999999999</v>
      </c>
      <c r="V2922">
        <v>2.0617690000000001E-2</v>
      </c>
      <c r="W2922">
        <v>0.2285953</v>
      </c>
      <c r="X2922">
        <v>0.97330320000000003</v>
      </c>
      <c r="Y2922">
        <v>7.9878649999999995E-2</v>
      </c>
      <c r="Z2922">
        <v>6.244421E-3</v>
      </c>
      <c r="AA2922">
        <v>0.99678500000000003</v>
      </c>
      <c r="AB2922">
        <v>44</v>
      </c>
      <c r="AC2922">
        <v>139.7602</v>
      </c>
      <c r="AD2922">
        <v>17.752746999999999</v>
      </c>
      <c r="AE2922">
        <v>-9.5343</v>
      </c>
      <c r="AF2922">
        <v>11.142159871927101</v>
      </c>
      <c r="AG2922">
        <v>17.752746999999999</v>
      </c>
      <c r="AH2922">
        <v>137.41984695745501</v>
      </c>
      <c r="AI2922">
        <v>82.662760276817195</v>
      </c>
      <c r="AJ2922">
        <v>85.3645323817979</v>
      </c>
      <c r="AK2922">
        <v>139.00907197182499</v>
      </c>
      <c r="AL2922">
        <v>76.785614842187201</v>
      </c>
      <c r="AM2922">
        <v>88.786472732722302</v>
      </c>
      <c r="AN2922">
        <v>1.0000000097266299</v>
      </c>
    </row>
    <row r="2923" spans="1:40" x14ac:dyDescent="0.25">
      <c r="A2923" t="str">
        <f>"20190303171034847"</f>
        <v>20190303171034847</v>
      </c>
      <c r="B2923" t="str">
        <f>"1551604234834131"</f>
        <v>1551604234834131</v>
      </c>
      <c r="C2923" t="s">
        <v>40</v>
      </c>
      <c r="D2923">
        <v>4.7241019999999896</v>
      </c>
      <c r="E2923">
        <v>0.52368440000000005</v>
      </c>
      <c r="F2923" t="s">
        <v>50</v>
      </c>
      <c r="G2923">
        <v>-168.41720000000001</v>
      </c>
      <c r="H2923">
        <v>18.986080000000001</v>
      </c>
      <c r="I2923">
        <v>205.10120000000001</v>
      </c>
      <c r="J2923">
        <v>-307.89350000000002</v>
      </c>
      <c r="K2923">
        <v>1.121205</v>
      </c>
      <c r="L2923">
        <v>214.40209999999999</v>
      </c>
      <c r="M2923">
        <v>0.99981129999999996</v>
      </c>
      <c r="N2923">
        <v>-1.4538499999999999E-2</v>
      </c>
      <c r="O2923">
        <v>1.2891359999999999E-2</v>
      </c>
      <c r="P2923">
        <v>0.97670869999999999</v>
      </c>
      <c r="Q2923">
        <v>0.21441930000000001</v>
      </c>
      <c r="R2923">
        <v>-8.0307480000000007E-3</v>
      </c>
      <c r="S2923">
        <v>2.9860530000000001</v>
      </c>
      <c r="T2923">
        <v>0.38169340000000002</v>
      </c>
      <c r="U2923">
        <v>-0.19863890000000001</v>
      </c>
      <c r="V2923">
        <v>2.052524E-2</v>
      </c>
      <c r="W2923">
        <v>0.22860269999999999</v>
      </c>
      <c r="X2923">
        <v>0.97330340000000004</v>
      </c>
      <c r="Y2923">
        <v>7.8541509999999995E-2</v>
      </c>
      <c r="Z2923">
        <v>6.2462530000000002E-3</v>
      </c>
      <c r="AA2923">
        <v>0.99689130000000004</v>
      </c>
      <c r="AB2923">
        <v>44</v>
      </c>
      <c r="AC2923">
        <v>139.47630000000001</v>
      </c>
      <c r="AD2923">
        <v>17.864874999999898</v>
      </c>
      <c r="AE2923">
        <v>-9.3008999999999808</v>
      </c>
      <c r="AF2923">
        <v>10.9199971689058</v>
      </c>
      <c r="AG2923">
        <v>17.864874999999898</v>
      </c>
      <c r="AH2923">
        <v>137.10541869997601</v>
      </c>
      <c r="AI2923">
        <v>82.599344715004094</v>
      </c>
      <c r="AJ2923">
        <v>85.446191921321898</v>
      </c>
      <c r="AK2923">
        <v>138.69497443609899</v>
      </c>
      <c r="AL2923">
        <v>76.785179112056397</v>
      </c>
      <c r="AM2923">
        <v>88.791912837252696</v>
      </c>
      <c r="AN2923">
        <v>0.99999999418795305</v>
      </c>
    </row>
    <row r="2924" spans="1:40" x14ac:dyDescent="0.25">
      <c r="A2924" t="str">
        <f>"20190303171034865"</f>
        <v>20190303171034865</v>
      </c>
      <c r="B2924" t="str">
        <f>"1551604234853650"</f>
        <v>1551604234853650</v>
      </c>
      <c r="C2924" t="s">
        <v>40</v>
      </c>
      <c r="D2924">
        <v>4.6353429999999998</v>
      </c>
      <c r="E2924">
        <v>0.52412020000000004</v>
      </c>
      <c r="F2924" t="s">
        <v>50</v>
      </c>
      <c r="G2924">
        <v>-168.41720000000001</v>
      </c>
      <c r="H2924">
        <v>18.944680000000002</v>
      </c>
      <c r="I2924">
        <v>205.1575</v>
      </c>
      <c r="J2924">
        <v>-307.53800000000001</v>
      </c>
      <c r="K2924">
        <v>1.121205</v>
      </c>
      <c r="L2924">
        <v>214.4068</v>
      </c>
      <c r="M2924">
        <v>0.99980970000000002</v>
      </c>
      <c r="N2924">
        <v>-1.453628E-2</v>
      </c>
      <c r="O2924">
        <v>1.301981E-2</v>
      </c>
      <c r="P2924">
        <v>0.97685999999999995</v>
      </c>
      <c r="Q2924">
        <v>0.21372169999999999</v>
      </c>
      <c r="R2924">
        <v>-8.2193179999999998E-3</v>
      </c>
      <c r="S2924">
        <v>2.9861149999999999</v>
      </c>
      <c r="T2924">
        <v>0.38159189999999998</v>
      </c>
      <c r="U2924">
        <v>-0.19792180000000001</v>
      </c>
      <c r="V2924">
        <v>2.0841789999999999E-2</v>
      </c>
      <c r="W2924">
        <v>0.22790489999999999</v>
      </c>
      <c r="X2924">
        <v>0.97346029999999995</v>
      </c>
      <c r="Y2924">
        <v>7.8429769999999996E-2</v>
      </c>
      <c r="Z2924">
        <v>6.256391E-3</v>
      </c>
      <c r="AA2924">
        <v>0.99690000000000001</v>
      </c>
      <c r="AB2924">
        <v>44</v>
      </c>
      <c r="AC2924">
        <v>139.1208</v>
      </c>
      <c r="AD2924">
        <v>17.823474999999998</v>
      </c>
      <c r="AE2924">
        <v>-9.2492999999999999</v>
      </c>
      <c r="AF2924">
        <v>10.882204596608901</v>
      </c>
      <c r="AG2924">
        <v>17.823474999999998</v>
      </c>
      <c r="AH2924">
        <v>136.75384015601</v>
      </c>
      <c r="AI2924">
        <v>82.597491672885397</v>
      </c>
      <c r="AJ2924">
        <v>85.450268012282294</v>
      </c>
      <c r="AK2924">
        <v>138.339117516969</v>
      </c>
      <c r="AL2924">
        <v>76.826244096388706</v>
      </c>
      <c r="AM2924">
        <v>88.773484451586995</v>
      </c>
      <c r="AN2924">
        <v>0.99999998966525105</v>
      </c>
    </row>
    <row r="2925" spans="1:40" x14ac:dyDescent="0.25">
      <c r="A2925" t="str">
        <f>"20190303171034881"</f>
        <v>20190303171034881</v>
      </c>
      <c r="B2925" t="str">
        <f>"1551604234873582"</f>
        <v>1551604234873582</v>
      </c>
      <c r="C2925" t="s">
        <v>40</v>
      </c>
      <c r="D2925">
        <v>4.6012199999999996</v>
      </c>
      <c r="E2925">
        <v>0.52742619999999996</v>
      </c>
      <c r="F2925" t="s">
        <v>50</v>
      </c>
      <c r="G2925">
        <v>-168.41720000000001</v>
      </c>
      <c r="H2925">
        <v>18.789739999999998</v>
      </c>
      <c r="I2925">
        <v>205.01320000000001</v>
      </c>
      <c r="J2925">
        <v>-307.23439999999999</v>
      </c>
      <c r="K2925">
        <v>1.121202</v>
      </c>
      <c r="L2925">
        <v>214.4109</v>
      </c>
      <c r="M2925">
        <v>0.99980829999999998</v>
      </c>
      <c r="N2925">
        <v>-1.4534399999999999E-2</v>
      </c>
      <c r="O2925">
        <v>1.312984E-2</v>
      </c>
      <c r="P2925">
        <v>0.9769795</v>
      </c>
      <c r="Q2925">
        <v>0.21317349999999999</v>
      </c>
      <c r="R2925">
        <v>-8.2858129999999995E-3</v>
      </c>
      <c r="S2925">
        <v>2.986389</v>
      </c>
      <c r="T2925">
        <v>0.37927630000000001</v>
      </c>
      <c r="U2925">
        <v>-0.20164489999999999</v>
      </c>
      <c r="V2925">
        <v>2.101751E-2</v>
      </c>
      <c r="W2925">
        <v>0.22735710000000001</v>
      </c>
      <c r="X2925">
        <v>0.97358469999999997</v>
      </c>
      <c r="Y2925">
        <v>7.9768899999999907E-2</v>
      </c>
      <c r="Z2925">
        <v>6.305916E-3</v>
      </c>
      <c r="AA2925">
        <v>0.99679340000000005</v>
      </c>
      <c r="AB2925">
        <v>44</v>
      </c>
      <c r="AC2925">
        <v>138.81720000000001</v>
      </c>
      <c r="AD2925">
        <v>17.668537999999899</v>
      </c>
      <c r="AE2925">
        <v>-9.3976999999999808</v>
      </c>
      <c r="AF2925">
        <v>11.041670796631999</v>
      </c>
      <c r="AG2925">
        <v>17.668537999999899</v>
      </c>
      <c r="AH2925">
        <v>136.48092576046301</v>
      </c>
      <c r="AI2925">
        <v>82.647391111496006</v>
      </c>
      <c r="AJ2925">
        <v>85.374692366759604</v>
      </c>
      <c r="AK2925">
        <v>138.06208322878399</v>
      </c>
      <c r="AL2925">
        <v>76.858478091576103</v>
      </c>
      <c r="AM2925">
        <v>88.763304719201997</v>
      </c>
      <c r="AN2925">
        <v>1.00000007736054</v>
      </c>
    </row>
    <row r="2926" spans="1:40" x14ac:dyDescent="0.25">
      <c r="A2926" t="str">
        <f>"20190303171034899"</f>
        <v>20190303171034899</v>
      </c>
      <c r="B2926" t="str">
        <f>"1551604234894079"</f>
        <v>1551604234894079</v>
      </c>
      <c r="C2926" t="s">
        <v>40</v>
      </c>
      <c r="D2926">
        <v>4.7759010000000002</v>
      </c>
      <c r="E2926">
        <v>0.52713880000000002</v>
      </c>
      <c r="F2926" t="s">
        <v>53</v>
      </c>
      <c r="G2926">
        <v>-247.1943</v>
      </c>
      <c r="H2926" s="1">
        <v>2.472868E-6</v>
      </c>
      <c r="I2926">
        <v>210.47049999999999</v>
      </c>
      <c r="J2926">
        <v>-306.86149999999998</v>
      </c>
      <c r="K2926">
        <v>1.1212009999999999</v>
      </c>
      <c r="L2926">
        <v>214.41589999999999</v>
      </c>
      <c r="M2926">
        <v>0.99980659999999999</v>
      </c>
      <c r="N2926">
        <v>-1.4532120000000001E-2</v>
      </c>
      <c r="O2926">
        <v>1.3264669999999999E-2</v>
      </c>
      <c r="P2926">
        <v>0.97718369999999999</v>
      </c>
      <c r="Q2926">
        <v>0.21221789999999999</v>
      </c>
      <c r="R2926">
        <v>-8.7276049999999994E-3</v>
      </c>
      <c r="S2926">
        <v>3.0815429999999999</v>
      </c>
      <c r="T2926">
        <v>-5.7545300000000001E-2</v>
      </c>
      <c r="U2926">
        <v>-0.20224</v>
      </c>
      <c r="V2926">
        <v>2.1594189999999999E-2</v>
      </c>
      <c r="W2926">
        <v>0.2264022</v>
      </c>
      <c r="X2926">
        <v>0.97379450000000001</v>
      </c>
      <c r="Y2926">
        <v>7.8695970000000004E-2</v>
      </c>
      <c r="Z2926">
        <v>-1.3613760000000001E-3</v>
      </c>
      <c r="AA2926">
        <v>0.99689779999999995</v>
      </c>
      <c r="AB2926">
        <v>44</v>
      </c>
      <c r="AC2926">
        <v>59.667199999999902</v>
      </c>
      <c r="AD2926">
        <v>-1.121198527132</v>
      </c>
      <c r="AE2926">
        <v>-3.9453999999999998</v>
      </c>
      <c r="AF2926">
        <v>4.7349373551835896</v>
      </c>
      <c r="AG2926">
        <v>-1.121198527132</v>
      </c>
      <c r="AH2926">
        <v>59.588660483090102</v>
      </c>
      <c r="AI2926">
        <v>91.074543149539494</v>
      </c>
      <c r="AJ2926">
        <v>85.456801626364694</v>
      </c>
      <c r="AK2926">
        <v>59.786998386469698</v>
      </c>
      <c r="AL2926">
        <v>76.914653685642307</v>
      </c>
      <c r="AM2926">
        <v>88.729656817366305</v>
      </c>
      <c r="AN2926">
        <v>0.99999999671842299</v>
      </c>
    </row>
    <row r="2927" spans="1:40" x14ac:dyDescent="0.25">
      <c r="A2927" t="str">
        <f>"20190303171034913"</f>
        <v>20190303171034913</v>
      </c>
      <c r="B2927" t="str">
        <f>"1551604234903839"</f>
        <v>1551604234903839</v>
      </c>
      <c r="C2927" t="s">
        <v>40</v>
      </c>
      <c r="D2927">
        <v>4.774019</v>
      </c>
      <c r="E2927">
        <v>0.52639849999999999</v>
      </c>
      <c r="F2927" t="s">
        <v>53</v>
      </c>
      <c r="G2927">
        <v>-246.28380000000001</v>
      </c>
      <c r="H2927" s="1">
        <v>1.9891769999999999E-6</v>
      </c>
      <c r="I2927">
        <v>210.4522</v>
      </c>
      <c r="J2927">
        <v>-306.58069999999998</v>
      </c>
      <c r="K2927">
        <v>1.121197</v>
      </c>
      <c r="L2927">
        <v>214.41970000000001</v>
      </c>
      <c r="M2927">
        <v>0.99980530000000001</v>
      </c>
      <c r="N2927">
        <v>-1.453042E-2</v>
      </c>
      <c r="O2927">
        <v>1.336648E-2</v>
      </c>
      <c r="P2927">
        <v>0.97723689999999996</v>
      </c>
      <c r="Q2927">
        <v>0.2119664</v>
      </c>
      <c r="R2927">
        <v>-8.8621859999999993E-3</v>
      </c>
      <c r="S2927">
        <v>3.0806269999999998</v>
      </c>
      <c r="T2927">
        <v>-5.7017680000000001E-2</v>
      </c>
      <c r="U2927">
        <v>-0.20156859999999999</v>
      </c>
      <c r="V2927">
        <v>2.1829479999999998E-2</v>
      </c>
      <c r="W2927">
        <v>0.22614960000000001</v>
      </c>
      <c r="X2927">
        <v>0.97384800000000005</v>
      </c>
      <c r="Y2927">
        <v>7.8600859999999995E-2</v>
      </c>
      <c r="Z2927">
        <v>-1.3514569999999999E-3</v>
      </c>
      <c r="AA2927">
        <v>0.99690529999999999</v>
      </c>
      <c r="AB2927">
        <v>44</v>
      </c>
      <c r="AC2927">
        <v>60.296899999999901</v>
      </c>
      <c r="AD2927">
        <v>-1.121195010823</v>
      </c>
      <c r="AE2927">
        <v>-3.9674999999999998</v>
      </c>
      <c r="AF2927">
        <v>4.7715450276675702</v>
      </c>
      <c r="AG2927">
        <v>-1.121195010823</v>
      </c>
      <c r="AH2927">
        <v>60.217744105225499</v>
      </c>
      <c r="AI2927">
        <v>91.063335478327602</v>
      </c>
      <c r="AJ2927">
        <v>85.469452302237897</v>
      </c>
      <c r="AK2927">
        <v>60.416896852832302</v>
      </c>
      <c r="AL2927">
        <v>76.929512650083396</v>
      </c>
      <c r="AM2927">
        <v>88.715890310501294</v>
      </c>
      <c r="AN2927">
        <v>1.0000000474406101</v>
      </c>
    </row>
    <row r="2928" spans="1:40" x14ac:dyDescent="0.25">
      <c r="A2928" t="str">
        <f>"20190303171034932"</f>
        <v>20190303171034932</v>
      </c>
      <c r="B2928" t="str">
        <f>"1551604234923359"</f>
        <v>1551604234923359</v>
      </c>
      <c r="C2928" t="s">
        <v>40</v>
      </c>
      <c r="D2928">
        <v>4.4927440000000001</v>
      </c>
      <c r="E2928">
        <v>0.52610889999999999</v>
      </c>
      <c r="F2928" t="s">
        <v>53</v>
      </c>
      <c r="G2928">
        <v>-243.26779999999999</v>
      </c>
      <c r="H2928" s="1">
        <v>3.8724859999999998E-7</v>
      </c>
      <c r="I2928">
        <v>210.3818</v>
      </c>
      <c r="J2928">
        <v>-306.21609999999998</v>
      </c>
      <c r="K2928">
        <v>1.1212</v>
      </c>
      <c r="L2928">
        <v>214.4247</v>
      </c>
      <c r="M2928">
        <v>0.99980349999999996</v>
      </c>
      <c r="N2928">
        <v>-1.452821E-2</v>
      </c>
      <c r="O2928">
        <v>1.349875E-2</v>
      </c>
      <c r="P2928">
        <v>0.9772497</v>
      </c>
      <c r="Q2928">
        <v>0.2118669</v>
      </c>
      <c r="R2928">
        <v>-9.7894590000000004E-3</v>
      </c>
      <c r="S2928">
        <v>3.0799259999999999</v>
      </c>
      <c r="T2928">
        <v>-5.4541829999999999E-2</v>
      </c>
      <c r="U2928">
        <v>-0.1964264</v>
      </c>
      <c r="V2928">
        <v>2.2886170000000001E-2</v>
      </c>
      <c r="W2928">
        <v>0.22604879999999999</v>
      </c>
      <c r="X2928">
        <v>0.97384709999999997</v>
      </c>
      <c r="Y2928">
        <v>7.7092019999999997E-2</v>
      </c>
      <c r="Z2928">
        <v>-1.285441E-3</v>
      </c>
      <c r="AA2928">
        <v>0.9970232</v>
      </c>
      <c r="AB2928">
        <v>44</v>
      </c>
      <c r="AC2928">
        <v>62.948299999999897</v>
      </c>
      <c r="AD2928">
        <v>-1.1211996127513999</v>
      </c>
      <c r="AE2928">
        <v>-4.0429000000000004</v>
      </c>
      <c r="AF2928">
        <v>4.8907992621632799</v>
      </c>
      <c r="AG2928">
        <v>-1.1211996127513999</v>
      </c>
      <c r="AH2928">
        <v>62.8681207746898</v>
      </c>
      <c r="AI2928">
        <v>91.018636229901205</v>
      </c>
      <c r="AJ2928">
        <v>85.551658052195705</v>
      </c>
      <c r="AK2928">
        <v>63.068039574220101</v>
      </c>
      <c r="AL2928">
        <v>76.9354410407052</v>
      </c>
      <c r="AM2928">
        <v>88.653752083757595</v>
      </c>
      <c r="AN2928">
        <v>1.0000000054685501</v>
      </c>
    </row>
    <row r="2929" spans="1:40" x14ac:dyDescent="0.25">
      <c r="A2929" t="str">
        <f>"20190303171034949"</f>
        <v>20190303171034949</v>
      </c>
      <c r="B2929" t="str">
        <f>"1551604234943856"</f>
        <v>1551604234943856</v>
      </c>
      <c r="C2929" t="s">
        <v>40</v>
      </c>
      <c r="D2929">
        <v>4.6047650000000004</v>
      </c>
      <c r="E2929">
        <v>0.52684200000000003</v>
      </c>
      <c r="F2929" t="s">
        <v>53</v>
      </c>
      <c r="G2929">
        <v>-242.50700000000001</v>
      </c>
      <c r="H2929" s="1">
        <v>-1.6381660000000002E-8</v>
      </c>
      <c r="I2929">
        <v>210.3545</v>
      </c>
      <c r="J2929">
        <v>-305.89339999999999</v>
      </c>
      <c r="K2929">
        <v>1.121189</v>
      </c>
      <c r="L2929">
        <v>214.42910000000001</v>
      </c>
      <c r="M2929">
        <v>0.99980179999999996</v>
      </c>
      <c r="N2929">
        <v>-1.452614E-2</v>
      </c>
      <c r="O2929">
        <v>1.361564E-2</v>
      </c>
      <c r="P2929">
        <v>0.97712560000000004</v>
      </c>
      <c r="Q2929">
        <v>0.21243580000000001</v>
      </c>
      <c r="R2929">
        <v>-9.8203200000000004E-3</v>
      </c>
      <c r="S2929">
        <v>3.0796199999999998</v>
      </c>
      <c r="T2929">
        <v>-5.4197429999999998E-2</v>
      </c>
      <c r="U2929">
        <v>-0.1967468</v>
      </c>
      <c r="V2929">
        <v>2.3029600000000001E-2</v>
      </c>
      <c r="W2929">
        <v>0.2266136</v>
      </c>
      <c r="X2929">
        <v>0.97371240000000003</v>
      </c>
      <c r="Y2929">
        <v>7.7318339999999999E-2</v>
      </c>
      <c r="Z2929">
        <v>-1.283661E-3</v>
      </c>
      <c r="AA2929">
        <v>0.99700560000000005</v>
      </c>
      <c r="AB2929">
        <v>44</v>
      </c>
      <c r="AC2929">
        <v>63.386399999999902</v>
      </c>
      <c r="AD2929">
        <v>-1.12118901638166</v>
      </c>
      <c r="AE2929">
        <v>-4.0746000000000002</v>
      </c>
      <c r="AF2929">
        <v>4.9358217537367102</v>
      </c>
      <c r="AG2929">
        <v>-1.12118901638166</v>
      </c>
      <c r="AH2929">
        <v>63.305313984442499</v>
      </c>
      <c r="AI2929">
        <v>91.0115797103592</v>
      </c>
      <c r="AJ2929">
        <v>85.541752197656393</v>
      </c>
      <c r="AK2929">
        <v>63.507339574760699</v>
      </c>
      <c r="AL2929">
        <v>76.902217687660993</v>
      </c>
      <c r="AM2929">
        <v>88.645130810561596</v>
      </c>
      <c r="AN2929">
        <v>0.99999996204743902</v>
      </c>
    </row>
    <row r="2930" spans="1:40" x14ac:dyDescent="0.25">
      <c r="A2930" t="str">
        <f>"20190303171034967"</f>
        <v>20190303171034967</v>
      </c>
      <c r="B2930" t="str">
        <f>"1551604234953615"</f>
        <v>1551604234953615</v>
      </c>
      <c r="C2930" t="s">
        <v>40</v>
      </c>
      <c r="D2930">
        <v>4.5386369999999996</v>
      </c>
      <c r="E2930">
        <v>0.52695789999999998</v>
      </c>
      <c r="F2930" t="s">
        <v>53</v>
      </c>
      <c r="G2930">
        <v>-240.4117</v>
      </c>
      <c r="H2930" s="1">
        <v>-1.121193E-6</v>
      </c>
      <c r="I2930">
        <v>210.1208</v>
      </c>
      <c r="J2930">
        <v>-305.54660000000001</v>
      </c>
      <c r="K2930">
        <v>1.1211899999999999</v>
      </c>
      <c r="L2930">
        <v>214.43389999999999</v>
      </c>
      <c r="M2930">
        <v>0.99980020000000003</v>
      </c>
      <c r="N2930">
        <v>-1.4523970000000001E-2</v>
      </c>
      <c r="O2930">
        <v>1.374088E-2</v>
      </c>
      <c r="P2930">
        <v>0.97706009999999999</v>
      </c>
      <c r="Q2930">
        <v>0.21272569999999999</v>
      </c>
      <c r="R2930">
        <v>-1.008126E-2</v>
      </c>
      <c r="S2930">
        <v>3.0796199999999998</v>
      </c>
      <c r="T2930">
        <v>-5.2729850000000002E-2</v>
      </c>
      <c r="U2930">
        <v>-0.20262150000000001</v>
      </c>
      <c r="V2930">
        <v>2.3411629999999999E-2</v>
      </c>
      <c r="W2930">
        <v>0.22690060000000001</v>
      </c>
      <c r="X2930">
        <v>0.97363650000000002</v>
      </c>
      <c r="Y2930">
        <v>7.9337340000000006E-2</v>
      </c>
      <c r="Z2930">
        <v>-1.2909849999999999E-3</v>
      </c>
      <c r="AA2930">
        <v>0.99684700000000004</v>
      </c>
      <c r="AB2930">
        <v>44</v>
      </c>
      <c r="AC2930">
        <v>65.134900000000002</v>
      </c>
      <c r="AD2930">
        <v>-1.1211911211929999</v>
      </c>
      <c r="AE2930">
        <v>-4.3130999999999897</v>
      </c>
      <c r="AF2930">
        <v>5.2062620021221901</v>
      </c>
      <c r="AG2930">
        <v>-1.1211911211929999</v>
      </c>
      <c r="AH2930">
        <v>65.050286998740901</v>
      </c>
      <c r="AI2930">
        <v>90.984291730532703</v>
      </c>
      <c r="AJ2930">
        <v>85.424119156110393</v>
      </c>
      <c r="AK2930">
        <v>65.267925294002893</v>
      </c>
      <c r="AL2930">
        <v>76.885334646490705</v>
      </c>
      <c r="AM2930">
        <v>88.622556616237205</v>
      </c>
      <c r="AN2930">
        <v>1.0000000104159299</v>
      </c>
    </row>
    <row r="2931" spans="1:40" x14ac:dyDescent="0.25">
      <c r="A2931" t="str">
        <f>"20190303171034989"</f>
        <v>20190303171034989</v>
      </c>
      <c r="B2931" t="str">
        <f>"1551604234983401"</f>
        <v>1551604234983401</v>
      </c>
      <c r="C2931" t="s">
        <v>40</v>
      </c>
      <c r="D2931">
        <v>4.7738209999999999</v>
      </c>
      <c r="E2931">
        <v>0.5108374</v>
      </c>
      <c r="F2931" t="s">
        <v>53</v>
      </c>
      <c r="G2931">
        <v>-236.53399999999999</v>
      </c>
      <c r="H2931" s="1">
        <v>2.1487790000000001E-6</v>
      </c>
      <c r="I2931">
        <v>209.8468</v>
      </c>
      <c r="J2931">
        <v>-305.11</v>
      </c>
      <c r="K2931">
        <v>1.121194</v>
      </c>
      <c r="L2931">
        <v>214.4401</v>
      </c>
      <c r="M2931">
        <v>0.99979799999999996</v>
      </c>
      <c r="N2931">
        <v>-1.4521310000000001E-2</v>
      </c>
      <c r="O2931">
        <v>1.389925E-2</v>
      </c>
      <c r="P2931">
        <v>0.9771147</v>
      </c>
      <c r="Q2931">
        <v>0.2124703</v>
      </c>
      <c r="R2931">
        <v>-1.016684E-2</v>
      </c>
      <c r="S2931">
        <v>3.0791930000000001</v>
      </c>
      <c r="T2931">
        <v>-5.0024989999999998E-2</v>
      </c>
      <c r="U2931">
        <v>-0.20466609999999999</v>
      </c>
      <c r="V2931">
        <v>2.3652980000000001E-2</v>
      </c>
      <c r="W2931">
        <v>0.22664380000000001</v>
      </c>
      <c r="X2931">
        <v>0.97369050000000001</v>
      </c>
      <c r="Y2931">
        <v>8.0164819999999998E-2</v>
      </c>
      <c r="Z2931">
        <v>-1.2571800000000001E-3</v>
      </c>
      <c r="AA2931">
        <v>0.99678080000000002</v>
      </c>
      <c r="AB2931">
        <v>44</v>
      </c>
      <c r="AC2931">
        <v>68.575999999999993</v>
      </c>
      <c r="AD2931">
        <v>-1.121191851221</v>
      </c>
      <c r="AE2931">
        <v>-4.5932999999999904</v>
      </c>
      <c r="AF2931">
        <v>5.5446361112668496</v>
      </c>
      <c r="AG2931">
        <v>-1.121191851221</v>
      </c>
      <c r="AH2931">
        <v>68.487298473326703</v>
      </c>
      <c r="AI2931">
        <v>90.934835908385296</v>
      </c>
      <c r="AJ2931">
        <v>85.371508200269105</v>
      </c>
      <c r="AK2931">
        <v>68.720521774417193</v>
      </c>
      <c r="AL2931">
        <v>76.900442072765401</v>
      </c>
      <c r="AM2931">
        <v>88.608439285716898</v>
      </c>
      <c r="AN2931">
        <v>1.0000000326657801</v>
      </c>
    </row>
    <row r="2932" spans="1:40" x14ac:dyDescent="0.25">
      <c r="A2932" t="str">
        <f>"20190303171035003"</f>
        <v>20190303171035003</v>
      </c>
      <c r="B2932" t="str">
        <f>"1551604234994138"</f>
        <v>1551604234994138</v>
      </c>
      <c r="C2932" t="s">
        <v>40</v>
      </c>
      <c r="D2932">
        <v>4.7099120000000001</v>
      </c>
      <c r="E2932">
        <v>0.5108374</v>
      </c>
      <c r="F2932" t="s">
        <v>52</v>
      </c>
      <c r="G2932">
        <v>-177.16800000000001</v>
      </c>
      <c r="H2932">
        <v>7.9981750000000004E-2</v>
      </c>
      <c r="I2932">
        <v>211.21420000000001</v>
      </c>
      <c r="J2932">
        <v>-304.82350000000002</v>
      </c>
      <c r="K2932">
        <v>1.1211930000000001</v>
      </c>
      <c r="L2932">
        <v>214.44409999999999</v>
      </c>
      <c r="M2932">
        <v>0.99979669999999998</v>
      </c>
      <c r="N2932">
        <v>-1.4519550000000001E-2</v>
      </c>
      <c r="O2932">
        <v>1.400291E-2</v>
      </c>
      <c r="P2932">
        <v>0.97715160000000001</v>
      </c>
      <c r="Q2932">
        <v>0.2122996</v>
      </c>
      <c r="R2932">
        <v>-1.0191510000000001E-2</v>
      </c>
      <c r="S2932">
        <v>3.0749209999999998</v>
      </c>
      <c r="T2932">
        <v>-2.502418E-2</v>
      </c>
      <c r="U2932">
        <v>-7.7529909999999994E-2</v>
      </c>
      <c r="V2932">
        <v>2.3779580000000002E-2</v>
      </c>
      <c r="W2932">
        <v>0.22647139999999999</v>
      </c>
      <c r="X2932">
        <v>0.97372749999999997</v>
      </c>
      <c r="Y2932">
        <v>3.919918E-2</v>
      </c>
      <c r="Z2932">
        <v>-3.5477419999999999E-4</v>
      </c>
      <c r="AA2932">
        <v>0.99923130000000004</v>
      </c>
      <c r="AB2932">
        <v>44</v>
      </c>
      <c r="AC2932">
        <v>127.6555</v>
      </c>
      <c r="AD2932">
        <v>-1.0412112499999999</v>
      </c>
      <c r="AE2932">
        <v>-3.2298999999999798</v>
      </c>
      <c r="AF2932">
        <v>5.0169863302359499</v>
      </c>
      <c r="AG2932">
        <v>-1.0412112499999999</v>
      </c>
      <c r="AH2932">
        <v>127.58926583729701</v>
      </c>
      <c r="AI2932">
        <v>90.467199353044904</v>
      </c>
      <c r="AJ2932">
        <v>87.748210808080302</v>
      </c>
      <c r="AK2932">
        <v>127.692110287227</v>
      </c>
      <c r="AL2932">
        <v>76.910583182397303</v>
      </c>
      <c r="AM2932">
        <v>88.601047199437502</v>
      </c>
      <c r="AN2932">
        <v>1.00000000384959</v>
      </c>
    </row>
    <row r="2933" spans="1:40" x14ac:dyDescent="0.25">
      <c r="A2933" t="str">
        <f>"20190303171035023"</f>
        <v>20190303171035023</v>
      </c>
      <c r="B2933" t="str">
        <f>"1551604235013660"</f>
        <v>1551604235013660</v>
      </c>
      <c r="C2933" t="s">
        <v>40</v>
      </c>
      <c r="D2933">
        <v>4.3618449999999998</v>
      </c>
      <c r="E2933">
        <v>0.50405549999999999</v>
      </c>
      <c r="F2933" t="s">
        <v>52</v>
      </c>
      <c r="G2933">
        <v>-179.61859999999999</v>
      </c>
      <c r="H2933">
        <v>7.9981629999999998E-2</v>
      </c>
      <c r="I2933">
        <v>211.2799</v>
      </c>
      <c r="J2933">
        <v>-304.4409</v>
      </c>
      <c r="K2933">
        <v>1.121197</v>
      </c>
      <c r="L2933">
        <v>214.4496</v>
      </c>
      <c r="M2933">
        <v>0.99979470000000004</v>
      </c>
      <c r="N2933">
        <v>-1.4517189999999999E-2</v>
      </c>
      <c r="O2933">
        <v>1.41415E-2</v>
      </c>
      <c r="P2933">
        <v>0.977155</v>
      </c>
      <c r="Q2933">
        <v>0.21229609999999999</v>
      </c>
      <c r="R2933">
        <v>-9.948162E-3</v>
      </c>
      <c r="S2933">
        <v>3.0748899999999999</v>
      </c>
      <c r="T2933">
        <v>-2.5570989999999998E-2</v>
      </c>
      <c r="U2933">
        <v>-7.7713009999999999E-2</v>
      </c>
      <c r="V2933">
        <v>2.367168E-2</v>
      </c>
      <c r="W2933">
        <v>0.2264659</v>
      </c>
      <c r="X2933">
        <v>0.97373140000000002</v>
      </c>
      <c r="Y2933">
        <v>3.9397290000000001E-2</v>
      </c>
      <c r="Z2933">
        <v>-3.6214119999999997E-4</v>
      </c>
      <c r="AA2933">
        <v>0.99922350000000004</v>
      </c>
      <c r="AB2933">
        <v>44</v>
      </c>
      <c r="AC2933">
        <v>124.8223</v>
      </c>
      <c r="AD2933">
        <v>-1.04121537</v>
      </c>
      <c r="AE2933">
        <v>-3.1697000000000002</v>
      </c>
      <c r="AF2933">
        <v>4.9344002881598001</v>
      </c>
      <c r="AG2933">
        <v>-1.04121537</v>
      </c>
      <c r="AH2933">
        <v>124.756311409177</v>
      </c>
      <c r="AI2933">
        <v>90.477805531126805</v>
      </c>
      <c r="AJ2933">
        <v>87.735000192384305</v>
      </c>
      <c r="AK2933">
        <v>124.85819825735901</v>
      </c>
      <c r="AL2933">
        <v>76.910906608112995</v>
      </c>
      <c r="AM2933">
        <v>88.607398027018405</v>
      </c>
      <c r="AN2933">
        <v>0.99999999582139598</v>
      </c>
    </row>
    <row r="2934" spans="1:40" x14ac:dyDescent="0.25">
      <c r="A2934" t="str">
        <f>"20190303171035044"</f>
        <v>20190303171035044</v>
      </c>
      <c r="B2934" t="str">
        <f>"1551604235033178"</f>
        <v>1551604235033178</v>
      </c>
      <c r="C2934" t="s">
        <v>40</v>
      </c>
      <c r="D2934">
        <v>4.5416790000000002</v>
      </c>
      <c r="E2934">
        <v>0.5035558</v>
      </c>
      <c r="F2934" t="s">
        <v>41</v>
      </c>
      <c r="G2934">
        <v>-133.08420000000001</v>
      </c>
      <c r="H2934">
        <v>-0.05</v>
      </c>
      <c r="I2934">
        <v>213.17310000000001</v>
      </c>
      <c r="J2934">
        <v>-304.01870000000002</v>
      </c>
      <c r="K2934">
        <v>1.121194</v>
      </c>
      <c r="L2934">
        <v>214.45570000000001</v>
      </c>
      <c r="M2934">
        <v>0.99979260000000003</v>
      </c>
      <c r="N2934">
        <v>-1.4514569999999999E-2</v>
      </c>
      <c r="O2934">
        <v>1.4294629999999999E-2</v>
      </c>
      <c r="P2934">
        <v>0.97718039999999995</v>
      </c>
      <c r="Q2934">
        <v>0.2121826</v>
      </c>
      <c r="R2934">
        <v>-9.8738430000000002E-3</v>
      </c>
      <c r="S2934">
        <v>3.0744319999999998</v>
      </c>
      <c r="T2934">
        <v>-2.1013259999999999E-2</v>
      </c>
      <c r="U2934">
        <v>-2.2903440000000001E-2</v>
      </c>
      <c r="V2934">
        <v>2.37477E-2</v>
      </c>
      <c r="W2934">
        <v>0.2263503</v>
      </c>
      <c r="X2934">
        <v>0.97375639999999997</v>
      </c>
      <c r="Y2934">
        <v>2.174241E-2</v>
      </c>
      <c r="Z2934">
        <v>-1.2231239999999999E-4</v>
      </c>
      <c r="AA2934">
        <v>0.99976359999999997</v>
      </c>
      <c r="AB2934">
        <v>44</v>
      </c>
      <c r="AC2934">
        <v>170.93450000000001</v>
      </c>
      <c r="AD2934">
        <v>-1.1711940000000001</v>
      </c>
      <c r="AE2934">
        <v>-1.2826</v>
      </c>
      <c r="AF2934">
        <v>3.72599656198545</v>
      </c>
      <c r="AG2934">
        <v>-1.1711940000000001</v>
      </c>
      <c r="AH2934">
        <v>170.89067296088001</v>
      </c>
      <c r="AI2934">
        <v>90.392575425732701</v>
      </c>
      <c r="AJ2934">
        <v>88.750955483948204</v>
      </c>
      <c r="AK2934">
        <v>170.93530018924699</v>
      </c>
      <c r="AL2934">
        <v>76.917706221864805</v>
      </c>
      <c r="AM2934">
        <v>88.602963403454694</v>
      </c>
      <c r="AN2934">
        <v>0.99999996905316901</v>
      </c>
    </row>
    <row r="2935" spans="1:40" x14ac:dyDescent="0.25">
      <c r="A2935" t="str">
        <f>"20190303171035066"</f>
        <v>20190303171035066</v>
      </c>
      <c r="B2935" t="str">
        <f>"1551604235053674"</f>
        <v>1551604235053674</v>
      </c>
      <c r="C2935" t="s">
        <v>40</v>
      </c>
      <c r="D2935">
        <v>4.7133339999999997</v>
      </c>
      <c r="E2935">
        <v>0.50367910000000005</v>
      </c>
      <c r="F2935" t="s">
        <v>41</v>
      </c>
      <c r="G2935">
        <v>-136.24090000000001</v>
      </c>
      <c r="H2935">
        <v>-0.05</v>
      </c>
      <c r="I2935">
        <v>213.44319999999999</v>
      </c>
      <c r="J2935">
        <v>-303.59840000000003</v>
      </c>
      <c r="K2935">
        <v>1.121197</v>
      </c>
      <c r="L2935">
        <v>214.46190000000001</v>
      </c>
      <c r="M2935">
        <v>0.99979039999999997</v>
      </c>
      <c r="N2935">
        <v>-1.4511949999999999E-2</v>
      </c>
      <c r="O2935">
        <v>1.444728E-2</v>
      </c>
      <c r="P2935">
        <v>0.97705880000000001</v>
      </c>
      <c r="Q2935">
        <v>0.21274090000000001</v>
      </c>
      <c r="R2935">
        <v>-9.8866079999999999E-3</v>
      </c>
      <c r="S2935">
        <v>3.0745239999999998</v>
      </c>
      <c r="T2935">
        <v>-2.1462080000000001E-2</v>
      </c>
      <c r="U2935">
        <v>-1.8554689999999999E-2</v>
      </c>
      <c r="V2935">
        <v>2.3907609999999999E-2</v>
      </c>
      <c r="W2935">
        <v>0.2269043</v>
      </c>
      <c r="X2935">
        <v>0.97362360000000003</v>
      </c>
      <c r="Y2935">
        <v>2.048084E-2</v>
      </c>
      <c r="Z2935">
        <v>-1.112801E-4</v>
      </c>
      <c r="AA2935">
        <v>0.99979030000000002</v>
      </c>
      <c r="AB2935">
        <v>44</v>
      </c>
      <c r="AC2935">
        <v>167.35749999999999</v>
      </c>
      <c r="AD2935">
        <v>-1.171197</v>
      </c>
      <c r="AE2935">
        <v>-1.0187000000000199</v>
      </c>
      <c r="AF2935">
        <v>3.4365404627091101</v>
      </c>
      <c r="AG2935">
        <v>-1.171197</v>
      </c>
      <c r="AH2935">
        <v>167.31711670440899</v>
      </c>
      <c r="AI2935">
        <v>90.400971528916301</v>
      </c>
      <c r="AJ2935">
        <v>88.823362558825195</v>
      </c>
      <c r="AK2935">
        <v>167.35650287646899</v>
      </c>
      <c r="AL2935">
        <v>76.885117167035105</v>
      </c>
      <c r="AM2935">
        <v>88.593368179248898</v>
      </c>
      <c r="AN2935">
        <v>1.00000002482568</v>
      </c>
    </row>
    <row r="2936" spans="1:40" x14ac:dyDescent="0.25">
      <c r="A2936" t="str">
        <f>"20190303171035080"</f>
        <v>20190303171035080</v>
      </c>
      <c r="B2936" t="str">
        <f>"1551604235073700"</f>
        <v>1551604235073700</v>
      </c>
      <c r="C2936" t="s">
        <v>40</v>
      </c>
      <c r="D2936">
        <v>4.6009330000000004</v>
      </c>
      <c r="E2936">
        <v>0.50378270000000003</v>
      </c>
      <c r="F2936" t="s">
        <v>41</v>
      </c>
      <c r="G2936">
        <v>-125.6664</v>
      </c>
      <c r="H2936">
        <v>-0.05</v>
      </c>
      <c r="I2936">
        <v>213.30330000000001</v>
      </c>
      <c r="J2936">
        <v>-303.3245</v>
      </c>
      <c r="K2936">
        <v>1.1212009999999999</v>
      </c>
      <c r="L2936">
        <v>214.4659</v>
      </c>
      <c r="M2936">
        <v>0.99978889999999998</v>
      </c>
      <c r="N2936">
        <v>-1.4510240000000001E-2</v>
      </c>
      <c r="O2936">
        <v>1.454653E-2</v>
      </c>
      <c r="P2936">
        <v>0.97695509999999997</v>
      </c>
      <c r="Q2936">
        <v>0.21322630000000001</v>
      </c>
      <c r="R2936">
        <v>-9.6612980000000005E-3</v>
      </c>
      <c r="S2936">
        <v>3.074646</v>
      </c>
      <c r="T2936">
        <v>-2.0238160000000002E-2</v>
      </c>
      <c r="U2936">
        <v>-2.0019530000000001E-2</v>
      </c>
      <c r="V2936">
        <v>2.3777800000000002E-2</v>
      </c>
      <c r="W2936">
        <v>0.2273858</v>
      </c>
      <c r="X2936">
        <v>0.9735144</v>
      </c>
      <c r="Y2936">
        <v>2.1056180000000001E-2</v>
      </c>
      <c r="Z2936">
        <v>-1.0673470000000001E-4</v>
      </c>
      <c r="AA2936">
        <v>0.99977830000000001</v>
      </c>
      <c r="AB2936">
        <v>44</v>
      </c>
      <c r="AC2936">
        <v>177.65809999999999</v>
      </c>
      <c r="AD2936">
        <v>-1.1712009999999999</v>
      </c>
      <c r="AE2936">
        <v>-1.1625999999999901</v>
      </c>
      <c r="AF2936">
        <v>3.74689512187744</v>
      </c>
      <c r="AG2936">
        <v>-1.1712009999999999</v>
      </c>
      <c r="AH2936">
        <v>177.61466624853301</v>
      </c>
      <c r="AI2936">
        <v>90.377722048622999</v>
      </c>
      <c r="AJ2936">
        <v>88.791488093054497</v>
      </c>
      <c r="AK2936">
        <v>177.658044009874</v>
      </c>
      <c r="AL2936">
        <v>76.856788257974301</v>
      </c>
      <c r="AM2936">
        <v>88.600845792394693</v>
      </c>
      <c r="AN2936">
        <v>0.99999998641091903</v>
      </c>
    </row>
    <row r="2937" spans="1:40" x14ac:dyDescent="0.25">
      <c r="A2937" t="str">
        <f>"20190303171035101"</f>
        <v>20190303171035101</v>
      </c>
      <c r="B2937" t="str">
        <f>"1551604235093224"</f>
        <v>1551604235093224</v>
      </c>
      <c r="C2937" t="s">
        <v>40</v>
      </c>
      <c r="D2937">
        <v>4.6018939999999997</v>
      </c>
      <c r="E2937">
        <v>0.50373970000000001</v>
      </c>
      <c r="F2937" t="s">
        <v>41</v>
      </c>
      <c r="G2937">
        <v>-105.9511</v>
      </c>
      <c r="H2937">
        <v>-0.05</v>
      </c>
      <c r="I2937">
        <v>213.1797</v>
      </c>
      <c r="J2937">
        <v>-302.91370000000001</v>
      </c>
      <c r="K2937">
        <v>1.121205</v>
      </c>
      <c r="L2937">
        <v>214.47200000000001</v>
      </c>
      <c r="M2937">
        <v>0.99978670000000003</v>
      </c>
      <c r="N2937">
        <v>-1.450766E-2</v>
      </c>
      <c r="O2937">
        <v>1.4695669999999999E-2</v>
      </c>
      <c r="P2937">
        <v>0.97694630000000005</v>
      </c>
      <c r="Q2937">
        <v>0.2132539</v>
      </c>
      <c r="R2937">
        <v>-9.9404490000000005E-3</v>
      </c>
      <c r="S2937">
        <v>3.0745849999999999</v>
      </c>
      <c r="T2937">
        <v>-1.8244389999999999E-2</v>
      </c>
      <c r="U2937">
        <v>-2.003479E-2</v>
      </c>
      <c r="V2937">
        <v>2.420259E-2</v>
      </c>
      <c r="W2937">
        <v>0.22741140000000001</v>
      </c>
      <c r="X2937">
        <v>0.97349799999999997</v>
      </c>
      <c r="Y2937">
        <v>2.12105E-2</v>
      </c>
      <c r="Z2937" s="1">
        <v>-9.0786819999999903E-5</v>
      </c>
      <c r="AA2937">
        <v>0.99977510000000003</v>
      </c>
      <c r="AB2937">
        <v>44</v>
      </c>
      <c r="AC2937">
        <v>196.96260000000001</v>
      </c>
      <c r="AD2937">
        <v>-1.1712049999999901</v>
      </c>
      <c r="AE2937">
        <v>-1.29230000000001</v>
      </c>
      <c r="AF2937">
        <v>4.1868145829009</v>
      </c>
      <c r="AG2937">
        <v>-1.1712049999999901</v>
      </c>
      <c r="AH2937">
        <v>196.91537046378201</v>
      </c>
      <c r="AI2937">
        <v>90.340700421152803</v>
      </c>
      <c r="AJ2937">
        <v>88.7819606682433</v>
      </c>
      <c r="AK2937">
        <v>196.963357664293</v>
      </c>
      <c r="AL2937">
        <v>76.855282650186197</v>
      </c>
      <c r="AM2937">
        <v>88.575836147695696</v>
      </c>
      <c r="AN2937">
        <v>1.0000000331083301</v>
      </c>
    </row>
    <row r="2938" spans="1:40" x14ac:dyDescent="0.25">
      <c r="A2938" t="str">
        <f>"20190303171035122"</f>
        <v>20190303171035122</v>
      </c>
      <c r="B2938" t="str">
        <f>"1551604235113720"</f>
        <v>1551604235113720</v>
      </c>
      <c r="C2938" t="s">
        <v>40</v>
      </c>
      <c r="D2938">
        <v>4.513477</v>
      </c>
      <c r="E2938">
        <v>0.50399159999999998</v>
      </c>
      <c r="F2938" t="s">
        <v>41</v>
      </c>
      <c r="G2938">
        <v>-118.8254</v>
      </c>
      <c r="H2938">
        <v>-0.05</v>
      </c>
      <c r="I2938">
        <v>213.23589999999999</v>
      </c>
      <c r="J2938">
        <v>-302.49669999999998</v>
      </c>
      <c r="K2938">
        <v>1.121211</v>
      </c>
      <c r="L2938">
        <v>214.47819999999999</v>
      </c>
      <c r="M2938">
        <v>0.99978460000000002</v>
      </c>
      <c r="N2938">
        <v>-1.450504E-2</v>
      </c>
      <c r="O2938">
        <v>1.484677E-2</v>
      </c>
      <c r="P2938">
        <v>0.97693640000000004</v>
      </c>
      <c r="Q2938">
        <v>0.2132888</v>
      </c>
      <c r="R2938">
        <v>-1.015896E-2</v>
      </c>
      <c r="S2938">
        <v>3.0748600000000001</v>
      </c>
      <c r="T2938">
        <v>-1.9562840000000001E-2</v>
      </c>
      <c r="U2938">
        <v>-2.0645139999999999E-2</v>
      </c>
      <c r="V2938">
        <v>2.4568739999999999E-2</v>
      </c>
      <c r="W2938">
        <v>0.22744339999999999</v>
      </c>
      <c r="X2938">
        <v>0.97348129999999999</v>
      </c>
      <c r="Y2938">
        <v>2.155936E-2</v>
      </c>
      <c r="Z2938">
        <v>-1.040423E-4</v>
      </c>
      <c r="AA2938">
        <v>0.99976750000000003</v>
      </c>
      <c r="AB2938">
        <v>44</v>
      </c>
      <c r="AC2938">
        <v>183.6713</v>
      </c>
      <c r="AD2938">
        <v>-1.171211</v>
      </c>
      <c r="AE2938">
        <v>-1.2423</v>
      </c>
      <c r="AF2938">
        <v>3.96921402228315</v>
      </c>
      <c r="AG2938">
        <v>-1.171211</v>
      </c>
      <c r="AH2938">
        <v>183.62513931901401</v>
      </c>
      <c r="AI2938">
        <v>90.365357740619203</v>
      </c>
      <c r="AJ2938">
        <v>88.761695691232703</v>
      </c>
      <c r="AK2938">
        <v>183.671767523179</v>
      </c>
      <c r="AL2938">
        <v>76.853399166834393</v>
      </c>
      <c r="AM2938">
        <v>88.554274904369194</v>
      </c>
      <c r="AN2938">
        <v>0.99999998231921805</v>
      </c>
    </row>
    <row r="2939" spans="1:40" x14ac:dyDescent="0.25">
      <c r="A2939" t="str">
        <f>"20190303171035145"</f>
        <v>20190303171035145</v>
      </c>
      <c r="B2939" t="str">
        <f>"1551604235133237"</f>
        <v>1551604235133237</v>
      </c>
      <c r="C2939" t="s">
        <v>40</v>
      </c>
      <c r="D2939">
        <v>4.5985559999999897</v>
      </c>
      <c r="E2939">
        <v>0.50403399999999998</v>
      </c>
      <c r="F2939" t="s">
        <v>41</v>
      </c>
      <c r="G2939">
        <v>-113.57850000000001</v>
      </c>
      <c r="H2939">
        <v>-0.05</v>
      </c>
      <c r="I2939">
        <v>213.0438</v>
      </c>
      <c r="J2939">
        <v>-302.04829999999998</v>
      </c>
      <c r="K2939">
        <v>1.1212070000000001</v>
      </c>
      <c r="L2939">
        <v>214.48500000000001</v>
      </c>
      <c r="M2939">
        <v>0.99978219999999995</v>
      </c>
      <c r="N2939">
        <v>-1.450222E-2</v>
      </c>
      <c r="O2939">
        <v>1.5007400000000001E-2</v>
      </c>
      <c r="P2939">
        <v>0.97697400000000001</v>
      </c>
      <c r="Q2939">
        <v>0.21310460000000001</v>
      </c>
      <c r="R2939">
        <v>-1.041506E-2</v>
      </c>
      <c r="S2939">
        <v>3.074738</v>
      </c>
      <c r="T2939">
        <v>-1.9062039999999999E-2</v>
      </c>
      <c r="U2939">
        <v>-2.3345950000000001E-2</v>
      </c>
      <c r="V2939">
        <v>2.4982939999999999E-2</v>
      </c>
      <c r="W2939">
        <v>0.22725719999999999</v>
      </c>
      <c r="X2939">
        <v>0.97351430000000005</v>
      </c>
      <c r="Y2939">
        <v>2.259833E-2</v>
      </c>
      <c r="Z2939">
        <v>-1.0930860000000001E-4</v>
      </c>
      <c r="AA2939">
        <v>0.99974459999999998</v>
      </c>
      <c r="AB2939">
        <v>44</v>
      </c>
      <c r="AC2939">
        <v>188.46979999999999</v>
      </c>
      <c r="AD2939">
        <v>-1.1712069999999899</v>
      </c>
      <c r="AE2939">
        <v>-1.4412</v>
      </c>
      <c r="AF2939">
        <v>4.2696119669837396</v>
      </c>
      <c r="AG2939">
        <v>-1.1712069999999899</v>
      </c>
      <c r="AH2939">
        <v>188.419663757151</v>
      </c>
      <c r="AI2939">
        <v>90.356051651500394</v>
      </c>
      <c r="AJ2939">
        <v>88.701892982897505</v>
      </c>
      <c r="AK2939">
        <v>188.47167161815901</v>
      </c>
      <c r="AL2939">
        <v>76.864355263580507</v>
      </c>
      <c r="AM2939">
        <v>88.529962101064896</v>
      </c>
      <c r="AN2939">
        <v>1.0000000372736799</v>
      </c>
    </row>
    <row r="2940" spans="1:40" x14ac:dyDescent="0.25">
      <c r="A2940" t="str">
        <f>"20190303171035168"</f>
        <v>20190303171035168</v>
      </c>
      <c r="B2940" t="str">
        <f>"1551604235163492"</f>
        <v>1551604235163492</v>
      </c>
      <c r="C2940" t="s">
        <v>40</v>
      </c>
      <c r="D2940">
        <v>4.4664489999999999</v>
      </c>
      <c r="E2940">
        <v>0.50432520000000003</v>
      </c>
      <c r="F2940" t="s">
        <v>41</v>
      </c>
      <c r="G2940">
        <v>-128.2098</v>
      </c>
      <c r="H2940">
        <v>-0.05</v>
      </c>
      <c r="I2940">
        <v>213.0789</v>
      </c>
      <c r="J2940">
        <v>-301.60750000000002</v>
      </c>
      <c r="K2940">
        <v>1.1212040000000001</v>
      </c>
      <c r="L2940">
        <v>214.49180000000001</v>
      </c>
      <c r="M2940">
        <v>0.99978009999999995</v>
      </c>
      <c r="N2940">
        <v>-1.449949E-2</v>
      </c>
      <c r="O2940">
        <v>1.51567E-2</v>
      </c>
      <c r="P2940">
        <v>0.97697679999999998</v>
      </c>
      <c r="Q2940">
        <v>0.2130872</v>
      </c>
      <c r="R2940">
        <v>-1.0509549999999999E-2</v>
      </c>
      <c r="S2940">
        <v>3.0749819999999999</v>
      </c>
      <c r="T2940">
        <v>-2.0717139999999998E-2</v>
      </c>
      <c r="U2940">
        <v>-2.4871830000000001E-2</v>
      </c>
      <c r="V2940">
        <v>2.5226060000000002E-2</v>
      </c>
      <c r="W2940">
        <v>0.22723679999999999</v>
      </c>
      <c r="X2940">
        <v>0.97351279999999996</v>
      </c>
      <c r="Y2940">
        <v>2.3242929999999998E-2</v>
      </c>
      <c r="Z2940">
        <v>-1.291516E-4</v>
      </c>
      <c r="AA2940">
        <v>0.9997298</v>
      </c>
      <c r="AB2940">
        <v>44</v>
      </c>
      <c r="AC2940">
        <v>173.39769999999999</v>
      </c>
      <c r="AD2940">
        <v>-1.1712039999999999</v>
      </c>
      <c r="AE2940">
        <v>-1.4129</v>
      </c>
      <c r="AF2940">
        <v>4.0409662722270099</v>
      </c>
      <c r="AG2940">
        <v>-1.1712039999999999</v>
      </c>
      <c r="AH2940">
        <v>173.34845252665801</v>
      </c>
      <c r="AI2940">
        <v>90.386999707711098</v>
      </c>
      <c r="AJ2940">
        <v>88.664606554369499</v>
      </c>
      <c r="AK2940">
        <v>173.39950150046499</v>
      </c>
      <c r="AL2940">
        <v>76.8655555965682</v>
      </c>
      <c r="AM2940">
        <v>88.515660597434405</v>
      </c>
      <c r="AN2940">
        <v>1.0000000445706001</v>
      </c>
    </row>
    <row r="2941" spans="1:40" x14ac:dyDescent="0.25">
      <c r="A2941" t="str">
        <f>"20190303171035190"</f>
        <v>20190303171035190</v>
      </c>
      <c r="B2941" t="str">
        <f>"1551604235183988"</f>
        <v>1551604235183988</v>
      </c>
      <c r="C2941" t="s">
        <v>40</v>
      </c>
      <c r="D2941">
        <v>4.6026049999999996</v>
      </c>
      <c r="E2941">
        <v>0.50428399999999995</v>
      </c>
      <c r="F2941" t="s">
        <v>41</v>
      </c>
      <c r="G2941">
        <v>-127.6606</v>
      </c>
      <c r="H2941">
        <v>-0.05</v>
      </c>
      <c r="I2941">
        <v>212.92339999999999</v>
      </c>
      <c r="J2941">
        <v>-301.17059999999998</v>
      </c>
      <c r="K2941">
        <v>1.121197</v>
      </c>
      <c r="L2941">
        <v>214.49850000000001</v>
      </c>
      <c r="M2941">
        <v>0.99977800000000006</v>
      </c>
      <c r="N2941">
        <v>-1.4496759999999999E-2</v>
      </c>
      <c r="O2941">
        <v>1.528856E-2</v>
      </c>
      <c r="P2941">
        <v>0.97694619999999999</v>
      </c>
      <c r="Q2941">
        <v>0.21324100000000001</v>
      </c>
      <c r="R2941">
        <v>-1.0222200000000001E-2</v>
      </c>
      <c r="S2941">
        <v>3.0749209999999998</v>
      </c>
      <c r="T2941">
        <v>-2.070379E-2</v>
      </c>
      <c r="U2941">
        <v>-2.7725219999999998E-2</v>
      </c>
      <c r="V2941">
        <v>2.507239E-2</v>
      </c>
      <c r="W2941">
        <v>0.22738720000000001</v>
      </c>
      <c r="X2941">
        <v>0.97348159999999895</v>
      </c>
      <c r="Y2941">
        <v>2.4302500000000001E-2</v>
      </c>
      <c r="Z2941">
        <v>-1.3927379999999901E-4</v>
      </c>
      <c r="AA2941">
        <v>0.9997047</v>
      </c>
      <c r="AB2941">
        <v>44</v>
      </c>
      <c r="AC2941">
        <v>173.51</v>
      </c>
      <c r="AD2941">
        <v>-1.171197</v>
      </c>
      <c r="AE2941">
        <v>-1.5751000000000199</v>
      </c>
      <c r="AF2941">
        <v>4.2277201617923597</v>
      </c>
      <c r="AG2941">
        <v>-1.171197</v>
      </c>
      <c r="AH2941">
        <v>173.457730311701</v>
      </c>
      <c r="AI2941">
        <v>90.386743808650394</v>
      </c>
      <c r="AJ2941">
        <v>88.603794867086805</v>
      </c>
      <c r="AK2941">
        <v>173.51319697667401</v>
      </c>
      <c r="AL2941">
        <v>76.856705994357498</v>
      </c>
      <c r="AM2941">
        <v>88.524651501164897</v>
      </c>
      <c r="AN2941">
        <v>0.99999999450135502</v>
      </c>
    </row>
    <row r="2942" spans="1:40" x14ac:dyDescent="0.25">
      <c r="A2942" t="str">
        <f>"20190303171035212"</f>
        <v>20190303171035212</v>
      </c>
      <c r="B2942" t="str">
        <f>"1551604235203512"</f>
        <v>1551604235203512</v>
      </c>
      <c r="C2942" t="s">
        <v>40</v>
      </c>
      <c r="D2942">
        <v>4.5009670000000002</v>
      </c>
      <c r="E2942">
        <v>0.50428430000000002</v>
      </c>
      <c r="F2942" t="s">
        <v>41</v>
      </c>
      <c r="G2942">
        <v>-125.1319</v>
      </c>
      <c r="H2942">
        <v>-0.05</v>
      </c>
      <c r="I2942">
        <v>212.9785</v>
      </c>
      <c r="J2942">
        <v>-300.73610000000002</v>
      </c>
      <c r="K2942">
        <v>1.1211850000000001</v>
      </c>
      <c r="L2942">
        <v>214.50530000000001</v>
      </c>
      <c r="M2942">
        <v>0.99977649999999996</v>
      </c>
      <c r="N2942">
        <v>-1.449401E-2</v>
      </c>
      <c r="O2942">
        <v>1.539515E-2</v>
      </c>
      <c r="P2942">
        <v>0.97692489999999998</v>
      </c>
      <c r="Q2942">
        <v>0.2133256</v>
      </c>
      <c r="R2942">
        <v>-1.049221E-2</v>
      </c>
      <c r="S2942">
        <v>3.075043</v>
      </c>
      <c r="T2942">
        <v>-2.0458460000000001E-2</v>
      </c>
      <c r="U2942">
        <v>-2.6550290000000001E-2</v>
      </c>
      <c r="V2942">
        <v>2.545594E-2</v>
      </c>
      <c r="W2942">
        <v>0.22746759999999999</v>
      </c>
      <c r="X2942">
        <v>0.97345289999999995</v>
      </c>
      <c r="Y2942">
        <v>2.4026800000000001E-2</v>
      </c>
      <c r="Z2942">
        <v>-1.3333419999999999E-4</v>
      </c>
      <c r="AA2942">
        <v>0.99971129999999997</v>
      </c>
      <c r="AB2942">
        <v>44</v>
      </c>
      <c r="AC2942">
        <v>175.60419999999999</v>
      </c>
      <c r="AD2942">
        <v>-1.1711849999999999</v>
      </c>
      <c r="AE2942">
        <v>-1.5267999999999999</v>
      </c>
      <c r="AF2942">
        <v>4.23016769157885</v>
      </c>
      <c r="AG2942">
        <v>-1.1711849999999999</v>
      </c>
      <c r="AH2942">
        <v>175.552068320459</v>
      </c>
      <c r="AI2942">
        <v>90.382128735543205</v>
      </c>
      <c r="AJ2942">
        <v>88.619646784226305</v>
      </c>
      <c r="AK2942">
        <v>175.60693233638</v>
      </c>
      <c r="AL2942">
        <v>76.851975941420903</v>
      </c>
      <c r="AM2942">
        <v>88.502048119372802</v>
      </c>
      <c r="AN2942">
        <v>1.0000000312247199</v>
      </c>
    </row>
    <row r="2943" spans="1:40" x14ac:dyDescent="0.25">
      <c r="A2943" t="str">
        <f>"20190303171035226"</f>
        <v>20190303171035226</v>
      </c>
      <c r="B2943" t="str">
        <f>"1551604235224005"</f>
        <v>1551604235224005</v>
      </c>
      <c r="C2943" t="s">
        <v>40</v>
      </c>
      <c r="D2943">
        <v>4.4798280000000004</v>
      </c>
      <c r="E2943">
        <v>0.50423629999999997</v>
      </c>
      <c r="F2943" t="s">
        <v>41</v>
      </c>
      <c r="G2943">
        <v>-122.58320000000001</v>
      </c>
      <c r="H2943">
        <v>-0.05</v>
      </c>
      <c r="I2943">
        <v>212.89449999999999</v>
      </c>
      <c r="J2943">
        <v>-300.46730000000002</v>
      </c>
      <c r="K2943">
        <v>1.1211719999999901</v>
      </c>
      <c r="L2943">
        <v>214.5095</v>
      </c>
      <c r="M2943">
        <v>0.99977579999999999</v>
      </c>
      <c r="N2943">
        <v>-1.449232E-2</v>
      </c>
      <c r="O2943">
        <v>1.5446110000000001E-2</v>
      </c>
      <c r="P2943">
        <v>0.97695980000000004</v>
      </c>
      <c r="Q2943">
        <v>0.21317349999999999</v>
      </c>
      <c r="R2943">
        <v>-1.035138E-2</v>
      </c>
      <c r="S2943">
        <v>3.0750120000000001</v>
      </c>
      <c r="T2943">
        <v>-2.021527E-2</v>
      </c>
      <c r="U2943">
        <v>-2.7801510000000001E-2</v>
      </c>
      <c r="V2943">
        <v>2.5373119999999999E-2</v>
      </c>
      <c r="W2943">
        <v>0.2273134</v>
      </c>
      <c r="X2943">
        <v>0.97349110000000005</v>
      </c>
      <c r="Y2943">
        <v>2.4484579999999999E-2</v>
      </c>
      <c r="Z2943">
        <v>-1.3559330000000001E-4</v>
      </c>
      <c r="AA2943">
        <v>0.99970020000000004</v>
      </c>
      <c r="AB2943">
        <v>44</v>
      </c>
      <c r="AC2943">
        <v>177.88409999999999</v>
      </c>
      <c r="AD2943">
        <v>-1.1711720000000001</v>
      </c>
      <c r="AE2943">
        <v>-1.615</v>
      </c>
      <c r="AF2943">
        <v>4.3625238041240397</v>
      </c>
      <c r="AG2943">
        <v>-1.1711720000000001</v>
      </c>
      <c r="AH2943">
        <v>177.830218282803</v>
      </c>
      <c r="AI2943">
        <v>90.377225317677897</v>
      </c>
      <c r="AJ2943">
        <v>88.594704093160104</v>
      </c>
      <c r="AK2943">
        <v>177.887576273062</v>
      </c>
      <c r="AL2943">
        <v>76.861048864582401</v>
      </c>
      <c r="AM2943">
        <v>88.506978005446797</v>
      </c>
      <c r="AN2943">
        <v>1.0000000494086501</v>
      </c>
    </row>
    <row r="2944" spans="1:40" x14ac:dyDescent="0.25">
      <c r="A2944" t="str">
        <f>"20190303171035244"</f>
        <v>20190303171035244</v>
      </c>
      <c r="B2944" t="str">
        <f>"1551604235233765"</f>
        <v>1551604235233765</v>
      </c>
      <c r="C2944" t="s">
        <v>40</v>
      </c>
      <c r="D2944">
        <v>4.6527370000000001</v>
      </c>
      <c r="E2944">
        <v>0.50420100000000001</v>
      </c>
      <c r="F2944" t="s">
        <v>41</v>
      </c>
      <c r="G2944">
        <v>-130.19890000000001</v>
      </c>
      <c r="H2944">
        <v>-0.05</v>
      </c>
      <c r="I2944">
        <v>213.01320000000001</v>
      </c>
      <c r="J2944">
        <v>-300.1191</v>
      </c>
      <c r="K2944">
        <v>1.121149</v>
      </c>
      <c r="L2944">
        <v>214.51490000000001</v>
      </c>
      <c r="M2944">
        <v>0.99977490000000002</v>
      </c>
      <c r="N2944">
        <v>-1.449019E-2</v>
      </c>
      <c r="O2944">
        <v>1.5499310000000001E-2</v>
      </c>
      <c r="P2944">
        <v>0.97698750000000001</v>
      </c>
      <c r="Q2944">
        <v>0.2130542</v>
      </c>
      <c r="R2944">
        <v>-1.0170739999999999E-2</v>
      </c>
      <c r="S2944">
        <v>3.0750730000000002</v>
      </c>
      <c r="T2944">
        <v>-2.115154E-2</v>
      </c>
      <c r="U2944">
        <v>-2.702332E-2</v>
      </c>
      <c r="V2944">
        <v>2.525589E-2</v>
      </c>
      <c r="W2944">
        <v>0.2271908</v>
      </c>
      <c r="X2944">
        <v>0.97352269999999996</v>
      </c>
      <c r="Y2944">
        <v>2.428458E-2</v>
      </c>
      <c r="Z2944">
        <v>-1.414841E-4</v>
      </c>
      <c r="AA2944">
        <v>0.99970510000000001</v>
      </c>
      <c r="AB2944">
        <v>44</v>
      </c>
      <c r="AC2944">
        <v>169.92019999999999</v>
      </c>
      <c r="AD2944">
        <v>-1.171149</v>
      </c>
      <c r="AE2944">
        <v>-1.50169999999999</v>
      </c>
      <c r="AF2944">
        <v>4.1352454754288299</v>
      </c>
      <c r="AG2944">
        <v>-1.171149</v>
      </c>
      <c r="AH2944">
        <v>169.86843800797601</v>
      </c>
      <c r="AI2944">
        <v>90.394899483846302</v>
      </c>
      <c r="AJ2944">
        <v>88.6054776935663</v>
      </c>
      <c r="AK2944">
        <v>169.92280034295499</v>
      </c>
      <c r="AL2944">
        <v>76.868261171938201</v>
      </c>
      <c r="AM2944">
        <v>88.513921247594695</v>
      </c>
      <c r="AN2944">
        <v>0.99999998349981001</v>
      </c>
    </row>
    <row r="2945" spans="1:40" x14ac:dyDescent="0.25">
      <c r="A2945" t="str">
        <f>"20190303171035260"</f>
        <v>20190303171035260</v>
      </c>
      <c r="B2945" t="str">
        <f>"1551604235253285"</f>
        <v>1551604235253285</v>
      </c>
      <c r="C2945" t="s">
        <v>40</v>
      </c>
      <c r="D2945">
        <v>4.6180599999999998</v>
      </c>
      <c r="E2945">
        <v>0.50644429999999996</v>
      </c>
      <c r="F2945" t="s">
        <v>41</v>
      </c>
      <c r="G2945">
        <v>-133.76949999999999</v>
      </c>
      <c r="H2945">
        <v>-0.05</v>
      </c>
      <c r="I2945">
        <v>213.06209999999999</v>
      </c>
      <c r="J2945">
        <v>-299.82389999999998</v>
      </c>
      <c r="K2945">
        <v>1.121135</v>
      </c>
      <c r="L2945">
        <v>214.51949999999999</v>
      </c>
      <c r="M2945">
        <v>0.99977450000000001</v>
      </c>
      <c r="N2945">
        <v>-1.448845E-2</v>
      </c>
      <c r="O2945">
        <v>1.5533679999999999E-2</v>
      </c>
      <c r="P2945">
        <v>0.9770297</v>
      </c>
      <c r="Q2945">
        <v>0.21286369999999999</v>
      </c>
      <c r="R2945">
        <v>-1.0115290000000001E-2</v>
      </c>
      <c r="S2945">
        <v>3.0751040000000001</v>
      </c>
      <c r="T2945">
        <v>-2.1649600000000001E-2</v>
      </c>
      <c r="U2945">
        <v>-2.6855469999999999E-2</v>
      </c>
      <c r="V2945">
        <v>2.5243600000000001E-2</v>
      </c>
      <c r="W2945">
        <v>0.22699859999999999</v>
      </c>
      <c r="X2945">
        <v>0.97356790000000004</v>
      </c>
      <c r="Y2945">
        <v>2.4264250000000001E-2</v>
      </c>
      <c r="Z2945">
        <v>-1.454901E-4</v>
      </c>
      <c r="AA2945">
        <v>0.99970559999999997</v>
      </c>
      <c r="AB2945">
        <v>43</v>
      </c>
      <c r="AC2945">
        <v>166.05439999999999</v>
      </c>
      <c r="AD2945">
        <v>-1.171135</v>
      </c>
      <c r="AE2945">
        <v>-1.4574</v>
      </c>
      <c r="AF2945">
        <v>4.0367296949804503</v>
      </c>
      <c r="AG2945">
        <v>-1.171135</v>
      </c>
      <c r="AH2945">
        <v>166.00346284867399</v>
      </c>
      <c r="AI2945">
        <v>90.404088860214202</v>
      </c>
      <c r="AJ2945">
        <v>88.607004949328498</v>
      </c>
      <c r="AK2945">
        <v>166.05666629668801</v>
      </c>
      <c r="AL2945">
        <v>76.879569479250605</v>
      </c>
      <c r="AM2945">
        <v>88.514713007923902</v>
      </c>
      <c r="AN2945">
        <v>1.00000002982666</v>
      </c>
    </row>
    <row r="2946" spans="1:40" x14ac:dyDescent="0.25">
      <c r="A2946" t="str">
        <f>"20190303171035279"</f>
        <v>20190303171035279</v>
      </c>
      <c r="B2946" t="str">
        <f>"1551604235273781"</f>
        <v>1551604235273781</v>
      </c>
      <c r="C2946" t="s">
        <v>40</v>
      </c>
      <c r="D2946">
        <v>4.6485699999999897</v>
      </c>
      <c r="E2946">
        <v>0.50242019999999998</v>
      </c>
      <c r="F2946" t="s">
        <v>77</v>
      </c>
      <c r="G2946">
        <v>-107.39749999999999</v>
      </c>
      <c r="H2946">
        <v>26.798249999999999</v>
      </c>
      <c r="I2946">
        <v>210.1217</v>
      </c>
      <c r="J2946">
        <v>-299.4522</v>
      </c>
      <c r="K2946">
        <v>1.121119</v>
      </c>
      <c r="L2946">
        <v>214.52529999999999</v>
      </c>
      <c r="M2946">
        <v>0.99977400000000005</v>
      </c>
      <c r="N2946">
        <v>-1.4486300000000001E-2</v>
      </c>
      <c r="O2946">
        <v>1.556401E-2</v>
      </c>
      <c r="P2946">
        <v>0.97700520000000002</v>
      </c>
      <c r="Q2946">
        <v>0.212974</v>
      </c>
      <c r="R2946">
        <v>-1.016393E-2</v>
      </c>
      <c r="S2946">
        <v>2.9830930000000002</v>
      </c>
      <c r="T2946">
        <v>0.39806059999999999</v>
      </c>
      <c r="U2946">
        <v>-6.8176269999999997E-2</v>
      </c>
      <c r="V2946">
        <v>2.5331380000000001E-2</v>
      </c>
      <c r="W2946">
        <v>0.22710540000000001</v>
      </c>
      <c r="X2946">
        <v>0.97354070000000004</v>
      </c>
      <c r="Y2946">
        <v>3.7938300000000001E-2</v>
      </c>
      <c r="Z2946">
        <v>4.5355909999999899E-3</v>
      </c>
      <c r="AA2946">
        <v>0.99926979999999999</v>
      </c>
      <c r="AB2946">
        <v>43</v>
      </c>
      <c r="AC2946">
        <v>192.0547</v>
      </c>
      <c r="AD2946">
        <v>25.677130999999999</v>
      </c>
      <c r="AE2946">
        <v>-4.4035999999999804</v>
      </c>
      <c r="AF2946">
        <v>7.2627683520664901</v>
      </c>
      <c r="AG2946">
        <v>25.677130999999999</v>
      </c>
      <c r="AH2946">
        <v>188.59357140437001</v>
      </c>
      <c r="AI2946">
        <v>82.252489607742305</v>
      </c>
      <c r="AJ2946">
        <v>87.794620227586194</v>
      </c>
      <c r="AK2946">
        <v>190.47204003627999</v>
      </c>
      <c r="AL2946">
        <v>76.873286029666602</v>
      </c>
      <c r="AM2946">
        <v>88.509508896554806</v>
      </c>
      <c r="AN2946">
        <v>1.0000000180391699</v>
      </c>
    </row>
    <row r="2947" spans="1:40" x14ac:dyDescent="0.25">
      <c r="A2947" t="str">
        <f>"20190303171035294"</f>
        <v>20190303171035294</v>
      </c>
      <c r="B2947" t="str">
        <f>"1551604235283541"</f>
        <v>1551604235283541</v>
      </c>
      <c r="C2947" t="s">
        <v>40</v>
      </c>
      <c r="D2947">
        <v>4.5087210000000004</v>
      </c>
      <c r="E2947">
        <v>0.50262320000000005</v>
      </c>
      <c r="F2947" t="s">
        <v>41</v>
      </c>
      <c r="G2947">
        <v>-157.51310000000001</v>
      </c>
      <c r="H2947">
        <v>-0.05</v>
      </c>
      <c r="I2947">
        <v>213.95920000000001</v>
      </c>
      <c r="J2947">
        <v>-299.1497</v>
      </c>
      <c r="K2947">
        <v>1.1211070000000001</v>
      </c>
      <c r="L2947">
        <v>214.53</v>
      </c>
      <c r="M2947">
        <v>0.99977389999999999</v>
      </c>
      <c r="N2947">
        <v>-1.44846E-2</v>
      </c>
      <c r="O2947">
        <v>1.558001E-2</v>
      </c>
      <c r="P2947">
        <v>0.97698309999999999</v>
      </c>
      <c r="Q2947">
        <v>0.2130843</v>
      </c>
      <c r="R2947">
        <v>-9.9793750000000004E-3</v>
      </c>
      <c r="S2947">
        <v>3.0760190000000001</v>
      </c>
      <c r="T2947">
        <v>-2.5379780000000001E-2</v>
      </c>
      <c r="U2947">
        <v>-1.2268070000000001E-2</v>
      </c>
      <c r="V2947">
        <v>2.5169110000000001E-2</v>
      </c>
      <c r="W2947">
        <v>0.22721269999999999</v>
      </c>
      <c r="X2947">
        <v>0.97351989999999999</v>
      </c>
      <c r="Y2947">
        <v>1.9567169999999998E-2</v>
      </c>
      <c r="Z2947">
        <v>-1.253007E-4</v>
      </c>
      <c r="AA2947">
        <v>0.99980849999999999</v>
      </c>
      <c r="AB2947">
        <v>43</v>
      </c>
      <c r="AC2947">
        <v>141.63659999999999</v>
      </c>
      <c r="AD2947">
        <v>-1.1711069999999999</v>
      </c>
      <c r="AE2947">
        <v>-0.57079999999999098</v>
      </c>
      <c r="AF2947">
        <v>2.7774715573549398</v>
      </c>
      <c r="AG2947">
        <v>-1.1711069999999999</v>
      </c>
      <c r="AH2947">
        <v>141.600830583716</v>
      </c>
      <c r="AI2947">
        <v>90.473761735897696</v>
      </c>
      <c r="AJ2947">
        <v>88.876299007899405</v>
      </c>
      <c r="AK2947">
        <v>141.63290952972599</v>
      </c>
      <c r="AL2947">
        <v>76.866973525514098</v>
      </c>
      <c r="AM2947">
        <v>88.519020923431896</v>
      </c>
      <c r="AN2947">
        <v>1.00000004541774</v>
      </c>
    </row>
    <row r="2948" spans="1:40" x14ac:dyDescent="0.25">
      <c r="A2948" t="str">
        <f>"20190303171035312"</f>
        <v>20190303171035312</v>
      </c>
      <c r="B2948" t="str">
        <f>"1551604235304036"</f>
        <v>1551604235304036</v>
      </c>
      <c r="C2948" t="s">
        <v>40</v>
      </c>
      <c r="D2948">
        <v>4.7212370000000004</v>
      </c>
      <c r="E2948">
        <v>0.50309870000000001</v>
      </c>
      <c r="F2948" t="s">
        <v>52</v>
      </c>
      <c r="G2948">
        <v>-179.14879999999999</v>
      </c>
      <c r="H2948">
        <v>7.9981910000000003E-2</v>
      </c>
      <c r="I2948">
        <v>214.01509999999999</v>
      </c>
      <c r="J2948">
        <v>-298.79050000000001</v>
      </c>
      <c r="K2948">
        <v>1.1210960000000001</v>
      </c>
      <c r="L2948">
        <v>214.53559999999999</v>
      </c>
      <c r="M2948">
        <v>0.99977369999999999</v>
      </c>
      <c r="N2948">
        <v>-1.448262E-2</v>
      </c>
      <c r="O2948">
        <v>1.5585450000000001E-2</v>
      </c>
      <c r="P2948">
        <v>0.97701839999999995</v>
      </c>
      <c r="Q2948">
        <v>0.21293019999999999</v>
      </c>
      <c r="R2948">
        <v>-9.8071600000000005E-3</v>
      </c>
      <c r="S2948">
        <v>3.0763240000000001</v>
      </c>
      <c r="T2948">
        <v>-2.6690129999999999E-2</v>
      </c>
      <c r="U2948">
        <v>-1.319885E-2</v>
      </c>
      <c r="V2948">
        <v>2.5010560000000001E-2</v>
      </c>
      <c r="W2948">
        <v>0.2270566</v>
      </c>
      <c r="X2948">
        <v>0.97356030000000005</v>
      </c>
      <c r="Y2948">
        <v>1.9874579999999999E-2</v>
      </c>
      <c r="Z2948">
        <v>-1.3962330000000001E-4</v>
      </c>
      <c r="AA2948">
        <v>0.99980250000000004</v>
      </c>
      <c r="AB2948">
        <v>43</v>
      </c>
      <c r="AC2948">
        <v>119.6417</v>
      </c>
      <c r="AD2948">
        <v>-1.04111408999999</v>
      </c>
      <c r="AE2948">
        <v>-0.52049999999999796</v>
      </c>
      <c r="AF2948">
        <v>2.3851213809393501</v>
      </c>
      <c r="AG2948">
        <v>-1.04111408999999</v>
      </c>
      <c r="AH2948">
        <v>119.60999500144899</v>
      </c>
      <c r="AI2948">
        <v>90.498604498622797</v>
      </c>
      <c r="AJ2948">
        <v>88.857626574100706</v>
      </c>
      <c r="AK2948">
        <v>119.63830334302099</v>
      </c>
      <c r="AL2948">
        <v>76.876156060932303</v>
      </c>
      <c r="AM2948">
        <v>88.528407112847106</v>
      </c>
      <c r="AN2948">
        <v>0.99999994272558002</v>
      </c>
    </row>
    <row r="2949" spans="1:40" x14ac:dyDescent="0.25">
      <c r="A2949" t="str">
        <f>"20190303171035329"</f>
        <v>20190303171035329</v>
      </c>
      <c r="B2949" t="str">
        <f>"1551604235323557"</f>
        <v>1551604235323557</v>
      </c>
      <c r="C2949" t="s">
        <v>40</v>
      </c>
      <c r="D2949">
        <v>4.6614550000000001</v>
      </c>
      <c r="E2949">
        <v>0.50334699999999999</v>
      </c>
      <c r="F2949" t="s">
        <v>41</v>
      </c>
      <c r="G2949">
        <v>-155.1386</v>
      </c>
      <c r="H2949">
        <v>-0.05</v>
      </c>
      <c r="I2949">
        <v>213.76740000000001</v>
      </c>
      <c r="J2949">
        <v>-298.49079999999998</v>
      </c>
      <c r="K2949">
        <v>1.1210850000000001</v>
      </c>
      <c r="L2949">
        <v>214.5403</v>
      </c>
      <c r="M2949">
        <v>0.99977389999999999</v>
      </c>
      <c r="N2949">
        <v>-1.4481040000000001E-2</v>
      </c>
      <c r="O2949">
        <v>1.557335E-2</v>
      </c>
      <c r="P2949">
        <v>0.97709449999999998</v>
      </c>
      <c r="Q2949">
        <v>0.21258630000000001</v>
      </c>
      <c r="R2949">
        <v>-9.6738899999999992E-3</v>
      </c>
      <c r="S2949">
        <v>3.0758670000000001</v>
      </c>
      <c r="T2949">
        <v>-2.5075440000000001E-2</v>
      </c>
      <c r="U2949">
        <v>-1.644897E-2</v>
      </c>
      <c r="V2949">
        <v>2.487466E-2</v>
      </c>
      <c r="W2949">
        <v>0.2267111</v>
      </c>
      <c r="X2949">
        <v>0.97364439999999997</v>
      </c>
      <c r="Y2949">
        <v>2.091954E-2</v>
      </c>
      <c r="Z2949">
        <v>-1.3817110000000001E-4</v>
      </c>
      <c r="AA2949">
        <v>0.99978109999999998</v>
      </c>
      <c r="AB2949">
        <v>43</v>
      </c>
      <c r="AC2949">
        <v>143.35219999999899</v>
      </c>
      <c r="AD2949">
        <v>-1.1710849999999999</v>
      </c>
      <c r="AE2949">
        <v>-0.77289999999999204</v>
      </c>
      <c r="AF2949">
        <v>3.0053136946595602</v>
      </c>
      <c r="AG2949">
        <v>-1.1710849999999999</v>
      </c>
      <c r="AH2949">
        <v>143.31320980020601</v>
      </c>
      <c r="AI2949">
        <v>90.468079580542593</v>
      </c>
      <c r="AJ2949">
        <v>88.798669311846695</v>
      </c>
      <c r="AK2949">
        <v>143.349501058492</v>
      </c>
      <c r="AL2949">
        <v>76.896483171455301</v>
      </c>
      <c r="AM2949">
        <v>88.536526192331095</v>
      </c>
      <c r="AN2949">
        <v>1.00000004461234</v>
      </c>
    </row>
    <row r="2950" spans="1:40" x14ac:dyDescent="0.25">
      <c r="A2950" t="str">
        <f>"20190303171035346"</f>
        <v>20190303171035346</v>
      </c>
      <c r="B2950" t="str">
        <f>"1551604235333317"</f>
        <v>1551604235333317</v>
      </c>
      <c r="C2950" t="s">
        <v>40</v>
      </c>
      <c r="D2950">
        <v>4.7198849999999997</v>
      </c>
      <c r="E2950">
        <v>0.50342629999999999</v>
      </c>
      <c r="F2950" t="s">
        <v>41</v>
      </c>
      <c r="G2950">
        <v>-149.58199999999999</v>
      </c>
      <c r="H2950">
        <v>-0.05</v>
      </c>
      <c r="I2950">
        <v>213.66030000000001</v>
      </c>
      <c r="J2950">
        <v>-298.16129999999998</v>
      </c>
      <c r="K2950">
        <v>1.1210610000000001</v>
      </c>
      <c r="L2950">
        <v>214.5454</v>
      </c>
      <c r="M2950">
        <v>0.99977450000000001</v>
      </c>
      <c r="N2950">
        <v>-1.4479250000000001E-2</v>
      </c>
      <c r="O2950">
        <v>1.554238E-2</v>
      </c>
      <c r="P2950">
        <v>0.9771377</v>
      </c>
      <c r="Q2950">
        <v>0.21239169999999999</v>
      </c>
      <c r="R2950">
        <v>-9.5856529999999995E-3</v>
      </c>
      <c r="S2950">
        <v>3.0754389999999998</v>
      </c>
      <c r="T2950">
        <v>-2.4186610000000001E-2</v>
      </c>
      <c r="U2950">
        <v>-1.817322E-2</v>
      </c>
      <c r="V2950">
        <v>2.4767689999999998E-2</v>
      </c>
      <c r="W2950">
        <v>0.22651460000000001</v>
      </c>
      <c r="X2950">
        <v>0.97369280000000002</v>
      </c>
      <c r="Y2950">
        <v>2.1449840000000001E-2</v>
      </c>
      <c r="Z2950">
        <v>-1.3681650000000001E-4</v>
      </c>
      <c r="AA2950">
        <v>0.99976989999999999</v>
      </c>
      <c r="AB2950">
        <v>43</v>
      </c>
      <c r="AC2950">
        <v>148.57929999999999</v>
      </c>
      <c r="AD2950">
        <v>-1.1710609999999999</v>
      </c>
      <c r="AE2950">
        <v>-0.885099999999994</v>
      </c>
      <c r="AF2950">
        <v>3.1943123785799199</v>
      </c>
      <c r="AG2950">
        <v>-1.1710609999999999</v>
      </c>
      <c r="AH2950">
        <v>148.53836422535301</v>
      </c>
      <c r="AI2950">
        <v>90.451600194467801</v>
      </c>
      <c r="AJ2950">
        <v>88.768046133634201</v>
      </c>
      <c r="AK2950">
        <v>148.577322166545</v>
      </c>
      <c r="AL2950">
        <v>76.908041722788198</v>
      </c>
      <c r="AM2950">
        <v>88.542889339592705</v>
      </c>
      <c r="AN2950">
        <v>0.99999998562646797</v>
      </c>
    </row>
    <row r="2951" spans="1:40" x14ac:dyDescent="0.25">
      <c r="A2951" t="str">
        <f>"20190303171035370"</f>
        <v>20190303171035370</v>
      </c>
      <c r="B2951" t="str">
        <f>"1551604235363573"</f>
        <v>1551604235363573</v>
      </c>
      <c r="C2951" t="s">
        <v>40</v>
      </c>
      <c r="D2951">
        <v>4.7098199999999997</v>
      </c>
      <c r="E2951">
        <v>0.50354600000000005</v>
      </c>
      <c r="F2951" t="s">
        <v>41</v>
      </c>
      <c r="G2951">
        <v>-148.4906</v>
      </c>
      <c r="H2951">
        <v>-0.05</v>
      </c>
      <c r="I2951">
        <v>213.62899999999999</v>
      </c>
      <c r="J2951">
        <v>-297.69900000000001</v>
      </c>
      <c r="K2951">
        <v>1.121027</v>
      </c>
      <c r="L2951">
        <v>214.55250000000001</v>
      </c>
      <c r="M2951">
        <v>0.99977570000000004</v>
      </c>
      <c r="N2951">
        <v>-1.4476610000000001E-2</v>
      </c>
      <c r="O2951">
        <v>1.546573E-2</v>
      </c>
      <c r="P2951">
        <v>0.97715260000000004</v>
      </c>
      <c r="Q2951">
        <v>0.2123044</v>
      </c>
      <c r="R2951">
        <v>-9.9900979999999993E-3</v>
      </c>
      <c r="S2951">
        <v>3.0752259999999998</v>
      </c>
      <c r="T2951">
        <v>-2.4061320000000001E-2</v>
      </c>
      <c r="U2951">
        <v>-1.8829350000000002E-2</v>
      </c>
      <c r="V2951">
        <v>2.511671E-2</v>
      </c>
      <c r="W2951">
        <v>0.2264227</v>
      </c>
      <c r="X2951">
        <v>0.97370520000000005</v>
      </c>
      <c r="Y2951">
        <v>2.1586899999999999E-2</v>
      </c>
      <c r="Z2951">
        <v>-1.378122E-4</v>
      </c>
      <c r="AA2951">
        <v>0.99976690000000001</v>
      </c>
      <c r="AB2951">
        <v>43</v>
      </c>
      <c r="AC2951">
        <v>149.20840000000001</v>
      </c>
      <c r="AD2951">
        <v>-1.171027</v>
      </c>
      <c r="AE2951">
        <v>-0.92349999999999</v>
      </c>
      <c r="AF2951">
        <v>3.23104894358762</v>
      </c>
      <c r="AG2951">
        <v>-1.171027</v>
      </c>
      <c r="AH2951">
        <v>149.16707897666799</v>
      </c>
      <c r="AI2951">
        <v>90.449682286610894</v>
      </c>
      <c r="AJ2951">
        <v>88.759132881137006</v>
      </c>
      <c r="AK2951">
        <v>149.206663497118</v>
      </c>
      <c r="AL2951">
        <v>76.913447216413701</v>
      </c>
      <c r="AM2951">
        <v>88.522383955259698</v>
      </c>
      <c r="AN2951">
        <v>0.99999995235177597</v>
      </c>
    </row>
    <row r="2952" spans="1:40" x14ac:dyDescent="0.25">
      <c r="A2952" t="str">
        <f>"20190303171035391"</f>
        <v>20190303171035391</v>
      </c>
      <c r="B2952" t="str">
        <f>"1551604235384068"</f>
        <v>1551604235384068</v>
      </c>
      <c r="C2952" t="s">
        <v>40</v>
      </c>
      <c r="D2952">
        <v>4.5131100000000002</v>
      </c>
      <c r="E2952">
        <v>0.50585970000000002</v>
      </c>
      <c r="F2952" t="s">
        <v>41</v>
      </c>
      <c r="G2952">
        <v>-144.61330000000001</v>
      </c>
      <c r="H2952">
        <v>-0.05</v>
      </c>
      <c r="I2952">
        <v>213.5034</v>
      </c>
      <c r="J2952">
        <v>-297.26589999999999</v>
      </c>
      <c r="K2952">
        <v>1.1209929999999999</v>
      </c>
      <c r="L2952">
        <v>214.5592</v>
      </c>
      <c r="M2952">
        <v>0.99977740000000004</v>
      </c>
      <c r="N2952">
        <v>-1.447413E-2</v>
      </c>
      <c r="O2952">
        <v>1.5360189999999999E-2</v>
      </c>
      <c r="P2952">
        <v>0.97713289999999997</v>
      </c>
      <c r="Q2952">
        <v>0.21233750000000001</v>
      </c>
      <c r="R2952">
        <v>-1.1158299999999999E-2</v>
      </c>
      <c r="S2952">
        <v>3.075043</v>
      </c>
      <c r="T2952">
        <v>-2.3522499999999998E-2</v>
      </c>
      <c r="U2952">
        <v>-2.107239E-2</v>
      </c>
      <c r="V2952">
        <v>2.6201809999999999E-2</v>
      </c>
      <c r="W2952">
        <v>0.22645009999999999</v>
      </c>
      <c r="X2952">
        <v>0.97367029999999999</v>
      </c>
      <c r="Y2952">
        <v>2.221095E-2</v>
      </c>
      <c r="Z2952">
        <v>-1.4085969999999901E-4</v>
      </c>
      <c r="AA2952">
        <v>0.99975329999999996</v>
      </c>
      <c r="AB2952">
        <v>43</v>
      </c>
      <c r="AC2952">
        <v>152.65259999999901</v>
      </c>
      <c r="AD2952">
        <v>-1.170993</v>
      </c>
      <c r="AE2952">
        <v>-1.0558000000000001</v>
      </c>
      <c r="AF2952">
        <v>3.4004935874554998</v>
      </c>
      <c r="AG2952">
        <v>-1.170993</v>
      </c>
      <c r="AH2952">
        <v>152.609388428703</v>
      </c>
      <c r="AI2952">
        <v>90.439520739853606</v>
      </c>
      <c r="AJ2952">
        <v>88.723527449690295</v>
      </c>
      <c r="AK2952">
        <v>152.65176061161901</v>
      </c>
      <c r="AL2952">
        <v>76.9118363205652</v>
      </c>
      <c r="AM2952">
        <v>88.458522458804396</v>
      </c>
      <c r="AN2952">
        <v>1.00000001786968</v>
      </c>
    </row>
    <row r="2953" spans="1:40" x14ac:dyDescent="0.25">
      <c r="A2953" t="str">
        <f>"20190303171035412"</f>
        <v>20190303171035412</v>
      </c>
      <c r="B2953" t="str">
        <f>"1551604235403591"</f>
        <v>1551604235403591</v>
      </c>
      <c r="C2953" t="s">
        <v>40</v>
      </c>
      <c r="D2953">
        <v>4.4579199999999997</v>
      </c>
      <c r="E2953">
        <v>0.52994280000000005</v>
      </c>
      <c r="F2953" t="s">
        <v>41</v>
      </c>
      <c r="G2953">
        <v>-133.52539999999999</v>
      </c>
      <c r="H2953">
        <v>-0.05</v>
      </c>
      <c r="I2953">
        <v>212.26499999999999</v>
      </c>
      <c r="J2953">
        <v>-296.8623</v>
      </c>
      <c r="K2953">
        <v>1.120957</v>
      </c>
      <c r="L2953">
        <v>214.5652</v>
      </c>
      <c r="M2953">
        <v>0.99977919999999998</v>
      </c>
      <c r="N2953">
        <v>-1.4471799999999899E-2</v>
      </c>
      <c r="O2953">
        <v>1.5233770000000001E-2</v>
      </c>
      <c r="P2953">
        <v>0.97712489999999996</v>
      </c>
      <c r="Q2953">
        <v>0.21236360000000001</v>
      </c>
      <c r="R2953">
        <v>-1.134131E-2</v>
      </c>
      <c r="S2953">
        <v>3.0744630000000002</v>
      </c>
      <c r="T2953">
        <v>-2.1987079999999999E-2</v>
      </c>
      <c r="U2953">
        <v>-4.3075559999999999E-2</v>
      </c>
      <c r="V2953">
        <v>2.6280350000000001E-2</v>
      </c>
      <c r="W2953">
        <v>0.2264719</v>
      </c>
      <c r="X2953">
        <v>0.9736631</v>
      </c>
      <c r="Y2953">
        <v>2.9238960000000001E-2</v>
      </c>
      <c r="Z2953">
        <v>-2.0461829999999999E-4</v>
      </c>
      <c r="AA2953">
        <v>0.99957249999999997</v>
      </c>
      <c r="AB2953">
        <v>43</v>
      </c>
      <c r="AC2953">
        <v>163.33690000000001</v>
      </c>
      <c r="AD2953">
        <v>-1.170957</v>
      </c>
      <c r="AE2953">
        <v>-2.30020000000001</v>
      </c>
      <c r="AF2953">
        <v>4.7881844221634804</v>
      </c>
      <c r="AG2953">
        <v>-1.170957</v>
      </c>
      <c r="AH2953">
        <v>163.274508244082</v>
      </c>
      <c r="AI2953">
        <v>90.410724951312005</v>
      </c>
      <c r="AJ2953">
        <v>88.320226737644404</v>
      </c>
      <c r="AK2953">
        <v>163.348899269947</v>
      </c>
      <c r="AL2953">
        <v>76.910553789553902</v>
      </c>
      <c r="AM2953">
        <v>88.453892687384098</v>
      </c>
      <c r="AN2953">
        <v>1.0000000052936699</v>
      </c>
    </row>
    <row r="2954" spans="1:40" x14ac:dyDescent="0.25">
      <c r="A2954" t="str">
        <f>"20190303171035434"</f>
        <v>20190303171035434</v>
      </c>
      <c r="B2954" t="str">
        <f>"1551604235424085"</f>
        <v>1551604235424085</v>
      </c>
      <c r="C2954" t="s">
        <v>40</v>
      </c>
      <c r="D2954">
        <v>4.4883540000000002</v>
      </c>
      <c r="E2954">
        <v>0.53000319999999901</v>
      </c>
      <c r="F2954" t="s">
        <v>46</v>
      </c>
      <c r="G2954">
        <v>-177.8227</v>
      </c>
      <c r="H2954">
        <v>0.299008099999999</v>
      </c>
      <c r="I2954">
        <v>205.42150000000001</v>
      </c>
      <c r="J2954">
        <v>-296.44260000000003</v>
      </c>
      <c r="K2954">
        <v>1.120927</v>
      </c>
      <c r="L2954">
        <v>214.57149999999999</v>
      </c>
      <c r="M2954">
        <v>0.99978180000000005</v>
      </c>
      <c r="N2954">
        <v>-1.4469249999999999E-2</v>
      </c>
      <c r="O2954">
        <v>1.5076259999999999E-2</v>
      </c>
      <c r="P2954">
        <v>0.97719650000000002</v>
      </c>
      <c r="Q2954">
        <v>0.21202799999999999</v>
      </c>
      <c r="R2954">
        <v>-1.1465039999999999E-2</v>
      </c>
      <c r="S2954">
        <v>3.0721129999999999</v>
      </c>
      <c r="T2954">
        <v>-2.1212459999999999E-2</v>
      </c>
      <c r="U2954">
        <v>-0.2359772</v>
      </c>
      <c r="V2954">
        <v>2.6269259999999999E-2</v>
      </c>
      <c r="W2954">
        <v>0.2261329</v>
      </c>
      <c r="X2954">
        <v>0.9737422</v>
      </c>
      <c r="Y2954">
        <v>9.1604729999999995E-2</v>
      </c>
      <c r="Z2954">
        <v>-8.6569550000000005E-4</v>
      </c>
      <c r="AA2954">
        <v>0.99579510000000004</v>
      </c>
      <c r="AB2954">
        <v>43</v>
      </c>
      <c r="AC2954">
        <v>118.6199</v>
      </c>
      <c r="AD2954">
        <v>-0.82191890000000001</v>
      </c>
      <c r="AE2954">
        <v>-9.1499999999999702</v>
      </c>
      <c r="AF2954">
        <v>10.936969281167199</v>
      </c>
      <c r="AG2954">
        <v>-0.82191890000000001</v>
      </c>
      <c r="AH2954">
        <v>118.462799537731</v>
      </c>
      <c r="AI2954">
        <v>90.395839961789306</v>
      </c>
      <c r="AJ2954">
        <v>84.725172887638493</v>
      </c>
      <c r="AK2954">
        <v>118.96944028637</v>
      </c>
      <c r="AL2954">
        <v>76.930494534873304</v>
      </c>
      <c r="AM2954">
        <v>88.4546702911735</v>
      </c>
      <c r="AN2954">
        <v>1.00000001727209</v>
      </c>
    </row>
    <row r="2955" spans="1:40" x14ac:dyDescent="0.25">
      <c r="A2955" t="str">
        <f>"20190303171035450"</f>
        <v>20190303171035450</v>
      </c>
      <c r="B2955" t="str">
        <f>"1551604235443605"</f>
        <v>1551604235443605</v>
      </c>
      <c r="C2955" t="s">
        <v>40</v>
      </c>
      <c r="D2955">
        <v>4.4737960000000001</v>
      </c>
      <c r="E2955">
        <v>0.52978169999999902</v>
      </c>
      <c r="F2955" t="s">
        <v>46</v>
      </c>
      <c r="G2955">
        <v>-177.83009999999999</v>
      </c>
      <c r="H2955">
        <v>0.26579380000000002</v>
      </c>
      <c r="I2955">
        <v>205.42080000000001</v>
      </c>
      <c r="J2955">
        <v>-296.13720000000001</v>
      </c>
      <c r="K2955">
        <v>1.12090499999999</v>
      </c>
      <c r="L2955">
        <v>214.57599999999999</v>
      </c>
      <c r="M2955">
        <v>0.99978370000000005</v>
      </c>
      <c r="N2955">
        <v>-1.446745E-2</v>
      </c>
      <c r="O2955">
        <v>1.49461E-2</v>
      </c>
      <c r="P2955">
        <v>0.97717240000000005</v>
      </c>
      <c r="Q2955">
        <v>0.21212909999999999</v>
      </c>
      <c r="R2955">
        <v>-1.166128E-2</v>
      </c>
      <c r="S2955">
        <v>3.0720209999999999</v>
      </c>
      <c r="T2955">
        <v>-2.214766E-2</v>
      </c>
      <c r="U2955">
        <v>-0.2369995</v>
      </c>
      <c r="V2955">
        <v>2.6349069999999999E-2</v>
      </c>
      <c r="W2955">
        <v>0.2262304</v>
      </c>
      <c r="X2955">
        <v>0.97371739999999996</v>
      </c>
      <c r="Y2955">
        <v>9.180642E-2</v>
      </c>
      <c r="Z2955">
        <v>-8.8729559999999996E-4</v>
      </c>
      <c r="AA2955">
        <v>0.99577649999999995</v>
      </c>
      <c r="AB2955">
        <v>43</v>
      </c>
      <c r="AC2955">
        <v>118.30710000000001</v>
      </c>
      <c r="AD2955">
        <v>-0.85511119999999896</v>
      </c>
      <c r="AE2955">
        <v>-9.1551999999999794</v>
      </c>
      <c r="AF2955">
        <v>10.922024665116099</v>
      </c>
      <c r="AG2955">
        <v>-0.85511119999999896</v>
      </c>
      <c r="AH2955">
        <v>118.15089783089699</v>
      </c>
      <c r="AI2955">
        <v>90.412907676108503</v>
      </c>
      <c r="AJ2955">
        <v>84.718512657939797</v>
      </c>
      <c r="AK2955">
        <v>118.657728345847</v>
      </c>
      <c r="AL2955">
        <v>76.924759628325702</v>
      </c>
      <c r="AM2955">
        <v>88.449938172935802</v>
      </c>
      <c r="AN2955">
        <v>1.0000000212183899</v>
      </c>
    </row>
    <row r="2956" spans="1:40" x14ac:dyDescent="0.25">
      <c r="A2956" t="str">
        <f>"20190303171035463"</f>
        <v>20190303171035463</v>
      </c>
      <c r="B2956" t="str">
        <f>"1551604235453365"</f>
        <v>1551604235453365</v>
      </c>
      <c r="C2956" t="s">
        <v>40</v>
      </c>
      <c r="D2956">
        <v>4.4828580000000002</v>
      </c>
      <c r="E2956">
        <v>0.52976859999999903</v>
      </c>
      <c r="F2956" t="s">
        <v>46</v>
      </c>
      <c r="G2956">
        <v>-177.80959999999999</v>
      </c>
      <c r="H2956">
        <v>0.35764899999999999</v>
      </c>
      <c r="I2956">
        <v>205.49</v>
      </c>
      <c r="J2956">
        <v>-295.88760000000002</v>
      </c>
      <c r="K2956">
        <v>1.1208880000000001</v>
      </c>
      <c r="L2956">
        <v>214.5797</v>
      </c>
      <c r="M2956">
        <v>0.99978529999999999</v>
      </c>
      <c r="N2956">
        <v>-1.446598E-2</v>
      </c>
      <c r="O2956">
        <v>1.483374E-2</v>
      </c>
      <c r="P2956">
        <v>0.97718799999999995</v>
      </c>
      <c r="Q2956">
        <v>0.21202950000000001</v>
      </c>
      <c r="R2956">
        <v>-1.213112E-2</v>
      </c>
      <c r="S2956">
        <v>3.071564</v>
      </c>
      <c r="T2956">
        <v>-1.9812699999999999E-2</v>
      </c>
      <c r="U2956">
        <v>-0.23585510000000001</v>
      </c>
      <c r="V2956">
        <v>2.6717290000000001E-2</v>
      </c>
      <c r="W2956">
        <v>0.22612869999999999</v>
      </c>
      <c r="X2956">
        <v>0.97373100000000001</v>
      </c>
      <c r="Y2956">
        <v>9.1337970000000004E-2</v>
      </c>
      <c r="Z2956">
        <v>-8.3711379999999995E-4</v>
      </c>
      <c r="AA2956">
        <v>0.99581960000000003</v>
      </c>
      <c r="AB2956">
        <v>43</v>
      </c>
      <c r="AC2956">
        <v>118.078</v>
      </c>
      <c r="AD2956">
        <v>-0.763238999999999</v>
      </c>
      <c r="AE2956">
        <v>-9.0896999999999899</v>
      </c>
      <c r="AF2956">
        <v>10.8399711376252</v>
      </c>
      <c r="AG2956">
        <v>-0.763238999999999</v>
      </c>
      <c r="AH2956">
        <v>117.92525921475099</v>
      </c>
      <c r="AI2956">
        <v>90.369269303736203</v>
      </c>
      <c r="AJ2956">
        <v>84.747994749735199</v>
      </c>
      <c r="AK2956">
        <v>118.424888722354</v>
      </c>
      <c r="AL2956">
        <v>76.930741764909996</v>
      </c>
      <c r="AM2956">
        <v>88.428309275693906</v>
      </c>
      <c r="AN2956">
        <v>1.0000000314548101</v>
      </c>
    </row>
    <row r="2957" spans="1:40" x14ac:dyDescent="0.25">
      <c r="A2957" t="str">
        <f>"20190303171035479"</f>
        <v>20190303171035479</v>
      </c>
      <c r="B2957" t="str">
        <f>"1551604235473860"</f>
        <v>1551604235473860</v>
      </c>
      <c r="C2957" t="s">
        <v>40</v>
      </c>
      <c r="D2957">
        <v>4.4616610000000003</v>
      </c>
      <c r="E2957">
        <v>0.52962169999999997</v>
      </c>
      <c r="F2957" t="s">
        <v>46</v>
      </c>
      <c r="G2957">
        <v>-177.8081</v>
      </c>
      <c r="H2957">
        <v>0.36432639999999999</v>
      </c>
      <c r="I2957">
        <v>205.47040000000001</v>
      </c>
      <c r="J2957">
        <v>-295.56639999999999</v>
      </c>
      <c r="K2957">
        <v>1.1208659999999999</v>
      </c>
      <c r="L2957">
        <v>214.58430000000001</v>
      </c>
      <c r="M2957">
        <v>0.9997876</v>
      </c>
      <c r="N2957">
        <v>-1.4464070000000001E-2</v>
      </c>
      <c r="O2957">
        <v>1.4681710000000001E-2</v>
      </c>
      <c r="P2957">
        <v>0.97714409999999896</v>
      </c>
      <c r="Q2957">
        <v>0.2122049</v>
      </c>
      <c r="R2957">
        <v>-1.2595790000000001E-2</v>
      </c>
      <c r="S2957">
        <v>3.0713499999999998</v>
      </c>
      <c r="T2957">
        <v>-1.9678830000000001E-2</v>
      </c>
      <c r="U2957">
        <v>-0.2369385</v>
      </c>
      <c r="V2957">
        <v>2.7041900000000001E-2</v>
      </c>
      <c r="W2957">
        <v>0.2263001</v>
      </c>
      <c r="X2957">
        <v>0.97368220000000005</v>
      </c>
      <c r="Y2957">
        <v>9.1541070000000002E-2</v>
      </c>
      <c r="Z2957">
        <v>-8.3779880000000001E-4</v>
      </c>
      <c r="AA2957">
        <v>0.99580100000000005</v>
      </c>
      <c r="AB2957">
        <v>43</v>
      </c>
      <c r="AC2957">
        <v>117.75830000000001</v>
      </c>
      <c r="AD2957">
        <v>-0.75653959999999998</v>
      </c>
      <c r="AE2957">
        <v>-9.1138999999999992</v>
      </c>
      <c r="AF2957">
        <v>10.8415467489117</v>
      </c>
      <c r="AG2957">
        <v>-0.75653959999999998</v>
      </c>
      <c r="AH2957">
        <v>117.606958222305</v>
      </c>
      <c r="AI2957">
        <v>90.367009935116997</v>
      </c>
      <c r="AJ2957">
        <v>84.733098969287397</v>
      </c>
      <c r="AK2957">
        <v>118.108035757005</v>
      </c>
      <c r="AL2957">
        <v>76.920659678163503</v>
      </c>
      <c r="AM2957">
        <v>88.409143597668404</v>
      </c>
      <c r="AN2957">
        <v>1.0000000131062301</v>
      </c>
    </row>
    <row r="2958" spans="1:40" x14ac:dyDescent="0.25">
      <c r="A2958" t="str">
        <f>"20190303171035502"</f>
        <v>20190303171035502</v>
      </c>
      <c r="B2958" t="str">
        <f>"1551604235493384"</f>
        <v>1551604235493384</v>
      </c>
      <c r="C2958" t="s">
        <v>40</v>
      </c>
      <c r="D2958">
        <v>4.446923</v>
      </c>
      <c r="E2958">
        <v>0.53021409999999902</v>
      </c>
      <c r="F2958" t="s">
        <v>46</v>
      </c>
      <c r="G2958">
        <v>-177.79830000000001</v>
      </c>
      <c r="H2958">
        <v>0.4078444</v>
      </c>
      <c r="I2958">
        <v>205.5179</v>
      </c>
      <c r="J2958">
        <v>-295.1422</v>
      </c>
      <c r="K2958">
        <v>1.120849</v>
      </c>
      <c r="L2958">
        <v>214.59039999999999</v>
      </c>
      <c r="M2958">
        <v>0.99979070000000003</v>
      </c>
      <c r="N2958">
        <v>-1.446154E-2</v>
      </c>
      <c r="O2958">
        <v>1.4471919999999999E-2</v>
      </c>
      <c r="P2958">
        <v>0.97716769999999997</v>
      </c>
      <c r="Q2958">
        <v>0.21207680000000001</v>
      </c>
      <c r="R2958">
        <v>-1.291405E-2</v>
      </c>
      <c r="S2958">
        <v>3.071167</v>
      </c>
      <c r="T2958">
        <v>-1.8594260000000001E-2</v>
      </c>
      <c r="U2958">
        <v>-0.2364349</v>
      </c>
      <c r="V2958">
        <v>2.7164859999999999E-2</v>
      </c>
      <c r="W2958">
        <v>0.22616910000000001</v>
      </c>
      <c r="X2958">
        <v>0.97370919999999905</v>
      </c>
      <c r="Y2958">
        <v>9.1174770000000002E-2</v>
      </c>
      <c r="Z2958">
        <v>-8.1442179999999904E-4</v>
      </c>
      <c r="AA2958">
        <v>0.99583460000000001</v>
      </c>
      <c r="AB2958">
        <v>43</v>
      </c>
      <c r="AC2958">
        <v>117.3439</v>
      </c>
      <c r="AD2958">
        <v>-0.71300459999999899</v>
      </c>
      <c r="AE2958">
        <v>-9.0724999999999891</v>
      </c>
      <c r="AF2958">
        <v>10.7695235692449</v>
      </c>
      <c r="AG2958">
        <v>-0.71300459999999899</v>
      </c>
      <c r="AH2958">
        <v>117.195997330979</v>
      </c>
      <c r="AI2958">
        <v>90.347113015201003</v>
      </c>
      <c r="AJ2958">
        <v>84.749648902049699</v>
      </c>
      <c r="AK2958">
        <v>117.691940267254</v>
      </c>
      <c r="AL2958">
        <v>76.928365017182401</v>
      </c>
      <c r="AM2958">
        <v>88.401957978291406</v>
      </c>
      <c r="AN2958">
        <v>0.99999999878913404</v>
      </c>
    </row>
    <row r="2959" spans="1:40" x14ac:dyDescent="0.25">
      <c r="A2959" t="str">
        <f>"20190303171035524"</f>
        <v>20190303171035524</v>
      </c>
      <c r="B2959" t="str">
        <f>"1551604235513877"</f>
        <v>1551604235513877</v>
      </c>
      <c r="C2959" t="s">
        <v>40</v>
      </c>
      <c r="D2959">
        <v>4.4894339999999904</v>
      </c>
      <c r="E2959">
        <v>0.53078829999999999</v>
      </c>
      <c r="F2959" t="s">
        <v>46</v>
      </c>
      <c r="G2959">
        <v>-177.815</v>
      </c>
      <c r="H2959">
        <v>0.33314120000000003</v>
      </c>
      <c r="I2959">
        <v>205.37260000000001</v>
      </c>
      <c r="J2959">
        <v>-294.71609999999998</v>
      </c>
      <c r="K2959">
        <v>1.1208309999999999</v>
      </c>
      <c r="L2959">
        <v>214.59639999999999</v>
      </c>
      <c r="M2959">
        <v>0.99979390000000001</v>
      </c>
      <c r="N2959">
        <v>-1.445898E-2</v>
      </c>
      <c r="O2959">
        <v>1.425593E-2</v>
      </c>
      <c r="P2959">
        <v>0.9772959</v>
      </c>
      <c r="Q2959">
        <v>0.21145539999999999</v>
      </c>
      <c r="R2959">
        <v>-1.3405480000000001E-2</v>
      </c>
      <c r="S2959">
        <v>3.0713810000000001</v>
      </c>
      <c r="T2959">
        <v>-2.0620579999999999E-2</v>
      </c>
      <c r="U2959">
        <v>-0.2413025</v>
      </c>
      <c r="V2959">
        <v>2.7454340000000001E-2</v>
      </c>
      <c r="W2959">
        <v>0.22554569999999999</v>
      </c>
      <c r="X2959">
        <v>0.97384570000000004</v>
      </c>
      <c r="Y2959">
        <v>9.2522149999999997E-2</v>
      </c>
      <c r="Z2959">
        <v>-8.6985619999999997E-4</v>
      </c>
      <c r="AA2959">
        <v>0.99571030000000005</v>
      </c>
      <c r="AB2959">
        <v>43</v>
      </c>
      <c r="AC2959">
        <v>116.9011</v>
      </c>
      <c r="AD2959">
        <v>-0.787689799999999</v>
      </c>
      <c r="AE2959">
        <v>-9.2237999999999793</v>
      </c>
      <c r="AF2959">
        <v>10.889079164681</v>
      </c>
      <c r="AG2959">
        <v>-0.787689799999999</v>
      </c>
      <c r="AH2959">
        <v>116.75244235618599</v>
      </c>
      <c r="AI2959">
        <v>90.384879370887504</v>
      </c>
      <c r="AJ2959">
        <v>84.671643422216405</v>
      </c>
      <c r="AK2959">
        <v>117.261781055936</v>
      </c>
      <c r="AL2959">
        <v>76.965030986852796</v>
      </c>
      <c r="AM2959">
        <v>88.385163809249207</v>
      </c>
      <c r="AN2959">
        <v>1.0000000254909001</v>
      </c>
    </row>
    <row r="2960" spans="1:40" x14ac:dyDescent="0.25">
      <c r="A2960" t="str">
        <f>"20190303171035546"</f>
        <v>20190303171035546</v>
      </c>
      <c r="B2960" t="str">
        <f>"1551604235533396"</f>
        <v>1551604235533396</v>
      </c>
      <c r="C2960" t="s">
        <v>40</v>
      </c>
      <c r="D2960">
        <v>4.3553319999999998</v>
      </c>
      <c r="E2960">
        <v>0.53068219999999899</v>
      </c>
      <c r="F2960" t="s">
        <v>46</v>
      </c>
      <c r="G2960">
        <v>-178.0574</v>
      </c>
      <c r="H2960">
        <v>0.1894373</v>
      </c>
      <c r="I2960">
        <v>205.21340000000001</v>
      </c>
      <c r="J2960">
        <v>-294.29750000000001</v>
      </c>
      <c r="K2960">
        <v>1.120817</v>
      </c>
      <c r="L2960">
        <v>214.60220000000001</v>
      </c>
      <c r="M2960">
        <v>0.99979700000000005</v>
      </c>
      <c r="N2960">
        <v>-1.4456480000000001E-2</v>
      </c>
      <c r="O2960">
        <v>1.404236E-2</v>
      </c>
      <c r="P2960">
        <v>0.97731489999999999</v>
      </c>
      <c r="Q2960">
        <v>0.21130160000000001</v>
      </c>
      <c r="R2960">
        <v>-1.4404780000000001E-2</v>
      </c>
      <c r="S2960">
        <v>3.0716549999999998</v>
      </c>
      <c r="T2960">
        <v>-2.452385E-2</v>
      </c>
      <c r="U2960">
        <v>-0.2470551</v>
      </c>
      <c r="V2960">
        <v>2.8251350000000001E-2</v>
      </c>
      <c r="W2960">
        <v>0.2253887</v>
      </c>
      <c r="X2960">
        <v>0.97385929999999998</v>
      </c>
      <c r="Y2960">
        <v>9.4153689999999998E-2</v>
      </c>
      <c r="Z2960">
        <v>-9.662529E-4</v>
      </c>
      <c r="AA2960">
        <v>0.99555720000000003</v>
      </c>
      <c r="AB2960">
        <v>43</v>
      </c>
      <c r="AC2960">
        <v>116.2401</v>
      </c>
      <c r="AD2960">
        <v>-0.93137970000000003</v>
      </c>
      <c r="AE2960">
        <v>-9.3887999999999998</v>
      </c>
      <c r="AF2960">
        <v>11.019626941292101</v>
      </c>
      <c r="AG2960">
        <v>-0.93137970000000003</v>
      </c>
      <c r="AH2960">
        <v>116.089377055841</v>
      </c>
      <c r="AI2960">
        <v>90.457614568834202</v>
      </c>
      <c r="AJ2960">
        <v>84.577523160908598</v>
      </c>
      <c r="AK2960">
        <v>116.614935198216</v>
      </c>
      <c r="AL2960">
        <v>76.974264768495701</v>
      </c>
      <c r="AM2960">
        <v>88.338333601410397</v>
      </c>
      <c r="AN2960">
        <v>1.0000000705304899</v>
      </c>
    </row>
    <row r="2961" spans="1:40" x14ac:dyDescent="0.25">
      <c r="A2961" t="str">
        <f>"20190303171035571"</f>
        <v>20190303171035571</v>
      </c>
      <c r="B2961" t="str">
        <f>"1551604235563652"</f>
        <v>1551604235563652</v>
      </c>
      <c r="C2961" t="s">
        <v>40</v>
      </c>
      <c r="D2961">
        <v>4.4647420000000002</v>
      </c>
      <c r="E2961">
        <v>0.53065289999999998</v>
      </c>
      <c r="F2961" t="s">
        <v>46</v>
      </c>
      <c r="G2961">
        <v>-178.0574</v>
      </c>
      <c r="H2961">
        <v>0.1990798</v>
      </c>
      <c r="I2961">
        <v>205.15119999999999</v>
      </c>
      <c r="J2961">
        <v>-293.83300000000003</v>
      </c>
      <c r="K2961">
        <v>1.120806</v>
      </c>
      <c r="L2961">
        <v>214.60849999999999</v>
      </c>
      <c r="M2961">
        <v>0.99980020000000003</v>
      </c>
      <c r="N2961">
        <v>-1.445368E-2</v>
      </c>
      <c r="O2961">
        <v>1.380551E-2</v>
      </c>
      <c r="P2961">
        <v>0.97723329999999997</v>
      </c>
      <c r="Q2961">
        <v>0.211589</v>
      </c>
      <c r="R2961">
        <v>-1.566265E-2</v>
      </c>
      <c r="S2961">
        <v>3.071259</v>
      </c>
      <c r="T2961">
        <v>-2.4353860000000001E-2</v>
      </c>
      <c r="U2961">
        <v>-0.24971009999999999</v>
      </c>
      <c r="V2961">
        <v>2.9282619999999999E-2</v>
      </c>
      <c r="W2961">
        <v>0.22567019999999999</v>
      </c>
      <c r="X2961">
        <v>0.97376359999999995</v>
      </c>
      <c r="Y2961">
        <v>9.4783179999999995E-2</v>
      </c>
      <c r="Z2961">
        <v>-9.7145059999999999E-4</v>
      </c>
      <c r="AA2961">
        <v>0.99549750000000004</v>
      </c>
      <c r="AB2961">
        <v>43</v>
      </c>
      <c r="AC2961">
        <v>115.775599999999</v>
      </c>
      <c r="AD2961">
        <v>-0.92172619999999905</v>
      </c>
      <c r="AE2961">
        <v>-9.4573</v>
      </c>
      <c r="AF2961">
        <v>11.054210756092001</v>
      </c>
      <c r="AG2961">
        <v>-0.92172619999999905</v>
      </c>
      <c r="AH2961">
        <v>115.626707577858</v>
      </c>
      <c r="AI2961">
        <v>90.454654622695003</v>
      </c>
      <c r="AJ2961">
        <v>84.538973354977003</v>
      </c>
      <c r="AK2961">
        <v>116.15756824212301</v>
      </c>
      <c r="AL2961">
        <v>76.957708943120707</v>
      </c>
      <c r="AM2961">
        <v>88.277543875082301</v>
      </c>
      <c r="AN2961">
        <v>1.0000000298435301</v>
      </c>
    </row>
    <row r="2962" spans="1:40" x14ac:dyDescent="0.25">
      <c r="A2962" t="str">
        <f>"20190303171035592"</f>
        <v>20190303171035592</v>
      </c>
      <c r="B2962" t="str">
        <f>"1551604235583172"</f>
        <v>1551604235583172</v>
      </c>
      <c r="C2962" t="s">
        <v>40</v>
      </c>
      <c r="D2962">
        <v>4.4532210000000001</v>
      </c>
      <c r="E2962">
        <v>0.530783</v>
      </c>
      <c r="F2962" t="s">
        <v>50</v>
      </c>
      <c r="G2962">
        <v>-168.41130000000001</v>
      </c>
      <c r="H2962">
        <v>0.19951630000000001</v>
      </c>
      <c r="I2962">
        <v>204.28890000000001</v>
      </c>
      <c r="J2962">
        <v>-293.40929999999997</v>
      </c>
      <c r="K2962">
        <v>1.1208089999999999</v>
      </c>
      <c r="L2962">
        <v>214.61410000000001</v>
      </c>
      <c r="M2962">
        <v>0.99980340000000001</v>
      </c>
      <c r="N2962">
        <v>-1.445109E-2</v>
      </c>
      <c r="O2962">
        <v>1.3590039999999999E-2</v>
      </c>
      <c r="P2962">
        <v>0.97716130000000001</v>
      </c>
      <c r="Q2962">
        <v>0.21180089999999999</v>
      </c>
      <c r="R2962">
        <v>-1.72152E-2</v>
      </c>
      <c r="S2962">
        <v>3.0707089999999999</v>
      </c>
      <c r="T2962">
        <v>-2.2555229999999999E-2</v>
      </c>
      <c r="U2962">
        <v>-0.25265500000000002</v>
      </c>
      <c r="V2962">
        <v>3.0628220000000001E-2</v>
      </c>
      <c r="W2962">
        <v>0.22587740000000001</v>
      </c>
      <c r="X2962">
        <v>0.97367409999999999</v>
      </c>
      <c r="Y2962">
        <v>9.5532099999999995E-2</v>
      </c>
      <c r="Z2962">
        <v>-9.45373E-4</v>
      </c>
      <c r="AA2962">
        <v>0.99542589999999997</v>
      </c>
      <c r="AB2962">
        <v>43</v>
      </c>
      <c r="AC2962">
        <v>124.997999999999</v>
      </c>
      <c r="AD2962">
        <v>-0.92129269999999996</v>
      </c>
      <c r="AE2962">
        <v>-10.325199999999899</v>
      </c>
      <c r="AF2962">
        <v>12.0225025166816</v>
      </c>
      <c r="AG2962">
        <v>-0.92129269999999996</v>
      </c>
      <c r="AH2962">
        <v>124.839383886566</v>
      </c>
      <c r="AI2962">
        <v>90.420877977872607</v>
      </c>
      <c r="AJ2962">
        <v>84.499164614739698</v>
      </c>
      <c r="AK2962">
        <v>125.420337729493</v>
      </c>
      <c r="AL2962">
        <v>76.945521813289801</v>
      </c>
      <c r="AM2962">
        <v>88.198278798953595</v>
      </c>
      <c r="AN2962">
        <v>0.99999997035096799</v>
      </c>
    </row>
    <row r="2963" spans="1:40" x14ac:dyDescent="0.25">
      <c r="A2963" t="str">
        <f>"20190303171035613"</f>
        <v>20190303171035613</v>
      </c>
      <c r="B2963" t="str">
        <f>"1551604235603669"</f>
        <v>1551604235603669</v>
      </c>
      <c r="C2963" t="s">
        <v>40</v>
      </c>
      <c r="D2963">
        <v>4.4547089999999896</v>
      </c>
      <c r="E2963">
        <v>0.53095700000000001</v>
      </c>
      <c r="F2963" t="s">
        <v>50</v>
      </c>
      <c r="G2963">
        <v>-168.41139999999999</v>
      </c>
      <c r="H2963">
        <v>0.24621390000000001</v>
      </c>
      <c r="I2963">
        <v>204.1003</v>
      </c>
      <c r="J2963">
        <v>-293.0018</v>
      </c>
      <c r="K2963">
        <v>1.1208020000000001</v>
      </c>
      <c r="L2963">
        <v>214.61949999999999</v>
      </c>
      <c r="M2963">
        <v>0.99980619999999998</v>
      </c>
      <c r="N2963">
        <v>-1.4448580000000001E-2</v>
      </c>
      <c r="O2963">
        <v>1.338337E-2</v>
      </c>
      <c r="P2963">
        <v>0.97714100000000004</v>
      </c>
      <c r="Q2963">
        <v>0.21181710000000001</v>
      </c>
      <c r="R2963">
        <v>-1.8150429999999999E-2</v>
      </c>
      <c r="S2963">
        <v>3.0701900000000002</v>
      </c>
      <c r="T2963">
        <v>-2.1480920000000001E-2</v>
      </c>
      <c r="U2963">
        <v>-0.25823970000000002</v>
      </c>
      <c r="V2963">
        <v>3.1364490000000002E-2</v>
      </c>
      <c r="W2963">
        <v>0.2258899</v>
      </c>
      <c r="X2963">
        <v>0.97364779999999995</v>
      </c>
      <c r="Y2963">
        <v>9.7138500000000003E-2</v>
      </c>
      <c r="Z2963">
        <v>-9.4273670000000003E-4</v>
      </c>
      <c r="AA2963">
        <v>0.9952704</v>
      </c>
      <c r="AB2963">
        <v>43</v>
      </c>
      <c r="AC2963">
        <v>124.5904</v>
      </c>
      <c r="AD2963">
        <v>-0.87458809999999998</v>
      </c>
      <c r="AE2963">
        <v>-10.5191999999999</v>
      </c>
      <c r="AF2963">
        <v>12.185274731047</v>
      </c>
      <c r="AG2963">
        <v>-0.87458809999999998</v>
      </c>
      <c r="AH2963">
        <v>124.43235400854</v>
      </c>
      <c r="AI2963">
        <v>90.400786740238303</v>
      </c>
      <c r="AJ2963">
        <v>84.407034663603895</v>
      </c>
      <c r="AK2963">
        <v>125.030622443954</v>
      </c>
      <c r="AL2963">
        <v>76.944787118468994</v>
      </c>
      <c r="AM2963">
        <v>88.154947108726603</v>
      </c>
      <c r="AN2963">
        <v>1.0000000082999001</v>
      </c>
    </row>
    <row r="2964" spans="1:40" x14ac:dyDescent="0.25">
      <c r="A2964" t="str">
        <f>"20190303171035635"</f>
        <v>20190303171035635</v>
      </c>
      <c r="B2964" t="str">
        <f>"1551604235623188"</f>
        <v>1551604235623188</v>
      </c>
      <c r="C2964" t="s">
        <v>40</v>
      </c>
      <c r="D2964">
        <v>4.4139609999999996</v>
      </c>
      <c r="E2964">
        <v>0.53637729999999995</v>
      </c>
      <c r="F2964" t="s">
        <v>50</v>
      </c>
      <c r="G2964">
        <v>-168.41139999999999</v>
      </c>
      <c r="H2964">
        <v>0.21101</v>
      </c>
      <c r="I2964">
        <v>203.9555</v>
      </c>
      <c r="J2964">
        <v>-292.57459999999998</v>
      </c>
      <c r="K2964">
        <v>1.1208020000000001</v>
      </c>
      <c r="L2964">
        <v>214.625</v>
      </c>
      <c r="M2964">
        <v>0.99980899999999995</v>
      </c>
      <c r="N2964">
        <v>-1.4445990000000001E-2</v>
      </c>
      <c r="O2964">
        <v>1.316676E-2</v>
      </c>
      <c r="P2964">
        <v>0.97708329999999999</v>
      </c>
      <c r="Q2964">
        <v>0.21205260000000001</v>
      </c>
      <c r="R2964">
        <v>-1.8491759999999999E-2</v>
      </c>
      <c r="S2964">
        <v>3.0702210000000001</v>
      </c>
      <c r="T2964">
        <v>-2.241874E-2</v>
      </c>
      <c r="U2964">
        <v>-0.26278689999999999</v>
      </c>
      <c r="V2964">
        <v>3.1496389999999999E-2</v>
      </c>
      <c r="W2964">
        <v>0.22612119999999999</v>
      </c>
      <c r="X2964">
        <v>0.97358979999999995</v>
      </c>
      <c r="Y2964">
        <v>9.8385E-2</v>
      </c>
      <c r="Z2964">
        <v>-9.7666830000000008E-4</v>
      </c>
      <c r="AA2964">
        <v>0.99514789999999997</v>
      </c>
      <c r="AB2964">
        <v>43</v>
      </c>
      <c r="AC2964">
        <v>124.1632</v>
      </c>
      <c r="AD2964">
        <v>-0.90979200000000005</v>
      </c>
      <c r="AE2964">
        <v>-10.669499999999999</v>
      </c>
      <c r="AF2964">
        <v>12.3029168005909</v>
      </c>
      <c r="AG2964">
        <v>-0.90979200000000005</v>
      </c>
      <c r="AH2964">
        <v>124.005328079309</v>
      </c>
      <c r="AI2964">
        <v>90.418301782778201</v>
      </c>
      <c r="AJ2964">
        <v>84.334066553661401</v>
      </c>
      <c r="AK2964">
        <v>124.617458148297</v>
      </c>
      <c r="AL2964">
        <v>76.931181948207097</v>
      </c>
      <c r="AM2964">
        <v>88.147083032490698</v>
      </c>
      <c r="AN2964">
        <v>0.99999995916825501</v>
      </c>
    </row>
    <row r="2965" spans="1:40" x14ac:dyDescent="0.25">
      <c r="A2965" t="str">
        <f>"20190303171035659"</f>
        <v>20190303171035659</v>
      </c>
      <c r="B2965" t="str">
        <f>"1551604235653445"</f>
        <v>1551604235653445</v>
      </c>
      <c r="C2965" t="s">
        <v>40</v>
      </c>
      <c r="D2965">
        <v>4.4497780000000002</v>
      </c>
      <c r="E2965">
        <v>0.53542889999999999</v>
      </c>
      <c r="F2965" t="s">
        <v>52</v>
      </c>
      <c r="G2965">
        <v>-191.8382</v>
      </c>
      <c r="H2965" s="1">
        <v>5.7739629999999997E-6</v>
      </c>
      <c r="I2965">
        <v>204.5626</v>
      </c>
      <c r="J2965">
        <v>-292.13839999999999</v>
      </c>
      <c r="K2965">
        <v>1.1208</v>
      </c>
      <c r="L2965">
        <v>214.63059999999999</v>
      </c>
      <c r="M2965">
        <v>0.99981200000000003</v>
      </c>
      <c r="N2965">
        <v>-1.4443320000000001E-2</v>
      </c>
      <c r="O2965">
        <v>1.2945470000000001E-2</v>
      </c>
      <c r="P2965">
        <v>0.97683900000000001</v>
      </c>
      <c r="Q2965">
        <v>0.2130775</v>
      </c>
      <c r="R2965">
        <v>-1.9589970000000002E-2</v>
      </c>
      <c r="S2965">
        <v>3.0719599999999998</v>
      </c>
      <c r="T2965">
        <v>-3.4178729999999997E-2</v>
      </c>
      <c r="U2965">
        <v>-0.30685420000000002</v>
      </c>
      <c r="V2965">
        <v>3.2377669999999997E-2</v>
      </c>
      <c r="W2965">
        <v>0.22713929999999999</v>
      </c>
      <c r="X2965">
        <v>0.97332390000000002</v>
      </c>
      <c r="Y2965">
        <v>0.11225250000000001</v>
      </c>
      <c r="Z2965">
        <v>-1.3928479999999999E-3</v>
      </c>
      <c r="AA2965">
        <v>0.99367870000000003</v>
      </c>
      <c r="AB2965">
        <v>43</v>
      </c>
      <c r="AC2965">
        <v>100.3002</v>
      </c>
      <c r="AD2965">
        <v>-1.1207942260370001</v>
      </c>
      <c r="AE2965">
        <v>-10.0679999999999</v>
      </c>
      <c r="AF2965">
        <v>11.3643198247985</v>
      </c>
      <c r="AG2965">
        <v>-1.1207942260370001</v>
      </c>
      <c r="AH2965">
        <v>100.14906432594</v>
      </c>
      <c r="AI2965">
        <v>90.637096918121003</v>
      </c>
      <c r="AJ2965">
        <v>83.526107861016001</v>
      </c>
      <c r="AK2965">
        <v>100.79801104257299</v>
      </c>
      <c r="AL2965">
        <v>76.871291268612794</v>
      </c>
      <c r="AM2965">
        <v>88.0947554746067</v>
      </c>
      <c r="AN2965">
        <v>0.99999999471516399</v>
      </c>
    </row>
    <row r="2966" spans="1:40" x14ac:dyDescent="0.25">
      <c r="A2966" t="str">
        <f>"20190303171035681"</f>
        <v>20190303171035681</v>
      </c>
      <c r="B2966" t="str">
        <f>"1551604235673941"</f>
        <v>1551604235673941</v>
      </c>
      <c r="C2966" t="s">
        <v>40</v>
      </c>
      <c r="D2966">
        <v>4.3953639999999998</v>
      </c>
      <c r="E2966">
        <v>0.5350163</v>
      </c>
      <c r="F2966" t="s">
        <v>52</v>
      </c>
      <c r="G2966">
        <v>-179.95779999999999</v>
      </c>
      <c r="H2966">
        <v>1.5571730000000001E-2</v>
      </c>
      <c r="I2966">
        <v>203.60290000000001</v>
      </c>
      <c r="J2966">
        <v>-291.70240000000001</v>
      </c>
      <c r="K2966">
        <v>1.1208020000000001</v>
      </c>
      <c r="L2966">
        <v>214.636</v>
      </c>
      <c r="M2966">
        <v>0.99981489999999995</v>
      </c>
      <c r="N2966">
        <v>-1.4440649999999999E-2</v>
      </c>
      <c r="O2966">
        <v>1.27232E-2</v>
      </c>
      <c r="P2966">
        <v>0.97678149999999997</v>
      </c>
      <c r="Q2966">
        <v>0.21327699999999999</v>
      </c>
      <c r="R2966">
        <v>-2.027634E-2</v>
      </c>
      <c r="S2966">
        <v>3.0716860000000001</v>
      </c>
      <c r="T2966">
        <v>-3.026295E-2</v>
      </c>
      <c r="U2966">
        <v>-0.30195620000000001</v>
      </c>
      <c r="V2966">
        <v>3.2847769999999998E-2</v>
      </c>
      <c r="W2966">
        <v>0.2273348</v>
      </c>
      <c r="X2966">
        <v>0.97326250000000003</v>
      </c>
      <c r="Y2966">
        <v>0.1104738</v>
      </c>
      <c r="Z2966">
        <v>-1.284337E-3</v>
      </c>
      <c r="AA2966">
        <v>0.99387820000000004</v>
      </c>
      <c r="AB2966">
        <v>43</v>
      </c>
      <c r="AC2966">
        <v>111.74460000000001</v>
      </c>
      <c r="AD2966">
        <v>-1.1052302700000001</v>
      </c>
      <c r="AE2966">
        <v>-11.0330999999999</v>
      </c>
      <c r="AF2966">
        <v>12.452897291924399</v>
      </c>
      <c r="AG2966">
        <v>-1.1052302700000001</v>
      </c>
      <c r="AH2966">
        <v>111.584351774306</v>
      </c>
      <c r="AI2966">
        <v>90.563988534372896</v>
      </c>
      <c r="AJ2966">
        <v>83.632097656089897</v>
      </c>
      <c r="AK2966">
        <v>112.282517543049</v>
      </c>
      <c r="AL2966">
        <v>76.859788984174799</v>
      </c>
      <c r="AM2966">
        <v>88.0669917089281</v>
      </c>
      <c r="AN2966">
        <v>0.99999999059563105</v>
      </c>
    </row>
    <row r="2967" spans="1:40" x14ac:dyDescent="0.25">
      <c r="A2967" t="str">
        <f>"20190303171035702"</f>
        <v>20190303171035702</v>
      </c>
      <c r="B2967" t="str">
        <f>"1551604235693461"</f>
        <v>1551604235693461</v>
      </c>
      <c r="C2967" t="s">
        <v>40</v>
      </c>
      <c r="D2967">
        <v>4.3831559999999996</v>
      </c>
      <c r="E2967">
        <v>0.53461179999999997</v>
      </c>
      <c r="F2967" t="s">
        <v>52</v>
      </c>
      <c r="G2967">
        <v>-179.95519999999999</v>
      </c>
      <c r="H2967">
        <v>5.2566099999999998E-2</v>
      </c>
      <c r="I2967">
        <v>203.71799999999999</v>
      </c>
      <c r="J2967">
        <v>-291.29939999999999</v>
      </c>
      <c r="K2967">
        <v>1.120803</v>
      </c>
      <c r="L2967">
        <v>214.64089999999999</v>
      </c>
      <c r="M2967">
        <v>0.99981750000000003</v>
      </c>
      <c r="N2967">
        <v>-1.443818E-2</v>
      </c>
      <c r="O2967">
        <v>1.251768E-2</v>
      </c>
      <c r="P2967">
        <v>0.97678319999999996</v>
      </c>
      <c r="Q2967">
        <v>0.2131816</v>
      </c>
      <c r="R2967">
        <v>-2.1185510000000001E-2</v>
      </c>
      <c r="S2967">
        <v>3.0715029999999999</v>
      </c>
      <c r="T2967">
        <v>-2.9361720000000001E-2</v>
      </c>
      <c r="U2967">
        <v>-0.30009459999999999</v>
      </c>
      <c r="V2967">
        <v>3.3556669999999997E-2</v>
      </c>
      <c r="W2967">
        <v>0.22723589999999999</v>
      </c>
      <c r="X2967">
        <v>0.97326140000000005</v>
      </c>
      <c r="Y2967">
        <v>0.1096792</v>
      </c>
      <c r="Z2967">
        <v>-1.2558280000000001E-3</v>
      </c>
      <c r="AA2967">
        <v>0.99396620000000002</v>
      </c>
      <c r="AB2967">
        <v>43</v>
      </c>
      <c r="AC2967">
        <v>111.3442</v>
      </c>
      <c r="AD2967">
        <v>-1.0682368999999901</v>
      </c>
      <c r="AE2967">
        <v>-10.922899999999901</v>
      </c>
      <c r="AF2967">
        <v>12.314837538551</v>
      </c>
      <c r="AG2967">
        <v>-1.0682368999999901</v>
      </c>
      <c r="AH2967">
        <v>111.18859404797</v>
      </c>
      <c r="AI2967">
        <v>90.547103179896595</v>
      </c>
      <c r="AJ2967">
        <v>83.679890165538694</v>
      </c>
      <c r="AK2967">
        <v>111.873588482893</v>
      </c>
      <c r="AL2967">
        <v>76.865607665207705</v>
      </c>
      <c r="AM2967">
        <v>88.025305183338205</v>
      </c>
      <c r="AN2967">
        <v>0.99999997854012901</v>
      </c>
    </row>
    <row r="2968" spans="1:40" x14ac:dyDescent="0.25">
      <c r="A2968" t="str">
        <f>"20190303171035724"</f>
        <v>20190303171035724</v>
      </c>
      <c r="B2968" t="str">
        <f>"1551604235713957"</f>
        <v>1551604235713957</v>
      </c>
      <c r="C2968" t="s">
        <v>40</v>
      </c>
      <c r="D2968">
        <v>4.4660010000000003</v>
      </c>
      <c r="E2968">
        <v>0.53444480000000005</v>
      </c>
      <c r="F2968" t="s">
        <v>52</v>
      </c>
      <c r="G2968">
        <v>-179.93119999999999</v>
      </c>
      <c r="H2968">
        <v>7.650825E-2</v>
      </c>
      <c r="I2968">
        <v>203.78399999999999</v>
      </c>
      <c r="J2968">
        <v>-290.87920000000003</v>
      </c>
      <c r="K2968">
        <v>1.120808</v>
      </c>
      <c r="L2968">
        <v>214.64599999999999</v>
      </c>
      <c r="M2968">
        <v>0.99982020000000005</v>
      </c>
      <c r="N2968">
        <v>-1.443561E-2</v>
      </c>
      <c r="O2968">
        <v>1.2303049999999999E-2</v>
      </c>
      <c r="P2968">
        <v>0.97674300000000003</v>
      </c>
      <c r="Q2968">
        <v>0.21329899999999999</v>
      </c>
      <c r="R2968">
        <v>-2.183235E-2</v>
      </c>
      <c r="S2968">
        <v>3.0711059999999999</v>
      </c>
      <c r="T2968">
        <v>-2.8797630000000001E-2</v>
      </c>
      <c r="U2968">
        <v>-0.29939270000000001</v>
      </c>
      <c r="V2968">
        <v>3.3994400000000001E-2</v>
      </c>
      <c r="W2968">
        <v>0.2273501</v>
      </c>
      <c r="X2968">
        <v>0.97321959999999996</v>
      </c>
      <c r="Y2968">
        <v>0.10925360000000001</v>
      </c>
      <c r="Z2968">
        <v>-1.239466E-3</v>
      </c>
      <c r="AA2968">
        <v>0.99401309999999998</v>
      </c>
      <c r="AB2968">
        <v>43</v>
      </c>
      <c r="AC2968">
        <v>110.94799999999999</v>
      </c>
      <c r="AD2968">
        <v>-1.04429975</v>
      </c>
      <c r="AE2968">
        <v>-10.861999999999901</v>
      </c>
      <c r="AF2968">
        <v>12.2252458275225</v>
      </c>
      <c r="AG2968">
        <v>-1.04429975</v>
      </c>
      <c r="AH2968">
        <v>110.796228616284</v>
      </c>
      <c r="AI2968">
        <v>90.536762716879693</v>
      </c>
      <c r="AJ2968">
        <v>83.703459682594399</v>
      </c>
      <c r="AK2968">
        <v>111.47354606857699</v>
      </c>
      <c r="AL2968">
        <v>76.858889427926002</v>
      </c>
      <c r="AM2968">
        <v>87.999481220186695</v>
      </c>
      <c r="AN2968">
        <v>1.0000000385127601</v>
      </c>
    </row>
    <row r="2969" spans="1:40" x14ac:dyDescent="0.25">
      <c r="A2969" t="str">
        <f>"20190303171035748"</f>
        <v>20190303171035748</v>
      </c>
      <c r="B2969" t="str">
        <f>"1551604235733477"</f>
        <v>1551604235733477</v>
      </c>
      <c r="C2969" t="s">
        <v>40</v>
      </c>
      <c r="D2969">
        <v>4.4568719999999997</v>
      </c>
      <c r="E2969">
        <v>0.53474919999999904</v>
      </c>
      <c r="F2969" t="s">
        <v>52</v>
      </c>
      <c r="G2969">
        <v>-178.73140000000001</v>
      </c>
      <c r="H2969">
        <v>8.0001600000000006E-2</v>
      </c>
      <c r="I2969">
        <v>203.69730000000001</v>
      </c>
      <c r="J2969">
        <v>-290.44729999999998</v>
      </c>
      <c r="K2969">
        <v>1.1208149999999999</v>
      </c>
      <c r="L2969">
        <v>214.65110000000001</v>
      </c>
      <c r="M2969">
        <v>0.99982289999999996</v>
      </c>
      <c r="N2969">
        <v>-1.443297E-2</v>
      </c>
      <c r="O2969">
        <v>1.208241E-2</v>
      </c>
      <c r="P2969">
        <v>0.97664189999999995</v>
      </c>
      <c r="Q2969">
        <v>0.213618</v>
      </c>
      <c r="R2969">
        <v>-2.3198099999999999E-2</v>
      </c>
      <c r="S2969">
        <v>3.0709230000000001</v>
      </c>
      <c r="T2969">
        <v>-2.85002E-2</v>
      </c>
      <c r="U2969">
        <v>-0.29980469999999998</v>
      </c>
      <c r="V2969">
        <v>3.5144040000000001E-2</v>
      </c>
      <c r="W2969">
        <v>0.2276639</v>
      </c>
      <c r="X2969">
        <v>0.97310540000000001</v>
      </c>
      <c r="Y2969">
        <v>0.1091722</v>
      </c>
      <c r="Z2969">
        <v>-1.2330939999999999E-3</v>
      </c>
      <c r="AA2969">
        <v>0.99402210000000002</v>
      </c>
      <c r="AB2969">
        <v>43</v>
      </c>
      <c r="AC2969">
        <v>111.715899999999</v>
      </c>
      <c r="AD2969">
        <v>-1.04081339999999</v>
      </c>
      <c r="AE2969">
        <v>-10.953799999999999</v>
      </c>
      <c r="AF2969">
        <v>12.301880467856799</v>
      </c>
      <c r="AG2969">
        <v>-1.04081339999999</v>
      </c>
      <c r="AH2969">
        <v>111.565789911181</v>
      </c>
      <c r="AI2969">
        <v>90.531285234735705</v>
      </c>
      <c r="AJ2969">
        <v>83.707660180800104</v>
      </c>
      <c r="AK2969">
        <v>112.246804115239</v>
      </c>
      <c r="AL2969">
        <v>76.840425814375195</v>
      </c>
      <c r="AM2969">
        <v>87.931641946693006</v>
      </c>
      <c r="AN2969">
        <v>1.00000003720994</v>
      </c>
    </row>
    <row r="2970" spans="1:40" x14ac:dyDescent="0.25">
      <c r="A2970" t="str">
        <f>"20190303171035771"</f>
        <v>20190303171035771</v>
      </c>
      <c r="B2970" t="str">
        <f>"1551604235763733"</f>
        <v>1551604235763733</v>
      </c>
      <c r="C2970" t="s">
        <v>40</v>
      </c>
      <c r="D2970">
        <v>4.4504219999999997</v>
      </c>
      <c r="E2970">
        <v>0.53496440000000001</v>
      </c>
      <c r="F2970" t="s">
        <v>50</v>
      </c>
      <c r="G2970">
        <v>-168.4118</v>
      </c>
      <c r="H2970">
        <v>3.9422989999999998E-2</v>
      </c>
      <c r="I2970">
        <v>202.495</v>
      </c>
      <c r="J2970">
        <v>-289.99700000000001</v>
      </c>
      <c r="K2970">
        <v>1.1208180000000001</v>
      </c>
      <c r="L2970">
        <v>214.65639999999999</v>
      </c>
      <c r="M2970">
        <v>0.99982570000000004</v>
      </c>
      <c r="N2970">
        <v>-1.443005E-2</v>
      </c>
      <c r="O2970">
        <v>1.185253E-2</v>
      </c>
      <c r="P2970">
        <v>0.9764389</v>
      </c>
      <c r="Q2970">
        <v>0.21443680000000001</v>
      </c>
      <c r="R2970">
        <v>-2.416685E-2</v>
      </c>
      <c r="S2970">
        <v>3.0704039999999999</v>
      </c>
      <c r="T2970">
        <v>-2.7206899999999999E-2</v>
      </c>
      <c r="U2970">
        <v>-0.30584719999999999</v>
      </c>
      <c r="V2970">
        <v>3.5886870000000001E-2</v>
      </c>
      <c r="W2970">
        <v>0.2284764</v>
      </c>
      <c r="X2970">
        <v>0.97288779999999997</v>
      </c>
      <c r="Y2970">
        <v>0.1108977</v>
      </c>
      <c r="Z2970">
        <v>-1.2264769999999999E-3</v>
      </c>
      <c r="AA2970">
        <v>0.99383109999999997</v>
      </c>
      <c r="AB2970">
        <v>43</v>
      </c>
      <c r="AC2970">
        <v>121.5852</v>
      </c>
      <c r="AD2970">
        <v>-1.08139501</v>
      </c>
      <c r="AE2970">
        <v>-12.161399999999899</v>
      </c>
      <c r="AF2970">
        <v>13.6007225147301</v>
      </c>
      <c r="AG2970">
        <v>-1.08139501</v>
      </c>
      <c r="AH2970">
        <v>121.42298917621</v>
      </c>
      <c r="AI2970">
        <v>90.507092571366201</v>
      </c>
      <c r="AJ2970">
        <v>83.608876613686704</v>
      </c>
      <c r="AK2970">
        <v>122.18711621352099</v>
      </c>
      <c r="AL2970">
        <v>76.7926123971762</v>
      </c>
      <c r="AM2970">
        <v>87.887490850402898</v>
      </c>
      <c r="AN2970">
        <v>1.0000000020920901</v>
      </c>
    </row>
    <row r="2971" spans="1:40" x14ac:dyDescent="0.25">
      <c r="A2971" t="str">
        <f>"20190303171035792"</f>
        <v>20190303171035792</v>
      </c>
      <c r="B2971" t="str">
        <f>"1551604235783252"</f>
        <v>1551604235783252</v>
      </c>
      <c r="C2971" t="s">
        <v>40</v>
      </c>
      <c r="D2971">
        <v>4.4339579999999996</v>
      </c>
      <c r="E2971">
        <v>0.53471000000000002</v>
      </c>
      <c r="F2971" t="s">
        <v>50</v>
      </c>
      <c r="G2971">
        <v>-168.4119</v>
      </c>
      <c r="H2971">
        <v>0.163187</v>
      </c>
      <c r="I2971">
        <v>202.38290000000001</v>
      </c>
      <c r="J2971">
        <v>-289.59039999999999</v>
      </c>
      <c r="K2971">
        <v>1.120819</v>
      </c>
      <c r="L2971">
        <v>214.661</v>
      </c>
      <c r="M2971">
        <v>0.9998281</v>
      </c>
      <c r="N2971">
        <v>-1.442733E-2</v>
      </c>
      <c r="O2971">
        <v>1.1644720000000001E-2</v>
      </c>
      <c r="P2971">
        <v>0.97639069999999994</v>
      </c>
      <c r="Q2971">
        <v>0.21456700000000001</v>
      </c>
      <c r="R2971">
        <v>-2.4943079999999999E-2</v>
      </c>
      <c r="S2971">
        <v>3.0700379999999998</v>
      </c>
      <c r="T2971">
        <v>-2.417946E-2</v>
      </c>
      <c r="U2971">
        <v>-0.30990600000000001</v>
      </c>
      <c r="V2971">
        <v>3.6460109999999997E-2</v>
      </c>
      <c r="W2971">
        <v>0.22860269999999999</v>
      </c>
      <c r="X2971">
        <v>0.97283679999999995</v>
      </c>
      <c r="Y2971">
        <v>0.1120051</v>
      </c>
      <c r="Z2971">
        <v>-1.1739669999999999E-3</v>
      </c>
      <c r="AA2971">
        <v>0.99370689999999995</v>
      </c>
      <c r="AB2971">
        <v>43</v>
      </c>
      <c r="AC2971">
        <v>121.1785</v>
      </c>
      <c r="AD2971">
        <v>-0.95763199999999904</v>
      </c>
      <c r="AE2971">
        <v>-12.278099999999901</v>
      </c>
      <c r="AF2971">
        <v>13.6876578110944</v>
      </c>
      <c r="AG2971">
        <v>-0.95763199999999904</v>
      </c>
      <c r="AH2971">
        <v>121.019811094993</v>
      </c>
      <c r="AI2971">
        <v>90.450500925166594</v>
      </c>
      <c r="AJ2971">
        <v>83.547119453037695</v>
      </c>
      <c r="AK2971">
        <v>121.795171139372</v>
      </c>
      <c r="AL2971">
        <v>76.7851790120028</v>
      </c>
      <c r="AM2971">
        <v>87.853665522387701</v>
      </c>
      <c r="AN2971">
        <v>0.99999998675137003</v>
      </c>
    </row>
    <row r="2972" spans="1:40" x14ac:dyDescent="0.25">
      <c r="A2972" t="str">
        <f>"20190303171035815"</f>
        <v>20190303171035815</v>
      </c>
      <c r="B2972" t="str">
        <f>"1551604235803749"</f>
        <v>1551604235803749</v>
      </c>
      <c r="C2972" t="s">
        <v>40</v>
      </c>
      <c r="D2972">
        <v>4.4566089999999896</v>
      </c>
      <c r="E2972">
        <v>0.53508750000000005</v>
      </c>
      <c r="F2972" t="s">
        <v>50</v>
      </c>
      <c r="G2972">
        <v>-168.4119</v>
      </c>
      <c r="H2972">
        <v>0.17556189999999999</v>
      </c>
      <c r="I2972">
        <v>202.4171</v>
      </c>
      <c r="J2972">
        <v>-289.15550000000002</v>
      </c>
      <c r="K2972">
        <v>1.120819</v>
      </c>
      <c r="L2972">
        <v>214.66589999999999</v>
      </c>
      <c r="M2972">
        <v>0.99983069999999996</v>
      </c>
      <c r="N2972">
        <v>-1.442445E-2</v>
      </c>
      <c r="O2972">
        <v>1.142254E-2</v>
      </c>
      <c r="P2972">
        <v>0.97643500000000005</v>
      </c>
      <c r="Q2972">
        <v>0.21432619999999999</v>
      </c>
      <c r="R2972">
        <v>-2.528153E-2</v>
      </c>
      <c r="S2972">
        <v>3.0698850000000002</v>
      </c>
      <c r="T2972">
        <v>-2.3945930000000001E-2</v>
      </c>
      <c r="U2972">
        <v>-0.31018069999999998</v>
      </c>
      <c r="V2972">
        <v>3.6581860000000001E-2</v>
      </c>
      <c r="W2972">
        <v>0.2283599</v>
      </c>
      <c r="X2972">
        <v>0.97288920000000001</v>
      </c>
      <c r="Y2972">
        <v>0.1118773</v>
      </c>
      <c r="Z2972">
        <v>-1.1687799999999999E-3</v>
      </c>
      <c r="AA2972">
        <v>0.99372130000000003</v>
      </c>
      <c r="AB2972">
        <v>43</v>
      </c>
      <c r="AC2972">
        <v>120.7436</v>
      </c>
      <c r="AD2972">
        <v>-0.94525709999999996</v>
      </c>
      <c r="AE2972">
        <v>-12.2487999999999</v>
      </c>
      <c r="AF2972">
        <v>13.6265162289177</v>
      </c>
      <c r="AG2972">
        <v>-0.94525709999999996</v>
      </c>
      <c r="AH2972">
        <v>120.588478879573</v>
      </c>
      <c r="AI2972">
        <v>90.446275221099995</v>
      </c>
      <c r="AJ2972">
        <v>83.552916498204794</v>
      </c>
      <c r="AK2972">
        <v>121.359617229173</v>
      </c>
      <c r="AL2972">
        <v>76.799467723427995</v>
      </c>
      <c r="AM2972">
        <v>87.846620956248202</v>
      </c>
      <c r="AN2972">
        <v>0.99999993594285197</v>
      </c>
    </row>
    <row r="2973" spans="1:40" x14ac:dyDescent="0.25">
      <c r="A2973" t="str">
        <f>"20190303171035837"</f>
        <v>20190303171035837</v>
      </c>
      <c r="B2973" t="str">
        <f>"1551604235823269"</f>
        <v>1551604235823269</v>
      </c>
      <c r="C2973" t="s">
        <v>40</v>
      </c>
      <c r="D2973">
        <v>4.4646970000000001</v>
      </c>
      <c r="E2973">
        <v>0.53506390000000004</v>
      </c>
      <c r="F2973" t="s">
        <v>50</v>
      </c>
      <c r="G2973">
        <v>-168.4119</v>
      </c>
      <c r="H2973">
        <v>0.14052770000000001</v>
      </c>
      <c r="I2973">
        <v>202.31290000000001</v>
      </c>
      <c r="J2973">
        <v>-288.74</v>
      </c>
      <c r="K2973">
        <v>1.120816</v>
      </c>
      <c r="L2973">
        <v>214.6704</v>
      </c>
      <c r="M2973">
        <v>0.99983319999999998</v>
      </c>
      <c r="N2973">
        <v>-1.4421679999999999E-2</v>
      </c>
      <c r="O2973">
        <v>1.120966E-2</v>
      </c>
      <c r="P2973">
        <v>0.97645800000000005</v>
      </c>
      <c r="Q2973">
        <v>0.2141305</v>
      </c>
      <c r="R2973">
        <v>-2.6040170000000001E-2</v>
      </c>
      <c r="S2973">
        <v>3.0697329999999998</v>
      </c>
      <c r="T2973">
        <v>-2.4921660000000002E-2</v>
      </c>
      <c r="U2973">
        <v>-0.31405640000000001</v>
      </c>
      <c r="V2973">
        <v>3.7132699999999998E-2</v>
      </c>
      <c r="W2973">
        <v>0.22816120000000001</v>
      </c>
      <c r="X2973">
        <v>0.97291499999999997</v>
      </c>
      <c r="Y2973">
        <v>0.1129119</v>
      </c>
      <c r="Z2973">
        <v>-1.2030739999999999E-3</v>
      </c>
      <c r="AA2973">
        <v>0.9936043</v>
      </c>
      <c r="AB2973">
        <v>43</v>
      </c>
      <c r="AC2973">
        <v>120.32810000000001</v>
      </c>
      <c r="AD2973">
        <v>-0.9802883</v>
      </c>
      <c r="AE2973">
        <v>-12.3574999999999</v>
      </c>
      <c r="AF2973">
        <v>13.704800649807201</v>
      </c>
      <c r="AG2973">
        <v>-0.9802883</v>
      </c>
      <c r="AH2973">
        <v>120.174107668964</v>
      </c>
      <c r="AI2973">
        <v>90.4643550330469</v>
      </c>
      <c r="AJ2973">
        <v>83.494027076439806</v>
      </c>
      <c r="AK2973">
        <v>120.957011702645</v>
      </c>
      <c r="AL2973">
        <v>76.811161743821302</v>
      </c>
      <c r="AM2973">
        <v>87.814285066734698</v>
      </c>
      <c r="AN2973">
        <v>0.999999983909864</v>
      </c>
    </row>
    <row r="2974" spans="1:40" x14ac:dyDescent="0.25">
      <c r="A2974" t="str">
        <f>"20190303171035859"</f>
        <v>20190303171035859</v>
      </c>
      <c r="B2974" t="str">
        <f>"1551604235853528"</f>
        <v>1551604235853528</v>
      </c>
      <c r="C2974" t="s">
        <v>40</v>
      </c>
      <c r="D2974">
        <v>4.4579490000000002</v>
      </c>
      <c r="E2974">
        <v>0.53505979999999997</v>
      </c>
      <c r="F2974" t="s">
        <v>50</v>
      </c>
      <c r="G2974">
        <v>-168.4119</v>
      </c>
      <c r="H2974">
        <v>0.15708539999999999</v>
      </c>
      <c r="I2974">
        <v>202.26240000000001</v>
      </c>
      <c r="J2974">
        <v>-288.31299999999999</v>
      </c>
      <c r="K2974">
        <v>1.120816</v>
      </c>
      <c r="L2974">
        <v>214.67500000000001</v>
      </c>
      <c r="M2974">
        <v>0.99983569999999999</v>
      </c>
      <c r="N2974">
        <v>-1.441897E-2</v>
      </c>
      <c r="O2974">
        <v>1.099077E-2</v>
      </c>
      <c r="P2974">
        <v>0.97644909999999996</v>
      </c>
      <c r="Q2974">
        <v>0.2141226</v>
      </c>
      <c r="R2974">
        <v>-2.643711E-2</v>
      </c>
      <c r="S2974">
        <v>3.0692750000000002</v>
      </c>
      <c r="T2974">
        <v>-2.4581550000000001E-2</v>
      </c>
      <c r="U2974">
        <v>-0.3164978</v>
      </c>
      <c r="V2974">
        <v>3.7315929999999997E-2</v>
      </c>
      <c r="W2974">
        <v>0.22815099999999999</v>
      </c>
      <c r="X2974">
        <v>0.97291039999999995</v>
      </c>
      <c r="Y2974">
        <v>0.1134916</v>
      </c>
      <c r="Z2974">
        <v>-1.203476E-3</v>
      </c>
      <c r="AA2974">
        <v>0.99353829999999999</v>
      </c>
      <c r="AB2974">
        <v>43</v>
      </c>
      <c r="AC2974">
        <v>119.9011</v>
      </c>
      <c r="AD2974">
        <v>-0.96373059999999999</v>
      </c>
      <c r="AE2974">
        <v>-12.4125999999999</v>
      </c>
      <c r="AF2974">
        <v>13.7289149079725</v>
      </c>
      <c r="AG2974">
        <v>-0.96373059999999999</v>
      </c>
      <c r="AH2974">
        <v>119.749763841801</v>
      </c>
      <c r="AI2974">
        <v>90.458098428327901</v>
      </c>
      <c r="AJ2974">
        <v>83.459782946169994</v>
      </c>
      <c r="AK2974">
        <v>120.538034749978</v>
      </c>
      <c r="AL2974">
        <v>76.811762234553001</v>
      </c>
      <c r="AM2974">
        <v>87.803499896475003</v>
      </c>
      <c r="AN2974">
        <v>1.00000000193046</v>
      </c>
    </row>
    <row r="2975" spans="1:40" x14ac:dyDescent="0.25">
      <c r="A2975" t="str">
        <f>"20190303171035881"</f>
        <v>20190303171035881</v>
      </c>
      <c r="B2975" t="str">
        <f>"1551604235874021"</f>
        <v>1551604235874021</v>
      </c>
      <c r="C2975" t="s">
        <v>40</v>
      </c>
      <c r="D2975">
        <v>4.4439830000000002</v>
      </c>
      <c r="E2975">
        <v>0.53509989999999996</v>
      </c>
      <c r="F2975" t="s">
        <v>50</v>
      </c>
      <c r="G2975">
        <v>-168.4119</v>
      </c>
      <c r="H2975">
        <v>0.16896630000000001</v>
      </c>
      <c r="I2975">
        <v>202.26910000000001</v>
      </c>
      <c r="J2975">
        <v>-287.8913</v>
      </c>
      <c r="K2975">
        <v>1.1208119999999999</v>
      </c>
      <c r="L2975">
        <v>214.67939999999999</v>
      </c>
      <c r="M2975">
        <v>0.99983820000000001</v>
      </c>
      <c r="N2975">
        <v>-1.441635E-2</v>
      </c>
      <c r="O2975">
        <v>1.077432E-2</v>
      </c>
      <c r="P2975">
        <v>0.97627010000000003</v>
      </c>
      <c r="Q2975">
        <v>0.21494179999999999</v>
      </c>
      <c r="R2975">
        <v>-2.640021E-2</v>
      </c>
      <c r="S2975">
        <v>3.0690919999999999</v>
      </c>
      <c r="T2975">
        <v>-2.436352E-2</v>
      </c>
      <c r="U2975">
        <v>-0.31755070000000002</v>
      </c>
      <c r="V2975">
        <v>3.7066179999999997E-2</v>
      </c>
      <c r="W2975">
        <v>0.22896520000000001</v>
      </c>
      <c r="X2975">
        <v>0.9727287</v>
      </c>
      <c r="Y2975">
        <v>0.113619899999999</v>
      </c>
      <c r="Z2975">
        <v>-1.201429E-3</v>
      </c>
      <c r="AA2975">
        <v>0.99352359999999995</v>
      </c>
      <c r="AB2975">
        <v>42</v>
      </c>
      <c r="AC2975">
        <v>119.4794</v>
      </c>
      <c r="AD2975">
        <v>-0.95184570000000002</v>
      </c>
      <c r="AE2975">
        <v>-12.4102999999999</v>
      </c>
      <c r="AF2975">
        <v>13.6961623847717</v>
      </c>
      <c r="AG2975">
        <v>-0.95184570000000002</v>
      </c>
      <c r="AH2975">
        <v>119.331244259649</v>
      </c>
      <c r="AI2975">
        <v>90.454029519588403</v>
      </c>
      <c r="AJ2975">
        <v>83.452565677813993</v>
      </c>
      <c r="AK2975">
        <v>120.118427940356</v>
      </c>
      <c r="AL2975">
        <v>76.763844185792706</v>
      </c>
      <c r="AM2975">
        <v>87.8177793356179</v>
      </c>
      <c r="AN2975">
        <v>1.0000000441572601</v>
      </c>
    </row>
    <row r="2976" spans="1:40" x14ac:dyDescent="0.25">
      <c r="A2976" t="str">
        <f>"20190303171035903"</f>
        <v>20190303171035903</v>
      </c>
      <c r="B2976" t="str">
        <f>"1551604235893541"</f>
        <v>1551604235893541</v>
      </c>
      <c r="C2976" t="s">
        <v>40</v>
      </c>
      <c r="D2976">
        <v>4.463571</v>
      </c>
      <c r="E2976">
        <v>0.53513060000000001</v>
      </c>
      <c r="F2976" t="s">
        <v>50</v>
      </c>
      <c r="G2976">
        <v>-168.41200000000001</v>
      </c>
      <c r="H2976">
        <v>0.27679819999999999</v>
      </c>
      <c r="I2976">
        <v>202.32730000000001</v>
      </c>
      <c r="J2976">
        <v>-287.48289999999997</v>
      </c>
      <c r="K2976">
        <v>1.120816</v>
      </c>
      <c r="L2976">
        <v>214.68360000000001</v>
      </c>
      <c r="M2976">
        <v>0.99984030000000002</v>
      </c>
      <c r="N2976">
        <v>-1.4413810000000001E-2</v>
      </c>
      <c r="O2976">
        <v>1.0564789999999999E-2</v>
      </c>
      <c r="P2976">
        <v>0.97624739999999999</v>
      </c>
      <c r="Q2976">
        <v>0.21504570000000001</v>
      </c>
      <c r="R2976">
        <v>-2.6389659999999999E-2</v>
      </c>
      <c r="S2976">
        <v>3.0690919999999999</v>
      </c>
      <c r="T2976">
        <v>-2.1679520000000001E-2</v>
      </c>
      <c r="U2976">
        <v>-0.3172913</v>
      </c>
      <c r="V2976">
        <v>3.6850800000000003E-2</v>
      </c>
      <c r="W2976">
        <v>0.22906599999999999</v>
      </c>
      <c r="X2976">
        <v>0.9727131</v>
      </c>
      <c r="Y2976">
        <v>0.11333</v>
      </c>
      <c r="Z2976">
        <v>-1.1407780000000001E-3</v>
      </c>
      <c r="AA2976">
        <v>0.99355669999999996</v>
      </c>
      <c r="AB2976">
        <v>42</v>
      </c>
      <c r="AC2976">
        <v>119.070899999999</v>
      </c>
      <c r="AD2976">
        <v>-0.84401780000000004</v>
      </c>
      <c r="AE2976">
        <v>-12.356299999999999</v>
      </c>
      <c r="AF2976">
        <v>13.613023317405499</v>
      </c>
      <c r="AG2976">
        <v>-0.84401780000000004</v>
      </c>
      <c r="AH2976">
        <v>118.927786268783</v>
      </c>
      <c r="AI2976">
        <v>90.403977417344393</v>
      </c>
      <c r="AJ2976">
        <v>83.470080328092394</v>
      </c>
      <c r="AK2976">
        <v>119.707331089956</v>
      </c>
      <c r="AL2976">
        <v>76.757910414660898</v>
      </c>
      <c r="AM2976">
        <v>87.830412624764605</v>
      </c>
      <c r="AN2976">
        <v>0.99999999436412501</v>
      </c>
    </row>
    <row r="2977" spans="1:40" x14ac:dyDescent="0.25">
      <c r="A2977" t="str">
        <f>"20190303171035925"</f>
        <v>20190303171035925</v>
      </c>
      <c r="B2977" t="str">
        <f>"1551604235914040"</f>
        <v>1551604235914040</v>
      </c>
      <c r="C2977" t="s">
        <v>40</v>
      </c>
      <c r="D2977">
        <v>4.5017709999999997</v>
      </c>
      <c r="E2977">
        <v>0.53525749999999905</v>
      </c>
      <c r="F2977" t="s">
        <v>50</v>
      </c>
      <c r="G2977">
        <v>-168.4119</v>
      </c>
      <c r="H2977">
        <v>0.27641870000000002</v>
      </c>
      <c r="I2977">
        <v>202.37950000000001</v>
      </c>
      <c r="J2977">
        <v>-287.06009999999998</v>
      </c>
      <c r="K2977">
        <v>1.1208209999999901</v>
      </c>
      <c r="L2977">
        <v>214.68790000000001</v>
      </c>
      <c r="M2977">
        <v>0.99984260000000003</v>
      </c>
      <c r="N2977">
        <v>-1.4411200000000001E-2</v>
      </c>
      <c r="O2977">
        <v>1.0347800000000001E-2</v>
      </c>
      <c r="P2977">
        <v>0.97625729999999999</v>
      </c>
      <c r="Q2977">
        <v>0.21498610000000001</v>
      </c>
      <c r="R2977">
        <v>-2.6506709999999999E-2</v>
      </c>
      <c r="S2977">
        <v>3.0692140000000001</v>
      </c>
      <c r="T2977">
        <v>-2.1764639999999998E-2</v>
      </c>
      <c r="U2977">
        <v>-0.31715389999999999</v>
      </c>
      <c r="V2977">
        <v>3.6755790000000003E-2</v>
      </c>
      <c r="W2977">
        <v>0.22900419999999999</v>
      </c>
      <c r="X2977">
        <v>0.97273120000000002</v>
      </c>
      <c r="Y2977">
        <v>0.11306629999999999</v>
      </c>
      <c r="Z2977">
        <v>-1.141242E-3</v>
      </c>
      <c r="AA2977">
        <v>0.99358679999999999</v>
      </c>
      <c r="AB2977">
        <v>42</v>
      </c>
      <c r="AC2977">
        <v>118.64819999999899</v>
      </c>
      <c r="AD2977">
        <v>-0.84440229999999905</v>
      </c>
      <c r="AE2977">
        <v>-12.308400000000001</v>
      </c>
      <c r="AF2977">
        <v>13.5349379958298</v>
      </c>
      <c r="AG2977">
        <v>-0.84440229999999905</v>
      </c>
      <c r="AH2977">
        <v>118.508529667453</v>
      </c>
      <c r="AI2977">
        <v>90.405602856298898</v>
      </c>
      <c r="AJ2977">
        <v>83.4844428454998</v>
      </c>
      <c r="AK2977">
        <v>119.28193143027499</v>
      </c>
      <c r="AL2977">
        <v>76.761547383623295</v>
      </c>
      <c r="AM2977">
        <v>87.836041232750205</v>
      </c>
      <c r="AN2977">
        <v>0.99999994958479999</v>
      </c>
    </row>
    <row r="2978" spans="1:40" x14ac:dyDescent="0.25">
      <c r="A2978" t="str">
        <f>"20190303171035949"</f>
        <v>20190303171035949</v>
      </c>
      <c r="B2978" t="str">
        <f>"1551604235943320"</f>
        <v>1551604235943320</v>
      </c>
      <c r="C2978" t="s">
        <v>40</v>
      </c>
      <c r="D2978">
        <v>4.6752849999999997</v>
      </c>
      <c r="E2978">
        <v>0.53534729999999997</v>
      </c>
      <c r="F2978" t="s">
        <v>50</v>
      </c>
      <c r="G2978">
        <v>-168.4119</v>
      </c>
      <c r="H2978">
        <v>0.2523975</v>
      </c>
      <c r="I2978">
        <v>202.3776</v>
      </c>
      <c r="J2978">
        <v>-286.62020000000001</v>
      </c>
      <c r="K2978">
        <v>1.1208229999999999</v>
      </c>
      <c r="L2978">
        <v>214.69220000000001</v>
      </c>
      <c r="M2978">
        <v>0.99984510000000004</v>
      </c>
      <c r="N2978">
        <v>-1.440848E-2</v>
      </c>
      <c r="O2978">
        <v>1.0121939999999999E-2</v>
      </c>
      <c r="P2978">
        <v>0.97632580000000002</v>
      </c>
      <c r="Q2978">
        <v>0.21469579999999999</v>
      </c>
      <c r="R2978">
        <v>-2.6344409999999999E-2</v>
      </c>
      <c r="S2978">
        <v>3.0692750000000002</v>
      </c>
      <c r="T2978">
        <v>-2.246416E-2</v>
      </c>
      <c r="U2978">
        <v>-0.31845089999999998</v>
      </c>
      <c r="V2978">
        <v>3.6373589999999997E-2</v>
      </c>
      <c r="W2978">
        <v>0.22871320000000001</v>
      </c>
      <c r="X2978">
        <v>0.97281410000000001</v>
      </c>
      <c r="Y2978">
        <v>0.11325490000000001</v>
      </c>
      <c r="Z2978">
        <v>-1.159967E-3</v>
      </c>
      <c r="AA2978">
        <v>0.99356529999999998</v>
      </c>
      <c r="AB2978">
        <v>42</v>
      </c>
      <c r="AC2978">
        <v>118.20829999999999</v>
      </c>
      <c r="AD2978">
        <v>-0.86842549999999896</v>
      </c>
      <c r="AE2978">
        <v>-12.3146</v>
      </c>
      <c r="AF2978">
        <v>13.5098690574222</v>
      </c>
      <c r="AG2978">
        <v>-0.86842549999999896</v>
      </c>
      <c r="AH2978">
        <v>118.071278451598</v>
      </c>
      <c r="AI2978">
        <v>90.4186766215185</v>
      </c>
      <c r="AJ2978">
        <v>83.472530089692498</v>
      </c>
      <c r="AK2978">
        <v>118.844846417472</v>
      </c>
      <c r="AL2978">
        <v>76.778675971663702</v>
      </c>
      <c r="AM2978">
        <v>87.858704118711699</v>
      </c>
      <c r="AN2978">
        <v>1.0000000195312599</v>
      </c>
    </row>
    <row r="2979" spans="1:40" x14ac:dyDescent="0.25">
      <c r="A2979" t="str">
        <f>"20190303171035972"</f>
        <v>20190303171035972</v>
      </c>
      <c r="B2979" t="str">
        <f>"1551604235963814"</f>
        <v>1551604235963814</v>
      </c>
      <c r="C2979" t="s">
        <v>40</v>
      </c>
      <c r="D2979">
        <v>4.5298629999999998</v>
      </c>
      <c r="E2979">
        <v>0.53559089999999998</v>
      </c>
      <c r="F2979" t="s">
        <v>50</v>
      </c>
      <c r="G2979">
        <v>-168.4119</v>
      </c>
      <c r="H2979">
        <v>0.2180367</v>
      </c>
      <c r="I2979">
        <v>202.42830000000001</v>
      </c>
      <c r="J2979">
        <v>-286.18579999999997</v>
      </c>
      <c r="K2979">
        <v>1.120825</v>
      </c>
      <c r="L2979">
        <v>214.69640000000001</v>
      </c>
      <c r="M2979">
        <v>0.99984740000000005</v>
      </c>
      <c r="N2979">
        <v>-1.44058E-2</v>
      </c>
      <c r="O2979">
        <v>9.8988730000000007E-3</v>
      </c>
      <c r="P2979">
        <v>0.97631129999999999</v>
      </c>
      <c r="Q2979">
        <v>0.21472730000000001</v>
      </c>
      <c r="R2979">
        <v>-2.6621720000000001E-2</v>
      </c>
      <c r="S2979">
        <v>3.0693049999999999</v>
      </c>
      <c r="T2979">
        <v>-2.3440240000000001E-2</v>
      </c>
      <c r="U2979">
        <v>-0.31843569999999999</v>
      </c>
      <c r="V2979">
        <v>3.6432850000000003E-2</v>
      </c>
      <c r="W2979">
        <v>0.22874149999999999</v>
      </c>
      <c r="X2979">
        <v>0.97280520000000004</v>
      </c>
      <c r="Y2979">
        <v>0.1130268</v>
      </c>
      <c r="Z2979">
        <v>-1.179998E-3</v>
      </c>
      <c r="AA2979">
        <v>0.99359120000000001</v>
      </c>
      <c r="AB2979">
        <v>42</v>
      </c>
      <c r="AC2979">
        <v>117.773899999999</v>
      </c>
      <c r="AD2979">
        <v>-0.90278829999999999</v>
      </c>
      <c r="AE2979">
        <v>-12.2681</v>
      </c>
      <c r="AF2979">
        <v>13.4326676538727</v>
      </c>
      <c r="AG2979">
        <v>-0.90278829999999999</v>
      </c>
      <c r="AH2979">
        <v>117.639837330763</v>
      </c>
      <c r="AI2979">
        <v>90.436850487598093</v>
      </c>
      <c r="AJ2979">
        <v>83.485912289704999</v>
      </c>
      <c r="AK2979">
        <v>118.407697867251</v>
      </c>
      <c r="AL2979">
        <v>76.777009972455801</v>
      </c>
      <c r="AM2979">
        <v>87.855199162370198</v>
      </c>
      <c r="AN2979">
        <v>0.99999999176420595</v>
      </c>
    </row>
    <row r="2980" spans="1:40" x14ac:dyDescent="0.25">
      <c r="A2980" t="str">
        <f>"20190303171035994"</f>
        <v>20190303171035994</v>
      </c>
      <c r="B2980" t="str">
        <f>"1551604235983333"</f>
        <v>1551604235983333</v>
      </c>
      <c r="C2980" t="s">
        <v>40</v>
      </c>
      <c r="D2980">
        <v>4.4612610000000004</v>
      </c>
      <c r="E2980">
        <v>0.53561320000000001</v>
      </c>
      <c r="F2980" t="s">
        <v>50</v>
      </c>
      <c r="G2980">
        <v>-168.4119</v>
      </c>
      <c r="H2980">
        <v>0.19199749999999999</v>
      </c>
      <c r="I2980">
        <v>202.38120000000001</v>
      </c>
      <c r="J2980">
        <v>-285.77</v>
      </c>
      <c r="K2980">
        <v>1.1208279999999999</v>
      </c>
      <c r="L2980">
        <v>214.7004</v>
      </c>
      <c r="M2980">
        <v>0.99984949999999995</v>
      </c>
      <c r="N2980">
        <v>-1.4403249999999999E-2</v>
      </c>
      <c r="O2980">
        <v>9.6853459999999992E-3</v>
      </c>
      <c r="P2980">
        <v>0.97619299999999998</v>
      </c>
      <c r="Q2980">
        <v>0.21524889999999999</v>
      </c>
      <c r="R2980">
        <v>-2.674677E-2</v>
      </c>
      <c r="S2980">
        <v>3.069366</v>
      </c>
      <c r="T2980">
        <v>-2.42058E-2</v>
      </c>
      <c r="U2980">
        <v>-0.3209534</v>
      </c>
      <c r="V2980">
        <v>3.6348419999999999E-2</v>
      </c>
      <c r="W2980">
        <v>0.2292595</v>
      </c>
      <c r="X2980">
        <v>0.97268639999999995</v>
      </c>
      <c r="Y2980">
        <v>0.11361839999999999</v>
      </c>
      <c r="Z2980">
        <v>-1.2043939999999999E-3</v>
      </c>
      <c r="AA2980">
        <v>0.99352370000000001</v>
      </c>
      <c r="AB2980">
        <v>42</v>
      </c>
      <c r="AC2980">
        <v>117.358099999999</v>
      </c>
      <c r="AD2980">
        <v>-0.9288305</v>
      </c>
      <c r="AE2980">
        <v>-12.319199999999899</v>
      </c>
      <c r="AF2980">
        <v>13.454560024842801</v>
      </c>
      <c r="AG2980">
        <v>-0.9288305</v>
      </c>
      <c r="AH2980">
        <v>117.226003288237</v>
      </c>
      <c r="AI2980">
        <v>90.4510080841102</v>
      </c>
      <c r="AJ2980">
        <v>83.452553501593698</v>
      </c>
      <c r="AK2980">
        <v>117.999253211593</v>
      </c>
      <c r="AL2980">
        <v>76.746520373765605</v>
      </c>
      <c r="AM2980">
        <v>87.859903820309995</v>
      </c>
      <c r="AN2980">
        <v>0.99999997936085205</v>
      </c>
    </row>
    <row r="2981" spans="1:40" x14ac:dyDescent="0.25">
      <c r="A2981" t="str">
        <f>"20190303171036015"</f>
        <v>20190303171036015</v>
      </c>
      <c r="B2981" t="str">
        <f>"1551604236003829"</f>
        <v>1551604236003829</v>
      </c>
      <c r="C2981" t="s">
        <v>40</v>
      </c>
      <c r="D2981">
        <v>4.491225</v>
      </c>
      <c r="E2981">
        <v>0.53577379999999997</v>
      </c>
      <c r="F2981" t="s">
        <v>50</v>
      </c>
      <c r="G2981">
        <v>-168.4119</v>
      </c>
      <c r="H2981">
        <v>0.22391130000000001</v>
      </c>
      <c r="I2981">
        <v>202.39709999999999</v>
      </c>
      <c r="J2981">
        <v>-285.36829999999998</v>
      </c>
      <c r="K2981">
        <v>1.12083</v>
      </c>
      <c r="L2981">
        <v>214.70410000000001</v>
      </c>
      <c r="M2981">
        <v>0.9998513</v>
      </c>
      <c r="N2981">
        <v>-1.4400799999999899E-2</v>
      </c>
      <c r="O2981">
        <v>9.4793849999999999E-3</v>
      </c>
      <c r="P2981">
        <v>0.9762014</v>
      </c>
      <c r="Q2981">
        <v>0.21516840000000001</v>
      </c>
      <c r="R2981">
        <v>-2.7080079999999999E-2</v>
      </c>
      <c r="S2981">
        <v>3.0695190000000001</v>
      </c>
      <c r="T2981">
        <v>-2.3458119999999999E-2</v>
      </c>
      <c r="U2981">
        <v>-0.32179259999999998</v>
      </c>
      <c r="V2981">
        <v>3.6480579999999999E-2</v>
      </c>
      <c r="W2981">
        <v>0.2291764</v>
      </c>
      <c r="X2981">
        <v>0.97270109999999999</v>
      </c>
      <c r="Y2981">
        <v>0.11367770000000001</v>
      </c>
      <c r="Z2981">
        <v>-1.190146E-3</v>
      </c>
      <c r="AA2981">
        <v>0.99351699999999998</v>
      </c>
      <c r="AB2981">
        <v>42</v>
      </c>
      <c r="AC2981">
        <v>116.95639999999899</v>
      </c>
      <c r="AD2981">
        <v>-0.89691869999999996</v>
      </c>
      <c r="AE2981">
        <v>-12.307</v>
      </c>
      <c r="AF2981">
        <v>13.414456447328</v>
      </c>
      <c r="AG2981">
        <v>-0.89691869999999996</v>
      </c>
      <c r="AH2981">
        <v>116.827673614783</v>
      </c>
      <c r="AI2981">
        <v>90.436995888523697</v>
      </c>
      <c r="AJ2981">
        <v>83.449835786594406</v>
      </c>
      <c r="AK2981">
        <v>117.598713543873</v>
      </c>
      <c r="AL2981">
        <v>76.751412740712993</v>
      </c>
      <c r="AM2981">
        <v>87.852162302874802</v>
      </c>
      <c r="AN2981">
        <v>1.0000000424876501</v>
      </c>
    </row>
    <row r="2982" spans="1:40" x14ac:dyDescent="0.25">
      <c r="A2982" t="str">
        <f>"20190303171036030"</f>
        <v>20190303171036030</v>
      </c>
      <c r="B2982" t="str">
        <f>"1551604236023349"</f>
        <v>1551604236023349</v>
      </c>
      <c r="C2982" t="s">
        <v>40</v>
      </c>
      <c r="D2982">
        <v>4.5158719999999999</v>
      </c>
      <c r="E2982">
        <v>0.53566650000000005</v>
      </c>
      <c r="F2982" t="s">
        <v>50</v>
      </c>
      <c r="G2982">
        <v>-168.4119</v>
      </c>
      <c r="H2982">
        <v>0.1972179</v>
      </c>
      <c r="I2982">
        <v>202.35509999999999</v>
      </c>
      <c r="J2982">
        <v>-285.08510000000001</v>
      </c>
      <c r="K2982">
        <v>1.1208309999999999</v>
      </c>
      <c r="L2982">
        <v>214.70660000000001</v>
      </c>
      <c r="M2982">
        <v>0.99985299999999999</v>
      </c>
      <c r="N2982">
        <v>-1.439907E-2</v>
      </c>
      <c r="O2982">
        <v>9.3336170000000006E-3</v>
      </c>
      <c r="P2982">
        <v>0.97613799999999995</v>
      </c>
      <c r="Q2982">
        <v>0.21541830000000001</v>
      </c>
      <c r="R2982">
        <v>-2.7382469999999999E-2</v>
      </c>
      <c r="S2982">
        <v>3.0694889999999999</v>
      </c>
      <c r="T2982">
        <v>-2.423906E-2</v>
      </c>
      <c r="U2982">
        <v>-0.32409670000000002</v>
      </c>
      <c r="V2982">
        <v>3.6640119999999998E-2</v>
      </c>
      <c r="W2982">
        <v>0.22942380000000001</v>
      </c>
      <c r="X2982">
        <v>0.97263679999999997</v>
      </c>
      <c r="Y2982">
        <v>0.114271</v>
      </c>
      <c r="Z2982">
        <v>-1.214478E-3</v>
      </c>
      <c r="AA2982">
        <v>0.99344889999999997</v>
      </c>
      <c r="AB2982">
        <v>42</v>
      </c>
      <c r="AC2982">
        <v>116.67319999999999</v>
      </c>
      <c r="AD2982">
        <v>-0.92361309999999996</v>
      </c>
      <c r="AE2982">
        <v>-12.3515</v>
      </c>
      <c r="AF2982">
        <v>13.439224622838401</v>
      </c>
      <c r="AG2982">
        <v>-0.92361309999999996</v>
      </c>
      <c r="AH2982">
        <v>116.545598064857</v>
      </c>
      <c r="AI2982">
        <v>90.451065354688396</v>
      </c>
      <c r="AJ2982">
        <v>83.422103719849503</v>
      </c>
      <c r="AK2982">
        <v>117.321533607078</v>
      </c>
      <c r="AL2982">
        <v>76.736850003271499</v>
      </c>
      <c r="AM2982">
        <v>87.842635573101305</v>
      </c>
      <c r="AN2982">
        <v>1.0000000615571401</v>
      </c>
    </row>
    <row r="2983" spans="1:40" x14ac:dyDescent="0.25">
      <c r="A2983" t="str">
        <f>"20190303171036042"</f>
        <v>20190303171036042</v>
      </c>
      <c r="B2983" t="str">
        <f>"1551604236034086"</f>
        <v>1551604236034086</v>
      </c>
      <c r="C2983" t="s">
        <v>40</v>
      </c>
      <c r="D2983">
        <v>4.4893280000000004</v>
      </c>
      <c r="E2983">
        <v>0.53566650000000005</v>
      </c>
      <c r="F2983" t="s">
        <v>50</v>
      </c>
      <c r="G2983">
        <v>-168.4119</v>
      </c>
      <c r="H2983">
        <v>0.18971060000000001</v>
      </c>
      <c r="I2983">
        <v>202.39449999999999</v>
      </c>
      <c r="J2983">
        <v>-284.85399999999998</v>
      </c>
      <c r="K2983">
        <v>1.1208309999999999</v>
      </c>
      <c r="L2983">
        <v>214.70869999999999</v>
      </c>
      <c r="M2983">
        <v>0.99985400000000002</v>
      </c>
      <c r="N2983">
        <v>-1.439766E-2</v>
      </c>
      <c r="O2983">
        <v>9.2149650000000003E-3</v>
      </c>
      <c r="P2983">
        <v>0.9761415</v>
      </c>
      <c r="Q2983">
        <v>0.21537709999999999</v>
      </c>
      <c r="R2983">
        <v>-2.7588850000000002E-2</v>
      </c>
      <c r="S2983">
        <v>3.0696409999999998</v>
      </c>
      <c r="T2983">
        <v>-2.4496670000000002E-2</v>
      </c>
      <c r="U2983">
        <v>-0.32392880000000002</v>
      </c>
      <c r="V2983">
        <v>3.6730539999999999E-2</v>
      </c>
      <c r="W2983">
        <v>0.22938159999999999</v>
      </c>
      <c r="X2983">
        <v>0.97264329999999999</v>
      </c>
      <c r="Y2983">
        <v>0.1140941</v>
      </c>
      <c r="Z2983">
        <v>-1.218724E-3</v>
      </c>
      <c r="AA2983">
        <v>0.99346920000000005</v>
      </c>
      <c r="AB2983">
        <v>42</v>
      </c>
      <c r="AC2983">
        <v>116.4421</v>
      </c>
      <c r="AD2983">
        <v>-0.93112039999999996</v>
      </c>
      <c r="AE2983">
        <v>-12.3142</v>
      </c>
      <c r="AF2983">
        <v>13.385951562178199</v>
      </c>
      <c r="AG2983">
        <v>-0.93112039999999996</v>
      </c>
      <c r="AH2983">
        <v>116.316312995579</v>
      </c>
      <c r="AI2983">
        <v>90.455639832759601</v>
      </c>
      <c r="AJ2983">
        <v>83.435148418341399</v>
      </c>
      <c r="AK2983">
        <v>117.08772503260001</v>
      </c>
      <c r="AL2983">
        <v>76.739333571791306</v>
      </c>
      <c r="AM2983">
        <v>87.837331146209706</v>
      </c>
      <c r="AN2983">
        <v>1.0000000200110699</v>
      </c>
    </row>
    <row r="2984" spans="1:40" x14ac:dyDescent="0.25">
      <c r="A2984" t="str">
        <f>"20190303171036054"</f>
        <v>20190303171036054</v>
      </c>
      <c r="B2984" t="str">
        <f>"1551604236043845"</f>
        <v>1551604236043845</v>
      </c>
      <c r="C2984" t="s">
        <v>40</v>
      </c>
      <c r="D2984">
        <v>4.6003189999999998</v>
      </c>
      <c r="E2984">
        <v>0.51528409999999902</v>
      </c>
      <c r="F2984" t="s">
        <v>50</v>
      </c>
      <c r="G2984">
        <v>-168.4119</v>
      </c>
      <c r="H2984">
        <v>0.18532180000000001</v>
      </c>
      <c r="I2984">
        <v>202.3946</v>
      </c>
      <c r="J2984">
        <v>-284.61739999999998</v>
      </c>
      <c r="K2984">
        <v>1.120827</v>
      </c>
      <c r="L2984">
        <v>214.71080000000001</v>
      </c>
      <c r="M2984">
        <v>0.99985520000000006</v>
      </c>
      <c r="N2984">
        <v>-1.439621E-2</v>
      </c>
      <c r="O2984">
        <v>9.0933320000000008E-3</v>
      </c>
      <c r="P2984">
        <v>0.97621040000000003</v>
      </c>
      <c r="Q2984">
        <v>0.2150292</v>
      </c>
      <c r="R2984">
        <v>-2.7864159999999999E-2</v>
      </c>
      <c r="S2984">
        <v>3.0695800000000002</v>
      </c>
      <c r="T2984">
        <v>-2.466047E-2</v>
      </c>
      <c r="U2984">
        <v>-0.3246155</v>
      </c>
      <c r="V2984">
        <v>3.6887389999999999E-2</v>
      </c>
      <c r="W2984">
        <v>0.22903299999999999</v>
      </c>
      <c r="X2984">
        <v>0.97271949999999996</v>
      </c>
      <c r="Y2984">
        <v>0.11419509999999999</v>
      </c>
      <c r="Z2984">
        <v>-1.2241000000000001E-3</v>
      </c>
      <c r="AA2984">
        <v>0.99345760000000005</v>
      </c>
      <c r="AB2984">
        <v>42</v>
      </c>
      <c r="AC2984">
        <v>116.20549999999901</v>
      </c>
      <c r="AD2984">
        <v>-0.93550519999999904</v>
      </c>
      <c r="AE2984">
        <v>-12.3162</v>
      </c>
      <c r="AF2984">
        <v>13.3716382142601</v>
      </c>
      <c r="AG2984">
        <v>-0.93550519999999904</v>
      </c>
      <c r="AH2984">
        <v>116.081247979387</v>
      </c>
      <c r="AI2984">
        <v>90.458706683179201</v>
      </c>
      <c r="AJ2984">
        <v>83.428943175898993</v>
      </c>
      <c r="AK2984">
        <v>116.852608062312</v>
      </c>
      <c r="AL2984">
        <v>76.759853027409505</v>
      </c>
      <c r="AM2984">
        <v>87.828274728954796</v>
      </c>
      <c r="AN2984">
        <v>1.0000000101551301</v>
      </c>
    </row>
    <row r="2985" spans="1:40" x14ac:dyDescent="0.25">
      <c r="A2985" t="str">
        <f>"20190303171036072"</f>
        <v>20190303171036072</v>
      </c>
      <c r="B2985" t="str">
        <f>"1551604236063368"</f>
        <v>1551604236063368</v>
      </c>
      <c r="C2985" t="s">
        <v>40</v>
      </c>
      <c r="D2985">
        <v>4.6656079999999998</v>
      </c>
      <c r="E2985">
        <v>0.51361099999999904</v>
      </c>
      <c r="F2985" t="s">
        <v>50</v>
      </c>
      <c r="G2985">
        <v>-169.39250000000001</v>
      </c>
      <c r="H2985">
        <v>0.24249080000000001</v>
      </c>
      <c r="I2985">
        <v>208.61760000000001</v>
      </c>
      <c r="J2985">
        <v>-284.29759999999999</v>
      </c>
      <c r="K2985">
        <v>1.1208320000000001</v>
      </c>
      <c r="L2985">
        <v>214.71350000000001</v>
      </c>
      <c r="M2985">
        <v>0.99985650000000004</v>
      </c>
      <c r="N2985">
        <v>-1.4394260000000001E-2</v>
      </c>
      <c r="O2985">
        <v>8.9290910000000001E-3</v>
      </c>
      <c r="P2985">
        <v>0.9762748</v>
      </c>
      <c r="Q2985">
        <v>0.2147394</v>
      </c>
      <c r="R2985">
        <v>-2.7832429999999998E-2</v>
      </c>
      <c r="S2985">
        <v>3.0736690000000002</v>
      </c>
      <c r="T2985">
        <v>-2.3429040000000002E-2</v>
      </c>
      <c r="U2985">
        <v>-0.1625366</v>
      </c>
      <c r="V2985">
        <v>3.6695609999999997E-2</v>
      </c>
      <c r="W2985">
        <v>0.22874240000000001</v>
      </c>
      <c r="X2985">
        <v>0.97279510000000002</v>
      </c>
      <c r="Y2985">
        <v>6.1716600000000003E-2</v>
      </c>
      <c r="Z2985">
        <v>-6.1916070000000002E-4</v>
      </c>
      <c r="AA2985">
        <v>0.99809349999999997</v>
      </c>
      <c r="AB2985">
        <v>42</v>
      </c>
      <c r="AC2985">
        <v>114.905099999999</v>
      </c>
      <c r="AD2985">
        <v>-0.87834120000000004</v>
      </c>
      <c r="AE2985">
        <v>-6.0959000000000003</v>
      </c>
      <c r="AF2985">
        <v>7.1213464220855398</v>
      </c>
      <c r="AG2985">
        <v>-0.87834120000000004</v>
      </c>
      <c r="AH2985">
        <v>114.839390438457</v>
      </c>
      <c r="AI2985">
        <v>90.437374192823299</v>
      </c>
      <c r="AJ2985">
        <v>86.451554722342806</v>
      </c>
      <c r="AK2985">
        <v>115.06333323176101</v>
      </c>
      <c r="AL2985">
        <v>76.776956843031201</v>
      </c>
      <c r="AM2985">
        <v>87.839722684378501</v>
      </c>
      <c r="AN2985">
        <v>0.99999997996752099</v>
      </c>
    </row>
    <row r="2986" spans="1:40" x14ac:dyDescent="0.25">
      <c r="A2986" t="str">
        <f>"20190303171036087"</f>
        <v>20190303171036087</v>
      </c>
      <c r="B2986" t="str">
        <f>"1551604236074101"</f>
        <v>1551604236074101</v>
      </c>
      <c r="C2986" t="s">
        <v>40</v>
      </c>
      <c r="D2986">
        <v>4.5655799999999997</v>
      </c>
      <c r="E2986">
        <v>0.51361099999999904</v>
      </c>
      <c r="F2986" t="s">
        <v>50</v>
      </c>
      <c r="G2986">
        <v>-169.39240000000001</v>
      </c>
      <c r="H2986">
        <v>0.40794750000000002</v>
      </c>
      <c r="I2986">
        <v>209.11609999999999</v>
      </c>
      <c r="J2986">
        <v>-284.01620000000003</v>
      </c>
      <c r="K2986">
        <v>1.120833</v>
      </c>
      <c r="L2986">
        <v>214.7159</v>
      </c>
      <c r="M2986">
        <v>0.99985800000000002</v>
      </c>
      <c r="N2986">
        <v>-1.4392540000000001E-2</v>
      </c>
      <c r="O2986">
        <v>8.7840990000000001E-3</v>
      </c>
      <c r="P2986">
        <v>0.976275</v>
      </c>
      <c r="Q2986">
        <v>0.21473239999999999</v>
      </c>
      <c r="R2986">
        <v>-2.7881670000000001E-2</v>
      </c>
      <c r="S2986">
        <v>3.072845</v>
      </c>
      <c r="T2986">
        <v>-1.906335E-2</v>
      </c>
      <c r="U2986">
        <v>-0.14968870000000001</v>
      </c>
      <c r="V2986">
        <v>3.6603030000000002E-2</v>
      </c>
      <c r="W2986">
        <v>0.22873360000000001</v>
      </c>
      <c r="X2986">
        <v>0.97280069999999996</v>
      </c>
      <c r="Y2986">
        <v>5.7424459999999997E-2</v>
      </c>
      <c r="Z2986">
        <v>-5.1965069999999999E-4</v>
      </c>
      <c r="AA2986">
        <v>0.99834970000000001</v>
      </c>
      <c r="AB2986">
        <v>42</v>
      </c>
      <c r="AC2986">
        <v>114.6238</v>
      </c>
      <c r="AD2986">
        <v>-0.71288549999999995</v>
      </c>
      <c r="AE2986">
        <v>-5.5998000000000099</v>
      </c>
      <c r="AF2986">
        <v>6.6062999273640699</v>
      </c>
      <c r="AG2986">
        <v>-0.71288549999999995</v>
      </c>
      <c r="AH2986">
        <v>114.565761617975</v>
      </c>
      <c r="AI2986">
        <v>90.355927167506394</v>
      </c>
      <c r="AJ2986">
        <v>86.699760903185805</v>
      </c>
      <c r="AK2986">
        <v>114.758290069053</v>
      </c>
      <c r="AL2986">
        <v>76.777475339820796</v>
      </c>
      <c r="AM2986">
        <v>87.845180134457806</v>
      </c>
      <c r="AN2986">
        <v>1.00000002174731</v>
      </c>
    </row>
    <row r="2987" spans="1:40" x14ac:dyDescent="0.25">
      <c r="A2987" t="str">
        <f>"20190303171036101"</f>
        <v>20190303171036101</v>
      </c>
      <c r="B2987" t="str">
        <f>"1551604236093621"</f>
        <v>1551604236093621</v>
      </c>
      <c r="C2987" t="s">
        <v>40</v>
      </c>
      <c r="D2987">
        <v>4.7200519999999999</v>
      </c>
      <c r="E2987">
        <v>0.51261190000000001</v>
      </c>
      <c r="F2987" t="s">
        <v>50</v>
      </c>
      <c r="G2987">
        <v>-169.39240000000001</v>
      </c>
      <c r="H2987">
        <v>0.40909770000000001</v>
      </c>
      <c r="I2987">
        <v>209.11789999999999</v>
      </c>
      <c r="J2987">
        <v>-283.74180000000001</v>
      </c>
      <c r="K2987">
        <v>1.120835</v>
      </c>
      <c r="L2987">
        <v>214.7182</v>
      </c>
      <c r="M2987">
        <v>0.9998591</v>
      </c>
      <c r="N2987">
        <v>-1.439087E-2</v>
      </c>
      <c r="O2987">
        <v>8.6429190000000006E-3</v>
      </c>
      <c r="P2987">
        <v>0.97625640000000002</v>
      </c>
      <c r="Q2987">
        <v>0.21481600000000001</v>
      </c>
      <c r="R2987">
        <v>-2.788504E-2</v>
      </c>
      <c r="S2987">
        <v>3.0728149999999999</v>
      </c>
      <c r="T2987">
        <v>-1.9079209999999999E-2</v>
      </c>
      <c r="U2987">
        <v>-0.15007019999999999</v>
      </c>
      <c r="V2987">
        <v>3.6468590000000002E-2</v>
      </c>
      <c r="W2987">
        <v>0.22881580000000001</v>
      </c>
      <c r="X2987">
        <v>0.97278640000000005</v>
      </c>
      <c r="Y2987">
        <v>5.7407619999999999E-2</v>
      </c>
      <c r="Z2987">
        <v>-5.2079480000000004E-4</v>
      </c>
      <c r="AA2987">
        <v>0.99835070000000004</v>
      </c>
      <c r="AB2987">
        <v>42</v>
      </c>
      <c r="AC2987">
        <v>114.3494</v>
      </c>
      <c r="AD2987">
        <v>-0.71173730000000002</v>
      </c>
      <c r="AE2987">
        <v>-5.6002999999999998</v>
      </c>
      <c r="AF2987">
        <v>6.5882511039622003</v>
      </c>
      <c r="AG2987">
        <v>-0.71173730000000002</v>
      </c>
      <c r="AH2987">
        <v>114.29230291933</v>
      </c>
      <c r="AI2987">
        <v>90.356204527989306</v>
      </c>
      <c r="AJ2987">
        <v>86.700900175934706</v>
      </c>
      <c r="AK2987">
        <v>114.484244021599</v>
      </c>
      <c r="AL2987">
        <v>76.772637083396702</v>
      </c>
      <c r="AM2987">
        <v>87.853055665424407</v>
      </c>
      <c r="AN2987">
        <v>1.0000000042055901</v>
      </c>
    </row>
    <row r="2988" spans="1:40" x14ac:dyDescent="0.25">
      <c r="A2988" t="str">
        <f>"20190303171036115"</f>
        <v>20190303171036115</v>
      </c>
      <c r="B2988" t="str">
        <f>"1551604236103381"</f>
        <v>1551604236103381</v>
      </c>
      <c r="C2988" t="s">
        <v>40</v>
      </c>
      <c r="D2988">
        <v>4.5562469999999999</v>
      </c>
      <c r="E2988">
        <v>0.51261190000000001</v>
      </c>
      <c r="F2988" t="s">
        <v>50</v>
      </c>
      <c r="G2988">
        <v>-169.39240000000001</v>
      </c>
      <c r="H2988">
        <v>0.67123029999999995</v>
      </c>
      <c r="I2988">
        <v>209.40440000000001</v>
      </c>
      <c r="J2988">
        <v>-283.47460000000001</v>
      </c>
      <c r="K2988">
        <v>1.1208340000000001</v>
      </c>
      <c r="L2988">
        <v>214.72040000000001</v>
      </c>
      <c r="M2988">
        <v>0.99986030000000004</v>
      </c>
      <c r="N2988">
        <v>-1.4389249999999999E-2</v>
      </c>
      <c r="O2988">
        <v>8.5054929999999994E-3</v>
      </c>
      <c r="P2988">
        <v>0.97619929999999999</v>
      </c>
      <c r="Q2988">
        <v>0.21507499999999999</v>
      </c>
      <c r="R2988">
        <v>-2.7886040000000001E-2</v>
      </c>
      <c r="S2988">
        <v>3.071472</v>
      </c>
      <c r="T2988">
        <v>-1.207566E-2</v>
      </c>
      <c r="U2988">
        <v>-0.14273069999999999</v>
      </c>
      <c r="V2988">
        <v>3.6335020000000003E-2</v>
      </c>
      <c r="W2988">
        <v>0.22907250000000001</v>
      </c>
      <c r="X2988">
        <v>0.97273100000000001</v>
      </c>
      <c r="Y2988">
        <v>5.4912790000000003E-2</v>
      </c>
      <c r="Z2988">
        <v>-4.14304E-4</v>
      </c>
      <c r="AA2988">
        <v>0.99849100000000002</v>
      </c>
      <c r="AB2988">
        <v>42</v>
      </c>
      <c r="AC2988">
        <v>114.0822</v>
      </c>
      <c r="AD2988">
        <v>-0.4496037</v>
      </c>
      <c r="AE2988">
        <v>-5.3159999999999998</v>
      </c>
      <c r="AF2988">
        <v>6.2861360597431197</v>
      </c>
      <c r="AG2988">
        <v>-0.4496037</v>
      </c>
      <c r="AH2988">
        <v>114.031085361416</v>
      </c>
      <c r="AI2988">
        <v>90.225563129907499</v>
      </c>
      <c r="AJ2988">
        <v>86.844677175690407</v>
      </c>
      <c r="AK2988">
        <v>114.205105309488</v>
      </c>
      <c r="AL2988">
        <v>76.757528180056198</v>
      </c>
      <c r="AM2988">
        <v>87.860790039453207</v>
      </c>
      <c r="AN2988">
        <v>1.0000000211478199</v>
      </c>
    </row>
    <row r="2989" spans="1:40" x14ac:dyDescent="0.25">
      <c r="A2989" t="str">
        <f>"20190303171036131"</f>
        <v>20190303171036131</v>
      </c>
      <c r="B2989" t="str">
        <f>"1551604236123877"</f>
        <v>1551604236123877</v>
      </c>
      <c r="C2989" t="s">
        <v>40</v>
      </c>
      <c r="D2989">
        <v>4.5893769999999998</v>
      </c>
      <c r="E2989">
        <v>0.51215429999999995</v>
      </c>
      <c r="F2989" t="s">
        <v>50</v>
      </c>
      <c r="G2989">
        <v>-169.39240000000001</v>
      </c>
      <c r="H2989">
        <v>0.70299719999999999</v>
      </c>
      <c r="I2989">
        <v>209.41569999999999</v>
      </c>
      <c r="J2989">
        <v>-283.17680000000001</v>
      </c>
      <c r="K2989">
        <v>1.1208370000000001</v>
      </c>
      <c r="L2989">
        <v>214.72280000000001</v>
      </c>
      <c r="M2989">
        <v>0.99986169999999996</v>
      </c>
      <c r="N2989">
        <v>-1.438743E-2</v>
      </c>
      <c r="O2989">
        <v>8.3520980000000005E-3</v>
      </c>
      <c r="P2989">
        <v>0.97622399999999998</v>
      </c>
      <c r="Q2989">
        <v>0.21497559999999999</v>
      </c>
      <c r="R2989">
        <v>-2.7791570000000002E-2</v>
      </c>
      <c r="S2989">
        <v>3.0715330000000001</v>
      </c>
      <c r="T2989">
        <v>-1.124883E-2</v>
      </c>
      <c r="U2989">
        <v>-0.14282230000000001</v>
      </c>
      <c r="V2989">
        <v>3.6090799999999999E-2</v>
      </c>
      <c r="W2989">
        <v>0.2289717</v>
      </c>
      <c r="X2989">
        <v>0.97276379999999996</v>
      </c>
      <c r="Y2989">
        <v>5.4788530000000002E-2</v>
      </c>
      <c r="Z2989">
        <v>-4.051134E-4</v>
      </c>
      <c r="AA2989">
        <v>0.99849790000000005</v>
      </c>
      <c r="AB2989">
        <v>42</v>
      </c>
      <c r="AC2989">
        <v>113.78440000000001</v>
      </c>
      <c r="AD2989">
        <v>-0.41783979999999998</v>
      </c>
      <c r="AE2989">
        <v>-5.3071000000000197</v>
      </c>
      <c r="AF2989">
        <v>6.2572674076478902</v>
      </c>
      <c r="AG2989">
        <v>-0.41783979999999998</v>
      </c>
      <c r="AH2989">
        <v>113.734570053303</v>
      </c>
      <c r="AI2989">
        <v>90.210175325903606</v>
      </c>
      <c r="AJ2989">
        <v>86.850966678667902</v>
      </c>
      <c r="AK2989">
        <v>113.90733255905501</v>
      </c>
      <c r="AL2989">
        <v>76.763460976219307</v>
      </c>
      <c r="AM2989">
        <v>87.875226751875999</v>
      </c>
      <c r="AN2989">
        <v>0.999999997917985</v>
      </c>
    </row>
    <row r="2990" spans="1:40" x14ac:dyDescent="0.25">
      <c r="A2990" t="str">
        <f>"20190303171036145"</f>
        <v>20190303171036145</v>
      </c>
      <c r="B2990" t="str">
        <f>"1551604236133639"</f>
        <v>1551604236133639</v>
      </c>
      <c r="C2990" t="s">
        <v>40</v>
      </c>
      <c r="D2990">
        <v>4.5893300000000004</v>
      </c>
      <c r="E2990">
        <v>0.51201869999999905</v>
      </c>
      <c r="F2990" t="s">
        <v>50</v>
      </c>
      <c r="G2990">
        <v>-169.39230000000001</v>
      </c>
      <c r="H2990">
        <v>0.67452239999999997</v>
      </c>
      <c r="I2990">
        <v>209.59010000000001</v>
      </c>
      <c r="J2990">
        <v>-282.9237</v>
      </c>
      <c r="K2990">
        <v>1.1208389999999999</v>
      </c>
      <c r="L2990">
        <v>214.72479999999999</v>
      </c>
      <c r="M2990">
        <v>0.99986269999999999</v>
      </c>
      <c r="N2990">
        <v>-1.438589E-2</v>
      </c>
      <c r="O2990">
        <v>8.2218259999999998E-3</v>
      </c>
      <c r="P2990">
        <v>0.97620969999999996</v>
      </c>
      <c r="Q2990">
        <v>0.21505270000000001</v>
      </c>
      <c r="R2990">
        <v>-2.769638E-2</v>
      </c>
      <c r="S2990">
        <v>3.071777</v>
      </c>
      <c r="T2990">
        <v>-1.204801E-2</v>
      </c>
      <c r="U2990">
        <v>-0.1385651</v>
      </c>
      <c r="V2990">
        <v>3.5868289999999997E-2</v>
      </c>
      <c r="W2990">
        <v>0.22904740000000001</v>
      </c>
      <c r="X2990">
        <v>0.97275420000000001</v>
      </c>
      <c r="Y2990">
        <v>5.3273699999999903E-2</v>
      </c>
      <c r="Z2990">
        <v>-4.0184770000000001E-4</v>
      </c>
      <c r="AA2990">
        <v>0.99857989999999996</v>
      </c>
      <c r="AB2990">
        <v>42</v>
      </c>
      <c r="AC2990">
        <v>113.5314</v>
      </c>
      <c r="AD2990">
        <v>-0.44631660000000001</v>
      </c>
      <c r="AE2990">
        <v>-5.1346999999999801</v>
      </c>
      <c r="AF2990">
        <v>6.0679648604177903</v>
      </c>
      <c r="AG2990">
        <v>-0.44631660000000001</v>
      </c>
      <c r="AH2990">
        <v>113.483590640692</v>
      </c>
      <c r="AI2990">
        <v>90.225014458346294</v>
      </c>
      <c r="AJ2990">
        <v>86.939310703806996</v>
      </c>
      <c r="AK2990">
        <v>113.646578218435</v>
      </c>
      <c r="AL2990">
        <v>76.759005160156505</v>
      </c>
      <c r="AM2990">
        <v>87.888293863083703</v>
      </c>
      <c r="AN2990">
        <v>0.99999998964596204</v>
      </c>
    </row>
    <row r="2991" spans="1:40" x14ac:dyDescent="0.25">
      <c r="A2991" t="str">
        <f>"20190303171036161"</f>
        <v>20190303171036161</v>
      </c>
      <c r="B2991" t="str">
        <f>"1551604236154133"</f>
        <v>1551604236154133</v>
      </c>
      <c r="C2991" t="s">
        <v>40</v>
      </c>
      <c r="D2991">
        <v>4.6550690000000001</v>
      </c>
      <c r="E2991">
        <v>0.51184019999999997</v>
      </c>
      <c r="F2991" t="s">
        <v>50</v>
      </c>
      <c r="G2991">
        <v>-169.39230000000001</v>
      </c>
      <c r="H2991">
        <v>0.68923190000000001</v>
      </c>
      <c r="I2991">
        <v>209.63059999999999</v>
      </c>
      <c r="J2991">
        <v>-282.60730000000001</v>
      </c>
      <c r="K2991">
        <v>1.1208419999999999</v>
      </c>
      <c r="L2991">
        <v>214.72730000000001</v>
      </c>
      <c r="M2991">
        <v>0.99986410000000003</v>
      </c>
      <c r="N2991">
        <v>-1.4383959999999999E-2</v>
      </c>
      <c r="O2991">
        <v>8.0588340000000008E-3</v>
      </c>
      <c r="P2991">
        <v>0.97613130000000004</v>
      </c>
      <c r="Q2991">
        <v>0.2154565</v>
      </c>
      <c r="R2991">
        <v>-2.7322699999999998E-2</v>
      </c>
      <c r="S2991">
        <v>3.071777</v>
      </c>
      <c r="T2991">
        <v>-1.167691E-2</v>
      </c>
      <c r="U2991">
        <v>-0.1378326</v>
      </c>
      <c r="V2991">
        <v>3.5334810000000001E-2</v>
      </c>
      <c r="W2991">
        <v>0.22944890000000001</v>
      </c>
      <c r="X2991">
        <v>0.97267910000000002</v>
      </c>
      <c r="Y2991">
        <v>5.2873379999999998E-2</v>
      </c>
      <c r="Z2991">
        <v>-3.9568360000000001E-4</v>
      </c>
      <c r="AA2991">
        <v>0.99860110000000002</v>
      </c>
      <c r="AB2991">
        <v>42</v>
      </c>
      <c r="AC2991">
        <v>113.215</v>
      </c>
      <c r="AD2991">
        <v>-0.4316101</v>
      </c>
      <c r="AE2991">
        <v>-5.0967000000000198</v>
      </c>
      <c r="AF2991">
        <v>6.0089225688052004</v>
      </c>
      <c r="AG2991">
        <v>-0.4316101</v>
      </c>
      <c r="AH2991">
        <v>113.16860368053</v>
      </c>
      <c r="AI2991">
        <v>90.2182100919579</v>
      </c>
      <c r="AJ2991">
        <v>86.960615495700793</v>
      </c>
      <c r="AK2991">
        <v>113.328841416107</v>
      </c>
      <c r="AL2991">
        <v>76.735371484533104</v>
      </c>
      <c r="AM2991">
        <v>87.919513627452005</v>
      </c>
      <c r="AN2991">
        <v>0.99999998904287701</v>
      </c>
    </row>
    <row r="2992" spans="1:40" x14ac:dyDescent="0.25">
      <c r="A2992" t="str">
        <f>"20190303171036179"</f>
        <v>20190303171036179</v>
      </c>
      <c r="B2992" t="str">
        <f>"1551604236173653"</f>
        <v>1551604236173653</v>
      </c>
      <c r="C2992" t="s">
        <v>40</v>
      </c>
      <c r="D2992">
        <v>4.532883</v>
      </c>
      <c r="E2992">
        <v>0.51173100000000005</v>
      </c>
      <c r="F2992" t="s">
        <v>50</v>
      </c>
      <c r="G2992">
        <v>-169.39230000000001</v>
      </c>
      <c r="H2992">
        <v>0.7568378</v>
      </c>
      <c r="I2992">
        <v>209.74619999999999</v>
      </c>
      <c r="J2992">
        <v>-282.2996</v>
      </c>
      <c r="K2992">
        <v>1.120844</v>
      </c>
      <c r="L2992">
        <v>214.7296</v>
      </c>
      <c r="M2992">
        <v>0.99986549999999996</v>
      </c>
      <c r="N2992">
        <v>-1.438208E-2</v>
      </c>
      <c r="O2992">
        <v>7.9006670000000001E-3</v>
      </c>
      <c r="P2992">
        <v>0.97614520000000005</v>
      </c>
      <c r="Q2992">
        <v>0.215368</v>
      </c>
      <c r="R2992">
        <v>-2.7525879999999999E-2</v>
      </c>
      <c r="S2992">
        <v>3.071777</v>
      </c>
      <c r="T2992">
        <v>-9.8752979999999994E-3</v>
      </c>
      <c r="U2992">
        <v>-0.13514709999999999</v>
      </c>
      <c r="V2992">
        <v>3.5383560000000001E-2</v>
      </c>
      <c r="W2992">
        <v>0.22935839999999999</v>
      </c>
      <c r="X2992">
        <v>0.97269870000000003</v>
      </c>
      <c r="Y2992">
        <v>5.1844389999999997E-2</v>
      </c>
      <c r="Z2992">
        <v>-3.6812720000000001E-4</v>
      </c>
      <c r="AA2992">
        <v>0.99865510000000002</v>
      </c>
      <c r="AB2992">
        <v>42</v>
      </c>
      <c r="AC2992">
        <v>112.90730000000001</v>
      </c>
      <c r="AD2992">
        <v>-0.364006199999999</v>
      </c>
      <c r="AE2992">
        <v>-4.9834000000000103</v>
      </c>
      <c r="AF2992">
        <v>5.8753186083988096</v>
      </c>
      <c r="AG2992">
        <v>-0.364006199999999</v>
      </c>
      <c r="AH2992">
        <v>112.863228303978</v>
      </c>
      <c r="AI2992">
        <v>90.184539689407401</v>
      </c>
      <c r="AJ2992">
        <v>87.020044738374693</v>
      </c>
      <c r="AK2992">
        <v>113.016636706547</v>
      </c>
      <c r="AL2992">
        <v>76.740699195869794</v>
      </c>
      <c r="AM2992">
        <v>87.916687735515097</v>
      </c>
      <c r="AN2992">
        <v>1.00000001647526</v>
      </c>
    </row>
    <row r="2993" spans="1:40" x14ac:dyDescent="0.25">
      <c r="A2993" t="str">
        <f>"20190303171036194"</f>
        <v>20190303171036194</v>
      </c>
      <c r="B2993" t="str">
        <f>"1551604236183413"</f>
        <v>1551604236183413</v>
      </c>
      <c r="C2993" t="s">
        <v>40</v>
      </c>
      <c r="D2993">
        <v>4.5887929999999999</v>
      </c>
      <c r="E2993">
        <v>0.51166329999999904</v>
      </c>
      <c r="F2993" t="s">
        <v>50</v>
      </c>
      <c r="G2993">
        <v>-169.39230000000001</v>
      </c>
      <c r="H2993">
        <v>0.75942989999999999</v>
      </c>
      <c r="I2993">
        <v>209.79499999999999</v>
      </c>
      <c r="J2993">
        <v>-281.99349999999998</v>
      </c>
      <c r="K2993">
        <v>1.1208419999999999</v>
      </c>
      <c r="L2993">
        <v>214.7319</v>
      </c>
      <c r="M2993">
        <v>0.9998667</v>
      </c>
      <c r="N2993">
        <v>-1.4380230000000001E-2</v>
      </c>
      <c r="O2993">
        <v>7.7432179999999996E-3</v>
      </c>
      <c r="P2993">
        <v>0.97617560000000003</v>
      </c>
      <c r="Q2993">
        <v>0.2151507</v>
      </c>
      <c r="R2993">
        <v>-2.8136359999999999E-2</v>
      </c>
      <c r="S2993">
        <v>3.0716549999999998</v>
      </c>
      <c r="T2993">
        <v>-9.8314289999999992E-3</v>
      </c>
      <c r="U2993">
        <v>-0.134246799999999</v>
      </c>
      <c r="V2993">
        <v>3.5840530000000002E-2</v>
      </c>
      <c r="W2993">
        <v>0.2291398</v>
      </c>
      <c r="X2993">
        <v>0.97273350000000003</v>
      </c>
      <c r="Y2993">
        <v>5.1396770000000001E-2</v>
      </c>
      <c r="Z2993">
        <v>-3.6543600000000002E-4</v>
      </c>
      <c r="AA2993">
        <v>0.99867830000000002</v>
      </c>
      <c r="AB2993">
        <v>42</v>
      </c>
      <c r="AC2993">
        <v>112.601199999999</v>
      </c>
      <c r="AD2993">
        <v>-0.36141210000000001</v>
      </c>
      <c r="AE2993">
        <v>-4.9368999999999996</v>
      </c>
      <c r="AF2993">
        <v>5.8086779696594997</v>
      </c>
      <c r="AG2993">
        <v>-0.36141210000000001</v>
      </c>
      <c r="AH2993">
        <v>112.55843482348</v>
      </c>
      <c r="AI2993">
        <v>90.183725000069202</v>
      </c>
      <c r="AJ2993">
        <v>87.045821056763501</v>
      </c>
      <c r="AK2993">
        <v>112.70879561229</v>
      </c>
      <c r="AL2993">
        <v>76.753566883333306</v>
      </c>
      <c r="AM2993">
        <v>87.889881862372107</v>
      </c>
      <c r="AN2993">
        <v>1.0000000267784801</v>
      </c>
    </row>
    <row r="2994" spans="1:40" x14ac:dyDescent="0.25">
      <c r="A2994" t="str">
        <f>"20190303171036216"</f>
        <v>20190303171036216</v>
      </c>
      <c r="B2994" t="str">
        <f>"1551604236203909"</f>
        <v>1551604236203909</v>
      </c>
      <c r="C2994" t="s">
        <v>40</v>
      </c>
      <c r="D2994">
        <v>4.6004399999999999</v>
      </c>
      <c r="E2994">
        <v>0.51174929999999996</v>
      </c>
      <c r="F2994" t="s">
        <v>50</v>
      </c>
      <c r="G2994">
        <v>-169.39230000000001</v>
      </c>
      <c r="H2994">
        <v>0.71965979999999996</v>
      </c>
      <c r="I2994">
        <v>209.77889999999999</v>
      </c>
      <c r="J2994">
        <v>-281.58539999999999</v>
      </c>
      <c r="K2994">
        <v>1.120844</v>
      </c>
      <c r="L2994">
        <v>214.73490000000001</v>
      </c>
      <c r="M2994">
        <v>0.99986839999999999</v>
      </c>
      <c r="N2994">
        <v>-1.437775E-2</v>
      </c>
      <c r="O2994">
        <v>7.533685E-3</v>
      </c>
      <c r="P2994">
        <v>0.976352</v>
      </c>
      <c r="Q2994">
        <v>0.2142752</v>
      </c>
      <c r="R2994">
        <v>-2.8690440000000001E-2</v>
      </c>
      <c r="S2994">
        <v>3.0717469999999998</v>
      </c>
      <c r="T2994">
        <v>-1.094329E-2</v>
      </c>
      <c r="U2994">
        <v>-0.1351166</v>
      </c>
      <c r="V2994">
        <v>3.619054E-2</v>
      </c>
      <c r="W2994">
        <v>0.22826469999999999</v>
      </c>
      <c r="X2994">
        <v>0.97292619999999996</v>
      </c>
      <c r="Y2994">
        <v>5.146825E-2</v>
      </c>
      <c r="Z2994">
        <v>-3.8039669999999999E-4</v>
      </c>
      <c r="AA2994">
        <v>0.99867459999999997</v>
      </c>
      <c r="AB2994">
        <v>42</v>
      </c>
      <c r="AC2994">
        <v>112.1931</v>
      </c>
      <c r="AD2994">
        <v>-0.40118419999999899</v>
      </c>
      <c r="AE2994">
        <v>-4.9560000000000102</v>
      </c>
      <c r="AF2994">
        <v>5.8011000213120196</v>
      </c>
      <c r="AG2994">
        <v>-0.40118419999999899</v>
      </c>
      <c r="AH2994">
        <v>112.151143421678</v>
      </c>
      <c r="AI2994">
        <v>90.204682487892399</v>
      </c>
      <c r="AJ2994">
        <v>87.038972759209699</v>
      </c>
      <c r="AK2994">
        <v>112.301792866407</v>
      </c>
      <c r="AL2994">
        <v>76.805070573505006</v>
      </c>
      <c r="AM2994">
        <v>87.869715481323198</v>
      </c>
      <c r="AN2994">
        <v>0.99999995954901</v>
      </c>
    </row>
    <row r="2995" spans="1:40" x14ac:dyDescent="0.25">
      <c r="A2995" t="str">
        <f>"20190303171036232"</f>
        <v>20190303171036232</v>
      </c>
      <c r="B2995" t="str">
        <f>"1551604236223430"</f>
        <v>1551604236223430</v>
      </c>
      <c r="C2995" t="s">
        <v>40</v>
      </c>
      <c r="D2995">
        <v>4.5424639999999998</v>
      </c>
      <c r="E2995">
        <v>0.51171750000000005</v>
      </c>
      <c r="F2995" t="s">
        <v>50</v>
      </c>
      <c r="G2995">
        <v>-169.39230000000001</v>
      </c>
      <c r="H2995">
        <v>0.62844089999999997</v>
      </c>
      <c r="I2995">
        <v>209.69759999999999</v>
      </c>
      <c r="J2995">
        <v>-281.29379999999998</v>
      </c>
      <c r="K2995">
        <v>1.120844</v>
      </c>
      <c r="L2995">
        <v>214.73699999999999</v>
      </c>
      <c r="M2995">
        <v>0.99986940000000002</v>
      </c>
      <c r="N2995">
        <v>-1.4375829999999999E-2</v>
      </c>
      <c r="O2995">
        <v>7.3845229999999996E-3</v>
      </c>
      <c r="P2995">
        <v>0.97637689999999999</v>
      </c>
      <c r="Q2995">
        <v>0.21410999999999999</v>
      </c>
      <c r="R2995">
        <v>-2.907759E-2</v>
      </c>
      <c r="S2995">
        <v>3.071564</v>
      </c>
      <c r="T2995">
        <v>-1.347983E-2</v>
      </c>
      <c r="U2995">
        <v>-0.1379089</v>
      </c>
      <c r="V2995">
        <v>3.64318E-2</v>
      </c>
      <c r="W2995">
        <v>0.22809760000000001</v>
      </c>
      <c r="X2995">
        <v>0.97295640000000005</v>
      </c>
      <c r="Y2995">
        <v>5.2227549999999998E-2</v>
      </c>
      <c r="Z2995">
        <v>-4.164517E-4</v>
      </c>
      <c r="AA2995">
        <v>0.9986351</v>
      </c>
      <c r="AB2995">
        <v>42</v>
      </c>
      <c r="AC2995">
        <v>111.901499999999</v>
      </c>
      <c r="AD2995">
        <v>-0.49240309999999898</v>
      </c>
      <c r="AE2995">
        <v>-5.0393999999999997</v>
      </c>
      <c r="AF2995">
        <v>5.8655738189841697</v>
      </c>
      <c r="AG2995">
        <v>-0.49240309999999898</v>
      </c>
      <c r="AH2995">
        <v>111.859069327496</v>
      </c>
      <c r="AI2995">
        <v>90.251868091024903</v>
      </c>
      <c r="AJ2995">
        <v>86.998320250217603</v>
      </c>
      <c r="AK2995">
        <v>112.013833109364</v>
      </c>
      <c r="AL2995">
        <v>76.814904310958696</v>
      </c>
      <c r="AM2995">
        <v>87.855593905055798</v>
      </c>
      <c r="AN2995">
        <v>0.99999997373897898</v>
      </c>
    </row>
    <row r="2996" spans="1:40" x14ac:dyDescent="0.25">
      <c r="A2996" t="str">
        <f>"20190303171036244"</f>
        <v>20190303171036244</v>
      </c>
      <c r="B2996" t="str">
        <f>"1551604236234166"</f>
        <v>1551604236234166</v>
      </c>
      <c r="C2996" t="s">
        <v>40</v>
      </c>
      <c r="D2996">
        <v>4.5001829999999998</v>
      </c>
      <c r="E2996">
        <v>0.51171750000000005</v>
      </c>
      <c r="F2996" t="s">
        <v>50</v>
      </c>
      <c r="G2996">
        <v>-169.39230000000001</v>
      </c>
      <c r="H2996">
        <v>0.60852050000000002</v>
      </c>
      <c r="I2996">
        <v>209.667</v>
      </c>
      <c r="J2996">
        <v>-281.05349999999999</v>
      </c>
      <c r="K2996">
        <v>1.120843</v>
      </c>
      <c r="L2996">
        <v>214.73859999999999</v>
      </c>
      <c r="M2996">
        <v>0.99987040000000005</v>
      </c>
      <c r="N2996">
        <v>-1.437425E-2</v>
      </c>
      <c r="O2996">
        <v>7.2616440000000003E-3</v>
      </c>
      <c r="P2996">
        <v>0.97641270000000002</v>
      </c>
      <c r="Q2996">
        <v>0.21391669999999999</v>
      </c>
      <c r="R2996">
        <v>-2.929412E-2</v>
      </c>
      <c r="S2996">
        <v>3.0715029999999999</v>
      </c>
      <c r="T2996">
        <v>-1.406145E-2</v>
      </c>
      <c r="U2996">
        <v>-0.13916020000000001</v>
      </c>
      <c r="V2996">
        <v>3.6528350000000001E-2</v>
      </c>
      <c r="W2996">
        <v>0.22790360000000001</v>
      </c>
      <c r="X2996">
        <v>0.97299829999999998</v>
      </c>
      <c r="Y2996">
        <v>5.2511580000000002E-2</v>
      </c>
      <c r="Z2996">
        <v>-4.2666399999999999E-4</v>
      </c>
      <c r="AA2996">
        <v>0.99862019999999996</v>
      </c>
      <c r="AB2996">
        <v>42</v>
      </c>
      <c r="AC2996">
        <v>111.661199999999</v>
      </c>
      <c r="AD2996">
        <v>-0.51232250000000001</v>
      </c>
      <c r="AE2996">
        <v>-5.0715999999999797</v>
      </c>
      <c r="AF2996">
        <v>5.8822702747250597</v>
      </c>
      <c r="AG2996">
        <v>-0.51232250000000001</v>
      </c>
      <c r="AH2996">
        <v>111.619078460041</v>
      </c>
      <c r="AI2996">
        <v>90.262616708786496</v>
      </c>
      <c r="AJ2996">
        <v>86.983331337815102</v>
      </c>
      <c r="AK2996">
        <v>111.775141485921</v>
      </c>
      <c r="AL2996">
        <v>76.826321155421297</v>
      </c>
      <c r="AM2996">
        <v>87.8500087199847</v>
      </c>
      <c r="AN2996">
        <v>1.0000000315247799</v>
      </c>
    </row>
    <row r="2997" spans="1:40" x14ac:dyDescent="0.25">
      <c r="A2997" t="str">
        <f>"20190303171036261"</f>
        <v>20190303171036261</v>
      </c>
      <c r="B2997" t="str">
        <f>"1551604236253690"</f>
        <v>1551604236253690</v>
      </c>
      <c r="C2997" t="s">
        <v>40</v>
      </c>
      <c r="D2997">
        <v>4.6012589999999998</v>
      </c>
      <c r="E2997">
        <v>0.51167079999999998</v>
      </c>
      <c r="F2997" t="s">
        <v>50</v>
      </c>
      <c r="G2997">
        <v>-169.39230000000001</v>
      </c>
      <c r="H2997">
        <v>0.58792880000000003</v>
      </c>
      <c r="I2997">
        <v>209.6557</v>
      </c>
      <c r="J2997">
        <v>-280.73379999999997</v>
      </c>
      <c r="K2997">
        <v>1.120838</v>
      </c>
      <c r="L2997">
        <v>214.74080000000001</v>
      </c>
      <c r="M2997">
        <v>0.99987159999999997</v>
      </c>
      <c r="N2997">
        <v>-1.437221E-2</v>
      </c>
      <c r="O2997">
        <v>7.0981839999999996E-3</v>
      </c>
      <c r="P2997">
        <v>0.9764292</v>
      </c>
      <c r="Q2997">
        <v>0.21372079999999999</v>
      </c>
      <c r="R2997">
        <v>-3.015572E-2</v>
      </c>
      <c r="S2997">
        <v>3.0715029999999999</v>
      </c>
      <c r="T2997">
        <v>-1.465809E-2</v>
      </c>
      <c r="U2997">
        <v>-0.13981629999999901</v>
      </c>
      <c r="V2997">
        <v>3.7230109999999997E-2</v>
      </c>
      <c r="W2997">
        <v>0.2277053</v>
      </c>
      <c r="X2997">
        <v>0.9730181</v>
      </c>
      <c r="Y2997">
        <v>5.2561089999999998E-2</v>
      </c>
      <c r="Z2997">
        <v>-4.351771E-4</v>
      </c>
      <c r="AA2997">
        <v>0.99861759999999999</v>
      </c>
      <c r="AB2997">
        <v>42</v>
      </c>
      <c r="AC2997">
        <v>111.341499999999</v>
      </c>
      <c r="AD2997">
        <v>-0.53290919999999997</v>
      </c>
      <c r="AE2997">
        <v>-5.0851000000000104</v>
      </c>
      <c r="AF2997">
        <v>5.8752415835463703</v>
      </c>
      <c r="AG2997">
        <v>-0.53290919999999997</v>
      </c>
      <c r="AH2997">
        <v>111.30005137303399</v>
      </c>
      <c r="AI2997">
        <v>90.273951027885204</v>
      </c>
      <c r="AJ2997">
        <v>86.978308700136495</v>
      </c>
      <c r="AK2997">
        <v>111.456286908907</v>
      </c>
      <c r="AL2997">
        <v>76.837989339572104</v>
      </c>
      <c r="AM2997">
        <v>87.8087888529585</v>
      </c>
      <c r="AN2997">
        <v>1.00000000383315</v>
      </c>
    </row>
    <row r="2998" spans="1:40" x14ac:dyDescent="0.25">
      <c r="A2998" t="str">
        <f>"20190303171036277"</f>
        <v>20190303171036277</v>
      </c>
      <c r="B2998" t="str">
        <f>"1551604236274181"</f>
        <v>1551604236274181</v>
      </c>
      <c r="C2998" t="s">
        <v>40</v>
      </c>
      <c r="D2998">
        <v>4.5320900000000002</v>
      </c>
      <c r="E2998">
        <v>0.51171409999999995</v>
      </c>
      <c r="F2998" t="s">
        <v>50</v>
      </c>
      <c r="G2998">
        <v>-169.39230000000001</v>
      </c>
      <c r="H2998">
        <v>0.60272219999999999</v>
      </c>
      <c r="I2998">
        <v>209.584</v>
      </c>
      <c r="J2998">
        <v>-280.45409999999998</v>
      </c>
      <c r="K2998">
        <v>1.1208389999999999</v>
      </c>
      <c r="L2998">
        <v>214.74270000000001</v>
      </c>
      <c r="M2998">
        <v>0.9998726</v>
      </c>
      <c r="N2998">
        <v>-1.4370549999999999E-2</v>
      </c>
      <c r="O2998">
        <v>6.9551040000000001E-3</v>
      </c>
      <c r="P2998">
        <v>0.97646520000000003</v>
      </c>
      <c r="Q2998">
        <v>0.21350769999999999</v>
      </c>
      <c r="R2998">
        <v>-3.049874E-2</v>
      </c>
      <c r="S2998">
        <v>3.0712280000000001</v>
      </c>
      <c r="T2998">
        <v>-1.429069E-2</v>
      </c>
      <c r="U2998">
        <v>-0.14224239999999999</v>
      </c>
      <c r="V2998">
        <v>3.7433149999999998E-2</v>
      </c>
      <c r="W2998">
        <v>0.22749130000000001</v>
      </c>
      <c r="X2998">
        <v>0.97306040000000005</v>
      </c>
      <c r="Y2998">
        <v>5.3209489999999998E-2</v>
      </c>
      <c r="Z2998">
        <v>-4.3873330000000001E-4</v>
      </c>
      <c r="AA2998">
        <v>0.99858329999999995</v>
      </c>
      <c r="AB2998">
        <v>42</v>
      </c>
      <c r="AC2998">
        <v>111.061799999999</v>
      </c>
      <c r="AD2998">
        <v>-0.51811679999999904</v>
      </c>
      <c r="AE2998">
        <v>-5.1586999999999996</v>
      </c>
      <c r="AF2998">
        <v>5.9309725028301603</v>
      </c>
      <c r="AG2998">
        <v>-0.51811679999999904</v>
      </c>
      <c r="AH2998">
        <v>111.02081920771499</v>
      </c>
      <c r="AI2998">
        <v>90.267007767512496</v>
      </c>
      <c r="AJ2998">
        <v>86.942042275800105</v>
      </c>
      <c r="AK2998">
        <v>111.180336289292</v>
      </c>
      <c r="AL2998">
        <v>76.850581552132297</v>
      </c>
      <c r="AM2998">
        <v>87.796946176634407</v>
      </c>
      <c r="AN2998">
        <v>1.00000003717138</v>
      </c>
    </row>
    <row r="2999" spans="1:40" x14ac:dyDescent="0.25">
      <c r="A2999" t="str">
        <f>"20190303171036290"</f>
        <v>20190303171036290</v>
      </c>
      <c r="B2999" t="str">
        <f>"1551604236283942"</f>
        <v>1551604236283942</v>
      </c>
      <c r="C2999" t="s">
        <v>40</v>
      </c>
      <c r="D2999">
        <v>4.5297640000000001</v>
      </c>
      <c r="E2999">
        <v>0.51165419999999995</v>
      </c>
      <c r="F2999" t="s">
        <v>50</v>
      </c>
      <c r="G2999">
        <v>-169.39230000000001</v>
      </c>
      <c r="H2999">
        <v>0.59499740000000001</v>
      </c>
      <c r="I2999">
        <v>209.5566</v>
      </c>
      <c r="J2999">
        <v>-280.1866</v>
      </c>
      <c r="K2999">
        <v>1.1208419999999999</v>
      </c>
      <c r="L2999">
        <v>214.74440000000001</v>
      </c>
      <c r="M2999">
        <v>0.99987360000000003</v>
      </c>
      <c r="N2999">
        <v>-1.4369069999999999E-2</v>
      </c>
      <c r="O2999">
        <v>6.8182199999999998E-3</v>
      </c>
      <c r="P2999">
        <v>0.97645369999999998</v>
      </c>
      <c r="Q2999">
        <v>0.21353929999999999</v>
      </c>
      <c r="R2999">
        <v>-3.064946E-2</v>
      </c>
      <c r="S2999">
        <v>3.0710449999999998</v>
      </c>
      <c r="T2999">
        <v>-1.453948E-2</v>
      </c>
      <c r="U2999">
        <v>-0.1434021</v>
      </c>
      <c r="V2999">
        <v>3.7449900000000001E-2</v>
      </c>
      <c r="W2999">
        <v>0.22752140000000001</v>
      </c>
      <c r="X2999">
        <v>0.97305269999999999</v>
      </c>
      <c r="Y2999">
        <v>5.3451749999999999E-2</v>
      </c>
      <c r="Z2999">
        <v>-4.4506660000000003E-4</v>
      </c>
      <c r="AA2999">
        <v>0.99857030000000002</v>
      </c>
      <c r="AB2999">
        <v>42</v>
      </c>
      <c r="AC2999">
        <v>110.79430000000001</v>
      </c>
      <c r="AD2999">
        <v>-0.5258446</v>
      </c>
      <c r="AE2999">
        <v>-5.18780000000001</v>
      </c>
      <c r="AF2999">
        <v>5.9430436535130102</v>
      </c>
      <c r="AG2999">
        <v>-0.5258446</v>
      </c>
      <c r="AH2999">
        <v>110.753859558122</v>
      </c>
      <c r="AI2999">
        <v>90.271639908084396</v>
      </c>
      <c r="AJ2999">
        <v>86.928458635219997</v>
      </c>
      <c r="AK2999">
        <v>110.91444309661</v>
      </c>
      <c r="AL2999">
        <v>76.848810272801501</v>
      </c>
      <c r="AM2999">
        <v>87.795943936694101</v>
      </c>
      <c r="AN2999">
        <v>1.00000001972262</v>
      </c>
    </row>
    <row r="3000" spans="1:40" x14ac:dyDescent="0.25">
      <c r="A3000" t="str">
        <f>"20190303171036306"</f>
        <v>20190303171036306</v>
      </c>
      <c r="B3000" t="str">
        <f>"1551604236293701"</f>
        <v>1551604236293701</v>
      </c>
      <c r="C3000" t="s">
        <v>40</v>
      </c>
      <c r="D3000">
        <v>4.4435089999999997</v>
      </c>
      <c r="E3000">
        <v>0.51165419999999995</v>
      </c>
      <c r="F3000" t="s">
        <v>50</v>
      </c>
      <c r="G3000">
        <v>-169.39230000000001</v>
      </c>
      <c r="H3000">
        <v>0.60728649999999995</v>
      </c>
      <c r="I3000">
        <v>209.57400000000001</v>
      </c>
      <c r="J3000">
        <v>-279.91460000000001</v>
      </c>
      <c r="K3000">
        <v>1.120835</v>
      </c>
      <c r="L3000">
        <v>214.74619999999999</v>
      </c>
      <c r="M3000">
        <v>0.9998745</v>
      </c>
      <c r="N3000">
        <v>-1.4367599999999999E-2</v>
      </c>
      <c r="O3000">
        <v>6.6794869999999996E-3</v>
      </c>
      <c r="P3000">
        <v>0.97647510000000004</v>
      </c>
      <c r="Q3000">
        <v>0.21345910000000001</v>
      </c>
      <c r="R3000">
        <v>-3.0520510000000001E-2</v>
      </c>
      <c r="S3000">
        <v>3.0709529999999998</v>
      </c>
      <c r="T3000">
        <v>-1.4233590000000001E-2</v>
      </c>
      <c r="U3000">
        <v>-0.14331050000000001</v>
      </c>
      <c r="V3000">
        <v>3.7185429999999998E-2</v>
      </c>
      <c r="W3000">
        <v>0.22744059999999999</v>
      </c>
      <c r="X3000">
        <v>0.97308170000000005</v>
      </c>
      <c r="Y3000">
        <v>5.3284949999999998E-2</v>
      </c>
      <c r="Z3000">
        <v>-4.414663E-4</v>
      </c>
      <c r="AA3000">
        <v>0.99857929999999995</v>
      </c>
      <c r="AB3000">
        <v>42</v>
      </c>
      <c r="AC3000">
        <v>110.5223</v>
      </c>
      <c r="AD3000">
        <v>-0.51354849999999996</v>
      </c>
      <c r="AE3000">
        <v>-5.1721999999999699</v>
      </c>
      <c r="AF3000">
        <v>5.9102657196414503</v>
      </c>
      <c r="AG3000">
        <v>-0.51354849999999996</v>
      </c>
      <c r="AH3000">
        <v>110.482902578516</v>
      </c>
      <c r="AI3000">
        <v>90.265941051011396</v>
      </c>
      <c r="AJ3000">
        <v>86.937889890323802</v>
      </c>
      <c r="AK3000">
        <v>110.642065847997</v>
      </c>
      <c r="AL3000">
        <v>76.853563999518798</v>
      </c>
      <c r="AM3000">
        <v>87.811558880615394</v>
      </c>
      <c r="AN3000">
        <v>0.99999998880376695</v>
      </c>
    </row>
    <row r="3001" spans="1:40" x14ac:dyDescent="0.25">
      <c r="A3001" t="str">
        <f>"20190303171036322"</f>
        <v>20190303171036322</v>
      </c>
      <c r="B3001" t="str">
        <f>"1551604236314198"</f>
        <v>1551604236314198</v>
      </c>
      <c r="C3001" t="s">
        <v>40</v>
      </c>
      <c r="D3001">
        <v>4.3227469999999997</v>
      </c>
      <c r="E3001">
        <v>0.51376309999999903</v>
      </c>
      <c r="F3001" t="s">
        <v>50</v>
      </c>
      <c r="G3001">
        <v>-169.39230000000001</v>
      </c>
      <c r="H3001">
        <v>0.60023689999999996</v>
      </c>
      <c r="I3001">
        <v>209.58519999999999</v>
      </c>
      <c r="J3001">
        <v>-279.61450000000002</v>
      </c>
      <c r="K3001">
        <v>1.120835</v>
      </c>
      <c r="L3001">
        <v>214.74799999999999</v>
      </c>
      <c r="M3001">
        <v>0.99987550000000003</v>
      </c>
      <c r="N3001">
        <v>-1.436597E-2</v>
      </c>
      <c r="O3001">
        <v>6.5262719999999996E-3</v>
      </c>
      <c r="P3001">
        <v>0.97654350000000001</v>
      </c>
      <c r="Q3001">
        <v>0.213169</v>
      </c>
      <c r="R3001">
        <v>-3.036235E-2</v>
      </c>
      <c r="S3001">
        <v>3.0709529999999998</v>
      </c>
      <c r="T3001">
        <v>-1.446426E-2</v>
      </c>
      <c r="U3001">
        <v>-0.1434021</v>
      </c>
      <c r="V3001">
        <v>3.6877640000000003E-2</v>
      </c>
      <c r="W3001">
        <v>0.22714999999999999</v>
      </c>
      <c r="X3001">
        <v>0.97316130000000001</v>
      </c>
      <c r="Y3001">
        <v>5.316162E-2</v>
      </c>
      <c r="Z3001">
        <v>-4.4423770000000002E-4</v>
      </c>
      <c r="AA3001">
        <v>0.99858579999999997</v>
      </c>
      <c r="AB3001">
        <v>42</v>
      </c>
      <c r="AC3001">
        <v>110.2222</v>
      </c>
      <c r="AD3001">
        <v>-0.52059809999999995</v>
      </c>
      <c r="AE3001">
        <v>-5.1627999999999998</v>
      </c>
      <c r="AF3001">
        <v>5.8819734010746103</v>
      </c>
      <c r="AG3001">
        <v>-0.52059809999999995</v>
      </c>
      <c r="AH3001">
        <v>110.183702238232</v>
      </c>
      <c r="AI3001">
        <v>90.270325295224694</v>
      </c>
      <c r="AJ3001">
        <v>86.944260779366104</v>
      </c>
      <c r="AK3001">
        <v>110.341818330115</v>
      </c>
      <c r="AL3001">
        <v>76.870661810372994</v>
      </c>
      <c r="AM3001">
        <v>87.829832931819197</v>
      </c>
      <c r="AN3001">
        <v>0.99999999932482897</v>
      </c>
    </row>
    <row r="3002" spans="1:40" x14ac:dyDescent="0.25">
      <c r="A3002" t="str">
        <f>"20190303171036339"</f>
        <v>20190303171036339</v>
      </c>
      <c r="B3002" t="str">
        <f>"1551604236333724"</f>
        <v>1551604236333724</v>
      </c>
      <c r="C3002" t="s">
        <v>40</v>
      </c>
      <c r="D3002">
        <v>4.4431880000000001</v>
      </c>
      <c r="E3002">
        <v>0.51434619999999998</v>
      </c>
      <c r="F3002" t="s">
        <v>50</v>
      </c>
      <c r="G3002">
        <v>-168.41550000000001</v>
      </c>
      <c r="H3002">
        <v>16.40849</v>
      </c>
      <c r="I3002">
        <v>207.7773</v>
      </c>
      <c r="J3002">
        <v>-279.27730000000003</v>
      </c>
      <c r="K3002">
        <v>1.120833</v>
      </c>
      <c r="L3002">
        <v>214.7501</v>
      </c>
      <c r="M3002">
        <v>0.99987669999999995</v>
      </c>
      <c r="N3002">
        <v>-1.4364129999999999E-2</v>
      </c>
      <c r="O3002">
        <v>6.3545839999999999E-3</v>
      </c>
      <c r="P3002">
        <v>0.97662110000000002</v>
      </c>
      <c r="Q3002">
        <v>0.21285109999999999</v>
      </c>
      <c r="R3002">
        <v>-3.0099029999999999E-2</v>
      </c>
      <c r="S3002">
        <v>2.9769290000000002</v>
      </c>
      <c r="T3002">
        <v>0.40926950000000001</v>
      </c>
      <c r="U3002">
        <v>-0.186615</v>
      </c>
      <c r="V3002">
        <v>3.6446480000000003E-2</v>
      </c>
      <c r="W3002">
        <v>0.2268319</v>
      </c>
      <c r="X3002">
        <v>0.9732518</v>
      </c>
      <c r="Y3002">
        <v>6.8261150000000007E-2</v>
      </c>
      <c r="Z3002">
        <v>5.1324580000000003E-3</v>
      </c>
      <c r="AA3002">
        <v>0.99765429999999999</v>
      </c>
      <c r="AB3002">
        <v>42</v>
      </c>
      <c r="AC3002">
        <v>110.8618</v>
      </c>
      <c r="AD3002">
        <v>15.287656999999999</v>
      </c>
      <c r="AE3002">
        <v>-6.9728000000000003</v>
      </c>
      <c r="AF3002">
        <v>7.5345013147030198</v>
      </c>
      <c r="AG3002">
        <v>15.287656999999999</v>
      </c>
      <c r="AH3002">
        <v>108.755310895167</v>
      </c>
      <c r="AI3002">
        <v>82.017287720203299</v>
      </c>
      <c r="AJ3002">
        <v>86.036915850737401</v>
      </c>
      <c r="AK3002">
        <v>110.08269080339301</v>
      </c>
      <c r="AL3002">
        <v>76.8893769289663</v>
      </c>
      <c r="AM3002">
        <v>87.855381156209702</v>
      </c>
      <c r="AN3002">
        <v>1.0000000614826099</v>
      </c>
    </row>
    <row r="3003" spans="1:40" x14ac:dyDescent="0.25">
      <c r="A3003" t="str">
        <f>"20190303171036355"</f>
        <v>20190303171036355</v>
      </c>
      <c r="B3003" t="str">
        <f>"1551604236343477"</f>
        <v>1551604236343477</v>
      </c>
      <c r="C3003" t="s">
        <v>40</v>
      </c>
      <c r="D3003">
        <v>4.4406619999999997</v>
      </c>
      <c r="E3003">
        <v>0.51426079999999996</v>
      </c>
      <c r="F3003" t="s">
        <v>50</v>
      </c>
      <c r="G3003">
        <v>-168.41550000000001</v>
      </c>
      <c r="H3003">
        <v>16.336449999999999</v>
      </c>
      <c r="I3003">
        <v>207.6618</v>
      </c>
      <c r="J3003">
        <v>-278.98059999999998</v>
      </c>
      <c r="K3003">
        <v>1.1208359999999999</v>
      </c>
      <c r="L3003">
        <v>214.7518</v>
      </c>
      <c r="M3003">
        <v>0.99987760000000003</v>
      </c>
      <c r="N3003">
        <v>-1.436252E-2</v>
      </c>
      <c r="O3003">
        <v>6.2041709999999996E-3</v>
      </c>
      <c r="P3003">
        <v>0.97665639999999998</v>
      </c>
      <c r="Q3003">
        <v>0.21270530000000001</v>
      </c>
      <c r="R3003">
        <v>-2.9976829999999999E-2</v>
      </c>
      <c r="S3003">
        <v>2.9768979999999998</v>
      </c>
      <c r="T3003">
        <v>0.40857569999999999</v>
      </c>
      <c r="U3003">
        <v>-0.19033810000000001</v>
      </c>
      <c r="V3003">
        <v>3.6177519999999998E-2</v>
      </c>
      <c r="W3003">
        <v>0.2266851</v>
      </c>
      <c r="X3003">
        <v>0.97329600000000005</v>
      </c>
      <c r="Y3003">
        <v>6.9349380000000002E-2</v>
      </c>
      <c r="Z3003">
        <v>5.1667600000000003E-3</v>
      </c>
      <c r="AA3003">
        <v>0.99757899999999999</v>
      </c>
      <c r="AB3003">
        <v>42</v>
      </c>
      <c r="AC3003">
        <v>110.56509999999901</v>
      </c>
      <c r="AD3003">
        <v>15.215614</v>
      </c>
      <c r="AE3003">
        <v>-7.09</v>
      </c>
      <c r="AF3003">
        <v>7.6319541249532401</v>
      </c>
      <c r="AG3003">
        <v>15.215614</v>
      </c>
      <c r="AH3003">
        <v>108.473087668151</v>
      </c>
      <c r="AI3003">
        <v>82.034606362491601</v>
      </c>
      <c r="AJ3003">
        <v>85.975413268523994</v>
      </c>
      <c r="AK3003">
        <v>109.800602828148</v>
      </c>
      <c r="AL3003">
        <v>76.898012428358996</v>
      </c>
      <c r="AM3003">
        <v>87.871289529963207</v>
      </c>
      <c r="AN3003">
        <v>1.00000002556568</v>
      </c>
    </row>
    <row r="3004" spans="1:40" x14ac:dyDescent="0.25">
      <c r="A3004" t="str">
        <f>"20190303171036372"</f>
        <v>20190303171036372</v>
      </c>
      <c r="B3004" t="str">
        <f>"1551604236363973"</f>
        <v>1551604236363973</v>
      </c>
      <c r="C3004" t="s">
        <v>40</v>
      </c>
      <c r="D3004">
        <v>4.3650000000000002</v>
      </c>
      <c r="E3004">
        <v>0.51225310000000002</v>
      </c>
      <c r="F3004" t="s">
        <v>50</v>
      </c>
      <c r="G3004">
        <v>-168.41550000000001</v>
      </c>
      <c r="H3004">
        <v>16.25122</v>
      </c>
      <c r="I3004">
        <v>207.72110000000001</v>
      </c>
      <c r="J3004">
        <v>-278.67070000000001</v>
      </c>
      <c r="K3004">
        <v>1.1208400000000001</v>
      </c>
      <c r="L3004">
        <v>214.75360000000001</v>
      </c>
      <c r="M3004">
        <v>0.99987859999999995</v>
      </c>
      <c r="N3004">
        <v>-1.436084E-2</v>
      </c>
      <c r="O3004">
        <v>6.0469080000000001E-3</v>
      </c>
      <c r="P3004">
        <v>0.97654870000000005</v>
      </c>
      <c r="Q3004">
        <v>0.2132001</v>
      </c>
      <c r="R3004">
        <v>-2.9977609999999998E-2</v>
      </c>
      <c r="S3004">
        <v>2.9771730000000001</v>
      </c>
      <c r="T3004">
        <v>0.40741480000000002</v>
      </c>
      <c r="U3004">
        <v>-0.18931580000000001</v>
      </c>
      <c r="V3004">
        <v>3.6023720000000002E-2</v>
      </c>
      <c r="W3004">
        <v>0.22717689999999999</v>
      </c>
      <c r="X3004">
        <v>0.97318700000000002</v>
      </c>
      <c r="Y3004">
        <v>6.8855239999999998E-2</v>
      </c>
      <c r="Z3004">
        <v>5.0969780000000003E-3</v>
      </c>
      <c r="AA3004">
        <v>0.99761369999999905</v>
      </c>
      <c r="AB3004">
        <v>42</v>
      </c>
      <c r="AC3004">
        <v>110.2552</v>
      </c>
      <c r="AD3004">
        <v>15.130379999999899</v>
      </c>
      <c r="AE3004">
        <v>-7.03249999999999</v>
      </c>
      <c r="AF3004">
        <v>7.5573973161930299</v>
      </c>
      <c r="AG3004">
        <v>15.130379999999899</v>
      </c>
      <c r="AH3004">
        <v>108.181609653691</v>
      </c>
      <c r="AI3004">
        <v>82.057314408872102</v>
      </c>
      <c r="AJ3004">
        <v>86.003898997420904</v>
      </c>
      <c r="AK3004">
        <v>109.49567717678499</v>
      </c>
      <c r="AL3004">
        <v>76.869079115885398</v>
      </c>
      <c r="AM3004">
        <v>87.880093763520094</v>
      </c>
      <c r="AN3004">
        <v>0.99999999463262401</v>
      </c>
    </row>
    <row r="3005" spans="1:40" x14ac:dyDescent="0.25">
      <c r="A3005" t="str">
        <f>"20190303171036395"</f>
        <v>20190303171036395</v>
      </c>
      <c r="B3005" t="str">
        <f>"1551604236383784"</f>
        <v>1551604236383784</v>
      </c>
      <c r="C3005" t="s">
        <v>40</v>
      </c>
      <c r="D3005">
        <v>4.287032</v>
      </c>
      <c r="E3005">
        <v>0.51459659999999996</v>
      </c>
      <c r="F3005" t="s">
        <v>50</v>
      </c>
      <c r="G3005">
        <v>-169.39230000000001</v>
      </c>
      <c r="H3005">
        <v>0.66879650000000002</v>
      </c>
      <c r="I3005">
        <v>209.53399999999999</v>
      </c>
      <c r="J3005">
        <v>-278.24180000000001</v>
      </c>
      <c r="K3005">
        <v>1.120844</v>
      </c>
      <c r="L3005">
        <v>214.756</v>
      </c>
      <c r="M3005">
        <v>0.99987999999999999</v>
      </c>
      <c r="N3005">
        <v>-1.4358320000000001E-2</v>
      </c>
      <c r="O3005">
        <v>5.829458E-3</v>
      </c>
      <c r="P3005">
        <v>0.97648780000000002</v>
      </c>
      <c r="Q3005">
        <v>0.21346789999999999</v>
      </c>
      <c r="R3005">
        <v>-3.0058910000000001E-2</v>
      </c>
      <c r="S3005">
        <v>3.0703429999999998</v>
      </c>
      <c r="T3005">
        <v>-1.269996E-2</v>
      </c>
      <c r="U3005">
        <v>-0.14665220000000001</v>
      </c>
      <c r="V3005">
        <v>3.5891960000000001E-2</v>
      </c>
      <c r="W3005">
        <v>0.22744159999999999</v>
      </c>
      <c r="X3005">
        <v>0.97313000000000005</v>
      </c>
      <c r="Y3005">
        <v>5.3529979999999998E-2</v>
      </c>
      <c r="Z3005">
        <v>-4.3563500000000003E-4</v>
      </c>
      <c r="AA3005">
        <v>0.99856619999999996</v>
      </c>
      <c r="AB3005">
        <v>42</v>
      </c>
      <c r="AC3005">
        <v>108.84950000000001</v>
      </c>
      <c r="AD3005">
        <v>-0.45204749999999999</v>
      </c>
      <c r="AE3005">
        <v>-5.2219999999999498</v>
      </c>
      <c r="AF3005">
        <v>5.8564094350809599</v>
      </c>
      <c r="AG3005">
        <v>-0.45204749999999999</v>
      </c>
      <c r="AH3005">
        <v>108.81533310817299</v>
      </c>
      <c r="AI3005">
        <v>90.237676392026202</v>
      </c>
      <c r="AJ3005">
        <v>86.919330042232403</v>
      </c>
      <c r="AK3005">
        <v>108.973751875652</v>
      </c>
      <c r="AL3005">
        <v>76.853504716721702</v>
      </c>
      <c r="AM3005">
        <v>87.887716870497101</v>
      </c>
      <c r="AN3005">
        <v>0.99999995555159904</v>
      </c>
    </row>
    <row r="3006" spans="1:40" x14ac:dyDescent="0.25">
      <c r="A3006" t="str">
        <f>"20190303171036417"</f>
        <v>20190303171036417</v>
      </c>
      <c r="B3006" t="str">
        <f>"1551604236403304"</f>
        <v>1551604236403304</v>
      </c>
      <c r="C3006" t="s">
        <v>40</v>
      </c>
      <c r="D3006">
        <v>4.4480690000000003</v>
      </c>
      <c r="E3006">
        <v>0.51359679999999996</v>
      </c>
      <c r="F3006" t="s">
        <v>50</v>
      </c>
      <c r="G3006">
        <v>-168.41550000000001</v>
      </c>
      <c r="H3006">
        <v>16.20495</v>
      </c>
      <c r="I3006">
        <v>207.66470000000001</v>
      </c>
      <c r="J3006">
        <v>-277.83890000000002</v>
      </c>
      <c r="K3006">
        <v>1.1208469999999999</v>
      </c>
      <c r="L3006">
        <v>214.75819999999999</v>
      </c>
      <c r="M3006">
        <v>0.99988120000000003</v>
      </c>
      <c r="N3006">
        <v>-1.435586E-2</v>
      </c>
      <c r="O3006">
        <v>5.6255929999999999E-3</v>
      </c>
      <c r="P3006">
        <v>0.97645119999999996</v>
      </c>
      <c r="Q3006">
        <v>0.2136131</v>
      </c>
      <c r="R3006">
        <v>-3.020931E-2</v>
      </c>
      <c r="S3006">
        <v>2.9769290000000002</v>
      </c>
      <c r="T3006">
        <v>0.40886719999999999</v>
      </c>
      <c r="U3006">
        <v>-0.192215</v>
      </c>
      <c r="V3006">
        <v>3.5842949999999998E-2</v>
      </c>
      <c r="W3006">
        <v>0.22758419999999999</v>
      </c>
      <c r="X3006">
        <v>0.97309849999999998</v>
      </c>
      <c r="Y3006">
        <v>6.9403060000000003E-2</v>
      </c>
      <c r="Z3006">
        <v>5.0867179999999996E-3</v>
      </c>
      <c r="AA3006">
        <v>0.99757580000000001</v>
      </c>
      <c r="AB3006">
        <v>42</v>
      </c>
      <c r="AC3006">
        <v>109.4234</v>
      </c>
      <c r="AD3006">
        <v>15.084103000000001</v>
      </c>
      <c r="AE3006">
        <v>-7.0934999999999704</v>
      </c>
      <c r="AF3006">
        <v>7.5658516187369598</v>
      </c>
      <c r="AG3006">
        <v>15.084103000000001</v>
      </c>
      <c r="AH3006">
        <v>107.35033432918701</v>
      </c>
      <c r="AI3006">
        <v>82.021107411941699</v>
      </c>
      <c r="AJ3006">
        <v>85.968566293296405</v>
      </c>
      <c r="AK3006">
        <v>108.668608874043</v>
      </c>
      <c r="AL3006">
        <v>76.845114733610203</v>
      </c>
      <c r="AM3006">
        <v>87.890530336639003</v>
      </c>
      <c r="AN3006">
        <v>0.99999998792829603</v>
      </c>
    </row>
    <row r="3007" spans="1:40" x14ac:dyDescent="0.25">
      <c r="A3007" t="str">
        <f>"20190303171036433"</f>
        <v>20190303171036433</v>
      </c>
      <c r="B3007" t="str">
        <f>"1551604236423801"</f>
        <v>1551604236423801</v>
      </c>
      <c r="C3007" t="s">
        <v>40</v>
      </c>
      <c r="D3007">
        <v>4.2526840000000004</v>
      </c>
      <c r="E3007">
        <v>0.51356659999999998</v>
      </c>
      <c r="F3007" t="s">
        <v>50</v>
      </c>
      <c r="G3007">
        <v>-168.41540000000001</v>
      </c>
      <c r="H3007">
        <v>16.41469</v>
      </c>
      <c r="I3007">
        <v>207.9502</v>
      </c>
      <c r="J3007">
        <v>-277.53289999999998</v>
      </c>
      <c r="K3007">
        <v>1.1208480000000001</v>
      </c>
      <c r="L3007">
        <v>214.75980000000001</v>
      </c>
      <c r="M3007">
        <v>0.9998821</v>
      </c>
      <c r="N3007">
        <v>-1.435405E-2</v>
      </c>
      <c r="O3007">
        <v>5.4711269999999897E-3</v>
      </c>
      <c r="P3007">
        <v>0.97643800000000003</v>
      </c>
      <c r="Q3007">
        <v>0.21366370000000001</v>
      </c>
      <c r="R3007">
        <v>-3.0283649999999999E-2</v>
      </c>
      <c r="S3007">
        <v>2.9756469999999999</v>
      </c>
      <c r="T3007">
        <v>0.41589939999999997</v>
      </c>
      <c r="U3007">
        <v>-0.18513489999999999</v>
      </c>
      <c r="V3007">
        <v>3.5766020000000003E-2</v>
      </c>
      <c r="W3007">
        <v>0.2276329</v>
      </c>
      <c r="X3007">
        <v>0.97308989999999995</v>
      </c>
      <c r="Y3007">
        <v>6.6911769999999995E-2</v>
      </c>
      <c r="Z3007">
        <v>5.0045519999999998E-3</v>
      </c>
      <c r="AA3007">
        <v>0.99774629999999997</v>
      </c>
      <c r="AB3007">
        <v>42</v>
      </c>
      <c r="AC3007">
        <v>109.117499999999</v>
      </c>
      <c r="AD3007">
        <v>15.293842</v>
      </c>
      <c r="AE3007">
        <v>-6.8096000000000103</v>
      </c>
      <c r="AF3007">
        <v>7.2644021695188599</v>
      </c>
      <c r="AG3007">
        <v>15.293842</v>
      </c>
      <c r="AH3007">
        <v>106.98507503735701</v>
      </c>
      <c r="AI3007">
        <v>81.8829535612916</v>
      </c>
      <c r="AJ3007">
        <v>86.115517229077795</v>
      </c>
      <c r="AK3007">
        <v>108.31657039784</v>
      </c>
      <c r="AL3007">
        <v>76.842248701238603</v>
      </c>
      <c r="AM3007">
        <v>87.895035244052707</v>
      </c>
      <c r="AN3007">
        <v>0.99999994941552806</v>
      </c>
    </row>
    <row r="3008" spans="1:40" x14ac:dyDescent="0.25">
      <c r="A3008" t="str">
        <f>"20190303171036446"</f>
        <v>20190303171036446</v>
      </c>
      <c r="B3008" t="str">
        <f>"1551604236433560"</f>
        <v>1551604236433560</v>
      </c>
      <c r="C3008" t="s">
        <v>40</v>
      </c>
      <c r="D3008">
        <v>4.382403</v>
      </c>
      <c r="E3008">
        <v>0.51356659999999998</v>
      </c>
      <c r="F3008" t="s">
        <v>50</v>
      </c>
      <c r="G3008">
        <v>-168.41540000000001</v>
      </c>
      <c r="H3008">
        <v>16.34712</v>
      </c>
      <c r="I3008">
        <v>207.97239999999999</v>
      </c>
      <c r="J3008">
        <v>-277.29989999999998</v>
      </c>
      <c r="K3008">
        <v>1.120851</v>
      </c>
      <c r="L3008">
        <v>214.761</v>
      </c>
      <c r="M3008">
        <v>0.99988279999999996</v>
      </c>
      <c r="N3008">
        <v>-1.435268E-2</v>
      </c>
      <c r="O3008">
        <v>5.3534890000000003E-3</v>
      </c>
      <c r="P3008">
        <v>0.97641869999999997</v>
      </c>
      <c r="Q3008">
        <v>0.21373519999999999</v>
      </c>
      <c r="R3008">
        <v>-3.0403360000000001E-2</v>
      </c>
      <c r="S3008">
        <v>2.9758300000000002</v>
      </c>
      <c r="T3008">
        <v>0.41524860000000002</v>
      </c>
      <c r="U3008">
        <v>-0.1851044</v>
      </c>
      <c r="V3008">
        <v>3.5770570000000002E-2</v>
      </c>
      <c r="W3008">
        <v>0.22770290000000001</v>
      </c>
      <c r="X3008">
        <v>0.97307339999999998</v>
      </c>
      <c r="Y3008">
        <v>6.6785040000000004E-2</v>
      </c>
      <c r="Z3008">
        <v>4.9700120000000002E-3</v>
      </c>
      <c r="AA3008">
        <v>0.99775499999999995</v>
      </c>
      <c r="AB3008">
        <v>42</v>
      </c>
      <c r="AC3008">
        <v>108.88449999999899</v>
      </c>
      <c r="AD3008">
        <v>15.226269</v>
      </c>
      <c r="AE3008">
        <v>-6.7885999999999997</v>
      </c>
      <c r="AF3008">
        <v>7.2306281549921501</v>
      </c>
      <c r="AG3008">
        <v>15.226269</v>
      </c>
      <c r="AH3008">
        <v>106.76686520043199</v>
      </c>
      <c r="AI3008">
        <v>81.901948225729399</v>
      </c>
      <c r="AJ3008">
        <v>86.125643995687099</v>
      </c>
      <c r="AK3008">
        <v>108.08924440435</v>
      </c>
      <c r="AL3008">
        <v>76.838130414981407</v>
      </c>
      <c r="AM3008">
        <v>87.8947320349573</v>
      </c>
      <c r="AN3008">
        <v>0.99999999306704701</v>
      </c>
    </row>
    <row r="3009" spans="1:40" x14ac:dyDescent="0.25">
      <c r="A3009" t="str">
        <f>"20190303171036462"</f>
        <v>20190303171036462</v>
      </c>
      <c r="B3009" t="str">
        <f>"1551604236454064"</f>
        <v>1551604236454064</v>
      </c>
      <c r="C3009" t="s">
        <v>40</v>
      </c>
      <c r="D3009">
        <v>4.3379159999999999</v>
      </c>
      <c r="E3009">
        <v>0.51378259999999998</v>
      </c>
      <c r="F3009" t="s">
        <v>50</v>
      </c>
      <c r="G3009">
        <v>-168.41540000000001</v>
      </c>
      <c r="H3009">
        <v>16.3233</v>
      </c>
      <c r="I3009">
        <v>207.97059999999999</v>
      </c>
      <c r="J3009">
        <v>-276.99680000000001</v>
      </c>
      <c r="K3009">
        <v>1.120852</v>
      </c>
      <c r="L3009">
        <v>214.76249999999999</v>
      </c>
      <c r="M3009">
        <v>0.99988350000000004</v>
      </c>
      <c r="N3009">
        <v>-1.435089E-2</v>
      </c>
      <c r="O3009">
        <v>5.2005130000000004E-3</v>
      </c>
      <c r="P3009">
        <v>0.97631319999999999</v>
      </c>
      <c r="Q3009">
        <v>0.21418599999999999</v>
      </c>
      <c r="R3009">
        <v>-3.0605460000000001E-2</v>
      </c>
      <c r="S3009">
        <v>2.9757690000000001</v>
      </c>
      <c r="T3009">
        <v>0.4154776</v>
      </c>
      <c r="U3009">
        <v>-0.1855774</v>
      </c>
      <c r="V3009">
        <v>3.5823050000000002E-2</v>
      </c>
      <c r="W3009">
        <v>0.22815060000000001</v>
      </c>
      <c r="X3009">
        <v>0.97296660000000001</v>
      </c>
      <c r="Y3009">
        <v>6.679264E-2</v>
      </c>
      <c r="Z3009">
        <v>4.950131E-3</v>
      </c>
      <c r="AA3009">
        <v>0.99775460000000005</v>
      </c>
      <c r="AB3009">
        <v>42</v>
      </c>
      <c r="AC3009">
        <v>108.5814</v>
      </c>
      <c r="AD3009">
        <v>15.202448</v>
      </c>
      <c r="AE3009">
        <v>-6.7918999999999903</v>
      </c>
      <c r="AF3009">
        <v>7.2156502265180604</v>
      </c>
      <c r="AG3009">
        <v>15.202448</v>
      </c>
      <c r="AH3009">
        <v>106.465723322587</v>
      </c>
      <c r="AI3009">
        <v>81.891910592812806</v>
      </c>
      <c r="AJ3009">
        <v>86.122742382218803</v>
      </c>
      <c r="AK3009">
        <v>107.78743097405101</v>
      </c>
      <c r="AL3009">
        <v>76.811785693444307</v>
      </c>
      <c r="AM3009">
        <v>87.891414903479202</v>
      </c>
      <c r="AN3009">
        <v>0.999999995953611</v>
      </c>
    </row>
    <row r="3010" spans="1:40" x14ac:dyDescent="0.25">
      <c r="A3010" t="str">
        <f>"20190303171036478"</f>
        <v>20190303171036478</v>
      </c>
      <c r="B3010" t="str">
        <f>"1551604236473577"</f>
        <v>1551604236473577</v>
      </c>
      <c r="C3010" t="s">
        <v>40</v>
      </c>
      <c r="D3010">
        <v>4.5308070000000003</v>
      </c>
      <c r="E3010">
        <v>0.51399269999999997</v>
      </c>
      <c r="F3010" t="s">
        <v>50</v>
      </c>
      <c r="G3010">
        <v>-168.41540000000001</v>
      </c>
      <c r="H3010">
        <v>16.255879999999902</v>
      </c>
      <c r="I3010">
        <v>207.90719999999999</v>
      </c>
      <c r="J3010">
        <v>-276.72489999999999</v>
      </c>
      <c r="K3010">
        <v>1.120857</v>
      </c>
      <c r="L3010">
        <v>214.7638</v>
      </c>
      <c r="M3010">
        <v>0.9998842</v>
      </c>
      <c r="N3010">
        <v>-1.4349260000000001E-2</v>
      </c>
      <c r="O3010">
        <v>5.0633279999999998E-3</v>
      </c>
      <c r="P3010">
        <v>0.97628269999999995</v>
      </c>
      <c r="Q3010">
        <v>0.21428459999999999</v>
      </c>
      <c r="R3010">
        <v>-3.0892869999999999E-2</v>
      </c>
      <c r="S3010">
        <v>2.9758909999999998</v>
      </c>
      <c r="T3010">
        <v>0.41480679999999998</v>
      </c>
      <c r="U3010">
        <v>-0.18788150000000001</v>
      </c>
      <c r="V3010">
        <v>3.5976189999999998E-2</v>
      </c>
      <c r="W3010">
        <v>0.22824710000000001</v>
      </c>
      <c r="X3010">
        <v>0.97293830000000003</v>
      </c>
      <c r="Y3010">
        <v>6.7421090000000003E-2</v>
      </c>
      <c r="Z3010">
        <v>4.9593049999999998E-3</v>
      </c>
      <c r="AA3010">
        <v>0.9977123</v>
      </c>
      <c r="AB3010">
        <v>42</v>
      </c>
      <c r="AC3010">
        <v>108.3095</v>
      </c>
      <c r="AD3010">
        <v>15.135022999999901</v>
      </c>
      <c r="AE3010">
        <v>-6.85660000000001</v>
      </c>
      <c r="AF3010">
        <v>7.2637037133507301</v>
      </c>
      <c r="AG3010">
        <v>15.135022999999901</v>
      </c>
      <c r="AH3010">
        <v>106.207761528342</v>
      </c>
      <c r="AI3010">
        <v>81.908382265605496</v>
      </c>
      <c r="AJ3010">
        <v>86.087550503530807</v>
      </c>
      <c r="AK3010">
        <v>107.526363844906</v>
      </c>
      <c r="AL3010">
        <v>76.806106599948805</v>
      </c>
      <c r="AM3010">
        <v>87.882347560721399</v>
      </c>
      <c r="AN3010">
        <v>0.99999998025610704</v>
      </c>
    </row>
    <row r="3011" spans="1:40" x14ac:dyDescent="0.25">
      <c r="A3011" t="str">
        <f>"20190303171036491"</f>
        <v>20190303171036491</v>
      </c>
      <c r="B3011" t="str">
        <f>"1551604236483336"</f>
        <v>1551604236483336</v>
      </c>
      <c r="C3011" t="s">
        <v>40</v>
      </c>
      <c r="D3011">
        <v>4.4136509999999998</v>
      </c>
      <c r="E3011">
        <v>0.51284430000000003</v>
      </c>
      <c r="F3011" t="s">
        <v>50</v>
      </c>
      <c r="G3011">
        <v>-168.41540000000001</v>
      </c>
      <c r="H3011">
        <v>16.153489999999898</v>
      </c>
      <c r="I3011">
        <v>207.84039999999999</v>
      </c>
      <c r="J3011">
        <v>-276.46409999999997</v>
      </c>
      <c r="K3011">
        <v>1.120859</v>
      </c>
      <c r="L3011">
        <v>214.76499999999999</v>
      </c>
      <c r="M3011">
        <v>0.99988489999999997</v>
      </c>
      <c r="N3011">
        <v>-1.434767E-2</v>
      </c>
      <c r="O3011">
        <v>4.9316259999999997E-3</v>
      </c>
      <c r="P3011">
        <v>0.97624060000000001</v>
      </c>
      <c r="Q3011">
        <v>0.21444589999999999</v>
      </c>
      <c r="R3011">
        <v>-3.1101449999999999E-2</v>
      </c>
      <c r="S3011">
        <v>2.9762270000000002</v>
      </c>
      <c r="T3011">
        <v>0.41308129999999998</v>
      </c>
      <c r="U3011">
        <v>-0.19024659999999999</v>
      </c>
      <c r="V3011">
        <v>3.6055999999999998E-2</v>
      </c>
      <c r="W3011">
        <v>0.2284059</v>
      </c>
      <c r="X3011">
        <v>0.97289809999999999</v>
      </c>
      <c r="Y3011">
        <v>6.8073910000000001E-2</v>
      </c>
      <c r="Z3011">
        <v>4.9567709999999996E-3</v>
      </c>
      <c r="AA3011">
        <v>0.997668</v>
      </c>
      <c r="AB3011">
        <v>41</v>
      </c>
      <c r="AC3011">
        <v>108.048699999999</v>
      </c>
      <c r="AD3011">
        <v>15.032631</v>
      </c>
      <c r="AE3011">
        <v>-6.9245999999999901</v>
      </c>
      <c r="AF3011">
        <v>7.3163847737562397</v>
      </c>
      <c r="AG3011">
        <v>15.032631</v>
      </c>
      <c r="AH3011">
        <v>105.970388159311</v>
      </c>
      <c r="AI3011">
        <v>81.9449916695349</v>
      </c>
      <c r="AJ3011">
        <v>86.050464648861094</v>
      </c>
      <c r="AK3011">
        <v>107.281091752344</v>
      </c>
      <c r="AL3011">
        <v>76.796761454183695</v>
      </c>
      <c r="AM3011">
        <v>87.877566412356302</v>
      </c>
      <c r="AN3011">
        <v>1.0000000016372099</v>
      </c>
    </row>
    <row r="3012" spans="1:40" x14ac:dyDescent="0.25">
      <c r="A3012" t="str">
        <f>"20190303171036503"</f>
        <v>20190303171036503</v>
      </c>
      <c r="B3012" t="str">
        <f>"1551604236494072"</f>
        <v>1551604236494072</v>
      </c>
      <c r="C3012" t="s">
        <v>40</v>
      </c>
      <c r="D3012">
        <v>4.3737629999999896</v>
      </c>
      <c r="E3012">
        <v>0.51284430000000003</v>
      </c>
      <c r="F3012" t="s">
        <v>50</v>
      </c>
      <c r="G3012">
        <v>-169.39250000000001</v>
      </c>
      <c r="H3012">
        <v>0.96609690000000004</v>
      </c>
      <c r="I3012">
        <v>209.3312</v>
      </c>
      <c r="J3012">
        <v>-276.23689999999999</v>
      </c>
      <c r="K3012">
        <v>1.1208610000000001</v>
      </c>
      <c r="L3012">
        <v>214.76599999999999</v>
      </c>
      <c r="M3012">
        <v>0.99988560000000004</v>
      </c>
      <c r="N3012">
        <v>-1.4346289999999999E-2</v>
      </c>
      <c r="O3012">
        <v>4.8167879999999998E-3</v>
      </c>
      <c r="P3012">
        <v>0.97622880000000001</v>
      </c>
      <c r="Q3012">
        <v>0.2144383</v>
      </c>
      <c r="R3012">
        <v>-3.1524040000000003E-2</v>
      </c>
      <c r="S3012">
        <v>3.069</v>
      </c>
      <c r="T3012">
        <v>-4.4349430000000002E-3</v>
      </c>
      <c r="U3012">
        <v>-0.15574649999999901</v>
      </c>
      <c r="V3012">
        <v>3.6366309999999999E-2</v>
      </c>
      <c r="W3012">
        <v>0.22839709999999999</v>
      </c>
      <c r="X3012">
        <v>0.97288859999999999</v>
      </c>
      <c r="Y3012">
        <v>5.5492519999999997E-2</v>
      </c>
      <c r="Z3012">
        <v>-3.7630010000000002E-4</v>
      </c>
      <c r="AA3012">
        <v>0.99845899999999999</v>
      </c>
      <c r="AB3012">
        <v>41</v>
      </c>
      <c r="AC3012">
        <v>106.844399999999</v>
      </c>
      <c r="AD3012">
        <v>-0.15476409999999899</v>
      </c>
      <c r="AE3012">
        <v>-5.4347999999999903</v>
      </c>
      <c r="AF3012">
        <v>5.9494242223767397</v>
      </c>
      <c r="AG3012">
        <v>-0.15476409999999899</v>
      </c>
      <c r="AH3012">
        <v>106.81675575544899</v>
      </c>
      <c r="AI3012">
        <v>90.082885885021597</v>
      </c>
      <c r="AJ3012">
        <v>86.812063236603706</v>
      </c>
      <c r="AK3012">
        <v>106.982423372363</v>
      </c>
      <c r="AL3012">
        <v>76.797279134953897</v>
      </c>
      <c r="AM3012">
        <v>87.859296076744897</v>
      </c>
      <c r="AN3012">
        <v>0.99999998590069294</v>
      </c>
    </row>
    <row r="3013" spans="1:40" x14ac:dyDescent="0.25">
      <c r="A3013" t="str">
        <f>"20190303171036518"</f>
        <v>20190303171036518</v>
      </c>
      <c r="B3013" t="str">
        <f>"1551604236503832"</f>
        <v>1551604236503832</v>
      </c>
      <c r="C3013" t="s">
        <v>40</v>
      </c>
      <c r="D3013">
        <v>4.2455290000000003</v>
      </c>
      <c r="E3013">
        <v>0.50659809999999905</v>
      </c>
      <c r="F3013" t="s">
        <v>50</v>
      </c>
      <c r="G3013">
        <v>-169.39250000000001</v>
      </c>
      <c r="H3013">
        <v>0.96570400000000001</v>
      </c>
      <c r="I3013">
        <v>209.3092</v>
      </c>
      <c r="J3013">
        <v>-275.96789999999999</v>
      </c>
      <c r="K3013">
        <v>1.12086</v>
      </c>
      <c r="L3013">
        <v>214.7672</v>
      </c>
      <c r="M3013">
        <v>0.99988619999999995</v>
      </c>
      <c r="N3013">
        <v>-1.434466E-2</v>
      </c>
      <c r="O3013">
        <v>4.6809729999999997E-3</v>
      </c>
      <c r="P3013">
        <v>0.9763018</v>
      </c>
      <c r="Q3013">
        <v>0.21404390000000001</v>
      </c>
      <c r="R3013">
        <v>-3.193638E-2</v>
      </c>
      <c r="S3013">
        <v>3.0689700000000002</v>
      </c>
      <c r="T3013">
        <v>-4.4556860000000004E-3</v>
      </c>
      <c r="U3013">
        <v>-0.156738299999999</v>
      </c>
      <c r="V3013">
        <v>3.664593E-2</v>
      </c>
      <c r="W3013">
        <v>0.22800200000000001</v>
      </c>
      <c r="X3013">
        <v>0.97297080000000002</v>
      </c>
      <c r="Y3013">
        <v>5.5679239999999998E-2</v>
      </c>
      <c r="Z3013">
        <v>-3.797122E-4</v>
      </c>
      <c r="AA3013">
        <v>0.99844860000000002</v>
      </c>
      <c r="AB3013">
        <v>41</v>
      </c>
      <c r="AC3013">
        <v>106.57539999999899</v>
      </c>
      <c r="AD3013">
        <v>-0.15515599999999899</v>
      </c>
      <c r="AE3013">
        <v>-5.4579999999999904</v>
      </c>
      <c r="AF3013">
        <v>5.95685547976659</v>
      </c>
      <c r="AG3013">
        <v>-0.15515599999999899</v>
      </c>
      <c r="AH3013">
        <v>106.548455527694</v>
      </c>
      <c r="AI3013">
        <v>90.083304042208695</v>
      </c>
      <c r="AJ3013">
        <v>86.800068619153507</v>
      </c>
      <c r="AK3013">
        <v>106.714954790452</v>
      </c>
      <c r="AL3013">
        <v>76.820530473475003</v>
      </c>
      <c r="AM3013">
        <v>87.843033799043695</v>
      </c>
      <c r="AN3013">
        <v>1.0000000069210999</v>
      </c>
    </row>
    <row r="3014" spans="1:40" x14ac:dyDescent="0.25">
      <c r="A3014" t="str">
        <f>"20190303171036534"</f>
        <v>20190303171036534</v>
      </c>
      <c r="B3014" t="str">
        <f>"1551604236523352"</f>
        <v>1551604236523352</v>
      </c>
      <c r="C3014" t="s">
        <v>40</v>
      </c>
      <c r="D3014">
        <v>4.3418070000000002</v>
      </c>
      <c r="E3014">
        <v>0.49918590000000002</v>
      </c>
      <c r="F3014" t="s">
        <v>50</v>
      </c>
      <c r="G3014">
        <v>-151.66990000000001</v>
      </c>
      <c r="H3014">
        <v>5.214588</v>
      </c>
      <c r="I3014">
        <v>210.09819999999999</v>
      </c>
      <c r="J3014">
        <v>-275.66070000000002</v>
      </c>
      <c r="K3014">
        <v>1.1208610000000001</v>
      </c>
      <c r="L3014">
        <v>214.76840000000001</v>
      </c>
      <c r="M3014">
        <v>0.99988690000000002</v>
      </c>
      <c r="N3014">
        <v>-1.434276E-2</v>
      </c>
      <c r="O3014">
        <v>4.5257300000000004E-3</v>
      </c>
      <c r="P3014">
        <v>0.976329</v>
      </c>
      <c r="Q3014">
        <v>0.2138668</v>
      </c>
      <c r="R3014">
        <v>-3.2296169999999999E-2</v>
      </c>
      <c r="S3014">
        <v>3.0470579999999998</v>
      </c>
      <c r="T3014">
        <v>0.100355</v>
      </c>
      <c r="U3014">
        <v>-0.11445619999999999</v>
      </c>
      <c r="V3014">
        <v>3.6853919999999998E-2</v>
      </c>
      <c r="W3014">
        <v>0.2278232</v>
      </c>
      <c r="X3014">
        <v>0.9730048</v>
      </c>
      <c r="Y3014">
        <v>4.204111E-2</v>
      </c>
      <c r="Z3014">
        <v>6.040517E-4</v>
      </c>
      <c r="AA3014">
        <v>0.99911570000000005</v>
      </c>
      <c r="AB3014">
        <v>41</v>
      </c>
      <c r="AC3014">
        <v>123.99079999999999</v>
      </c>
      <c r="AD3014">
        <v>4.0937270000000003</v>
      </c>
      <c r="AE3014">
        <v>-4.6702000000000199</v>
      </c>
      <c r="AF3014">
        <v>5.2256704348253598</v>
      </c>
      <c r="AG3014">
        <v>4.0937270000000003</v>
      </c>
      <c r="AH3014">
        <v>123.833594260307</v>
      </c>
      <c r="AI3014">
        <v>88.108271372618006</v>
      </c>
      <c r="AJ3014">
        <v>87.583601391176202</v>
      </c>
      <c r="AK3014">
        <v>124.01139181409999</v>
      </c>
      <c r="AL3014">
        <v>76.831051522249595</v>
      </c>
      <c r="AM3014">
        <v>87.830878971232593</v>
      </c>
      <c r="AN3014">
        <v>0.99999998135032298</v>
      </c>
    </row>
    <row r="3015" spans="1:40" x14ac:dyDescent="0.25">
      <c r="A3015" t="str">
        <f>"20190303171036551"</f>
        <v>20190303171036551</v>
      </c>
      <c r="B3015" t="str">
        <f>"1551604236543848"</f>
        <v>1551604236543848</v>
      </c>
      <c r="C3015" t="s">
        <v>40</v>
      </c>
      <c r="D3015">
        <v>4.2881159999999996</v>
      </c>
      <c r="E3015">
        <v>0.49588209999999999</v>
      </c>
      <c r="F3015" t="s">
        <v>77</v>
      </c>
      <c r="G3015">
        <v>-109.68</v>
      </c>
      <c r="H3015">
        <v>8.9280039999999996</v>
      </c>
      <c r="I3015">
        <v>211.5395</v>
      </c>
      <c r="J3015">
        <v>-275.34379999999999</v>
      </c>
      <c r="K3015">
        <v>1.120865</v>
      </c>
      <c r="L3015">
        <v>214.7697</v>
      </c>
      <c r="M3015">
        <v>0.99988759999999999</v>
      </c>
      <c r="N3015">
        <v>-1.4340800000000001E-2</v>
      </c>
      <c r="O3015">
        <v>4.3656019999999997E-3</v>
      </c>
      <c r="P3015">
        <v>0.97637439999999998</v>
      </c>
      <c r="Q3015">
        <v>0.2135715</v>
      </c>
      <c r="R3015">
        <v>-3.2866260000000001E-2</v>
      </c>
      <c r="S3015">
        <v>3.0394589999999999</v>
      </c>
      <c r="T3015">
        <v>0.14296629999999999</v>
      </c>
      <c r="U3015">
        <v>-5.9127810000000003E-2</v>
      </c>
      <c r="V3015">
        <v>3.7267849999999998E-2</v>
      </c>
      <c r="W3015">
        <v>0.22752649999999999</v>
      </c>
      <c r="X3015">
        <v>0.97305850000000005</v>
      </c>
      <c r="Y3015">
        <v>2.3788279999999998E-2</v>
      </c>
      <c r="Z3015">
        <v>6.5620809999999996E-4</v>
      </c>
      <c r="AA3015">
        <v>0.99971679999999996</v>
      </c>
      <c r="AB3015">
        <v>41</v>
      </c>
      <c r="AC3015">
        <v>165.66379999999899</v>
      </c>
      <c r="AD3015">
        <v>7.8071389999999896</v>
      </c>
      <c r="AE3015">
        <v>-3.2301999999999902</v>
      </c>
      <c r="AF3015">
        <v>3.9447083692567602</v>
      </c>
      <c r="AG3015">
        <v>7.8071389999999896</v>
      </c>
      <c r="AH3015">
        <v>165.28118467514301</v>
      </c>
      <c r="AI3015">
        <v>87.296384243966699</v>
      </c>
      <c r="AJ3015">
        <v>88.632801174262895</v>
      </c>
      <c r="AK3015">
        <v>165.51248336939</v>
      </c>
      <c r="AL3015">
        <v>76.848510232987607</v>
      </c>
      <c r="AM3015">
        <v>87.806660779411999</v>
      </c>
      <c r="AN3015">
        <v>1.00000002263406</v>
      </c>
    </row>
    <row r="3016" spans="1:40" x14ac:dyDescent="0.25">
      <c r="A3016" t="str">
        <f>"20190303171036567"</f>
        <v>20190303171036567</v>
      </c>
      <c r="B3016" t="str">
        <f>"1551604236553608"</f>
        <v>1551604236553608</v>
      </c>
      <c r="C3016" t="s">
        <v>40</v>
      </c>
      <c r="D3016">
        <v>4.2426570000000003</v>
      </c>
      <c r="E3016">
        <v>0.4946914</v>
      </c>
      <c r="F3016" t="s">
        <v>77</v>
      </c>
      <c r="G3016">
        <v>-107.39749999999999</v>
      </c>
      <c r="H3016">
        <v>13.218680000000001</v>
      </c>
      <c r="I3016">
        <v>212.6009</v>
      </c>
      <c r="J3016">
        <v>-275.06639999999999</v>
      </c>
      <c r="K3016">
        <v>1.120862</v>
      </c>
      <c r="L3016">
        <v>214.77080000000001</v>
      </c>
      <c r="M3016">
        <v>0.99988829999999995</v>
      </c>
      <c r="N3016">
        <v>-1.4339090000000001E-2</v>
      </c>
      <c r="O3016">
        <v>4.2253769999999998E-3</v>
      </c>
      <c r="P3016">
        <v>0.97630229999999996</v>
      </c>
      <c r="Q3016">
        <v>0.21385009999999999</v>
      </c>
      <c r="R3016">
        <v>-3.320215E-2</v>
      </c>
      <c r="S3016">
        <v>3.0236209999999999</v>
      </c>
      <c r="T3016">
        <v>0.217804</v>
      </c>
      <c r="U3016">
        <v>-3.9047239999999997E-2</v>
      </c>
      <c r="V3016">
        <v>3.7466159999999998E-2</v>
      </c>
      <c r="W3016">
        <v>0.22780239999999999</v>
      </c>
      <c r="X3016">
        <v>0.97298629999999997</v>
      </c>
      <c r="Y3016">
        <v>1.7087160000000001E-2</v>
      </c>
      <c r="Z3016">
        <v>8.5642309999999996E-4</v>
      </c>
      <c r="AA3016">
        <v>0.99985360000000001</v>
      </c>
      <c r="AB3016">
        <v>41</v>
      </c>
      <c r="AC3016">
        <v>167.66890000000001</v>
      </c>
      <c r="AD3016">
        <v>12.097817999999901</v>
      </c>
      <c r="AE3016">
        <v>-2.1699000000000099</v>
      </c>
      <c r="AF3016">
        <v>2.8635126383964198</v>
      </c>
      <c r="AG3016">
        <v>12.097817999999901</v>
      </c>
      <c r="AH3016">
        <v>166.79005989147899</v>
      </c>
      <c r="AI3016">
        <v>85.852027619403898</v>
      </c>
      <c r="AJ3016">
        <v>89.016421770174802</v>
      </c>
      <c r="AK3016">
        <v>167.252745817803</v>
      </c>
      <c r="AL3016">
        <v>76.832275617974702</v>
      </c>
      <c r="AM3016">
        <v>87.794837594675798</v>
      </c>
      <c r="AN3016">
        <v>0.99999999328929701</v>
      </c>
    </row>
    <row r="3017" spans="1:40" x14ac:dyDescent="0.25">
      <c r="A3017" t="str">
        <f>"20190303171036583"</f>
        <v>20190303171036583</v>
      </c>
      <c r="B3017" t="str">
        <f>"1551604236574104"</f>
        <v>1551604236574104</v>
      </c>
      <c r="C3017" t="s">
        <v>40</v>
      </c>
      <c r="D3017">
        <v>4.3371659999999999</v>
      </c>
      <c r="E3017">
        <v>0.4930021</v>
      </c>
      <c r="F3017" t="s">
        <v>77</v>
      </c>
      <c r="G3017">
        <v>-107.39749999999999</v>
      </c>
      <c r="H3017">
        <v>14.60812</v>
      </c>
      <c r="I3017">
        <v>212.98410000000001</v>
      </c>
      <c r="J3017">
        <v>-274.767</v>
      </c>
      <c r="K3017">
        <v>1.1208629999999999</v>
      </c>
      <c r="L3017">
        <v>214.77199999999999</v>
      </c>
      <c r="M3017">
        <v>0.99988889999999997</v>
      </c>
      <c r="N3017">
        <v>-1.4337239999999999E-2</v>
      </c>
      <c r="O3017">
        <v>4.0743070000000001E-3</v>
      </c>
      <c r="P3017">
        <v>0.97631330000000005</v>
      </c>
      <c r="Q3017">
        <v>0.21370800000000001</v>
      </c>
      <c r="R3017">
        <v>-3.3783460000000001E-2</v>
      </c>
      <c r="S3017">
        <v>3.0185240000000002</v>
      </c>
      <c r="T3017">
        <v>0.24281050000000001</v>
      </c>
      <c r="U3017">
        <v>-3.2165529999999998E-2</v>
      </c>
      <c r="V3017">
        <v>3.7899889999999999E-2</v>
      </c>
      <c r="W3017">
        <v>0.2276589</v>
      </c>
      <c r="X3017">
        <v>0.97300310000000001</v>
      </c>
      <c r="Y3017">
        <v>1.4672660000000001E-2</v>
      </c>
      <c r="Z3017">
        <v>8.6934250000000001E-4</v>
      </c>
      <c r="AA3017">
        <v>0.999892</v>
      </c>
      <c r="AB3017">
        <v>41</v>
      </c>
      <c r="AC3017">
        <v>167.36949999999999</v>
      </c>
      <c r="AD3017">
        <v>13.487257</v>
      </c>
      <c r="AE3017">
        <v>-1.7879</v>
      </c>
      <c r="AF3017">
        <v>2.4539365920253999</v>
      </c>
      <c r="AG3017">
        <v>13.487257</v>
      </c>
      <c r="AH3017">
        <v>166.28116257259401</v>
      </c>
      <c r="AI3017">
        <v>85.363327458547602</v>
      </c>
      <c r="AJ3017">
        <v>89.154504323245007</v>
      </c>
      <c r="AK3017">
        <v>166.845296405608</v>
      </c>
      <c r="AL3017">
        <v>76.840719580937105</v>
      </c>
      <c r="AM3017">
        <v>87.769373472536998</v>
      </c>
      <c r="AN3017">
        <v>1.00000000451041</v>
      </c>
    </row>
    <row r="3018" spans="1:40" x14ac:dyDescent="0.25">
      <c r="A3018" t="str">
        <f>"20190303171036600"</f>
        <v>20190303171036600</v>
      </c>
      <c r="B3018" t="str">
        <f>"1551604236594133"</f>
        <v>1551604236594133</v>
      </c>
      <c r="C3018" t="s">
        <v>40</v>
      </c>
      <c r="D3018">
        <v>4.2338719999999999</v>
      </c>
      <c r="E3018">
        <v>0.4918748</v>
      </c>
      <c r="F3018" t="s">
        <v>77</v>
      </c>
      <c r="G3018">
        <v>-107.39749999999999</v>
      </c>
      <c r="H3018">
        <v>14.44312</v>
      </c>
      <c r="I3018">
        <v>213.65889999999999</v>
      </c>
      <c r="J3018">
        <v>-274.45620000000002</v>
      </c>
      <c r="K3018">
        <v>1.1208659999999999</v>
      </c>
      <c r="L3018">
        <v>214.7731</v>
      </c>
      <c r="M3018">
        <v>0.99988969999999999</v>
      </c>
      <c r="N3018">
        <v>-1.433535E-2</v>
      </c>
      <c r="O3018">
        <v>3.9176979999999998E-3</v>
      </c>
      <c r="P3018">
        <v>0.97628959999999998</v>
      </c>
      <c r="Q3018">
        <v>0.21366099999999999</v>
      </c>
      <c r="R3018">
        <v>-3.4750070000000001E-2</v>
      </c>
      <c r="S3018">
        <v>3.0194700000000001</v>
      </c>
      <c r="T3018">
        <v>0.24034430000000001</v>
      </c>
      <c r="U3018">
        <v>-2.0080569999999999E-2</v>
      </c>
      <c r="V3018">
        <v>3.8713310000000001E-2</v>
      </c>
      <c r="W3018">
        <v>0.22760920000000001</v>
      </c>
      <c r="X3018">
        <v>0.97298269999999998</v>
      </c>
      <c r="Y3018">
        <v>1.0523650000000001E-2</v>
      </c>
      <c r="Z3018">
        <v>7.1003839999999999E-4</v>
      </c>
      <c r="AA3018">
        <v>0.99994439999999996</v>
      </c>
      <c r="AB3018">
        <v>41</v>
      </c>
      <c r="AC3018">
        <v>167.05869999999999</v>
      </c>
      <c r="AD3018">
        <v>13.322253999999999</v>
      </c>
      <c r="AE3018">
        <v>-1.1142000000000101</v>
      </c>
      <c r="AF3018">
        <v>1.75756755023648</v>
      </c>
      <c r="AG3018">
        <v>13.322253999999999</v>
      </c>
      <c r="AH3018">
        <v>165.997452275055</v>
      </c>
      <c r="AI3018">
        <v>85.411773538759803</v>
      </c>
      <c r="AJ3018">
        <v>89.393379604883606</v>
      </c>
      <c r="AK3018">
        <v>166.54046252230501</v>
      </c>
      <c r="AL3018">
        <v>76.843643913803405</v>
      </c>
      <c r="AM3018">
        <v>87.721501232423705</v>
      </c>
      <c r="AN3018">
        <v>1.0000000013975401</v>
      </c>
    </row>
    <row r="3019" spans="1:40" x14ac:dyDescent="0.25">
      <c r="A3019" t="str">
        <f>"20190303171036620"</f>
        <v>20190303171036620</v>
      </c>
      <c r="B3019" t="str">
        <f>"1551604236613653"</f>
        <v>1551604236613653</v>
      </c>
      <c r="C3019" t="s">
        <v>40</v>
      </c>
      <c r="D3019">
        <v>4.250864</v>
      </c>
      <c r="E3019">
        <v>0.4909848</v>
      </c>
      <c r="F3019" t="s">
        <v>77</v>
      </c>
      <c r="G3019">
        <v>-107.39749999999999</v>
      </c>
      <c r="H3019">
        <v>16.171129999999899</v>
      </c>
      <c r="I3019">
        <v>213.9127</v>
      </c>
      <c r="J3019">
        <v>-274.08909999999997</v>
      </c>
      <c r="K3019">
        <v>1.1208689999999999</v>
      </c>
      <c r="L3019">
        <v>214.77440000000001</v>
      </c>
      <c r="M3019">
        <v>0.99989030000000001</v>
      </c>
      <c r="N3019">
        <v>-1.433308E-2</v>
      </c>
      <c r="O3019">
        <v>3.734883E-3</v>
      </c>
      <c r="P3019">
        <v>0.9762248</v>
      </c>
      <c r="Q3019">
        <v>0.2137628</v>
      </c>
      <c r="R3019">
        <v>-3.5925779999999997E-2</v>
      </c>
      <c r="S3019">
        <v>3.0129090000000001</v>
      </c>
      <c r="T3019">
        <v>0.27143289999999998</v>
      </c>
      <c r="U3019">
        <v>-1.5518189999999999E-2</v>
      </c>
      <c r="V3019">
        <v>3.9709410000000001E-2</v>
      </c>
      <c r="W3019">
        <v>0.2277071</v>
      </c>
      <c r="X3019">
        <v>0.9729196</v>
      </c>
      <c r="Y3019">
        <v>8.8352910000000003E-3</v>
      </c>
      <c r="Z3019">
        <v>7.2295189999999998E-4</v>
      </c>
      <c r="AA3019">
        <v>0.99996070000000004</v>
      </c>
      <c r="AB3019">
        <v>41</v>
      </c>
      <c r="AC3019">
        <v>166.69159999999999</v>
      </c>
      <c r="AD3019">
        <v>15.0502609999999</v>
      </c>
      <c r="AE3019">
        <v>-0.86170000000001301</v>
      </c>
      <c r="AF3019">
        <v>1.47232955988328</v>
      </c>
      <c r="AG3019">
        <v>15.0502609999999</v>
      </c>
      <c r="AH3019">
        <v>165.33941851704199</v>
      </c>
      <c r="AI3019">
        <v>84.799106935126801</v>
      </c>
      <c r="AJ3019">
        <v>89.489800793374499</v>
      </c>
      <c r="AK3019">
        <v>166.02951974288999</v>
      </c>
      <c r="AL3019">
        <v>76.837882761748901</v>
      </c>
      <c r="AM3019">
        <v>87.662787861106196</v>
      </c>
      <c r="AN3019">
        <v>0.99999995434855804</v>
      </c>
    </row>
    <row r="3020" spans="1:40" x14ac:dyDescent="0.25">
      <c r="A3020" t="str">
        <f>"20190303171036642"</f>
        <v>20190303171036642</v>
      </c>
      <c r="B3020" t="str">
        <f>"1551604236634148"</f>
        <v>1551604236634148</v>
      </c>
      <c r="C3020" t="s">
        <v>40</v>
      </c>
      <c r="D3020">
        <v>4.2023260000000002</v>
      </c>
      <c r="E3020">
        <v>0.49046410000000001</v>
      </c>
      <c r="F3020" t="s">
        <v>77</v>
      </c>
      <c r="G3020">
        <v>-107.39749999999999</v>
      </c>
      <c r="H3020">
        <v>17.439620000000001</v>
      </c>
      <c r="I3020">
        <v>214.02770000000001</v>
      </c>
      <c r="J3020">
        <v>-273.67520000000002</v>
      </c>
      <c r="K3020">
        <v>1.12087</v>
      </c>
      <c r="L3020">
        <v>214.7757</v>
      </c>
      <c r="M3020">
        <v>0.99989110000000003</v>
      </c>
      <c r="N3020">
        <v>-1.4330519999999999E-2</v>
      </c>
      <c r="O3020">
        <v>3.5321900000000002E-3</v>
      </c>
      <c r="P3020">
        <v>0.97623599999999999</v>
      </c>
      <c r="Q3020">
        <v>0.21348600000000001</v>
      </c>
      <c r="R3020">
        <v>-3.7242289999999997E-2</v>
      </c>
      <c r="S3020">
        <v>3.0081180000000001</v>
      </c>
      <c r="T3020">
        <v>0.294489099999999</v>
      </c>
      <c r="U3020">
        <v>-1.3473509999999999E-2</v>
      </c>
      <c r="V3020">
        <v>4.0826510000000003E-2</v>
      </c>
      <c r="W3020">
        <v>0.22742809999999999</v>
      </c>
      <c r="X3020">
        <v>0.97293870000000005</v>
      </c>
      <c r="Y3020">
        <v>7.9568599999999996E-3</v>
      </c>
      <c r="Z3020">
        <v>7.2686889999999996E-4</v>
      </c>
      <c r="AA3020">
        <v>0.99996810000000003</v>
      </c>
      <c r="AB3020">
        <v>41</v>
      </c>
      <c r="AC3020">
        <v>166.27770000000001</v>
      </c>
      <c r="AD3020">
        <v>16.318750000000001</v>
      </c>
      <c r="AE3020">
        <v>-0.74799999999999001</v>
      </c>
      <c r="AF3020">
        <v>1.3226409579594001</v>
      </c>
      <c r="AG3020">
        <v>16.318750000000001</v>
      </c>
      <c r="AH3020">
        <v>164.68781832487801</v>
      </c>
      <c r="AI3020">
        <v>84.341272899703995</v>
      </c>
      <c r="AJ3020">
        <v>89.539855975846905</v>
      </c>
      <c r="AK3020">
        <v>165.49963288561699</v>
      </c>
      <c r="AL3020">
        <v>76.8543000124983</v>
      </c>
      <c r="AM3020">
        <v>87.597160842572507</v>
      </c>
      <c r="AN3020">
        <v>1.00000002927303</v>
      </c>
    </row>
    <row r="3021" spans="1:40" x14ac:dyDescent="0.25">
      <c r="A3021" t="str">
        <f>"20190303171036663"</f>
        <v>20190303171036663</v>
      </c>
      <c r="B3021" t="str">
        <f>"1551604236653668"</f>
        <v>1551604236653668</v>
      </c>
      <c r="C3021" t="s">
        <v>40</v>
      </c>
      <c r="D3021">
        <v>4.3454750000000004</v>
      </c>
      <c r="E3021">
        <v>0.48990729999999999</v>
      </c>
      <c r="F3021" t="s">
        <v>77</v>
      </c>
      <c r="G3021">
        <v>-107.39749999999999</v>
      </c>
      <c r="H3021">
        <v>17.850960000000001</v>
      </c>
      <c r="I3021">
        <v>214.02209999999999</v>
      </c>
      <c r="J3021">
        <v>-273.28390000000002</v>
      </c>
      <c r="K3021">
        <v>1.1208720000000001</v>
      </c>
      <c r="L3021">
        <v>214.77690000000001</v>
      </c>
      <c r="M3021">
        <v>0.99989189999999994</v>
      </c>
      <c r="N3021">
        <v>-1.432809E-2</v>
      </c>
      <c r="O3021">
        <v>3.3463310000000001E-3</v>
      </c>
      <c r="P3021">
        <v>0.976159</v>
      </c>
      <c r="Q3021">
        <v>0.21358150000000001</v>
      </c>
      <c r="R3021">
        <v>-3.8686499999999999E-2</v>
      </c>
      <c r="S3021">
        <v>3.006348</v>
      </c>
      <c r="T3021">
        <v>0.30248570000000002</v>
      </c>
      <c r="U3021">
        <v>-1.36261E-2</v>
      </c>
      <c r="V3021">
        <v>4.2086489999999997E-2</v>
      </c>
      <c r="W3021">
        <v>0.2275191</v>
      </c>
      <c r="X3021">
        <v>0.9728637</v>
      </c>
      <c r="Y3021">
        <v>7.8231129999999996E-3</v>
      </c>
      <c r="Z3021">
        <v>7.2005639999999998E-4</v>
      </c>
      <c r="AA3021">
        <v>0.99996910000000006</v>
      </c>
      <c r="AB3021">
        <v>41</v>
      </c>
      <c r="AC3021">
        <v>165.88640000000001</v>
      </c>
      <c r="AD3021">
        <v>16.730087999999999</v>
      </c>
      <c r="AE3021">
        <v>-0.75480000000001701</v>
      </c>
      <c r="AF3021">
        <v>1.29677392512543</v>
      </c>
      <c r="AG3021">
        <v>16.730087999999999</v>
      </c>
      <c r="AH3021">
        <v>164.212728665881</v>
      </c>
      <c r="AI3021">
        <v>84.182924520698904</v>
      </c>
      <c r="AJ3021">
        <v>89.547549516533195</v>
      </c>
      <c r="AK3021">
        <v>165.06785793422901</v>
      </c>
      <c r="AL3021">
        <v>76.848945286652096</v>
      </c>
      <c r="AM3021">
        <v>87.522905141397402</v>
      </c>
      <c r="AN3021">
        <v>0.99999999614151003</v>
      </c>
    </row>
    <row r="3022" spans="1:40" x14ac:dyDescent="0.25">
      <c r="A3022" t="str">
        <f>"20190303171036685"</f>
        <v>20190303171036685</v>
      </c>
      <c r="B3022" t="str">
        <f>"1551604236674165"</f>
        <v>1551604236674165</v>
      </c>
      <c r="C3022" t="s">
        <v>40</v>
      </c>
      <c r="D3022">
        <v>4.210375</v>
      </c>
      <c r="E3022">
        <v>0.48157870000000003</v>
      </c>
      <c r="F3022" t="s">
        <v>77</v>
      </c>
      <c r="G3022">
        <v>-107.39749999999999</v>
      </c>
      <c r="H3022">
        <v>18.29701</v>
      </c>
      <c r="I3022">
        <v>214.0128</v>
      </c>
      <c r="J3022">
        <v>-272.88600000000002</v>
      </c>
      <c r="K3022">
        <v>1.1208769999999999</v>
      </c>
      <c r="L3022">
        <v>214.77799999999999</v>
      </c>
      <c r="M3022">
        <v>0.99989240000000001</v>
      </c>
      <c r="N3022">
        <v>-1.4325630000000001E-2</v>
      </c>
      <c r="O3022">
        <v>3.1656969999999999E-3</v>
      </c>
      <c r="P3022">
        <v>0.97615819999999998</v>
      </c>
      <c r="Q3022">
        <v>0.21333150000000001</v>
      </c>
      <c r="R3022">
        <v>-4.0061239999999998E-2</v>
      </c>
      <c r="S3022">
        <v>3.0046080000000002</v>
      </c>
      <c r="T3022">
        <v>0.31110290000000002</v>
      </c>
      <c r="U3022">
        <v>-1.383972E-2</v>
      </c>
      <c r="V3022">
        <v>4.3281069999999998E-2</v>
      </c>
      <c r="W3022">
        <v>0.227267</v>
      </c>
      <c r="X3022">
        <v>0.97287020000000002</v>
      </c>
      <c r="Y3022">
        <v>7.714645E-3</v>
      </c>
      <c r="Z3022">
        <v>7.1506119999999998E-4</v>
      </c>
      <c r="AA3022">
        <v>0.99997000000000003</v>
      </c>
      <c r="AB3022">
        <v>41</v>
      </c>
      <c r="AC3022">
        <v>165.48849999999999</v>
      </c>
      <c r="AD3022">
        <v>17.176133</v>
      </c>
      <c r="AE3022">
        <v>-0.765199999999992</v>
      </c>
      <c r="AF3022">
        <v>1.2753974804207699</v>
      </c>
      <c r="AG3022">
        <v>17.176133</v>
      </c>
      <c r="AH3022">
        <v>163.72160021912501</v>
      </c>
      <c r="AI3022">
        <v>84.011153291580797</v>
      </c>
      <c r="AJ3022">
        <v>89.553672730965403</v>
      </c>
      <c r="AK3022">
        <v>164.62505447798</v>
      </c>
      <c r="AL3022">
        <v>76.863777954484107</v>
      </c>
      <c r="AM3022">
        <v>87.452703787829904</v>
      </c>
      <c r="AN3022">
        <v>0.99999998317869199</v>
      </c>
    </row>
    <row r="3023" spans="1:40" x14ac:dyDescent="0.25">
      <c r="A3023" t="str">
        <f>"20190303171036701"</f>
        <v>20190303171036701</v>
      </c>
      <c r="B3023" t="str">
        <f>"1551604236694192"</f>
        <v>1551604236694192</v>
      </c>
      <c r="C3023" t="s">
        <v>40</v>
      </c>
      <c r="D3023">
        <v>4.2369430000000001</v>
      </c>
      <c r="E3023">
        <v>0.48015330000000001</v>
      </c>
      <c r="F3023" t="s">
        <v>77</v>
      </c>
      <c r="G3023">
        <v>-107.39749999999999</v>
      </c>
      <c r="H3023">
        <v>2.5308999999999999</v>
      </c>
      <c r="I3023">
        <v>218.43289999999999</v>
      </c>
      <c r="J3023">
        <v>-272.58569999999997</v>
      </c>
      <c r="K3023">
        <v>1.1208819999999999</v>
      </c>
      <c r="L3023">
        <v>214.77889999999999</v>
      </c>
      <c r="M3023">
        <v>0.99989280000000003</v>
      </c>
      <c r="N3023">
        <v>-1.432376E-2</v>
      </c>
      <c r="O3023">
        <v>3.0369139999999999E-3</v>
      </c>
      <c r="P3023">
        <v>0.97610410000000003</v>
      </c>
      <c r="Q3023">
        <v>0.21344550000000001</v>
      </c>
      <c r="R3023">
        <v>-4.0768550000000001E-2</v>
      </c>
      <c r="S3023">
        <v>3.0704039999999999</v>
      </c>
      <c r="T3023">
        <v>2.616191E-2</v>
      </c>
      <c r="U3023">
        <v>6.7810060000000005E-2</v>
      </c>
      <c r="V3023">
        <v>4.3858830000000001E-2</v>
      </c>
      <c r="W3023">
        <v>0.22737940000000001</v>
      </c>
      <c r="X3023">
        <v>0.97281810000000002</v>
      </c>
      <c r="Y3023">
        <v>-1.904436E-2</v>
      </c>
      <c r="Z3023">
        <v>1.2465929999999999E-4</v>
      </c>
      <c r="AA3023">
        <v>0.9998186</v>
      </c>
      <c r="AB3023">
        <v>41</v>
      </c>
      <c r="AC3023">
        <v>165.18819999999999</v>
      </c>
      <c r="AD3023">
        <v>1.410018</v>
      </c>
      <c r="AE3023">
        <v>3.6539999999999901</v>
      </c>
      <c r="AF3023">
        <v>-3.15203977287007</v>
      </c>
      <c r="AG3023">
        <v>1.410018</v>
      </c>
      <c r="AH3023">
        <v>165.18650645045699</v>
      </c>
      <c r="AI3023">
        <v>89.511028973897595</v>
      </c>
      <c r="AJ3023">
        <v>91.093168353631498</v>
      </c>
      <c r="AK3023">
        <v>165.22259354821</v>
      </c>
      <c r="AL3023">
        <v>76.857165292148593</v>
      </c>
      <c r="AM3023">
        <v>87.418607507260006</v>
      </c>
      <c r="AN3023">
        <v>1.0000000221004599</v>
      </c>
    </row>
    <row r="3024" spans="1:40" x14ac:dyDescent="0.25">
      <c r="A3024" t="str">
        <f>"20190303171036713"</f>
        <v>20190303171036713</v>
      </c>
      <c r="B3024" t="str">
        <f>"1551604236703950"</f>
        <v>1551604236703950</v>
      </c>
      <c r="C3024" t="s">
        <v>40</v>
      </c>
      <c r="D3024">
        <v>4.3260779999999999</v>
      </c>
      <c r="E3024">
        <v>0.4797939</v>
      </c>
      <c r="F3024" t="s">
        <v>77</v>
      </c>
      <c r="G3024">
        <v>-107.39749999999999</v>
      </c>
      <c r="H3024">
        <v>2.3607749999999998</v>
      </c>
      <c r="I3024">
        <v>218.95079999999999</v>
      </c>
      <c r="J3024">
        <v>-272.3501</v>
      </c>
      <c r="K3024">
        <v>1.1208880000000001</v>
      </c>
      <c r="L3024">
        <v>214.77950000000001</v>
      </c>
      <c r="M3024">
        <v>0.99989320000000004</v>
      </c>
      <c r="N3024">
        <v>-1.4322299999999901E-2</v>
      </c>
      <c r="O3024">
        <v>2.9414409999999999E-3</v>
      </c>
      <c r="P3024">
        <v>0.97611020000000004</v>
      </c>
      <c r="Q3024">
        <v>0.21332390000000001</v>
      </c>
      <c r="R3024">
        <v>-4.1255899999999998E-2</v>
      </c>
      <c r="S3024">
        <v>3.0716549999999998</v>
      </c>
      <c r="T3024">
        <v>2.3056630000000002E-2</v>
      </c>
      <c r="U3024">
        <v>7.7575679999999994E-2</v>
      </c>
      <c r="V3024">
        <v>4.4249499999999997E-2</v>
      </c>
      <c r="W3024">
        <v>0.22725670000000001</v>
      </c>
      <c r="X3024">
        <v>0.97282900000000005</v>
      </c>
      <c r="Y3024">
        <v>-2.2307649999999998E-2</v>
      </c>
      <c r="Z3024">
        <v>1.4026859999999999E-4</v>
      </c>
      <c r="AA3024">
        <v>0.99975119999999895</v>
      </c>
      <c r="AB3024">
        <v>41</v>
      </c>
      <c r="AC3024">
        <v>164.95259999999999</v>
      </c>
      <c r="AD3024">
        <v>1.239887</v>
      </c>
      <c r="AE3024">
        <v>4.1712999999999703</v>
      </c>
      <c r="AF3024">
        <v>-3.6858257704511601</v>
      </c>
      <c r="AG3024">
        <v>1.239887</v>
      </c>
      <c r="AH3024">
        <v>164.95484321377799</v>
      </c>
      <c r="AI3024">
        <v>89.569450485438793</v>
      </c>
      <c r="AJ3024">
        <v>91.280029862110695</v>
      </c>
      <c r="AK3024">
        <v>165.00067554729901</v>
      </c>
      <c r="AL3024">
        <v>76.864383441981403</v>
      </c>
      <c r="AM3024">
        <v>87.3956745617038</v>
      </c>
      <c r="AN3024">
        <v>0.99999994459306796</v>
      </c>
    </row>
    <row r="3025" spans="1:40" x14ac:dyDescent="0.25">
      <c r="A3025" t="str">
        <f>"20190303171036726"</f>
        <v>20190303171036726</v>
      </c>
      <c r="B3025" t="str">
        <f>"1551604236713710"</f>
        <v>1551604236713710</v>
      </c>
      <c r="C3025" t="s">
        <v>40</v>
      </c>
      <c r="D3025">
        <v>4.3181209999999997</v>
      </c>
      <c r="E3025">
        <v>0.4804523</v>
      </c>
      <c r="F3025" t="s">
        <v>77</v>
      </c>
      <c r="G3025">
        <v>-107.39749999999999</v>
      </c>
      <c r="H3025">
        <v>2.327874</v>
      </c>
      <c r="I3025">
        <v>219.02869999999999</v>
      </c>
      <c r="J3025">
        <v>-272.13240000000002</v>
      </c>
      <c r="K3025">
        <v>1.1208959999999999</v>
      </c>
      <c r="L3025">
        <v>214.7801</v>
      </c>
      <c r="M3025">
        <v>0.99989340000000004</v>
      </c>
      <c r="N3025">
        <v>-1.4320930000000001E-2</v>
      </c>
      <c r="O3025">
        <v>2.8605840000000002E-3</v>
      </c>
      <c r="P3025">
        <v>0.97610010000000003</v>
      </c>
      <c r="Q3025">
        <v>0.2132928</v>
      </c>
      <c r="R3025">
        <v>-4.1652330000000001E-2</v>
      </c>
      <c r="S3025">
        <v>3.071869</v>
      </c>
      <c r="T3025">
        <v>2.2478339999999999E-2</v>
      </c>
      <c r="U3025">
        <v>7.9132079999999994E-2</v>
      </c>
      <c r="V3025">
        <v>4.4562820000000003E-2</v>
      </c>
      <c r="W3025">
        <v>0.2272247</v>
      </c>
      <c r="X3025">
        <v>0.97282219999999997</v>
      </c>
      <c r="Y3025">
        <v>-2.2892920000000001E-2</v>
      </c>
      <c r="Z3025">
        <v>1.421018E-4</v>
      </c>
      <c r="AA3025">
        <v>0.99973789999999996</v>
      </c>
      <c r="AB3025">
        <v>41</v>
      </c>
      <c r="AC3025">
        <v>164.73490000000001</v>
      </c>
      <c r="AD3025">
        <v>1.2069780000000001</v>
      </c>
      <c r="AE3025">
        <v>4.2485999999999802</v>
      </c>
      <c r="AF3025">
        <v>-3.7770936569320299</v>
      </c>
      <c r="AG3025">
        <v>1.2069780000000001</v>
      </c>
      <c r="AH3025">
        <v>164.73754303779501</v>
      </c>
      <c r="AI3025">
        <v>89.580330397967003</v>
      </c>
      <c r="AJ3025">
        <v>91.313444473484793</v>
      </c>
      <c r="AK3025">
        <v>164.785258195371</v>
      </c>
      <c r="AL3025">
        <v>76.866266514791704</v>
      </c>
      <c r="AM3025">
        <v>87.377241315382193</v>
      </c>
      <c r="AN3025">
        <v>0.99999997101464</v>
      </c>
    </row>
    <row r="3026" spans="1:40" x14ac:dyDescent="0.25">
      <c r="A3026" t="str">
        <f>"20190303171036742"</f>
        <v>20190303171036742</v>
      </c>
      <c r="B3026" t="str">
        <f>"1551604236734211"</f>
        <v>1551604236734211</v>
      </c>
      <c r="C3026" t="s">
        <v>40</v>
      </c>
      <c r="D3026">
        <v>4.1813949999999904</v>
      </c>
      <c r="E3026">
        <v>0.4806916</v>
      </c>
      <c r="F3026" t="s">
        <v>77</v>
      </c>
      <c r="G3026">
        <v>-107.39749999999999</v>
      </c>
      <c r="H3026">
        <v>2.2291919999999998</v>
      </c>
      <c r="I3026">
        <v>218.6986</v>
      </c>
      <c r="J3026">
        <v>-271.84219999999999</v>
      </c>
      <c r="K3026">
        <v>1.1209</v>
      </c>
      <c r="L3026">
        <v>214.7808</v>
      </c>
      <c r="M3026">
        <v>0.9998937</v>
      </c>
      <c r="N3026">
        <v>-1.4319109999999999E-2</v>
      </c>
      <c r="O3026">
        <v>2.7594709999999999E-3</v>
      </c>
      <c r="P3026">
        <v>0.97609760000000001</v>
      </c>
      <c r="Q3026">
        <v>0.21307780000000001</v>
      </c>
      <c r="R3026">
        <v>-4.279902E-2</v>
      </c>
      <c r="S3026">
        <v>3.0720519999999998</v>
      </c>
      <c r="T3026">
        <v>2.066898E-2</v>
      </c>
      <c r="U3026">
        <v>7.3074340000000002E-2</v>
      </c>
      <c r="V3026">
        <v>4.5604730000000003E-2</v>
      </c>
      <c r="W3026">
        <v>0.2270083</v>
      </c>
      <c r="X3026">
        <v>0.97282449999999998</v>
      </c>
      <c r="Y3026">
        <v>-2.102217E-2</v>
      </c>
      <c r="Z3026">
        <v>1.378994E-4</v>
      </c>
      <c r="AA3026">
        <v>0.99977899999999997</v>
      </c>
      <c r="AB3026">
        <v>41</v>
      </c>
      <c r="AC3026">
        <v>164.44470000000001</v>
      </c>
      <c r="AD3026">
        <v>1.1082919999999901</v>
      </c>
      <c r="AE3026">
        <v>3.9178000000000002</v>
      </c>
      <c r="AF3026">
        <v>-3.4638009416406699</v>
      </c>
      <c r="AG3026">
        <v>1.1082919999999901</v>
      </c>
      <c r="AH3026">
        <v>164.44742060283201</v>
      </c>
      <c r="AI3026">
        <v>89.613947051153502</v>
      </c>
      <c r="AJ3026">
        <v>91.206658227007097</v>
      </c>
      <c r="AK3026">
        <v>164.48762984202</v>
      </c>
      <c r="AL3026">
        <v>76.8789988645308</v>
      </c>
      <c r="AM3026">
        <v>87.316014362206005</v>
      </c>
      <c r="AN3026">
        <v>1.00000003373375</v>
      </c>
    </row>
    <row r="3027" spans="1:40" x14ac:dyDescent="0.25">
      <c r="A3027" t="str">
        <f>"20190303171036758"</f>
        <v>20190303171036758</v>
      </c>
      <c r="B3027" t="str">
        <f>"1551604236753726"</f>
        <v>1551604236753726</v>
      </c>
      <c r="C3027" t="s">
        <v>40</v>
      </c>
      <c r="D3027">
        <v>4.2775780000000001</v>
      </c>
      <c r="E3027">
        <v>0.48124860000000003</v>
      </c>
      <c r="F3027" t="s">
        <v>77</v>
      </c>
      <c r="G3027">
        <v>-107.39749999999999</v>
      </c>
      <c r="H3027">
        <v>25.72756</v>
      </c>
      <c r="I3027">
        <v>216.93539999999999</v>
      </c>
      <c r="J3027">
        <v>-271.5478</v>
      </c>
      <c r="K3027">
        <v>1.1209119999999999</v>
      </c>
      <c r="L3027">
        <v>214.7816</v>
      </c>
      <c r="M3027">
        <v>0.99989399999999995</v>
      </c>
      <c r="N3027">
        <v>-1.431726E-2</v>
      </c>
      <c r="O3027">
        <v>2.6674480000000002E-3</v>
      </c>
      <c r="P3027">
        <v>0.97607580000000005</v>
      </c>
      <c r="Q3027">
        <v>0.2130562</v>
      </c>
      <c r="R3027">
        <v>-4.3396299999999999E-2</v>
      </c>
      <c r="S3027">
        <v>2.9779360000000001</v>
      </c>
      <c r="T3027">
        <v>0.4456041</v>
      </c>
      <c r="U3027">
        <v>3.9016719999999998E-2</v>
      </c>
      <c r="V3027">
        <v>4.6105180000000003E-2</v>
      </c>
      <c r="W3027">
        <v>0.22698599999999999</v>
      </c>
      <c r="X3027">
        <v>0.97280610000000001</v>
      </c>
      <c r="Y3027">
        <v>-1.0364699999999999E-2</v>
      </c>
      <c r="Z3027">
        <v>-2.616866E-4</v>
      </c>
      <c r="AA3027">
        <v>0.99994620000000001</v>
      </c>
      <c r="AB3027">
        <v>41</v>
      </c>
      <c r="AC3027">
        <v>164.15029999999999</v>
      </c>
      <c r="AD3027">
        <v>24.606648</v>
      </c>
      <c r="AE3027">
        <v>2.15379999999998</v>
      </c>
      <c r="AF3027">
        <v>-1.67818124044227</v>
      </c>
      <c r="AG3027">
        <v>24.606648</v>
      </c>
      <c r="AH3027">
        <v>160.54840641663799</v>
      </c>
      <c r="AI3027">
        <v>81.286768526717495</v>
      </c>
      <c r="AJ3027">
        <v>90.598879819445003</v>
      </c>
      <c r="AK3027">
        <v>162.43181406668299</v>
      </c>
      <c r="AL3027">
        <v>76.880310624809098</v>
      </c>
      <c r="AM3027">
        <v>87.286553797327102</v>
      </c>
      <c r="AN3027">
        <v>1.0000000200080199</v>
      </c>
    </row>
    <row r="3028" spans="1:40" x14ac:dyDescent="0.25">
      <c r="A3028" t="str">
        <f>"20190303171036774"</f>
        <v>20190303171036774</v>
      </c>
      <c r="B3028" t="str">
        <f>"1551604236763487"</f>
        <v>1551604236763487</v>
      </c>
      <c r="C3028" t="s">
        <v>40</v>
      </c>
      <c r="D3028">
        <v>4.2755660000000004</v>
      </c>
      <c r="E3028">
        <v>0.48160730000000002</v>
      </c>
      <c r="F3028" t="s">
        <v>77</v>
      </c>
      <c r="G3028">
        <v>-107.39749999999999</v>
      </c>
      <c r="H3028">
        <v>25.733000000000001</v>
      </c>
      <c r="I3028">
        <v>216.58850000000001</v>
      </c>
      <c r="J3028">
        <v>-271.23820000000001</v>
      </c>
      <c r="K3028">
        <v>1.1209260000000001</v>
      </c>
      <c r="L3028">
        <v>214.78229999999999</v>
      </c>
      <c r="M3028">
        <v>0.99989410000000001</v>
      </c>
      <c r="N3028">
        <v>-1.4315309999999999E-2</v>
      </c>
      <c r="O3028">
        <v>2.5829049999999999E-3</v>
      </c>
      <c r="P3028">
        <v>0.97599709999999995</v>
      </c>
      <c r="Q3028">
        <v>0.21315539999999999</v>
      </c>
      <c r="R3028">
        <v>-4.4659379999999999E-2</v>
      </c>
      <c r="S3028">
        <v>2.9775390000000002</v>
      </c>
      <c r="T3028">
        <v>0.44644220000000001</v>
      </c>
      <c r="U3028">
        <v>3.277588E-2</v>
      </c>
      <c r="V3028">
        <v>4.7277649999999997E-2</v>
      </c>
      <c r="W3028">
        <v>0.2270836</v>
      </c>
      <c r="X3028">
        <v>0.97272709999999996</v>
      </c>
      <c r="Y3028">
        <v>-8.3740729999999992E-3</v>
      </c>
      <c r="Z3028">
        <v>-1.4218020000000001E-4</v>
      </c>
      <c r="AA3028">
        <v>0.99996499999999999</v>
      </c>
      <c r="AB3028">
        <v>41</v>
      </c>
      <c r="AC3028">
        <v>163.8407</v>
      </c>
      <c r="AD3028">
        <v>24.612074</v>
      </c>
      <c r="AE3028">
        <v>1.80620000000001</v>
      </c>
      <c r="AF3028">
        <v>-1.3524500463637199</v>
      </c>
      <c r="AG3028">
        <v>24.612074</v>
      </c>
      <c r="AH3028">
        <v>160.22953336709901</v>
      </c>
      <c r="AI3028">
        <v>81.267636350139497</v>
      </c>
      <c r="AJ3028">
        <v>90.483605224617605</v>
      </c>
      <c r="AK3028">
        <v>162.114424622695</v>
      </c>
      <c r="AL3028">
        <v>76.874569339367198</v>
      </c>
      <c r="AM3028">
        <v>87.2174314384838</v>
      </c>
      <c r="AN3028">
        <v>1.0000000743264399</v>
      </c>
    </row>
    <row r="3029" spans="1:40" x14ac:dyDescent="0.25">
      <c r="A3029" t="str">
        <f>"20190303171036792"</f>
        <v>20190303171036792</v>
      </c>
      <c r="B3029" t="str">
        <f>"1551604236783983"</f>
        <v>1551604236783983</v>
      </c>
      <c r="C3029" t="s">
        <v>40</v>
      </c>
      <c r="D3029">
        <v>4.313574</v>
      </c>
      <c r="E3029">
        <v>0.47792770000000001</v>
      </c>
      <c r="F3029" t="s">
        <v>77</v>
      </c>
      <c r="G3029">
        <v>-107.39749999999999</v>
      </c>
      <c r="H3029">
        <v>25.746189999999999</v>
      </c>
      <c r="I3029">
        <v>216.22829999999999</v>
      </c>
      <c r="J3029">
        <v>-270.91120000000001</v>
      </c>
      <c r="K3029">
        <v>1.120943</v>
      </c>
      <c r="L3029">
        <v>214.78299999999999</v>
      </c>
      <c r="M3029">
        <v>0.99989439999999996</v>
      </c>
      <c r="N3029">
        <v>-1.43135E-2</v>
      </c>
      <c r="O3029">
        <v>2.5072649999999998E-3</v>
      </c>
      <c r="P3029">
        <v>0.9759563</v>
      </c>
      <c r="Q3029">
        <v>0.21322099999999999</v>
      </c>
      <c r="R3029">
        <v>-4.5234969999999999E-2</v>
      </c>
      <c r="S3029">
        <v>2.9772639999999999</v>
      </c>
      <c r="T3029">
        <v>0.44748379999999999</v>
      </c>
      <c r="U3029">
        <v>2.6275630000000001E-2</v>
      </c>
      <c r="V3029">
        <v>4.7770670000000001E-2</v>
      </c>
      <c r="W3029">
        <v>0.2271485</v>
      </c>
      <c r="X3029">
        <v>0.97268779999999999</v>
      </c>
      <c r="Y3029">
        <v>-6.2875919999999998E-3</v>
      </c>
      <c r="Z3029" s="1">
        <v>-1.423759E-5</v>
      </c>
      <c r="AA3029">
        <v>0.99998019999999999</v>
      </c>
      <c r="AB3029">
        <v>41</v>
      </c>
      <c r="AC3029">
        <v>163.5137</v>
      </c>
      <c r="AD3029">
        <v>24.625247000000002</v>
      </c>
      <c r="AE3029">
        <v>1.4453</v>
      </c>
      <c r="AF3029">
        <v>-1.01232305666185</v>
      </c>
      <c r="AG3029">
        <v>24.625247000000002</v>
      </c>
      <c r="AH3029">
        <v>159.89069027151999</v>
      </c>
      <c r="AI3029">
        <v>81.244671442070796</v>
      </c>
      <c r="AJ3029">
        <v>90.362754476521005</v>
      </c>
      <c r="AK3029">
        <v>161.77904815916401</v>
      </c>
      <c r="AL3029">
        <v>76.870750298684996</v>
      </c>
      <c r="AM3029">
        <v>87.188347208377294</v>
      </c>
      <c r="AN3029">
        <v>1.0000000171166601</v>
      </c>
    </row>
    <row r="3030" spans="1:40" x14ac:dyDescent="0.25">
      <c r="A3030" t="str">
        <f>"20190303171036809"</f>
        <v>20190303171036809</v>
      </c>
      <c r="B3030" t="str">
        <f>"1551604236803502"</f>
        <v>1551604236803502</v>
      </c>
      <c r="C3030" t="s">
        <v>40</v>
      </c>
      <c r="D3030">
        <v>4.3686680000000004</v>
      </c>
      <c r="E3030">
        <v>0.47856579999999899</v>
      </c>
      <c r="F3030" t="s">
        <v>77</v>
      </c>
      <c r="G3030">
        <v>-107.39749999999999</v>
      </c>
      <c r="H3030">
        <v>2.2938459999999998</v>
      </c>
      <c r="I3030">
        <v>219.24610000000001</v>
      </c>
      <c r="J3030">
        <v>-270.6096</v>
      </c>
      <c r="K3030">
        <v>1.1209659999999999</v>
      </c>
      <c r="L3030">
        <v>214.78370000000001</v>
      </c>
      <c r="M3030">
        <v>0.99989470000000003</v>
      </c>
      <c r="N3030">
        <v>-1.43117E-2</v>
      </c>
      <c r="O3030">
        <v>2.45093E-3</v>
      </c>
      <c r="P3030">
        <v>0.97581620000000002</v>
      </c>
      <c r="Q3030">
        <v>0.2134935</v>
      </c>
      <c r="R3030">
        <v>-4.6941709999999998E-2</v>
      </c>
      <c r="S3030">
        <v>3.0729980000000001</v>
      </c>
      <c r="T3030">
        <v>2.2043940000000001E-2</v>
      </c>
      <c r="U3030">
        <v>8.3877560000000004E-2</v>
      </c>
      <c r="V3030">
        <v>4.9413869999999999E-2</v>
      </c>
      <c r="W3030">
        <v>0.22741829999999999</v>
      </c>
      <c r="X3030">
        <v>0.97254260000000003</v>
      </c>
      <c r="Y3030">
        <v>-2.4835719999999999E-2</v>
      </c>
      <c r="Z3030">
        <v>1.4134870000000001E-4</v>
      </c>
      <c r="AA3030">
        <v>0.99969149999999996</v>
      </c>
      <c r="AB3030">
        <v>41</v>
      </c>
      <c r="AC3030">
        <v>163.21209999999999</v>
      </c>
      <c r="AD3030">
        <v>1.1728799999999999</v>
      </c>
      <c r="AE3030">
        <v>4.4623999999999997</v>
      </c>
      <c r="AF3030">
        <v>-4.0621146184572297</v>
      </c>
      <c r="AG3030">
        <v>1.1728799999999999</v>
      </c>
      <c r="AH3030">
        <v>163.21412543942699</v>
      </c>
      <c r="AI3030">
        <v>89.588398892066905</v>
      </c>
      <c r="AJ3030">
        <v>91.425697594112194</v>
      </c>
      <c r="AK3030">
        <v>163.26887996683499</v>
      </c>
      <c r="AL3030">
        <v>76.854875710603096</v>
      </c>
      <c r="AM3030">
        <v>87.091362715216206</v>
      </c>
      <c r="AN3030">
        <v>0.99999996126901203</v>
      </c>
    </row>
    <row r="3031" spans="1:40" x14ac:dyDescent="0.25">
      <c r="A3031" t="str">
        <f>"20190303171036832"</f>
        <v>20190303171036832</v>
      </c>
      <c r="B3031" t="str">
        <f>"1551604236823999"</f>
        <v>1551604236823999</v>
      </c>
      <c r="C3031" t="s">
        <v>40</v>
      </c>
      <c r="D3031">
        <v>4.2079829999999996</v>
      </c>
      <c r="E3031">
        <v>0.4803056</v>
      </c>
      <c r="F3031" t="s">
        <v>77</v>
      </c>
      <c r="G3031">
        <v>-107.39749999999999</v>
      </c>
      <c r="H3031">
        <v>2.3643990000000001</v>
      </c>
      <c r="I3031">
        <v>218.6927</v>
      </c>
      <c r="J3031">
        <v>-270.1823</v>
      </c>
      <c r="K3031">
        <v>1.1209899999999999</v>
      </c>
      <c r="L3031">
        <v>214.78469999999999</v>
      </c>
      <c r="M3031">
        <v>0.99989479999999997</v>
      </c>
      <c r="N3031">
        <v>-1.4308899999999999E-2</v>
      </c>
      <c r="O3031">
        <v>2.3919290000000001E-3</v>
      </c>
      <c r="P3031">
        <v>0.97580319999999998</v>
      </c>
      <c r="Q3031">
        <v>0.2132685</v>
      </c>
      <c r="R3031">
        <v>-4.8212900000000003E-2</v>
      </c>
      <c r="S3031">
        <v>3.0727540000000002</v>
      </c>
      <c r="T3031">
        <v>2.3410799999999999E-2</v>
      </c>
      <c r="U3031">
        <v>7.3593140000000001E-2</v>
      </c>
      <c r="V3031">
        <v>5.0615029999999998E-2</v>
      </c>
      <c r="W3031">
        <v>0.2271927</v>
      </c>
      <c r="X3031">
        <v>0.9725336</v>
      </c>
      <c r="Y3031">
        <v>-2.155292E-2</v>
      </c>
      <c r="Z3031">
        <v>1.2457850000000001E-4</v>
      </c>
      <c r="AA3031">
        <v>0.99976770000000004</v>
      </c>
      <c r="AB3031">
        <v>41</v>
      </c>
      <c r="AC3031">
        <v>162.78479999999999</v>
      </c>
      <c r="AD3031">
        <v>1.243409</v>
      </c>
      <c r="AE3031">
        <v>3.9080000000000101</v>
      </c>
      <c r="AF3031">
        <v>-3.5183741228291501</v>
      </c>
      <c r="AG3031">
        <v>1.243409</v>
      </c>
      <c r="AH3031">
        <v>162.784190746908</v>
      </c>
      <c r="AI3031">
        <v>89.562463231875498</v>
      </c>
      <c r="AJ3031">
        <v>91.238182928046101</v>
      </c>
      <c r="AK3031">
        <v>162.826956550613</v>
      </c>
      <c r="AL3031">
        <v>76.868149656281702</v>
      </c>
      <c r="AM3031">
        <v>87.020757454270694</v>
      </c>
      <c r="AN3031">
        <v>1.00000000366207</v>
      </c>
    </row>
    <row r="3032" spans="1:40" x14ac:dyDescent="0.25">
      <c r="A3032" t="str">
        <f>"20190303171036853"</f>
        <v>20190303171036853</v>
      </c>
      <c r="B3032" t="str">
        <f>"1551604236843518"</f>
        <v>1551604236843518</v>
      </c>
      <c r="C3032" t="s">
        <v>40</v>
      </c>
      <c r="D3032">
        <v>4.3093680000000001</v>
      </c>
      <c r="E3032">
        <v>0.48059209999999902</v>
      </c>
      <c r="F3032" t="s">
        <v>77</v>
      </c>
      <c r="G3032">
        <v>-107.39749999999999</v>
      </c>
      <c r="H3032">
        <v>25.347020000000001</v>
      </c>
      <c r="I3032">
        <v>216.23230000000001</v>
      </c>
      <c r="J3032">
        <v>-269.81200000000001</v>
      </c>
      <c r="K3032">
        <v>1.121011</v>
      </c>
      <c r="L3032">
        <v>214.78550000000001</v>
      </c>
      <c r="M3032">
        <v>0.99989490000000003</v>
      </c>
      <c r="N3032">
        <v>-1.430638E-2</v>
      </c>
      <c r="O3032">
        <v>2.358789E-3</v>
      </c>
      <c r="P3032">
        <v>0.97572009999999998</v>
      </c>
      <c r="Q3032">
        <v>0.2134431</v>
      </c>
      <c r="R3032">
        <v>-4.9114369999999997E-2</v>
      </c>
      <c r="S3032">
        <v>2.9787599999999999</v>
      </c>
      <c r="T3032">
        <v>0.44330700000000001</v>
      </c>
      <c r="U3032">
        <v>2.6489260000000001E-2</v>
      </c>
      <c r="V3032">
        <v>5.1473539999999998E-2</v>
      </c>
      <c r="W3032">
        <v>0.22736590000000001</v>
      </c>
      <c r="X3032">
        <v>0.97244810000000004</v>
      </c>
      <c r="Y3032">
        <v>-6.499983E-3</v>
      </c>
      <c r="Z3032" s="1">
        <v>-5.163022E-5</v>
      </c>
      <c r="AA3032">
        <v>0.9999789</v>
      </c>
      <c r="AB3032">
        <v>41</v>
      </c>
      <c r="AC3032">
        <v>162.4145</v>
      </c>
      <c r="AD3032">
        <v>24.226009000000001</v>
      </c>
      <c r="AE3032">
        <v>1.4467999999999901</v>
      </c>
      <c r="AF3032">
        <v>-1.04050664592034</v>
      </c>
      <c r="AG3032">
        <v>24.226009000000001</v>
      </c>
      <c r="AH3032">
        <v>158.88273002002001</v>
      </c>
      <c r="AI3032">
        <v>81.330652927314304</v>
      </c>
      <c r="AJ3032">
        <v>90.3752187987985</v>
      </c>
      <c r="AK3032">
        <v>160.72244418488299</v>
      </c>
      <c r="AL3032">
        <v>76.857959862401898</v>
      </c>
      <c r="AM3032">
        <v>86.970052324515393</v>
      </c>
      <c r="AN3032">
        <v>1.00000004249827</v>
      </c>
    </row>
    <row r="3033" spans="1:40" x14ac:dyDescent="0.25">
      <c r="A3033" t="str">
        <f>"20190303171036875"</f>
        <v>20190303171036875</v>
      </c>
      <c r="B3033" t="str">
        <f>"1551604236864014"</f>
        <v>1551604236864014</v>
      </c>
      <c r="C3033" t="s">
        <v>40</v>
      </c>
      <c r="D3033">
        <v>4.316757</v>
      </c>
      <c r="E3033">
        <v>0.48035640000000002</v>
      </c>
      <c r="F3033" t="s">
        <v>77</v>
      </c>
      <c r="G3033">
        <v>-107.39749999999999</v>
      </c>
      <c r="H3033">
        <v>2.5315949999999998</v>
      </c>
      <c r="I3033">
        <v>217.47329999999999</v>
      </c>
      <c r="J3033">
        <v>-269.40300000000002</v>
      </c>
      <c r="K3033">
        <v>1.1210260000000001</v>
      </c>
      <c r="L3033">
        <v>214.78649999999999</v>
      </c>
      <c r="M3033">
        <v>0.99989499999999998</v>
      </c>
      <c r="N3033">
        <v>-1.4303639999999999E-2</v>
      </c>
      <c r="O3033">
        <v>2.3356029999999999E-3</v>
      </c>
      <c r="P3033">
        <v>0.97550490000000001</v>
      </c>
      <c r="Q3033">
        <v>0.2142136</v>
      </c>
      <c r="R3033">
        <v>-5.0029030000000002E-2</v>
      </c>
      <c r="S3033">
        <v>3.0713499999999998</v>
      </c>
      <c r="T3033">
        <v>2.6675939999999999E-2</v>
      </c>
      <c r="U3033">
        <v>5.0827030000000002E-2</v>
      </c>
      <c r="V3033">
        <v>5.2354440000000002E-2</v>
      </c>
      <c r="W3033">
        <v>0.2281329</v>
      </c>
      <c r="X3033">
        <v>0.97222140000000001</v>
      </c>
      <c r="Y3033">
        <v>-1.421189E-2</v>
      </c>
      <c r="Z3033" s="1">
        <v>9.3628449999999996E-5</v>
      </c>
      <c r="AA3033">
        <v>0.99989899999999998</v>
      </c>
      <c r="AB3033">
        <v>41</v>
      </c>
      <c r="AC3033">
        <v>162.00550000000001</v>
      </c>
      <c r="AD3033">
        <v>1.410569</v>
      </c>
      <c r="AE3033">
        <v>2.6867999999999999</v>
      </c>
      <c r="AF3033">
        <v>-2.3081984991236202</v>
      </c>
      <c r="AG3033">
        <v>1.410569</v>
      </c>
      <c r="AH3033">
        <v>161.99905612910899</v>
      </c>
      <c r="AI3033">
        <v>89.501173598498298</v>
      </c>
      <c r="AJ3033">
        <v>90.816307743315093</v>
      </c>
      <c r="AK3033">
        <v>162.021639517496</v>
      </c>
      <c r="AL3033">
        <v>76.812827742124099</v>
      </c>
      <c r="AM3033">
        <v>86.917580780683494</v>
      </c>
      <c r="AN3033">
        <v>1.0000000290340401</v>
      </c>
    </row>
    <row r="3034" spans="1:40" x14ac:dyDescent="0.25">
      <c r="A3034" t="str">
        <f>"20190303171036892"</f>
        <v>20190303171036892</v>
      </c>
      <c r="B3034" t="str">
        <f>"1551604236883535"</f>
        <v>1551604236883535</v>
      </c>
      <c r="C3034" t="s">
        <v>40</v>
      </c>
      <c r="D3034">
        <v>4.2864319999999996</v>
      </c>
      <c r="E3034">
        <v>0.47963099999999997</v>
      </c>
      <c r="F3034" t="s">
        <v>77</v>
      </c>
      <c r="G3034">
        <v>-107.39749999999999</v>
      </c>
      <c r="H3034">
        <v>2.5323509999999998</v>
      </c>
      <c r="I3034">
        <v>217.4845</v>
      </c>
      <c r="J3034">
        <v>-269.09739999999999</v>
      </c>
      <c r="K3034">
        <v>1.12104</v>
      </c>
      <c r="L3034">
        <v>214.78710000000001</v>
      </c>
      <c r="M3034">
        <v>0.99989510000000004</v>
      </c>
      <c r="N3034">
        <v>-1.4301650000000001E-2</v>
      </c>
      <c r="O3034">
        <v>2.3262280000000001E-3</v>
      </c>
      <c r="P3034">
        <v>0.9754874</v>
      </c>
      <c r="Q3034">
        <v>0.21421299999999999</v>
      </c>
      <c r="R3034">
        <v>-5.037204E-2</v>
      </c>
      <c r="S3034">
        <v>3.0720830000000001</v>
      </c>
      <c r="T3034">
        <v>2.6763680000000001E-2</v>
      </c>
      <c r="U3034">
        <v>5.1162720000000002E-2</v>
      </c>
      <c r="V3034">
        <v>5.2681859999999997E-2</v>
      </c>
      <c r="W3034">
        <v>0.228131</v>
      </c>
      <c r="X3034">
        <v>0.97220410000000002</v>
      </c>
      <c r="Y3034">
        <v>-1.432655E-2</v>
      </c>
      <c r="Z3034" s="1">
        <v>9.358821E-5</v>
      </c>
      <c r="AA3034">
        <v>0.99989740000000005</v>
      </c>
      <c r="AB3034">
        <v>41</v>
      </c>
      <c r="AC3034">
        <v>161.69990000000001</v>
      </c>
      <c r="AD3034">
        <v>1.41131099999999</v>
      </c>
      <c r="AE3034">
        <v>2.69739999999998</v>
      </c>
      <c r="AF3034">
        <v>-2.3210266604355199</v>
      </c>
      <c r="AG3034">
        <v>1.41131099999999</v>
      </c>
      <c r="AH3034">
        <v>161.69342385994301</v>
      </c>
      <c r="AI3034">
        <v>89.499968646640298</v>
      </c>
      <c r="AJ3034">
        <v>90.822395220647707</v>
      </c>
      <c r="AK3034">
        <v>161.71624001023599</v>
      </c>
      <c r="AL3034">
        <v>76.812938784091202</v>
      </c>
      <c r="AM3034">
        <v>86.898286043238599</v>
      </c>
      <c r="AN3034">
        <v>0.99999997179543398</v>
      </c>
    </row>
    <row r="3035" spans="1:40" x14ac:dyDescent="0.25">
      <c r="A3035" t="str">
        <f>"20190303171036909"</f>
        <v>20190303171036909</v>
      </c>
      <c r="B3035" t="str">
        <f>"1551604236904030"</f>
        <v>1551604236904030</v>
      </c>
      <c r="C3035" t="s">
        <v>40</v>
      </c>
      <c r="D3035">
        <v>4.4269590000000001</v>
      </c>
      <c r="E3035">
        <v>0.4747615</v>
      </c>
      <c r="F3035" t="s">
        <v>77</v>
      </c>
      <c r="G3035">
        <v>-107.39749999999999</v>
      </c>
      <c r="H3035">
        <v>2.5756679999999998</v>
      </c>
      <c r="I3035">
        <v>217.7474</v>
      </c>
      <c r="J3035">
        <v>-268.78179999999998</v>
      </c>
      <c r="K3035">
        <v>1.121049</v>
      </c>
      <c r="L3035">
        <v>214.7878</v>
      </c>
      <c r="M3035">
        <v>0.99989499999999998</v>
      </c>
      <c r="N3035">
        <v>-1.4299579999999999E-2</v>
      </c>
      <c r="O3035">
        <v>2.3208180000000001E-3</v>
      </c>
      <c r="P3035">
        <v>0.97544969999999998</v>
      </c>
      <c r="Q3035">
        <v>0.21424760000000001</v>
      </c>
      <c r="R3035">
        <v>-5.0947140000000002E-2</v>
      </c>
      <c r="S3035">
        <v>3.0722049999999999</v>
      </c>
      <c r="T3035">
        <v>2.7638079999999999E-2</v>
      </c>
      <c r="U3035">
        <v>5.6243899999999999E-2</v>
      </c>
      <c r="V3035">
        <v>5.3246099999999998E-2</v>
      </c>
      <c r="W3035">
        <v>0.22816439999999999</v>
      </c>
      <c r="X3035">
        <v>0.97216550000000002</v>
      </c>
      <c r="Y3035">
        <v>-1.598457E-2</v>
      </c>
      <c r="Z3035" s="1">
        <v>9.6468169999999997E-5</v>
      </c>
      <c r="AA3035">
        <v>0.99987219999999999</v>
      </c>
      <c r="AB3035">
        <v>41</v>
      </c>
      <c r="AC3035">
        <v>161.3843</v>
      </c>
      <c r="AD3035">
        <v>1.4546190000000001</v>
      </c>
      <c r="AE3035">
        <v>2.9595999999999898</v>
      </c>
      <c r="AF3035">
        <v>-2.5848001958124298</v>
      </c>
      <c r="AG3035">
        <v>1.4546190000000001</v>
      </c>
      <c r="AH3035">
        <v>161.37762858958001</v>
      </c>
      <c r="AI3035">
        <v>89.483629885214199</v>
      </c>
      <c r="AJ3035">
        <v>90.917633259493499</v>
      </c>
      <c r="AK3035">
        <v>161.40488257076899</v>
      </c>
      <c r="AL3035">
        <v>76.810972974749703</v>
      </c>
      <c r="AM3035">
        <v>86.865007356496704</v>
      </c>
      <c r="AN3035">
        <v>0.99999994999140795</v>
      </c>
    </row>
    <row r="3036" spans="1:40" x14ac:dyDescent="0.25">
      <c r="A3036" t="str">
        <f>"20190303171036924"</f>
        <v>20190303171036924</v>
      </c>
      <c r="B3036" t="str">
        <f>"1551604236913790"</f>
        <v>1551604236913790</v>
      </c>
      <c r="C3036" t="s">
        <v>40</v>
      </c>
      <c r="D3036">
        <v>4.4221309999999896</v>
      </c>
      <c r="E3036">
        <v>0.4747615</v>
      </c>
      <c r="F3036" t="s">
        <v>49</v>
      </c>
      <c r="G3036">
        <v>-124.6118</v>
      </c>
      <c r="H3036">
        <v>2.092266</v>
      </c>
      <c r="I3036">
        <v>219.2313</v>
      </c>
      <c r="J3036">
        <v>-268.50439999999998</v>
      </c>
      <c r="K3036">
        <v>1.121057</v>
      </c>
      <c r="L3036">
        <v>214.7885</v>
      </c>
      <c r="M3036">
        <v>0.99989510000000004</v>
      </c>
      <c r="N3036">
        <v>-1.4297819999999999E-2</v>
      </c>
      <c r="O3036">
        <v>2.3186370000000001E-3</v>
      </c>
      <c r="P3036">
        <v>0.97542660000000003</v>
      </c>
      <c r="Q3036">
        <v>0.21423929999999999</v>
      </c>
      <c r="R3036">
        <v>-5.1425579999999999E-2</v>
      </c>
      <c r="S3036">
        <v>3.0759280000000002</v>
      </c>
      <c r="T3036">
        <v>2.072251E-2</v>
      </c>
      <c r="U3036">
        <v>9.4802860000000003E-2</v>
      </c>
      <c r="V3036">
        <v>5.3717969999999997E-2</v>
      </c>
      <c r="W3036">
        <v>0.2281552</v>
      </c>
      <c r="X3036">
        <v>0.9721417</v>
      </c>
      <c r="Y3036">
        <v>-2.8489649999999998E-2</v>
      </c>
      <c r="Z3036">
        <v>1.5654379999999901E-4</v>
      </c>
      <c r="AA3036">
        <v>0.99959410000000004</v>
      </c>
      <c r="AB3036">
        <v>41</v>
      </c>
      <c r="AC3036">
        <v>143.89259999999899</v>
      </c>
      <c r="AD3036">
        <v>0.97120899999999999</v>
      </c>
      <c r="AE3036">
        <v>4.4428000000000001</v>
      </c>
      <c r="AF3036">
        <v>-4.1089322344022001</v>
      </c>
      <c r="AG3036">
        <v>0.97120899999999999</v>
      </c>
      <c r="AH3036">
        <v>143.89596630007199</v>
      </c>
      <c r="AI3036">
        <v>89.613452262223404</v>
      </c>
      <c r="AJ3036">
        <v>91.635629724540806</v>
      </c>
      <c r="AK3036">
        <v>143.95789554053701</v>
      </c>
      <c r="AL3036">
        <v>76.811514379364297</v>
      </c>
      <c r="AM3036">
        <v>86.837203753477198</v>
      </c>
      <c r="AN3036">
        <v>0.99999995023342403</v>
      </c>
    </row>
    <row r="3037" spans="1:40" x14ac:dyDescent="0.25">
      <c r="A3037" t="str">
        <f>"20190303171036938"</f>
        <v>20190303171036938</v>
      </c>
      <c r="B3037" t="str">
        <f>"1551604236934287"</f>
        <v>1551604236934287</v>
      </c>
      <c r="C3037" t="s">
        <v>40</v>
      </c>
      <c r="D3037">
        <v>4.335496</v>
      </c>
      <c r="E3037">
        <v>0.46801160000000003</v>
      </c>
      <c r="F3037" t="s">
        <v>49</v>
      </c>
      <c r="G3037">
        <v>-124.6118</v>
      </c>
      <c r="H3037">
        <v>2.0936659999999998</v>
      </c>
      <c r="I3037">
        <v>219.16839999999999</v>
      </c>
      <c r="J3037">
        <v>-268.25529999999998</v>
      </c>
      <c r="K3037">
        <v>1.1210629999999999</v>
      </c>
      <c r="L3037">
        <v>214.78899999999999</v>
      </c>
      <c r="M3037">
        <v>0.99989510000000004</v>
      </c>
      <c r="N3037">
        <v>-1.42963E-2</v>
      </c>
      <c r="O3037">
        <v>2.3179160000000002E-3</v>
      </c>
      <c r="P3037">
        <v>0.97543329999999995</v>
      </c>
      <c r="Q3037">
        <v>0.21412310000000001</v>
      </c>
      <c r="R3037">
        <v>-5.1780609999999998E-2</v>
      </c>
      <c r="S3037">
        <v>3.0759280000000002</v>
      </c>
      <c r="T3037">
        <v>2.0792250000000002E-2</v>
      </c>
      <c r="U3037">
        <v>9.3627929999999998E-2</v>
      </c>
      <c r="V3037">
        <v>5.4069150000000003E-2</v>
      </c>
      <c r="W3037">
        <v>0.22803770000000001</v>
      </c>
      <c r="X3037">
        <v>0.97214979999999995</v>
      </c>
      <c r="Y3037">
        <v>-2.8108899999999999E-2</v>
      </c>
      <c r="Z3037">
        <v>1.5479569999999999E-4</v>
      </c>
      <c r="AA3037">
        <v>0.99960490000000002</v>
      </c>
      <c r="AB3037">
        <v>41</v>
      </c>
      <c r="AC3037">
        <v>143.64349999999899</v>
      </c>
      <c r="AD3037">
        <v>0.972603</v>
      </c>
      <c r="AE3037">
        <v>4.3793999999999702</v>
      </c>
      <c r="AF3037">
        <v>-4.0462153005949304</v>
      </c>
      <c r="AG3037">
        <v>0.972603</v>
      </c>
      <c r="AH3037">
        <v>143.646686683458</v>
      </c>
      <c r="AI3037">
        <v>89.612221460283294</v>
      </c>
      <c r="AJ3037">
        <v>91.613471083854606</v>
      </c>
      <c r="AK3037">
        <v>143.70695324162199</v>
      </c>
      <c r="AL3037">
        <v>76.818428902741601</v>
      </c>
      <c r="AM3037">
        <v>86.816595904927695</v>
      </c>
      <c r="AN3037">
        <v>0.99999994962152405</v>
      </c>
    </row>
    <row r="3038" spans="1:40" x14ac:dyDescent="0.25">
      <c r="A3038" t="str">
        <f>"20190303171036952"</f>
        <v>20190303171036952</v>
      </c>
      <c r="B3038" t="str">
        <f>"1551604236944046"</f>
        <v>1551604236944046</v>
      </c>
      <c r="C3038" t="s">
        <v>40</v>
      </c>
      <c r="D3038">
        <v>4.4090160000000003</v>
      </c>
      <c r="E3038">
        <v>0.46632600000000002</v>
      </c>
      <c r="F3038" t="s">
        <v>49</v>
      </c>
      <c r="G3038">
        <v>-157.8382</v>
      </c>
      <c r="H3038">
        <v>4.5791449999999996</v>
      </c>
      <c r="I3038">
        <v>219.8656</v>
      </c>
      <c r="J3038">
        <v>-267.9803</v>
      </c>
      <c r="K3038">
        <v>1.121062</v>
      </c>
      <c r="L3038">
        <v>214.78960000000001</v>
      </c>
      <c r="M3038">
        <v>0.99989530000000004</v>
      </c>
      <c r="N3038">
        <v>-1.4294619999999999E-2</v>
      </c>
      <c r="O3038">
        <v>2.3181399999999998E-3</v>
      </c>
      <c r="P3038">
        <v>0.97537510000000005</v>
      </c>
      <c r="Q3038">
        <v>0.21408830000000001</v>
      </c>
      <c r="R3038">
        <v>-5.3011030000000001E-2</v>
      </c>
      <c r="S3038">
        <v>3.0619510000000001</v>
      </c>
      <c r="T3038">
        <v>9.5896839999999997E-2</v>
      </c>
      <c r="U3038">
        <v>0.1407776</v>
      </c>
      <c r="V3038">
        <v>5.529676E-2</v>
      </c>
      <c r="W3038">
        <v>0.22800110000000001</v>
      </c>
      <c r="X3038">
        <v>0.97208939999999999</v>
      </c>
      <c r="Y3038">
        <v>-4.3602700000000001E-2</v>
      </c>
      <c r="Z3038">
        <v>-2.6474849999999999E-4</v>
      </c>
      <c r="AA3038">
        <v>0.99904890000000002</v>
      </c>
      <c r="AB3038">
        <v>41</v>
      </c>
      <c r="AC3038">
        <v>110.1421</v>
      </c>
      <c r="AD3038">
        <v>3.4580829999999998</v>
      </c>
      <c r="AE3038">
        <v>5.0759999999999899</v>
      </c>
      <c r="AF3038">
        <v>-4.8158983205233703</v>
      </c>
      <c r="AG3038">
        <v>3.4580829999999998</v>
      </c>
      <c r="AH3038">
        <v>110.045325471412</v>
      </c>
      <c r="AI3038">
        <v>88.201839936074293</v>
      </c>
      <c r="AJ3038">
        <v>92.505828359967296</v>
      </c>
      <c r="AK3038">
        <v>110.20492218035299</v>
      </c>
      <c r="AL3038">
        <v>76.820583575629499</v>
      </c>
      <c r="AM3038">
        <v>86.744270383391296</v>
      </c>
      <c r="AN3038">
        <v>1.0000000174300301</v>
      </c>
    </row>
    <row r="3039" spans="1:40" x14ac:dyDescent="0.25">
      <c r="A3039" t="str">
        <f>"20190303171036968"</f>
        <v>20190303171036968</v>
      </c>
      <c r="B3039" t="str">
        <f>"1551604236963567"</f>
        <v>1551604236963567</v>
      </c>
      <c r="C3039" t="s">
        <v>40</v>
      </c>
      <c r="D3039">
        <v>4.4332330000000004</v>
      </c>
      <c r="E3039">
        <v>0.46355449999999998</v>
      </c>
      <c r="F3039" t="s">
        <v>49</v>
      </c>
      <c r="G3039">
        <v>-157.8382</v>
      </c>
      <c r="H3039">
        <v>4.3165170000000002</v>
      </c>
      <c r="I3039">
        <v>220.24039999999999</v>
      </c>
      <c r="J3039">
        <v>-267.7056</v>
      </c>
      <c r="K3039">
        <v>1.1210629999999999</v>
      </c>
      <c r="L3039">
        <v>214.7903</v>
      </c>
      <c r="M3039">
        <v>0.99989530000000004</v>
      </c>
      <c r="N3039">
        <v>-1.4292900000000001E-2</v>
      </c>
      <c r="O3039">
        <v>2.3191240000000001E-3</v>
      </c>
      <c r="P3039">
        <v>0.97531959999999995</v>
      </c>
      <c r="Q3039">
        <v>0.21421979999999999</v>
      </c>
      <c r="R3039">
        <v>-5.3496950000000001E-2</v>
      </c>
      <c r="S3039">
        <v>3.0644840000000002</v>
      </c>
      <c r="T3039">
        <v>8.8908669999999995E-2</v>
      </c>
      <c r="U3039">
        <v>0.15165709999999999</v>
      </c>
      <c r="V3039">
        <v>5.5780959999999997E-2</v>
      </c>
      <c r="W3039">
        <v>0.22813059999999999</v>
      </c>
      <c r="X3039">
        <v>0.97203139999999999</v>
      </c>
      <c r="Y3039">
        <v>-4.7103649999999997E-2</v>
      </c>
      <c r="Z3039">
        <v>-2.4551009999999998E-4</v>
      </c>
      <c r="AA3039">
        <v>0.99888999999999994</v>
      </c>
      <c r="AB3039">
        <v>41</v>
      </c>
      <c r="AC3039">
        <v>109.8674</v>
      </c>
      <c r="AD3039">
        <v>3.1954539999999998</v>
      </c>
      <c r="AE3039">
        <v>5.4500999999999902</v>
      </c>
      <c r="AF3039">
        <v>-5.1908829478773404</v>
      </c>
      <c r="AG3039">
        <v>3.1954539999999998</v>
      </c>
      <c r="AH3039">
        <v>109.787102496457</v>
      </c>
      <c r="AI3039">
        <v>88.334683969088502</v>
      </c>
      <c r="AJ3039">
        <v>92.707006087387697</v>
      </c>
      <c r="AK3039">
        <v>109.956191579247</v>
      </c>
      <c r="AL3039">
        <v>76.812963565928598</v>
      </c>
      <c r="AM3039">
        <v>86.715628543826298</v>
      </c>
      <c r="AN3039">
        <v>1.0000000643704099</v>
      </c>
    </row>
    <row r="3040" spans="1:40" x14ac:dyDescent="0.25">
      <c r="A3040" t="str">
        <f>"20190303171036986"</f>
        <v>20190303171036986</v>
      </c>
      <c r="B3040" t="str">
        <f>"1551604236984063"</f>
        <v>1551604236984063</v>
      </c>
      <c r="C3040" t="s">
        <v>40</v>
      </c>
      <c r="D3040">
        <v>4.428185</v>
      </c>
      <c r="E3040">
        <v>0.46180290000000002</v>
      </c>
      <c r="F3040" t="s">
        <v>49</v>
      </c>
      <c r="G3040">
        <v>-157.8382</v>
      </c>
      <c r="H3040">
        <v>3.92658</v>
      </c>
      <c r="I3040">
        <v>221.0059</v>
      </c>
      <c r="J3040">
        <v>-267.36540000000002</v>
      </c>
      <c r="K3040">
        <v>1.1210739999999999</v>
      </c>
      <c r="L3040">
        <v>214.791</v>
      </c>
      <c r="M3040">
        <v>0.99989510000000004</v>
      </c>
      <c r="N3040">
        <v>-1.429075E-2</v>
      </c>
      <c r="O3040">
        <v>2.3211970000000001E-3</v>
      </c>
      <c r="P3040">
        <v>0.975221</v>
      </c>
      <c r="Q3040">
        <v>0.21443470000000001</v>
      </c>
      <c r="R3040">
        <v>-5.4421249999999997E-2</v>
      </c>
      <c r="S3040">
        <v>3.0682680000000002</v>
      </c>
      <c r="T3040">
        <v>7.8351260000000006E-2</v>
      </c>
      <c r="U3040">
        <v>0.17358399999999999</v>
      </c>
      <c r="V3040">
        <v>5.6704310000000001E-2</v>
      </c>
      <c r="W3040">
        <v>0.22834280000000001</v>
      </c>
      <c r="X3040">
        <v>0.97192809999999996</v>
      </c>
      <c r="Y3040">
        <v>-5.4159850000000002E-2</v>
      </c>
      <c r="Z3040">
        <v>-2.111441E-4</v>
      </c>
      <c r="AA3040">
        <v>0.99853219999999998</v>
      </c>
      <c r="AB3040">
        <v>41</v>
      </c>
      <c r="AC3040">
        <v>109.52719999999999</v>
      </c>
      <c r="AD3040">
        <v>2.8055059999999998</v>
      </c>
      <c r="AE3040">
        <v>6.2149000000000001</v>
      </c>
      <c r="AF3040">
        <v>-5.95672731787307</v>
      </c>
      <c r="AG3040">
        <v>2.8055059999999998</v>
      </c>
      <c r="AH3040">
        <v>109.46973838930001</v>
      </c>
      <c r="AI3040">
        <v>88.534104629273898</v>
      </c>
      <c r="AJ3040">
        <v>93.114642341768004</v>
      </c>
      <c r="AK3040">
        <v>109.667575368827</v>
      </c>
      <c r="AL3040">
        <v>76.800475231062805</v>
      </c>
      <c r="AM3040">
        <v>86.661029830573199</v>
      </c>
      <c r="AN3040">
        <v>1.00000002232701</v>
      </c>
    </row>
    <row r="3041" spans="1:40" x14ac:dyDescent="0.25">
      <c r="A3041" t="str">
        <f>"20190303171037005"</f>
        <v>20190303171037005</v>
      </c>
      <c r="B3041" t="str">
        <f>"1551604236993823"</f>
        <v>1551604236993823</v>
      </c>
      <c r="C3041" t="s">
        <v>40</v>
      </c>
      <c r="D3041">
        <v>4.4308480000000001</v>
      </c>
      <c r="E3041">
        <v>0.46104919999999999</v>
      </c>
      <c r="F3041" t="s">
        <v>49</v>
      </c>
      <c r="G3041">
        <v>-157.8382</v>
      </c>
      <c r="H3041">
        <v>4.563618</v>
      </c>
      <c r="I3041">
        <v>221.35329999999999</v>
      </c>
      <c r="J3041">
        <v>-267.0394</v>
      </c>
      <c r="K3041">
        <v>1.1210770000000001</v>
      </c>
      <c r="L3041">
        <v>214.79179999999999</v>
      </c>
      <c r="M3041">
        <v>0.99989530000000004</v>
      </c>
      <c r="N3041">
        <v>-1.42887E-2</v>
      </c>
      <c r="O3041">
        <v>2.324039E-3</v>
      </c>
      <c r="P3041">
        <v>0.97510490000000005</v>
      </c>
      <c r="Q3041">
        <v>0.21489330000000001</v>
      </c>
      <c r="R3041">
        <v>-5.4695430000000003E-2</v>
      </c>
      <c r="S3041">
        <v>3.065277</v>
      </c>
      <c r="T3041">
        <v>9.6346020000000004E-2</v>
      </c>
      <c r="U3041">
        <v>0.18365480000000001</v>
      </c>
      <c r="V3041">
        <v>5.697816E-2</v>
      </c>
      <c r="W3041">
        <v>0.22879859999999999</v>
      </c>
      <c r="X3041">
        <v>0.97180489999999997</v>
      </c>
      <c r="Y3041">
        <v>-5.7474089999999999E-2</v>
      </c>
      <c r="Z3041">
        <v>-3.8502520000000001E-4</v>
      </c>
      <c r="AA3041">
        <v>0.99834690000000004</v>
      </c>
      <c r="AB3041">
        <v>41</v>
      </c>
      <c r="AC3041">
        <v>109.2012</v>
      </c>
      <c r="AD3041">
        <v>3.4425409999999999</v>
      </c>
      <c r="AE3041">
        <v>6.5614999999999899</v>
      </c>
      <c r="AF3041">
        <v>-6.3014286447543402</v>
      </c>
      <c r="AG3041">
        <v>3.4425409999999999</v>
      </c>
      <c r="AH3041">
        <v>109.108113095749</v>
      </c>
      <c r="AI3041">
        <v>88.195827575515395</v>
      </c>
      <c r="AJ3041">
        <v>93.305387954557503</v>
      </c>
      <c r="AK3041">
        <v>109.344133060793</v>
      </c>
      <c r="AL3041">
        <v>76.773649866373503</v>
      </c>
      <c r="AM3041">
        <v>86.644516862392294</v>
      </c>
      <c r="AN3041">
        <v>1.0000000368714701</v>
      </c>
    </row>
    <row r="3042" spans="1:40" x14ac:dyDescent="0.25">
      <c r="A3042" t="str">
        <f>"20190303171037022"</f>
        <v>20190303171037022</v>
      </c>
      <c r="B3042" t="str">
        <f>"1551604237013342"</f>
        <v>1551604237013342</v>
      </c>
      <c r="C3042" t="s">
        <v>40</v>
      </c>
      <c r="D3042">
        <v>4.4266449999999997</v>
      </c>
      <c r="E3042">
        <v>0.45970070000000002</v>
      </c>
      <c r="F3042" t="s">
        <v>49</v>
      </c>
      <c r="G3042">
        <v>-157.8382</v>
      </c>
      <c r="H3042">
        <v>4.391686</v>
      </c>
      <c r="I3042">
        <v>221.53579999999999</v>
      </c>
      <c r="J3042">
        <v>-266.7319</v>
      </c>
      <c r="K3042">
        <v>1.1210819999999999</v>
      </c>
      <c r="L3042">
        <v>214.79249999999999</v>
      </c>
      <c r="M3042">
        <v>0.99989530000000004</v>
      </c>
      <c r="N3042">
        <v>-1.4286750000000001E-2</v>
      </c>
      <c r="O3042">
        <v>2.3278259999999999E-3</v>
      </c>
      <c r="P3042">
        <v>0.97503830000000002</v>
      </c>
      <c r="Q3042">
        <v>0.21507680000000001</v>
      </c>
      <c r="R3042">
        <v>-5.5159930000000003E-2</v>
      </c>
      <c r="S3042">
        <v>3.0669559999999998</v>
      </c>
      <c r="T3042">
        <v>9.1857789999999995E-2</v>
      </c>
      <c r="U3042">
        <v>0.1894073</v>
      </c>
      <c r="V3042">
        <v>5.7443800000000003E-2</v>
      </c>
      <c r="W3042">
        <v>0.22897960000000001</v>
      </c>
      <c r="X3042">
        <v>0.97173480000000001</v>
      </c>
      <c r="Y3042">
        <v>-5.9304660000000002E-2</v>
      </c>
      <c r="Z3042">
        <v>-3.6010429999999997E-4</v>
      </c>
      <c r="AA3042">
        <v>0.99823989999999996</v>
      </c>
      <c r="AB3042">
        <v>41</v>
      </c>
      <c r="AC3042">
        <v>108.8937</v>
      </c>
      <c r="AD3042">
        <v>3.2706040000000001</v>
      </c>
      <c r="AE3042">
        <v>6.7432999999999996</v>
      </c>
      <c r="AF3042">
        <v>-6.4839435205209597</v>
      </c>
      <c r="AG3042">
        <v>3.2706040000000001</v>
      </c>
      <c r="AH3042">
        <v>108.81132098018701</v>
      </c>
      <c r="AI3042">
        <v>88.281393104268005</v>
      </c>
      <c r="AJ3042">
        <v>93.410158197060397</v>
      </c>
      <c r="AK3042">
        <v>109.05339035332899</v>
      </c>
      <c r="AL3042">
        <v>76.762995804284998</v>
      </c>
      <c r="AM3042">
        <v>86.616914959028804</v>
      </c>
      <c r="AN3042">
        <v>0.99999998445281901</v>
      </c>
    </row>
    <row r="3043" spans="1:40" x14ac:dyDescent="0.25">
      <c r="A3043" t="str">
        <f>"20190303171037043"</f>
        <v>20190303171037043</v>
      </c>
      <c r="B3043" t="str">
        <f>"1551604237033838"</f>
        <v>1551604237033838</v>
      </c>
      <c r="C3043" t="s">
        <v>40</v>
      </c>
      <c r="D3043">
        <v>4.3481899999999998</v>
      </c>
      <c r="E3043">
        <v>0.45905760000000001</v>
      </c>
      <c r="F3043" t="s">
        <v>49</v>
      </c>
      <c r="G3043">
        <v>-157.25</v>
      </c>
      <c r="H3043">
        <v>4.0824559999999996</v>
      </c>
      <c r="I3043">
        <v>221.90350000000001</v>
      </c>
      <c r="J3043">
        <v>-266.34120000000001</v>
      </c>
      <c r="K3043">
        <v>1.1210929999999999</v>
      </c>
      <c r="L3043">
        <v>214.79339999999999</v>
      </c>
      <c r="M3043">
        <v>0.99989530000000004</v>
      </c>
      <c r="N3043">
        <v>-1.4284379999999999E-2</v>
      </c>
      <c r="O3043">
        <v>2.333833E-3</v>
      </c>
      <c r="P3043">
        <v>0.9748926</v>
      </c>
      <c r="Q3043">
        <v>0.2155937</v>
      </c>
      <c r="R3043">
        <v>-5.5714180000000002E-2</v>
      </c>
      <c r="S3043">
        <v>3.069763</v>
      </c>
      <c r="T3043">
        <v>8.3035590000000006E-2</v>
      </c>
      <c r="U3043">
        <v>0.1993866</v>
      </c>
      <c r="V3043">
        <v>5.8000749999999997E-2</v>
      </c>
      <c r="W3043">
        <v>0.229493</v>
      </c>
      <c r="X3043">
        <v>0.97158060000000002</v>
      </c>
      <c r="Y3043">
        <v>-6.2477159999999997E-2</v>
      </c>
      <c r="Z3043">
        <v>-3.0084559999999998E-4</v>
      </c>
      <c r="AA3043">
        <v>0.99804630000000005</v>
      </c>
      <c r="AB3043">
        <v>41</v>
      </c>
      <c r="AC3043">
        <v>109.0912</v>
      </c>
      <c r="AD3043">
        <v>2.9613629999999902</v>
      </c>
      <c r="AE3043">
        <v>7.1101000000000099</v>
      </c>
      <c r="AF3043">
        <v>-6.8504273514407004</v>
      </c>
      <c r="AG3043">
        <v>2.9613629999999902</v>
      </c>
      <c r="AH3043">
        <v>109.02749666457299</v>
      </c>
      <c r="AI3043">
        <v>88.447197188401603</v>
      </c>
      <c r="AJ3043">
        <v>93.595288279559398</v>
      </c>
      <c r="AK3043">
        <v>109.28262924481</v>
      </c>
      <c r="AL3043">
        <v>76.732775523026305</v>
      </c>
      <c r="AM3043">
        <v>86.583650497144504</v>
      </c>
      <c r="AN3043">
        <v>0.99999999317296095</v>
      </c>
    </row>
    <row r="3044" spans="1:40" x14ac:dyDescent="0.25">
      <c r="A3044" t="str">
        <f>"20190303171037065"</f>
        <v>20190303171037065</v>
      </c>
      <c r="B3044" t="str">
        <f>"1551604237053359"</f>
        <v>1551604237053359</v>
      </c>
      <c r="C3044" t="s">
        <v>40</v>
      </c>
      <c r="D3044">
        <v>4.4255639999999996</v>
      </c>
      <c r="E3044">
        <v>0.45831329999999998</v>
      </c>
      <c r="F3044" t="s">
        <v>49</v>
      </c>
      <c r="G3044">
        <v>-157.25</v>
      </c>
      <c r="H3044">
        <v>3.9984310000000001</v>
      </c>
      <c r="I3044">
        <v>222.02109999999999</v>
      </c>
      <c r="J3044">
        <v>-265.94709999999998</v>
      </c>
      <c r="K3044">
        <v>1.1211</v>
      </c>
      <c r="L3044">
        <v>214.79429999999999</v>
      </c>
      <c r="M3044">
        <v>0.99989530000000004</v>
      </c>
      <c r="N3044">
        <v>-1.4282090000000001E-2</v>
      </c>
      <c r="O3044">
        <v>2.3411349999999998E-3</v>
      </c>
      <c r="P3044">
        <v>0.97478500000000001</v>
      </c>
      <c r="Q3044">
        <v>0.21583479999999999</v>
      </c>
      <c r="R3044">
        <v>-5.6653500000000002E-2</v>
      </c>
      <c r="S3044">
        <v>3.0709529999999998</v>
      </c>
      <c r="T3044">
        <v>8.099961E-2</v>
      </c>
      <c r="U3044">
        <v>0.20346069999999999</v>
      </c>
      <c r="V3044">
        <v>5.8944499999999997E-2</v>
      </c>
      <c r="W3044">
        <v>0.22973060000000001</v>
      </c>
      <c r="X3044">
        <v>0.97146770000000005</v>
      </c>
      <c r="Y3044">
        <v>-6.3763749999999994E-2</v>
      </c>
      <c r="Z3044">
        <v>-2.8889040000000001E-4</v>
      </c>
      <c r="AA3044">
        <v>0.99796499999999999</v>
      </c>
      <c r="AB3044">
        <v>41</v>
      </c>
      <c r="AC3044">
        <v>108.697099999999</v>
      </c>
      <c r="AD3044">
        <v>2.8773309999999999</v>
      </c>
      <c r="AE3044">
        <v>7.2267999999999901</v>
      </c>
      <c r="AF3044">
        <v>-6.9674189422963604</v>
      </c>
      <c r="AG3044">
        <v>2.8773309999999999</v>
      </c>
      <c r="AH3044">
        <v>108.637933079067</v>
      </c>
      <c r="AI3044">
        <v>88.485955920414995</v>
      </c>
      <c r="AJ3044">
        <v>93.669599548097906</v>
      </c>
      <c r="AK3044">
        <v>108.899148132999</v>
      </c>
      <c r="AL3044">
        <v>76.718789073603105</v>
      </c>
      <c r="AM3044">
        <v>86.527794301493103</v>
      </c>
      <c r="AN3044">
        <v>1.00000004739994</v>
      </c>
    </row>
    <row r="3045" spans="1:40" x14ac:dyDescent="0.25">
      <c r="A3045" t="str">
        <f>"20190303171037081"</f>
        <v>20190303171037081</v>
      </c>
      <c r="B3045" t="str">
        <f>"1551604237073854"</f>
        <v>1551604237073854</v>
      </c>
      <c r="C3045" t="s">
        <v>40</v>
      </c>
      <c r="D3045">
        <v>4.4518899999999997</v>
      </c>
      <c r="E3045">
        <v>0.45739590000000002</v>
      </c>
      <c r="F3045" t="s">
        <v>49</v>
      </c>
      <c r="G3045">
        <v>-157.25</v>
      </c>
      <c r="H3045">
        <v>4.3627570000000002</v>
      </c>
      <c r="I3045">
        <v>222.09809999999999</v>
      </c>
      <c r="J3045">
        <v>-265.63780000000003</v>
      </c>
      <c r="K3045">
        <v>1.1211070000000001</v>
      </c>
      <c r="L3045">
        <v>214.79499999999999</v>
      </c>
      <c r="M3045">
        <v>0.99989530000000004</v>
      </c>
      <c r="N3045">
        <v>-1.428024E-2</v>
      </c>
      <c r="O3045">
        <v>2.3477490000000001E-3</v>
      </c>
      <c r="P3045">
        <v>0.97469430000000001</v>
      </c>
      <c r="Q3045">
        <v>0.21613840000000001</v>
      </c>
      <c r="R3045">
        <v>-5.705669E-2</v>
      </c>
      <c r="S3045">
        <v>3.0693049999999999</v>
      </c>
      <c r="T3045">
        <v>9.1536999999999993E-2</v>
      </c>
      <c r="U3045">
        <v>0.2062378</v>
      </c>
      <c r="V3045">
        <v>5.9352519999999999E-2</v>
      </c>
      <c r="W3045">
        <v>0.23003129999999999</v>
      </c>
      <c r="X3045">
        <v>0.97137169999999895</v>
      </c>
      <c r="Y3045">
        <v>-6.4686980000000005E-2</v>
      </c>
      <c r="Z3045">
        <v>-3.9742050000000001E-4</v>
      </c>
      <c r="AA3045">
        <v>0.99790559999999995</v>
      </c>
      <c r="AB3045">
        <v>41</v>
      </c>
      <c r="AC3045">
        <v>108.3878</v>
      </c>
      <c r="AD3045">
        <v>3.2416499999999999</v>
      </c>
      <c r="AE3045">
        <v>7.3030999999999997</v>
      </c>
      <c r="AF3045">
        <v>-7.0423158224389404</v>
      </c>
      <c r="AG3045">
        <v>3.2416499999999999</v>
      </c>
      <c r="AH3045">
        <v>108.30820695848</v>
      </c>
      <c r="AI3045">
        <v>88.289267138921801</v>
      </c>
      <c r="AJ3045">
        <v>93.720196281115193</v>
      </c>
      <c r="AK3045">
        <v>108.585313009754</v>
      </c>
      <c r="AL3045">
        <v>76.701086162927595</v>
      </c>
      <c r="AM3045">
        <v>86.503474075200501</v>
      </c>
      <c r="AN3045">
        <v>1.00000005008546</v>
      </c>
    </row>
    <row r="3046" spans="1:40" x14ac:dyDescent="0.25">
      <c r="A3046" t="str">
        <f>"20190303171037099"</f>
        <v>20190303171037099</v>
      </c>
      <c r="B3046" t="str">
        <f>"1551604237093374"</f>
        <v>1551604237093374</v>
      </c>
      <c r="C3046" t="s">
        <v>40</v>
      </c>
      <c r="D3046">
        <v>4.4738749999999996</v>
      </c>
      <c r="E3046">
        <v>0.45676509999999998</v>
      </c>
      <c r="F3046" t="s">
        <v>49</v>
      </c>
      <c r="G3046">
        <v>-166.2139</v>
      </c>
      <c r="H3046">
        <v>3.8647870000000002</v>
      </c>
      <c r="I3046">
        <v>221.6901</v>
      </c>
      <c r="J3046">
        <v>-265.3245</v>
      </c>
      <c r="K3046">
        <v>1.121113</v>
      </c>
      <c r="L3046">
        <v>214.79580000000001</v>
      </c>
      <c r="M3046">
        <v>0.99989530000000004</v>
      </c>
      <c r="N3046">
        <v>-1.427837E-2</v>
      </c>
      <c r="O3046">
        <v>2.3552479999999999E-3</v>
      </c>
      <c r="P3046">
        <v>0.97448239999999997</v>
      </c>
      <c r="Q3046">
        <v>0.216806</v>
      </c>
      <c r="R3046">
        <v>-5.8133509999999999E-2</v>
      </c>
      <c r="S3046">
        <v>3.071564</v>
      </c>
      <c r="T3046">
        <v>8.476388E-2</v>
      </c>
      <c r="U3046">
        <v>0.2130127</v>
      </c>
      <c r="V3046">
        <v>6.0435059999999999E-2</v>
      </c>
      <c r="W3046">
        <v>0.23069429999999999</v>
      </c>
      <c r="X3046">
        <v>0.97114769999999995</v>
      </c>
      <c r="Y3046">
        <v>-6.6823610000000006E-2</v>
      </c>
      <c r="Z3046">
        <v>-3.445705E-4</v>
      </c>
      <c r="AA3046">
        <v>0.99776480000000001</v>
      </c>
      <c r="AB3046">
        <v>41</v>
      </c>
      <c r="AC3046">
        <v>99.110600000000005</v>
      </c>
      <c r="AD3046">
        <v>2.7436739999999999</v>
      </c>
      <c r="AE3046">
        <v>6.8942999999999799</v>
      </c>
      <c r="AF3046">
        <v>-6.6557509916097599</v>
      </c>
      <c r="AG3046">
        <v>2.7436739999999999</v>
      </c>
      <c r="AH3046">
        <v>99.051022686727293</v>
      </c>
      <c r="AI3046">
        <v>88.416903516985002</v>
      </c>
      <c r="AJ3046">
        <v>93.844221191337596</v>
      </c>
      <c r="AK3046">
        <v>99.312294624417703</v>
      </c>
      <c r="AL3046">
        <v>76.662049233303307</v>
      </c>
      <c r="AM3046">
        <v>86.439043894671897</v>
      </c>
      <c r="AN3046">
        <v>1.00000005587249</v>
      </c>
    </row>
    <row r="3047" spans="1:40" x14ac:dyDescent="0.25">
      <c r="A3047" t="str">
        <f>"20190303171037114"</f>
        <v>20190303171037114</v>
      </c>
      <c r="B3047" t="str">
        <f>"1551604237104111"</f>
        <v>1551604237104111</v>
      </c>
      <c r="C3047" t="s">
        <v>40</v>
      </c>
      <c r="D3047">
        <v>4.4658179999999996</v>
      </c>
      <c r="E3047">
        <v>0.45642759999999999</v>
      </c>
      <c r="F3047" t="s">
        <v>49</v>
      </c>
      <c r="G3047">
        <v>-166.57</v>
      </c>
      <c r="H3047">
        <v>4.2289300000000001</v>
      </c>
      <c r="I3047">
        <v>221.6901</v>
      </c>
      <c r="J3047">
        <v>-265.0412</v>
      </c>
      <c r="K3047">
        <v>1.1211199999999999</v>
      </c>
      <c r="L3047">
        <v>214.79640000000001</v>
      </c>
      <c r="M3047">
        <v>0.99989530000000004</v>
      </c>
      <c r="N3047">
        <v>-1.42767E-2</v>
      </c>
      <c r="O3047">
        <v>2.362495E-3</v>
      </c>
      <c r="P3047">
        <v>0.97437759999999995</v>
      </c>
      <c r="Q3047">
        <v>0.2170948</v>
      </c>
      <c r="R3047">
        <v>-5.880676E-2</v>
      </c>
      <c r="S3047">
        <v>3.0697939999999999</v>
      </c>
      <c r="T3047">
        <v>9.6608520000000003E-2</v>
      </c>
      <c r="U3047">
        <v>0.21430969999999999</v>
      </c>
      <c r="V3047">
        <v>6.1114399999999999E-2</v>
      </c>
      <c r="W3047">
        <v>0.23097970000000001</v>
      </c>
      <c r="X3047">
        <v>0.97103729999999999</v>
      </c>
      <c r="Y3047">
        <v>-6.7270120000000003E-2</v>
      </c>
      <c r="Z3047">
        <v>-4.6818400000000002E-4</v>
      </c>
      <c r="AA3047">
        <v>0.99773469999999997</v>
      </c>
      <c r="AB3047">
        <v>41</v>
      </c>
      <c r="AC3047">
        <v>98.471199999999996</v>
      </c>
      <c r="AD3047">
        <v>3.1078100000000002</v>
      </c>
      <c r="AE3047">
        <v>6.8936999999999902</v>
      </c>
      <c r="AF3047">
        <v>-6.6544233761786202</v>
      </c>
      <c r="AG3047">
        <v>3.1078100000000002</v>
      </c>
      <c r="AH3047">
        <v>98.3896879536223</v>
      </c>
      <c r="AI3047">
        <v>88.1949353198859</v>
      </c>
      <c r="AJ3047">
        <v>93.869212601458202</v>
      </c>
      <c r="AK3047">
        <v>98.663420420522201</v>
      </c>
      <c r="AL3047">
        <v>76.645242568668294</v>
      </c>
      <c r="AM3047">
        <v>86.398712224454897</v>
      </c>
      <c r="AN3047">
        <v>1.00000001484537</v>
      </c>
    </row>
    <row r="3048" spans="1:40" x14ac:dyDescent="0.25">
      <c r="A3048" t="str">
        <f>"20190303171037132"</f>
        <v>20190303171037132</v>
      </c>
      <c r="B3048" t="str">
        <f>"1551604237123633"</f>
        <v>1551604237123633</v>
      </c>
      <c r="C3048" t="s">
        <v>40</v>
      </c>
      <c r="D3048">
        <v>4.3889670000000001</v>
      </c>
      <c r="E3048">
        <v>0.45589459999999998</v>
      </c>
      <c r="F3048" t="s">
        <v>49</v>
      </c>
      <c r="G3048">
        <v>-166.81440000000001</v>
      </c>
      <c r="H3048">
        <v>4.1454339999999998</v>
      </c>
      <c r="I3048">
        <v>221.6901</v>
      </c>
      <c r="J3048">
        <v>-264.73540000000003</v>
      </c>
      <c r="K3048">
        <v>1.1211230000000001</v>
      </c>
      <c r="L3048">
        <v>214.7972</v>
      </c>
      <c r="M3048">
        <v>0.99989539999999999</v>
      </c>
      <c r="N3048">
        <v>-1.427486E-2</v>
      </c>
      <c r="O3048">
        <v>2.3709289999999999E-3</v>
      </c>
      <c r="P3048">
        <v>0.97418970000000005</v>
      </c>
      <c r="Q3048">
        <v>0.21750220000000001</v>
      </c>
      <c r="R3048">
        <v>-6.0396270000000002E-2</v>
      </c>
      <c r="S3048">
        <v>3.070862</v>
      </c>
      <c r="T3048">
        <v>9.4550850000000006E-2</v>
      </c>
      <c r="U3048">
        <v>0.21551509999999999</v>
      </c>
      <c r="V3048">
        <v>6.2711169999999997E-2</v>
      </c>
      <c r="W3048">
        <v>0.2313829</v>
      </c>
      <c r="X3048">
        <v>0.97083940000000002</v>
      </c>
      <c r="Y3048">
        <v>-6.7628259999999996E-2</v>
      </c>
      <c r="Z3048">
        <v>-4.4954640000000002E-4</v>
      </c>
      <c r="AA3048">
        <v>0.99771049999999994</v>
      </c>
      <c r="AB3048">
        <v>41</v>
      </c>
      <c r="AC3048">
        <v>97.921000000000006</v>
      </c>
      <c r="AD3048">
        <v>3.024311</v>
      </c>
      <c r="AE3048">
        <v>6.8928999999999903</v>
      </c>
      <c r="AF3048">
        <v>-6.6543769612206702</v>
      </c>
      <c r="AG3048">
        <v>3.024311</v>
      </c>
      <c r="AH3048">
        <v>97.844195928812894</v>
      </c>
      <c r="AI3048">
        <v>88.233659884438197</v>
      </c>
      <c r="AJ3048">
        <v>93.8906907584132</v>
      </c>
      <c r="AK3048">
        <v>98.116837834913298</v>
      </c>
      <c r="AL3048">
        <v>76.621496643187598</v>
      </c>
      <c r="AM3048">
        <v>86.304125609883599</v>
      </c>
      <c r="AN3048">
        <v>0.99999993892376704</v>
      </c>
    </row>
    <row r="3049" spans="1:40" x14ac:dyDescent="0.25">
      <c r="A3049" t="str">
        <f>"20190303171037149"</f>
        <v>20190303171037149</v>
      </c>
      <c r="B3049" t="str">
        <f>"1551604237144128"</f>
        <v>1551604237144128</v>
      </c>
      <c r="C3049" t="s">
        <v>40</v>
      </c>
      <c r="D3049">
        <v>4.4834870000000002</v>
      </c>
      <c r="E3049">
        <v>0.45529730000000002</v>
      </c>
      <c r="F3049" t="s">
        <v>49</v>
      </c>
      <c r="G3049">
        <v>-166.245</v>
      </c>
      <c r="H3049">
        <v>4.4551759999999998</v>
      </c>
      <c r="I3049">
        <v>221.6901</v>
      </c>
      <c r="J3049">
        <v>-264.42469999999997</v>
      </c>
      <c r="K3049">
        <v>1.121119</v>
      </c>
      <c r="L3049">
        <v>214.7979</v>
      </c>
      <c r="M3049">
        <v>0.99989550000000005</v>
      </c>
      <c r="N3049">
        <v>-1.427191E-2</v>
      </c>
      <c r="O3049">
        <v>2.3799049999999999E-3</v>
      </c>
      <c r="P3049">
        <v>0.97414199999999995</v>
      </c>
      <c r="Q3049">
        <v>0.217478</v>
      </c>
      <c r="R3049">
        <v>-6.1244720000000002E-2</v>
      </c>
      <c r="S3049">
        <v>3.0696110000000001</v>
      </c>
      <c r="T3049">
        <v>0.1039127</v>
      </c>
      <c r="U3049">
        <v>0.21482850000000001</v>
      </c>
      <c r="V3049">
        <v>6.3567879999999993E-2</v>
      </c>
      <c r="W3049">
        <v>0.23135549999999999</v>
      </c>
      <c r="X3049">
        <v>0.97079029999999999</v>
      </c>
      <c r="Y3049">
        <v>-6.7420880000000002E-2</v>
      </c>
      <c r="Z3049">
        <v>-5.4329140000000003E-4</v>
      </c>
      <c r="AA3049">
        <v>0.99772450000000001</v>
      </c>
      <c r="AB3049">
        <v>40</v>
      </c>
      <c r="AC3049">
        <v>98.179699999999897</v>
      </c>
      <c r="AD3049">
        <v>3.334057</v>
      </c>
      <c r="AE3049">
        <v>6.8921999999999999</v>
      </c>
      <c r="AF3049">
        <v>-6.6508662281908597</v>
      </c>
      <c r="AG3049">
        <v>3.334057</v>
      </c>
      <c r="AH3049">
        <v>98.083271910397102</v>
      </c>
      <c r="AI3049">
        <v>88.0576023811998</v>
      </c>
      <c r="AJ3049">
        <v>93.8791948800109</v>
      </c>
      <c r="AK3049">
        <v>98.365025218892896</v>
      </c>
      <c r="AL3049">
        <v>76.623111501688498</v>
      </c>
      <c r="AM3049">
        <v>86.253589397726302</v>
      </c>
      <c r="AN3049">
        <v>1.0000000246610099</v>
      </c>
    </row>
    <row r="3050" spans="1:40" x14ac:dyDescent="0.25">
      <c r="A3050" t="str">
        <f>"20190303171037162"</f>
        <v>20190303171037162</v>
      </c>
      <c r="B3050" t="str">
        <f>"1551604237153887"</f>
        <v>1551604237153887</v>
      </c>
      <c r="C3050" t="s">
        <v>40</v>
      </c>
      <c r="D3050">
        <v>4.4832179999999999</v>
      </c>
      <c r="E3050">
        <v>0.45505220000000002</v>
      </c>
      <c r="F3050" t="s">
        <v>49</v>
      </c>
      <c r="G3050">
        <v>-167.25360000000001</v>
      </c>
      <c r="H3050">
        <v>4.2034279999999997</v>
      </c>
      <c r="I3050">
        <v>221.6901</v>
      </c>
      <c r="J3050">
        <v>-264.17349999999999</v>
      </c>
      <c r="K3050">
        <v>1.12112099999999</v>
      </c>
      <c r="L3050">
        <v>214.79849999999999</v>
      </c>
      <c r="M3050">
        <v>0.99989539999999999</v>
      </c>
      <c r="N3050">
        <v>-1.4267409999999999E-2</v>
      </c>
      <c r="O3050">
        <v>2.3872199999999998E-3</v>
      </c>
      <c r="P3050">
        <v>0.97402979999999995</v>
      </c>
      <c r="Q3050">
        <v>0.21778310000000001</v>
      </c>
      <c r="R3050">
        <v>-6.1943680000000001E-2</v>
      </c>
      <c r="S3050">
        <v>3.071625</v>
      </c>
      <c r="T3050">
        <v>9.7434999999999994E-2</v>
      </c>
      <c r="U3050">
        <v>0.217865</v>
      </c>
      <c r="V3050">
        <v>6.4272990000000002E-2</v>
      </c>
      <c r="W3050">
        <v>0.23165469999999999</v>
      </c>
      <c r="X3050">
        <v>0.97067250000000005</v>
      </c>
      <c r="Y3050">
        <v>-6.8352590000000005E-2</v>
      </c>
      <c r="Z3050">
        <v>-4.845483E-4</v>
      </c>
      <c r="AA3050">
        <v>0.99766109999999997</v>
      </c>
      <c r="AB3050">
        <v>40</v>
      </c>
      <c r="AC3050">
        <v>96.919899999999899</v>
      </c>
      <c r="AD3050">
        <v>3.0823070000000001</v>
      </c>
      <c r="AE3050">
        <v>6.8916000000000102</v>
      </c>
      <c r="AF3050">
        <v>-6.6534921569799801</v>
      </c>
      <c r="AG3050">
        <v>3.0823070000000001</v>
      </c>
      <c r="AH3050">
        <v>96.838626690554605</v>
      </c>
      <c r="AI3050">
        <v>88.181215145220193</v>
      </c>
      <c r="AJ3050">
        <v>93.930444509370403</v>
      </c>
      <c r="AK3050">
        <v>97.115854491621704</v>
      </c>
      <c r="AL3050">
        <v>76.605489687452902</v>
      </c>
      <c r="AM3050">
        <v>86.211695288031095</v>
      </c>
      <c r="AN3050">
        <v>1.0000000097659401</v>
      </c>
    </row>
    <row r="3051" spans="1:40" x14ac:dyDescent="0.25">
      <c r="A3051" t="str">
        <f>"20190303171037177"</f>
        <v>20190303171037177</v>
      </c>
      <c r="B3051" t="str">
        <f>"1551604237163647"</f>
        <v>1551604237163647</v>
      </c>
      <c r="C3051" t="s">
        <v>40</v>
      </c>
      <c r="D3051">
        <v>4.4002860000000004</v>
      </c>
      <c r="E3051">
        <v>0.45484530000000001</v>
      </c>
      <c r="F3051" t="s">
        <v>49</v>
      </c>
      <c r="G3051">
        <v>-167.09289999999999</v>
      </c>
      <c r="H3051">
        <v>4.1370139999999997</v>
      </c>
      <c r="I3051">
        <v>221.6901</v>
      </c>
      <c r="J3051">
        <v>-263.9298</v>
      </c>
      <c r="K3051">
        <v>1.1211150000000001</v>
      </c>
      <c r="L3051">
        <v>214.79910000000001</v>
      </c>
      <c r="M3051">
        <v>0.99989550000000005</v>
      </c>
      <c r="N3051">
        <v>-1.4261100000000001E-2</v>
      </c>
      <c r="O3051">
        <v>2.3938330000000002E-3</v>
      </c>
      <c r="P3051">
        <v>0.97378929999999997</v>
      </c>
      <c r="Q3051">
        <v>0.21833379999999999</v>
      </c>
      <c r="R3051">
        <v>-6.3757670000000002E-2</v>
      </c>
      <c r="S3051">
        <v>3.072479</v>
      </c>
      <c r="T3051">
        <v>9.5450999999999994E-2</v>
      </c>
      <c r="U3051">
        <v>0.2181091</v>
      </c>
      <c r="V3051">
        <v>6.6092629999999999E-2</v>
      </c>
      <c r="W3051">
        <v>0.2321955</v>
      </c>
      <c r="X3051">
        <v>0.97042099999999998</v>
      </c>
      <c r="Y3051">
        <v>-6.8406270000000005E-2</v>
      </c>
      <c r="Z3051">
        <v>-4.6416300000000002E-4</v>
      </c>
      <c r="AA3051">
        <v>0.99765740000000003</v>
      </c>
      <c r="AB3051">
        <v>40</v>
      </c>
      <c r="AC3051">
        <v>96.8369</v>
      </c>
      <c r="AD3051">
        <v>3.0158990000000001</v>
      </c>
      <c r="AE3051">
        <v>6.8909999999999902</v>
      </c>
      <c r="AF3051">
        <v>-6.6527249867441496</v>
      </c>
      <c r="AG3051">
        <v>3.0158990000000001</v>
      </c>
      <c r="AH3051">
        <v>96.759740280905206</v>
      </c>
      <c r="AI3051">
        <v>88.2189311047986</v>
      </c>
      <c r="AJ3051">
        <v>93.933186733341998</v>
      </c>
      <c r="AK3051">
        <v>97.035054159595703</v>
      </c>
      <c r="AL3051">
        <v>76.573634788967496</v>
      </c>
      <c r="AM3051">
        <v>86.103763397631894</v>
      </c>
      <c r="AN3051">
        <v>0.99999995160078203</v>
      </c>
    </row>
    <row r="3052" spans="1:40" x14ac:dyDescent="0.25">
      <c r="A3052" t="str">
        <f>"20190303171037196"</f>
        <v>20190303171037196</v>
      </c>
      <c r="B3052" t="str">
        <f>"1551604237184143"</f>
        <v>1551604237184143</v>
      </c>
      <c r="C3052" t="s">
        <v>40</v>
      </c>
      <c r="D3052">
        <v>4.5647979999999997</v>
      </c>
      <c r="E3052">
        <v>0.45455709999999999</v>
      </c>
      <c r="F3052" t="s">
        <v>49</v>
      </c>
      <c r="G3052">
        <v>-157.25</v>
      </c>
      <c r="H3052">
        <v>4.8471729999999997</v>
      </c>
      <c r="I3052">
        <v>222.2285</v>
      </c>
      <c r="J3052">
        <v>-263.56990000000002</v>
      </c>
      <c r="K3052">
        <v>1.121113</v>
      </c>
      <c r="L3052">
        <v>214.79990000000001</v>
      </c>
      <c r="M3052">
        <v>0.99989550000000005</v>
      </c>
      <c r="N3052">
        <v>-1.4249029999999999E-2</v>
      </c>
      <c r="O3052">
        <v>2.403826E-3</v>
      </c>
      <c r="P3052">
        <v>0.97375659999999997</v>
      </c>
      <c r="Q3052">
        <v>0.21821080000000001</v>
      </c>
      <c r="R3052">
        <v>-6.4666699999999994E-2</v>
      </c>
      <c r="S3052">
        <v>3.0707089999999999</v>
      </c>
      <c r="T3052">
        <v>0.1072538</v>
      </c>
      <c r="U3052">
        <v>0.21385190000000001</v>
      </c>
      <c r="V3052">
        <v>6.7011130000000002E-2</v>
      </c>
      <c r="W3052">
        <v>0.23206009999999999</v>
      </c>
      <c r="X3052">
        <v>0.97039039999999999</v>
      </c>
      <c r="Y3052">
        <v>-6.7054639999999999E-2</v>
      </c>
      <c r="Z3052">
        <v>-5.7282090000000002E-4</v>
      </c>
      <c r="AA3052">
        <v>0.99774910000000006</v>
      </c>
      <c r="AB3052">
        <v>40</v>
      </c>
      <c r="AC3052">
        <v>106.3199</v>
      </c>
      <c r="AD3052">
        <v>3.7260599999999999</v>
      </c>
      <c r="AE3052">
        <v>7.4285999999999799</v>
      </c>
      <c r="AF3052">
        <v>-7.1642216417811797</v>
      </c>
      <c r="AG3052">
        <v>3.7260599999999999</v>
      </c>
      <c r="AH3052">
        <v>106.207640685779</v>
      </c>
      <c r="AI3052">
        <v>87.995280448062601</v>
      </c>
      <c r="AJ3052">
        <v>93.859032859115203</v>
      </c>
      <c r="AK3052">
        <v>106.514189359426</v>
      </c>
      <c r="AL3052">
        <v>76.581610538130803</v>
      </c>
      <c r="AM3052">
        <v>86.049662846787001</v>
      </c>
      <c r="AN3052">
        <v>0.99999995498402205</v>
      </c>
    </row>
    <row r="3053" spans="1:40" x14ac:dyDescent="0.25">
      <c r="A3053" t="str">
        <f>"20190303171037211"</f>
        <v>20190303171037211</v>
      </c>
      <c r="B3053" t="str">
        <f>"1551604237203663"</f>
        <v>1551604237203663</v>
      </c>
      <c r="C3053" t="s">
        <v>40</v>
      </c>
      <c r="D3053">
        <v>4.4902340000000001</v>
      </c>
      <c r="E3053">
        <v>0.45526100000000003</v>
      </c>
      <c r="F3053" t="s">
        <v>49</v>
      </c>
      <c r="G3053">
        <v>-157.25</v>
      </c>
      <c r="H3053">
        <v>5.0096860000000003</v>
      </c>
      <c r="I3053">
        <v>222.18899999999999</v>
      </c>
      <c r="J3053">
        <v>-263.29930000000002</v>
      </c>
      <c r="K3053">
        <v>1.1211139999999999</v>
      </c>
      <c r="L3053">
        <v>214.8006</v>
      </c>
      <c r="M3053">
        <v>0.9998958</v>
      </c>
      <c r="N3053">
        <v>-1.42401E-2</v>
      </c>
      <c r="O3053">
        <v>2.4111699999999998E-3</v>
      </c>
      <c r="P3053">
        <v>0.97364890000000004</v>
      </c>
      <c r="Q3053">
        <v>0.21807869999999999</v>
      </c>
      <c r="R3053">
        <v>-6.6709729999999995E-2</v>
      </c>
      <c r="S3053">
        <v>3.0698240000000001</v>
      </c>
      <c r="T3053">
        <v>0.11227819999999999</v>
      </c>
      <c r="U3053">
        <v>0.21334839999999999</v>
      </c>
      <c r="V3053">
        <v>6.9060380000000005E-2</v>
      </c>
      <c r="W3053">
        <v>0.23191819999999999</v>
      </c>
      <c r="X3053">
        <v>0.9702807</v>
      </c>
      <c r="Y3053">
        <v>-6.6901500000000003E-2</v>
      </c>
      <c r="Z3053">
        <v>-6.2220679999999999E-4</v>
      </c>
      <c r="AA3053">
        <v>0.99775939999999996</v>
      </c>
      <c r="AB3053">
        <v>40</v>
      </c>
      <c r="AC3053">
        <v>106.0493</v>
      </c>
      <c r="AD3053">
        <v>3.8885719999999999</v>
      </c>
      <c r="AE3053">
        <v>7.3884000000000096</v>
      </c>
      <c r="AF3053">
        <v>-7.1231188668840204</v>
      </c>
      <c r="AG3053">
        <v>3.8885719999999999</v>
      </c>
      <c r="AH3053">
        <v>105.925078553719</v>
      </c>
      <c r="AI3053">
        <v>87.902315714657206</v>
      </c>
      <c r="AJ3053">
        <v>93.847163676584699</v>
      </c>
      <c r="AK3053">
        <v>106.235502922528</v>
      </c>
      <c r="AL3053">
        <v>76.5899696190274</v>
      </c>
      <c r="AM3053">
        <v>85.928800045077693</v>
      </c>
      <c r="AN3053">
        <v>1.0000000121847299</v>
      </c>
    </row>
    <row r="3054" spans="1:40" x14ac:dyDescent="0.25">
      <c r="A3054" t="str">
        <f>"20190303171037233"</f>
        <v>20190303171037233</v>
      </c>
      <c r="B3054" t="str">
        <f>"1551604237224158"</f>
        <v>1551604237224158</v>
      </c>
      <c r="C3054" t="s">
        <v>40</v>
      </c>
      <c r="D3054">
        <v>4.3883239999999999</v>
      </c>
      <c r="E3054">
        <v>0.50767200000000001</v>
      </c>
      <c r="F3054" t="s">
        <v>49</v>
      </c>
      <c r="G3054">
        <v>-157.8382</v>
      </c>
      <c r="H3054">
        <v>4.8778059999999996</v>
      </c>
      <c r="I3054">
        <v>221.7552</v>
      </c>
      <c r="J3054">
        <v>-262.90989999999999</v>
      </c>
      <c r="K3054">
        <v>1.1211100000000001</v>
      </c>
      <c r="L3054">
        <v>214.8015</v>
      </c>
      <c r="M3054">
        <v>0.99989600000000001</v>
      </c>
      <c r="N3054">
        <v>-1.422411E-2</v>
      </c>
      <c r="O3054">
        <v>2.421725E-3</v>
      </c>
      <c r="P3054">
        <v>0.97364379999999995</v>
      </c>
      <c r="Q3054">
        <v>0.2175773</v>
      </c>
      <c r="R3054">
        <v>-6.8395310000000001E-2</v>
      </c>
      <c r="S3054">
        <v>3.0705260000000001</v>
      </c>
      <c r="T3054">
        <v>0.1093787</v>
      </c>
      <c r="U3054">
        <v>0.2024841</v>
      </c>
      <c r="V3054">
        <v>7.0756139999999995E-2</v>
      </c>
      <c r="W3054">
        <v>0.23140140000000001</v>
      </c>
      <c r="X3054">
        <v>0.97028190000000003</v>
      </c>
      <c r="Y3054">
        <v>-6.3363639999999999E-2</v>
      </c>
      <c r="Z3054">
        <v>-5.5520989999999996E-4</v>
      </c>
      <c r="AA3054">
        <v>0.99799040000000006</v>
      </c>
      <c r="AB3054">
        <v>40</v>
      </c>
      <c r="AC3054">
        <v>105.07170000000001</v>
      </c>
      <c r="AD3054">
        <v>3.7566959999999998</v>
      </c>
      <c r="AE3054">
        <v>6.9536999999999898</v>
      </c>
      <c r="AF3054">
        <v>-6.6906835652314598</v>
      </c>
      <c r="AG3054">
        <v>3.7566959999999998</v>
      </c>
      <c r="AH3054">
        <v>104.95465260310399</v>
      </c>
      <c r="AI3054">
        <v>87.954206909442703</v>
      </c>
      <c r="AJ3054">
        <v>93.647574394979998</v>
      </c>
      <c r="AK3054">
        <v>105.234771413467</v>
      </c>
      <c r="AL3054">
        <v>76.620407966293598</v>
      </c>
      <c r="AM3054">
        <v>85.829186485264302</v>
      </c>
      <c r="AN3054">
        <v>1.00000000236863</v>
      </c>
    </row>
    <row r="3055" spans="1:40" x14ac:dyDescent="0.25">
      <c r="A3055" t="str">
        <f>"20190303171037255"</f>
        <v>20190303171037255</v>
      </c>
      <c r="B3055" t="str">
        <f>"1551604237243679"</f>
        <v>1551604237243679</v>
      </c>
      <c r="C3055" t="s">
        <v>40</v>
      </c>
      <c r="D3055">
        <v>4.3790789999999999</v>
      </c>
      <c r="E3055">
        <v>0.51189180000000001</v>
      </c>
      <c r="F3055" t="s">
        <v>50</v>
      </c>
      <c r="G3055">
        <v>-169.39250000000001</v>
      </c>
      <c r="H3055">
        <v>0.1168747</v>
      </c>
      <c r="I3055">
        <v>208.4562</v>
      </c>
      <c r="J3055">
        <v>-262.50970000000001</v>
      </c>
      <c r="K3055">
        <v>1.1211059999999999</v>
      </c>
      <c r="L3055">
        <v>214.80250000000001</v>
      </c>
      <c r="M3055">
        <v>0.99989629999999996</v>
      </c>
      <c r="N3055">
        <v>-1.41961E-2</v>
      </c>
      <c r="O3055">
        <v>2.4328969999999998E-3</v>
      </c>
      <c r="P3055">
        <v>0.97361830000000005</v>
      </c>
      <c r="Q3055">
        <v>0.2171439</v>
      </c>
      <c r="R3055">
        <v>-7.0117879999999994E-2</v>
      </c>
      <c r="S3055">
        <v>3.073944</v>
      </c>
      <c r="T3055">
        <v>-3.3008339999999997E-2</v>
      </c>
      <c r="U3055">
        <v>-0.20857239999999999</v>
      </c>
      <c r="V3055">
        <v>7.2489219999999993E-2</v>
      </c>
      <c r="W3055">
        <v>0.2309407</v>
      </c>
      <c r="X3055">
        <v>0.97026369999999895</v>
      </c>
      <c r="Y3055">
        <v>7.0114049999999997E-2</v>
      </c>
      <c r="Z3055">
        <v>-8.6590089999999897E-4</v>
      </c>
      <c r="AA3055">
        <v>0.99753860000000005</v>
      </c>
      <c r="AB3055">
        <v>40</v>
      </c>
      <c r="AC3055">
        <v>93.117199999999997</v>
      </c>
      <c r="AD3055">
        <v>-1.0042312999999901</v>
      </c>
      <c r="AE3055">
        <v>-6.34630000000001</v>
      </c>
      <c r="AF3055">
        <v>6.5720877463904799</v>
      </c>
      <c r="AG3055">
        <v>-1.0042312999999901</v>
      </c>
      <c r="AH3055">
        <v>93.090705827039898</v>
      </c>
      <c r="AI3055">
        <v>90.616529251416495</v>
      </c>
      <c r="AJ3055">
        <v>85.961689747640307</v>
      </c>
      <c r="AK3055">
        <v>93.3278111241587</v>
      </c>
      <c r="AL3055">
        <v>76.647538597654005</v>
      </c>
      <c r="AM3055">
        <v>85.727321769846199</v>
      </c>
      <c r="AN3055">
        <v>0.99999997073519298</v>
      </c>
    </row>
    <row r="3056" spans="1:40" x14ac:dyDescent="0.25">
      <c r="A3056" t="str">
        <f>"20190303171037277"</f>
        <v>20190303171037277</v>
      </c>
      <c r="B3056" t="str">
        <f>"1551604237264175"</f>
        <v>1551604237264175</v>
      </c>
      <c r="C3056" t="s">
        <v>40</v>
      </c>
      <c r="D3056">
        <v>4.3256839999999999</v>
      </c>
      <c r="E3056">
        <v>0.51528819999999997</v>
      </c>
      <c r="F3056" t="s">
        <v>52</v>
      </c>
      <c r="G3056">
        <v>-179.95779999999999</v>
      </c>
      <c r="H3056">
        <v>3.6669300000000002E-2</v>
      </c>
      <c r="I3056">
        <v>208.16839999999999</v>
      </c>
      <c r="J3056">
        <v>-262.11579999999998</v>
      </c>
      <c r="K3056">
        <v>1.1210979999999999</v>
      </c>
      <c r="L3056">
        <v>214.80350000000001</v>
      </c>
      <c r="M3056">
        <v>0.99989680000000003</v>
      </c>
      <c r="N3056">
        <v>-1.415654E-2</v>
      </c>
      <c r="O3056">
        <v>2.4434349999999999E-3</v>
      </c>
      <c r="P3056">
        <v>0.97363069999999896</v>
      </c>
      <c r="Q3056">
        <v>0.2168341</v>
      </c>
      <c r="R3056">
        <v>-7.0898489999999995E-2</v>
      </c>
      <c r="S3056">
        <v>3.0725099999999999</v>
      </c>
      <c r="T3056">
        <v>-4.0361760000000003E-2</v>
      </c>
      <c r="U3056">
        <v>-0.24691769999999999</v>
      </c>
      <c r="V3056">
        <v>7.3279860000000002E-2</v>
      </c>
      <c r="W3056">
        <v>0.2305923</v>
      </c>
      <c r="X3056">
        <v>0.97028720000000002</v>
      </c>
      <c r="Y3056">
        <v>8.252611E-2</v>
      </c>
      <c r="Z3056">
        <v>-1.1238260000000001E-3</v>
      </c>
      <c r="AA3056">
        <v>0.99658829999999998</v>
      </c>
      <c r="AB3056">
        <v>40</v>
      </c>
      <c r="AC3056">
        <v>82.157999999999902</v>
      </c>
      <c r="AD3056">
        <v>-1.0844286999999999</v>
      </c>
      <c r="AE3056">
        <v>-6.63510000000002</v>
      </c>
      <c r="AF3056">
        <v>6.8346650104795597</v>
      </c>
      <c r="AG3056">
        <v>-1.0844286999999999</v>
      </c>
      <c r="AH3056">
        <v>82.127324986977698</v>
      </c>
      <c r="AI3056">
        <v>90.753897314426197</v>
      </c>
      <c r="AJ3056">
        <v>85.242786998563005</v>
      </c>
      <c r="AK3056">
        <v>82.418360460079001</v>
      </c>
      <c r="AL3056">
        <v>76.668054559073994</v>
      </c>
      <c r="AM3056">
        <v>85.680999274422206</v>
      </c>
      <c r="AN3056">
        <v>0.99999999859237398</v>
      </c>
    </row>
    <row r="3057" spans="1:40" x14ac:dyDescent="0.25">
      <c r="A3057" t="str">
        <f>"20190303171037300"</f>
        <v>20190303171037300</v>
      </c>
      <c r="B3057" t="str">
        <f>"1551604237293455"</f>
        <v>1551604237293455</v>
      </c>
      <c r="C3057" t="s">
        <v>40</v>
      </c>
      <c r="D3057">
        <v>4.3927389999999997</v>
      </c>
      <c r="E3057">
        <v>0.5179996</v>
      </c>
      <c r="F3057" t="s">
        <v>52</v>
      </c>
      <c r="G3057">
        <v>-182.8783</v>
      </c>
      <c r="H3057" s="1">
        <v>3.795849E-6</v>
      </c>
      <c r="I3057">
        <v>207.67939999999999</v>
      </c>
      <c r="J3057">
        <v>-261.70269999999999</v>
      </c>
      <c r="K3057">
        <v>1.121089</v>
      </c>
      <c r="L3057">
        <v>214.80449999999999</v>
      </c>
      <c r="M3057">
        <v>0.99989740000000005</v>
      </c>
      <c r="N3057">
        <v>-1.411346E-2</v>
      </c>
      <c r="O3057">
        <v>2.4545359999999998E-3</v>
      </c>
      <c r="P3057">
        <v>0.97362950000000004</v>
      </c>
      <c r="Q3057">
        <v>0.21643390000000001</v>
      </c>
      <c r="R3057">
        <v>-7.2127230000000001E-2</v>
      </c>
      <c r="S3057">
        <v>3.0708310000000001</v>
      </c>
      <c r="T3057">
        <v>-4.3447729999999997E-2</v>
      </c>
      <c r="U3057">
        <v>-0.27609250000000002</v>
      </c>
      <c r="V3057">
        <v>7.4519189999999999E-2</v>
      </c>
      <c r="W3057">
        <v>0.23015060000000001</v>
      </c>
      <c r="X3057">
        <v>0.97029770000000004</v>
      </c>
      <c r="Y3057">
        <v>9.1973200000000005E-2</v>
      </c>
      <c r="Z3057">
        <v>-1.299819E-3</v>
      </c>
      <c r="AA3057">
        <v>0.9957606</v>
      </c>
      <c r="AB3057">
        <v>40</v>
      </c>
      <c r="AC3057">
        <v>78.824399999999997</v>
      </c>
      <c r="AD3057">
        <v>-1.121085204151</v>
      </c>
      <c r="AE3057">
        <v>-7.1250999999999998</v>
      </c>
      <c r="AF3057">
        <v>7.3171070106529097</v>
      </c>
      <c r="AG3057">
        <v>-1.121085204151</v>
      </c>
      <c r="AH3057">
        <v>78.790863192455205</v>
      </c>
      <c r="AI3057">
        <v>90.811692648261499</v>
      </c>
      <c r="AJ3057">
        <v>84.694304553495499</v>
      </c>
      <c r="AK3057">
        <v>79.137835512809602</v>
      </c>
      <c r="AL3057">
        <v>76.694061879339699</v>
      </c>
      <c r="AM3057">
        <v>85.608285843197393</v>
      </c>
      <c r="AN3057">
        <v>1.0000000174919501</v>
      </c>
    </row>
    <row r="3058" spans="1:40" x14ac:dyDescent="0.25">
      <c r="A3058" t="str">
        <f>"20190303171037316"</f>
        <v>20190303171037316</v>
      </c>
      <c r="B3058" t="str">
        <f>"1551604237304191"</f>
        <v>1551604237304191</v>
      </c>
      <c r="C3058" t="s">
        <v>40</v>
      </c>
      <c r="D3058">
        <v>4.5956710000000003</v>
      </c>
      <c r="E3058">
        <v>0.51849230000000002</v>
      </c>
      <c r="F3058" t="s">
        <v>52</v>
      </c>
      <c r="G3058">
        <v>-186.12309999999999</v>
      </c>
      <c r="H3058" s="1">
        <v>4.5181580000000003E-6</v>
      </c>
      <c r="I3058">
        <v>207.38390000000001</v>
      </c>
      <c r="J3058">
        <v>-261.40480000000002</v>
      </c>
      <c r="K3058">
        <v>1.121086</v>
      </c>
      <c r="L3058">
        <v>214.80520000000001</v>
      </c>
      <c r="M3058">
        <v>0.99989779999999995</v>
      </c>
      <c r="N3058">
        <v>-1.408394E-2</v>
      </c>
      <c r="O3058">
        <v>2.4624960000000002E-3</v>
      </c>
      <c r="P3058">
        <v>0.97362059999999995</v>
      </c>
      <c r="Q3058">
        <v>0.2163273</v>
      </c>
      <c r="R3058">
        <v>-7.2564749999999997E-2</v>
      </c>
      <c r="S3058">
        <v>3.0690919999999999</v>
      </c>
      <c r="T3058">
        <v>-4.552436E-2</v>
      </c>
      <c r="U3058">
        <v>-0.301330599999999</v>
      </c>
      <c r="V3058">
        <v>7.4964450000000002E-2</v>
      </c>
      <c r="W3058">
        <v>0.2300151</v>
      </c>
      <c r="X3058">
        <v>0.97029549999999998</v>
      </c>
      <c r="Y3058">
        <v>0.1001418</v>
      </c>
      <c r="Z3058">
        <v>-1.449725E-3</v>
      </c>
      <c r="AA3058">
        <v>0.99497210000000003</v>
      </c>
      <c r="AB3058">
        <v>40</v>
      </c>
      <c r="AC3058">
        <v>75.281700000000001</v>
      </c>
      <c r="AD3058">
        <v>-1.1210814818420001</v>
      </c>
      <c r="AE3058">
        <v>-7.4212999999999996</v>
      </c>
      <c r="AF3058">
        <v>7.6050064634111498</v>
      </c>
      <c r="AG3058">
        <v>-1.1210814818420001</v>
      </c>
      <c r="AH3058">
        <v>75.246668403104906</v>
      </c>
      <c r="AI3058">
        <v>90.849246747995196</v>
      </c>
      <c r="AJ3058">
        <v>84.228845211874102</v>
      </c>
      <c r="AK3058">
        <v>75.638310747691094</v>
      </c>
      <c r="AL3058">
        <v>76.702039063889799</v>
      </c>
      <c r="AM3058">
        <v>85.582138489404102</v>
      </c>
      <c r="AN3058">
        <v>0.99999998615603103</v>
      </c>
    </row>
    <row r="3059" spans="1:40" x14ac:dyDescent="0.25">
      <c r="A3059" t="str">
        <f>"20190303171037330"</f>
        <v>20190303171037330</v>
      </c>
      <c r="B3059" t="str">
        <f>"1551604237323712"</f>
        <v>1551604237323712</v>
      </c>
      <c r="C3059" t="s">
        <v>40</v>
      </c>
      <c r="D3059">
        <v>4.3550950000000004</v>
      </c>
      <c r="E3059">
        <v>0.51909399999999895</v>
      </c>
      <c r="F3059" t="s">
        <v>52</v>
      </c>
      <c r="G3059">
        <v>-185.1104</v>
      </c>
      <c r="H3059" s="1">
        <v>4.4101579999999998E-6</v>
      </c>
      <c r="I3059">
        <v>207.18129999999999</v>
      </c>
      <c r="J3059">
        <v>-261.15120000000002</v>
      </c>
      <c r="K3059">
        <v>1.1210819999999999</v>
      </c>
      <c r="L3059">
        <v>214.80590000000001</v>
      </c>
      <c r="M3059">
        <v>0.99989830000000002</v>
      </c>
      <c r="N3059">
        <v>-1.405733E-2</v>
      </c>
      <c r="O3059">
        <v>2.469597E-3</v>
      </c>
      <c r="P3059">
        <v>0.97356969999999998</v>
      </c>
      <c r="Q3059">
        <v>0.21635309999999999</v>
      </c>
      <c r="R3059">
        <v>-7.3170070000000004E-2</v>
      </c>
      <c r="S3059">
        <v>3.068451</v>
      </c>
      <c r="T3059">
        <v>-4.5088290000000003E-2</v>
      </c>
      <c r="U3059">
        <v>-0.30662539999999999</v>
      </c>
      <c r="V3059">
        <v>7.5576439999999995E-2</v>
      </c>
      <c r="W3059">
        <v>0.2300141</v>
      </c>
      <c r="X3059">
        <v>0.97024829999999995</v>
      </c>
      <c r="Y3059">
        <v>0.1018691</v>
      </c>
      <c r="Z3059">
        <v>-1.466001E-3</v>
      </c>
      <c r="AA3059">
        <v>0.99479680000000004</v>
      </c>
      <c r="AB3059">
        <v>40</v>
      </c>
      <c r="AC3059">
        <v>76.040800000000004</v>
      </c>
      <c r="AD3059">
        <v>-1.121077589842</v>
      </c>
      <c r="AE3059">
        <v>-7.6246000000000098</v>
      </c>
      <c r="AF3059">
        <v>7.8107045742173202</v>
      </c>
      <c r="AG3059">
        <v>-1.121077589842</v>
      </c>
      <c r="AH3059">
        <v>76.005380500855296</v>
      </c>
      <c r="AI3059">
        <v>90.840623652256497</v>
      </c>
      <c r="AJ3059">
        <v>84.132587207362207</v>
      </c>
      <c r="AK3059">
        <v>76.4138847722581</v>
      </c>
      <c r="AL3059">
        <v>76.702098451651096</v>
      </c>
      <c r="AM3059">
        <v>85.546000966596793</v>
      </c>
      <c r="AN3059">
        <v>1.0000000240673801</v>
      </c>
    </row>
    <row r="3060" spans="1:40" x14ac:dyDescent="0.25">
      <c r="A3060" t="str">
        <f>"20190303171037344"</f>
        <v>20190303171037344</v>
      </c>
      <c r="B3060" t="str">
        <f>"1551604237333471"</f>
        <v>1551604237333471</v>
      </c>
      <c r="C3060" t="s">
        <v>40</v>
      </c>
      <c r="D3060">
        <v>4.3678990000000004</v>
      </c>
      <c r="E3060">
        <v>0.51927299999999998</v>
      </c>
      <c r="F3060" t="s">
        <v>52</v>
      </c>
      <c r="G3060">
        <v>-181.60069999999999</v>
      </c>
      <c r="H3060" s="1">
        <v>3.7772489999999999E-6</v>
      </c>
      <c r="I3060">
        <v>206.6799</v>
      </c>
      <c r="J3060">
        <v>-260.91520000000003</v>
      </c>
      <c r="K3060">
        <v>1.121078</v>
      </c>
      <c r="L3060">
        <v>214.8065</v>
      </c>
      <c r="M3060">
        <v>0.99989859999999997</v>
      </c>
      <c r="N3060">
        <v>-1.403075E-2</v>
      </c>
      <c r="O3060">
        <v>2.4761610000000002E-3</v>
      </c>
      <c r="P3060">
        <v>0.9735376</v>
      </c>
      <c r="Q3060">
        <v>0.2162665</v>
      </c>
      <c r="R3060">
        <v>-7.3848750000000005E-2</v>
      </c>
      <c r="S3060">
        <v>3.0674739999999998</v>
      </c>
      <c r="T3060">
        <v>-4.3228860000000001E-2</v>
      </c>
      <c r="U3060">
        <v>-0.31333919999999998</v>
      </c>
      <c r="V3060">
        <v>7.6261640000000006E-2</v>
      </c>
      <c r="W3060">
        <v>0.22990140000000001</v>
      </c>
      <c r="X3060">
        <v>0.97022140000000001</v>
      </c>
      <c r="Y3060">
        <v>0.1040629</v>
      </c>
      <c r="Z3060">
        <v>-1.4635169999999999E-3</v>
      </c>
      <c r="AA3060">
        <v>0.9945697</v>
      </c>
      <c r="AB3060">
        <v>40</v>
      </c>
      <c r="AC3060">
        <v>79.314499999999995</v>
      </c>
      <c r="AD3060">
        <v>-1.121074222751</v>
      </c>
      <c r="AE3060">
        <v>-8.1265999999999892</v>
      </c>
      <c r="AF3060">
        <v>8.3213446565790203</v>
      </c>
      <c r="AG3060">
        <v>-1.121074222751</v>
      </c>
      <c r="AH3060">
        <v>79.278457927379407</v>
      </c>
      <c r="AI3060">
        <v>90.805738050647804</v>
      </c>
      <c r="AJ3060">
        <v>84.007975379498703</v>
      </c>
      <c r="AK3060">
        <v>79.721863222391903</v>
      </c>
      <c r="AL3060">
        <v>76.708733557545003</v>
      </c>
      <c r="AM3060">
        <v>85.505660195801099</v>
      </c>
      <c r="AN3060">
        <v>1.0000000282377</v>
      </c>
    </row>
    <row r="3061" spans="1:40" x14ac:dyDescent="0.25">
      <c r="A3061" t="str">
        <f>"20190303171037366"</f>
        <v>20190303171037366</v>
      </c>
      <c r="B3061" t="str">
        <f>"1551604237353967"</f>
        <v>1551604237353967</v>
      </c>
      <c r="C3061" t="s">
        <v>40</v>
      </c>
      <c r="D3061">
        <v>4.3891159999999996</v>
      </c>
      <c r="E3061">
        <v>0.51948139999999998</v>
      </c>
      <c r="F3061" t="s">
        <v>52</v>
      </c>
      <c r="G3061">
        <v>-180.68719999999999</v>
      </c>
      <c r="H3061" s="1">
        <v>3.6188699999999998E-6</v>
      </c>
      <c r="I3061">
        <v>206.51310000000001</v>
      </c>
      <c r="J3061">
        <v>-260.51330000000002</v>
      </c>
      <c r="K3061">
        <v>1.1210709999999999</v>
      </c>
      <c r="L3061">
        <v>214.8075</v>
      </c>
      <c r="M3061">
        <v>0.99989930000000005</v>
      </c>
      <c r="N3061">
        <v>-1.398049E-2</v>
      </c>
      <c r="O3061">
        <v>2.4873019999999998E-3</v>
      </c>
      <c r="P3061">
        <v>0.97351220000000005</v>
      </c>
      <c r="Q3061">
        <v>0.2162019</v>
      </c>
      <c r="R3061">
        <v>-7.4371190000000004E-2</v>
      </c>
      <c r="S3061">
        <v>3.0670169999999999</v>
      </c>
      <c r="T3061">
        <v>-4.2857289999999999E-2</v>
      </c>
      <c r="U3061">
        <v>-0.31704710000000003</v>
      </c>
      <c r="V3061">
        <v>7.6794799999999996E-2</v>
      </c>
      <c r="W3061">
        <v>0.22978770000000001</v>
      </c>
      <c r="X3061">
        <v>0.97020629999999997</v>
      </c>
      <c r="Y3061">
        <v>0.10527880000000001</v>
      </c>
      <c r="Z3061">
        <v>-1.4715419999999999E-3</v>
      </c>
      <c r="AA3061">
        <v>0.99444169999999998</v>
      </c>
      <c r="AB3061">
        <v>40</v>
      </c>
      <c r="AC3061">
        <v>79.826099999999997</v>
      </c>
      <c r="AD3061">
        <v>-1.12106738112999</v>
      </c>
      <c r="AE3061">
        <v>-8.2943999999999907</v>
      </c>
      <c r="AF3061">
        <v>8.4912884863634606</v>
      </c>
      <c r="AG3061">
        <v>-1.12106738112999</v>
      </c>
      <c r="AH3061">
        <v>79.789651482905299</v>
      </c>
      <c r="AI3061">
        <v>90.800449734198196</v>
      </c>
      <c r="AJ3061">
        <v>83.925393791455903</v>
      </c>
      <c r="AK3061">
        <v>80.248035838861398</v>
      </c>
      <c r="AL3061">
        <v>76.715427543221196</v>
      </c>
      <c r="AM3061">
        <v>85.474299322561194</v>
      </c>
      <c r="AN3061">
        <v>1.000000046469</v>
      </c>
    </row>
    <row r="3062" spans="1:40" x14ac:dyDescent="0.25">
      <c r="A3062" t="str">
        <f>"20190303171037384"</f>
        <v>20190303171037384</v>
      </c>
      <c r="B3062" t="str">
        <f>"1551604237373487"</f>
        <v>1551604237373487</v>
      </c>
      <c r="C3062" t="s">
        <v>40</v>
      </c>
      <c r="D3062">
        <v>4.5442070000000001</v>
      </c>
      <c r="E3062">
        <v>0.52015199999999995</v>
      </c>
      <c r="F3062" t="s">
        <v>52</v>
      </c>
      <c r="G3062">
        <v>-179.95779999999999</v>
      </c>
      <c r="H3062">
        <v>2.2827469999999999E-2</v>
      </c>
      <c r="I3062">
        <v>206.38839999999999</v>
      </c>
      <c r="J3062">
        <v>-260.19740000000002</v>
      </c>
      <c r="K3062">
        <v>1.1210659999999999</v>
      </c>
      <c r="L3062">
        <v>214.8083</v>
      </c>
      <c r="M3062">
        <v>0.99989989999999995</v>
      </c>
      <c r="N3062">
        <v>-1.39366E-2</v>
      </c>
      <c r="O3062">
        <v>2.4958369999999999E-3</v>
      </c>
      <c r="P3062">
        <v>0.97355480000000005</v>
      </c>
      <c r="Q3062">
        <v>0.21596989999999999</v>
      </c>
      <c r="R3062">
        <v>-7.4487020000000001E-2</v>
      </c>
      <c r="S3062">
        <v>3.0664370000000001</v>
      </c>
      <c r="T3062">
        <v>-4.180586E-2</v>
      </c>
      <c r="U3062">
        <v>-0.3204803</v>
      </c>
      <c r="V3062">
        <v>7.6918970000000003E-2</v>
      </c>
      <c r="W3062">
        <v>0.22951340000000001</v>
      </c>
      <c r="X3062">
        <v>0.97026129999999999</v>
      </c>
      <c r="Y3062">
        <v>0.1064085</v>
      </c>
      <c r="Z3062">
        <v>-1.4661989999999901E-3</v>
      </c>
      <c r="AA3062">
        <v>0.99432140000000002</v>
      </c>
      <c r="AB3062">
        <v>40</v>
      </c>
      <c r="AC3062">
        <v>80.239599999999996</v>
      </c>
      <c r="AD3062">
        <v>-1.0982385299999999</v>
      </c>
      <c r="AE3062">
        <v>-8.4199000000000108</v>
      </c>
      <c r="AF3062">
        <v>8.6185611952225401</v>
      </c>
      <c r="AG3062">
        <v>-1.0982385299999999</v>
      </c>
      <c r="AH3062">
        <v>80.203472129662202</v>
      </c>
      <c r="AI3062">
        <v>90.780020817725202</v>
      </c>
      <c r="AJ3062">
        <v>83.866605709017506</v>
      </c>
      <c r="AK3062">
        <v>80.672688480043007</v>
      </c>
      <c r="AL3062">
        <v>76.731574179969698</v>
      </c>
      <c r="AM3062">
        <v>85.467268046164094</v>
      </c>
      <c r="AN3062">
        <v>0.99999995950155396</v>
      </c>
    </row>
    <row r="3063" spans="1:40" x14ac:dyDescent="0.25">
      <c r="A3063" t="str">
        <f>"20190303171037398"</f>
        <v>20190303171037398</v>
      </c>
      <c r="B3063" t="str">
        <f>"1551604237393983"</f>
        <v>1551604237393983</v>
      </c>
      <c r="C3063" t="s">
        <v>40</v>
      </c>
      <c r="D3063">
        <v>4.3694280000000001</v>
      </c>
      <c r="E3063">
        <v>0.52045779999999997</v>
      </c>
      <c r="F3063" t="s">
        <v>52</v>
      </c>
      <c r="G3063">
        <v>-181.089</v>
      </c>
      <c r="H3063" s="1">
        <v>3.740084E-6</v>
      </c>
      <c r="I3063">
        <v>206.39179999999999</v>
      </c>
      <c r="J3063">
        <v>-259.9409</v>
      </c>
      <c r="K3063">
        <v>1.1210580000000001</v>
      </c>
      <c r="L3063">
        <v>214.80889999999999</v>
      </c>
      <c r="M3063">
        <v>0.99990040000000002</v>
      </c>
      <c r="N3063">
        <v>-1.389784E-2</v>
      </c>
      <c r="O3063">
        <v>2.5026649999999998E-3</v>
      </c>
      <c r="P3063">
        <v>0.97354560000000001</v>
      </c>
      <c r="Q3063">
        <v>0.21591769999999999</v>
      </c>
      <c r="R3063">
        <v>-7.4758950000000005E-2</v>
      </c>
      <c r="S3063">
        <v>3.0661930000000002</v>
      </c>
      <c r="T3063">
        <v>-4.3451669999999998E-2</v>
      </c>
      <c r="U3063">
        <v>-0.3262177</v>
      </c>
      <c r="V3063">
        <v>7.7197500000000002E-2</v>
      </c>
      <c r="W3063">
        <v>0.22942380000000001</v>
      </c>
      <c r="X3063">
        <v>0.97026040000000002</v>
      </c>
      <c r="Y3063">
        <v>0.10826180000000001</v>
      </c>
      <c r="Z3063">
        <v>-1.520116E-3</v>
      </c>
      <c r="AA3063">
        <v>0.99412129999999999</v>
      </c>
      <c r="AB3063">
        <v>40</v>
      </c>
      <c r="AC3063">
        <v>78.851899999999901</v>
      </c>
      <c r="AD3063">
        <v>-1.1210542599159901</v>
      </c>
      <c r="AE3063">
        <v>-8.4170999999999996</v>
      </c>
      <c r="AF3063">
        <v>8.6127112977012299</v>
      </c>
      <c r="AG3063">
        <v>-1.1210542599159901</v>
      </c>
      <c r="AH3063">
        <v>78.8148345054</v>
      </c>
      <c r="AI3063">
        <v>90.810092524402506</v>
      </c>
      <c r="AJ3063">
        <v>83.763589329499894</v>
      </c>
      <c r="AK3063">
        <v>79.291952281835094</v>
      </c>
      <c r="AL3063">
        <v>76.736849022159802</v>
      </c>
      <c r="AM3063">
        <v>85.450919211410095</v>
      </c>
      <c r="AN3063">
        <v>0.99999998891042496</v>
      </c>
    </row>
    <row r="3064" spans="1:40" x14ac:dyDescent="0.25">
      <c r="A3064" t="str">
        <f>"20190303171037413"</f>
        <v>20190303171037413</v>
      </c>
      <c r="B3064" t="str">
        <f>"1551604237403743"</f>
        <v>1551604237403743</v>
      </c>
      <c r="C3064" t="s">
        <v>40</v>
      </c>
      <c r="D3064">
        <v>4.3826609999999997</v>
      </c>
      <c r="E3064">
        <v>0.52059549999999999</v>
      </c>
      <c r="F3064" t="s">
        <v>52</v>
      </c>
      <c r="G3064">
        <v>-185.0008</v>
      </c>
      <c r="H3064" s="1">
        <v>4.510407E-6</v>
      </c>
      <c r="I3064">
        <v>206.75819999999999</v>
      </c>
      <c r="J3064">
        <v>-259.6617</v>
      </c>
      <c r="K3064">
        <v>1.121049</v>
      </c>
      <c r="L3064">
        <v>214.80959999999999</v>
      </c>
      <c r="M3064">
        <v>0.99990100000000004</v>
      </c>
      <c r="N3064">
        <v>-1.384702E-2</v>
      </c>
      <c r="O3064">
        <v>2.5104720000000001E-3</v>
      </c>
      <c r="P3064">
        <v>0.97366569999999997</v>
      </c>
      <c r="Q3064">
        <v>0.2152087</v>
      </c>
      <c r="R3064">
        <v>-7.5237319999999996E-2</v>
      </c>
      <c r="S3064">
        <v>3.0664370000000001</v>
      </c>
      <c r="T3064">
        <v>-4.5871849999999999E-2</v>
      </c>
      <c r="U3064">
        <v>-0.32942199999999999</v>
      </c>
      <c r="V3064">
        <v>7.7683520000000006E-2</v>
      </c>
      <c r="W3064">
        <v>0.22866719999999999</v>
      </c>
      <c r="X3064">
        <v>0.97040020000000005</v>
      </c>
      <c r="Y3064">
        <v>0.1092863</v>
      </c>
      <c r="Z3064">
        <v>-1.5767509999999999E-3</v>
      </c>
      <c r="AA3064">
        <v>0.99400909999999998</v>
      </c>
      <c r="AB3064">
        <v>40</v>
      </c>
      <c r="AC3064">
        <v>74.660899999999998</v>
      </c>
      <c r="AD3064">
        <v>-1.1210444895930001</v>
      </c>
      <c r="AE3064">
        <v>-8.0513999999999992</v>
      </c>
      <c r="AF3064">
        <v>8.2369909692908507</v>
      </c>
      <c r="AG3064">
        <v>-1.1210444895930001</v>
      </c>
      <c r="AH3064">
        <v>74.623819046197696</v>
      </c>
      <c r="AI3064">
        <v>90.855472488607901</v>
      </c>
      <c r="AJ3064">
        <v>83.701179814571304</v>
      </c>
      <c r="AK3064">
        <v>75.085412231774399</v>
      </c>
      <c r="AL3064">
        <v>76.781382831316904</v>
      </c>
      <c r="AM3064">
        <v>85.423057117266097</v>
      </c>
      <c r="AN3064">
        <v>0.99999998289773495</v>
      </c>
    </row>
    <row r="3065" spans="1:40" x14ac:dyDescent="0.25">
      <c r="A3065" t="str">
        <f>"20190303171037434"</f>
        <v>20190303171037434</v>
      </c>
      <c r="B3065" t="str">
        <f>"1551604237424239"</f>
        <v>1551604237424239</v>
      </c>
      <c r="C3065" t="s">
        <v>40</v>
      </c>
      <c r="D3065">
        <v>4.4971360000000002</v>
      </c>
      <c r="E3065">
        <v>0.52066829999999997</v>
      </c>
      <c r="F3065" t="s">
        <v>52</v>
      </c>
      <c r="G3065">
        <v>-189.87799999999999</v>
      </c>
      <c r="H3065" s="1">
        <v>5.2346590000000004E-6</v>
      </c>
      <c r="I3065">
        <v>207.24119999999999</v>
      </c>
      <c r="J3065">
        <v>-259.29899999999998</v>
      </c>
      <c r="K3065">
        <v>1.1210389999999999</v>
      </c>
      <c r="L3065">
        <v>214.81059999999999</v>
      </c>
      <c r="M3065">
        <v>0.99990219999999996</v>
      </c>
      <c r="N3065">
        <v>-1.376923E-2</v>
      </c>
      <c r="O3065">
        <v>2.5197219999999998E-3</v>
      </c>
      <c r="P3065">
        <v>0.97370460000000003</v>
      </c>
      <c r="Q3065">
        <v>0.21473010000000001</v>
      </c>
      <c r="R3065">
        <v>-7.6097289999999998E-2</v>
      </c>
      <c r="S3065">
        <v>3.066376</v>
      </c>
      <c r="T3065">
        <v>-4.9259900000000002E-2</v>
      </c>
      <c r="U3065">
        <v>-0.33256529999999901</v>
      </c>
      <c r="V3065">
        <v>7.8552410000000003E-2</v>
      </c>
      <c r="W3065">
        <v>0.22811339999999999</v>
      </c>
      <c r="X3065">
        <v>0.97046060000000001</v>
      </c>
      <c r="Y3065">
        <v>0.11030189999999999</v>
      </c>
      <c r="Z3065">
        <v>-1.6508250000000001E-3</v>
      </c>
      <c r="AA3065">
        <v>0.99389680000000002</v>
      </c>
      <c r="AB3065">
        <v>40</v>
      </c>
      <c r="AC3065">
        <v>69.421000000000006</v>
      </c>
      <c r="AD3065">
        <v>-1.1210337653410001</v>
      </c>
      <c r="AE3065">
        <v>-7.5693999999999999</v>
      </c>
      <c r="AF3065">
        <v>7.7423189066499596</v>
      </c>
      <c r="AG3065">
        <v>-1.1210337653410001</v>
      </c>
      <c r="AH3065">
        <v>69.383824434477702</v>
      </c>
      <c r="AI3065">
        <v>90.919938154114206</v>
      </c>
      <c r="AJ3065">
        <v>83.632887101086993</v>
      </c>
      <c r="AK3065">
        <v>69.823458177819703</v>
      </c>
      <c r="AL3065">
        <v>76.813974746970104</v>
      </c>
      <c r="AM3065">
        <v>85.372371954554595</v>
      </c>
      <c r="AN3065">
        <v>0.99999999026436404</v>
      </c>
    </row>
    <row r="3066" spans="1:40" x14ac:dyDescent="0.25">
      <c r="A3066" t="str">
        <f>"20190303171037456"</f>
        <v>20190303171037456</v>
      </c>
      <c r="B3066" t="str">
        <f>"1551604237443759"</f>
        <v>1551604237443759</v>
      </c>
      <c r="C3066" t="s">
        <v>40</v>
      </c>
      <c r="D3066">
        <v>4.3475039999999998</v>
      </c>
      <c r="E3066">
        <v>0.52083000000000002</v>
      </c>
      <c r="F3066" t="s">
        <v>52</v>
      </c>
      <c r="G3066">
        <v>-192.63</v>
      </c>
      <c r="H3066" s="1">
        <v>4.5667989999999998E-6</v>
      </c>
      <c r="I3066">
        <v>207.49440000000001</v>
      </c>
      <c r="J3066">
        <v>-258.90879999999999</v>
      </c>
      <c r="K3066">
        <v>1.1210169999999999</v>
      </c>
      <c r="L3066">
        <v>214.8116</v>
      </c>
      <c r="M3066">
        <v>0.9999034</v>
      </c>
      <c r="N3066">
        <v>-1.3668960000000001E-2</v>
      </c>
      <c r="O3066">
        <v>2.5300219999999998E-3</v>
      </c>
      <c r="P3066">
        <v>0.97370270000000003</v>
      </c>
      <c r="Q3066">
        <v>0.21462229999999999</v>
      </c>
      <c r="R3066">
        <v>-7.6424300000000001E-2</v>
      </c>
      <c r="S3066">
        <v>3.0661010000000002</v>
      </c>
      <c r="T3066">
        <v>-5.1556230000000002E-2</v>
      </c>
      <c r="U3066">
        <v>-0.33647159999999998</v>
      </c>
      <c r="V3066">
        <v>7.8889000000000001E-2</v>
      </c>
      <c r="W3066">
        <v>0.22790869999999999</v>
      </c>
      <c r="X3066">
        <v>0.97048140000000005</v>
      </c>
      <c r="Y3066">
        <v>0.1115708</v>
      </c>
      <c r="Z3066">
        <v>-1.708031E-3</v>
      </c>
      <c r="AA3066">
        <v>0.99375500000000005</v>
      </c>
      <c r="AB3066">
        <v>40</v>
      </c>
      <c r="AC3066">
        <v>66.278799999999904</v>
      </c>
      <c r="AD3066">
        <v>-1.1210124332010001</v>
      </c>
      <c r="AE3066">
        <v>-7.3171999999999802</v>
      </c>
      <c r="AF3066">
        <v>7.4827642473374896</v>
      </c>
      <c r="AG3066">
        <v>-1.1210124332010001</v>
      </c>
      <c r="AH3066">
        <v>66.241351977779402</v>
      </c>
      <c r="AI3066">
        <v>90.963406510319203</v>
      </c>
      <c r="AJ3066">
        <v>83.555067411568501</v>
      </c>
      <c r="AK3066">
        <v>66.672071675482599</v>
      </c>
      <c r="AL3066">
        <v>76.826020610228895</v>
      </c>
      <c r="AM3066">
        <v>85.352728827888001</v>
      </c>
      <c r="AN3066">
        <v>0.99999999880132495</v>
      </c>
    </row>
    <row r="3067" spans="1:40" x14ac:dyDescent="0.25">
      <c r="A3067" t="str">
        <f>"20190303171037473"</f>
        <v>20190303171037473</v>
      </c>
      <c r="B3067" t="str">
        <f>"1551604237464255"</f>
        <v>1551604237464255</v>
      </c>
      <c r="C3067" t="s">
        <v>40</v>
      </c>
      <c r="D3067">
        <v>4.4949709999999996</v>
      </c>
      <c r="E3067">
        <v>0.52114559999999999</v>
      </c>
      <c r="F3067" t="s">
        <v>52</v>
      </c>
      <c r="G3067">
        <v>-195.1876</v>
      </c>
      <c r="H3067" s="1">
        <v>3.9713359999999997E-6</v>
      </c>
      <c r="I3067">
        <v>207.76660000000001</v>
      </c>
      <c r="J3067">
        <v>-258.60180000000003</v>
      </c>
      <c r="K3067">
        <v>1.1210039999999999</v>
      </c>
      <c r="L3067">
        <v>214.8124</v>
      </c>
      <c r="M3067">
        <v>0.99990469999999998</v>
      </c>
      <c r="N3067">
        <v>-1.3582729999999999E-2</v>
      </c>
      <c r="O3067">
        <v>2.5385360000000001E-3</v>
      </c>
      <c r="P3067">
        <v>0.97374039999999995</v>
      </c>
      <c r="Q3067">
        <v>0.2145435</v>
      </c>
      <c r="R3067">
        <v>-7.6166490000000003E-2</v>
      </c>
      <c r="S3067">
        <v>3.0662690000000001</v>
      </c>
      <c r="T3067">
        <v>-5.3943280000000003E-2</v>
      </c>
      <c r="U3067">
        <v>-0.33900449999999999</v>
      </c>
      <c r="V3067">
        <v>7.8639420000000002E-2</v>
      </c>
      <c r="W3067">
        <v>0.22774659999999999</v>
      </c>
      <c r="X3067">
        <v>0.97053970000000001</v>
      </c>
      <c r="Y3067">
        <v>0.1123822</v>
      </c>
      <c r="Z3067">
        <v>-1.7612939999999901E-3</v>
      </c>
      <c r="AA3067">
        <v>0.99366350000000003</v>
      </c>
      <c r="AB3067">
        <v>40</v>
      </c>
      <c r="AC3067">
        <v>63.414200000000001</v>
      </c>
      <c r="AD3067">
        <v>-1.1210000286640001</v>
      </c>
      <c r="AE3067">
        <v>-7.0457999999999803</v>
      </c>
      <c r="AF3067">
        <v>7.2045474412394297</v>
      </c>
      <c r="AG3067">
        <v>-1.1210000286640001</v>
      </c>
      <c r="AH3067">
        <v>63.376544845414202</v>
      </c>
      <c r="AI3067">
        <v>91.006854738654795</v>
      </c>
      <c r="AJ3067">
        <v>83.514545638185496</v>
      </c>
      <c r="AK3067">
        <v>63.794581129122001</v>
      </c>
      <c r="AL3067">
        <v>76.835558996316195</v>
      </c>
      <c r="AM3067">
        <v>85.367644307398393</v>
      </c>
      <c r="AN3067">
        <v>0.999999990732793</v>
      </c>
    </row>
    <row r="3068" spans="1:40" x14ac:dyDescent="0.25">
      <c r="A3068" t="str">
        <f>"20190303171037486"</f>
        <v>20190303171037486</v>
      </c>
      <c r="B3068" t="str">
        <f>"1551604237474015"</f>
        <v>1551604237474015</v>
      </c>
      <c r="C3068" t="s">
        <v>40</v>
      </c>
      <c r="D3068">
        <v>4.3710469999999999</v>
      </c>
      <c r="E3068">
        <v>0.52128989999999997</v>
      </c>
      <c r="F3068" t="s">
        <v>52</v>
      </c>
      <c r="G3068">
        <v>-195.24420000000001</v>
      </c>
      <c r="H3068" s="1">
        <v>3.9616929999999997E-6</v>
      </c>
      <c r="I3068">
        <v>207.76509999999999</v>
      </c>
      <c r="J3068">
        <v>-258.3596</v>
      </c>
      <c r="K3068">
        <v>1.1209929999999999</v>
      </c>
      <c r="L3068">
        <v>214.81299999999999</v>
      </c>
      <c r="M3068">
        <v>0.9999055</v>
      </c>
      <c r="N3068">
        <v>-1.351392E-2</v>
      </c>
      <c r="O3068">
        <v>2.5460890000000001E-3</v>
      </c>
      <c r="P3068">
        <v>0.97384820000000005</v>
      </c>
      <c r="Q3068">
        <v>0.21416679999999999</v>
      </c>
      <c r="R3068">
        <v>-7.5842969999999996E-2</v>
      </c>
      <c r="S3068">
        <v>3.0661770000000002</v>
      </c>
      <c r="T3068">
        <v>-5.4250479999999997E-2</v>
      </c>
      <c r="U3068">
        <v>-0.3410492</v>
      </c>
      <c r="V3068">
        <v>7.8323859999999995E-2</v>
      </c>
      <c r="W3068">
        <v>0.2273046</v>
      </c>
      <c r="X3068">
        <v>0.97066889999999995</v>
      </c>
      <c r="Y3068">
        <v>0.1130471</v>
      </c>
      <c r="Z3068">
        <v>-1.7738789999999999E-3</v>
      </c>
      <c r="AA3068">
        <v>0.99358800000000003</v>
      </c>
      <c r="AB3068">
        <v>40</v>
      </c>
      <c r="AC3068">
        <v>63.115400000000001</v>
      </c>
      <c r="AD3068">
        <v>-1.120989038307</v>
      </c>
      <c r="AE3068">
        <v>-7.0478999999999896</v>
      </c>
      <c r="AF3068">
        <v>7.2063439915195202</v>
      </c>
      <c r="AG3068">
        <v>-1.120989038307</v>
      </c>
      <c r="AH3068">
        <v>63.077596332351803</v>
      </c>
      <c r="AI3068">
        <v>91.011551156008295</v>
      </c>
      <c r="AJ3068">
        <v>83.482461489194804</v>
      </c>
      <c r="AK3068">
        <v>63.497804444053301</v>
      </c>
      <c r="AL3068">
        <v>76.861566773589502</v>
      </c>
      <c r="AM3068">
        <v>85.386763828980094</v>
      </c>
      <c r="AN3068">
        <v>1.00000006082683</v>
      </c>
    </row>
    <row r="3069" spans="1:40" x14ac:dyDescent="0.25">
      <c r="A3069" t="str">
        <f>"20190303171037501"</f>
        <v>20190303171037501</v>
      </c>
      <c r="B3069" t="str">
        <f>"1551604237493535"</f>
        <v>1551604237493535</v>
      </c>
      <c r="C3069" t="s">
        <v>40</v>
      </c>
      <c r="D3069">
        <v>4.5964019999999897</v>
      </c>
      <c r="E3069">
        <v>0.52122219999999997</v>
      </c>
      <c r="F3069" t="s">
        <v>52</v>
      </c>
      <c r="G3069">
        <v>-200.9915</v>
      </c>
      <c r="H3069">
        <v>8.0001130000000004E-2</v>
      </c>
      <c r="I3069">
        <v>208.4238</v>
      </c>
      <c r="J3069">
        <v>-258.09269999999998</v>
      </c>
      <c r="K3069">
        <v>1.1209800000000001</v>
      </c>
      <c r="L3069">
        <v>214.81370000000001</v>
      </c>
      <c r="M3069">
        <v>0.99990639999999997</v>
      </c>
      <c r="N3069">
        <v>-1.343894E-2</v>
      </c>
      <c r="O3069">
        <v>2.5545139999999999E-3</v>
      </c>
      <c r="P3069">
        <v>0.97389420000000004</v>
      </c>
      <c r="Q3069">
        <v>0.21411649999999999</v>
      </c>
      <c r="R3069">
        <v>-7.5391849999999996E-2</v>
      </c>
      <c r="S3069">
        <v>3.066208</v>
      </c>
      <c r="T3069">
        <v>-5.563891E-2</v>
      </c>
      <c r="U3069">
        <v>-0.34149170000000001</v>
      </c>
      <c r="V3069">
        <v>7.7881530000000004E-2</v>
      </c>
      <c r="W3069">
        <v>0.227182</v>
      </c>
      <c r="X3069">
        <v>0.97073310000000002</v>
      </c>
      <c r="Y3069">
        <v>0.1131948</v>
      </c>
      <c r="Z3069">
        <v>-1.798839E-3</v>
      </c>
      <c r="AA3069">
        <v>0.99357119999999999</v>
      </c>
      <c r="AB3069">
        <v>40</v>
      </c>
      <c r="AC3069">
        <v>57.101199999999899</v>
      </c>
      <c r="AD3069">
        <v>-1.04097886999999</v>
      </c>
      <c r="AE3069">
        <v>-6.3899000000000097</v>
      </c>
      <c r="AF3069">
        <v>6.5336135615526798</v>
      </c>
      <c r="AG3069">
        <v>-1.04097886999999</v>
      </c>
      <c r="AH3069">
        <v>57.065957889689201</v>
      </c>
      <c r="AI3069">
        <v>91.038273849796795</v>
      </c>
      <c r="AJ3069">
        <v>83.468513853119703</v>
      </c>
      <c r="AK3069">
        <v>57.448196603960298</v>
      </c>
      <c r="AL3069">
        <v>76.868778767880102</v>
      </c>
      <c r="AM3069">
        <v>85.413007426679499</v>
      </c>
      <c r="AN3069">
        <v>0.99999997263737495</v>
      </c>
    </row>
    <row r="3070" spans="1:40" x14ac:dyDescent="0.25">
      <c r="A3070" t="str">
        <f>"20190303171037519"</f>
        <v>20190303171037519</v>
      </c>
      <c r="B3070" t="str">
        <f>"1551604237514031"</f>
        <v>1551604237514031</v>
      </c>
      <c r="C3070" t="s">
        <v>40</v>
      </c>
      <c r="D3070">
        <v>4.3025779999999996</v>
      </c>
      <c r="E3070">
        <v>0.52120440000000001</v>
      </c>
      <c r="F3070" t="s">
        <v>52</v>
      </c>
      <c r="G3070">
        <v>-195.4546</v>
      </c>
      <c r="H3070" s="1">
        <v>3.898132E-6</v>
      </c>
      <c r="I3070">
        <v>207.86420000000001</v>
      </c>
      <c r="J3070">
        <v>-257.77839999999998</v>
      </c>
      <c r="K3070">
        <v>1.12097</v>
      </c>
      <c r="L3070">
        <v>214.81450000000001</v>
      </c>
      <c r="M3070">
        <v>0.99990760000000001</v>
      </c>
      <c r="N3070">
        <v>-1.335396E-2</v>
      </c>
      <c r="O3070">
        <v>2.5646689999999999E-3</v>
      </c>
      <c r="P3070">
        <v>0.97389760000000003</v>
      </c>
      <c r="Q3070">
        <v>0.2142752</v>
      </c>
      <c r="R3070">
        <v>-7.4900030000000006E-2</v>
      </c>
      <c r="S3070">
        <v>3.066147</v>
      </c>
      <c r="T3070">
        <v>-5.4872039999999997E-2</v>
      </c>
      <c r="U3070">
        <v>-0.34017940000000002</v>
      </c>
      <c r="V3070">
        <v>7.7399670000000004E-2</v>
      </c>
      <c r="W3070">
        <v>0.22725860000000001</v>
      </c>
      <c r="X3070">
        <v>0.97075370000000005</v>
      </c>
      <c r="Y3070">
        <v>0.1127879</v>
      </c>
      <c r="Z3070">
        <v>-1.7731999999999999E-3</v>
      </c>
      <c r="AA3070">
        <v>0.99361750000000004</v>
      </c>
      <c r="AB3070">
        <v>40</v>
      </c>
      <c r="AC3070">
        <v>62.323799999999899</v>
      </c>
      <c r="AD3070">
        <v>-1.1209661018679999</v>
      </c>
      <c r="AE3070">
        <v>-6.9502999999999897</v>
      </c>
      <c r="AF3070">
        <v>7.1078601382456297</v>
      </c>
      <c r="AG3070">
        <v>-1.1209661018679999</v>
      </c>
      <c r="AH3070">
        <v>62.285866091700498</v>
      </c>
      <c r="AI3070">
        <v>91.024400427287802</v>
      </c>
      <c r="AJ3070">
        <v>83.489754983928904</v>
      </c>
      <c r="AK3070">
        <v>62.700138401279901</v>
      </c>
      <c r="AL3070">
        <v>76.864271902864004</v>
      </c>
      <c r="AM3070">
        <v>85.441363898609595</v>
      </c>
      <c r="AN3070">
        <v>0.999999963126878</v>
      </c>
    </row>
    <row r="3071" spans="1:40" x14ac:dyDescent="0.25">
      <c r="A3071" t="str">
        <f>"20190303171037533"</f>
        <v>20190303171037533</v>
      </c>
      <c r="B3071" t="str">
        <f>"1551604237523791"</f>
        <v>1551604237523791</v>
      </c>
      <c r="C3071" t="s">
        <v>40</v>
      </c>
      <c r="D3071">
        <v>4.3800980000000003</v>
      </c>
      <c r="E3071">
        <v>0.52119970000000004</v>
      </c>
      <c r="F3071" t="s">
        <v>52</v>
      </c>
      <c r="G3071">
        <v>-192.8766</v>
      </c>
      <c r="H3071" s="1">
        <v>4.4603990000000003E-6</v>
      </c>
      <c r="I3071">
        <v>207.64070000000001</v>
      </c>
      <c r="J3071">
        <v>-257.51220000000001</v>
      </c>
      <c r="K3071">
        <v>1.1209629999999999</v>
      </c>
      <c r="L3071">
        <v>214.8152</v>
      </c>
      <c r="M3071">
        <v>0.99990840000000003</v>
      </c>
      <c r="N3071">
        <v>-1.3286279999999999E-2</v>
      </c>
      <c r="O3071">
        <v>2.5735189999999998E-3</v>
      </c>
      <c r="P3071">
        <v>0.97389320000000001</v>
      </c>
      <c r="Q3071">
        <v>0.21457899999999999</v>
      </c>
      <c r="R3071">
        <v>-7.4081729999999998E-2</v>
      </c>
      <c r="S3071">
        <v>3.0660249999999998</v>
      </c>
      <c r="T3071">
        <v>-5.2955509999999997E-2</v>
      </c>
      <c r="U3071">
        <v>-0.33889770000000002</v>
      </c>
      <c r="V3071">
        <v>7.6590400000000003E-2</v>
      </c>
      <c r="W3071">
        <v>0.22749639999999999</v>
      </c>
      <c r="X3071">
        <v>0.97076229999999997</v>
      </c>
      <c r="Y3071">
        <v>0.11239250000000001</v>
      </c>
      <c r="Z3071">
        <v>-1.72684799999999E-3</v>
      </c>
      <c r="AA3071">
        <v>0.99366239999999995</v>
      </c>
      <c r="AB3071">
        <v>40</v>
      </c>
      <c r="AC3071">
        <v>64.635599999999997</v>
      </c>
      <c r="AD3071">
        <v>-1.120958539601</v>
      </c>
      <c r="AE3071">
        <v>-7.1744999999999903</v>
      </c>
      <c r="AF3071">
        <v>7.3386514821255497</v>
      </c>
      <c r="AG3071">
        <v>-1.120958539601</v>
      </c>
      <c r="AH3071">
        <v>64.597727943748694</v>
      </c>
      <c r="AI3071">
        <v>90.987796073607498</v>
      </c>
      <c r="AJ3071">
        <v>83.518677116274503</v>
      </c>
      <c r="AK3071">
        <v>65.022909878889394</v>
      </c>
      <c r="AL3071">
        <v>76.850281944970604</v>
      </c>
      <c r="AM3071">
        <v>85.488869790927396</v>
      </c>
      <c r="AN3071">
        <v>1.0000000722432001</v>
      </c>
    </row>
    <row r="3072" spans="1:40" x14ac:dyDescent="0.25">
      <c r="A3072" t="str">
        <f>"20190303171037551"</f>
        <v>20190303171037551</v>
      </c>
      <c r="B3072" t="str">
        <f>"1551604237543311"</f>
        <v>1551604237543311</v>
      </c>
      <c r="C3072" t="s">
        <v>40</v>
      </c>
      <c r="D3072">
        <v>4.3724550000000004</v>
      </c>
      <c r="E3072">
        <v>0.52112959999999997</v>
      </c>
      <c r="F3072" t="s">
        <v>52</v>
      </c>
      <c r="G3072">
        <v>-190.51150000000001</v>
      </c>
      <c r="H3072" s="1">
        <v>5.0469239999999997E-6</v>
      </c>
      <c r="I3072">
        <v>207.465</v>
      </c>
      <c r="J3072">
        <v>-257.19200000000001</v>
      </c>
      <c r="K3072">
        <v>1.120959</v>
      </c>
      <c r="L3072">
        <v>214.816</v>
      </c>
      <c r="M3072">
        <v>0.99990959999999995</v>
      </c>
      <c r="N3072">
        <v>-1.320697E-2</v>
      </c>
      <c r="O3072">
        <v>2.5831080000000002E-3</v>
      </c>
      <c r="P3072">
        <v>0.9739312</v>
      </c>
      <c r="Q3072">
        <v>0.21457100000000001</v>
      </c>
      <c r="R3072">
        <v>-7.360498E-2</v>
      </c>
      <c r="S3072">
        <v>3.0661320000000001</v>
      </c>
      <c r="T3072">
        <v>-5.129802E-2</v>
      </c>
      <c r="U3072">
        <v>-0.33636470000000002</v>
      </c>
      <c r="V3072">
        <v>7.6123029999999994E-2</v>
      </c>
      <c r="W3072">
        <v>0.22741140000000001</v>
      </c>
      <c r="X3072">
        <v>0.97081890000000004</v>
      </c>
      <c r="Y3072">
        <v>0.1115889</v>
      </c>
      <c r="Z3072">
        <v>-1.6788910000000001E-3</v>
      </c>
      <c r="AA3072">
        <v>0.993753</v>
      </c>
      <c r="AB3072">
        <v>40</v>
      </c>
      <c r="AC3072">
        <v>66.680499999999995</v>
      </c>
      <c r="AD3072">
        <v>-1.120953953076</v>
      </c>
      <c r="AE3072">
        <v>-7.3509999999999698</v>
      </c>
      <c r="AF3072">
        <v>7.52113342303445</v>
      </c>
      <c r="AG3072">
        <v>-1.120953953076</v>
      </c>
      <c r="AH3072">
        <v>66.642680092239004</v>
      </c>
      <c r="AI3072">
        <v>90.957567084890101</v>
      </c>
      <c r="AJ3072">
        <v>83.560980760034596</v>
      </c>
      <c r="AK3072">
        <v>67.0751130868112</v>
      </c>
      <c r="AL3072">
        <v>76.855282188076899</v>
      </c>
      <c r="AM3072">
        <v>85.516545363331801</v>
      </c>
      <c r="AN3072">
        <v>0.99999999857177502</v>
      </c>
    </row>
    <row r="3073" spans="1:40" x14ac:dyDescent="0.25">
      <c r="A3073" t="str">
        <f>"20190303171037565"</f>
        <v>20190303171037565</v>
      </c>
      <c r="B3073" t="str">
        <f>"1551604237554047"</f>
        <v>1551604237554047</v>
      </c>
      <c r="C3073" t="s">
        <v>40</v>
      </c>
      <c r="D3073">
        <v>4.3740269999999999</v>
      </c>
      <c r="E3073">
        <v>0.52113169999999998</v>
      </c>
      <c r="F3073" t="s">
        <v>52</v>
      </c>
      <c r="G3073">
        <v>-188.6728</v>
      </c>
      <c r="H3073" s="1">
        <v>4.9873870000000002E-6</v>
      </c>
      <c r="I3073">
        <v>207.33590000000001</v>
      </c>
      <c r="J3073">
        <v>-256.93819999999999</v>
      </c>
      <c r="K3073">
        <v>1.1209530000000001</v>
      </c>
      <c r="L3073">
        <v>214.8167</v>
      </c>
      <c r="M3073">
        <v>0.99991019999999997</v>
      </c>
      <c r="N3073">
        <v>-1.314648E-2</v>
      </c>
      <c r="O3073">
        <v>2.590424E-3</v>
      </c>
      <c r="P3073">
        <v>0.97393039999999997</v>
      </c>
      <c r="Q3073">
        <v>0.2147839</v>
      </c>
      <c r="R3073">
        <v>-7.2990719999999995E-2</v>
      </c>
      <c r="S3073">
        <v>3.0660859999999999</v>
      </c>
      <c r="T3073">
        <v>-5.0160290000000003E-2</v>
      </c>
      <c r="U3073">
        <v>-0.33471679999999998</v>
      </c>
      <c r="V3073">
        <v>7.5515780000000005E-2</v>
      </c>
      <c r="W3073">
        <v>0.22756599999999999</v>
      </c>
      <c r="X3073">
        <v>0.97083010000000003</v>
      </c>
      <c r="Y3073">
        <v>0.11107110000000001</v>
      </c>
      <c r="Z3073">
        <v>-1.646471E-3</v>
      </c>
      <c r="AA3073">
        <v>0.99381109999999995</v>
      </c>
      <c r="AB3073">
        <v>40</v>
      </c>
      <c r="AC3073">
        <v>68.2654</v>
      </c>
      <c r="AD3073">
        <v>-1.120948012613</v>
      </c>
      <c r="AE3073">
        <v>-7.4807999999999799</v>
      </c>
      <c r="AF3073">
        <v>7.6555868259798299</v>
      </c>
      <c r="AG3073">
        <v>-1.120948012613</v>
      </c>
      <c r="AH3073">
        <v>68.227612820851405</v>
      </c>
      <c r="AI3073">
        <v>90.935389427201699</v>
      </c>
      <c r="AJ3073">
        <v>83.597815648030306</v>
      </c>
      <c r="AK3073">
        <v>68.664923252917902</v>
      </c>
      <c r="AL3073">
        <v>76.846185780858306</v>
      </c>
      <c r="AM3073">
        <v>85.5522178750645</v>
      </c>
      <c r="AN3073">
        <v>1.0000000002255001</v>
      </c>
    </row>
    <row r="3074" spans="1:40" x14ac:dyDescent="0.25">
      <c r="A3074" t="str">
        <f>"20190303171037580"</f>
        <v>20190303171037580</v>
      </c>
      <c r="B3074" t="str">
        <f>"1551604237573567"</f>
        <v>1551604237573567</v>
      </c>
      <c r="C3074" t="s">
        <v>40</v>
      </c>
      <c r="D3074">
        <v>4.4431620000000001</v>
      </c>
      <c r="E3074">
        <v>0.52112669999999905</v>
      </c>
      <c r="F3074" t="s">
        <v>52</v>
      </c>
      <c r="G3074">
        <v>-186.5831</v>
      </c>
      <c r="H3074" s="1">
        <v>4.6748009999999999E-6</v>
      </c>
      <c r="I3074">
        <v>207.17160000000001</v>
      </c>
      <c r="J3074">
        <v>-256.68759999999997</v>
      </c>
      <c r="K3074">
        <v>1.1209499999999999</v>
      </c>
      <c r="L3074">
        <v>214.81739999999999</v>
      </c>
      <c r="M3074">
        <v>0.99991099999999999</v>
      </c>
      <c r="N3074">
        <v>-1.308894E-2</v>
      </c>
      <c r="O3074">
        <v>2.5975410000000001E-3</v>
      </c>
      <c r="P3074">
        <v>0.97394329999999996</v>
      </c>
      <c r="Q3074">
        <v>0.215004</v>
      </c>
      <c r="R3074">
        <v>-7.2166540000000001E-2</v>
      </c>
      <c r="S3074">
        <v>3.0661010000000002</v>
      </c>
      <c r="T3074">
        <v>-4.8851369999999998E-2</v>
      </c>
      <c r="U3074">
        <v>-0.33317570000000002</v>
      </c>
      <c r="V3074">
        <v>7.4698399999999998E-2</v>
      </c>
      <c r="W3074">
        <v>0.2277304</v>
      </c>
      <c r="X3074">
        <v>0.97085480000000002</v>
      </c>
      <c r="Y3074">
        <v>0.11058510000000001</v>
      </c>
      <c r="Z3074">
        <v>-1.6116450000000001E-3</v>
      </c>
      <c r="AA3074">
        <v>0.99386540000000001</v>
      </c>
      <c r="AB3074">
        <v>40</v>
      </c>
      <c r="AC3074">
        <v>70.104499999999902</v>
      </c>
      <c r="AD3074">
        <v>-1.12094532519899</v>
      </c>
      <c r="AE3074">
        <v>-7.6457999999999799</v>
      </c>
      <c r="AF3074">
        <v>7.8259117896503696</v>
      </c>
      <c r="AG3074">
        <v>-1.12094532519899</v>
      </c>
      <c r="AH3074">
        <v>70.066698208300195</v>
      </c>
      <c r="AI3074">
        <v>90.910891453817797</v>
      </c>
      <c r="AJ3074">
        <v>83.626915879715398</v>
      </c>
      <c r="AK3074">
        <v>70.511301303936307</v>
      </c>
      <c r="AL3074">
        <v>76.836512553566905</v>
      </c>
      <c r="AM3074">
        <v>85.600281935133097</v>
      </c>
      <c r="AN3074">
        <v>1.00000001436488</v>
      </c>
    </row>
    <row r="3075" spans="1:40" x14ac:dyDescent="0.25">
      <c r="A3075" t="str">
        <f>"20190303171037602"</f>
        <v>20190303171037602</v>
      </c>
      <c r="B3075" t="str">
        <f>"1551604237594063"</f>
        <v>1551604237594063</v>
      </c>
      <c r="C3075" t="s">
        <v>40</v>
      </c>
      <c r="D3075">
        <v>4.3758980000000003</v>
      </c>
      <c r="E3075">
        <v>0.52115049999999996</v>
      </c>
      <c r="F3075" t="s">
        <v>52</v>
      </c>
      <c r="G3075">
        <v>-184.05170000000001</v>
      </c>
      <c r="H3075" s="1">
        <v>4.242006E-6</v>
      </c>
      <c r="I3075">
        <v>206.97710000000001</v>
      </c>
      <c r="J3075">
        <v>-256.28609999999998</v>
      </c>
      <c r="K3075">
        <v>1.1209450000000001</v>
      </c>
      <c r="L3075">
        <v>214.8184</v>
      </c>
      <c r="M3075">
        <v>0.99991209999999997</v>
      </c>
      <c r="N3075">
        <v>-1.300453E-2</v>
      </c>
      <c r="O3075">
        <v>2.6084099999999998E-3</v>
      </c>
      <c r="P3075">
        <v>0.97408930000000005</v>
      </c>
      <c r="Q3075">
        <v>0.2146333</v>
      </c>
      <c r="R3075">
        <v>-7.1292999999999995E-2</v>
      </c>
      <c r="S3075">
        <v>3.0661930000000002</v>
      </c>
      <c r="T3075">
        <v>-4.7318699999999998E-2</v>
      </c>
      <c r="U3075">
        <v>-0.33096310000000001</v>
      </c>
      <c r="V3075">
        <v>7.3835860000000003E-2</v>
      </c>
      <c r="W3075">
        <v>0.2272795</v>
      </c>
      <c r="X3075">
        <v>0.97102639999999996</v>
      </c>
      <c r="Y3075">
        <v>0.10988530000000001</v>
      </c>
      <c r="Z3075">
        <v>-1.568386E-3</v>
      </c>
      <c r="AA3075">
        <v>0.99394300000000002</v>
      </c>
      <c r="AB3075">
        <v>40</v>
      </c>
      <c r="AC3075">
        <v>72.234399999999894</v>
      </c>
      <c r="AD3075">
        <v>-1.1209407579940001</v>
      </c>
      <c r="AE3075">
        <v>-7.8412999999999897</v>
      </c>
      <c r="AF3075">
        <v>8.0277955033820501</v>
      </c>
      <c r="AG3075">
        <v>-1.1209407579940001</v>
      </c>
      <c r="AH3075">
        <v>72.196515905741506</v>
      </c>
      <c r="AI3075">
        <v>90.884069142124403</v>
      </c>
      <c r="AJ3075">
        <v>83.655135754961904</v>
      </c>
      <c r="AK3075">
        <v>72.650112992032106</v>
      </c>
      <c r="AL3075">
        <v>76.863042568148103</v>
      </c>
      <c r="AM3075">
        <v>85.6516549129623</v>
      </c>
      <c r="AN3075">
        <v>0.99999998741957397</v>
      </c>
    </row>
    <row r="3076" spans="1:40" x14ac:dyDescent="0.25">
      <c r="A3076" t="str">
        <f>"20190303171037625"</f>
        <v>20190303171037625</v>
      </c>
      <c r="B3076" t="str">
        <f>"1551604237613583"</f>
        <v>1551604237613583</v>
      </c>
      <c r="C3076" t="s">
        <v>40</v>
      </c>
      <c r="D3076">
        <v>4.3596339999999998</v>
      </c>
      <c r="E3076">
        <v>0.5212215</v>
      </c>
      <c r="F3076" t="s">
        <v>52</v>
      </c>
      <c r="G3076">
        <v>-183.6</v>
      </c>
      <c r="H3076" s="1">
        <v>4.1277700000000001E-6</v>
      </c>
      <c r="I3076">
        <v>207.03030000000001</v>
      </c>
      <c r="J3076">
        <v>-255.88130000000001</v>
      </c>
      <c r="K3076">
        <v>1.120941</v>
      </c>
      <c r="L3076">
        <v>214.81950000000001</v>
      </c>
      <c r="M3076">
        <v>0.99991300000000005</v>
      </c>
      <c r="N3076">
        <v>-1.2928520000000001E-2</v>
      </c>
      <c r="O3076">
        <v>2.6196359999999998E-3</v>
      </c>
      <c r="P3076">
        <v>0.97429880000000002</v>
      </c>
      <c r="Q3076">
        <v>0.21399550000000001</v>
      </c>
      <c r="R3076">
        <v>-7.0342020000000005E-2</v>
      </c>
      <c r="S3076">
        <v>3.066208</v>
      </c>
      <c r="T3076">
        <v>-4.728603E-2</v>
      </c>
      <c r="U3076">
        <v>-0.32853700000000002</v>
      </c>
      <c r="V3076">
        <v>7.2896000000000002E-2</v>
      </c>
      <c r="W3076">
        <v>0.22657079999999999</v>
      </c>
      <c r="X3076">
        <v>0.97126299999999999</v>
      </c>
      <c r="Y3076">
        <v>0.1091187</v>
      </c>
      <c r="Z3076">
        <v>-1.552948E-3</v>
      </c>
      <c r="AA3076">
        <v>0.99402749999999995</v>
      </c>
      <c r="AB3076">
        <v>40</v>
      </c>
      <c r="AC3076">
        <v>72.281300000000002</v>
      </c>
      <c r="AD3076">
        <v>-1.1209368722299999</v>
      </c>
      <c r="AE3076">
        <v>-7.7891999999999904</v>
      </c>
      <c r="AF3076">
        <v>7.9766434490840004</v>
      </c>
      <c r="AG3076">
        <v>-1.1209368722299999</v>
      </c>
      <c r="AH3076">
        <v>72.243470449148802</v>
      </c>
      <c r="AI3076">
        <v>90.883567025044499</v>
      </c>
      <c r="AJ3076">
        <v>83.699302602063597</v>
      </c>
      <c r="AK3076">
        <v>72.691143633336694</v>
      </c>
      <c r="AL3076">
        <v>76.904735736321499</v>
      </c>
      <c r="AM3076">
        <v>85.707838838422404</v>
      </c>
      <c r="AN3076">
        <v>0.99999998469881901</v>
      </c>
    </row>
    <row r="3077" spans="1:40" x14ac:dyDescent="0.25">
      <c r="A3077" t="str">
        <f>"20190303171037646"</f>
        <v>20190303171037646</v>
      </c>
      <c r="B3077" t="str">
        <f>"1551604237634081"</f>
        <v>1551604237634081</v>
      </c>
      <c r="C3077" t="s">
        <v>40</v>
      </c>
      <c r="D3077">
        <v>4.2390600000000003</v>
      </c>
      <c r="E3077">
        <v>0.52129820000000004</v>
      </c>
      <c r="F3077" t="s">
        <v>52</v>
      </c>
      <c r="G3077">
        <v>-185.06209999999999</v>
      </c>
      <c r="H3077" s="1">
        <v>4.3676880000000002E-6</v>
      </c>
      <c r="I3077">
        <v>207.27709999999999</v>
      </c>
      <c r="J3077">
        <v>-255.4854</v>
      </c>
      <c r="K3077">
        <v>1.1209309999999999</v>
      </c>
      <c r="L3077">
        <v>214.82050000000001</v>
      </c>
      <c r="M3077">
        <v>0.99991399999999997</v>
      </c>
      <c r="N3077">
        <v>-1.286236E-2</v>
      </c>
      <c r="O3077">
        <v>2.6306739999999999E-3</v>
      </c>
      <c r="P3077">
        <v>0.97448109999999999</v>
      </c>
      <c r="Q3077">
        <v>0.21344160000000001</v>
      </c>
      <c r="R3077">
        <v>-6.9495689999999999E-2</v>
      </c>
      <c r="S3077">
        <v>3.0661930000000002</v>
      </c>
      <c r="T3077">
        <v>-4.853213E-2</v>
      </c>
      <c r="U3077">
        <v>-0.32655329999999999</v>
      </c>
      <c r="V3077">
        <v>7.2060910000000006E-2</v>
      </c>
      <c r="W3077">
        <v>0.2259554</v>
      </c>
      <c r="X3077">
        <v>0.97146869999999996</v>
      </c>
      <c r="Y3077">
        <v>0.1084936</v>
      </c>
      <c r="Z3077">
        <v>-1.5637470000000001E-3</v>
      </c>
      <c r="AA3077">
        <v>0.99409590000000003</v>
      </c>
      <c r="AB3077">
        <v>40</v>
      </c>
      <c r="AC3077">
        <v>70.423299999999998</v>
      </c>
      <c r="AD3077">
        <v>-1.120926632312</v>
      </c>
      <c r="AE3077">
        <v>-7.5434000000000099</v>
      </c>
      <c r="AF3077">
        <v>7.7267145699472204</v>
      </c>
      <c r="AG3077">
        <v>-1.120926632312</v>
      </c>
      <c r="AH3077">
        <v>70.385580477914402</v>
      </c>
      <c r="AI3077">
        <v>90.906940204176706</v>
      </c>
      <c r="AJ3077">
        <v>83.735328674951006</v>
      </c>
      <c r="AK3077">
        <v>70.817289794042694</v>
      </c>
      <c r="AL3077">
        <v>76.940934879399805</v>
      </c>
      <c r="AM3077">
        <v>85.757724002486796</v>
      </c>
      <c r="AN3077">
        <v>1.00000002630943</v>
      </c>
    </row>
    <row r="3078" spans="1:40" x14ac:dyDescent="0.25">
      <c r="A3078" t="str">
        <f>"20190303171037669"</f>
        <v>20190303171037669</v>
      </c>
      <c r="B3078" t="str">
        <f>"1551604237653599"</f>
        <v>1551604237653599</v>
      </c>
      <c r="C3078" t="s">
        <v>40</v>
      </c>
      <c r="D3078">
        <v>4.54739</v>
      </c>
      <c r="E3078">
        <v>0.52133379999999996</v>
      </c>
      <c r="F3078" t="s">
        <v>52</v>
      </c>
      <c r="G3078">
        <v>-186.6866</v>
      </c>
      <c r="H3078" s="1">
        <v>4.5683099999999998E-6</v>
      </c>
      <c r="I3078">
        <v>207.5248</v>
      </c>
      <c r="J3078">
        <v>-255.0977</v>
      </c>
      <c r="K3078">
        <v>1.1209249999999999</v>
      </c>
      <c r="L3078">
        <v>214.82159999999999</v>
      </c>
      <c r="M3078">
        <v>0.99991459999999999</v>
      </c>
      <c r="N3078">
        <v>-1.2804869999999999E-2</v>
      </c>
      <c r="O3078">
        <v>2.6420110000000001E-3</v>
      </c>
      <c r="P3078">
        <v>0.97463509999999998</v>
      </c>
      <c r="Q3078">
        <v>0.21310519999999999</v>
      </c>
      <c r="R3078">
        <v>-6.835608E-2</v>
      </c>
      <c r="S3078">
        <v>3.0662989999999999</v>
      </c>
      <c r="T3078">
        <v>-4.9958710000000003E-2</v>
      </c>
      <c r="U3078">
        <v>-0.32516479999999998</v>
      </c>
      <c r="V3078">
        <v>7.0932910000000002E-2</v>
      </c>
      <c r="W3078">
        <v>0.22556519999999999</v>
      </c>
      <c r="X3078">
        <v>0.97164240000000002</v>
      </c>
      <c r="Y3078">
        <v>0.1080551</v>
      </c>
      <c r="Z3078">
        <v>-1.5807919999999999E-3</v>
      </c>
      <c r="AA3078">
        <v>0.99414369999999996</v>
      </c>
      <c r="AB3078">
        <v>40</v>
      </c>
      <c r="AC3078">
        <v>68.411100000000005</v>
      </c>
      <c r="AD3078">
        <v>-1.1209204316900001</v>
      </c>
      <c r="AE3078">
        <v>-7.2967999999999904</v>
      </c>
      <c r="AF3078">
        <v>7.4755478258212804</v>
      </c>
      <c r="AG3078">
        <v>-1.1209204316900001</v>
      </c>
      <c r="AH3078">
        <v>68.373431632157505</v>
      </c>
      <c r="AI3078">
        <v>90.933665308363999</v>
      </c>
      <c r="AJ3078">
        <v>83.760401180249005</v>
      </c>
      <c r="AK3078">
        <v>68.790016943359205</v>
      </c>
      <c r="AL3078">
        <v>76.963884429103402</v>
      </c>
      <c r="AM3078">
        <v>85.824637273120004</v>
      </c>
      <c r="AN3078">
        <v>1.00000004532493</v>
      </c>
    </row>
    <row r="3079" spans="1:40" x14ac:dyDescent="0.25">
      <c r="A3079" t="str">
        <f>"20190303171037686"</f>
        <v>20190303171037686</v>
      </c>
      <c r="B3079" t="str">
        <f>"1551604237674096"</f>
        <v>1551604237674096</v>
      </c>
      <c r="C3079" t="s">
        <v>40</v>
      </c>
      <c r="D3079">
        <v>4.3494169999999999</v>
      </c>
      <c r="E3079">
        <v>0.50731729999999997</v>
      </c>
      <c r="F3079" t="s">
        <v>52</v>
      </c>
      <c r="G3079">
        <v>-186.9716</v>
      </c>
      <c r="H3079" s="1">
        <v>4.5721270000000003E-6</v>
      </c>
      <c r="I3079">
        <v>207.65700000000001</v>
      </c>
      <c r="J3079">
        <v>-254.76599999999999</v>
      </c>
      <c r="K3079">
        <v>1.1209249999999999</v>
      </c>
      <c r="L3079">
        <v>214.82249999999999</v>
      </c>
      <c r="M3079">
        <v>0.9999152</v>
      </c>
      <c r="N3079">
        <v>-1.276099E-2</v>
      </c>
      <c r="O3079">
        <v>2.6515290000000001E-3</v>
      </c>
      <c r="P3079">
        <v>0.97469159999999999</v>
      </c>
      <c r="Q3079">
        <v>0.21295269999999999</v>
      </c>
      <c r="R3079">
        <v>-6.8027669999999998E-2</v>
      </c>
      <c r="S3079">
        <v>3.066513</v>
      </c>
      <c r="T3079">
        <v>-5.045521E-2</v>
      </c>
      <c r="U3079">
        <v>-0.32249450000000002</v>
      </c>
      <c r="V3079">
        <v>7.0613830000000002E-2</v>
      </c>
      <c r="W3079">
        <v>0.2253706</v>
      </c>
      <c r="X3079">
        <v>0.97171070000000004</v>
      </c>
      <c r="Y3079">
        <v>0.107201</v>
      </c>
      <c r="Z3079">
        <v>-1.5751859999999999E-3</v>
      </c>
      <c r="AA3079">
        <v>0.99423609999999896</v>
      </c>
      <c r="AB3079">
        <v>40</v>
      </c>
      <c r="AC3079">
        <v>67.794399999999996</v>
      </c>
      <c r="AD3079">
        <v>-1.1209204278730001</v>
      </c>
      <c r="AE3079">
        <v>-7.1654999999999802</v>
      </c>
      <c r="AF3079">
        <v>7.3432629368736597</v>
      </c>
      <c r="AG3079">
        <v>-1.1209204278730001</v>
      </c>
      <c r="AH3079">
        <v>67.756842049720603</v>
      </c>
      <c r="AI3079">
        <v>90.942257194937795</v>
      </c>
      <c r="AJ3079">
        <v>83.814613947014294</v>
      </c>
      <c r="AK3079">
        <v>68.162816973159806</v>
      </c>
      <c r="AL3079">
        <v>76.975327643499696</v>
      </c>
      <c r="AM3079">
        <v>85.843644613913895</v>
      </c>
      <c r="AN3079">
        <v>0.99999995241305795</v>
      </c>
    </row>
    <row r="3080" spans="1:40" x14ac:dyDescent="0.25">
      <c r="A3080" t="str">
        <f>"20190303171037702"</f>
        <v>20190303171037702</v>
      </c>
      <c r="B3080" t="str">
        <f>"1551604237693615"</f>
        <v>1551604237693615</v>
      </c>
      <c r="C3080" t="s">
        <v>40</v>
      </c>
      <c r="D3080">
        <v>4.2908580000000001</v>
      </c>
      <c r="E3080">
        <v>0.50711989999999996</v>
      </c>
      <c r="F3080" t="s">
        <v>50</v>
      </c>
      <c r="G3080">
        <v>-169.39240000000001</v>
      </c>
      <c r="H3080">
        <v>0.1894798</v>
      </c>
      <c r="I3080">
        <v>208.95699999999999</v>
      </c>
      <c r="J3080">
        <v>-254.4906</v>
      </c>
      <c r="K3080">
        <v>1.1209249999999999</v>
      </c>
      <c r="L3080">
        <v>214.82320000000001</v>
      </c>
      <c r="M3080">
        <v>0.99991540000000001</v>
      </c>
      <c r="N3080">
        <v>-1.272915E-2</v>
      </c>
      <c r="O3080">
        <v>2.6598379999999999E-3</v>
      </c>
      <c r="P3080">
        <v>0.97467780000000004</v>
      </c>
      <c r="Q3080">
        <v>0.2132386</v>
      </c>
      <c r="R3080">
        <v>-6.7322170000000001E-2</v>
      </c>
      <c r="S3080">
        <v>3.070465</v>
      </c>
      <c r="T3080">
        <v>-3.3498170000000001E-2</v>
      </c>
      <c r="U3080">
        <v>-0.2109528</v>
      </c>
      <c r="V3080">
        <v>6.9916569999999997E-2</v>
      </c>
      <c r="W3080">
        <v>0.2256251</v>
      </c>
      <c r="X3080">
        <v>0.97170210000000001</v>
      </c>
      <c r="Y3080">
        <v>7.1186680000000002E-2</v>
      </c>
      <c r="Z3080">
        <v>-8.3666669999999895E-4</v>
      </c>
      <c r="AA3080">
        <v>0.99746259999999998</v>
      </c>
      <c r="AB3080">
        <v>40</v>
      </c>
      <c r="AC3080">
        <v>85.098199999999906</v>
      </c>
      <c r="AD3080">
        <v>-0.93144519999999997</v>
      </c>
      <c r="AE3080">
        <v>-5.8662000000000196</v>
      </c>
      <c r="AF3080">
        <v>6.0918186447010498</v>
      </c>
      <c r="AG3080">
        <v>-0.93144519999999997</v>
      </c>
      <c r="AH3080">
        <v>85.072150679637303</v>
      </c>
      <c r="AI3080">
        <v>90.625697835453494</v>
      </c>
      <c r="AJ3080">
        <v>85.904173744837095</v>
      </c>
      <c r="AK3080">
        <v>85.2950682385531</v>
      </c>
      <c r="AL3080">
        <v>76.960360887602505</v>
      </c>
      <c r="AM3080">
        <v>85.884507573928701</v>
      </c>
      <c r="AN3080">
        <v>0.999999991827492</v>
      </c>
    </row>
    <row r="3081" spans="1:40" x14ac:dyDescent="0.25">
      <c r="A3081" t="str">
        <f>"20190303171037723"</f>
        <v>20190303171037723</v>
      </c>
      <c r="B3081" t="str">
        <f>"1551604237714112"</f>
        <v>1551604237714112</v>
      </c>
      <c r="C3081" t="s">
        <v>40</v>
      </c>
      <c r="D3081">
        <v>4.1941079999999999</v>
      </c>
      <c r="E3081">
        <v>0.50714479999999995</v>
      </c>
      <c r="F3081" t="s">
        <v>50</v>
      </c>
      <c r="G3081">
        <v>-169.39230000000001</v>
      </c>
      <c r="H3081">
        <v>0.14999009999999999</v>
      </c>
      <c r="I3081">
        <v>209.07239999999999</v>
      </c>
      <c r="J3081">
        <v>-254.10290000000001</v>
      </c>
      <c r="K3081">
        <v>1.120924</v>
      </c>
      <c r="L3081">
        <v>214.82429999999999</v>
      </c>
      <c r="M3081">
        <v>0.99991589999999997</v>
      </c>
      <c r="N3081">
        <v>-1.2695100000000001E-2</v>
      </c>
      <c r="O3081">
        <v>2.6711460000000001E-3</v>
      </c>
      <c r="P3081">
        <v>0.97460990000000003</v>
      </c>
      <c r="Q3081">
        <v>0.21382390000000001</v>
      </c>
      <c r="R3081">
        <v>-6.6449159999999993E-2</v>
      </c>
      <c r="S3081">
        <v>3.0712429999999999</v>
      </c>
      <c r="T3081">
        <v>-3.5040259999999997E-2</v>
      </c>
      <c r="U3081">
        <v>-0.20755000000000001</v>
      </c>
      <c r="V3081">
        <v>6.905406E-2</v>
      </c>
      <c r="W3081">
        <v>0.22617699999999999</v>
      </c>
      <c r="X3081">
        <v>0.97163549999999999</v>
      </c>
      <c r="Y3081">
        <v>7.0080149999999994E-2</v>
      </c>
      <c r="Z3081">
        <v>-8.4126929999999995E-4</v>
      </c>
      <c r="AA3081">
        <v>0.99754100000000001</v>
      </c>
      <c r="AB3081">
        <v>40</v>
      </c>
      <c r="AC3081">
        <v>84.710599999999999</v>
      </c>
      <c r="AD3081">
        <v>-0.97093390000000002</v>
      </c>
      <c r="AE3081">
        <v>-5.7519</v>
      </c>
      <c r="AF3081">
        <v>5.97739042117085</v>
      </c>
      <c r="AG3081">
        <v>-0.97093390000000002</v>
      </c>
      <c r="AH3081">
        <v>84.683858286074496</v>
      </c>
      <c r="AI3081">
        <v>90.655259820934901</v>
      </c>
      <c r="AJ3081">
        <v>85.962487102080999</v>
      </c>
      <c r="AK3081">
        <v>84.900104611839097</v>
      </c>
      <c r="AL3081">
        <v>76.927900644137097</v>
      </c>
      <c r="AM3081">
        <v>85.934828481611305</v>
      </c>
      <c r="AN3081">
        <v>1.00000002169586</v>
      </c>
    </row>
    <row r="3082" spans="1:40" x14ac:dyDescent="0.25">
      <c r="A3082" t="str">
        <f>"20190303171037741"</f>
        <v>20190303171037741</v>
      </c>
      <c r="B3082" t="str">
        <f>"1551604237733631"</f>
        <v>1551604237733631</v>
      </c>
      <c r="C3082" t="s">
        <v>40</v>
      </c>
      <c r="D3082">
        <v>4.2701640000000003</v>
      </c>
      <c r="E3082">
        <v>0.50739959999999995</v>
      </c>
      <c r="F3082" t="s">
        <v>50</v>
      </c>
      <c r="G3082">
        <v>-169.39230000000001</v>
      </c>
      <c r="H3082">
        <v>0.2181988</v>
      </c>
      <c r="I3082">
        <v>209.14519999999999</v>
      </c>
      <c r="J3082">
        <v>-253.79060000000001</v>
      </c>
      <c r="K3082">
        <v>1.120927</v>
      </c>
      <c r="L3082">
        <v>214.82509999999999</v>
      </c>
      <c r="M3082">
        <v>0.99991609999999997</v>
      </c>
      <c r="N3082">
        <v>-1.267604E-2</v>
      </c>
      <c r="O3082">
        <v>2.6805710000000001E-3</v>
      </c>
      <c r="P3082">
        <v>0.97469229999999996</v>
      </c>
      <c r="Q3082">
        <v>0.21362809999999999</v>
      </c>
      <c r="R3082">
        <v>-6.586359E-2</v>
      </c>
      <c r="S3082">
        <v>3.0712739999999998</v>
      </c>
      <c r="T3082">
        <v>-3.272808E-2</v>
      </c>
      <c r="U3082">
        <v>-0.2059021</v>
      </c>
      <c r="V3082">
        <v>6.8477739999999995E-2</v>
      </c>
      <c r="W3082">
        <v>0.22596330000000001</v>
      </c>
      <c r="X3082">
        <v>0.97172599999999998</v>
      </c>
      <c r="Y3082">
        <v>6.9557049999999995E-2</v>
      </c>
      <c r="Z3082">
        <v>-8.0616439999999998E-4</v>
      </c>
      <c r="AA3082">
        <v>0.99757770000000001</v>
      </c>
      <c r="AB3082">
        <v>40</v>
      </c>
      <c r="AC3082">
        <v>84.398300000000006</v>
      </c>
      <c r="AD3082">
        <v>-0.90272819999999998</v>
      </c>
      <c r="AE3082">
        <v>-5.6798999999999999</v>
      </c>
      <c r="AF3082">
        <v>5.9054608249186202</v>
      </c>
      <c r="AG3082">
        <v>-0.90272819999999998</v>
      </c>
      <c r="AH3082">
        <v>84.373160906351401</v>
      </c>
      <c r="AI3082">
        <v>90.6115016677292</v>
      </c>
      <c r="AJ3082">
        <v>85.996273360540201</v>
      </c>
      <c r="AK3082">
        <v>84.584393756098905</v>
      </c>
      <c r="AL3082">
        <v>76.940470094232694</v>
      </c>
      <c r="AM3082">
        <v>85.969017981514995</v>
      </c>
      <c r="AN3082">
        <v>1.00000001644919</v>
      </c>
    </row>
    <row r="3083" spans="1:40" x14ac:dyDescent="0.25">
      <c r="A3083" t="str">
        <f>"20190303171037757"</f>
        <v>20190303171037757</v>
      </c>
      <c r="B3083" t="str">
        <f>"1551604237754128"</f>
        <v>1551604237754128</v>
      </c>
      <c r="C3083" t="s">
        <v>40</v>
      </c>
      <c r="D3083">
        <v>4.4112970000000002</v>
      </c>
      <c r="E3083">
        <v>0.50733700000000004</v>
      </c>
      <c r="F3083" t="s">
        <v>50</v>
      </c>
      <c r="G3083">
        <v>-169.39230000000001</v>
      </c>
      <c r="H3083">
        <v>0.14438819999999999</v>
      </c>
      <c r="I3083">
        <v>209.15440000000001</v>
      </c>
      <c r="J3083">
        <v>-253.50489999999999</v>
      </c>
      <c r="K3083">
        <v>1.1209290000000001</v>
      </c>
      <c r="L3083">
        <v>214.82589999999999</v>
      </c>
      <c r="M3083">
        <v>0.99991629999999998</v>
      </c>
      <c r="N3083">
        <v>-1.2662659999999999E-2</v>
      </c>
      <c r="O3083">
        <v>2.6893619999999998E-3</v>
      </c>
      <c r="P3083">
        <v>0.9747519</v>
      </c>
      <c r="Q3083">
        <v>0.21359919999999999</v>
      </c>
      <c r="R3083">
        <v>-6.5069920000000003E-2</v>
      </c>
      <c r="S3083">
        <v>3.0717620000000001</v>
      </c>
      <c r="T3083">
        <v>-3.554094E-2</v>
      </c>
      <c r="U3083">
        <v>-0.2063904</v>
      </c>
      <c r="V3083">
        <v>6.769261E-2</v>
      </c>
      <c r="W3083">
        <v>0.2259224</v>
      </c>
      <c r="X3083">
        <v>0.9717905</v>
      </c>
      <c r="Y3083">
        <v>6.9711960000000003E-2</v>
      </c>
      <c r="Z3083">
        <v>-8.4180270000000002E-4</v>
      </c>
      <c r="AA3083">
        <v>0.99756679999999998</v>
      </c>
      <c r="AB3083">
        <v>40</v>
      </c>
      <c r="AC3083">
        <v>84.112599999999901</v>
      </c>
      <c r="AD3083">
        <v>-0.97654079999999999</v>
      </c>
      <c r="AE3083">
        <v>-5.6714999999999796</v>
      </c>
      <c r="AF3083">
        <v>5.8969155841603902</v>
      </c>
      <c r="AG3083">
        <v>-0.97654079999999999</v>
      </c>
      <c r="AH3083">
        <v>84.085759183956</v>
      </c>
      <c r="AI3083">
        <v>90.663751925859998</v>
      </c>
      <c r="AJ3083">
        <v>85.988427679348405</v>
      </c>
      <c r="AK3083">
        <v>84.297936765279204</v>
      </c>
      <c r="AL3083">
        <v>76.942875455088597</v>
      </c>
      <c r="AM3083">
        <v>86.015348996517801</v>
      </c>
      <c r="AN3083">
        <v>0.99999999808031104</v>
      </c>
    </row>
    <row r="3084" spans="1:40" x14ac:dyDescent="0.25">
      <c r="A3084" t="str">
        <f>"20190303171037774"</f>
        <v>20190303171037774</v>
      </c>
      <c r="B3084" t="str">
        <f>"1551604237763887"</f>
        <v>1551604237763887</v>
      </c>
      <c r="C3084" t="s">
        <v>40</v>
      </c>
      <c r="D3084">
        <v>4.2634879999999997</v>
      </c>
      <c r="E3084">
        <v>0.50733919999999999</v>
      </c>
      <c r="F3084" t="s">
        <v>50</v>
      </c>
      <c r="G3084">
        <v>-169.39230000000001</v>
      </c>
      <c r="H3084">
        <v>0.14861869999999999</v>
      </c>
      <c r="I3084">
        <v>209.262</v>
      </c>
      <c r="J3084">
        <v>-253.17789999999999</v>
      </c>
      <c r="K3084">
        <v>1.120932</v>
      </c>
      <c r="L3084">
        <v>214.82679999999999</v>
      </c>
      <c r="M3084">
        <v>0.99991629999999998</v>
      </c>
      <c r="N3084">
        <v>-1.265002E-2</v>
      </c>
      <c r="O3084">
        <v>2.6992209999999999E-3</v>
      </c>
      <c r="P3084">
        <v>0.97481099999999998</v>
      </c>
      <c r="Q3084">
        <v>0.21349360000000001</v>
      </c>
      <c r="R3084">
        <v>-6.4529950000000003E-2</v>
      </c>
      <c r="S3084">
        <v>3.0718990000000002</v>
      </c>
      <c r="T3084">
        <v>-3.5508749999999999E-2</v>
      </c>
      <c r="U3084">
        <v>-0.2032013</v>
      </c>
      <c r="V3084">
        <v>6.7162390000000002E-2</v>
      </c>
      <c r="W3084">
        <v>0.22580539999999999</v>
      </c>
      <c r="X3084">
        <v>0.97185449999999995</v>
      </c>
      <c r="Y3084">
        <v>6.8687890000000001E-2</v>
      </c>
      <c r="Z3084">
        <v>-8.2857380000000004E-4</v>
      </c>
      <c r="AA3084">
        <v>0.99763789999999997</v>
      </c>
      <c r="AB3084">
        <v>40</v>
      </c>
      <c r="AC3084">
        <v>83.785599999999903</v>
      </c>
      <c r="AD3084">
        <v>-0.97231329999999905</v>
      </c>
      <c r="AE3084">
        <v>-5.5647999999999902</v>
      </c>
      <c r="AF3084">
        <v>5.7901773388873004</v>
      </c>
      <c r="AG3084">
        <v>-0.97231329999999905</v>
      </c>
      <c r="AH3084">
        <v>83.759042536808096</v>
      </c>
      <c r="AI3084">
        <v>90.663502411148599</v>
      </c>
      <c r="AJ3084">
        <v>86.045492373592495</v>
      </c>
      <c r="AK3084">
        <v>83.964568440812897</v>
      </c>
      <c r="AL3084">
        <v>76.949757139647502</v>
      </c>
      <c r="AM3084">
        <v>86.046719978106097</v>
      </c>
      <c r="AN3084">
        <v>1.0000000172349599</v>
      </c>
    </row>
    <row r="3085" spans="1:40" x14ac:dyDescent="0.25">
      <c r="A3085" t="str">
        <f>"20190303171037788"</f>
        <v>20190303171037788</v>
      </c>
      <c r="B3085" t="str">
        <f>"1551604237783407"</f>
        <v>1551604237783407</v>
      </c>
      <c r="C3085" t="s">
        <v>40</v>
      </c>
      <c r="D3085">
        <v>4.2582500000000003</v>
      </c>
      <c r="E3085">
        <v>0.50711139999999999</v>
      </c>
      <c r="F3085" t="s">
        <v>50</v>
      </c>
      <c r="G3085">
        <v>-169.39230000000001</v>
      </c>
      <c r="H3085">
        <v>0.16153339999999999</v>
      </c>
      <c r="I3085">
        <v>209.32149999999999</v>
      </c>
      <c r="J3085">
        <v>-252.94390000000001</v>
      </c>
      <c r="K3085">
        <v>1.1209309999999999</v>
      </c>
      <c r="L3085">
        <v>214.82740000000001</v>
      </c>
      <c r="M3085">
        <v>0.99991640000000004</v>
      </c>
      <c r="N3085">
        <v>-1.264504E-2</v>
      </c>
      <c r="O3085">
        <v>2.7070089999999998E-3</v>
      </c>
      <c r="P3085">
        <v>0.97481519999999999</v>
      </c>
      <c r="Q3085">
        <v>0.21358369999999999</v>
      </c>
      <c r="R3085">
        <v>-6.4168269999999999E-2</v>
      </c>
      <c r="S3085">
        <v>3.071869</v>
      </c>
      <c r="T3085">
        <v>-3.5173540000000003E-2</v>
      </c>
      <c r="U3085">
        <v>-0.2018433</v>
      </c>
      <c r="V3085">
        <v>6.6807969999999994E-2</v>
      </c>
      <c r="W3085">
        <v>0.2258908</v>
      </c>
      <c r="X3085">
        <v>0.97185900000000003</v>
      </c>
      <c r="Y3085">
        <v>6.8257380000000006E-2</v>
      </c>
      <c r="Z3085">
        <v>-8.1918520000000001E-4</v>
      </c>
      <c r="AA3085">
        <v>0.99766739999999998</v>
      </c>
      <c r="AB3085">
        <v>40</v>
      </c>
      <c r="AC3085">
        <v>83.551599999999993</v>
      </c>
      <c r="AD3085">
        <v>-0.95939759999999996</v>
      </c>
      <c r="AE3085">
        <v>-5.50590000000002</v>
      </c>
      <c r="AF3085">
        <v>5.7313204171292904</v>
      </c>
      <c r="AG3085">
        <v>-0.95939759999999996</v>
      </c>
      <c r="AH3085">
        <v>83.525422708218699</v>
      </c>
      <c r="AI3085">
        <v>90.656543574740297</v>
      </c>
      <c r="AJ3085">
        <v>86.074649720052406</v>
      </c>
      <c r="AK3085">
        <v>83.727323593109702</v>
      </c>
      <c r="AL3085">
        <v>76.944733238502593</v>
      </c>
      <c r="AM3085">
        <v>86.067534200687504</v>
      </c>
      <c r="AN3085">
        <v>0.999999937130578</v>
      </c>
    </row>
    <row r="3086" spans="1:40" x14ac:dyDescent="0.25">
      <c r="A3086" t="str">
        <f>"20190303171037801"</f>
        <v>20190303171037801</v>
      </c>
      <c r="B3086" t="str">
        <f>"1551604237794173"</f>
        <v>1551604237794173</v>
      </c>
      <c r="C3086" t="s">
        <v>40</v>
      </c>
      <c r="D3086">
        <v>4.3620049999999999</v>
      </c>
      <c r="E3086">
        <v>0.50710730000000004</v>
      </c>
      <c r="F3086" t="s">
        <v>50</v>
      </c>
      <c r="G3086">
        <v>-169.3922</v>
      </c>
      <c r="H3086">
        <v>0.20850560000000001</v>
      </c>
      <c r="I3086">
        <v>209.4016</v>
      </c>
      <c r="J3086">
        <v>-252.70259999999999</v>
      </c>
      <c r="K3086">
        <v>1.12094</v>
      </c>
      <c r="L3086">
        <v>214.82810000000001</v>
      </c>
      <c r="M3086">
        <v>0.99991660000000004</v>
      </c>
      <c r="N3086">
        <v>-1.2642840000000001E-2</v>
      </c>
      <c r="O3086">
        <v>2.715135E-3</v>
      </c>
      <c r="P3086">
        <v>0.97493989999999997</v>
      </c>
      <c r="Q3086">
        <v>0.21337249999999999</v>
      </c>
      <c r="R3086">
        <v>-6.2965900000000005E-2</v>
      </c>
      <c r="S3086">
        <v>3.0717319999999999</v>
      </c>
      <c r="T3086">
        <v>-3.3543589999999998E-2</v>
      </c>
      <c r="U3086">
        <v>-0.19947809999999999</v>
      </c>
      <c r="V3086">
        <v>6.5613580000000005E-2</v>
      </c>
      <c r="W3086">
        <v>0.22567899999999999</v>
      </c>
      <c r="X3086">
        <v>0.97198960000000001</v>
      </c>
      <c r="Y3086">
        <v>6.7504199999999903E-2</v>
      </c>
      <c r="Z3086">
        <v>-7.9071950000000001E-4</v>
      </c>
      <c r="AA3086">
        <v>0.99771869999999996</v>
      </c>
      <c r="AB3086">
        <v>40</v>
      </c>
      <c r="AC3086">
        <v>83.310399999999902</v>
      </c>
      <c r="AD3086">
        <v>-0.91243439999999998</v>
      </c>
      <c r="AE3086">
        <v>-5.4264999999999999</v>
      </c>
      <c r="AF3086">
        <v>5.65202190734135</v>
      </c>
      <c r="AG3086">
        <v>-0.91243439999999998</v>
      </c>
      <c r="AH3086">
        <v>83.285410030680396</v>
      </c>
      <c r="AI3086">
        <v>90.626239273617003</v>
      </c>
      <c r="AJ3086">
        <v>86.117672539443205</v>
      </c>
      <c r="AK3086">
        <v>83.481958602765999</v>
      </c>
      <c r="AL3086">
        <v>76.957190564165401</v>
      </c>
      <c r="AM3086">
        <v>86.138141324578001</v>
      </c>
      <c r="AN3086">
        <v>0.99999996771478705</v>
      </c>
    </row>
    <row r="3087" spans="1:40" x14ac:dyDescent="0.25">
      <c r="A3087" t="str">
        <f>"20190303171037826"</f>
        <v>20190303171037826</v>
      </c>
      <c r="B3087" t="str">
        <f>"1551604237813694"</f>
        <v>1551604237813694</v>
      </c>
      <c r="C3087" t="s">
        <v>40</v>
      </c>
      <c r="D3087">
        <v>4.264335</v>
      </c>
      <c r="E3087">
        <v>0.50719729999999996</v>
      </c>
      <c r="F3087" t="s">
        <v>50</v>
      </c>
      <c r="G3087">
        <v>-169.3922</v>
      </c>
      <c r="H3087">
        <v>0.2173271</v>
      </c>
      <c r="I3087">
        <v>209.50280000000001</v>
      </c>
      <c r="J3087">
        <v>-252.27180000000001</v>
      </c>
      <c r="K3087">
        <v>1.1209480000000001</v>
      </c>
      <c r="L3087">
        <v>214.82929999999999</v>
      </c>
      <c r="M3087">
        <v>0.99991640000000004</v>
      </c>
      <c r="N3087">
        <v>-1.264992E-2</v>
      </c>
      <c r="O3087">
        <v>2.7288579999999998E-3</v>
      </c>
      <c r="P3087">
        <v>0.97487990000000002</v>
      </c>
      <c r="Q3087">
        <v>0.21381929999999999</v>
      </c>
      <c r="R3087">
        <v>-6.2375590000000002E-2</v>
      </c>
      <c r="S3087">
        <v>3.0717469999999998</v>
      </c>
      <c r="T3087">
        <v>-3.3316020000000002E-2</v>
      </c>
      <c r="U3087">
        <v>-0.1963501</v>
      </c>
      <c r="V3087">
        <v>6.5036629999999998E-2</v>
      </c>
      <c r="W3087">
        <v>0.2261319</v>
      </c>
      <c r="X3087">
        <v>0.97192319999999999</v>
      </c>
      <c r="Y3087">
        <v>6.6505949999999994E-2</v>
      </c>
      <c r="Z3087">
        <v>-7.7648270000000002E-4</v>
      </c>
      <c r="AA3087">
        <v>0.9977857</v>
      </c>
      <c r="AB3087">
        <v>40</v>
      </c>
      <c r="AC3087">
        <v>82.879599999999996</v>
      </c>
      <c r="AD3087">
        <v>-0.90362089999999995</v>
      </c>
      <c r="AE3087">
        <v>-5.3264999999999798</v>
      </c>
      <c r="AF3087">
        <v>5.5520076307823896</v>
      </c>
      <c r="AG3087">
        <v>-0.90362089999999995</v>
      </c>
      <c r="AH3087">
        <v>82.854946371105299</v>
      </c>
      <c r="AI3087">
        <v>90.623448338368107</v>
      </c>
      <c r="AJ3087">
        <v>86.166411547801403</v>
      </c>
      <c r="AK3087">
        <v>83.045670914394506</v>
      </c>
      <c r="AL3087">
        <v>76.9305538304056</v>
      </c>
      <c r="AM3087">
        <v>86.171737071398397</v>
      </c>
      <c r="AN3087">
        <v>1.0000000530688</v>
      </c>
    </row>
    <row r="3088" spans="1:40" x14ac:dyDescent="0.25">
      <c r="A3088" t="str">
        <f>"20190303171037847"</f>
        <v>20190303171037847</v>
      </c>
      <c r="B3088" t="str">
        <f>"1551604237843949"</f>
        <v>1551604237843949</v>
      </c>
      <c r="C3088" t="s">
        <v>40</v>
      </c>
      <c r="D3088">
        <v>4.3614430000000004</v>
      </c>
      <c r="E3088">
        <v>0.5073472</v>
      </c>
      <c r="F3088" t="s">
        <v>50</v>
      </c>
      <c r="G3088">
        <v>-169.3922</v>
      </c>
      <c r="H3088">
        <v>0.30688100000000001</v>
      </c>
      <c r="I3088">
        <v>209.5532</v>
      </c>
      <c r="J3088">
        <v>-251.88659999999999</v>
      </c>
      <c r="K3088">
        <v>1.1209519999999999</v>
      </c>
      <c r="L3088">
        <v>214.8304</v>
      </c>
      <c r="M3088">
        <v>0.99991609999999997</v>
      </c>
      <c r="N3088">
        <v>-1.2664099999999999E-2</v>
      </c>
      <c r="O3088">
        <v>2.7397329999999998E-3</v>
      </c>
      <c r="P3088">
        <v>0.97484959999999998</v>
      </c>
      <c r="Q3088">
        <v>0.21412200000000001</v>
      </c>
      <c r="R3088">
        <v>-6.1809679999999999E-2</v>
      </c>
      <c r="S3088">
        <v>3.0714109999999999</v>
      </c>
      <c r="T3088">
        <v>-3.0166979999999999E-2</v>
      </c>
      <c r="U3088">
        <v>-0.19552610000000001</v>
      </c>
      <c r="V3088">
        <v>6.4481179999999999E-2</v>
      </c>
      <c r="W3088">
        <v>0.22644819999999999</v>
      </c>
      <c r="X3088">
        <v>0.97188649999999999</v>
      </c>
      <c r="Y3088">
        <v>6.6258289999999997E-2</v>
      </c>
      <c r="Z3088">
        <v>-7.3728800000000001E-4</v>
      </c>
      <c r="AA3088">
        <v>0.99780230000000003</v>
      </c>
      <c r="AB3088">
        <v>40</v>
      </c>
      <c r="AC3088">
        <v>82.494399999999899</v>
      </c>
      <c r="AD3088">
        <v>-0.81407099999999999</v>
      </c>
      <c r="AE3088">
        <v>-5.2771999999999899</v>
      </c>
      <c r="AF3088">
        <v>5.5026772626547897</v>
      </c>
      <c r="AG3088">
        <v>-0.81407099999999999</v>
      </c>
      <c r="AH3088">
        <v>82.471632600247204</v>
      </c>
      <c r="AI3088">
        <v>90.564289182033406</v>
      </c>
      <c r="AJ3088">
        <v>86.182765386063195</v>
      </c>
      <c r="AK3088">
        <v>82.659012529790999</v>
      </c>
      <c r="AL3088">
        <v>76.911947706239204</v>
      </c>
      <c r="AM3088">
        <v>86.204193728813095</v>
      </c>
      <c r="AN3088">
        <v>0.99999998936984102</v>
      </c>
    </row>
    <row r="3089" spans="1:40" x14ac:dyDescent="0.25">
      <c r="A3089" t="str">
        <f>"20190303171037870"</f>
        <v>20190303171037870</v>
      </c>
      <c r="B3089" t="str">
        <f>"1551604237863470"</f>
        <v>1551604237863470</v>
      </c>
      <c r="C3089" t="s">
        <v>40</v>
      </c>
      <c r="D3089">
        <v>4.250623</v>
      </c>
      <c r="E3089">
        <v>0.50762339999999995</v>
      </c>
      <c r="F3089" t="s">
        <v>50</v>
      </c>
      <c r="G3089">
        <v>-169.3922</v>
      </c>
      <c r="H3089">
        <v>0.35967250000000001</v>
      </c>
      <c r="I3089">
        <v>209.57060000000001</v>
      </c>
      <c r="J3089">
        <v>-251.48830000000001</v>
      </c>
      <c r="K3089">
        <v>1.120957</v>
      </c>
      <c r="L3089">
        <v>214.83150000000001</v>
      </c>
      <c r="M3089">
        <v>0.99991569999999996</v>
      </c>
      <c r="N3089">
        <v>-1.268377E-2</v>
      </c>
      <c r="O3089">
        <v>2.7493830000000002E-3</v>
      </c>
      <c r="P3089">
        <v>0.97487749999999995</v>
      </c>
      <c r="Q3089">
        <v>0.21417</v>
      </c>
      <c r="R3089">
        <v>-6.1194610000000003E-2</v>
      </c>
      <c r="S3089">
        <v>3.0712130000000002</v>
      </c>
      <c r="T3089">
        <v>-2.8340580000000001E-2</v>
      </c>
      <c r="U3089">
        <v>-0.19581599999999999</v>
      </c>
      <c r="V3089">
        <v>6.3875829999999995E-2</v>
      </c>
      <c r="W3089">
        <v>0.22651560000000001</v>
      </c>
      <c r="X3089">
        <v>0.97191079999999996</v>
      </c>
      <c r="Y3089">
        <v>6.6366430000000004E-2</v>
      </c>
      <c r="Z3089">
        <v>-7.177517E-4</v>
      </c>
      <c r="AA3089">
        <v>0.99779499999999999</v>
      </c>
      <c r="AB3089">
        <v>40</v>
      </c>
      <c r="AC3089">
        <v>82.096100000000007</v>
      </c>
      <c r="AD3089">
        <v>-0.76128449999999903</v>
      </c>
      <c r="AE3089">
        <v>-5.2608999999999897</v>
      </c>
      <c r="AF3089">
        <v>5.48614208550394</v>
      </c>
      <c r="AG3089">
        <v>-0.76128449999999903</v>
      </c>
      <c r="AH3089">
        <v>82.0742955482241</v>
      </c>
      <c r="AI3089">
        <v>90.530251602179405</v>
      </c>
      <c r="AJ3089">
        <v>86.175832118427707</v>
      </c>
      <c r="AK3089">
        <v>82.2609706896868</v>
      </c>
      <c r="AL3089">
        <v>76.907983368411905</v>
      </c>
      <c r="AM3089">
        <v>86.239819825308203</v>
      </c>
      <c r="AN3089">
        <v>1.00000002092909</v>
      </c>
    </row>
    <row r="3090" spans="1:40" x14ac:dyDescent="0.25">
      <c r="A3090" t="str">
        <f>"20190303171037888"</f>
        <v>20190303171037888</v>
      </c>
      <c r="B3090" t="str">
        <f>"1551604237883965"</f>
        <v>1551604237883965</v>
      </c>
      <c r="C3090" t="s">
        <v>40</v>
      </c>
      <c r="D3090">
        <v>4.2396969999999996</v>
      </c>
      <c r="E3090">
        <v>0.50793029999999995</v>
      </c>
      <c r="F3090" t="s">
        <v>50</v>
      </c>
      <c r="G3090">
        <v>-169.3922</v>
      </c>
      <c r="H3090">
        <v>0.3482151</v>
      </c>
      <c r="I3090">
        <v>209.58179999999999</v>
      </c>
      <c r="J3090">
        <v>-251.143</v>
      </c>
      <c r="K3090">
        <v>1.120959</v>
      </c>
      <c r="L3090">
        <v>214.83240000000001</v>
      </c>
      <c r="M3090">
        <v>0.99991549999999996</v>
      </c>
      <c r="N3090">
        <v>-1.2704119999999999E-2</v>
      </c>
      <c r="O3090">
        <v>2.7564629999999998E-3</v>
      </c>
      <c r="P3090">
        <v>0.97489190000000003</v>
      </c>
      <c r="Q3090">
        <v>0.2141643</v>
      </c>
      <c r="R3090">
        <v>-6.0987600000000003E-2</v>
      </c>
      <c r="S3090">
        <v>3.0713349999999999</v>
      </c>
      <c r="T3090">
        <v>-2.8908130000000001E-2</v>
      </c>
      <c r="U3090">
        <v>-0.19639590000000001</v>
      </c>
      <c r="V3090">
        <v>6.3675599999999999E-2</v>
      </c>
      <c r="W3090">
        <v>0.22653000000000001</v>
      </c>
      <c r="X3090">
        <v>0.97192049999999997</v>
      </c>
      <c r="Y3090">
        <v>6.6558359999999997E-2</v>
      </c>
      <c r="Z3090">
        <v>-7.2709239999999996E-4</v>
      </c>
      <c r="AA3090">
        <v>0.99778230000000001</v>
      </c>
      <c r="AB3090">
        <v>40</v>
      </c>
      <c r="AC3090">
        <v>81.750799999999998</v>
      </c>
      <c r="AD3090">
        <v>-0.77274390000000004</v>
      </c>
      <c r="AE3090">
        <v>-5.2506000000000199</v>
      </c>
      <c r="AF3090">
        <v>5.4754540780243302</v>
      </c>
      <c r="AG3090">
        <v>-0.77274390000000004</v>
      </c>
      <c r="AH3090">
        <v>81.728742782156004</v>
      </c>
      <c r="AI3090">
        <v>90.540502933680699</v>
      </c>
      <c r="AJ3090">
        <v>86.167170907974295</v>
      </c>
      <c r="AK3090">
        <v>81.915597582190401</v>
      </c>
      <c r="AL3090">
        <v>76.907135220071595</v>
      </c>
      <c r="AM3090">
        <v>86.251610416965804</v>
      </c>
      <c r="AN3090">
        <v>0.99999994062780295</v>
      </c>
    </row>
    <row r="3091" spans="1:40" x14ac:dyDescent="0.25">
      <c r="A3091" t="str">
        <f>"20190303171037902"</f>
        <v>20190303171037902</v>
      </c>
      <c r="B3091" t="str">
        <f>"1551604237893726"</f>
        <v>1551604237893726</v>
      </c>
      <c r="C3091" t="s">
        <v>40</v>
      </c>
      <c r="D3091">
        <v>4.2755549999999998</v>
      </c>
      <c r="E3091">
        <v>0.50802749999999997</v>
      </c>
      <c r="F3091" t="s">
        <v>50</v>
      </c>
      <c r="G3091">
        <v>-169.3922</v>
      </c>
      <c r="H3091">
        <v>0.33510210000000001</v>
      </c>
      <c r="I3091">
        <v>209.55330000000001</v>
      </c>
      <c r="J3091">
        <v>-250.90309999999999</v>
      </c>
      <c r="K3091">
        <v>1.120959</v>
      </c>
      <c r="L3091">
        <v>214.8331</v>
      </c>
      <c r="M3091">
        <v>0.99991540000000001</v>
      </c>
      <c r="N3091">
        <v>-1.2718719999999999E-2</v>
      </c>
      <c r="O3091">
        <v>2.7630900000000002E-3</v>
      </c>
      <c r="P3091">
        <v>0.97495209999999999</v>
      </c>
      <c r="Q3091">
        <v>0.2140396</v>
      </c>
      <c r="R3091">
        <v>-6.0462299999999997E-2</v>
      </c>
      <c r="S3091">
        <v>3.0713349999999999</v>
      </c>
      <c r="T3091">
        <v>-2.9523020000000001E-2</v>
      </c>
      <c r="U3091">
        <v>-0.1983337</v>
      </c>
      <c r="V3091">
        <v>6.315751E-2</v>
      </c>
      <c r="W3091">
        <v>0.22641990000000001</v>
      </c>
      <c r="X3091">
        <v>0.97197999999999996</v>
      </c>
      <c r="Y3091">
        <v>6.7191650000000006E-2</v>
      </c>
      <c r="Z3091">
        <v>-7.417999E-4</v>
      </c>
      <c r="AA3091">
        <v>0.99773979999999995</v>
      </c>
      <c r="AB3091">
        <v>40</v>
      </c>
      <c r="AC3091">
        <v>81.510899999999907</v>
      </c>
      <c r="AD3091">
        <v>-0.78585689999999997</v>
      </c>
      <c r="AE3091">
        <v>-5.2797999999999901</v>
      </c>
      <c r="AF3091">
        <v>5.5045104763031496</v>
      </c>
      <c r="AG3091">
        <v>-0.78585689999999997</v>
      </c>
      <c r="AH3091">
        <v>81.488456241378998</v>
      </c>
      <c r="AI3091">
        <v>90.551274664664504</v>
      </c>
      <c r="AJ3091">
        <v>86.135565121662296</v>
      </c>
      <c r="AK3091">
        <v>81.677938926335301</v>
      </c>
      <c r="AL3091">
        <v>76.913612307557898</v>
      </c>
      <c r="AM3091">
        <v>86.282249870637798</v>
      </c>
      <c r="AN3091">
        <v>0.99999998129270395</v>
      </c>
    </row>
    <row r="3092" spans="1:40" x14ac:dyDescent="0.25">
      <c r="A3092" t="str">
        <f>"20190303171037920"</f>
        <v>20190303171037920</v>
      </c>
      <c r="B3092" t="str">
        <f>"1551604237914222"</f>
        <v>1551604237914222</v>
      </c>
      <c r="C3092" t="s">
        <v>40</v>
      </c>
      <c r="D3092">
        <v>4.2858669999999996</v>
      </c>
      <c r="E3092">
        <v>0.51259549999999998</v>
      </c>
      <c r="F3092" t="s">
        <v>50</v>
      </c>
      <c r="G3092">
        <v>-169.3922</v>
      </c>
      <c r="H3092">
        <v>0.32345580000000002</v>
      </c>
      <c r="I3092">
        <v>209.5719</v>
      </c>
      <c r="J3092">
        <v>-250.58539999999999</v>
      </c>
      <c r="K3092">
        <v>1.1209610000000001</v>
      </c>
      <c r="L3092">
        <v>214.834</v>
      </c>
      <c r="M3092">
        <v>0.99991509999999995</v>
      </c>
      <c r="N3092">
        <v>-1.273844E-2</v>
      </c>
      <c r="O3092">
        <v>2.772895E-3</v>
      </c>
      <c r="P3092">
        <v>0.97505799999999998</v>
      </c>
      <c r="Q3092">
        <v>0.2136303</v>
      </c>
      <c r="R3092">
        <v>-6.020263E-2</v>
      </c>
      <c r="S3092">
        <v>3.0713650000000001</v>
      </c>
      <c r="T3092">
        <v>-3.0048970000000001E-2</v>
      </c>
      <c r="U3092">
        <v>-0.19824220000000001</v>
      </c>
      <c r="V3092">
        <v>6.2908489999999997E-2</v>
      </c>
      <c r="W3092">
        <v>0.22603110000000001</v>
      </c>
      <c r="X3092">
        <v>0.97208669999999997</v>
      </c>
      <c r="Y3092">
        <v>6.7170980000000005E-2</v>
      </c>
      <c r="Z3092">
        <v>-7.4836360000000003E-4</v>
      </c>
      <c r="AA3092">
        <v>0.99774119999999999</v>
      </c>
      <c r="AB3092">
        <v>40</v>
      </c>
      <c r="AC3092">
        <v>81.193199999999905</v>
      </c>
      <c r="AD3092">
        <v>-0.79750519999999903</v>
      </c>
      <c r="AE3092">
        <v>-5.2621000000000002</v>
      </c>
      <c r="AF3092">
        <v>5.4867111031346898</v>
      </c>
      <c r="AG3092">
        <v>-0.79750519999999903</v>
      </c>
      <c r="AH3092">
        <v>81.170496968561295</v>
      </c>
      <c r="AI3092">
        <v>90.561634967912795</v>
      </c>
      <c r="AJ3092">
        <v>86.132980284103098</v>
      </c>
      <c r="AK3092">
        <v>81.359631214727798</v>
      </c>
      <c r="AL3092">
        <v>76.936482637448606</v>
      </c>
      <c r="AM3092">
        <v>86.297272838432207</v>
      </c>
      <c r="AN3092">
        <v>1.00000004429908</v>
      </c>
    </row>
    <row r="3093" spans="1:40" x14ac:dyDescent="0.25">
      <c r="A3093" t="str">
        <f>"20190303171037935"</f>
        <v>20190303171037935</v>
      </c>
      <c r="B3093" t="str">
        <f>"1551604237923982"</f>
        <v>1551604237923982</v>
      </c>
      <c r="C3093" t="s">
        <v>40</v>
      </c>
      <c r="D3093">
        <v>4.228313</v>
      </c>
      <c r="E3093">
        <v>0.51226340000000004</v>
      </c>
      <c r="F3093" t="s">
        <v>52</v>
      </c>
      <c r="G3093">
        <v>-179.935</v>
      </c>
      <c r="H3093">
        <v>7.2808200000000003E-2</v>
      </c>
      <c r="I3093">
        <v>209.4753</v>
      </c>
      <c r="J3093">
        <v>-250.29859999999999</v>
      </c>
      <c r="K3093">
        <v>1.120967</v>
      </c>
      <c r="L3093">
        <v>214.8348</v>
      </c>
      <c r="M3093">
        <v>0.99991479999999999</v>
      </c>
      <c r="N3093">
        <v>-1.2758139999999999E-2</v>
      </c>
      <c r="O3093">
        <v>2.775137E-3</v>
      </c>
      <c r="P3093">
        <v>0.9750974</v>
      </c>
      <c r="Q3093">
        <v>0.2137346</v>
      </c>
      <c r="R3093">
        <v>-5.9183800000000002E-2</v>
      </c>
      <c r="S3093">
        <v>3.072327</v>
      </c>
      <c r="T3093">
        <v>-4.5580269999999999E-2</v>
      </c>
      <c r="U3093">
        <v>-0.23303219999999999</v>
      </c>
      <c r="V3093">
        <v>6.1890529999999999E-2</v>
      </c>
      <c r="W3093">
        <v>0.22615560000000001</v>
      </c>
      <c r="X3093">
        <v>0.97212299999999996</v>
      </c>
      <c r="Y3093">
        <v>7.8382660000000007E-2</v>
      </c>
      <c r="Z3093">
        <v>-1.08712E-3</v>
      </c>
      <c r="AA3093">
        <v>0.99692270000000005</v>
      </c>
      <c r="AB3093">
        <v>40</v>
      </c>
      <c r="AC3093">
        <v>70.363599999999906</v>
      </c>
      <c r="AD3093">
        <v>-1.0481587999999999</v>
      </c>
      <c r="AE3093">
        <v>-5.3594999999999899</v>
      </c>
      <c r="AF3093">
        <v>5.5535386507632802</v>
      </c>
      <c r="AG3093">
        <v>-1.0481587999999999</v>
      </c>
      <c r="AH3093">
        <v>70.332937567371602</v>
      </c>
      <c r="AI3093">
        <v>90.851156355295899</v>
      </c>
      <c r="AJ3093">
        <v>85.485251890582305</v>
      </c>
      <c r="AK3093">
        <v>70.559638145836203</v>
      </c>
      <c r="AL3093">
        <v>76.929158570433103</v>
      </c>
      <c r="AM3093">
        <v>86.357161882203201</v>
      </c>
      <c r="AN3093">
        <v>0.99999996012201897</v>
      </c>
    </row>
    <row r="3094" spans="1:40" x14ac:dyDescent="0.25">
      <c r="A3094" t="str">
        <f>"20190303171037954"</f>
        <v>20190303171037954</v>
      </c>
      <c r="B3094" t="str">
        <f>"1551604237943501"</f>
        <v>1551604237943501</v>
      </c>
      <c r="C3094" t="s">
        <v>40</v>
      </c>
      <c r="D3094">
        <v>4.2934130000000001</v>
      </c>
      <c r="E3094">
        <v>0.51227559999999905</v>
      </c>
      <c r="F3094" t="s">
        <v>50</v>
      </c>
      <c r="G3094">
        <v>-169.39240000000001</v>
      </c>
      <c r="H3094">
        <v>1.3290410000000001E-2</v>
      </c>
      <c r="I3094">
        <v>208.8383</v>
      </c>
      <c r="J3094">
        <v>-249.96850000000001</v>
      </c>
      <c r="K3094">
        <v>1.1209639999999901</v>
      </c>
      <c r="L3094">
        <v>214.83580000000001</v>
      </c>
      <c r="M3094">
        <v>0.99991450000000004</v>
      </c>
      <c r="N3094">
        <v>-1.278608E-2</v>
      </c>
      <c r="O3094">
        <v>2.7835049999999999E-3</v>
      </c>
      <c r="P3094">
        <v>0.97505469999999905</v>
      </c>
      <c r="Q3094">
        <v>0.21404400000000001</v>
      </c>
      <c r="R3094">
        <v>-5.8769340000000003E-2</v>
      </c>
      <c r="S3094">
        <v>3.0720369999999999</v>
      </c>
      <c r="T3094">
        <v>-4.2057509999999999E-2</v>
      </c>
      <c r="U3094">
        <v>-0.2276917</v>
      </c>
      <c r="V3094">
        <v>6.1485199999999997E-2</v>
      </c>
      <c r="W3094">
        <v>0.226491</v>
      </c>
      <c r="X3094">
        <v>0.97207069999999995</v>
      </c>
      <c r="Y3094">
        <v>7.6676739999999993E-2</v>
      </c>
      <c r="Z3094">
        <v>-1.0175710000000001E-3</v>
      </c>
      <c r="AA3094">
        <v>0.99705549999999998</v>
      </c>
      <c r="AB3094">
        <v>40</v>
      </c>
      <c r="AC3094">
        <v>80.576099999999997</v>
      </c>
      <c r="AD3094">
        <v>-1.1076735900000001</v>
      </c>
      <c r="AE3094">
        <v>-5.9974999999999996</v>
      </c>
      <c r="AF3094">
        <v>6.2206099671234796</v>
      </c>
      <c r="AG3094">
        <v>-1.1076735900000001</v>
      </c>
      <c r="AH3094">
        <v>80.543955199141806</v>
      </c>
      <c r="AI3094">
        <v>90.785566331827496</v>
      </c>
      <c r="AJ3094">
        <v>85.583671456753805</v>
      </c>
      <c r="AK3094">
        <v>80.791408257725195</v>
      </c>
      <c r="AL3094">
        <v>76.909430499296207</v>
      </c>
      <c r="AM3094">
        <v>86.380761543366603</v>
      </c>
      <c r="AN3094">
        <v>1.0000000243492599</v>
      </c>
    </row>
    <row r="3095" spans="1:40" x14ac:dyDescent="0.25">
      <c r="A3095" t="str">
        <f>"20190303171037969"</f>
        <v>20190303171037969</v>
      </c>
      <c r="B3095" t="str">
        <f>"1551604237964001"</f>
        <v>1551604237964001</v>
      </c>
      <c r="C3095" t="s">
        <v>40</v>
      </c>
      <c r="D3095">
        <v>4.2682440000000001</v>
      </c>
      <c r="E3095">
        <v>0.511775599999999</v>
      </c>
      <c r="F3095" t="s">
        <v>50</v>
      </c>
      <c r="G3095">
        <v>-169.39240000000001</v>
      </c>
      <c r="H3095">
        <v>6.2997819999999996E-2</v>
      </c>
      <c r="I3095">
        <v>208.89279999999999</v>
      </c>
      <c r="J3095">
        <v>-249.68889999999999</v>
      </c>
      <c r="K3095">
        <v>1.120968</v>
      </c>
      <c r="L3095">
        <v>214.8366</v>
      </c>
      <c r="M3095">
        <v>0.99991410000000003</v>
      </c>
      <c r="N3095">
        <v>-1.2813919999999999E-2</v>
      </c>
      <c r="O3095">
        <v>2.792774E-3</v>
      </c>
      <c r="P3095">
        <v>0.9750858</v>
      </c>
      <c r="Q3095">
        <v>0.2141409</v>
      </c>
      <c r="R3095">
        <v>-5.7892430000000002E-2</v>
      </c>
      <c r="S3095">
        <v>3.0719759999999998</v>
      </c>
      <c r="T3095">
        <v>-4.0333750000000002E-2</v>
      </c>
      <c r="U3095">
        <v>-0.2265778</v>
      </c>
      <c r="V3095">
        <v>6.0618470000000001E-2</v>
      </c>
      <c r="W3095">
        <v>0.22661500000000001</v>
      </c>
      <c r="X3095">
        <v>0.97209619999999997</v>
      </c>
      <c r="Y3095">
        <v>7.6328750000000001E-2</v>
      </c>
      <c r="Z3095">
        <v>-9.9102020000000008E-4</v>
      </c>
      <c r="AA3095">
        <v>0.99708220000000003</v>
      </c>
      <c r="AB3095">
        <v>40</v>
      </c>
      <c r="AC3095">
        <v>80.296499999999895</v>
      </c>
      <c r="AD3095">
        <v>-1.0579701800000001</v>
      </c>
      <c r="AE3095">
        <v>-5.9438000000000004</v>
      </c>
      <c r="AF3095">
        <v>6.1669804209035899</v>
      </c>
      <c r="AG3095">
        <v>-1.0579701800000001</v>
      </c>
      <c r="AH3095">
        <v>80.265727437067397</v>
      </c>
      <c r="AI3095">
        <v>90.752944256709199</v>
      </c>
      <c r="AJ3095">
        <v>85.606479434048893</v>
      </c>
      <c r="AK3095">
        <v>80.509241391377998</v>
      </c>
      <c r="AL3095">
        <v>76.9021356982214</v>
      </c>
      <c r="AM3095">
        <v>86.431740967770907</v>
      </c>
      <c r="AN3095">
        <v>0.99999998959228997</v>
      </c>
    </row>
    <row r="3096" spans="1:40" x14ac:dyDescent="0.25">
      <c r="A3096" t="str">
        <f>"20190303171037991"</f>
        <v>20190303171037991</v>
      </c>
      <c r="B3096" t="str">
        <f>"1551604237983521"</f>
        <v>1551604237983521</v>
      </c>
      <c r="C3096" t="s">
        <v>40</v>
      </c>
      <c r="D3096">
        <v>4.3098839999999896</v>
      </c>
      <c r="E3096">
        <v>0.51186540000000003</v>
      </c>
      <c r="F3096" t="s">
        <v>50</v>
      </c>
      <c r="G3096">
        <v>-169.39240000000001</v>
      </c>
      <c r="H3096">
        <v>0.24158289999999999</v>
      </c>
      <c r="I3096">
        <v>209.07259999999999</v>
      </c>
      <c r="J3096">
        <v>-249.30410000000001</v>
      </c>
      <c r="K3096">
        <v>1.120965</v>
      </c>
      <c r="L3096">
        <v>214.83770000000001</v>
      </c>
      <c r="M3096">
        <v>0.99991350000000001</v>
      </c>
      <c r="N3096">
        <v>-1.28535E-2</v>
      </c>
      <c r="O3096">
        <v>2.8059640000000002E-3</v>
      </c>
      <c r="P3096">
        <v>0.97524189999999999</v>
      </c>
      <c r="Q3096">
        <v>0.21368300000000001</v>
      </c>
      <c r="R3096">
        <v>-5.6948770000000003E-2</v>
      </c>
      <c r="S3096">
        <v>3.0709529999999998</v>
      </c>
      <c r="T3096">
        <v>-3.3630970000000003E-2</v>
      </c>
      <c r="U3096">
        <v>-0.22044369999999999</v>
      </c>
      <c r="V3096">
        <v>5.968888E-2</v>
      </c>
      <c r="W3096">
        <v>0.22619739999999999</v>
      </c>
      <c r="X3096">
        <v>0.97225099999999998</v>
      </c>
      <c r="Y3096">
        <v>7.4388280000000001E-2</v>
      </c>
      <c r="Z3096">
        <v>-8.8019759999999998E-4</v>
      </c>
      <c r="AA3096">
        <v>0.99722900000000003</v>
      </c>
      <c r="AB3096">
        <v>40</v>
      </c>
      <c r="AC3096">
        <v>79.911699999999996</v>
      </c>
      <c r="AD3096">
        <v>-0.87938209999999895</v>
      </c>
      <c r="AE3096">
        <v>-5.7651000000000101</v>
      </c>
      <c r="AF3096">
        <v>5.9886037196731197</v>
      </c>
      <c r="AG3096">
        <v>-0.87938209999999895</v>
      </c>
      <c r="AH3096">
        <v>79.885583518379207</v>
      </c>
      <c r="AI3096">
        <v>90.628923045879006</v>
      </c>
      <c r="AJ3096">
        <v>85.712854397533604</v>
      </c>
      <c r="AK3096">
        <v>80.114562605440298</v>
      </c>
      <c r="AL3096">
        <v>76.926700644616005</v>
      </c>
      <c r="AM3096">
        <v>86.486880446786699</v>
      </c>
      <c r="AN3096">
        <v>1.0000000165817</v>
      </c>
    </row>
    <row r="3097" spans="1:40" x14ac:dyDescent="0.25">
      <c r="A3097" t="str">
        <f>"20190303171038008"</f>
        <v>20190303171038008</v>
      </c>
      <c r="B3097" t="str">
        <f>"1551604238004014"</f>
        <v>1551604238004014</v>
      </c>
      <c r="C3097" t="s">
        <v>40</v>
      </c>
      <c r="D3097">
        <v>4.4861950000000004</v>
      </c>
      <c r="E3097">
        <v>0.51206390000000002</v>
      </c>
      <c r="F3097" t="s">
        <v>50</v>
      </c>
      <c r="G3097">
        <v>-169.39230000000001</v>
      </c>
      <c r="H3097">
        <v>0.24939539999999999</v>
      </c>
      <c r="I3097">
        <v>209.1386</v>
      </c>
      <c r="J3097">
        <v>-249.00569999999999</v>
      </c>
      <c r="K3097">
        <v>1.12097</v>
      </c>
      <c r="L3097">
        <v>214.83850000000001</v>
      </c>
      <c r="M3097">
        <v>0.9999131</v>
      </c>
      <c r="N3097">
        <v>-1.2885590000000001E-2</v>
      </c>
      <c r="O3097">
        <v>2.8153520000000001E-3</v>
      </c>
      <c r="P3097">
        <v>0.97539750000000003</v>
      </c>
      <c r="Q3097">
        <v>0.21305089999999999</v>
      </c>
      <c r="R3097">
        <v>-5.6650859999999997E-2</v>
      </c>
      <c r="S3097">
        <v>3.0707239999999998</v>
      </c>
      <c r="T3097">
        <v>-3.3490060000000002E-2</v>
      </c>
      <c r="U3097">
        <v>-0.2189941</v>
      </c>
      <c r="V3097">
        <v>5.9400639999999998E-2</v>
      </c>
      <c r="W3097">
        <v>0.22559870000000001</v>
      </c>
      <c r="X3097">
        <v>0.97240780000000004</v>
      </c>
      <c r="Y3097">
        <v>7.3934699999999895E-2</v>
      </c>
      <c r="Z3097">
        <v>-8.7408579999999998E-4</v>
      </c>
      <c r="AA3097">
        <v>0.99726269999999995</v>
      </c>
      <c r="AB3097">
        <v>40</v>
      </c>
      <c r="AC3097">
        <v>79.613399999999899</v>
      </c>
      <c r="AD3097">
        <v>-0.87157459999999998</v>
      </c>
      <c r="AE3097">
        <v>-5.6999000000000102</v>
      </c>
      <c r="AF3097">
        <v>5.9233294540605499</v>
      </c>
      <c r="AG3097">
        <v>-0.87157459999999998</v>
      </c>
      <c r="AH3097">
        <v>79.587545978466096</v>
      </c>
      <c r="AI3097">
        <v>90.625698813409002</v>
      </c>
      <c r="AJ3097">
        <v>85.743590005086205</v>
      </c>
      <c r="AK3097">
        <v>79.812423525283094</v>
      </c>
      <c r="AL3097">
        <v>76.961914557889301</v>
      </c>
      <c r="AM3097">
        <v>86.504365620593006</v>
      </c>
      <c r="AN3097">
        <v>1.00000006948746</v>
      </c>
    </row>
    <row r="3098" spans="1:40" x14ac:dyDescent="0.25">
      <c r="A3098" t="str">
        <f>"20190303171038025"</f>
        <v>20190303171038025</v>
      </c>
      <c r="B3098" t="str">
        <f>"1551604238013774"</f>
        <v>1551604238013774</v>
      </c>
      <c r="C3098" t="s">
        <v>40</v>
      </c>
      <c r="D3098">
        <v>4.4844730000000004</v>
      </c>
      <c r="E3098">
        <v>0.51218629999999998</v>
      </c>
      <c r="F3098" t="s">
        <v>50</v>
      </c>
      <c r="G3098">
        <v>-169.39230000000001</v>
      </c>
      <c r="H3098">
        <v>0.24643329999999999</v>
      </c>
      <c r="I3098">
        <v>209.13579999999999</v>
      </c>
      <c r="J3098">
        <v>-248.71459999999999</v>
      </c>
      <c r="K3098">
        <v>1.120976</v>
      </c>
      <c r="L3098">
        <v>214.83940000000001</v>
      </c>
      <c r="M3098">
        <v>0.99991260000000004</v>
      </c>
      <c r="N3098">
        <v>-1.2917359999999999E-2</v>
      </c>
      <c r="O3098">
        <v>2.823379E-3</v>
      </c>
      <c r="P3098">
        <v>0.97543570000000002</v>
      </c>
      <c r="Q3098">
        <v>0.2129954</v>
      </c>
      <c r="R3098">
        <v>-5.6197539999999997E-2</v>
      </c>
      <c r="S3098">
        <v>3.0702669999999999</v>
      </c>
      <c r="T3098">
        <v>-3.3724900000000002E-2</v>
      </c>
      <c r="U3098">
        <v>-0.21992490000000001</v>
      </c>
      <c r="V3098">
        <v>5.8955059999999997E-2</v>
      </c>
      <c r="W3098">
        <v>0.22557489999999999</v>
      </c>
      <c r="X3098">
        <v>0.97244039999999998</v>
      </c>
      <c r="Y3098">
        <v>7.4253879999999994E-2</v>
      </c>
      <c r="Z3098">
        <v>-8.8207699999999999E-4</v>
      </c>
      <c r="AA3098">
        <v>0.99723899999999999</v>
      </c>
      <c r="AB3098">
        <v>40</v>
      </c>
      <c r="AC3098">
        <v>79.322299999999899</v>
      </c>
      <c r="AD3098">
        <v>-0.87454269999999901</v>
      </c>
      <c r="AE3098">
        <v>-5.7036000000000202</v>
      </c>
      <c r="AF3098">
        <v>5.92683613322761</v>
      </c>
      <c r="AG3098">
        <v>-0.87454269999999901</v>
      </c>
      <c r="AH3098">
        <v>79.296289769801305</v>
      </c>
      <c r="AI3098">
        <v>90.630120423716505</v>
      </c>
      <c r="AJ3098">
        <v>85.725494238710397</v>
      </c>
      <c r="AK3098">
        <v>79.522284818411507</v>
      </c>
      <c r="AL3098">
        <v>76.963313794835599</v>
      </c>
      <c r="AM3098">
        <v>86.530639036931703</v>
      </c>
      <c r="AN3098">
        <v>1.00000003308088</v>
      </c>
    </row>
    <row r="3099" spans="1:40" x14ac:dyDescent="0.25">
      <c r="A3099" t="str">
        <f>"20190303171038042"</f>
        <v>20190303171038042</v>
      </c>
      <c r="B3099" t="str">
        <f>"1551604238034271"</f>
        <v>1551604238034271</v>
      </c>
      <c r="C3099" t="s">
        <v>40</v>
      </c>
      <c r="D3099">
        <v>4.323677</v>
      </c>
      <c r="E3099">
        <v>0.51234550000000001</v>
      </c>
      <c r="F3099" t="s">
        <v>50</v>
      </c>
      <c r="G3099">
        <v>-169.39230000000001</v>
      </c>
      <c r="H3099">
        <v>0.26388929999999999</v>
      </c>
      <c r="I3099">
        <v>209.1635</v>
      </c>
      <c r="J3099">
        <v>-248.40280000000001</v>
      </c>
      <c r="K3099">
        <v>1.120981</v>
      </c>
      <c r="L3099">
        <v>214.84020000000001</v>
      </c>
      <c r="M3099">
        <v>0.99991220000000003</v>
      </c>
      <c r="N3099">
        <v>-1.2950700000000001E-2</v>
      </c>
      <c r="O3099">
        <v>2.8312799999999998E-3</v>
      </c>
      <c r="P3099">
        <v>0.97547550000000005</v>
      </c>
      <c r="Q3099">
        <v>0.21287429999999999</v>
      </c>
      <c r="R3099">
        <v>-5.5964029999999998E-2</v>
      </c>
      <c r="S3099">
        <v>3.0701450000000001</v>
      </c>
      <c r="T3099">
        <v>-3.3172010000000002E-2</v>
      </c>
      <c r="U3099">
        <v>-0.21968080000000001</v>
      </c>
      <c r="V3099">
        <v>5.872894E-2</v>
      </c>
      <c r="W3099">
        <v>0.22548670000000001</v>
      </c>
      <c r="X3099">
        <v>0.97247450000000002</v>
      </c>
      <c r="Y3099">
        <v>7.4185920000000002E-2</v>
      </c>
      <c r="Z3099">
        <v>-8.7523009999999999E-4</v>
      </c>
      <c r="AA3099">
        <v>0.99724409999999997</v>
      </c>
      <c r="AB3099">
        <v>40</v>
      </c>
      <c r="AC3099">
        <v>79.010499999999993</v>
      </c>
      <c r="AD3099">
        <v>-0.85709169999999901</v>
      </c>
      <c r="AE3099">
        <v>-5.6767000000000101</v>
      </c>
      <c r="AF3099">
        <v>5.8997061539920903</v>
      </c>
      <c r="AG3099">
        <v>-0.85709169999999901</v>
      </c>
      <c r="AH3099">
        <v>78.984862765183294</v>
      </c>
      <c r="AI3099">
        <v>90.619984681698696</v>
      </c>
      <c r="AJ3099">
        <v>85.728273706927297</v>
      </c>
      <c r="AK3099">
        <v>79.209530265748299</v>
      </c>
      <c r="AL3099">
        <v>76.968500441087997</v>
      </c>
      <c r="AM3099">
        <v>86.544034224108998</v>
      </c>
      <c r="AN3099">
        <v>0.99999999671033102</v>
      </c>
    </row>
    <row r="3100" spans="1:40" x14ac:dyDescent="0.25">
      <c r="A3100" t="str">
        <f>"20190303171038060"</f>
        <v>20190303171038060</v>
      </c>
      <c r="B3100" t="str">
        <f>"1551604238044030"</f>
        <v>1551604238044030</v>
      </c>
      <c r="C3100" t="s">
        <v>40</v>
      </c>
      <c r="D3100">
        <v>4.3435139999999999</v>
      </c>
      <c r="E3100">
        <v>0.51234550000000001</v>
      </c>
      <c r="F3100" t="s">
        <v>50</v>
      </c>
      <c r="G3100">
        <v>-169.39230000000001</v>
      </c>
      <c r="H3100">
        <v>0.29556660000000001</v>
      </c>
      <c r="I3100">
        <v>209.16050000000001</v>
      </c>
      <c r="J3100">
        <v>-248.089</v>
      </c>
      <c r="K3100">
        <v>1.1209800000000001</v>
      </c>
      <c r="L3100">
        <v>214.84119999999999</v>
      </c>
      <c r="M3100">
        <v>0.99991169999999996</v>
      </c>
      <c r="N3100">
        <v>-1.2983130000000001E-2</v>
      </c>
      <c r="O3100">
        <v>2.8387669999999999E-3</v>
      </c>
      <c r="P3100">
        <v>0.97544750000000002</v>
      </c>
      <c r="Q3100">
        <v>0.2130764</v>
      </c>
      <c r="R3100">
        <v>-5.5684209999999998E-2</v>
      </c>
      <c r="S3100">
        <v>3.0697779999999999</v>
      </c>
      <c r="T3100">
        <v>-3.2068369999999999E-2</v>
      </c>
      <c r="U3100">
        <v>-0.2206726</v>
      </c>
      <c r="V3100">
        <v>5.8456130000000002E-2</v>
      </c>
      <c r="W3100">
        <v>0.22572039999999999</v>
      </c>
      <c r="X3100">
        <v>0.97243670000000004</v>
      </c>
      <c r="Y3100">
        <v>7.4522809999999995E-2</v>
      </c>
      <c r="Z3100">
        <v>-8.6598860000000003E-4</v>
      </c>
      <c r="AA3100">
        <v>0.99721890000000002</v>
      </c>
      <c r="AB3100">
        <v>40</v>
      </c>
      <c r="AC3100">
        <v>78.696700000000007</v>
      </c>
      <c r="AD3100">
        <v>-0.82541339999999996</v>
      </c>
      <c r="AE3100">
        <v>-5.6806999999999697</v>
      </c>
      <c r="AF3100">
        <v>5.90345146053411</v>
      </c>
      <c r="AG3100">
        <v>-0.82541339999999996</v>
      </c>
      <c r="AH3100">
        <v>78.671645548595507</v>
      </c>
      <c r="AI3100">
        <v>90.599433167260898</v>
      </c>
      <c r="AJ3100">
        <v>85.708617507555203</v>
      </c>
      <c r="AK3100">
        <v>78.897147348631293</v>
      </c>
      <c r="AL3100">
        <v>76.9547558123366</v>
      </c>
      <c r="AM3100">
        <v>86.559915978337301</v>
      </c>
      <c r="AN3100">
        <v>0.99999997680881303</v>
      </c>
    </row>
    <row r="3101" spans="1:40" x14ac:dyDescent="0.25">
      <c r="A3101" t="str">
        <f>"20190303171038081"</f>
        <v>20190303171038081</v>
      </c>
      <c r="B3101" t="str">
        <f>"1551604238074285"</f>
        <v>1551604238074285</v>
      </c>
      <c r="C3101" t="s">
        <v>40</v>
      </c>
      <c r="D3101">
        <v>4.3405769999999997</v>
      </c>
      <c r="E3101">
        <v>0.5198026</v>
      </c>
      <c r="F3101" t="s">
        <v>50</v>
      </c>
      <c r="G3101">
        <v>-169.39230000000001</v>
      </c>
      <c r="H3101">
        <v>0.3158646</v>
      </c>
      <c r="I3101">
        <v>209.197</v>
      </c>
      <c r="J3101">
        <v>-247.69919999999999</v>
      </c>
      <c r="K3101">
        <v>1.1209800000000001</v>
      </c>
      <c r="L3101">
        <v>214.84229999999999</v>
      </c>
      <c r="M3101">
        <v>0.9999112</v>
      </c>
      <c r="N3101">
        <v>-1.3024590000000001E-2</v>
      </c>
      <c r="O3101">
        <v>2.8479809999999999E-3</v>
      </c>
      <c r="P3101">
        <v>0.97552530000000004</v>
      </c>
      <c r="Q3101">
        <v>0.2129336</v>
      </c>
      <c r="R3101">
        <v>-5.4864040000000003E-2</v>
      </c>
      <c r="S3101">
        <v>3.0698089999999998</v>
      </c>
      <c r="T3101">
        <v>-3.1404729999999999E-2</v>
      </c>
      <c r="U3101">
        <v>-0.22016910000000001</v>
      </c>
      <c r="V3101">
        <v>5.7644819999999999E-2</v>
      </c>
      <c r="W3101">
        <v>0.22561870000000001</v>
      </c>
      <c r="X3101">
        <v>0.97250879999999995</v>
      </c>
      <c r="Y3101">
        <v>7.4368829999999997E-2</v>
      </c>
      <c r="Z3101">
        <v>-8.5693869999999895E-4</v>
      </c>
      <c r="AA3101">
        <v>0.99723039999999996</v>
      </c>
      <c r="AB3101">
        <v>40</v>
      </c>
      <c r="AC3101">
        <v>78.306899999999899</v>
      </c>
      <c r="AD3101">
        <v>-0.80511539999999904</v>
      </c>
      <c r="AE3101">
        <v>-5.64529999999999</v>
      </c>
      <c r="AF3101">
        <v>5.8676954986665004</v>
      </c>
      <c r="AG3101">
        <v>-0.80511539999999904</v>
      </c>
      <c r="AH3101">
        <v>78.282270867009899</v>
      </c>
      <c r="AI3101">
        <v>90.587605065225901</v>
      </c>
      <c r="AJ3101">
        <v>85.713375715560602</v>
      </c>
      <c r="AK3101">
        <v>78.505999728481299</v>
      </c>
      <c r="AL3101">
        <v>76.9607379858965</v>
      </c>
      <c r="AM3101">
        <v>86.607799381233605</v>
      </c>
      <c r="AN3101">
        <v>1.0000000445699799</v>
      </c>
    </row>
    <row r="3102" spans="1:40" x14ac:dyDescent="0.25">
      <c r="A3102" t="str">
        <f>"20190303171038099"</f>
        <v>20190303171038099</v>
      </c>
      <c r="B3102" t="str">
        <f>"1551604238093805"</f>
        <v>1551604238093805</v>
      </c>
      <c r="C3102" t="s">
        <v>40</v>
      </c>
      <c r="D3102">
        <v>4.3810310000000001</v>
      </c>
      <c r="E3102">
        <v>0.52090829999999999</v>
      </c>
      <c r="F3102" t="s">
        <v>52</v>
      </c>
      <c r="G3102">
        <v>-179.9555</v>
      </c>
      <c r="H3102">
        <v>5.2296460000000003E-2</v>
      </c>
      <c r="I3102">
        <v>208.73400000000001</v>
      </c>
      <c r="J3102">
        <v>-247.39109999999999</v>
      </c>
      <c r="K3102">
        <v>1.120984</v>
      </c>
      <c r="L3102">
        <v>214.8432</v>
      </c>
      <c r="M3102">
        <v>0.99991079999999999</v>
      </c>
      <c r="N3102">
        <v>-1.305687E-2</v>
      </c>
      <c r="O3102">
        <v>2.855818E-3</v>
      </c>
      <c r="P3102">
        <v>0.97558699999999998</v>
      </c>
      <c r="Q3102">
        <v>0.21272179999999999</v>
      </c>
      <c r="R3102">
        <v>-5.4585729999999999E-2</v>
      </c>
      <c r="S3102">
        <v>3.0702820000000002</v>
      </c>
      <c r="T3102">
        <v>-4.8434850000000002E-2</v>
      </c>
      <c r="U3102">
        <v>-0.27684019999999998</v>
      </c>
      <c r="V3102">
        <v>5.7374399999999999E-2</v>
      </c>
      <c r="W3102">
        <v>0.2254389</v>
      </c>
      <c r="X3102">
        <v>0.97256640000000005</v>
      </c>
      <c r="Y3102">
        <v>9.2626550000000002E-2</v>
      </c>
      <c r="Z3102">
        <v>-1.3428559999999999E-3</v>
      </c>
      <c r="AA3102">
        <v>0.99570000000000003</v>
      </c>
      <c r="AB3102">
        <v>40</v>
      </c>
      <c r="AC3102">
        <v>67.435599999999994</v>
      </c>
      <c r="AD3102">
        <v>-1.06868754</v>
      </c>
      <c r="AE3102">
        <v>-6.10919999999998</v>
      </c>
      <c r="AF3102">
        <v>6.3002058984248501</v>
      </c>
      <c r="AG3102">
        <v>-1.06868754</v>
      </c>
      <c r="AH3102">
        <v>67.401087118258204</v>
      </c>
      <c r="AI3102">
        <v>90.904443347614702</v>
      </c>
      <c r="AJ3102">
        <v>84.6598877230835</v>
      </c>
      <c r="AK3102">
        <v>67.703332503974494</v>
      </c>
      <c r="AL3102">
        <v>76.971311086034802</v>
      </c>
      <c r="AM3102">
        <v>86.623875273105398</v>
      </c>
      <c r="AN3102">
        <v>0.99999996090876397</v>
      </c>
    </row>
    <row r="3103" spans="1:40" x14ac:dyDescent="0.25">
      <c r="A3103" t="str">
        <f>"20190303171038114"</f>
        <v>20190303171038114</v>
      </c>
      <c r="B3103" t="str">
        <f>"1551604238103566"</f>
        <v>1551604238103566</v>
      </c>
      <c r="C3103" t="s">
        <v>40</v>
      </c>
      <c r="D3103">
        <v>4.48597</v>
      </c>
      <c r="E3103">
        <v>0.52099870000000004</v>
      </c>
      <c r="F3103" t="s">
        <v>52</v>
      </c>
      <c r="G3103">
        <v>-184.489</v>
      </c>
      <c r="H3103" s="1">
        <v>3.6537989999999998E-6</v>
      </c>
      <c r="I3103">
        <v>209.00899999999999</v>
      </c>
      <c r="J3103">
        <v>-247.114</v>
      </c>
      <c r="K3103">
        <v>1.1209910000000001</v>
      </c>
      <c r="L3103">
        <v>214.84399999999999</v>
      </c>
      <c r="M3103">
        <v>0.99991039999999998</v>
      </c>
      <c r="N3103">
        <v>-1.308399E-2</v>
      </c>
      <c r="O3103">
        <v>2.8635660000000001E-3</v>
      </c>
      <c r="P3103">
        <v>0.97562470000000001</v>
      </c>
      <c r="Q3103">
        <v>0.2126961</v>
      </c>
      <c r="R3103">
        <v>-5.401007E-2</v>
      </c>
      <c r="S3103">
        <v>3.0710449999999998</v>
      </c>
      <c r="T3103">
        <v>-5.4729100000000003E-2</v>
      </c>
      <c r="U3103">
        <v>-0.28483579999999997</v>
      </c>
      <c r="V3103">
        <v>5.6806420000000003E-2</v>
      </c>
      <c r="W3103">
        <v>0.22544069999999999</v>
      </c>
      <c r="X3103">
        <v>0.9725994</v>
      </c>
      <c r="Y3103">
        <v>9.5177540000000005E-2</v>
      </c>
      <c r="Z3103">
        <v>-1.4838270000000001E-3</v>
      </c>
      <c r="AA3103">
        <v>0.99545919999999999</v>
      </c>
      <c r="AB3103">
        <v>40</v>
      </c>
      <c r="AC3103">
        <v>62.625</v>
      </c>
      <c r="AD3103">
        <v>-1.120987346201</v>
      </c>
      <c r="AE3103">
        <v>-5.835</v>
      </c>
      <c r="AF3103">
        <v>6.0124123706845403</v>
      </c>
      <c r="AG3103">
        <v>-1.120987346201</v>
      </c>
      <c r="AH3103">
        <v>62.588151588097901</v>
      </c>
      <c r="AI3103">
        <v>91.021387497911405</v>
      </c>
      <c r="AJ3103">
        <v>84.512826769428699</v>
      </c>
      <c r="AK3103">
        <v>62.886265864338199</v>
      </c>
      <c r="AL3103">
        <v>76.971206220470705</v>
      </c>
      <c r="AM3103">
        <v>86.657334338980903</v>
      </c>
      <c r="AN3103">
        <v>1.00000003572503</v>
      </c>
    </row>
    <row r="3104" spans="1:40" x14ac:dyDescent="0.25">
      <c r="A3104" t="str">
        <f>"20190303171038131"</f>
        <v>20190303171038131</v>
      </c>
      <c r="B3104" t="str">
        <f>"1551604238124062"</f>
        <v>1551604238124062</v>
      </c>
      <c r="C3104" t="s">
        <v>40</v>
      </c>
      <c r="D3104">
        <v>4.4942149999999996</v>
      </c>
      <c r="E3104">
        <v>0.52104329999999999</v>
      </c>
      <c r="F3104" t="s">
        <v>52</v>
      </c>
      <c r="G3104">
        <v>-183.03739999999999</v>
      </c>
      <c r="H3104" s="1">
        <v>3.4328399999999998E-6</v>
      </c>
      <c r="I3104">
        <v>208.9057</v>
      </c>
      <c r="J3104">
        <v>-246.79730000000001</v>
      </c>
      <c r="K3104">
        <v>1.120992</v>
      </c>
      <c r="L3104">
        <v>214.8449</v>
      </c>
      <c r="M3104">
        <v>0.99990990000000002</v>
      </c>
      <c r="N3104">
        <v>-1.31123E-2</v>
      </c>
      <c r="O3104">
        <v>2.872973E-3</v>
      </c>
      <c r="P3104">
        <v>0.97565939999999995</v>
      </c>
      <c r="Q3104">
        <v>0.21273</v>
      </c>
      <c r="R3104">
        <v>-5.3242520000000002E-2</v>
      </c>
      <c r="S3104">
        <v>3.0708920000000002</v>
      </c>
      <c r="T3104">
        <v>-5.3723689999999998E-2</v>
      </c>
      <c r="U3104">
        <v>-0.2845917</v>
      </c>
      <c r="V3104">
        <v>5.6048109999999998E-2</v>
      </c>
      <c r="W3104">
        <v>0.22550200000000001</v>
      </c>
      <c r="X3104">
        <v>0.97262910000000002</v>
      </c>
      <c r="Y3104">
        <v>9.5113740000000002E-2</v>
      </c>
      <c r="Z3104">
        <v>-1.467725E-3</v>
      </c>
      <c r="AA3104">
        <v>0.9954653</v>
      </c>
      <c r="AB3104">
        <v>40</v>
      </c>
      <c r="AC3104">
        <v>63.759900000000002</v>
      </c>
      <c r="AD3104">
        <v>-1.1209885671599999</v>
      </c>
      <c r="AE3104">
        <v>-5.9391999999999996</v>
      </c>
      <c r="AF3104">
        <v>6.1204960994217297</v>
      </c>
      <c r="AG3104">
        <v>-1.1209885671599999</v>
      </c>
      <c r="AH3104">
        <v>63.723044467421097</v>
      </c>
      <c r="AI3104">
        <v>91.003203068019403</v>
      </c>
      <c r="AJ3104">
        <v>84.513662101121298</v>
      </c>
      <c r="AK3104">
        <v>64.026115640944994</v>
      </c>
      <c r="AL3104">
        <v>76.967600079750994</v>
      </c>
      <c r="AM3104">
        <v>86.701956967983506</v>
      </c>
      <c r="AN3104">
        <v>0.99999995440268996</v>
      </c>
    </row>
    <row r="3105" spans="1:40" x14ac:dyDescent="0.25">
      <c r="A3105" t="str">
        <f>"20190303171038161"</f>
        <v>20190303171038161</v>
      </c>
      <c r="B3105" t="str">
        <f>"1551604238143581"</f>
        <v>1551604238143581</v>
      </c>
      <c r="C3105" t="s">
        <v>40</v>
      </c>
      <c r="D3105">
        <v>4.5415929999999998</v>
      </c>
      <c r="E3105">
        <v>0.52589659999999905</v>
      </c>
      <c r="F3105" t="s">
        <v>52</v>
      </c>
      <c r="G3105">
        <v>-182.1044</v>
      </c>
      <c r="H3105" s="1">
        <v>3.278146E-6</v>
      </c>
      <c r="I3105">
        <v>208.87520000000001</v>
      </c>
      <c r="J3105">
        <v>-246.3006</v>
      </c>
      <c r="K3105">
        <v>1.1209929999999999</v>
      </c>
      <c r="L3105">
        <v>214.84639999999999</v>
      </c>
      <c r="M3105">
        <v>0.99990939999999995</v>
      </c>
      <c r="N3105">
        <v>-1.315214E-2</v>
      </c>
      <c r="O3105">
        <v>2.8870160000000001E-3</v>
      </c>
      <c r="P3105">
        <v>0.97564819999999997</v>
      </c>
      <c r="Q3105">
        <v>0.21292030000000001</v>
      </c>
      <c r="R3105">
        <v>-5.2688810000000003E-2</v>
      </c>
      <c r="S3105">
        <v>3.070999</v>
      </c>
      <c r="T3105">
        <v>-5.3213829999999997E-2</v>
      </c>
      <c r="U3105">
        <v>-0.28338619999999998</v>
      </c>
      <c r="V3105">
        <v>5.5507939999999999E-2</v>
      </c>
      <c r="W3105">
        <v>0.22573099999999999</v>
      </c>
      <c r="X3105">
        <v>0.972607</v>
      </c>
      <c r="Y3105">
        <v>9.4737550000000004E-2</v>
      </c>
      <c r="Z3105">
        <v>-1.4554570000000001E-3</v>
      </c>
      <c r="AA3105">
        <v>0.99550119999999997</v>
      </c>
      <c r="AB3105">
        <v>40</v>
      </c>
      <c r="AC3105">
        <v>64.196200000000005</v>
      </c>
      <c r="AD3105">
        <v>-1.1209897218539999</v>
      </c>
      <c r="AE3105">
        <v>-5.9711999999999801</v>
      </c>
      <c r="AF3105">
        <v>6.1546660100629902</v>
      </c>
      <c r="AG3105">
        <v>-1.1209897218539999</v>
      </c>
      <c r="AH3105">
        <v>64.159296391504398</v>
      </c>
      <c r="AI3105">
        <v>90.9963956000217</v>
      </c>
      <c r="AJ3105">
        <v>84.520503379421697</v>
      </c>
      <c r="AK3105">
        <v>64.463569906613401</v>
      </c>
      <c r="AL3105">
        <v>76.954132643210201</v>
      </c>
      <c r="AM3105">
        <v>86.733599017025895</v>
      </c>
      <c r="AN3105">
        <v>0.99999999610652102</v>
      </c>
    </row>
    <row r="3106" spans="1:40" x14ac:dyDescent="0.25">
      <c r="A3106" t="str">
        <f>"20190303171038181"</f>
        <v>20190303171038181</v>
      </c>
      <c r="B3106" t="str">
        <f>"1551604238173838"</f>
        <v>1551604238173838</v>
      </c>
      <c r="C3106" t="s">
        <v>40</v>
      </c>
      <c r="D3106">
        <v>4.3917780000000004</v>
      </c>
      <c r="E3106">
        <v>0.52473549999999902</v>
      </c>
      <c r="F3106" t="s">
        <v>52</v>
      </c>
      <c r="G3106">
        <v>-187.9924</v>
      </c>
      <c r="H3106" s="1">
        <v>4.3634480000000001E-6</v>
      </c>
      <c r="I3106">
        <v>208.75960000000001</v>
      </c>
      <c r="J3106">
        <v>-245.91739999999999</v>
      </c>
      <c r="K3106">
        <v>1.121003</v>
      </c>
      <c r="L3106">
        <v>214.8475</v>
      </c>
      <c r="M3106">
        <v>0.99990900000000005</v>
      </c>
      <c r="N3106">
        <v>-1.317917E-2</v>
      </c>
      <c r="O3106">
        <v>2.8976290000000001E-3</v>
      </c>
      <c r="P3106">
        <v>0.97563080000000002</v>
      </c>
      <c r="Q3106">
        <v>0.21331079999999999</v>
      </c>
      <c r="R3106">
        <v>-5.1412260000000001E-2</v>
      </c>
      <c r="S3106">
        <v>3.070465</v>
      </c>
      <c r="T3106">
        <v>-5.9030409999999998E-2</v>
      </c>
      <c r="U3106">
        <v>-0.32052609999999998</v>
      </c>
      <c r="V3106">
        <v>5.4241650000000002E-2</v>
      </c>
      <c r="W3106">
        <v>0.22614770000000001</v>
      </c>
      <c r="X3106">
        <v>0.97258160000000005</v>
      </c>
      <c r="Y3106">
        <v>0.10667459999999999</v>
      </c>
      <c r="Z3106">
        <v>-1.745005E-3</v>
      </c>
      <c r="AA3106">
        <v>0.99429239999999997</v>
      </c>
      <c r="AB3106">
        <v>40</v>
      </c>
      <c r="AC3106">
        <v>57.924999999999898</v>
      </c>
      <c r="AD3106">
        <v>-1.1209986365519999</v>
      </c>
      <c r="AE3106">
        <v>-6.0878999999999897</v>
      </c>
      <c r="AF3106">
        <v>6.2534177089650296</v>
      </c>
      <c r="AG3106">
        <v>-1.1209986365519999</v>
      </c>
      <c r="AH3106">
        <v>57.8856721329553</v>
      </c>
      <c r="AI3106">
        <v>91.103020078255696</v>
      </c>
      <c r="AJ3106">
        <v>83.834220575473495</v>
      </c>
      <c r="AK3106">
        <v>58.233262911071201</v>
      </c>
      <c r="AL3106">
        <v>76.929623160903105</v>
      </c>
      <c r="AM3106">
        <v>86.807875603996706</v>
      </c>
      <c r="AN3106">
        <v>0.99999995373428496</v>
      </c>
    </row>
    <row r="3107" spans="1:40" x14ac:dyDescent="0.25">
      <c r="A3107" t="str">
        <f>"20190303171038203"</f>
        <v>20190303171038203</v>
      </c>
      <c r="B3107" t="str">
        <f>"1551604238194033"</f>
        <v>1551604238194033</v>
      </c>
      <c r="C3107" t="s">
        <v>40</v>
      </c>
      <c r="D3107">
        <v>4.4421860000000004</v>
      </c>
      <c r="E3107">
        <v>0.52438899999999999</v>
      </c>
      <c r="F3107" t="s">
        <v>52</v>
      </c>
      <c r="G3107">
        <v>-183.18020000000001</v>
      </c>
      <c r="H3107" s="1">
        <v>3.5827870000000001E-6</v>
      </c>
      <c r="I3107">
        <v>208.5532</v>
      </c>
      <c r="J3107">
        <v>-245.51650000000001</v>
      </c>
      <c r="K3107">
        <v>1.1210070000000001</v>
      </c>
      <c r="L3107">
        <v>214.84870000000001</v>
      </c>
      <c r="M3107">
        <v>0.99990869999999998</v>
      </c>
      <c r="N3107">
        <v>-1.3204209999999999E-2</v>
      </c>
      <c r="O3107">
        <v>2.9083749999999999E-3</v>
      </c>
      <c r="P3107">
        <v>0.97558639999999996</v>
      </c>
      <c r="Q3107">
        <v>0.2138169</v>
      </c>
      <c r="R3107">
        <v>-5.0141570000000003E-2</v>
      </c>
      <c r="S3107">
        <v>3.070694</v>
      </c>
      <c r="T3107">
        <v>-5.4867630000000001E-2</v>
      </c>
      <c r="U3107">
        <v>-0.30807499999999999</v>
      </c>
      <c r="V3107">
        <v>5.2981060000000003E-2</v>
      </c>
      <c r="W3107">
        <v>0.2266772</v>
      </c>
      <c r="X3107">
        <v>0.9725279</v>
      </c>
      <c r="Y3107">
        <v>0.10269159999999999</v>
      </c>
      <c r="Z3107">
        <v>-1.608415E-3</v>
      </c>
      <c r="AA3107">
        <v>0.99471189999999998</v>
      </c>
      <c r="AB3107">
        <v>40</v>
      </c>
      <c r="AC3107">
        <v>62.336300000000001</v>
      </c>
      <c r="AD3107">
        <v>-1.1210034172129999</v>
      </c>
      <c r="AE3107">
        <v>-6.2954999999999997</v>
      </c>
      <c r="AF3107">
        <v>6.4747137510503201</v>
      </c>
      <c r="AG3107">
        <v>-1.1210034172129999</v>
      </c>
      <c r="AH3107">
        <v>62.297781732677599</v>
      </c>
      <c r="AI3107">
        <v>91.025362940966403</v>
      </c>
      <c r="AJ3107">
        <v>84.066455911712893</v>
      </c>
      <c r="AK3107">
        <v>62.643372958612098</v>
      </c>
      <c r="AL3107">
        <v>76.898477234933907</v>
      </c>
      <c r="AM3107">
        <v>86.881741447464293</v>
      </c>
      <c r="AN3107">
        <v>1.00000003099848</v>
      </c>
    </row>
    <row r="3108" spans="1:40" x14ac:dyDescent="0.25">
      <c r="A3108" t="str">
        <f>"20190303171038226"</f>
        <v>20190303171038226</v>
      </c>
      <c r="B3108" t="str">
        <f>"1551604238213553"</f>
        <v>1551604238213553</v>
      </c>
      <c r="C3108" t="s">
        <v>40</v>
      </c>
      <c r="D3108">
        <v>4.5477040000000004</v>
      </c>
      <c r="E3108">
        <v>0.52421549999999995</v>
      </c>
      <c r="F3108" t="s">
        <v>52</v>
      </c>
      <c r="G3108">
        <v>-179.95599999999999</v>
      </c>
      <c r="H3108">
        <v>5.1719099999999997E-2</v>
      </c>
      <c r="I3108">
        <v>208.3973</v>
      </c>
      <c r="J3108">
        <v>-245.11750000000001</v>
      </c>
      <c r="K3108">
        <v>1.1210100000000001</v>
      </c>
      <c r="L3108">
        <v>214.84989999999999</v>
      </c>
      <c r="M3108">
        <v>0.99990829999999997</v>
      </c>
      <c r="N3108">
        <v>-1.3226069999999999E-2</v>
      </c>
      <c r="O3108">
        <v>2.9188420000000001E-3</v>
      </c>
      <c r="P3108">
        <v>0.97557539999999998</v>
      </c>
      <c r="Q3108">
        <v>0.21412870000000001</v>
      </c>
      <c r="R3108">
        <v>-4.900678E-2</v>
      </c>
      <c r="S3108">
        <v>3.070557</v>
      </c>
      <c r="T3108">
        <v>-5.0080659999999999E-2</v>
      </c>
      <c r="U3108">
        <v>-0.30215449999999999</v>
      </c>
      <c r="V3108">
        <v>5.1856560000000003E-2</v>
      </c>
      <c r="W3108">
        <v>0.22701060000000001</v>
      </c>
      <c r="X3108">
        <v>0.97251069999999995</v>
      </c>
      <c r="Y3108">
        <v>0.10081130000000001</v>
      </c>
      <c r="Z3108">
        <v>-1.4974420000000001E-3</v>
      </c>
      <c r="AA3108">
        <v>0.99490449999999997</v>
      </c>
      <c r="AB3108">
        <v>40</v>
      </c>
      <c r="AC3108">
        <v>65.161500000000004</v>
      </c>
      <c r="AD3108">
        <v>-1.0692908999999999</v>
      </c>
      <c r="AE3108">
        <v>-6.4525999999999897</v>
      </c>
      <c r="AF3108">
        <v>6.6410143141489399</v>
      </c>
      <c r="AG3108">
        <v>-1.0692908999999999</v>
      </c>
      <c r="AH3108">
        <v>65.125019817418504</v>
      </c>
      <c r="AI3108">
        <v>90.935805634391301</v>
      </c>
      <c r="AJ3108">
        <v>84.177485548502901</v>
      </c>
      <c r="AK3108">
        <v>65.471479747816204</v>
      </c>
      <c r="AL3108">
        <v>76.8788629470627</v>
      </c>
      <c r="AM3108">
        <v>86.947744759841697</v>
      </c>
      <c r="AN3108">
        <v>0.99999998847094096</v>
      </c>
    </row>
    <row r="3109" spans="1:40" x14ac:dyDescent="0.25">
      <c r="A3109" t="str">
        <f>"20190303171038248"</f>
        <v>20190303171038248</v>
      </c>
      <c r="B3109" t="str">
        <f>"1551604238243808"</f>
        <v>1551604238243808</v>
      </c>
      <c r="C3109" t="s">
        <v>40</v>
      </c>
      <c r="D3109">
        <v>4.6881539999999999</v>
      </c>
      <c r="E3109">
        <v>0.52420509999999998</v>
      </c>
      <c r="F3109" t="s">
        <v>52</v>
      </c>
      <c r="G3109">
        <v>-177.52099999999999</v>
      </c>
      <c r="H3109">
        <v>8.0004389999999995E-2</v>
      </c>
      <c r="I3109">
        <v>208.2921</v>
      </c>
      <c r="J3109">
        <v>-244.71520000000001</v>
      </c>
      <c r="K3109">
        <v>1.121014</v>
      </c>
      <c r="L3109">
        <v>214.8511</v>
      </c>
      <c r="M3109">
        <v>0.99990800000000002</v>
      </c>
      <c r="N3109">
        <v>-1.324525E-2</v>
      </c>
      <c r="O3109">
        <v>2.9301560000000002E-3</v>
      </c>
      <c r="P3109">
        <v>0.97542359999999995</v>
      </c>
      <c r="Q3109">
        <v>0.21508840000000001</v>
      </c>
      <c r="R3109">
        <v>-4.7814479999999999E-2</v>
      </c>
      <c r="S3109">
        <v>3.070541</v>
      </c>
      <c r="T3109">
        <v>-4.728723E-2</v>
      </c>
      <c r="U3109">
        <v>-0.29788209999999998</v>
      </c>
      <c r="V3109">
        <v>5.0674829999999997E-2</v>
      </c>
      <c r="W3109">
        <v>0.22798669999999999</v>
      </c>
      <c r="X3109">
        <v>0.9723446</v>
      </c>
      <c r="Y3109">
        <v>9.9454029999999999E-2</v>
      </c>
      <c r="Z3109">
        <v>-1.4305609999999999E-3</v>
      </c>
      <c r="AA3109">
        <v>0.99504110000000001</v>
      </c>
      <c r="AB3109">
        <v>40</v>
      </c>
      <c r="AC3109">
        <v>67.194199999999995</v>
      </c>
      <c r="AD3109">
        <v>-1.0410096099999999</v>
      </c>
      <c r="AE3109">
        <v>-6.5589999999999904</v>
      </c>
      <c r="AF3109">
        <v>6.7542727422523496</v>
      </c>
      <c r="AG3109">
        <v>-1.0410096099999999</v>
      </c>
      <c r="AH3109">
        <v>67.158723670600907</v>
      </c>
      <c r="AI3109">
        <v>90.883598894272595</v>
      </c>
      <c r="AJ3109">
        <v>84.256972179312498</v>
      </c>
      <c r="AK3109">
        <v>67.505541004787005</v>
      </c>
      <c r="AL3109">
        <v>76.821430013871407</v>
      </c>
      <c r="AM3109">
        <v>87.016665201602706</v>
      </c>
      <c r="AN3109">
        <v>0.99999994746078802</v>
      </c>
    </row>
    <row r="3110" spans="1:40" x14ac:dyDescent="0.25">
      <c r="A3110" t="str">
        <f>"20190303171038271"</f>
        <v>20190303171038271</v>
      </c>
      <c r="B3110" t="str">
        <f>"1551604238264307"</f>
        <v>1551604238264307</v>
      </c>
      <c r="C3110" t="s">
        <v>40</v>
      </c>
      <c r="D3110">
        <v>4.4715449999999999</v>
      </c>
      <c r="E3110">
        <v>0.52435369999999903</v>
      </c>
      <c r="F3110" t="s">
        <v>50</v>
      </c>
      <c r="G3110">
        <v>-168.4101</v>
      </c>
      <c r="H3110">
        <v>2.2720339999999999E-2</v>
      </c>
      <c r="I3110">
        <v>207.52359999999999</v>
      </c>
      <c r="J3110">
        <v>-244.32140000000001</v>
      </c>
      <c r="K3110">
        <v>1.1210169999999999</v>
      </c>
      <c r="L3110">
        <v>214.85220000000001</v>
      </c>
      <c r="M3110">
        <v>0.99990780000000001</v>
      </c>
      <c r="N3110">
        <v>-1.326158E-2</v>
      </c>
      <c r="O3110">
        <v>2.941014E-3</v>
      </c>
      <c r="P3110">
        <v>0.97520289999999998</v>
      </c>
      <c r="Q3110">
        <v>0.21625929999999999</v>
      </c>
      <c r="R3110">
        <v>-4.7026819999999997E-2</v>
      </c>
      <c r="S3110">
        <v>3.0708769999999999</v>
      </c>
      <c r="T3110">
        <v>-4.419911E-2</v>
      </c>
      <c r="U3110">
        <v>-0.29489140000000003</v>
      </c>
      <c r="V3110">
        <v>4.9897190000000001E-2</v>
      </c>
      <c r="W3110">
        <v>0.2291704</v>
      </c>
      <c r="X3110">
        <v>0.97210660000000004</v>
      </c>
      <c r="Y3110">
        <v>9.8496539999999994E-2</v>
      </c>
      <c r="Z3110">
        <v>-1.3651879999999901E-3</v>
      </c>
      <c r="AA3110">
        <v>0.99513640000000003</v>
      </c>
      <c r="AB3110">
        <v>40</v>
      </c>
      <c r="AC3110">
        <v>75.911299999999997</v>
      </c>
      <c r="AD3110">
        <v>-1.0982966599999999</v>
      </c>
      <c r="AE3110">
        <v>-7.3286000000000202</v>
      </c>
      <c r="AF3110">
        <v>7.5502782291348103</v>
      </c>
      <c r="AG3110">
        <v>-1.0982966599999999</v>
      </c>
      <c r="AH3110">
        <v>75.873680439999305</v>
      </c>
      <c r="AI3110">
        <v>90.825242133995005</v>
      </c>
      <c r="AJ3110">
        <v>84.317139154182001</v>
      </c>
      <c r="AK3110">
        <v>76.256333116678604</v>
      </c>
      <c r="AL3110">
        <v>76.751765635617602</v>
      </c>
      <c r="AM3110">
        <v>87.061647747901503</v>
      </c>
      <c r="AN3110">
        <v>1.0000000217848</v>
      </c>
    </row>
    <row r="3111" spans="1:40" x14ac:dyDescent="0.25">
      <c r="A3111" t="str">
        <f>"20190303171038292"</f>
        <v>20190303171038292</v>
      </c>
      <c r="B3111" t="str">
        <f>"1551604238283825"</f>
        <v>1551604238283825</v>
      </c>
      <c r="C3111" t="s">
        <v>40</v>
      </c>
      <c r="D3111">
        <v>4.4907250000000003</v>
      </c>
      <c r="E3111">
        <v>0.52527119999999905</v>
      </c>
      <c r="F3111" t="s">
        <v>50</v>
      </c>
      <c r="G3111">
        <v>-168.4102</v>
      </c>
      <c r="H3111">
        <v>0.11014939999999999</v>
      </c>
      <c r="I3111">
        <v>207.58519999999999</v>
      </c>
      <c r="J3111">
        <v>-243.93440000000001</v>
      </c>
      <c r="K3111">
        <v>1.121022</v>
      </c>
      <c r="L3111">
        <v>214.85339999999999</v>
      </c>
      <c r="M3111">
        <v>0.99990760000000001</v>
      </c>
      <c r="N3111">
        <v>-1.32754E-2</v>
      </c>
      <c r="O3111">
        <v>2.9518299999999999E-3</v>
      </c>
      <c r="P3111">
        <v>0.97519800000000001</v>
      </c>
      <c r="Q3111">
        <v>0.21646889999999999</v>
      </c>
      <c r="R3111">
        <v>-4.6152560000000002E-2</v>
      </c>
      <c r="S3111">
        <v>3.0711819999999999</v>
      </c>
      <c r="T3111">
        <v>-4.0895939999999999E-2</v>
      </c>
      <c r="U3111">
        <v>-0.2940063</v>
      </c>
      <c r="V3111">
        <v>4.9033489999999999E-2</v>
      </c>
      <c r="W3111">
        <v>0.2293936</v>
      </c>
      <c r="X3111">
        <v>0.97209789999999996</v>
      </c>
      <c r="Y3111">
        <v>9.8215949999999996E-2</v>
      </c>
      <c r="Z3111">
        <v>-1.3060229999999999E-3</v>
      </c>
      <c r="AA3111">
        <v>0.9951643</v>
      </c>
      <c r="AB3111">
        <v>40</v>
      </c>
      <c r="AC3111">
        <v>75.524199999999993</v>
      </c>
      <c r="AD3111">
        <v>-1.0108725999999999</v>
      </c>
      <c r="AE3111">
        <v>-7.2682000000000002</v>
      </c>
      <c r="AF3111">
        <v>7.4897930632308398</v>
      </c>
      <c r="AG3111">
        <v>-1.0108725999999999</v>
      </c>
      <c r="AH3111">
        <v>75.489014657497194</v>
      </c>
      <c r="AI3111">
        <v>90.763453252298703</v>
      </c>
      <c r="AJ3111">
        <v>84.333829087475294</v>
      </c>
      <c r="AK3111">
        <v>75.866397024659506</v>
      </c>
      <c r="AL3111">
        <v>76.738627146464694</v>
      </c>
      <c r="AM3111">
        <v>87.112396791476897</v>
      </c>
      <c r="AN3111">
        <v>1.00000001702347</v>
      </c>
    </row>
    <row r="3112" spans="1:40" x14ac:dyDescent="0.25">
      <c r="A3112" t="str">
        <f>"20190303171038315"</f>
        <v>20190303171038315</v>
      </c>
      <c r="B3112" t="str">
        <f>"1551604238304202"</f>
        <v>1551604238304202</v>
      </c>
      <c r="C3112" t="s">
        <v>40</v>
      </c>
      <c r="D3112">
        <v>4.4353389999999999</v>
      </c>
      <c r="E3112">
        <v>0.5253795</v>
      </c>
      <c r="F3112" t="s">
        <v>50</v>
      </c>
      <c r="G3112">
        <v>-168.4102</v>
      </c>
      <c r="H3112">
        <v>6.2240599999999903E-2</v>
      </c>
      <c r="I3112">
        <v>207.50800000000001</v>
      </c>
      <c r="J3112">
        <v>-243.53700000000001</v>
      </c>
      <c r="K3112">
        <v>1.121014</v>
      </c>
      <c r="L3112">
        <v>214.8546</v>
      </c>
      <c r="M3112">
        <v>0.99990730000000005</v>
      </c>
      <c r="N3112">
        <v>-1.328758E-2</v>
      </c>
      <c r="O3112">
        <v>2.9627159999999998E-3</v>
      </c>
      <c r="P3112">
        <v>0.97522209999999998</v>
      </c>
      <c r="Q3112">
        <v>0.2165475</v>
      </c>
      <c r="R3112">
        <v>-4.5266679999999997E-2</v>
      </c>
      <c r="S3112">
        <v>3.0717319999999999</v>
      </c>
      <c r="T3112">
        <v>-4.3061490000000001E-2</v>
      </c>
      <c r="U3112">
        <v>-0.29875180000000001</v>
      </c>
      <c r="V3112">
        <v>4.8158270000000003E-2</v>
      </c>
      <c r="W3112">
        <v>0.22948460000000001</v>
      </c>
      <c r="X3112">
        <v>0.97212019999999999</v>
      </c>
      <c r="Y3112">
        <v>9.9731349999999996E-2</v>
      </c>
      <c r="Z3112">
        <v>-1.3637759999999999E-3</v>
      </c>
      <c r="AA3112">
        <v>0.9950135</v>
      </c>
      <c r="AB3112">
        <v>40</v>
      </c>
      <c r="AC3112">
        <v>75.126800000000003</v>
      </c>
      <c r="AD3112">
        <v>-1.05877339999999</v>
      </c>
      <c r="AE3112">
        <v>-7.34660000000002</v>
      </c>
      <c r="AF3112">
        <v>7.5676779498155202</v>
      </c>
      <c r="AG3112">
        <v>-1.05877339999999</v>
      </c>
      <c r="AH3112">
        <v>75.089929547654506</v>
      </c>
      <c r="AI3112">
        <v>90.803750113496406</v>
      </c>
      <c r="AJ3112">
        <v>84.245075309724299</v>
      </c>
      <c r="AK3112">
        <v>75.477733604927494</v>
      </c>
      <c r="AL3112">
        <v>76.733270663271796</v>
      </c>
      <c r="AM3112">
        <v>87.163918909804593</v>
      </c>
      <c r="AN3112">
        <v>1.0000000419272901</v>
      </c>
    </row>
    <row r="3113" spans="1:40" x14ac:dyDescent="0.25">
      <c r="A3113" t="str">
        <f>"20190303171038338"</f>
        <v>20190303171038338</v>
      </c>
      <c r="B3113" t="str">
        <f>"1551604238333485"</f>
        <v>1551604238333485</v>
      </c>
      <c r="C3113" t="s">
        <v>40</v>
      </c>
      <c r="D3113">
        <v>4.5510000000000002</v>
      </c>
      <c r="E3113">
        <v>0.4940099</v>
      </c>
      <c r="F3113" t="s">
        <v>50</v>
      </c>
      <c r="G3113">
        <v>-168.4101</v>
      </c>
      <c r="H3113">
        <v>2.2418980000000002E-2</v>
      </c>
      <c r="I3113">
        <v>207.595</v>
      </c>
      <c r="J3113">
        <v>-243.136</v>
      </c>
      <c r="K3113">
        <v>1.121014</v>
      </c>
      <c r="L3113">
        <v>214.85579999999999</v>
      </c>
      <c r="M3113">
        <v>0.99990730000000005</v>
      </c>
      <c r="N3113">
        <v>-1.329805E-2</v>
      </c>
      <c r="O3113">
        <v>2.973912E-3</v>
      </c>
      <c r="P3113">
        <v>0.97541040000000001</v>
      </c>
      <c r="Q3113">
        <v>0.21587010000000001</v>
      </c>
      <c r="R3113">
        <v>-4.4443240000000002E-2</v>
      </c>
      <c r="S3113">
        <v>3.0724179999999999</v>
      </c>
      <c r="T3113">
        <v>-4.492724E-2</v>
      </c>
      <c r="U3113">
        <v>-0.2968903</v>
      </c>
      <c r="V3113">
        <v>4.7346119999999998E-2</v>
      </c>
      <c r="W3113">
        <v>0.22882</v>
      </c>
      <c r="X3113">
        <v>0.97231670000000003</v>
      </c>
      <c r="Y3113">
        <v>9.9122619999999995E-2</v>
      </c>
      <c r="Z3113">
        <v>-1.387627E-3</v>
      </c>
      <c r="AA3113">
        <v>0.99507429999999997</v>
      </c>
      <c r="AB3113">
        <v>40</v>
      </c>
      <c r="AC3113">
        <v>74.725899999999996</v>
      </c>
      <c r="AD3113">
        <v>-1.0985950200000001</v>
      </c>
      <c r="AE3113">
        <v>-7.2607999999999802</v>
      </c>
      <c r="AF3113">
        <v>7.48141385592118</v>
      </c>
      <c r="AG3113">
        <v>-1.0985950200000001</v>
      </c>
      <c r="AH3113">
        <v>74.687982615485694</v>
      </c>
      <c r="AI3113">
        <v>90.838514479540294</v>
      </c>
      <c r="AJ3113">
        <v>84.279824976945704</v>
      </c>
      <c r="AK3113">
        <v>75.069788939843406</v>
      </c>
      <c r="AL3113">
        <v>76.772389910760793</v>
      </c>
      <c r="AM3113">
        <v>87.212233599481493</v>
      </c>
      <c r="AN3113">
        <v>1.00000000628897</v>
      </c>
    </row>
    <row r="3114" spans="1:40" x14ac:dyDescent="0.25">
      <c r="A3114" t="str">
        <f>"20190303171038361"</f>
        <v>20190303171038361</v>
      </c>
      <c r="B3114" t="str">
        <f>"1551604238353977"</f>
        <v>1551604238353977</v>
      </c>
      <c r="C3114" t="s">
        <v>40</v>
      </c>
      <c r="D3114">
        <v>4.614522</v>
      </c>
      <c r="E3114">
        <v>0.4879153</v>
      </c>
      <c r="F3114" t="s">
        <v>41</v>
      </c>
      <c r="G3114">
        <v>-103.70099999999999</v>
      </c>
      <c r="H3114">
        <v>-0.05</v>
      </c>
      <c r="I3114">
        <v>212.803</v>
      </c>
      <c r="J3114">
        <v>-242.7235</v>
      </c>
      <c r="K3114">
        <v>1.1210180000000001</v>
      </c>
      <c r="L3114">
        <v>214.857</v>
      </c>
      <c r="M3114">
        <v>0.99990699999999999</v>
      </c>
      <c r="N3114">
        <v>-1.330715E-2</v>
      </c>
      <c r="O3114">
        <v>2.9854719999999999E-3</v>
      </c>
      <c r="P3114">
        <v>0.97545369999999998</v>
      </c>
      <c r="Q3114">
        <v>0.21572559999999999</v>
      </c>
      <c r="R3114">
        <v>-4.4185530000000001E-2</v>
      </c>
      <c r="S3114">
        <v>3.079269</v>
      </c>
      <c r="T3114">
        <v>-2.586055E-2</v>
      </c>
      <c r="U3114">
        <v>-4.5333859999999997E-2</v>
      </c>
      <c r="V3114">
        <v>4.710019E-2</v>
      </c>
      <c r="W3114">
        <v>0.22868440000000001</v>
      </c>
      <c r="X3114">
        <v>0.97236060000000002</v>
      </c>
      <c r="Y3114">
        <v>1.7704379999999999E-2</v>
      </c>
      <c r="Z3114">
        <v>-1.774953E-4</v>
      </c>
      <c r="AA3114">
        <v>0.99984320000000004</v>
      </c>
      <c r="AB3114">
        <v>40</v>
      </c>
      <c r="AC3114">
        <v>139.02249999999901</v>
      </c>
      <c r="AD3114">
        <v>-1.1710179999999999</v>
      </c>
      <c r="AE3114">
        <v>-2.0539999999999998</v>
      </c>
      <c r="AF3114">
        <v>2.4689002465638499</v>
      </c>
      <c r="AG3114">
        <v>-1.1710179999999999</v>
      </c>
      <c r="AH3114">
        <v>139.00588721093499</v>
      </c>
      <c r="AI3114">
        <v>90.482585478303903</v>
      </c>
      <c r="AJ3114">
        <v>88.982469770104203</v>
      </c>
      <c r="AK3114">
        <v>139.03274229793101</v>
      </c>
      <c r="AL3114">
        <v>76.780371552230505</v>
      </c>
      <c r="AM3114">
        <v>87.226816445146795</v>
      </c>
      <c r="AN3114">
        <v>1.0000000595668701</v>
      </c>
    </row>
    <row r="3115" spans="1:40" x14ac:dyDescent="0.25">
      <c r="A3115" t="str">
        <f>"20190303171038382"</f>
        <v>20190303171038382</v>
      </c>
      <c r="B3115" t="str">
        <f>"1551604238373498"</f>
        <v>1551604238373498</v>
      </c>
      <c r="C3115" t="s">
        <v>40</v>
      </c>
      <c r="D3115">
        <v>4.521604</v>
      </c>
      <c r="E3115">
        <v>0.48619230000000002</v>
      </c>
      <c r="F3115" t="s">
        <v>41</v>
      </c>
      <c r="G3115">
        <v>-100.9141</v>
      </c>
      <c r="H3115">
        <v>-0.05</v>
      </c>
      <c r="I3115">
        <v>215.02</v>
      </c>
      <c r="J3115">
        <v>-242.34819999999999</v>
      </c>
      <c r="K3115">
        <v>1.1210150000000001</v>
      </c>
      <c r="L3115">
        <v>214.85820000000001</v>
      </c>
      <c r="M3115">
        <v>0.99990699999999999</v>
      </c>
      <c r="N3115">
        <v>-1.331424E-2</v>
      </c>
      <c r="O3115">
        <v>2.995677E-3</v>
      </c>
      <c r="P3115">
        <v>0.97556980000000004</v>
      </c>
      <c r="Q3115">
        <v>0.2150958</v>
      </c>
      <c r="R3115">
        <v>-4.4692120000000002E-2</v>
      </c>
      <c r="S3115">
        <v>3.081299</v>
      </c>
      <c r="T3115">
        <v>-2.5444390000000001E-2</v>
      </c>
      <c r="U3115">
        <v>3.540039E-3</v>
      </c>
      <c r="V3115">
        <v>4.761692E-2</v>
      </c>
      <c r="W3115">
        <v>0.2280633</v>
      </c>
      <c r="X3115">
        <v>0.97248129999999999</v>
      </c>
      <c r="Y3115">
        <v>1.8468650000000001E-3</v>
      </c>
      <c r="Z3115" s="1">
        <v>-4.7706700000000004E-6</v>
      </c>
      <c r="AA3115">
        <v>0.99999830000000001</v>
      </c>
      <c r="AB3115">
        <v>40</v>
      </c>
      <c r="AC3115">
        <v>141.4341</v>
      </c>
      <c r="AD3115">
        <v>-1.1710149999999999</v>
      </c>
      <c r="AE3115">
        <v>0.161799999999999</v>
      </c>
      <c r="AF3115">
        <v>0.26191115743346499</v>
      </c>
      <c r="AG3115">
        <v>-1.1710149999999999</v>
      </c>
      <c r="AH3115">
        <v>141.42425518388899</v>
      </c>
      <c r="AI3115">
        <v>90.474406379755393</v>
      </c>
      <c r="AJ3115">
        <v>89.893890996612498</v>
      </c>
      <c r="AK3115">
        <v>141.429345709801</v>
      </c>
      <c r="AL3115">
        <v>76.816923907034393</v>
      </c>
      <c r="AM3115">
        <v>87.196787899361794</v>
      </c>
      <c r="AN3115">
        <v>1.0000000593634299</v>
      </c>
    </row>
    <row r="3116" spans="1:40" x14ac:dyDescent="0.25">
      <c r="A3116" t="str">
        <f>"20190303171038404"</f>
        <v>20190303171038404</v>
      </c>
      <c r="B3116" t="str">
        <f>"1551604238393994"</f>
        <v>1551604238393994</v>
      </c>
      <c r="C3116" t="s">
        <v>40</v>
      </c>
      <c r="D3116">
        <v>4.4359000000000002</v>
      </c>
      <c r="E3116">
        <v>0.48549560000000003</v>
      </c>
      <c r="F3116" t="s">
        <v>41</v>
      </c>
      <c r="G3116">
        <v>-95.73854</v>
      </c>
      <c r="H3116">
        <v>-0.05</v>
      </c>
      <c r="I3116">
        <v>215.58420000000001</v>
      </c>
      <c r="J3116">
        <v>-241.95679999999999</v>
      </c>
      <c r="K3116">
        <v>1.121014</v>
      </c>
      <c r="L3116">
        <v>214.85929999999999</v>
      </c>
      <c r="M3116">
        <v>0.99990690000000004</v>
      </c>
      <c r="N3116">
        <v>-1.3320510000000001E-2</v>
      </c>
      <c r="O3116">
        <v>3.0062460000000002E-3</v>
      </c>
      <c r="P3116">
        <v>0.97550689999999995</v>
      </c>
      <c r="Q3116">
        <v>0.2153196</v>
      </c>
      <c r="R3116">
        <v>-4.4992520000000001E-2</v>
      </c>
      <c r="S3116">
        <v>3.0812680000000001</v>
      </c>
      <c r="T3116">
        <v>-2.4611000000000001E-2</v>
      </c>
      <c r="U3116">
        <v>1.525879E-2</v>
      </c>
      <c r="V3116">
        <v>4.7927299999999999E-2</v>
      </c>
      <c r="W3116">
        <v>0.22829260000000001</v>
      </c>
      <c r="X3116">
        <v>0.97241219999999995</v>
      </c>
      <c r="Y3116">
        <v>-1.945432E-3</v>
      </c>
      <c r="Z3116" s="1">
        <v>3.67631E-5</v>
      </c>
      <c r="AA3116">
        <v>0.9999981</v>
      </c>
      <c r="AB3116">
        <v>40</v>
      </c>
      <c r="AC3116">
        <v>146.21825999999999</v>
      </c>
      <c r="AD3116">
        <v>-1.171014</v>
      </c>
      <c r="AE3116">
        <v>0.72490000000001897</v>
      </c>
      <c r="AF3116">
        <v>-0.28527142723671201</v>
      </c>
      <c r="AG3116">
        <v>-1.171014</v>
      </c>
      <c r="AH3116">
        <v>146.21040104554999</v>
      </c>
      <c r="AI3116">
        <v>90.458877051336898</v>
      </c>
      <c r="AJ3116">
        <v>90.111789776506797</v>
      </c>
      <c r="AK3116">
        <v>146.21536864323099</v>
      </c>
      <c r="AL3116">
        <v>76.803429372790703</v>
      </c>
      <c r="AM3116">
        <v>87.178345062326898</v>
      </c>
      <c r="AN3116">
        <v>1.0000000120044401</v>
      </c>
    </row>
    <row r="3117" spans="1:40" x14ac:dyDescent="0.25">
      <c r="A3117" t="str">
        <f>"20190303171038428"</f>
        <v>20190303171038428</v>
      </c>
      <c r="B3117" t="str">
        <f>"1551604238413514"</f>
        <v>1551604238413514</v>
      </c>
      <c r="C3117" t="s">
        <v>40</v>
      </c>
      <c r="D3117">
        <v>4.5197279999999997</v>
      </c>
      <c r="E3117">
        <v>0.48533690000000002</v>
      </c>
      <c r="F3117" t="s">
        <v>77</v>
      </c>
      <c r="G3117">
        <v>-107.39749999999999</v>
      </c>
      <c r="H3117">
        <v>0.15355339999999901</v>
      </c>
      <c r="I3117">
        <v>215.70699999999999</v>
      </c>
      <c r="J3117">
        <v>-241.54480000000001</v>
      </c>
      <c r="K3117">
        <v>1.121011</v>
      </c>
      <c r="L3117">
        <v>214.86060000000001</v>
      </c>
      <c r="M3117">
        <v>0.99990670000000004</v>
      </c>
      <c r="N3117">
        <v>-1.3326030000000001E-2</v>
      </c>
      <c r="O3117">
        <v>3.0178309999999999E-3</v>
      </c>
      <c r="P3117">
        <v>0.9754273</v>
      </c>
      <c r="Q3117">
        <v>0.21568329999999999</v>
      </c>
      <c r="R3117">
        <v>-4.4971869999999997E-2</v>
      </c>
      <c r="S3117">
        <v>3.0811160000000002</v>
      </c>
      <c r="T3117">
        <v>-2.2151589999999999E-2</v>
      </c>
      <c r="U3117">
        <v>1.9409180000000002E-2</v>
      </c>
      <c r="V3117">
        <v>4.7917710000000002E-2</v>
      </c>
      <c r="W3117">
        <v>0.22866030000000001</v>
      </c>
      <c r="X3117">
        <v>0.97232629999999998</v>
      </c>
      <c r="Y3117">
        <v>-3.2810220000000002E-3</v>
      </c>
      <c r="Z3117" s="1">
        <v>5.2179290000000003E-5</v>
      </c>
      <c r="AA3117">
        <v>0.99999459999999996</v>
      </c>
      <c r="AB3117">
        <v>40</v>
      </c>
      <c r="AC3117">
        <v>134.1473</v>
      </c>
      <c r="AD3117">
        <v>-0.96745759999999903</v>
      </c>
      <c r="AE3117">
        <v>0.84639999999998805</v>
      </c>
      <c r="AF3117">
        <v>-0.44150337166854497</v>
      </c>
      <c r="AG3117">
        <v>-0.96745759999999903</v>
      </c>
      <c r="AH3117">
        <v>134.14226687601399</v>
      </c>
      <c r="AI3117">
        <v>90.413217827219199</v>
      </c>
      <c r="AJ3117">
        <v>90.188577314851997</v>
      </c>
      <c r="AK3117">
        <v>134.146482108442</v>
      </c>
      <c r="AL3117">
        <v>76.781789655699399</v>
      </c>
      <c r="AM3117">
        <v>87.178659922284695</v>
      </c>
      <c r="AN3117">
        <v>1.0000000366997099</v>
      </c>
    </row>
    <row r="3118" spans="1:40" x14ac:dyDescent="0.25">
      <c r="A3118" t="str">
        <f>"20190303171038450"</f>
        <v>20190303171038450</v>
      </c>
      <c r="B3118" t="str">
        <f>"1551604238443770"</f>
        <v>1551604238443770</v>
      </c>
      <c r="C3118" t="s">
        <v>40</v>
      </c>
      <c r="D3118">
        <v>4.4559030000000002</v>
      </c>
      <c r="E3118">
        <v>0.48423169999999999</v>
      </c>
      <c r="F3118" t="s">
        <v>77</v>
      </c>
      <c r="G3118">
        <v>-107.39749999999999</v>
      </c>
      <c r="H3118">
        <v>0.245895</v>
      </c>
      <c r="I3118">
        <v>215.75219999999999</v>
      </c>
      <c r="J3118">
        <v>-241.14150000000001</v>
      </c>
      <c r="K3118">
        <v>1.121014</v>
      </c>
      <c r="L3118">
        <v>214.86179999999999</v>
      </c>
      <c r="M3118">
        <v>0.99990670000000004</v>
      </c>
      <c r="N3118">
        <v>-1.333052E-2</v>
      </c>
      <c r="O3118">
        <v>3.0290650000000001E-3</v>
      </c>
      <c r="P3118">
        <v>0.97547669999999997</v>
      </c>
      <c r="Q3118">
        <v>0.21540300000000001</v>
      </c>
      <c r="R3118">
        <v>-4.5246010000000003E-2</v>
      </c>
      <c r="S3118">
        <v>3.0809630000000001</v>
      </c>
      <c r="T3118">
        <v>-2.0097609999999998E-2</v>
      </c>
      <c r="U3118">
        <v>2.0477289999999999E-2</v>
      </c>
      <c r="V3118">
        <v>4.8202849999999998E-2</v>
      </c>
      <c r="W3118">
        <v>0.22838549999999999</v>
      </c>
      <c r="X3118">
        <v>0.97237680000000004</v>
      </c>
      <c r="Y3118">
        <v>-3.6167859999999999E-3</v>
      </c>
      <c r="Z3118" s="1">
        <v>5.6527509999999998E-5</v>
      </c>
      <c r="AA3118">
        <v>0.99999340000000003</v>
      </c>
      <c r="AB3118">
        <v>40</v>
      </c>
      <c r="AC3118">
        <v>133.744</v>
      </c>
      <c r="AD3118">
        <v>-0.87511899999999998</v>
      </c>
      <c r="AE3118">
        <v>0.89039999999999897</v>
      </c>
      <c r="AF3118">
        <v>-0.48521992970024003</v>
      </c>
      <c r="AG3118">
        <v>-0.87511899999999998</v>
      </c>
      <c r="AH3118">
        <v>133.74035793883101</v>
      </c>
      <c r="AI3118">
        <v>90.374902388997697</v>
      </c>
      <c r="AJ3118">
        <v>90.207872422026099</v>
      </c>
      <c r="AK3118">
        <v>133.74410122787</v>
      </c>
      <c r="AL3118">
        <v>76.797962620876802</v>
      </c>
      <c r="AM3118">
        <v>87.162045727049005</v>
      </c>
      <c r="AN3118">
        <v>1.0000000462683001</v>
      </c>
    </row>
    <row r="3119" spans="1:40" x14ac:dyDescent="0.25">
      <c r="A3119" t="str">
        <f>"20190303171038472"</f>
        <v>20190303171038472</v>
      </c>
      <c r="B3119" t="str">
        <f>"1551604238464266"</f>
        <v>1551604238464266</v>
      </c>
      <c r="C3119" t="s">
        <v>40</v>
      </c>
      <c r="D3119">
        <v>4.4598180000000003</v>
      </c>
      <c r="E3119">
        <v>0.48472500000000002</v>
      </c>
      <c r="F3119" t="s">
        <v>77</v>
      </c>
      <c r="G3119">
        <v>-107.39749999999999</v>
      </c>
      <c r="H3119">
        <v>18.817879999999999</v>
      </c>
      <c r="I3119">
        <v>215.06469999999999</v>
      </c>
      <c r="J3119">
        <v>-240.76519999999999</v>
      </c>
      <c r="K3119">
        <v>1.1210230000000001</v>
      </c>
      <c r="L3119">
        <v>214.863</v>
      </c>
      <c r="M3119">
        <v>0.99990639999999997</v>
      </c>
      <c r="N3119">
        <v>-1.3337709999999999E-2</v>
      </c>
      <c r="O3119">
        <v>3.0394459999999999E-3</v>
      </c>
      <c r="P3119">
        <v>0.97546860000000002</v>
      </c>
      <c r="Q3119">
        <v>0.21531600000000001</v>
      </c>
      <c r="R3119">
        <v>-4.5826720000000001E-2</v>
      </c>
      <c r="S3119">
        <v>2.9882970000000002</v>
      </c>
      <c r="T3119">
        <v>0.39540930000000002</v>
      </c>
      <c r="U3119">
        <v>4.5318600000000004E-3</v>
      </c>
      <c r="V3119">
        <v>4.8793789999999997E-2</v>
      </c>
      <c r="W3119">
        <v>0.22830510000000001</v>
      </c>
      <c r="X3119">
        <v>0.97236619999999996</v>
      </c>
      <c r="Y3119">
        <v>1.479499E-3</v>
      </c>
      <c r="Z3119">
        <v>5.2833169999999996E-4</v>
      </c>
      <c r="AA3119">
        <v>0.99999870000000002</v>
      </c>
      <c r="AB3119">
        <v>40</v>
      </c>
      <c r="AC3119">
        <v>133.36770000000001</v>
      </c>
      <c r="AD3119">
        <v>17.696856999999898</v>
      </c>
      <c r="AE3119">
        <v>0.201699999999988</v>
      </c>
      <c r="AF3119">
        <v>0.20017638387505199</v>
      </c>
      <c r="AG3119">
        <v>17.696856999999898</v>
      </c>
      <c r="AH3119">
        <v>131.06009736997299</v>
      </c>
      <c r="AI3119">
        <v>82.309953685885205</v>
      </c>
      <c r="AJ3119">
        <v>89.912488596714297</v>
      </c>
      <c r="AK3119">
        <v>132.249642498155</v>
      </c>
      <c r="AL3119">
        <v>76.802694121521199</v>
      </c>
      <c r="AM3119">
        <v>87.127280655571298</v>
      </c>
      <c r="AN3119">
        <v>1.0000000397655</v>
      </c>
    </row>
    <row r="3120" spans="1:40" x14ac:dyDescent="0.25">
      <c r="A3120" t="str">
        <f>"20190303171038494"</f>
        <v>20190303171038494</v>
      </c>
      <c r="B3120" t="str">
        <f>"1551604238483786"</f>
        <v>1551604238483786</v>
      </c>
      <c r="C3120" t="s">
        <v>40</v>
      </c>
      <c r="D3120">
        <v>4.3980199999999998</v>
      </c>
      <c r="E3120">
        <v>0.48474780000000001</v>
      </c>
      <c r="F3120" t="s">
        <v>77</v>
      </c>
      <c r="G3120">
        <v>-107.39749999999999</v>
      </c>
      <c r="H3120">
        <v>18.737089999999998</v>
      </c>
      <c r="I3120">
        <v>214.8099</v>
      </c>
      <c r="J3120">
        <v>-240.37049999999999</v>
      </c>
      <c r="K3120">
        <v>1.1210279999999999</v>
      </c>
      <c r="L3120">
        <v>214.86420000000001</v>
      </c>
      <c r="M3120">
        <v>0.99990639999999997</v>
      </c>
      <c r="N3120">
        <v>-1.3348219999999999E-2</v>
      </c>
      <c r="O3120">
        <v>3.0503420000000002E-3</v>
      </c>
      <c r="P3120">
        <v>0.97519319999999998</v>
      </c>
      <c r="Q3120">
        <v>0.21647350000000001</v>
      </c>
      <c r="R3120">
        <v>-4.623588E-2</v>
      </c>
      <c r="S3120">
        <v>2.988251</v>
      </c>
      <c r="T3120">
        <v>0.39470860000000002</v>
      </c>
      <c r="U3120">
        <v>-1.190186E-3</v>
      </c>
      <c r="V3120">
        <v>4.921292E-2</v>
      </c>
      <c r="W3120">
        <v>0.2294688</v>
      </c>
      <c r="X3120">
        <v>0.97207109999999997</v>
      </c>
      <c r="Y3120">
        <v>3.3903340000000001E-3</v>
      </c>
      <c r="Z3120">
        <v>6.4191680000000003E-4</v>
      </c>
      <c r="AA3120">
        <v>0.99999400000000005</v>
      </c>
      <c r="AB3120">
        <v>40</v>
      </c>
      <c r="AC3120">
        <v>132.97299999999899</v>
      </c>
      <c r="AD3120">
        <v>17.616061999999999</v>
      </c>
      <c r="AE3120">
        <v>-5.4300000000011998E-2</v>
      </c>
      <c r="AF3120">
        <v>0.45201583046948801</v>
      </c>
      <c r="AG3120">
        <v>17.616061999999999</v>
      </c>
      <c r="AH3120">
        <v>130.67873239092901</v>
      </c>
      <c r="AI3120">
        <v>82.322606989848396</v>
      </c>
      <c r="AJ3120">
        <v>89.801815524245796</v>
      </c>
      <c r="AK3120">
        <v>131.86152228</v>
      </c>
      <c r="AL3120">
        <v>76.734200630372399</v>
      </c>
      <c r="AM3120">
        <v>87.1017682979668</v>
      </c>
      <c r="AN3120">
        <v>1.0000000325617799</v>
      </c>
    </row>
    <row r="3121" spans="1:40" x14ac:dyDescent="0.25">
      <c r="A3121" t="str">
        <f>"20190303171038517"</f>
        <v>20190303171038517</v>
      </c>
      <c r="B3121" t="str">
        <f>"1551604238504282"</f>
        <v>1551604238504282</v>
      </c>
      <c r="C3121" t="s">
        <v>40</v>
      </c>
      <c r="D3121">
        <v>4.4526620000000001</v>
      </c>
      <c r="E3121">
        <v>0.48437259999999999</v>
      </c>
      <c r="F3121" t="s">
        <v>77</v>
      </c>
      <c r="G3121">
        <v>-107.39749999999999</v>
      </c>
      <c r="H3121">
        <v>18.845109999999998</v>
      </c>
      <c r="I3121">
        <v>214.74940000000001</v>
      </c>
      <c r="J3121">
        <v>-239.96809999999999</v>
      </c>
      <c r="K3121">
        <v>1.121035</v>
      </c>
      <c r="L3121">
        <v>214.86539999999999</v>
      </c>
      <c r="M3121">
        <v>0.99990599999999996</v>
      </c>
      <c r="N3121">
        <v>-1.3358780000000001E-2</v>
      </c>
      <c r="O3121">
        <v>3.0615379999999999E-3</v>
      </c>
      <c r="P3121">
        <v>0.97499270000000005</v>
      </c>
      <c r="Q3121">
        <v>0.21734829999999999</v>
      </c>
      <c r="R3121">
        <v>-4.63574E-2</v>
      </c>
      <c r="S3121">
        <v>2.9877929999999999</v>
      </c>
      <c r="T3121">
        <v>0.39824660000000001</v>
      </c>
      <c r="U3121">
        <v>-2.578735E-3</v>
      </c>
      <c r="V3121">
        <v>4.9344659999999999E-2</v>
      </c>
      <c r="W3121">
        <v>0.230351</v>
      </c>
      <c r="X3121">
        <v>0.97185569999999999</v>
      </c>
      <c r="Y3121">
        <v>3.8614220000000002E-3</v>
      </c>
      <c r="Z3121">
        <v>6.7729999999999895E-4</v>
      </c>
      <c r="AA3121">
        <v>0.99999229999999995</v>
      </c>
      <c r="AB3121">
        <v>40</v>
      </c>
      <c r="AC3121">
        <v>132.57060000000001</v>
      </c>
      <c r="AD3121">
        <v>17.724074999999999</v>
      </c>
      <c r="AE3121">
        <v>-0.115999999999985</v>
      </c>
      <c r="AF3121">
        <v>0.51274068724160504</v>
      </c>
      <c r="AG3121">
        <v>17.724074999999999</v>
      </c>
      <c r="AH3121">
        <v>130.24162760087501</v>
      </c>
      <c r="AI3121">
        <v>82.250505321363207</v>
      </c>
      <c r="AJ3121">
        <v>89.774436743973894</v>
      </c>
      <c r="AK3121">
        <v>131.44309528363601</v>
      </c>
      <c r="AL3121">
        <v>76.682262408207293</v>
      </c>
      <c r="AM3121">
        <v>87.093380218106901</v>
      </c>
      <c r="AN3121">
        <v>0.99999999014700203</v>
      </c>
    </row>
    <row r="3122" spans="1:40" x14ac:dyDescent="0.25">
      <c r="A3122" t="str">
        <f>"20190303171038539"</f>
        <v>20190303171038539</v>
      </c>
      <c r="B3122" t="str">
        <f>"1551604238533562"</f>
        <v>1551604238533562</v>
      </c>
      <c r="C3122" t="s">
        <v>40</v>
      </c>
      <c r="D3122">
        <v>4.4525269999999999</v>
      </c>
      <c r="E3122">
        <v>0.4844984</v>
      </c>
      <c r="F3122" t="s">
        <v>77</v>
      </c>
      <c r="G3122">
        <v>-107.39749999999999</v>
      </c>
      <c r="H3122">
        <v>18.830200000000001</v>
      </c>
      <c r="I3122">
        <v>214.87899999999999</v>
      </c>
      <c r="J3122">
        <v>-239.5626</v>
      </c>
      <c r="K3122">
        <v>1.1210439999999999</v>
      </c>
      <c r="L3122">
        <v>214.86670000000001</v>
      </c>
      <c r="M3122">
        <v>0.99990590000000001</v>
      </c>
      <c r="N3122">
        <v>-1.3373589999999999E-2</v>
      </c>
      <c r="O3122">
        <v>3.073058E-3</v>
      </c>
      <c r="P3122">
        <v>0.97491779999999995</v>
      </c>
      <c r="Q3122">
        <v>0.21766779999999999</v>
      </c>
      <c r="R3122">
        <v>-4.6434099999999999E-2</v>
      </c>
      <c r="S3122">
        <v>2.9879760000000002</v>
      </c>
      <c r="T3122">
        <v>0.39914379999999999</v>
      </c>
      <c r="U3122">
        <v>3.0517579999999998E-4</v>
      </c>
      <c r="V3122">
        <v>4.943256E-2</v>
      </c>
      <c r="W3122">
        <v>0.23068420000000001</v>
      </c>
      <c r="X3122">
        <v>0.97177219999999997</v>
      </c>
      <c r="Y3122">
        <v>2.914884E-3</v>
      </c>
      <c r="Z3122">
        <v>6.2385290000000003E-4</v>
      </c>
      <c r="AA3122">
        <v>0.99999550000000004</v>
      </c>
      <c r="AB3122">
        <v>40</v>
      </c>
      <c r="AC3122">
        <v>132.1651</v>
      </c>
      <c r="AD3122">
        <v>17.709156</v>
      </c>
      <c r="AE3122">
        <v>1.23000000000104E-2</v>
      </c>
      <c r="AF3122">
        <v>0.38694024019564299</v>
      </c>
      <c r="AG3122">
        <v>17.709156</v>
      </c>
      <c r="AH3122">
        <v>129.833478390728</v>
      </c>
      <c r="AI3122">
        <v>82.232879134228298</v>
      </c>
      <c r="AJ3122">
        <v>89.829242986296904</v>
      </c>
      <c r="AK3122">
        <v>131.03623941497</v>
      </c>
      <c r="AL3122">
        <v>76.662643113446293</v>
      </c>
      <c r="AM3122">
        <v>87.087961653682498</v>
      </c>
      <c r="AN3122">
        <v>0.99999999340531598</v>
      </c>
    </row>
    <row r="3123" spans="1:40" x14ac:dyDescent="0.25">
      <c r="A3123" t="str">
        <f>"20190303171038561"</f>
        <v>20190303171038561</v>
      </c>
      <c r="B3123" t="str">
        <f>"1551604238554058"</f>
        <v>1551604238554058</v>
      </c>
      <c r="C3123" t="s">
        <v>40</v>
      </c>
      <c r="D3123">
        <v>4.5084749999999998</v>
      </c>
      <c r="E3123">
        <v>0.48465780000000003</v>
      </c>
      <c r="F3123" t="s">
        <v>77</v>
      </c>
      <c r="G3123">
        <v>-107.39749999999999</v>
      </c>
      <c r="H3123">
        <v>18.816680000000002</v>
      </c>
      <c r="I3123">
        <v>214.82079999999999</v>
      </c>
      <c r="J3123">
        <v>-239.17330000000001</v>
      </c>
      <c r="K3123">
        <v>1.121051</v>
      </c>
      <c r="L3123">
        <v>214.86789999999999</v>
      </c>
      <c r="M3123">
        <v>0.99990559999999995</v>
      </c>
      <c r="N3123">
        <v>-1.33895E-2</v>
      </c>
      <c r="O3123">
        <v>3.0842140000000001E-3</v>
      </c>
      <c r="P3123">
        <v>0.97489199999999998</v>
      </c>
      <c r="Q3123">
        <v>0.2178899</v>
      </c>
      <c r="R3123">
        <v>-4.5931769999999997E-2</v>
      </c>
      <c r="S3123">
        <v>2.9878230000000001</v>
      </c>
      <c r="T3123">
        <v>0.40004210000000001</v>
      </c>
      <c r="U3123">
        <v>-1.037598E-3</v>
      </c>
      <c r="V3123">
        <v>4.894105E-2</v>
      </c>
      <c r="W3123">
        <v>0.2309213</v>
      </c>
      <c r="X3123">
        <v>0.97174079999999996</v>
      </c>
      <c r="Y3123">
        <v>3.3714119999999998E-3</v>
      </c>
      <c r="Z3123">
        <v>6.5424530000000002E-4</v>
      </c>
      <c r="AA3123">
        <v>0.9999941</v>
      </c>
      <c r="AB3123">
        <v>40</v>
      </c>
      <c r="AC3123">
        <v>131.7758</v>
      </c>
      <c r="AD3123">
        <v>17.695628999999901</v>
      </c>
      <c r="AE3123">
        <v>-4.7100000000000301E-2</v>
      </c>
      <c r="AF3123">
        <v>0.445526928623517</v>
      </c>
      <c r="AG3123">
        <v>17.695628999999901</v>
      </c>
      <c r="AH3123">
        <v>129.44086033711699</v>
      </c>
      <c r="AI3123">
        <v>82.215497923231396</v>
      </c>
      <c r="AJ3123">
        <v>89.802792473727706</v>
      </c>
      <c r="AK3123">
        <v>130.64558968737799</v>
      </c>
      <c r="AL3123">
        <v>76.648681790879706</v>
      </c>
      <c r="AM3123">
        <v>87.116774068763903</v>
      </c>
      <c r="AN3123">
        <v>1.00000002777671</v>
      </c>
    </row>
    <row r="3124" spans="1:40" x14ac:dyDescent="0.25">
      <c r="A3124" t="str">
        <f>"20190303171038583"</f>
        <v>20190303171038583</v>
      </c>
      <c r="B3124" t="str">
        <f>"1551604238573577"</f>
        <v>1551604238573577</v>
      </c>
      <c r="C3124" t="s">
        <v>40</v>
      </c>
      <c r="D3124">
        <v>4.5474209999999999</v>
      </c>
      <c r="E3124">
        <v>0.48473090000000002</v>
      </c>
      <c r="F3124" t="s">
        <v>77</v>
      </c>
      <c r="G3124">
        <v>-107.39749999999999</v>
      </c>
      <c r="H3124">
        <v>18.772210000000001</v>
      </c>
      <c r="I3124">
        <v>214.8329</v>
      </c>
      <c r="J3124">
        <v>-238.78890000000001</v>
      </c>
      <c r="K3124">
        <v>1.121051</v>
      </c>
      <c r="L3124">
        <v>214.8691</v>
      </c>
      <c r="M3124">
        <v>0.99990540000000006</v>
      </c>
      <c r="N3124">
        <v>-1.340586E-2</v>
      </c>
      <c r="O3124">
        <v>3.0947150000000001E-3</v>
      </c>
      <c r="P3124">
        <v>0.97489970000000004</v>
      </c>
      <c r="Q3124">
        <v>0.2178949</v>
      </c>
      <c r="R3124">
        <v>-4.5745599999999997E-2</v>
      </c>
      <c r="S3124">
        <v>2.9877929999999999</v>
      </c>
      <c r="T3124">
        <v>0.40021129999999999</v>
      </c>
      <c r="U3124">
        <v>-7.9345700000000002E-4</v>
      </c>
      <c r="V3124">
        <v>4.8764929999999998E-2</v>
      </c>
      <c r="W3124">
        <v>0.23094219999999999</v>
      </c>
      <c r="X3124">
        <v>0.97174470000000002</v>
      </c>
      <c r="Y3124">
        <v>3.3006070000000001E-3</v>
      </c>
      <c r="Z3124">
        <v>6.5183660000000003E-4</v>
      </c>
      <c r="AA3124">
        <v>0.9999943</v>
      </c>
      <c r="AB3124">
        <v>40</v>
      </c>
      <c r="AC3124">
        <v>131.3914</v>
      </c>
      <c r="AD3124">
        <v>17.651159</v>
      </c>
      <c r="AE3124">
        <v>-3.6200000000007997E-2</v>
      </c>
      <c r="AF3124">
        <v>0.435004620801827</v>
      </c>
      <c r="AG3124">
        <v>17.651159</v>
      </c>
      <c r="AH3124">
        <v>129.06144639439401</v>
      </c>
      <c r="AI3124">
        <v>82.212271630677293</v>
      </c>
      <c r="AJ3124">
        <v>89.806883967633894</v>
      </c>
      <c r="AK3124">
        <v>130.263615750817</v>
      </c>
      <c r="AL3124">
        <v>76.647451208945895</v>
      </c>
      <c r="AM3124">
        <v>87.127143786766894</v>
      </c>
      <c r="AN3124">
        <v>1.0000000400584099</v>
      </c>
    </row>
    <row r="3125" spans="1:40" x14ac:dyDescent="0.25">
      <c r="A3125" t="str">
        <f>"20190303171038606"</f>
        <v>20190303171038606</v>
      </c>
      <c r="B3125" t="str">
        <f>"1551604238593604"</f>
        <v>1551604238593604</v>
      </c>
      <c r="C3125" t="s">
        <v>40</v>
      </c>
      <c r="D3125">
        <v>4.451854</v>
      </c>
      <c r="E3125">
        <v>0.48480649999999997</v>
      </c>
      <c r="F3125" t="s">
        <v>77</v>
      </c>
      <c r="G3125">
        <v>-107.39749999999999</v>
      </c>
      <c r="H3125">
        <v>18.722329999999999</v>
      </c>
      <c r="I3125">
        <v>214.84630000000001</v>
      </c>
      <c r="J3125">
        <v>-238.38890000000001</v>
      </c>
      <c r="K3125">
        <v>1.121046</v>
      </c>
      <c r="L3125">
        <v>214.87029999999999</v>
      </c>
      <c r="M3125">
        <v>0.99990509999999999</v>
      </c>
      <c r="N3125">
        <v>-1.3426280000000001E-2</v>
      </c>
      <c r="O3125">
        <v>3.1058430000000001E-3</v>
      </c>
      <c r="P3125">
        <v>0.97498510000000005</v>
      </c>
      <c r="Q3125">
        <v>0.21751309999999999</v>
      </c>
      <c r="R3125">
        <v>-4.574371E-2</v>
      </c>
      <c r="S3125">
        <v>2.9877319999999998</v>
      </c>
      <c r="T3125">
        <v>0.40023979999999998</v>
      </c>
      <c r="U3125">
        <v>-5.1879879999999995E-4</v>
      </c>
      <c r="V3125">
        <v>4.8774159999999997E-2</v>
      </c>
      <c r="W3125">
        <v>0.23058119999999999</v>
      </c>
      <c r="X3125">
        <v>0.97182999999999997</v>
      </c>
      <c r="Y3125">
        <v>3.2203230000000002E-3</v>
      </c>
      <c r="Z3125">
        <v>6.4874349999999997E-4</v>
      </c>
      <c r="AA3125">
        <v>0.99999459999999996</v>
      </c>
      <c r="AB3125">
        <v>39</v>
      </c>
      <c r="AC3125">
        <v>130.9914</v>
      </c>
      <c r="AD3125">
        <v>17.601284</v>
      </c>
      <c r="AE3125">
        <v>-2.3999999999972401E-2</v>
      </c>
      <c r="AF3125">
        <v>0.42323367388073502</v>
      </c>
      <c r="AG3125">
        <v>17.601284</v>
      </c>
      <c r="AH3125">
        <v>128.66757047034301</v>
      </c>
      <c r="AI3125">
        <v>82.210523843407302</v>
      </c>
      <c r="AJ3125">
        <v>89.811534361655802</v>
      </c>
      <c r="AK3125">
        <v>129.866577747826</v>
      </c>
      <c r="AL3125">
        <v>76.668709242974302</v>
      </c>
      <c r="AM3125">
        <v>87.126852719999704</v>
      </c>
      <c r="AN3125">
        <v>1.0000000786885599</v>
      </c>
    </row>
    <row r="3126" spans="1:40" x14ac:dyDescent="0.25">
      <c r="A3126" t="str">
        <f>"20190303171038629"</f>
        <v>20190303171038629</v>
      </c>
      <c r="B3126" t="str">
        <f>"1551604238623860"</f>
        <v>1551604238623860</v>
      </c>
      <c r="C3126" t="s">
        <v>40</v>
      </c>
      <c r="D3126">
        <v>4.4484959999999996</v>
      </c>
      <c r="E3126">
        <v>0.48475190000000001</v>
      </c>
      <c r="F3126" t="s">
        <v>77</v>
      </c>
      <c r="G3126">
        <v>-107.39749999999999</v>
      </c>
      <c r="H3126">
        <v>18.61083</v>
      </c>
      <c r="I3126">
        <v>214.8135</v>
      </c>
      <c r="J3126">
        <v>-237.98670000000001</v>
      </c>
      <c r="K3126">
        <v>1.1210560000000001</v>
      </c>
      <c r="L3126">
        <v>214.8716</v>
      </c>
      <c r="M3126">
        <v>0.99990480000000004</v>
      </c>
      <c r="N3126">
        <v>-1.345032E-2</v>
      </c>
      <c r="O3126">
        <v>3.1171240000000002E-3</v>
      </c>
      <c r="P3126">
        <v>0.97496320000000003</v>
      </c>
      <c r="Q3126">
        <v>0.2175793</v>
      </c>
      <c r="R3126">
        <v>-4.5896770000000003E-2</v>
      </c>
      <c r="S3126">
        <v>2.9879150000000001</v>
      </c>
      <c r="T3126">
        <v>0.3989434</v>
      </c>
      <c r="U3126">
        <v>-1.296997E-3</v>
      </c>
      <c r="V3126">
        <v>4.8938280000000001E-2</v>
      </c>
      <c r="W3126">
        <v>0.23067070000000001</v>
      </c>
      <c r="X3126">
        <v>0.97180040000000001</v>
      </c>
      <c r="Y3126">
        <v>3.4901440000000001E-3</v>
      </c>
      <c r="Z3126">
        <v>6.6448570000000005E-4</v>
      </c>
      <c r="AA3126">
        <v>0.99999369999999999</v>
      </c>
      <c r="AB3126">
        <v>39</v>
      </c>
      <c r="AC3126">
        <v>130.58920000000001</v>
      </c>
      <c r="AD3126">
        <v>17.489774000000001</v>
      </c>
      <c r="AE3126">
        <v>-5.8099999999996002E-2</v>
      </c>
      <c r="AF3126">
        <v>0.45700190675778601</v>
      </c>
      <c r="AG3126">
        <v>17.489774000000001</v>
      </c>
      <c r="AH3126">
        <v>128.28727440930899</v>
      </c>
      <c r="AI3126">
        <v>82.236612506180293</v>
      </c>
      <c r="AJ3126">
        <v>89.795894254931298</v>
      </c>
      <c r="AK3126">
        <v>129.474807668068</v>
      </c>
      <c r="AL3126">
        <v>76.663437758419605</v>
      </c>
      <c r="AM3126">
        <v>87.117113498716506</v>
      </c>
      <c r="AN3126">
        <v>0.99999997226400295</v>
      </c>
    </row>
    <row r="3127" spans="1:40" x14ac:dyDescent="0.25">
      <c r="A3127" t="str">
        <f>"20190303171038652"</f>
        <v>20190303171038652</v>
      </c>
      <c r="B3127" t="str">
        <f>"1551604238644356"</f>
        <v>1551604238644356</v>
      </c>
      <c r="C3127" t="s">
        <v>40</v>
      </c>
      <c r="D3127">
        <v>4.4519039999999999</v>
      </c>
      <c r="E3127">
        <v>0.48562100000000002</v>
      </c>
      <c r="F3127" t="s">
        <v>77</v>
      </c>
      <c r="G3127">
        <v>-107.39749999999999</v>
      </c>
      <c r="H3127">
        <v>18.474029999999999</v>
      </c>
      <c r="I3127">
        <v>214.81630000000001</v>
      </c>
      <c r="J3127">
        <v>-237.59209999999999</v>
      </c>
      <c r="K3127">
        <v>1.1210719999999901</v>
      </c>
      <c r="L3127">
        <v>214.87280000000001</v>
      </c>
      <c r="M3127">
        <v>0.99990440000000003</v>
      </c>
      <c r="N3127">
        <v>-1.347986E-2</v>
      </c>
      <c r="O3127">
        <v>3.1280689999999998E-3</v>
      </c>
      <c r="P3127">
        <v>0.97489650000000005</v>
      </c>
      <c r="Q3127">
        <v>0.2178937</v>
      </c>
      <c r="R3127">
        <v>-4.5820489999999998E-2</v>
      </c>
      <c r="S3127">
        <v>2.9883730000000002</v>
      </c>
      <c r="T3127">
        <v>0.39710259999999997</v>
      </c>
      <c r="U3127">
        <v>-1.266479E-3</v>
      </c>
      <c r="V3127">
        <v>4.8872529999999997E-2</v>
      </c>
      <c r="W3127">
        <v>0.2310131</v>
      </c>
      <c r="X3127">
        <v>0.97172239999999999</v>
      </c>
      <c r="Y3127">
        <v>3.4912459999999999E-3</v>
      </c>
      <c r="Z3127">
        <v>6.6313449999999996E-4</v>
      </c>
      <c r="AA3127">
        <v>0.99999369999999999</v>
      </c>
      <c r="AB3127">
        <v>39</v>
      </c>
      <c r="AC3127">
        <v>130.19459999999901</v>
      </c>
      <c r="AD3127">
        <v>17.352957999999902</v>
      </c>
      <c r="AE3127">
        <v>-5.6499999999999703E-2</v>
      </c>
      <c r="AF3127">
        <v>0.45569894688885398</v>
      </c>
      <c r="AG3127">
        <v>17.352957999999902</v>
      </c>
      <c r="AH3127">
        <v>127.921286517388</v>
      </c>
      <c r="AI3127">
        <v>82.274836618471099</v>
      </c>
      <c r="AJ3127">
        <v>89.795893891853297</v>
      </c>
      <c r="AK3127">
        <v>129.093719278451</v>
      </c>
      <c r="AL3127">
        <v>76.643275487531596</v>
      </c>
      <c r="AM3127">
        <v>87.120749510051098</v>
      </c>
      <c r="AN3127">
        <v>0.99999999961098496</v>
      </c>
    </row>
    <row r="3128" spans="1:40" x14ac:dyDescent="0.25">
      <c r="A3128" t="str">
        <f>"20190303171038673"</f>
        <v>20190303171038673</v>
      </c>
      <c r="B3128" t="str">
        <f>"1551604238663876"</f>
        <v>1551604238663876</v>
      </c>
      <c r="C3128" t="s">
        <v>40</v>
      </c>
      <c r="D3128">
        <v>4.3971640000000001</v>
      </c>
      <c r="E3128">
        <v>0.48777159999999897</v>
      </c>
      <c r="F3128" t="s">
        <v>77</v>
      </c>
      <c r="G3128">
        <v>-107.39749999999999</v>
      </c>
      <c r="H3128">
        <v>18.411539999999999</v>
      </c>
      <c r="I3128">
        <v>214.52379999999999</v>
      </c>
      <c r="J3128">
        <v>-237.2115</v>
      </c>
      <c r="K3128">
        <v>1.1210800000000001</v>
      </c>
      <c r="L3128">
        <v>214.874</v>
      </c>
      <c r="M3128">
        <v>0.99990380000000001</v>
      </c>
      <c r="N3128">
        <v>-1.351137E-2</v>
      </c>
      <c r="O3128">
        <v>3.1389410000000001E-3</v>
      </c>
      <c r="P3128">
        <v>0.97480169999999999</v>
      </c>
      <c r="Q3128">
        <v>0.2183649</v>
      </c>
      <c r="R3128">
        <v>-4.5591069999999997E-2</v>
      </c>
      <c r="S3128">
        <v>2.9881739999999999</v>
      </c>
      <c r="T3128">
        <v>0.39684520000000001</v>
      </c>
      <c r="U3128">
        <v>-8.0108639999999995E-3</v>
      </c>
      <c r="V3128">
        <v>4.8653389999999998E-2</v>
      </c>
      <c r="W3128">
        <v>0.23151360000000001</v>
      </c>
      <c r="X3128">
        <v>0.97161419999999998</v>
      </c>
      <c r="Y3128">
        <v>5.7413589999999997E-3</v>
      </c>
      <c r="Z3128">
        <v>7.9788729999999896E-4</v>
      </c>
      <c r="AA3128">
        <v>0.99998319999999996</v>
      </c>
      <c r="AB3128">
        <v>39</v>
      </c>
      <c r="AC3128">
        <v>129.81399999999999</v>
      </c>
      <c r="AD3128">
        <v>17.290459999999999</v>
      </c>
      <c r="AE3128">
        <v>-0.35020000000002899</v>
      </c>
      <c r="AF3128">
        <v>0.74450601677324901</v>
      </c>
      <c r="AG3128">
        <v>17.290459999999999</v>
      </c>
      <c r="AH3128">
        <v>127.54946444062099</v>
      </c>
      <c r="AI3128">
        <v>82.280237287289395</v>
      </c>
      <c r="AJ3128">
        <v>89.665568426096996</v>
      </c>
      <c r="AK3128">
        <v>128.71822005959299</v>
      </c>
      <c r="AL3128">
        <v>76.613798904384097</v>
      </c>
      <c r="AM3128">
        <v>87.133319561495796</v>
      </c>
      <c r="AN3128">
        <v>0.99999992649254299</v>
      </c>
    </row>
    <row r="3129" spans="1:40" x14ac:dyDescent="0.25">
      <c r="A3129" t="str">
        <f>"20190303171038695"</f>
        <v>20190303171038695</v>
      </c>
      <c r="B3129" t="str">
        <f>"1551604238684372"</f>
        <v>1551604238684372</v>
      </c>
      <c r="C3129" t="s">
        <v>40</v>
      </c>
      <c r="D3129">
        <v>4.3284000000000002</v>
      </c>
      <c r="E3129">
        <v>0.49143969999999998</v>
      </c>
      <c r="F3129" t="s">
        <v>77</v>
      </c>
      <c r="G3129">
        <v>-107.39749999999999</v>
      </c>
      <c r="H3129">
        <v>18.359259999999999</v>
      </c>
      <c r="I3129">
        <v>213.81389999999999</v>
      </c>
      <c r="J3129">
        <v>-236.81979999999999</v>
      </c>
      <c r="K3129">
        <v>1.1210869999999999</v>
      </c>
      <c r="L3129">
        <v>214.87530000000001</v>
      </c>
      <c r="M3129">
        <v>0.9999034</v>
      </c>
      <c r="N3129">
        <v>-1.3542139999999999E-2</v>
      </c>
      <c r="O3129">
        <v>3.1498770000000001E-3</v>
      </c>
      <c r="P3129">
        <v>0.97481410000000002</v>
      </c>
      <c r="Q3129">
        <v>0.2182945</v>
      </c>
      <c r="R3129">
        <v>-4.5663009999999997E-2</v>
      </c>
      <c r="S3129">
        <v>2.9875340000000001</v>
      </c>
      <c r="T3129">
        <v>0.39671980000000001</v>
      </c>
      <c r="U3129">
        <v>-2.4398799999999998E-2</v>
      </c>
      <c r="V3129">
        <v>4.8736099999999997E-2</v>
      </c>
      <c r="W3129">
        <v>0.23147329999999999</v>
      </c>
      <c r="X3129">
        <v>0.97161969999999998</v>
      </c>
      <c r="Y3129">
        <v>1.1194890000000001E-2</v>
      </c>
      <c r="Z3129">
        <v>1.1228259999999999E-3</v>
      </c>
      <c r="AA3129">
        <v>0.99993670000000001</v>
      </c>
      <c r="AB3129">
        <v>39</v>
      </c>
      <c r="AC3129">
        <v>129.42230000000001</v>
      </c>
      <c r="AD3129">
        <v>17.238173</v>
      </c>
      <c r="AE3129">
        <v>-1.0614000000000201</v>
      </c>
      <c r="AF3129">
        <v>1.44349000378343</v>
      </c>
      <c r="AG3129">
        <v>17.238173</v>
      </c>
      <c r="AH3129">
        <v>127.162547176476</v>
      </c>
      <c r="AI3129">
        <v>82.280526562160304</v>
      </c>
      <c r="AJ3129">
        <v>89.349632932988001</v>
      </c>
      <c r="AK3129">
        <v>128.33375111863</v>
      </c>
      <c r="AL3129">
        <v>76.616172972907094</v>
      </c>
      <c r="AM3129">
        <v>87.1284706268614</v>
      </c>
      <c r="AN3129">
        <v>0.99999996874209396</v>
      </c>
    </row>
    <row r="3130" spans="1:40" x14ac:dyDescent="0.25">
      <c r="A3130" t="str">
        <f>"20190303171038718"</f>
        <v>20190303171038718</v>
      </c>
      <c r="B3130" t="str">
        <f>"1551604238703893"</f>
        <v>1551604238703893</v>
      </c>
      <c r="C3130" t="s">
        <v>40</v>
      </c>
      <c r="D3130">
        <v>4.4152659999999999</v>
      </c>
      <c r="E3130">
        <v>0.4931836</v>
      </c>
      <c r="F3130" t="s">
        <v>77</v>
      </c>
      <c r="G3130">
        <v>-107.39749999999999</v>
      </c>
      <c r="H3130">
        <v>18.196439999999999</v>
      </c>
      <c r="I3130">
        <v>212.54650000000001</v>
      </c>
      <c r="J3130">
        <v>-236.42240000000001</v>
      </c>
      <c r="K3130">
        <v>1.1210869999999999</v>
      </c>
      <c r="L3130">
        <v>214.87649999999999</v>
      </c>
      <c r="M3130">
        <v>0.99990310000000004</v>
      </c>
      <c r="N3130">
        <v>-1.3570870000000001E-2</v>
      </c>
      <c r="O3130">
        <v>3.1607710000000002E-3</v>
      </c>
      <c r="P3130">
        <v>0.97494700000000001</v>
      </c>
      <c r="Q3130">
        <v>0.21768779999999999</v>
      </c>
      <c r="R3130">
        <v>-4.5724430000000003E-2</v>
      </c>
      <c r="S3130">
        <v>2.9867400000000002</v>
      </c>
      <c r="T3130">
        <v>0.3940573</v>
      </c>
      <c r="U3130">
        <v>-5.3741459999999998E-2</v>
      </c>
      <c r="V3130">
        <v>4.8808310000000001E-2</v>
      </c>
      <c r="W3130">
        <v>0.23089570000000001</v>
      </c>
      <c r="X3130">
        <v>0.97175350000000005</v>
      </c>
      <c r="Y3130">
        <v>2.095489E-2</v>
      </c>
      <c r="Z3130">
        <v>1.6913950000000001E-3</v>
      </c>
      <c r="AA3130">
        <v>0.99977899999999997</v>
      </c>
      <c r="AB3130">
        <v>39</v>
      </c>
      <c r="AC3130">
        <v>129.0249</v>
      </c>
      <c r="AD3130">
        <v>17.075353</v>
      </c>
      <c r="AE3130">
        <v>-2.3299999999999801</v>
      </c>
      <c r="AF3130">
        <v>2.6907331117315998</v>
      </c>
      <c r="AG3130">
        <v>17.075353</v>
      </c>
      <c r="AH3130">
        <v>126.79685823793599</v>
      </c>
      <c r="AI3130">
        <v>82.331996631687304</v>
      </c>
      <c r="AJ3130">
        <v>88.784319124797094</v>
      </c>
      <c r="AK3130">
        <v>127.96972682538799</v>
      </c>
      <c r="AL3130">
        <v>76.650188518139501</v>
      </c>
      <c r="AM3130">
        <v>87.124618451725297</v>
      </c>
      <c r="AN3130">
        <v>0.99999997008289698</v>
      </c>
    </row>
    <row r="3131" spans="1:40" x14ac:dyDescent="0.25">
      <c r="A3131" t="str">
        <f>"20190303171038738"</f>
        <v>20190303171038738</v>
      </c>
      <c r="B3131" t="str">
        <f>"1551604238724389"</f>
        <v>1551604238724389</v>
      </c>
      <c r="C3131" t="s">
        <v>40</v>
      </c>
      <c r="D3131">
        <v>4.2991429999999999</v>
      </c>
      <c r="E3131">
        <v>0.49594579999999999</v>
      </c>
      <c r="F3131" t="s">
        <v>77</v>
      </c>
      <c r="G3131">
        <v>-107.39749999999999</v>
      </c>
      <c r="H3131">
        <v>18.016850000000002</v>
      </c>
      <c r="I3131">
        <v>211.94370000000001</v>
      </c>
      <c r="J3131">
        <v>-236.07579999999999</v>
      </c>
      <c r="K3131">
        <v>1.121092</v>
      </c>
      <c r="L3131">
        <v>214.8776</v>
      </c>
      <c r="M3131">
        <v>0.99990250000000003</v>
      </c>
      <c r="N3131">
        <v>-1.3598219999999999E-2</v>
      </c>
      <c r="O3131">
        <v>3.170539E-3</v>
      </c>
      <c r="P3131">
        <v>0.97508980000000001</v>
      </c>
      <c r="Q3131">
        <v>0.2170002</v>
      </c>
      <c r="R3131">
        <v>-4.5947000000000002E-2</v>
      </c>
      <c r="S3131">
        <v>2.9866030000000001</v>
      </c>
      <c r="T3131">
        <v>0.39109559999999999</v>
      </c>
      <c r="U3131">
        <v>-6.7886349999999998E-2</v>
      </c>
      <c r="V3131">
        <v>4.9040769999999997E-2</v>
      </c>
      <c r="W3131">
        <v>0.23023730000000001</v>
      </c>
      <c r="X3131">
        <v>0.97189800000000004</v>
      </c>
      <c r="Y3131">
        <v>2.566529E-2</v>
      </c>
      <c r="Z3131">
        <v>1.954159E-3</v>
      </c>
      <c r="AA3131">
        <v>0.99966869999999997</v>
      </c>
      <c r="AB3131">
        <v>39</v>
      </c>
      <c r="AC3131">
        <v>128.67829999999901</v>
      </c>
      <c r="AD3131">
        <v>16.895757999999901</v>
      </c>
      <c r="AE3131">
        <v>-2.9338999999999902</v>
      </c>
      <c r="AF3131">
        <v>3.28529256119515</v>
      </c>
      <c r="AG3131">
        <v>16.895757999999901</v>
      </c>
      <c r="AH3131">
        <v>126.488779209512</v>
      </c>
      <c r="AI3131">
        <v>82.394278768773802</v>
      </c>
      <c r="AJ3131">
        <v>88.512191442405694</v>
      </c>
      <c r="AK3131">
        <v>127.65449875159101</v>
      </c>
      <c r="AL3131">
        <v>76.688956563777396</v>
      </c>
      <c r="AM3131">
        <v>87.111375790546603</v>
      </c>
      <c r="AN3131">
        <v>0.99999996691874005</v>
      </c>
    </row>
    <row r="3132" spans="1:40" x14ac:dyDescent="0.25">
      <c r="A3132" t="str">
        <f>"20190303171038750"</f>
        <v>20190303171038750</v>
      </c>
      <c r="B3132" t="str">
        <f>"1551604238743909"</f>
        <v>1551604238743909</v>
      </c>
      <c r="C3132" t="s">
        <v>40</v>
      </c>
      <c r="D3132">
        <v>4.329917</v>
      </c>
      <c r="E3132">
        <v>0.49830079999999999</v>
      </c>
      <c r="F3132" t="s">
        <v>77</v>
      </c>
      <c r="G3132">
        <v>-107.39749999999999</v>
      </c>
      <c r="H3132">
        <v>17.78124</v>
      </c>
      <c r="I3132">
        <v>210.99119999999999</v>
      </c>
      <c r="J3132">
        <v>-235.8331</v>
      </c>
      <c r="K3132">
        <v>1.121095</v>
      </c>
      <c r="L3132">
        <v>214.8784</v>
      </c>
      <c r="M3132">
        <v>0.99990239999999997</v>
      </c>
      <c r="N3132">
        <v>-1.361791E-2</v>
      </c>
      <c r="O3132">
        <v>3.1772570000000002E-3</v>
      </c>
      <c r="P3132">
        <v>0.97513720000000004</v>
      </c>
      <c r="Q3132">
        <v>0.21673529999999999</v>
      </c>
      <c r="R3132">
        <v>-4.6189859999999999E-2</v>
      </c>
      <c r="S3132">
        <v>2.9863430000000002</v>
      </c>
      <c r="T3132">
        <v>0.38664710000000002</v>
      </c>
      <c r="U3132">
        <v>-9.0194700000000003E-2</v>
      </c>
      <c r="V3132">
        <v>4.9290569999999999E-2</v>
      </c>
      <c r="W3132">
        <v>0.2299919</v>
      </c>
      <c r="X3132">
        <v>0.97194349999999996</v>
      </c>
      <c r="Y3132">
        <v>3.3085570000000002E-2</v>
      </c>
      <c r="Z3132">
        <v>2.3588939999999998E-3</v>
      </c>
      <c r="AA3132">
        <v>0.9994497</v>
      </c>
      <c r="AB3132">
        <v>39</v>
      </c>
      <c r="AC3132">
        <v>128.43559999999999</v>
      </c>
      <c r="AD3132">
        <v>16.660145</v>
      </c>
      <c r="AE3132">
        <v>-3.8872</v>
      </c>
      <c r="AF3132">
        <v>4.2242774590246404</v>
      </c>
      <c r="AG3132">
        <v>16.660145</v>
      </c>
      <c r="AH3132">
        <v>126.299402427475</v>
      </c>
      <c r="AI3132">
        <v>82.489653782655793</v>
      </c>
      <c r="AJ3132">
        <v>88.084368778259204</v>
      </c>
      <c r="AK3132">
        <v>127.463500677681</v>
      </c>
      <c r="AL3132">
        <v>76.703405143492901</v>
      </c>
      <c r="AM3132">
        <v>87.096822736746205</v>
      </c>
      <c r="AN3132">
        <v>1.0000000007743901</v>
      </c>
    </row>
    <row r="3133" spans="1:40" x14ac:dyDescent="0.25">
      <c r="A3133" t="str">
        <f>"20190303171038769"</f>
        <v>20190303171038769</v>
      </c>
      <c r="B3133" t="str">
        <f>"1551604238764405"</f>
        <v>1551604238764405</v>
      </c>
      <c r="C3133" t="s">
        <v>40</v>
      </c>
      <c r="D3133">
        <v>4.3972009999999999</v>
      </c>
      <c r="E3133">
        <v>0.50059409999999904</v>
      </c>
      <c r="F3133" t="s">
        <v>77</v>
      </c>
      <c r="G3133">
        <v>-107.39749999999999</v>
      </c>
      <c r="H3133">
        <v>17.60417</v>
      </c>
      <c r="I3133">
        <v>210.16159999999999</v>
      </c>
      <c r="J3133">
        <v>-235.5275</v>
      </c>
      <c r="K3133">
        <v>1.1210979999999999</v>
      </c>
      <c r="L3133">
        <v>214.8794</v>
      </c>
      <c r="M3133">
        <v>0.99990199999999996</v>
      </c>
      <c r="N3133">
        <v>-1.364133E-2</v>
      </c>
      <c r="O3133">
        <v>3.1858580000000002E-3</v>
      </c>
      <c r="P3133">
        <v>0.97503790000000001</v>
      </c>
      <c r="Q3133">
        <v>0.21712670000000001</v>
      </c>
      <c r="R3133">
        <v>-4.6449829999999998E-2</v>
      </c>
      <c r="S3133">
        <v>2.9861149999999999</v>
      </c>
      <c r="T3133">
        <v>0.38323079999999998</v>
      </c>
      <c r="U3133">
        <v>-0.109664899999999</v>
      </c>
      <c r="V3133">
        <v>4.9558350000000001E-2</v>
      </c>
      <c r="W3133">
        <v>0.2304049</v>
      </c>
      <c r="X3133">
        <v>0.97183209999999998</v>
      </c>
      <c r="Y3133">
        <v>3.9562779999999999E-2</v>
      </c>
      <c r="Z3133">
        <v>2.7068719999999999E-3</v>
      </c>
      <c r="AA3133">
        <v>0.99921340000000003</v>
      </c>
      <c r="AB3133">
        <v>39</v>
      </c>
      <c r="AC3133">
        <v>128.13</v>
      </c>
      <c r="AD3133">
        <v>16.483072</v>
      </c>
      <c r="AE3133">
        <v>-4.7178000000000102</v>
      </c>
      <c r="AF3133">
        <v>5.0426791063864398</v>
      </c>
      <c r="AG3133">
        <v>16.483072</v>
      </c>
      <c r="AH3133">
        <v>126.031433717035</v>
      </c>
      <c r="AI3133">
        <v>82.554730123615798</v>
      </c>
      <c r="AJ3133">
        <v>87.708744637793103</v>
      </c>
      <c r="AK3133">
        <v>127.204726955796</v>
      </c>
      <c r="AL3133">
        <v>76.679089466229001</v>
      </c>
      <c r="AM3133">
        <v>87.0807438853695</v>
      </c>
      <c r="AN3133">
        <v>1.00000003929457</v>
      </c>
    </row>
    <row r="3134" spans="1:40" x14ac:dyDescent="0.25">
      <c r="A3134" t="str">
        <f>"20190303171038784"</f>
        <v>20190303171038784</v>
      </c>
      <c r="B3134" t="str">
        <f>"1551604238774165"</f>
        <v>1551604238774165</v>
      </c>
      <c r="C3134" t="s">
        <v>40</v>
      </c>
      <c r="D3134">
        <v>4.3850889999999998</v>
      </c>
      <c r="E3134">
        <v>0.50160490000000002</v>
      </c>
      <c r="F3134" t="s">
        <v>50</v>
      </c>
      <c r="G3134">
        <v>-121.25790000000001</v>
      </c>
      <c r="H3134">
        <v>15.75567</v>
      </c>
      <c r="I3134">
        <v>209.9555</v>
      </c>
      <c r="J3134">
        <v>-235.2533</v>
      </c>
      <c r="K3134">
        <v>1.121095</v>
      </c>
      <c r="L3134">
        <v>214.88030000000001</v>
      </c>
      <c r="M3134">
        <v>0.9999017</v>
      </c>
      <c r="N3134">
        <v>-1.366271E-2</v>
      </c>
      <c r="O3134">
        <v>3.1936379999999999E-3</v>
      </c>
      <c r="P3134">
        <v>0.97503640000000003</v>
      </c>
      <c r="Q3134">
        <v>0.21704689999999999</v>
      </c>
      <c r="R3134">
        <v>-4.6850830000000003E-2</v>
      </c>
      <c r="S3134">
        <v>2.985519</v>
      </c>
      <c r="T3134">
        <v>0.38235780000000003</v>
      </c>
      <c r="U3134">
        <v>-0.12864690000000001</v>
      </c>
      <c r="V3134">
        <v>4.9967110000000002E-2</v>
      </c>
      <c r="W3134">
        <v>0.23034550000000001</v>
      </c>
      <c r="X3134">
        <v>0.97182519999999994</v>
      </c>
      <c r="Y3134">
        <v>4.5875440000000003E-2</v>
      </c>
      <c r="Z3134">
        <v>3.0602630000000001E-3</v>
      </c>
      <c r="AA3134">
        <v>0.99894249999999996</v>
      </c>
      <c r="AB3134">
        <v>39</v>
      </c>
      <c r="AC3134">
        <v>113.9954</v>
      </c>
      <c r="AD3134">
        <v>14.634575</v>
      </c>
      <c r="AE3134">
        <v>-4.9248000000000003</v>
      </c>
      <c r="AF3134">
        <v>5.2032730687874098</v>
      </c>
      <c r="AG3134">
        <v>14.634575</v>
      </c>
      <c r="AH3134">
        <v>112.134435686572</v>
      </c>
      <c r="AI3134">
        <v>82.572302647092798</v>
      </c>
      <c r="AJ3134">
        <v>87.343261322849202</v>
      </c>
      <c r="AK3134">
        <v>113.205019777415</v>
      </c>
      <c r="AL3134">
        <v>76.682586246971596</v>
      </c>
      <c r="AM3134">
        <v>87.0566870041839</v>
      </c>
      <c r="AN3134">
        <v>0.99999999040351994</v>
      </c>
    </row>
    <row r="3135" spans="1:40" x14ac:dyDescent="0.25">
      <c r="A3135" t="str">
        <f>"20190303171038807"</f>
        <v>20190303171038807</v>
      </c>
      <c r="B3135" t="str">
        <f>"1551604238793684"</f>
        <v>1551604238793684</v>
      </c>
      <c r="C3135" t="s">
        <v>40</v>
      </c>
      <c r="D3135">
        <v>4.5190469999999996</v>
      </c>
      <c r="E3135">
        <v>0.50264350000000002</v>
      </c>
      <c r="F3135" t="s">
        <v>50</v>
      </c>
      <c r="G3135">
        <v>-136.63120000000001</v>
      </c>
      <c r="H3135">
        <v>13.72564</v>
      </c>
      <c r="I3135">
        <v>210.3329</v>
      </c>
      <c r="J3135">
        <v>-234.864</v>
      </c>
      <c r="K3135">
        <v>1.1211</v>
      </c>
      <c r="L3135">
        <v>214.88149999999999</v>
      </c>
      <c r="M3135">
        <v>0.99990120000000005</v>
      </c>
      <c r="N3135">
        <v>-1.3694349999999999E-2</v>
      </c>
      <c r="O3135">
        <v>3.2045070000000001E-3</v>
      </c>
      <c r="P3135">
        <v>0.97505620000000004</v>
      </c>
      <c r="Q3135">
        <v>0.21674379999999999</v>
      </c>
      <c r="R3135">
        <v>-4.782848E-2</v>
      </c>
      <c r="S3135">
        <v>2.9852910000000001</v>
      </c>
      <c r="T3135">
        <v>0.3815405</v>
      </c>
      <c r="U3135">
        <v>-0.13764949999999901</v>
      </c>
      <c r="V3135">
        <v>5.0955380000000002E-2</v>
      </c>
      <c r="W3135">
        <v>0.23007349999999999</v>
      </c>
      <c r="X3135">
        <v>0.97183830000000004</v>
      </c>
      <c r="Y3135">
        <v>4.8875780000000001E-2</v>
      </c>
      <c r="Z3135">
        <v>3.2243419999999998E-3</v>
      </c>
      <c r="AA3135">
        <v>0.99879969999999996</v>
      </c>
      <c r="AB3135">
        <v>39</v>
      </c>
      <c r="AC3135">
        <v>98.232799999999997</v>
      </c>
      <c r="AD3135">
        <v>12.60454</v>
      </c>
      <c r="AE3135">
        <v>-4.5485999999999898</v>
      </c>
      <c r="AF3135">
        <v>4.7847846585919704</v>
      </c>
      <c r="AG3135">
        <v>12.60454</v>
      </c>
      <c r="AH3135">
        <v>96.630182139527903</v>
      </c>
      <c r="AI3135">
        <v>82.577233047702805</v>
      </c>
      <c r="AJ3135">
        <v>87.165231085192204</v>
      </c>
      <c r="AK3135">
        <v>97.566186218172106</v>
      </c>
      <c r="AL3135">
        <v>76.698600607931496</v>
      </c>
      <c r="AM3135">
        <v>86.998618747586804</v>
      </c>
      <c r="AN3135">
        <v>0.99999997375004102</v>
      </c>
    </row>
    <row r="3136" spans="1:40" x14ac:dyDescent="0.25">
      <c r="A3136" t="str">
        <f>"20190303171038830"</f>
        <v>20190303171038830</v>
      </c>
      <c r="B3136" t="str">
        <f>"1551604238823940"</f>
        <v>1551604238823940</v>
      </c>
      <c r="C3136" t="s">
        <v>40</v>
      </c>
      <c r="D3136">
        <v>4.6299080000000004</v>
      </c>
      <c r="E3136">
        <v>0.53517969999999904</v>
      </c>
      <c r="F3136" t="s">
        <v>50</v>
      </c>
      <c r="G3136">
        <v>-139.26750000000001</v>
      </c>
      <c r="H3136">
        <v>13.283530000000001</v>
      </c>
      <c r="I3136">
        <v>210.10769999999999</v>
      </c>
      <c r="J3136">
        <v>-234.44569999999999</v>
      </c>
      <c r="K3136">
        <v>1.1211009999999999</v>
      </c>
      <c r="L3136">
        <v>214.8828</v>
      </c>
      <c r="M3136">
        <v>0.99990060000000003</v>
      </c>
      <c r="N3136">
        <v>-1.3727069999999999E-2</v>
      </c>
      <c r="O3136">
        <v>3.216263E-3</v>
      </c>
      <c r="P3136">
        <v>0.97510090000000005</v>
      </c>
      <c r="Q3136">
        <v>0.21633939999999999</v>
      </c>
      <c r="R3136">
        <v>-4.8740249999999999E-2</v>
      </c>
      <c r="S3136">
        <v>2.9850310000000002</v>
      </c>
      <c r="T3136">
        <v>0.37977719999999998</v>
      </c>
      <c r="U3136">
        <v>-0.1490631</v>
      </c>
      <c r="V3136">
        <v>5.1878630000000002E-2</v>
      </c>
      <c r="W3136">
        <v>0.22970180000000001</v>
      </c>
      <c r="X3136">
        <v>0.9718774</v>
      </c>
      <c r="Y3136">
        <v>5.267782E-2</v>
      </c>
      <c r="Z3136">
        <v>3.4236710000000001E-3</v>
      </c>
      <c r="AA3136">
        <v>0.99860570000000004</v>
      </c>
      <c r="AB3136">
        <v>39</v>
      </c>
      <c r="AC3136">
        <v>95.178199999999904</v>
      </c>
      <c r="AD3136">
        <v>12.162428999999999</v>
      </c>
      <c r="AE3136">
        <v>-4.7751000000000001</v>
      </c>
      <c r="AF3136">
        <v>4.9997846251276101</v>
      </c>
      <c r="AG3136">
        <v>12.162428999999999</v>
      </c>
      <c r="AH3136">
        <v>93.637164511089594</v>
      </c>
      <c r="AI3136">
        <v>82.6097581942727</v>
      </c>
      <c r="AJ3136">
        <v>86.943577056446003</v>
      </c>
      <c r="AK3136">
        <v>94.556020977802206</v>
      </c>
      <c r="AL3136">
        <v>76.720483822613801</v>
      </c>
      <c r="AM3136">
        <v>86.944462184119899</v>
      </c>
      <c r="AN3136">
        <v>0.99999999490233804</v>
      </c>
    </row>
    <row r="3137" spans="1:40" x14ac:dyDescent="0.25">
      <c r="A3137" t="str">
        <f>"20190303171038852"</f>
        <v>20190303171038852</v>
      </c>
      <c r="B3137" t="str">
        <f>"1551604238843461"</f>
        <v>1551604238843461</v>
      </c>
      <c r="C3137" t="s">
        <v>40</v>
      </c>
      <c r="D3137">
        <v>4.5199579999999999</v>
      </c>
      <c r="E3137">
        <v>0.53476449999999998</v>
      </c>
      <c r="F3137" t="s">
        <v>52</v>
      </c>
      <c r="G3137">
        <v>-193.8271</v>
      </c>
      <c r="H3137" s="1">
        <v>3.707305E-6</v>
      </c>
      <c r="I3137">
        <v>209.79400000000001</v>
      </c>
      <c r="J3137">
        <v>-234.06710000000001</v>
      </c>
      <c r="K3137">
        <v>1.121103</v>
      </c>
      <c r="L3137">
        <v>214.88409999999999</v>
      </c>
      <c r="M3137">
        <v>0.99990020000000002</v>
      </c>
      <c r="N3137">
        <v>-1.3753619999999999E-2</v>
      </c>
      <c r="O3137">
        <v>3.2268069999999999E-3</v>
      </c>
      <c r="P3137">
        <v>0.97505699999999995</v>
      </c>
      <c r="Q3137">
        <v>0.2162944</v>
      </c>
      <c r="R3137">
        <v>-4.980449E-2</v>
      </c>
      <c r="S3137">
        <v>3.0761720000000001</v>
      </c>
      <c r="T3137">
        <v>-8.4904309999999997E-2</v>
      </c>
      <c r="U3137">
        <v>-0.38539119999999999</v>
      </c>
      <c r="V3137">
        <v>5.2953180000000002E-2</v>
      </c>
      <c r="W3137">
        <v>0.22968140000000001</v>
      </c>
      <c r="X3137">
        <v>0.97182429999999997</v>
      </c>
      <c r="Y3137">
        <v>0.1274402</v>
      </c>
      <c r="Z3137">
        <v>-2.6761200000000001E-3</v>
      </c>
      <c r="AA3137">
        <v>0.99184260000000002</v>
      </c>
      <c r="AB3137">
        <v>39</v>
      </c>
      <c r="AC3137">
        <v>40.24</v>
      </c>
      <c r="AD3137">
        <v>-1.1210992926950001</v>
      </c>
      <c r="AE3137">
        <v>-5.0900999999999703</v>
      </c>
      <c r="AF3137">
        <v>5.2159476473134099</v>
      </c>
      <c r="AG3137">
        <v>-1.1210992926950001</v>
      </c>
      <c r="AH3137">
        <v>40.192658018623</v>
      </c>
      <c r="AI3137">
        <v>91.584465135307397</v>
      </c>
      <c r="AJ3137">
        <v>82.605842010421199</v>
      </c>
      <c r="AK3137">
        <v>40.545193698952403</v>
      </c>
      <c r="AL3137">
        <v>76.721685205315296</v>
      </c>
      <c r="AM3137">
        <v>86.881127141964697</v>
      </c>
      <c r="AN3137">
        <v>1.00000002742428</v>
      </c>
    </row>
    <row r="3138" spans="1:40" x14ac:dyDescent="0.25">
      <c r="A3138" t="str">
        <f>"20190303171038873"</f>
        <v>20190303171038873</v>
      </c>
      <c r="B3138" t="str">
        <f>"1551604238863957"</f>
        <v>1551604238863957</v>
      </c>
      <c r="C3138" t="s">
        <v>40</v>
      </c>
      <c r="D3138">
        <v>4.4311489999999996</v>
      </c>
      <c r="E3138">
        <v>0.53163850000000001</v>
      </c>
      <c r="F3138" t="s">
        <v>52</v>
      </c>
      <c r="G3138">
        <v>-192.04300000000001</v>
      </c>
      <c r="H3138" s="1">
        <v>4.0412560000000002E-6</v>
      </c>
      <c r="I3138">
        <v>209.60900000000001</v>
      </c>
      <c r="J3138">
        <v>-233.6874</v>
      </c>
      <c r="K3138">
        <v>1.1211089999999999</v>
      </c>
      <c r="L3138">
        <v>214.8853</v>
      </c>
      <c r="M3138">
        <v>0.99989989999999995</v>
      </c>
      <c r="N3138">
        <v>-1.377746E-2</v>
      </c>
      <c r="O3138">
        <v>3.237607E-3</v>
      </c>
      <c r="P3138">
        <v>0.9751012</v>
      </c>
      <c r="Q3138">
        <v>0.2158679</v>
      </c>
      <c r="R3138">
        <v>-5.0780199999999998E-2</v>
      </c>
      <c r="S3138">
        <v>3.0751949999999999</v>
      </c>
      <c r="T3138">
        <v>-8.2038639999999996E-2</v>
      </c>
      <c r="U3138">
        <v>-0.38601679999999999</v>
      </c>
      <c r="V3138">
        <v>5.3939710000000002E-2</v>
      </c>
      <c r="W3138">
        <v>0.2292786</v>
      </c>
      <c r="X3138">
        <v>0.97186510000000004</v>
      </c>
      <c r="Y3138">
        <v>0.12769220000000001</v>
      </c>
      <c r="Z3138">
        <v>-2.621249E-3</v>
      </c>
      <c r="AA3138">
        <v>0.99181039999999998</v>
      </c>
      <c r="AB3138">
        <v>39</v>
      </c>
      <c r="AC3138">
        <v>41.644399999999898</v>
      </c>
      <c r="AD3138">
        <v>-1.1211049587439901</v>
      </c>
      <c r="AE3138">
        <v>-5.2762999999999902</v>
      </c>
      <c r="AF3138">
        <v>5.4072564178373597</v>
      </c>
      <c r="AG3138">
        <v>-1.1211049587439901</v>
      </c>
      <c r="AH3138">
        <v>41.597426668033897</v>
      </c>
      <c r="AI3138">
        <v>91.530948175086607</v>
      </c>
      <c r="AJ3138">
        <v>82.593641927691905</v>
      </c>
      <c r="AK3138">
        <v>41.962378432343698</v>
      </c>
      <c r="AL3138">
        <v>76.745395959192507</v>
      </c>
      <c r="AM3138">
        <v>86.823272845767207</v>
      </c>
      <c r="AN3138">
        <v>0.99999997066542601</v>
      </c>
    </row>
    <row r="3139" spans="1:40" x14ac:dyDescent="0.25">
      <c r="A3139" t="str">
        <f>"20190303171038896"</f>
        <v>20190303171038896</v>
      </c>
      <c r="B3139" t="str">
        <f>"1551604238884453"</f>
        <v>1551604238884453</v>
      </c>
      <c r="C3139" t="s">
        <v>40</v>
      </c>
      <c r="D3139">
        <v>4.5166230000000001</v>
      </c>
      <c r="E3139">
        <v>0.53413239999999995</v>
      </c>
      <c r="F3139" t="s">
        <v>50</v>
      </c>
      <c r="G3139">
        <v>-168.4135</v>
      </c>
      <c r="H3139">
        <v>9.0007760000000001</v>
      </c>
      <c r="I3139">
        <v>206.358</v>
      </c>
      <c r="J3139">
        <v>-233.29810000000001</v>
      </c>
      <c r="K3139">
        <v>1.1211070000000001</v>
      </c>
      <c r="L3139">
        <v>214.88659999999999</v>
      </c>
      <c r="M3139">
        <v>0.9998996</v>
      </c>
      <c r="N3139">
        <v>-1.379933E-2</v>
      </c>
      <c r="O3139">
        <v>3.2487200000000001E-3</v>
      </c>
      <c r="P3139">
        <v>0.97526279999999999</v>
      </c>
      <c r="Q3139">
        <v>0.2151044</v>
      </c>
      <c r="R3139">
        <v>-5.0918680000000001E-2</v>
      </c>
      <c r="S3139">
        <v>2.976807</v>
      </c>
      <c r="T3139">
        <v>0.35935280000000003</v>
      </c>
      <c r="U3139">
        <v>-0.3888855</v>
      </c>
      <c r="V3139">
        <v>5.4089409999999997E-2</v>
      </c>
      <c r="W3139">
        <v>0.22853870000000001</v>
      </c>
      <c r="X3139">
        <v>0.97203110000000004</v>
      </c>
      <c r="Y3139">
        <v>0.13189799999999999</v>
      </c>
      <c r="Z3139">
        <v>7.4160110000000001E-3</v>
      </c>
      <c r="AA3139">
        <v>0.99123559999999999</v>
      </c>
      <c r="AB3139">
        <v>39</v>
      </c>
      <c r="AC3139">
        <v>64.884600000000006</v>
      </c>
      <c r="AD3139">
        <v>7.8796689999999998</v>
      </c>
      <c r="AE3139">
        <v>-8.5285999999999795</v>
      </c>
      <c r="AF3139">
        <v>8.6144784547970694</v>
      </c>
      <c r="AG3139">
        <v>7.8796689999999998</v>
      </c>
      <c r="AH3139">
        <v>63.9297260685982</v>
      </c>
      <c r="AI3139">
        <v>83.035753556401204</v>
      </c>
      <c r="AJ3139">
        <v>82.325666149545498</v>
      </c>
      <c r="AK3139">
        <v>64.986985603301605</v>
      </c>
      <c r="AL3139">
        <v>76.788946243789098</v>
      </c>
      <c r="AM3139">
        <v>86.815017433547297</v>
      </c>
      <c r="AN3139">
        <v>1.00000003051952</v>
      </c>
    </row>
    <row r="3140" spans="1:40" x14ac:dyDescent="0.25">
      <c r="A3140" t="str">
        <f>"20190303171038913"</f>
        <v>20190303171038913</v>
      </c>
      <c r="B3140" t="str">
        <f>"1551604238903975"</f>
        <v>1551604238903975</v>
      </c>
      <c r="C3140" t="s">
        <v>40</v>
      </c>
      <c r="D3140">
        <v>4.4584760000000001</v>
      </c>
      <c r="E3140">
        <v>0.53443079999999998</v>
      </c>
      <c r="F3140" t="s">
        <v>52</v>
      </c>
      <c r="G3140">
        <v>-194.99459999999999</v>
      </c>
      <c r="H3140" s="1">
        <v>3.47395E-6</v>
      </c>
      <c r="I3140">
        <v>210.09450000000001</v>
      </c>
      <c r="J3140">
        <v>-232.98500000000001</v>
      </c>
      <c r="K3140">
        <v>1.121105</v>
      </c>
      <c r="L3140">
        <v>214.88759999999999</v>
      </c>
      <c r="M3140">
        <v>0.99989930000000005</v>
      </c>
      <c r="N3140">
        <v>-1.381492E-2</v>
      </c>
      <c r="O3140">
        <v>3.2575519999999999E-3</v>
      </c>
      <c r="P3140">
        <v>0.97532319999999995</v>
      </c>
      <c r="Q3140">
        <v>0.21484230000000001</v>
      </c>
      <c r="R3140">
        <v>-5.0868570000000002E-2</v>
      </c>
      <c r="S3140">
        <v>3.0758510000000001</v>
      </c>
      <c r="T3140">
        <v>-9.002686E-2</v>
      </c>
      <c r="U3140">
        <v>-0.38481140000000003</v>
      </c>
      <c r="V3140">
        <v>5.4048110000000003E-2</v>
      </c>
      <c r="W3140">
        <v>0.2282931</v>
      </c>
      <c r="X3140">
        <v>0.97209109999999999</v>
      </c>
      <c r="Y3140">
        <v>0.12729180000000001</v>
      </c>
      <c r="Z3140">
        <v>-2.7883510000000001E-3</v>
      </c>
      <c r="AA3140">
        <v>0.9918614</v>
      </c>
      <c r="AB3140">
        <v>39</v>
      </c>
      <c r="AC3140">
        <v>37.990400000000001</v>
      </c>
      <c r="AD3140">
        <v>-1.1211015260499999</v>
      </c>
      <c r="AE3140">
        <v>-4.7930999999999804</v>
      </c>
      <c r="AF3140">
        <v>4.9126309531630099</v>
      </c>
      <c r="AG3140">
        <v>-1.1211015260499999</v>
      </c>
      <c r="AH3140">
        <v>37.942059091568701</v>
      </c>
      <c r="AI3140">
        <v>91.678464913835001</v>
      </c>
      <c r="AJ3140">
        <v>82.622547178961199</v>
      </c>
      <c r="AK3140">
        <v>38.275196402132003</v>
      </c>
      <c r="AL3140">
        <v>76.803400084849599</v>
      </c>
      <c r="AM3140">
        <v>86.817640359679999</v>
      </c>
      <c r="AN3140">
        <v>1.00000002220069</v>
      </c>
    </row>
    <row r="3141" spans="1:40" x14ac:dyDescent="0.25">
      <c r="A3141" t="str">
        <f>"20190303171038930"</f>
        <v>20190303171038930</v>
      </c>
      <c r="B3141" t="str">
        <f>"1551604238923492"</f>
        <v>1551604238923492</v>
      </c>
      <c r="C3141" t="s">
        <v>40</v>
      </c>
      <c r="D3141">
        <v>4.5864760000000002</v>
      </c>
      <c r="E3141">
        <v>0.53418900000000002</v>
      </c>
      <c r="F3141" t="s">
        <v>50</v>
      </c>
      <c r="G3141">
        <v>-168.4134</v>
      </c>
      <c r="H3141">
        <v>8.3727800000000006</v>
      </c>
      <c r="I3141">
        <v>205.99889999999999</v>
      </c>
      <c r="J3141">
        <v>-232.69909999999999</v>
      </c>
      <c r="K3141">
        <v>1.121103</v>
      </c>
      <c r="L3141">
        <v>214.88849999999999</v>
      </c>
      <c r="M3141">
        <v>0.99989910000000004</v>
      </c>
      <c r="N3141">
        <v>-1.382765E-2</v>
      </c>
      <c r="O3141">
        <v>3.2653909999999999E-3</v>
      </c>
      <c r="P3141">
        <v>0.97527770000000003</v>
      </c>
      <c r="Q3141">
        <v>0.21479010000000001</v>
      </c>
      <c r="R3141">
        <v>-5.1949969999999998E-2</v>
      </c>
      <c r="S3141">
        <v>2.9807739999999998</v>
      </c>
      <c r="T3141">
        <v>0.33475529999999998</v>
      </c>
      <c r="U3141">
        <v>-0.41032410000000002</v>
      </c>
      <c r="V3141">
        <v>5.5136890000000001E-2</v>
      </c>
      <c r="W3141">
        <v>0.2282527</v>
      </c>
      <c r="X3141">
        <v>0.9720394</v>
      </c>
      <c r="Y3141">
        <v>0.1388308</v>
      </c>
      <c r="Z3141">
        <v>7.1768169999999899E-3</v>
      </c>
      <c r="AA3141">
        <v>0.99029009999999995</v>
      </c>
      <c r="AB3141">
        <v>39</v>
      </c>
      <c r="AC3141">
        <v>64.285699999999906</v>
      </c>
      <c r="AD3141">
        <v>7.2516769999999999</v>
      </c>
      <c r="AE3141">
        <v>-8.8895999999999997</v>
      </c>
      <c r="AF3141">
        <v>8.9872758428092201</v>
      </c>
      <c r="AG3141">
        <v>7.2516769999999999</v>
      </c>
      <c r="AH3141">
        <v>63.463918480908298</v>
      </c>
      <c r="AI3141">
        <v>83.545243608734495</v>
      </c>
      <c r="AJ3141">
        <v>81.939803675639396</v>
      </c>
      <c r="AK3141">
        <v>64.506022163348803</v>
      </c>
      <c r="AL3141">
        <v>76.805777086710293</v>
      </c>
      <c r="AM3141">
        <v>86.753496323978993</v>
      </c>
      <c r="AN3141">
        <v>0.99999998342426</v>
      </c>
    </row>
    <row r="3142" spans="1:40" x14ac:dyDescent="0.25">
      <c r="A3142" t="str">
        <f>"20190303171038951"</f>
        <v>20190303171038951</v>
      </c>
      <c r="B3142" t="str">
        <f>"1551604238943989"</f>
        <v>1551604238943989</v>
      </c>
      <c r="C3142" t="s">
        <v>40</v>
      </c>
      <c r="D3142">
        <v>4.4812779999999997</v>
      </c>
      <c r="E3142">
        <v>0.53639159999999997</v>
      </c>
      <c r="F3142" t="s">
        <v>50</v>
      </c>
      <c r="G3142">
        <v>-168.4134</v>
      </c>
      <c r="H3142">
        <v>8.3159580000000002</v>
      </c>
      <c r="I3142">
        <v>206.01769999999999</v>
      </c>
      <c r="J3142">
        <v>-232.32259999999999</v>
      </c>
      <c r="K3142">
        <v>1.1211</v>
      </c>
      <c r="L3142">
        <v>214.88980000000001</v>
      </c>
      <c r="M3142">
        <v>0.99989899999999998</v>
      </c>
      <c r="N3142">
        <v>-1.3842780000000001E-2</v>
      </c>
      <c r="O3142">
        <v>3.2753610000000001E-3</v>
      </c>
      <c r="P3142">
        <v>0.97544830000000005</v>
      </c>
      <c r="Q3142">
        <v>0.21373159999999999</v>
      </c>
      <c r="R3142">
        <v>-5.3101710000000003E-2</v>
      </c>
      <c r="S3142">
        <v>2.9806520000000001</v>
      </c>
      <c r="T3142">
        <v>0.3335958</v>
      </c>
      <c r="U3142">
        <v>-0.41130070000000002</v>
      </c>
      <c r="V3142">
        <v>5.6298929999999997E-2</v>
      </c>
      <c r="W3142">
        <v>0.2272113</v>
      </c>
      <c r="X3142">
        <v>0.97221679999999999</v>
      </c>
      <c r="Y3142">
        <v>0.1391684</v>
      </c>
      <c r="Z3142">
        <v>7.1657099999999996E-3</v>
      </c>
      <c r="AA3142">
        <v>0.99024279999999998</v>
      </c>
      <c r="AB3142">
        <v>39</v>
      </c>
      <c r="AC3142">
        <v>63.909199999999998</v>
      </c>
      <c r="AD3142">
        <v>7.194858</v>
      </c>
      <c r="AE3142">
        <v>-8.8721000000000103</v>
      </c>
      <c r="AF3142">
        <v>8.9698625509703902</v>
      </c>
      <c r="AG3142">
        <v>7.194858</v>
      </c>
      <c r="AH3142">
        <v>63.095238564768202</v>
      </c>
      <c r="AI3142">
        <v>83.558776672374194</v>
      </c>
      <c r="AJ3142">
        <v>81.908829255434995</v>
      </c>
      <c r="AK3142">
        <v>64.134495752040294</v>
      </c>
      <c r="AL3142">
        <v>76.867055624782594</v>
      </c>
      <c r="AM3142">
        <v>86.685828990341307</v>
      </c>
      <c r="AN3142">
        <v>1.00000002528453</v>
      </c>
    </row>
    <row r="3143" spans="1:40" x14ac:dyDescent="0.25">
      <c r="A3143" t="str">
        <f>"20190303171038970"</f>
        <v>20190303171038970</v>
      </c>
      <c r="B3143" t="str">
        <f>"1551604238963509"</f>
        <v>1551604238963509</v>
      </c>
      <c r="C3143" t="s">
        <v>40</v>
      </c>
      <c r="D3143">
        <v>4.4267349999999999</v>
      </c>
      <c r="E3143">
        <v>0.53458260000000002</v>
      </c>
      <c r="F3143" t="s">
        <v>52</v>
      </c>
      <c r="G3143">
        <v>-193.1601</v>
      </c>
      <c r="H3143" s="1">
        <v>3.8342940000000001E-6</v>
      </c>
      <c r="I3143">
        <v>209.69489999999999</v>
      </c>
      <c r="J3143">
        <v>-231.9973</v>
      </c>
      <c r="K3143">
        <v>1.121097</v>
      </c>
      <c r="L3143">
        <v>214.89089999999999</v>
      </c>
      <c r="M3143">
        <v>0.99989879999999998</v>
      </c>
      <c r="N3143">
        <v>-1.3854139999999999E-2</v>
      </c>
      <c r="O3143">
        <v>3.2843999999999998E-3</v>
      </c>
      <c r="P3143">
        <v>0.97554410000000003</v>
      </c>
      <c r="Q3143">
        <v>0.2131372</v>
      </c>
      <c r="R3143">
        <v>-5.3728249999999998E-2</v>
      </c>
      <c r="S3143">
        <v>3.0726170000000002</v>
      </c>
      <c r="T3143">
        <v>-8.7959170000000003E-2</v>
      </c>
      <c r="U3143">
        <v>-0.40757749999999998</v>
      </c>
      <c r="V3143">
        <v>5.6934489999999997E-2</v>
      </c>
      <c r="W3143">
        <v>0.22662940000000001</v>
      </c>
      <c r="X3143">
        <v>0.97231559999999995</v>
      </c>
      <c r="Y3143">
        <v>0.13467079999999901</v>
      </c>
      <c r="Z3143">
        <v>-2.904369E-3</v>
      </c>
      <c r="AA3143">
        <v>0.99088620000000005</v>
      </c>
      <c r="AB3143">
        <v>39</v>
      </c>
      <c r="AC3143">
        <v>38.837200000000003</v>
      </c>
      <c r="AD3143">
        <v>-1.1210931657059999</v>
      </c>
      <c r="AE3143">
        <v>-5.19599999999999</v>
      </c>
      <c r="AF3143">
        <v>5.31918669503911</v>
      </c>
      <c r="AG3143">
        <v>-1.1210931657059999</v>
      </c>
      <c r="AH3143">
        <v>38.788170313316698</v>
      </c>
      <c r="AI3143">
        <v>91.640214622209299</v>
      </c>
      <c r="AJ3143">
        <v>82.191491516297205</v>
      </c>
      <c r="AK3143">
        <v>39.167240817266403</v>
      </c>
      <c r="AL3143">
        <v>76.901289052520099</v>
      </c>
      <c r="AM3143">
        <v>86.648839824082998</v>
      </c>
      <c r="AN3143">
        <v>1.00000002354963</v>
      </c>
    </row>
    <row r="3144" spans="1:40" x14ac:dyDescent="0.25">
      <c r="A3144" t="str">
        <f>"20190303171038985"</f>
        <v>20190303171038985</v>
      </c>
      <c r="B3144" t="str">
        <f>"1551604238974245"</f>
        <v>1551604238974245</v>
      </c>
      <c r="C3144" t="s">
        <v>40</v>
      </c>
      <c r="D3144">
        <v>4.5448829999999996</v>
      </c>
      <c r="E3144">
        <v>0.53458260000000002</v>
      </c>
      <c r="F3144" t="s">
        <v>50</v>
      </c>
      <c r="G3144">
        <v>-168.4135</v>
      </c>
      <c r="H3144">
        <v>8.4747939999999993</v>
      </c>
      <c r="I3144">
        <v>205.91730000000001</v>
      </c>
      <c r="J3144">
        <v>-231.73750000000001</v>
      </c>
      <c r="K3144">
        <v>1.1210830000000001</v>
      </c>
      <c r="L3144">
        <v>214.89169999999999</v>
      </c>
      <c r="M3144">
        <v>0.99989859999999997</v>
      </c>
      <c r="N3144">
        <v>-1.386221E-2</v>
      </c>
      <c r="O3144">
        <v>3.2919109999999998E-3</v>
      </c>
      <c r="P3144">
        <v>0.97591669999999997</v>
      </c>
      <c r="Q3144">
        <v>0.21114949999999999</v>
      </c>
      <c r="R3144">
        <v>-5.4796079999999997E-2</v>
      </c>
      <c r="S3144">
        <v>2.9768370000000002</v>
      </c>
      <c r="T3144">
        <v>0.34428350000000002</v>
      </c>
      <c r="U3144">
        <v>-0.4201202</v>
      </c>
      <c r="V3144">
        <v>5.8011029999999998E-2</v>
      </c>
      <c r="W3144">
        <v>0.2246541</v>
      </c>
      <c r="X3144">
        <v>0.97271030000000003</v>
      </c>
      <c r="Y3144">
        <v>0.1421615</v>
      </c>
      <c r="Z3144">
        <v>7.5832829999999997E-3</v>
      </c>
      <c r="AA3144">
        <v>0.98981450000000004</v>
      </c>
      <c r="AB3144">
        <v>39</v>
      </c>
      <c r="AC3144">
        <v>63.323999999999998</v>
      </c>
      <c r="AD3144">
        <v>7.3537109999999997</v>
      </c>
      <c r="AE3144">
        <v>-8.9743999999999708</v>
      </c>
      <c r="AF3144">
        <v>9.0630129497704797</v>
      </c>
      <c r="AG3144">
        <v>7.3537109999999997</v>
      </c>
      <c r="AH3144">
        <v>62.468264303469802</v>
      </c>
      <c r="AI3144">
        <v>83.355027217239297</v>
      </c>
      <c r="AJ3144">
        <v>81.745018298885796</v>
      </c>
      <c r="AK3144">
        <v>63.549188148137503</v>
      </c>
      <c r="AL3144">
        <v>77.017461636139799</v>
      </c>
      <c r="AM3144">
        <v>86.587005464395503</v>
      </c>
      <c r="AN3144">
        <v>1.0000000359872701</v>
      </c>
    </row>
    <row r="3145" spans="1:40" x14ac:dyDescent="0.25">
      <c r="A3145" t="str">
        <f>"20190303171039008"</f>
        <v>20190303171039008</v>
      </c>
      <c r="B3145" t="str">
        <f>"1551604238993765"</f>
        <v>1551604238993765</v>
      </c>
      <c r="C3145" t="s">
        <v>40</v>
      </c>
      <c r="D3145">
        <v>4.4752450000000001</v>
      </c>
      <c r="E3145">
        <v>0.53608739999999999</v>
      </c>
      <c r="F3145" t="s">
        <v>50</v>
      </c>
      <c r="G3145">
        <v>-168.4134</v>
      </c>
      <c r="H3145">
        <v>8.3185229999999901</v>
      </c>
      <c r="I3145">
        <v>205.88069999999999</v>
      </c>
      <c r="J3145">
        <v>-231.34719999999999</v>
      </c>
      <c r="K3145">
        <v>1.1210789999999999</v>
      </c>
      <c r="L3145">
        <v>214.893</v>
      </c>
      <c r="M3145">
        <v>0.99989830000000002</v>
      </c>
      <c r="N3145">
        <v>-1.3872840000000001E-2</v>
      </c>
      <c r="O3145">
        <v>3.3030999999999998E-3</v>
      </c>
      <c r="P3145">
        <v>0.97625260000000003</v>
      </c>
      <c r="Q3145">
        <v>0.2092656</v>
      </c>
      <c r="R3145">
        <v>-5.6027279999999999E-2</v>
      </c>
      <c r="S3145">
        <v>2.977036</v>
      </c>
      <c r="T3145">
        <v>0.33837260000000002</v>
      </c>
      <c r="U3145">
        <v>-0.4236298</v>
      </c>
      <c r="V3145">
        <v>5.9254109999999999E-2</v>
      </c>
      <c r="W3145">
        <v>0.22278580000000001</v>
      </c>
      <c r="X3145">
        <v>0.97306499999999996</v>
      </c>
      <c r="Y3145">
        <v>0.1433314</v>
      </c>
      <c r="Z3145">
        <v>7.494995E-3</v>
      </c>
      <c r="AA3145">
        <v>0.98964640000000004</v>
      </c>
      <c r="AB3145">
        <v>39</v>
      </c>
      <c r="AC3145">
        <v>62.933799999999898</v>
      </c>
      <c r="AD3145">
        <v>7.1974439999999902</v>
      </c>
      <c r="AE3145">
        <v>-9.0123000000000104</v>
      </c>
      <c r="AF3145">
        <v>9.1034719556250092</v>
      </c>
      <c r="AG3145">
        <v>7.1974439999999902</v>
      </c>
      <c r="AH3145">
        <v>62.107676280446803</v>
      </c>
      <c r="AI3145">
        <v>83.458952943134193</v>
      </c>
      <c r="AJ3145">
        <v>81.661214500094999</v>
      </c>
      <c r="AK3145">
        <v>63.182591389850103</v>
      </c>
      <c r="AL3145">
        <v>77.127291051643496</v>
      </c>
      <c r="AM3145">
        <v>86.515316685014099</v>
      </c>
      <c r="AN3145">
        <v>1.00000002822926</v>
      </c>
    </row>
    <row r="3146" spans="1:40" x14ac:dyDescent="0.25">
      <c r="A3146" t="str">
        <f>"20190303171039025"</f>
        <v>20190303171039025</v>
      </c>
      <c r="B3146" t="str">
        <f>"1551604239014261"</f>
        <v>1551604239014261</v>
      </c>
      <c r="C3146" t="s">
        <v>40</v>
      </c>
      <c r="D3146">
        <v>4.5943350000000001</v>
      </c>
      <c r="E3146">
        <v>0.53869160000000005</v>
      </c>
      <c r="F3146" t="s">
        <v>50</v>
      </c>
      <c r="G3146">
        <v>-168.4135</v>
      </c>
      <c r="H3146">
        <v>8.0991379999999999</v>
      </c>
      <c r="I3146">
        <v>205.60390000000001</v>
      </c>
      <c r="J3146">
        <v>-231.0334</v>
      </c>
      <c r="K3146">
        <v>1.121076</v>
      </c>
      <c r="L3146">
        <v>214.89410000000001</v>
      </c>
      <c r="M3146">
        <v>0.99989830000000002</v>
      </c>
      <c r="N3146">
        <v>-1.388034E-2</v>
      </c>
      <c r="O3146">
        <v>3.3118090000000002E-3</v>
      </c>
      <c r="P3146">
        <v>0.97630159999999999</v>
      </c>
      <c r="Q3146">
        <v>0.20888480000000001</v>
      </c>
      <c r="R3146">
        <v>-5.6587320000000003E-2</v>
      </c>
      <c r="S3146">
        <v>2.9769899999999998</v>
      </c>
      <c r="T3146">
        <v>0.33008870000000001</v>
      </c>
      <c r="U3146">
        <v>-0.4394073</v>
      </c>
      <c r="V3146">
        <v>5.9823189999999998E-2</v>
      </c>
      <c r="W3146">
        <v>0.222413</v>
      </c>
      <c r="X3146">
        <v>0.97311539999999996</v>
      </c>
      <c r="Y3146">
        <v>0.14849300000000001</v>
      </c>
      <c r="Z3146">
        <v>7.5343529999999997E-3</v>
      </c>
      <c r="AA3146">
        <v>0.98888469999999995</v>
      </c>
      <c r="AB3146">
        <v>39</v>
      </c>
      <c r="AC3146">
        <v>62.619900000000001</v>
      </c>
      <c r="AD3146">
        <v>6.9780620000000004</v>
      </c>
      <c r="AE3146">
        <v>-9.2902000000000005</v>
      </c>
      <c r="AF3146">
        <v>9.383540617804</v>
      </c>
      <c r="AG3146">
        <v>6.9780620000000004</v>
      </c>
      <c r="AH3146">
        <v>61.837438190266397</v>
      </c>
      <c r="AI3146">
        <v>83.633947848815197</v>
      </c>
      <c r="AJ3146">
        <v>81.3714616386834</v>
      </c>
      <c r="AK3146">
        <v>62.933400875344702</v>
      </c>
      <c r="AL3146">
        <v>77.149199857175802</v>
      </c>
      <c r="AM3146">
        <v>86.482114987151704</v>
      </c>
      <c r="AN3146">
        <v>0.99999996917396705</v>
      </c>
    </row>
    <row r="3147" spans="1:40" x14ac:dyDescent="0.25">
      <c r="A3147" t="str">
        <f>"20190303171039042"</f>
        <v>20190303171039042</v>
      </c>
      <c r="B3147" t="str">
        <f>"1551604239033780"</f>
        <v>1551604239033780</v>
      </c>
      <c r="C3147" t="s">
        <v>40</v>
      </c>
      <c r="D3147">
        <v>4.4524400000000002</v>
      </c>
      <c r="E3147">
        <v>0.53881809999999997</v>
      </c>
      <c r="F3147" t="s">
        <v>52</v>
      </c>
      <c r="G3147">
        <v>-197.34209999999999</v>
      </c>
      <c r="H3147" s="1">
        <v>3.0579610000000002E-6</v>
      </c>
      <c r="I3147">
        <v>210.0898</v>
      </c>
      <c r="J3147">
        <v>-230.7551</v>
      </c>
      <c r="K3147">
        <v>1.1210719999999901</v>
      </c>
      <c r="L3147">
        <v>214.89500000000001</v>
      </c>
      <c r="M3147">
        <v>0.99989830000000002</v>
      </c>
      <c r="N3147">
        <v>-1.3886269999999999E-2</v>
      </c>
      <c r="O3147">
        <v>3.3193369999999999E-3</v>
      </c>
      <c r="P3147">
        <v>0.97638460000000005</v>
      </c>
      <c r="Q3147">
        <v>0.20815059999999999</v>
      </c>
      <c r="R3147">
        <v>-5.7849820000000003E-2</v>
      </c>
      <c r="S3147">
        <v>3.0693049999999999</v>
      </c>
      <c r="T3147">
        <v>-0.1021305</v>
      </c>
      <c r="U3147">
        <v>-0.4376678</v>
      </c>
      <c r="V3147">
        <v>6.1093170000000002E-2</v>
      </c>
      <c r="W3147">
        <v>0.2216854</v>
      </c>
      <c r="X3147">
        <v>0.97320249999999997</v>
      </c>
      <c r="Y3147">
        <v>0.14434060000000001</v>
      </c>
      <c r="Z3147">
        <v>-3.460388E-3</v>
      </c>
      <c r="AA3147">
        <v>0.98952200000000001</v>
      </c>
      <c r="AB3147">
        <v>39</v>
      </c>
      <c r="AC3147">
        <v>33.412999999999997</v>
      </c>
      <c r="AD3147">
        <v>-1.1210689420390001</v>
      </c>
      <c r="AE3147">
        <v>-4.8052000000000099</v>
      </c>
      <c r="AF3147">
        <v>4.9106771250048498</v>
      </c>
      <c r="AG3147">
        <v>-1.1210689420390001</v>
      </c>
      <c r="AH3147">
        <v>33.3600708540799</v>
      </c>
      <c r="AI3147">
        <v>91.904202136240499</v>
      </c>
      <c r="AJ3147">
        <v>81.626070881089305</v>
      </c>
      <c r="AK3147">
        <v>33.738196051183301</v>
      </c>
      <c r="AL3147">
        <v>77.191955384573404</v>
      </c>
      <c r="AM3147">
        <v>86.407948399762503</v>
      </c>
      <c r="AN3147">
        <v>0.99999994900002798</v>
      </c>
    </row>
    <row r="3148" spans="1:40" x14ac:dyDescent="0.25">
      <c r="A3148" t="str">
        <f>"20190303171039065"</f>
        <v>20190303171039065</v>
      </c>
      <c r="B3148" t="str">
        <f>"1551604239054277"</f>
        <v>1551604239054277</v>
      </c>
      <c r="C3148" t="s">
        <v>40</v>
      </c>
      <c r="D3148">
        <v>4.5006760000000003</v>
      </c>
      <c r="E3148">
        <v>0.53715959999999996</v>
      </c>
      <c r="F3148" t="s">
        <v>52</v>
      </c>
      <c r="G3148">
        <v>-196.3015</v>
      </c>
      <c r="H3148" s="1">
        <v>3.2570879999999998E-6</v>
      </c>
      <c r="I3148">
        <v>209.92330000000001</v>
      </c>
      <c r="J3148">
        <v>-230.3399</v>
      </c>
      <c r="K3148">
        <v>1.121073</v>
      </c>
      <c r="L3148">
        <v>214.8963</v>
      </c>
      <c r="M3148">
        <v>0.99989790000000001</v>
      </c>
      <c r="N3148">
        <v>-1.38957E-2</v>
      </c>
      <c r="O3148">
        <v>3.3308360000000002E-3</v>
      </c>
      <c r="P3148">
        <v>0.97645380000000004</v>
      </c>
      <c r="Q3148">
        <v>0.2077696</v>
      </c>
      <c r="R3148">
        <v>-5.8052329999999999E-2</v>
      </c>
      <c r="S3148">
        <v>3.0676269999999999</v>
      </c>
      <c r="T3148">
        <v>-9.9815959999999995E-2</v>
      </c>
      <c r="U3148">
        <v>-0.44265749999999998</v>
      </c>
      <c r="V3148">
        <v>6.1306880000000001E-2</v>
      </c>
      <c r="W3148">
        <v>0.22131480000000001</v>
      </c>
      <c r="X3148">
        <v>0.97327350000000001</v>
      </c>
      <c r="Y3148">
        <v>0.14600739999999901</v>
      </c>
      <c r="Z3148">
        <v>-3.4444290000000002E-3</v>
      </c>
      <c r="AA3148">
        <v>0.98927750000000003</v>
      </c>
      <c r="AB3148">
        <v>39</v>
      </c>
      <c r="AC3148">
        <v>34.038400000000003</v>
      </c>
      <c r="AD3148">
        <v>-1.121069742912</v>
      </c>
      <c r="AE3148">
        <v>-4.9729999999999803</v>
      </c>
      <c r="AF3148">
        <v>5.0809633288847698</v>
      </c>
      <c r="AG3148">
        <v>-1.121069742912</v>
      </c>
      <c r="AH3148">
        <v>33.985550153602198</v>
      </c>
      <c r="AI3148">
        <v>91.868559226040105</v>
      </c>
      <c r="AJ3148">
        <v>81.497050150568299</v>
      </c>
      <c r="AK3148">
        <v>34.381544540071999</v>
      </c>
      <c r="AL3148">
        <v>77.213731261023696</v>
      </c>
      <c r="AM3148">
        <v>86.395678376414196</v>
      </c>
      <c r="AN3148">
        <v>1.00000004001831</v>
      </c>
    </row>
    <row r="3149" spans="1:40" x14ac:dyDescent="0.25">
      <c r="A3149" t="str">
        <f>"20190303171039086"</f>
        <v>20190303171039086</v>
      </c>
      <c r="B3149" t="str">
        <f>"1551604239073797"</f>
        <v>1551604239073797</v>
      </c>
      <c r="C3149" t="s">
        <v>40</v>
      </c>
      <c r="D3149">
        <v>4.4947540000000004</v>
      </c>
      <c r="E3149">
        <v>0.53706830000000005</v>
      </c>
      <c r="F3149" t="s">
        <v>50</v>
      </c>
      <c r="G3149">
        <v>-168.4134</v>
      </c>
      <c r="H3149">
        <v>7.8758239999999997</v>
      </c>
      <c r="I3149">
        <v>205.44569999999999</v>
      </c>
      <c r="J3149">
        <v>-229.9871</v>
      </c>
      <c r="K3149">
        <v>1.1210719999999901</v>
      </c>
      <c r="L3149">
        <v>214.89760000000001</v>
      </c>
      <c r="M3149">
        <v>0.99989779999999995</v>
      </c>
      <c r="N3149">
        <v>-1.3906679999999999E-2</v>
      </c>
      <c r="O3149">
        <v>3.340534E-3</v>
      </c>
      <c r="P3149">
        <v>0.97665230000000003</v>
      </c>
      <c r="Q3149">
        <v>0.20693410000000001</v>
      </c>
      <c r="R3149">
        <v>-5.7693130000000002E-2</v>
      </c>
      <c r="S3149">
        <v>2.9762569999999999</v>
      </c>
      <c r="T3149">
        <v>0.32464280000000001</v>
      </c>
      <c r="U3149">
        <v>-0.45420840000000001</v>
      </c>
      <c r="V3149">
        <v>6.0957949999999997E-2</v>
      </c>
      <c r="W3149">
        <v>0.22049299999999999</v>
      </c>
      <c r="X3149">
        <v>0.97348190000000001</v>
      </c>
      <c r="Y3149">
        <v>0.1533678</v>
      </c>
      <c r="Z3149">
        <v>7.6241719999999898E-3</v>
      </c>
      <c r="AA3149">
        <v>0.98813969999999995</v>
      </c>
      <c r="AB3149">
        <v>39</v>
      </c>
      <c r="AC3149">
        <v>61.573700000000002</v>
      </c>
      <c r="AD3149">
        <v>6.7547519999999999</v>
      </c>
      <c r="AE3149">
        <v>-9.4519000000000197</v>
      </c>
      <c r="AF3149">
        <v>9.5453274044105694</v>
      </c>
      <c r="AG3149">
        <v>6.7547519999999999</v>
      </c>
      <c r="AH3149">
        <v>60.826612744513497</v>
      </c>
      <c r="AI3149">
        <v>83.739306952817202</v>
      </c>
      <c r="AJ3149">
        <v>81.081489565867997</v>
      </c>
      <c r="AK3149">
        <v>61.940429186516901</v>
      </c>
      <c r="AL3149">
        <v>77.262009390033</v>
      </c>
      <c r="AM3149">
        <v>86.416904088652402</v>
      </c>
      <c r="AN3149">
        <v>1.0000000221723999</v>
      </c>
    </row>
    <row r="3150" spans="1:40" x14ac:dyDescent="0.25">
      <c r="A3150" t="str">
        <f>"20190303171039109"</f>
        <v>20190303171039109</v>
      </c>
      <c r="B3150" t="str">
        <f>"1551604239104070"</f>
        <v>1551604239104070</v>
      </c>
      <c r="C3150" t="s">
        <v>40</v>
      </c>
      <c r="D3150">
        <v>4.4952220000000001</v>
      </c>
      <c r="E3150">
        <v>0.53717150000000002</v>
      </c>
      <c r="F3150" t="s">
        <v>50</v>
      </c>
      <c r="G3150">
        <v>-169.71180000000001</v>
      </c>
      <c r="H3150">
        <v>7.6648389999999997</v>
      </c>
      <c r="I3150">
        <v>205.73240000000001</v>
      </c>
      <c r="J3150">
        <v>-229.59209999999999</v>
      </c>
      <c r="K3150">
        <v>1.121075</v>
      </c>
      <c r="L3150">
        <v>214.8989</v>
      </c>
      <c r="M3150">
        <v>0.99989749999999999</v>
      </c>
      <c r="N3150">
        <v>-1.391951E-2</v>
      </c>
      <c r="O3150">
        <v>3.3517059999999999E-3</v>
      </c>
      <c r="P3150">
        <v>0.97681229999999997</v>
      </c>
      <c r="Q3150">
        <v>0.20631079999999999</v>
      </c>
      <c r="R3150">
        <v>-5.7216320000000001E-2</v>
      </c>
      <c r="S3150">
        <v>2.9765009999999998</v>
      </c>
      <c r="T3150">
        <v>0.32314419999999999</v>
      </c>
      <c r="U3150">
        <v>-0.45259090000000002</v>
      </c>
      <c r="V3150">
        <v>6.0492850000000001E-2</v>
      </c>
      <c r="W3150">
        <v>0.2198841</v>
      </c>
      <c r="X3150">
        <v>0.97364859999999998</v>
      </c>
      <c r="Y3150">
        <v>0.1528524</v>
      </c>
      <c r="Z3150">
        <v>7.560471E-3</v>
      </c>
      <c r="AA3150">
        <v>0.98822010000000005</v>
      </c>
      <c r="AB3150">
        <v>39</v>
      </c>
      <c r="AC3150">
        <v>59.880299999999899</v>
      </c>
      <c r="AD3150">
        <v>6.5437640000000004</v>
      </c>
      <c r="AE3150">
        <v>-9.1664999999999797</v>
      </c>
      <c r="AF3150">
        <v>9.2591258602539401</v>
      </c>
      <c r="AG3150">
        <v>6.5437640000000004</v>
      </c>
      <c r="AH3150">
        <v>59.158921271521898</v>
      </c>
      <c r="AI3150">
        <v>83.763300469547801</v>
      </c>
      <c r="AJ3150">
        <v>81.104645371144201</v>
      </c>
      <c r="AK3150">
        <v>60.235622558365201</v>
      </c>
      <c r="AL3150">
        <v>77.297774267573303</v>
      </c>
      <c r="AM3150">
        <v>86.444779398113198</v>
      </c>
      <c r="AN3150">
        <v>0.99999999930794603</v>
      </c>
    </row>
    <row r="3151" spans="1:40" x14ac:dyDescent="0.25">
      <c r="A3151" t="str">
        <f>"20190303171039131"</f>
        <v>20190303171039131</v>
      </c>
      <c r="B3151" t="str">
        <f>"1551604239123578"</f>
        <v>1551604239123578</v>
      </c>
      <c r="C3151" t="s">
        <v>40</v>
      </c>
      <c r="D3151">
        <v>4.4838019999999998</v>
      </c>
      <c r="E3151">
        <v>0.53732190000000002</v>
      </c>
      <c r="F3151" t="s">
        <v>50</v>
      </c>
      <c r="G3151">
        <v>-169.71170000000001</v>
      </c>
      <c r="H3151">
        <v>7.6347199999999997</v>
      </c>
      <c r="I3151">
        <v>205.80410000000001</v>
      </c>
      <c r="J3151">
        <v>-229.2045</v>
      </c>
      <c r="K3151">
        <v>1.121078</v>
      </c>
      <c r="L3151">
        <v>214.90020000000001</v>
      </c>
      <c r="M3151">
        <v>0.99989740000000005</v>
      </c>
      <c r="N3151">
        <v>-1.3930680000000001E-2</v>
      </c>
      <c r="O3151">
        <v>3.362772E-3</v>
      </c>
      <c r="P3151">
        <v>0.97697929999999999</v>
      </c>
      <c r="Q3151">
        <v>0.20581279999999999</v>
      </c>
      <c r="R3151">
        <v>-5.6150190000000003E-2</v>
      </c>
      <c r="S3151">
        <v>2.9763489999999999</v>
      </c>
      <c r="T3151">
        <v>0.323762099999999</v>
      </c>
      <c r="U3151">
        <v>-0.45205689999999998</v>
      </c>
      <c r="V3151">
        <v>5.9437990000000003E-2</v>
      </c>
      <c r="W3151">
        <v>0.2193995</v>
      </c>
      <c r="X3151">
        <v>0.97382290000000005</v>
      </c>
      <c r="Y3151">
        <v>0.152695</v>
      </c>
      <c r="Z3151">
        <v>7.5704869999999999E-3</v>
      </c>
      <c r="AA3151">
        <v>0.98824440000000002</v>
      </c>
      <c r="AB3151">
        <v>39</v>
      </c>
      <c r="AC3151">
        <v>59.492799999999903</v>
      </c>
      <c r="AD3151">
        <v>6.5136419999999999</v>
      </c>
      <c r="AE3151">
        <v>-9.0960999999999999</v>
      </c>
      <c r="AF3151">
        <v>9.1884999814611792</v>
      </c>
      <c r="AG3151">
        <v>6.5136419999999999</v>
      </c>
      <c r="AH3151">
        <v>58.773434950348197</v>
      </c>
      <c r="AI3151">
        <v>83.751220844922699</v>
      </c>
      <c r="AJ3151">
        <v>81.114439310978099</v>
      </c>
      <c r="AK3151">
        <v>59.842900329749199</v>
      </c>
      <c r="AL3151">
        <v>77.326235160529706</v>
      </c>
      <c r="AM3151">
        <v>86.507243323637098</v>
      </c>
      <c r="AN3151">
        <v>1.0000000279099399</v>
      </c>
    </row>
    <row r="3152" spans="1:40" x14ac:dyDescent="0.25">
      <c r="A3152" t="str">
        <f>"20190303171039152"</f>
        <v>20190303171039152</v>
      </c>
      <c r="B3152" t="str">
        <f>"1551604239144069"</f>
        <v>1551604239144069</v>
      </c>
      <c r="C3152" t="s">
        <v>40</v>
      </c>
      <c r="D3152">
        <v>4.4987519999999996</v>
      </c>
      <c r="E3152">
        <v>0.53755799999999998</v>
      </c>
      <c r="F3152" t="s">
        <v>50</v>
      </c>
      <c r="G3152">
        <v>-169.71170000000001</v>
      </c>
      <c r="H3152">
        <v>7.5489369999999996</v>
      </c>
      <c r="I3152">
        <v>205.90860000000001</v>
      </c>
      <c r="J3152">
        <v>-228.82640000000001</v>
      </c>
      <c r="K3152">
        <v>1.121081</v>
      </c>
      <c r="L3152">
        <v>214.9015</v>
      </c>
      <c r="M3152">
        <v>0.99989720000000004</v>
      </c>
      <c r="N3152">
        <v>-1.3940330000000001E-2</v>
      </c>
      <c r="O3152">
        <v>3.373493E-3</v>
      </c>
      <c r="P3152">
        <v>0.97693169999999996</v>
      </c>
      <c r="Q3152">
        <v>0.20643249999999999</v>
      </c>
      <c r="R3152">
        <v>-5.4685869999999998E-2</v>
      </c>
      <c r="S3152">
        <v>2.9770970000000001</v>
      </c>
      <c r="T3152">
        <v>0.32166020000000001</v>
      </c>
      <c r="U3152">
        <v>-0.4499512</v>
      </c>
      <c r="V3152">
        <v>5.7983720000000002E-2</v>
      </c>
      <c r="W3152">
        <v>0.2200279</v>
      </c>
      <c r="X3152">
        <v>0.97376879999999999</v>
      </c>
      <c r="Y3152">
        <v>0.152</v>
      </c>
      <c r="Z3152">
        <v>7.4816769999999999E-3</v>
      </c>
      <c r="AA3152">
        <v>0.98835220000000001</v>
      </c>
      <c r="AB3152">
        <v>39</v>
      </c>
      <c r="AC3152">
        <v>59.114699999999999</v>
      </c>
      <c r="AD3152">
        <v>6.4278559999999896</v>
      </c>
      <c r="AE3152">
        <v>-8.9928999999999899</v>
      </c>
      <c r="AF3152">
        <v>9.0872791757341496</v>
      </c>
      <c r="AG3152">
        <v>6.4278559999999896</v>
      </c>
      <c r="AH3152">
        <v>58.409051731938199</v>
      </c>
      <c r="AI3152">
        <v>83.793995733142694</v>
      </c>
      <c r="AJ3152">
        <v>81.156819017442103</v>
      </c>
      <c r="AK3152">
        <v>59.460182473641098</v>
      </c>
      <c r="AL3152">
        <v>77.289328715937401</v>
      </c>
      <c r="AM3152">
        <v>86.592307898949898</v>
      </c>
      <c r="AN3152">
        <v>1.0000000322084399</v>
      </c>
    </row>
    <row r="3153" spans="1:40" x14ac:dyDescent="0.25">
      <c r="A3153" t="str">
        <f>"20190303171039175"</f>
        <v>20190303171039175</v>
      </c>
      <c r="B3153" t="str">
        <f>"1551604239163589"</f>
        <v>1551604239163589</v>
      </c>
      <c r="C3153" t="s">
        <v>40</v>
      </c>
      <c r="D3153">
        <v>4.493512</v>
      </c>
      <c r="E3153">
        <v>0.53789509999999996</v>
      </c>
      <c r="F3153" t="s">
        <v>50</v>
      </c>
      <c r="G3153">
        <v>-169.7116</v>
      </c>
      <c r="H3153">
        <v>7.551647</v>
      </c>
      <c r="I3153">
        <v>206.01779999999999</v>
      </c>
      <c r="J3153">
        <v>-228.44569999999999</v>
      </c>
      <c r="K3153">
        <v>1.121089</v>
      </c>
      <c r="L3153">
        <v>214.90280000000001</v>
      </c>
      <c r="M3153">
        <v>0.99989689999999998</v>
      </c>
      <c r="N3153">
        <v>-1.394926E-2</v>
      </c>
      <c r="O3153">
        <v>3.3841589999999999E-3</v>
      </c>
      <c r="P3153">
        <v>0.97697029999999996</v>
      </c>
      <c r="Q3153">
        <v>0.20687150000000001</v>
      </c>
      <c r="R3153">
        <v>-5.2283299999999998E-2</v>
      </c>
      <c r="S3153">
        <v>2.9773559999999999</v>
      </c>
      <c r="T3153">
        <v>0.32388159999999999</v>
      </c>
      <c r="U3153">
        <v>-0.44743349999999998</v>
      </c>
      <c r="V3153">
        <v>5.5591830000000002E-2</v>
      </c>
      <c r="W3153">
        <v>0.22047629999999999</v>
      </c>
      <c r="X3153">
        <v>0.97380690000000003</v>
      </c>
      <c r="Y3153">
        <v>0.15117320000000001</v>
      </c>
      <c r="Z3153">
        <v>7.50176199999999E-3</v>
      </c>
      <c r="AA3153">
        <v>0.98847879999999999</v>
      </c>
      <c r="AB3153">
        <v>39</v>
      </c>
      <c r="AC3153">
        <v>58.734099999999899</v>
      </c>
      <c r="AD3153">
        <v>6.4305580000000004</v>
      </c>
      <c r="AE3153">
        <v>-8.8850000000000193</v>
      </c>
      <c r="AF3153">
        <v>8.9785148605118295</v>
      </c>
      <c r="AG3153">
        <v>6.4305580000000004</v>
      </c>
      <c r="AH3153">
        <v>58.023713015248902</v>
      </c>
      <c r="AI3153">
        <v>83.749710619472907</v>
      </c>
      <c r="AJ3153">
        <v>81.203886824444496</v>
      </c>
      <c r="AK3153">
        <v>59.065362754898501</v>
      </c>
      <c r="AL3153">
        <v>77.262990918652505</v>
      </c>
      <c r="AM3153">
        <v>86.732695275729895</v>
      </c>
      <c r="AN3153">
        <v>1.0000000644560201</v>
      </c>
    </row>
    <row r="3154" spans="1:40" x14ac:dyDescent="0.25">
      <c r="A3154" t="str">
        <f>"20190303171039194"</f>
        <v>20190303171039194</v>
      </c>
      <c r="B3154" t="str">
        <f>"1551604239184086"</f>
        <v>1551604239184086</v>
      </c>
      <c r="C3154" t="s">
        <v>40</v>
      </c>
      <c r="D3154">
        <v>4.5059209999999998</v>
      </c>
      <c r="E3154">
        <v>0.53807269999999996</v>
      </c>
      <c r="F3154" t="s">
        <v>50</v>
      </c>
      <c r="G3154">
        <v>-169.7116</v>
      </c>
      <c r="H3154">
        <v>7.5515729999999897</v>
      </c>
      <c r="I3154">
        <v>206.16569999999999</v>
      </c>
      <c r="J3154">
        <v>-228.1206</v>
      </c>
      <c r="K3154">
        <v>1.121094</v>
      </c>
      <c r="L3154">
        <v>214.90389999999999</v>
      </c>
      <c r="M3154">
        <v>0.99989689999999998</v>
      </c>
      <c r="N3154">
        <v>-1.3956029999999999E-2</v>
      </c>
      <c r="O3154">
        <v>3.3928740000000002E-3</v>
      </c>
      <c r="P3154">
        <v>0.97689239999999999</v>
      </c>
      <c r="Q3154">
        <v>0.207311</v>
      </c>
      <c r="R3154">
        <v>-5.1997839999999997E-2</v>
      </c>
      <c r="S3154">
        <v>2.9779819999999999</v>
      </c>
      <c r="T3154">
        <v>0.32604490000000003</v>
      </c>
      <c r="U3154">
        <v>-0.44299319999999998</v>
      </c>
      <c r="V3154">
        <v>5.531461E-2</v>
      </c>
      <c r="W3154">
        <v>0.22092129999999999</v>
      </c>
      <c r="X3154">
        <v>0.97372170000000002</v>
      </c>
      <c r="Y3154">
        <v>0.1497059</v>
      </c>
      <c r="Z3154">
        <v>7.4888100000000003E-3</v>
      </c>
      <c r="AA3154">
        <v>0.98870219999999998</v>
      </c>
      <c r="AB3154">
        <v>39</v>
      </c>
      <c r="AC3154">
        <v>58.408999999999899</v>
      </c>
      <c r="AD3154">
        <v>6.4304789999999903</v>
      </c>
      <c r="AE3154">
        <v>-8.7382000000000009</v>
      </c>
      <c r="AF3154">
        <v>8.8316412039915093</v>
      </c>
      <c r="AG3154">
        <v>6.4304789999999903</v>
      </c>
      <c r="AH3154">
        <v>57.695018841688302</v>
      </c>
      <c r="AI3154">
        <v>83.712902720984005</v>
      </c>
      <c r="AJ3154">
        <v>81.297028099987102</v>
      </c>
      <c r="AK3154">
        <v>58.720219223605199</v>
      </c>
      <c r="AL3154">
        <v>77.236848066881194</v>
      </c>
      <c r="AM3154">
        <v>86.748669466878297</v>
      </c>
      <c r="AN3154">
        <v>0.99999993796201403</v>
      </c>
    </row>
    <row r="3155" spans="1:40" x14ac:dyDescent="0.25">
      <c r="A3155" t="str">
        <f>"20190303171039209"</f>
        <v>20190303171039209</v>
      </c>
      <c r="B3155" t="str">
        <f>"1551604239203605"</f>
        <v>1551604239203605</v>
      </c>
      <c r="C3155" t="s">
        <v>40</v>
      </c>
      <c r="D3155">
        <v>4.5802139999999998</v>
      </c>
      <c r="E3155">
        <v>0.53827599999999998</v>
      </c>
      <c r="F3155" t="s">
        <v>50</v>
      </c>
      <c r="G3155">
        <v>-169.7116</v>
      </c>
      <c r="H3155">
        <v>7.5371360000000003</v>
      </c>
      <c r="I3155">
        <v>206.21080000000001</v>
      </c>
      <c r="J3155">
        <v>-227.8518</v>
      </c>
      <c r="K3155">
        <v>1.121097</v>
      </c>
      <c r="L3155">
        <v>214.90479999999999</v>
      </c>
      <c r="M3155">
        <v>0.99989680000000003</v>
      </c>
      <c r="N3155">
        <v>-1.396095E-2</v>
      </c>
      <c r="O3155">
        <v>3.4004090000000001E-3</v>
      </c>
      <c r="P3155">
        <v>0.97660570000000002</v>
      </c>
      <c r="Q3155">
        <v>0.20870140000000001</v>
      </c>
      <c r="R3155">
        <v>-5.1818919999999997E-2</v>
      </c>
      <c r="S3155">
        <v>2.9779360000000001</v>
      </c>
      <c r="T3155">
        <v>0.32711800000000002</v>
      </c>
      <c r="U3155">
        <v>-0.44320680000000001</v>
      </c>
      <c r="V3155">
        <v>5.5142240000000002E-2</v>
      </c>
      <c r="W3155">
        <v>0.22231210000000001</v>
      </c>
      <c r="X3155">
        <v>0.97341500000000003</v>
      </c>
      <c r="Y3155">
        <v>0.1497791</v>
      </c>
      <c r="Z3155">
        <v>7.5207049999999999E-3</v>
      </c>
      <c r="AA3155">
        <v>0.98869090000000004</v>
      </c>
      <c r="AB3155">
        <v>39</v>
      </c>
      <c r="AC3155">
        <v>58.140199999999901</v>
      </c>
      <c r="AD3155">
        <v>6.4160389999999996</v>
      </c>
      <c r="AE3155">
        <v>-8.6939999999999795</v>
      </c>
      <c r="AF3155">
        <v>8.7870006008015196</v>
      </c>
      <c r="AG3155">
        <v>6.4160389999999996</v>
      </c>
      <c r="AH3155">
        <v>57.426248737851402</v>
      </c>
      <c r="AI3155">
        <v>83.697727071901099</v>
      </c>
      <c r="AJ3155">
        <v>81.300438989923705</v>
      </c>
      <c r="AK3155">
        <v>58.447848378786198</v>
      </c>
      <c r="AL3155">
        <v>77.155130501852199</v>
      </c>
      <c r="AM3155">
        <v>86.757760492898896</v>
      </c>
      <c r="AN3155">
        <v>1.00000004933181</v>
      </c>
    </row>
    <row r="3156" spans="1:40" x14ac:dyDescent="0.25">
      <c r="A3156" t="str">
        <f>"20190303171039230"</f>
        <v>20190303171039230</v>
      </c>
      <c r="B3156" t="str">
        <f>"1551604239224104"</f>
        <v>1551604239224104</v>
      </c>
      <c r="C3156" t="s">
        <v>40</v>
      </c>
      <c r="D3156">
        <v>4.605677</v>
      </c>
      <c r="E3156">
        <v>0.53858680000000003</v>
      </c>
      <c r="F3156" t="s">
        <v>50</v>
      </c>
      <c r="G3156">
        <v>-169.7116</v>
      </c>
      <c r="H3156">
        <v>7.5824009999999902</v>
      </c>
      <c r="I3156">
        <v>206.2354</v>
      </c>
      <c r="J3156">
        <v>-227.47540000000001</v>
      </c>
      <c r="K3156">
        <v>1.1211009999999999</v>
      </c>
      <c r="L3156">
        <v>214.90610000000001</v>
      </c>
      <c r="M3156">
        <v>0.99989680000000003</v>
      </c>
      <c r="N3156">
        <v>-1.3967E-2</v>
      </c>
      <c r="O3156">
        <v>3.4109740000000002E-3</v>
      </c>
      <c r="P3156">
        <v>0.97631319999999999</v>
      </c>
      <c r="Q3156">
        <v>0.20991989999999999</v>
      </c>
      <c r="R3156">
        <v>-5.2409289999999997E-2</v>
      </c>
      <c r="S3156">
        <v>2.977554</v>
      </c>
      <c r="T3156">
        <v>0.33090639999999999</v>
      </c>
      <c r="U3156">
        <v>-0.44398500000000002</v>
      </c>
      <c r="V3156">
        <v>5.5741819999999997E-2</v>
      </c>
      <c r="W3156">
        <v>0.22353229999999999</v>
      </c>
      <c r="X3156">
        <v>0.97310129999999995</v>
      </c>
      <c r="Y3156">
        <v>0.15003949999999999</v>
      </c>
      <c r="Z3156">
        <v>7.6330909999999998E-3</v>
      </c>
      <c r="AA3156">
        <v>0.98865060000000005</v>
      </c>
      <c r="AB3156">
        <v>39</v>
      </c>
      <c r="AC3156">
        <v>57.763800000000003</v>
      </c>
      <c r="AD3156">
        <v>6.4612999999999898</v>
      </c>
      <c r="AE3156">
        <v>-8.6707000000000001</v>
      </c>
      <c r="AF3156">
        <v>8.7605030835325692</v>
      </c>
      <c r="AG3156">
        <v>6.4612999999999898</v>
      </c>
      <c r="AH3156">
        <v>57.035974043192503</v>
      </c>
      <c r="AI3156">
        <v>83.611115111794106</v>
      </c>
      <c r="AJ3156">
        <v>81.267834119921602</v>
      </c>
      <c r="AK3156">
        <v>58.065455711828498</v>
      </c>
      <c r="AL3156">
        <v>77.083412739495998</v>
      </c>
      <c r="AM3156">
        <v>86.721528737587803</v>
      </c>
      <c r="AN3156">
        <v>0.99999998985094596</v>
      </c>
    </row>
    <row r="3157" spans="1:40" x14ac:dyDescent="0.25">
      <c r="A3157" t="str">
        <f>"20190303171039254"</f>
        <v>20190303171039254</v>
      </c>
      <c r="B3157" t="str">
        <f>"1551604239243621"</f>
        <v>1551604239243621</v>
      </c>
      <c r="C3157" t="s">
        <v>40</v>
      </c>
      <c r="D3157">
        <v>4.6252309999999897</v>
      </c>
      <c r="E3157">
        <v>0.54206589999999999</v>
      </c>
      <c r="F3157" t="s">
        <v>50</v>
      </c>
      <c r="G3157">
        <v>-169.7116</v>
      </c>
      <c r="H3157">
        <v>7.6151259999999903</v>
      </c>
      <c r="I3157">
        <v>206.20259999999999</v>
      </c>
      <c r="J3157">
        <v>-227.0829</v>
      </c>
      <c r="K3157">
        <v>1.1211089999999999</v>
      </c>
      <c r="L3157">
        <v>214.9074</v>
      </c>
      <c r="M3157">
        <v>0.99989649999999997</v>
      </c>
      <c r="N3157">
        <v>-1.397232E-2</v>
      </c>
      <c r="O3157">
        <v>3.4223769999999999E-3</v>
      </c>
      <c r="P3157">
        <v>0.97626230000000003</v>
      </c>
      <c r="Q3157">
        <v>0.20994989999999999</v>
      </c>
      <c r="R3157">
        <v>-5.3225019999999998E-2</v>
      </c>
      <c r="S3157">
        <v>2.9767610000000002</v>
      </c>
      <c r="T3157">
        <v>0.33466030000000002</v>
      </c>
      <c r="U3157">
        <v>-0.44851679999999999</v>
      </c>
      <c r="V3157">
        <v>5.6568779999999999E-2</v>
      </c>
      <c r="W3157">
        <v>0.22356670000000001</v>
      </c>
      <c r="X3157">
        <v>0.97304570000000001</v>
      </c>
      <c r="Y3157">
        <v>0.151533</v>
      </c>
      <c r="Z3157">
        <v>7.8054029999999998E-3</v>
      </c>
      <c r="AA3157">
        <v>0.98842140000000001</v>
      </c>
      <c r="AB3157">
        <v>39</v>
      </c>
      <c r="AC3157">
        <v>57.371299999999898</v>
      </c>
      <c r="AD3157">
        <v>6.4940170000000004</v>
      </c>
      <c r="AE3157">
        <v>-8.7048000000000005</v>
      </c>
      <c r="AF3157">
        <v>8.7910132778151304</v>
      </c>
      <c r="AG3157">
        <v>6.4940170000000004</v>
      </c>
      <c r="AH3157">
        <v>56.631896121206502</v>
      </c>
      <c r="AI3157">
        <v>83.535186856807599</v>
      </c>
      <c r="AJ3157">
        <v>81.176355096411797</v>
      </c>
      <c r="AK3157">
        <v>57.676908980372197</v>
      </c>
      <c r="AL3157">
        <v>77.081390923098596</v>
      </c>
      <c r="AM3157">
        <v>86.6728096294284</v>
      </c>
      <c r="AN3157">
        <v>1.00000001525403</v>
      </c>
    </row>
    <row r="3158" spans="1:40" x14ac:dyDescent="0.25">
      <c r="A3158" t="str">
        <f>"20190303171039278"</f>
        <v>20190303171039278</v>
      </c>
      <c r="B3158" t="str">
        <f>"1551604239273878"</f>
        <v>1551604239273878</v>
      </c>
      <c r="C3158" t="s">
        <v>40</v>
      </c>
      <c r="D3158">
        <v>4.6807889999999999</v>
      </c>
      <c r="E3158">
        <v>0.50868340000000001</v>
      </c>
      <c r="F3158" t="s">
        <v>52</v>
      </c>
      <c r="G3158">
        <v>-193.37739999999999</v>
      </c>
      <c r="H3158" s="1">
        <v>3.7760450000000001E-6</v>
      </c>
      <c r="I3158">
        <v>209.92019999999999</v>
      </c>
      <c r="J3158">
        <v>-226.67</v>
      </c>
      <c r="K3158">
        <v>1.1211120000000001</v>
      </c>
      <c r="L3158">
        <v>214.90880000000001</v>
      </c>
      <c r="M3158">
        <v>0.99989649999999997</v>
      </c>
      <c r="N3158">
        <v>-1.398221E-2</v>
      </c>
      <c r="O3158">
        <v>3.4337539999999998E-3</v>
      </c>
      <c r="P3158">
        <v>0.97624650000000002</v>
      </c>
      <c r="Q3158">
        <v>0.20982819999999999</v>
      </c>
      <c r="R3158">
        <v>-5.3991169999999998E-2</v>
      </c>
      <c r="S3158">
        <v>3.0701450000000001</v>
      </c>
      <c r="T3158">
        <v>-0.1021185</v>
      </c>
      <c r="U3158">
        <v>-0.45426939999999999</v>
      </c>
      <c r="V3158">
        <v>5.7346010000000003E-2</v>
      </c>
      <c r="W3158">
        <v>0.22345470000000001</v>
      </c>
      <c r="X3158">
        <v>0.9730259</v>
      </c>
      <c r="Y3158">
        <v>0.1496499</v>
      </c>
      <c r="Z3158">
        <v>-3.5928280000000002E-3</v>
      </c>
      <c r="AA3158">
        <v>0.98873250000000001</v>
      </c>
      <c r="AB3158">
        <v>39</v>
      </c>
      <c r="AC3158">
        <v>33.292599999999901</v>
      </c>
      <c r="AD3158">
        <v>-1.1211082239550001</v>
      </c>
      <c r="AE3158">
        <v>-4.9886000000000204</v>
      </c>
      <c r="AF3158">
        <v>5.0972471693408297</v>
      </c>
      <c r="AG3158">
        <v>-1.1211082239550001</v>
      </c>
      <c r="AH3158">
        <v>33.238408873356803</v>
      </c>
      <c r="AI3158">
        <v>91.909507984944398</v>
      </c>
      <c r="AJ3158">
        <v>81.281379027747406</v>
      </c>
      <c r="AK3158">
        <v>33.645662971438298</v>
      </c>
      <c r="AL3158">
        <v>77.087974209671003</v>
      </c>
      <c r="AM3158">
        <v>86.627131853865905</v>
      </c>
      <c r="AN3158">
        <v>0.99999998494290898</v>
      </c>
    </row>
    <row r="3159" spans="1:40" x14ac:dyDescent="0.25">
      <c r="A3159" t="str">
        <f>"20190303171039299"</f>
        <v>20190303171039299</v>
      </c>
      <c r="B3159" t="str">
        <f>"1551604239294373"</f>
        <v>1551604239294373</v>
      </c>
      <c r="C3159" t="s">
        <v>40</v>
      </c>
      <c r="D3159">
        <v>4.7240820000000001</v>
      </c>
      <c r="E3159">
        <v>0.50840659999999904</v>
      </c>
      <c r="F3159" t="s">
        <v>50</v>
      </c>
      <c r="G3159">
        <v>-151.672</v>
      </c>
      <c r="H3159">
        <v>10.846360000000001</v>
      </c>
      <c r="I3159">
        <v>209.42850000000001</v>
      </c>
      <c r="J3159">
        <v>-226.3133</v>
      </c>
      <c r="K3159">
        <v>1.121116</v>
      </c>
      <c r="L3159">
        <v>214.9101</v>
      </c>
      <c r="M3159">
        <v>0.99989620000000001</v>
      </c>
      <c r="N3159">
        <v>-1.399297E-2</v>
      </c>
      <c r="O3159">
        <v>3.4437510000000001E-3</v>
      </c>
      <c r="P3159">
        <v>0.97601800000000005</v>
      </c>
      <c r="Q3159">
        <v>0.2105543</v>
      </c>
      <c r="R3159">
        <v>-5.5278620000000001E-2</v>
      </c>
      <c r="S3159">
        <v>2.977951</v>
      </c>
      <c r="T3159">
        <v>0.38616200000000001</v>
      </c>
      <c r="U3159">
        <v>-0.21760560000000001</v>
      </c>
      <c r="V3159">
        <v>5.8642310000000003E-2</v>
      </c>
      <c r="W3159">
        <v>0.22418759999999999</v>
      </c>
      <c r="X3159">
        <v>0.97277999999999998</v>
      </c>
      <c r="Y3159">
        <v>7.5715470000000007E-2</v>
      </c>
      <c r="Z3159">
        <v>4.8418649999999999E-3</v>
      </c>
      <c r="AA3159">
        <v>0.9971177</v>
      </c>
      <c r="AB3159">
        <v>39</v>
      </c>
      <c r="AC3159">
        <v>74.641300000000001</v>
      </c>
      <c r="AD3159">
        <v>9.725244</v>
      </c>
      <c r="AE3159">
        <v>-5.4815999999999798</v>
      </c>
      <c r="AF3159">
        <v>5.6433495231378803</v>
      </c>
      <c r="AG3159">
        <v>9.725244</v>
      </c>
      <c r="AH3159">
        <v>73.382892193499501</v>
      </c>
      <c r="AI3159">
        <v>82.472700932677199</v>
      </c>
      <c r="AJ3159">
        <v>85.602449873268895</v>
      </c>
      <c r="AK3159">
        <v>74.239319981951695</v>
      </c>
      <c r="AL3159">
        <v>77.044888801165598</v>
      </c>
      <c r="AM3159">
        <v>86.550200853954607</v>
      </c>
      <c r="AN3159">
        <v>0.99999996445794703</v>
      </c>
    </row>
    <row r="3160" spans="1:40" x14ac:dyDescent="0.25">
      <c r="A3160" t="str">
        <f>"20190303171039320"</f>
        <v>20190303171039320</v>
      </c>
      <c r="B3160" t="str">
        <f>"1551604239313893"</f>
        <v>1551604239313893</v>
      </c>
      <c r="C3160" t="s">
        <v>40</v>
      </c>
      <c r="D3160">
        <v>4.5631440000000003</v>
      </c>
      <c r="E3160">
        <v>0.5050192</v>
      </c>
      <c r="F3160" t="s">
        <v>50</v>
      </c>
      <c r="G3160">
        <v>-151.672</v>
      </c>
      <c r="H3160">
        <v>10.86749</v>
      </c>
      <c r="I3160">
        <v>209.41309999999999</v>
      </c>
      <c r="J3160">
        <v>-225.9289</v>
      </c>
      <c r="K3160">
        <v>1.1211120000000001</v>
      </c>
      <c r="L3160">
        <v>214.91139999999999</v>
      </c>
      <c r="M3160">
        <v>0.99989609999999995</v>
      </c>
      <c r="N3160">
        <v>-1.4003720000000001E-2</v>
      </c>
      <c r="O3160">
        <v>3.454286E-3</v>
      </c>
      <c r="P3160">
        <v>0.9759333</v>
      </c>
      <c r="Q3160">
        <v>0.210671</v>
      </c>
      <c r="R3160">
        <v>-5.6325859999999998E-2</v>
      </c>
      <c r="S3160">
        <v>2.9774020000000001</v>
      </c>
      <c r="T3160">
        <v>0.38877899999999999</v>
      </c>
      <c r="U3160">
        <v>-0.21926880000000001</v>
      </c>
      <c r="V3160">
        <v>5.96994E-2</v>
      </c>
      <c r="W3160">
        <v>0.2243135</v>
      </c>
      <c r="X3160">
        <v>0.97268670000000002</v>
      </c>
      <c r="Y3160">
        <v>7.6280329999999993E-2</v>
      </c>
      <c r="Z3160">
        <v>4.912329E-3</v>
      </c>
      <c r="AA3160">
        <v>0.99707429999999997</v>
      </c>
      <c r="AB3160">
        <v>39</v>
      </c>
      <c r="AC3160">
        <v>74.256900000000002</v>
      </c>
      <c r="AD3160">
        <v>9.746378</v>
      </c>
      <c r="AE3160">
        <v>-5.4983000000000004</v>
      </c>
      <c r="AF3160">
        <v>5.6578596761509701</v>
      </c>
      <c r="AG3160">
        <v>9.746378</v>
      </c>
      <c r="AH3160">
        <v>72.986962546702202</v>
      </c>
      <c r="AI3160">
        <v>82.416440106527105</v>
      </c>
      <c r="AJ3160">
        <v>85.567366175573198</v>
      </c>
      <c r="AK3160">
        <v>73.851878527411898</v>
      </c>
      <c r="AL3160">
        <v>77.037487086556496</v>
      </c>
      <c r="AM3160">
        <v>86.487832804032195</v>
      </c>
      <c r="AN3160">
        <v>0.99999999049974997</v>
      </c>
    </row>
    <row r="3161" spans="1:40" x14ac:dyDescent="0.25">
      <c r="A3161" t="str">
        <f>"20190303171039343"</f>
        <v>20190303171039343</v>
      </c>
      <c r="B3161" t="str">
        <f>"1551604239334392"</f>
        <v>1551604239334392</v>
      </c>
      <c r="C3161" t="s">
        <v>40</v>
      </c>
      <c r="D3161">
        <v>4.6641820000000003</v>
      </c>
      <c r="E3161">
        <v>0.50521389999999999</v>
      </c>
      <c r="F3161" t="s">
        <v>50</v>
      </c>
      <c r="G3161">
        <v>-138.9128</v>
      </c>
      <c r="H3161">
        <v>0.1583195</v>
      </c>
      <c r="I3161">
        <v>210.05969999999999</v>
      </c>
      <c r="J3161">
        <v>-225.55770000000001</v>
      </c>
      <c r="K3161">
        <v>1.121116</v>
      </c>
      <c r="L3161">
        <v>214.9127</v>
      </c>
      <c r="M3161">
        <v>0.9998958</v>
      </c>
      <c r="N3161">
        <v>-1.401291E-2</v>
      </c>
      <c r="O3161">
        <v>3.4646529999999998E-3</v>
      </c>
      <c r="P3161">
        <v>0.97591910000000004</v>
      </c>
      <c r="Q3161">
        <v>0.21049789999999999</v>
      </c>
      <c r="R3161">
        <v>-5.7206609999999998E-2</v>
      </c>
      <c r="S3161">
        <v>3.0714109999999999</v>
      </c>
      <c r="T3161">
        <v>-3.3982520000000002E-2</v>
      </c>
      <c r="U3161">
        <v>-0.1712494</v>
      </c>
      <c r="V3161">
        <v>6.0590270000000002E-2</v>
      </c>
      <c r="W3161">
        <v>0.22414899999999999</v>
      </c>
      <c r="X3161">
        <v>0.97266949999999996</v>
      </c>
      <c r="Y3161">
        <v>5.9120560000000003E-2</v>
      </c>
      <c r="Z3161">
        <v>-7.3118079999999995E-4</v>
      </c>
      <c r="AA3161">
        <v>0.99825059999999999</v>
      </c>
      <c r="AB3161">
        <v>39</v>
      </c>
      <c r="AC3161">
        <v>86.644900000000007</v>
      </c>
      <c r="AD3161">
        <v>-0.96279650000000006</v>
      </c>
      <c r="AE3161">
        <v>-4.8529999999999998</v>
      </c>
      <c r="AF3161">
        <v>5.1525606323209603</v>
      </c>
      <c r="AG3161">
        <v>-0.96279650000000006</v>
      </c>
      <c r="AH3161">
        <v>86.616902576737402</v>
      </c>
      <c r="AI3161">
        <v>90.635725461671598</v>
      </c>
      <c r="AJ3161">
        <v>86.595670391548893</v>
      </c>
      <c r="AK3161">
        <v>86.775363267220996</v>
      </c>
      <c r="AL3161">
        <v>77.047158056430703</v>
      </c>
      <c r="AM3161">
        <v>86.435493418919094</v>
      </c>
      <c r="AN3161">
        <v>0.99999995562496002</v>
      </c>
    </row>
    <row r="3162" spans="1:40" x14ac:dyDescent="0.25">
      <c r="A3162" t="str">
        <f>"20190303171039364"</f>
        <v>20190303171039364</v>
      </c>
      <c r="B3162" t="str">
        <f>"1551604239353910"</f>
        <v>1551604239353910</v>
      </c>
      <c r="C3162" t="s">
        <v>40</v>
      </c>
      <c r="D3162">
        <v>4.6775479999999998</v>
      </c>
      <c r="E3162">
        <v>0.50519740000000002</v>
      </c>
      <c r="F3162" t="s">
        <v>50</v>
      </c>
      <c r="G3162">
        <v>-138.91290000000001</v>
      </c>
      <c r="H3162">
        <v>0.1038685</v>
      </c>
      <c r="I3162">
        <v>209.9665</v>
      </c>
      <c r="J3162">
        <v>-225.1721</v>
      </c>
      <c r="K3162">
        <v>1.1211199999999999</v>
      </c>
      <c r="L3162">
        <v>214.91399999999999</v>
      </c>
      <c r="M3162">
        <v>0.9998958</v>
      </c>
      <c r="N3162">
        <v>-1.4021499999999999E-2</v>
      </c>
      <c r="O3162">
        <v>3.4755559999999999E-3</v>
      </c>
      <c r="P3162">
        <v>0.97590540000000003</v>
      </c>
      <c r="Q3162">
        <v>0.210429</v>
      </c>
      <c r="R3162">
        <v>-5.7692069999999998E-2</v>
      </c>
      <c r="S3162">
        <v>3.0715180000000002</v>
      </c>
      <c r="T3162">
        <v>-3.605974E-2</v>
      </c>
      <c r="U3162">
        <v>-0.17533869999999999</v>
      </c>
      <c r="V3162">
        <v>6.1086340000000003E-2</v>
      </c>
      <c r="W3162">
        <v>0.2240886</v>
      </c>
      <c r="X3162">
        <v>0.97265239999999997</v>
      </c>
      <c r="Y3162">
        <v>6.0453350000000003E-2</v>
      </c>
      <c r="Z3162">
        <v>-7.708576E-4</v>
      </c>
      <c r="AA3162">
        <v>0.99817069999999997</v>
      </c>
      <c r="AB3162">
        <v>38</v>
      </c>
      <c r="AC3162">
        <v>86.259199999999893</v>
      </c>
      <c r="AD3162">
        <v>-1.0172515</v>
      </c>
      <c r="AE3162">
        <v>-4.9475000000000096</v>
      </c>
      <c r="AF3162">
        <v>5.2465709546550299</v>
      </c>
      <c r="AG3162">
        <v>-1.0172515</v>
      </c>
      <c r="AH3162">
        <v>86.229528951082301</v>
      </c>
      <c r="AI3162">
        <v>90.674640620286098</v>
      </c>
      <c r="AJ3162">
        <v>86.518173675280096</v>
      </c>
      <c r="AK3162">
        <v>86.394982322597997</v>
      </c>
      <c r="AL3162">
        <v>77.050709194534505</v>
      </c>
      <c r="AM3162">
        <v>86.406322929971694</v>
      </c>
      <c r="AN3162">
        <v>0.99999996640515698</v>
      </c>
    </row>
    <row r="3163" spans="1:40" x14ac:dyDescent="0.25">
      <c r="A3163" t="str">
        <f>"20190303171039388"</f>
        <v>20190303171039388</v>
      </c>
      <c r="B3163" t="str">
        <f>"1551604239374406"</f>
        <v>1551604239374406</v>
      </c>
      <c r="C3163" t="s">
        <v>40</v>
      </c>
      <c r="D3163">
        <v>4.6740930000000001</v>
      </c>
      <c r="E3163">
        <v>0.50720379999999998</v>
      </c>
      <c r="F3163" t="s">
        <v>50</v>
      </c>
      <c r="G3163">
        <v>-138.9128</v>
      </c>
      <c r="H3163">
        <v>2.2686000000000001E-2</v>
      </c>
      <c r="I3163">
        <v>209.97149999999999</v>
      </c>
      <c r="J3163">
        <v>-224.7824</v>
      </c>
      <c r="K3163">
        <v>1.121127</v>
      </c>
      <c r="L3163">
        <v>214.91540000000001</v>
      </c>
      <c r="M3163">
        <v>0.99989550000000005</v>
      </c>
      <c r="N3163">
        <v>-1.402924E-2</v>
      </c>
      <c r="O3163">
        <v>3.486407E-3</v>
      </c>
      <c r="P3163">
        <v>0.97584729999999997</v>
      </c>
      <c r="Q3163">
        <v>0.210449</v>
      </c>
      <c r="R3163">
        <v>-5.8593470000000002E-2</v>
      </c>
      <c r="S3163">
        <v>3.0721129999999999</v>
      </c>
      <c r="T3163">
        <v>-3.9119359999999999E-2</v>
      </c>
      <c r="U3163">
        <v>-0.1760254</v>
      </c>
      <c r="V3163">
        <v>6.1998209999999998E-2</v>
      </c>
      <c r="W3163">
        <v>0.22411510000000001</v>
      </c>
      <c r="X3163">
        <v>0.97258860000000003</v>
      </c>
      <c r="Y3163">
        <v>6.0674369999999998E-2</v>
      </c>
      <c r="Z3163">
        <v>-8.0747079999999997E-4</v>
      </c>
      <c r="AA3163">
        <v>0.99815730000000003</v>
      </c>
      <c r="AB3163">
        <v>38</v>
      </c>
      <c r="AC3163">
        <v>85.869599999999906</v>
      </c>
      <c r="AD3163">
        <v>-1.098441</v>
      </c>
      <c r="AE3163">
        <v>-4.94390000000001</v>
      </c>
      <c r="AF3163">
        <v>5.2424207838183898</v>
      </c>
      <c r="AG3163">
        <v>-1.098441</v>
      </c>
      <c r="AH3163">
        <v>85.837840260921595</v>
      </c>
      <c r="AI3163">
        <v>90.731793456059904</v>
      </c>
      <c r="AJ3163">
        <v>86.505084913607504</v>
      </c>
      <c r="AK3163">
        <v>86.004792709270404</v>
      </c>
      <c r="AL3163">
        <v>77.049151284214702</v>
      </c>
      <c r="AM3163">
        <v>86.352583232582404</v>
      </c>
      <c r="AN3163">
        <v>0.99999997047058597</v>
      </c>
    </row>
    <row r="3164" spans="1:40" x14ac:dyDescent="0.25">
      <c r="A3164" t="str">
        <f>"20190303171039410"</f>
        <v>20190303171039410</v>
      </c>
      <c r="B3164" t="str">
        <f>"1551604239403688"</f>
        <v>1551604239403688</v>
      </c>
      <c r="C3164" t="s">
        <v>40</v>
      </c>
      <c r="D3164">
        <v>4.5678099999999997</v>
      </c>
      <c r="E3164">
        <v>0.50725370000000003</v>
      </c>
      <c r="F3164" t="s">
        <v>50</v>
      </c>
      <c r="G3164">
        <v>-151.67189999999999</v>
      </c>
      <c r="H3164">
        <v>10.77678</v>
      </c>
      <c r="I3164">
        <v>209.52359999999999</v>
      </c>
      <c r="J3164">
        <v>-224.3946</v>
      </c>
      <c r="K3164">
        <v>1.12113</v>
      </c>
      <c r="L3164">
        <v>214.91669999999999</v>
      </c>
      <c r="M3164">
        <v>0.99989550000000005</v>
      </c>
      <c r="N3164">
        <v>-1.4035890000000001E-2</v>
      </c>
      <c r="O3164">
        <v>3.4954679999999998E-3</v>
      </c>
      <c r="P3164">
        <v>0.97569720000000004</v>
      </c>
      <c r="Q3164">
        <v>0.21089569999999999</v>
      </c>
      <c r="R3164">
        <v>-5.948428E-2</v>
      </c>
      <c r="S3164">
        <v>2.976318</v>
      </c>
      <c r="T3164">
        <v>0.39308140000000003</v>
      </c>
      <c r="U3164">
        <v>-0.21949769999999999</v>
      </c>
      <c r="V3164">
        <v>6.2897590000000003E-2</v>
      </c>
      <c r="W3164">
        <v>0.22456580000000001</v>
      </c>
      <c r="X3164">
        <v>0.97242689999999998</v>
      </c>
      <c r="Y3164">
        <v>7.6408299999999998E-2</v>
      </c>
      <c r="Z3164">
        <v>4.985845E-3</v>
      </c>
      <c r="AA3164">
        <v>0.99706419999999996</v>
      </c>
      <c r="AB3164">
        <v>38</v>
      </c>
      <c r="AC3164">
        <v>72.722700000000003</v>
      </c>
      <c r="AD3164">
        <v>9.6556499999999996</v>
      </c>
      <c r="AE3164">
        <v>-5.3930999999999996</v>
      </c>
      <c r="AF3164">
        <v>5.5499873903909496</v>
      </c>
      <c r="AG3164">
        <v>9.6556499999999996</v>
      </c>
      <c r="AH3164">
        <v>71.450700867960904</v>
      </c>
      <c r="AI3164">
        <v>82.326667432148497</v>
      </c>
      <c r="AJ3164">
        <v>85.558425318005206</v>
      </c>
      <c r="AK3164">
        <v>72.313460652072493</v>
      </c>
      <c r="AL3164">
        <v>77.022652912910701</v>
      </c>
      <c r="AM3164">
        <v>86.299204178436099</v>
      </c>
      <c r="AN3164">
        <v>0.99999999060052902</v>
      </c>
    </row>
    <row r="3165" spans="1:40" x14ac:dyDescent="0.25">
      <c r="A3165" t="str">
        <f>"20190303171039431"</f>
        <v>20190303171039431</v>
      </c>
      <c r="B3165" t="str">
        <f>"1551604239424184"</f>
        <v>1551604239424184</v>
      </c>
      <c r="C3165" t="s">
        <v>40</v>
      </c>
      <c r="D3165">
        <v>4.6743129999999997</v>
      </c>
      <c r="E3165">
        <v>0.50849029999999995</v>
      </c>
      <c r="F3165" t="s">
        <v>50</v>
      </c>
      <c r="G3165">
        <v>-151.67189999999999</v>
      </c>
      <c r="H3165">
        <v>10.80597</v>
      </c>
      <c r="I3165">
        <v>209.47229999999999</v>
      </c>
      <c r="J3165">
        <v>-224.02070000000001</v>
      </c>
      <c r="K3165">
        <v>1.121129</v>
      </c>
      <c r="L3165">
        <v>214.91800000000001</v>
      </c>
      <c r="M3165">
        <v>0.99989530000000004</v>
      </c>
      <c r="N3165">
        <v>-1.4041410000000001E-2</v>
      </c>
      <c r="O3165">
        <v>3.5021369999999998E-3</v>
      </c>
      <c r="P3165">
        <v>0.97550709999999996</v>
      </c>
      <c r="Q3165">
        <v>0.21160470000000001</v>
      </c>
      <c r="R3165">
        <v>-6.0082249999999997E-2</v>
      </c>
      <c r="S3165">
        <v>2.9755099999999999</v>
      </c>
      <c r="T3165">
        <v>0.39626479999999997</v>
      </c>
      <c r="U3165">
        <v>-0.22276309999999999</v>
      </c>
      <c r="V3165">
        <v>6.3502119999999995E-2</v>
      </c>
      <c r="W3165">
        <v>0.22527720000000001</v>
      </c>
      <c r="X3165">
        <v>0.97222299999999995</v>
      </c>
      <c r="Y3165">
        <v>7.7503379999999997E-2</v>
      </c>
      <c r="Z3165">
        <v>5.0965580000000002E-3</v>
      </c>
      <c r="AA3165">
        <v>0.99697910000000001</v>
      </c>
      <c r="AB3165">
        <v>38</v>
      </c>
      <c r="AC3165">
        <v>72.348799999999997</v>
      </c>
      <c r="AD3165">
        <v>9.6848410000000005</v>
      </c>
      <c r="AE3165">
        <v>-5.4457000000000102</v>
      </c>
      <c r="AF3165">
        <v>5.5992964719792502</v>
      </c>
      <c r="AG3165">
        <v>9.6848410000000005</v>
      </c>
      <c r="AH3165">
        <v>71.063052768855798</v>
      </c>
      <c r="AI3165">
        <v>82.262935550107699</v>
      </c>
      <c r="AJ3165">
        <v>85.494781205978597</v>
      </c>
      <c r="AK3165">
        <v>71.938207755028102</v>
      </c>
      <c r="AL3165">
        <v>76.980820273272499</v>
      </c>
      <c r="AM3165">
        <v>86.262953482082807</v>
      </c>
      <c r="AN3165">
        <v>0.99999994890666499</v>
      </c>
    </row>
    <row r="3166" spans="1:40" x14ac:dyDescent="0.25">
      <c r="A3166" t="str">
        <f>"20190303171039455"</f>
        <v>20190303171039455</v>
      </c>
      <c r="B3166" t="str">
        <f>"1551604239443701"</f>
        <v>1551604239443701</v>
      </c>
      <c r="C3166" t="s">
        <v>40</v>
      </c>
      <c r="D3166">
        <v>4.5597059999999896</v>
      </c>
      <c r="E3166">
        <v>0.50886699999999996</v>
      </c>
      <c r="F3166" t="s">
        <v>50</v>
      </c>
      <c r="G3166">
        <v>-151.66820000000001</v>
      </c>
      <c r="H3166">
        <v>9.8836900000000005E-2</v>
      </c>
      <c r="I3166">
        <v>209.98670000000001</v>
      </c>
      <c r="J3166">
        <v>-223.63229999999999</v>
      </c>
      <c r="K3166">
        <v>1.121129</v>
      </c>
      <c r="L3166">
        <v>214.9194</v>
      </c>
      <c r="M3166">
        <v>0.99989530000000004</v>
      </c>
      <c r="N3166">
        <v>-1.4046289999999999E-2</v>
      </c>
      <c r="O3166">
        <v>3.5069570000000002E-3</v>
      </c>
      <c r="P3166">
        <v>0.97530309999999998</v>
      </c>
      <c r="Q3166">
        <v>0.2122338</v>
      </c>
      <c r="R3166">
        <v>-6.1164080000000003E-2</v>
      </c>
      <c r="S3166">
        <v>3.0718380000000001</v>
      </c>
      <c r="T3166">
        <v>-4.3401599999999999E-2</v>
      </c>
      <c r="U3166">
        <v>-0.20936579999999999</v>
      </c>
      <c r="V3166">
        <v>6.4589190000000005E-2</v>
      </c>
      <c r="W3166">
        <v>0.225908</v>
      </c>
      <c r="X3166">
        <v>0.97200500000000001</v>
      </c>
      <c r="Y3166">
        <v>7.1483359999999996E-2</v>
      </c>
      <c r="Z3166">
        <v>-1.007361E-3</v>
      </c>
      <c r="AA3166">
        <v>0.99744129999999998</v>
      </c>
      <c r="AB3166">
        <v>38</v>
      </c>
      <c r="AC3166">
        <v>71.964099999999902</v>
      </c>
      <c r="AD3166">
        <v>-1.0222921</v>
      </c>
      <c r="AE3166">
        <v>-4.9326999999999801</v>
      </c>
      <c r="AF3166">
        <v>5.1840283013687403</v>
      </c>
      <c r="AG3166">
        <v>-1.0222921</v>
      </c>
      <c r="AH3166">
        <v>71.931909024825302</v>
      </c>
      <c r="AI3166">
        <v>90.8121234444355</v>
      </c>
      <c r="AJ3166">
        <v>85.877903009335697</v>
      </c>
      <c r="AK3166">
        <v>72.125715015678395</v>
      </c>
      <c r="AL3166">
        <v>76.943721824677695</v>
      </c>
      <c r="AM3166">
        <v>86.198316322167798</v>
      </c>
      <c r="AN3166">
        <v>0.99999995397692698</v>
      </c>
    </row>
    <row r="3167" spans="1:40" x14ac:dyDescent="0.25">
      <c r="A3167" t="str">
        <f>"20190303171039478"</f>
        <v>20190303171039478</v>
      </c>
      <c r="B3167" t="str">
        <f>"1551604239464197"</f>
        <v>1551604239464197</v>
      </c>
      <c r="C3167" t="s">
        <v>40</v>
      </c>
      <c r="D3167">
        <v>4.5587499999999999</v>
      </c>
      <c r="E3167">
        <v>0.50865109999999902</v>
      </c>
      <c r="F3167" t="s">
        <v>50</v>
      </c>
      <c r="G3167">
        <v>-154.71850000000001</v>
      </c>
      <c r="H3167">
        <v>10.42685</v>
      </c>
      <c r="I3167">
        <v>209.3372</v>
      </c>
      <c r="J3167">
        <v>-223.244</v>
      </c>
      <c r="K3167">
        <v>1.121129</v>
      </c>
      <c r="L3167">
        <v>214.92080000000001</v>
      </c>
      <c r="M3167">
        <v>0.99989519999999998</v>
      </c>
      <c r="N3167">
        <v>-1.4050299999999899E-2</v>
      </c>
      <c r="O3167">
        <v>3.5100579999999999E-3</v>
      </c>
      <c r="P3167">
        <v>0.97526089999999999</v>
      </c>
      <c r="Q3167">
        <v>0.21215210000000001</v>
      </c>
      <c r="R3167">
        <v>-6.211121E-2</v>
      </c>
      <c r="S3167">
        <v>2.9734950000000002</v>
      </c>
      <c r="T3167">
        <v>0.40152480000000002</v>
      </c>
      <c r="U3167">
        <v>-0.24085999999999999</v>
      </c>
      <c r="V3167">
        <v>6.5540280000000006E-2</v>
      </c>
      <c r="W3167">
        <v>0.2258291</v>
      </c>
      <c r="X3167">
        <v>0.97195969999999998</v>
      </c>
      <c r="Y3167">
        <v>8.352395E-2</v>
      </c>
      <c r="Z3167">
        <v>5.5347560000000001E-3</v>
      </c>
      <c r="AA3167">
        <v>0.9964904</v>
      </c>
      <c r="AB3167">
        <v>38</v>
      </c>
      <c r="AC3167">
        <v>68.525499999999994</v>
      </c>
      <c r="AD3167">
        <v>9.3057210000000001</v>
      </c>
      <c r="AE3167">
        <v>-5.5836000000000103</v>
      </c>
      <c r="AF3167">
        <v>5.719340389069</v>
      </c>
      <c r="AG3167">
        <v>9.3057210000000001</v>
      </c>
      <c r="AH3167">
        <v>67.273045491550604</v>
      </c>
      <c r="AI3167">
        <v>82.152344035599199</v>
      </c>
      <c r="AJ3167">
        <v>85.140580288949295</v>
      </c>
      <c r="AK3167">
        <v>68.154016371187694</v>
      </c>
      <c r="AL3167">
        <v>76.9483627905188</v>
      </c>
      <c r="AM3167">
        <v>86.142324244468298</v>
      </c>
      <c r="AN3167">
        <v>0.99999998456668804</v>
      </c>
    </row>
    <row r="3168" spans="1:40" x14ac:dyDescent="0.25">
      <c r="A3168" t="str">
        <f>"20190303171039500"</f>
        <v>20190303171039500</v>
      </c>
      <c r="B3168" t="str">
        <f>"1551604239493477"</f>
        <v>1551604239493477</v>
      </c>
      <c r="C3168" t="s">
        <v>40</v>
      </c>
      <c r="D3168">
        <v>4.6154650000000004</v>
      </c>
      <c r="E3168">
        <v>0.50852019999999998</v>
      </c>
      <c r="F3168" t="s">
        <v>50</v>
      </c>
      <c r="G3168">
        <v>-154.58770000000001</v>
      </c>
      <c r="H3168">
        <v>10.359830000000001</v>
      </c>
      <c r="I3168">
        <v>209.3372</v>
      </c>
      <c r="J3168">
        <v>-222.8579</v>
      </c>
      <c r="K3168">
        <v>1.1211279999999999</v>
      </c>
      <c r="L3168">
        <v>214.9221</v>
      </c>
      <c r="M3168">
        <v>0.99989530000000004</v>
      </c>
      <c r="N3168">
        <v>-1.405349E-2</v>
      </c>
      <c r="O3168">
        <v>3.5115609999999998E-3</v>
      </c>
      <c r="P3168">
        <v>0.97539419999999999</v>
      </c>
      <c r="Q3168">
        <v>0.21150089999999999</v>
      </c>
      <c r="R3168">
        <v>-6.224147E-2</v>
      </c>
      <c r="S3168">
        <v>2.9736479999999998</v>
      </c>
      <c r="T3168">
        <v>0.40014919999999998</v>
      </c>
      <c r="U3168">
        <v>-0.24183650000000001</v>
      </c>
      <c r="V3168">
        <v>6.5673170000000003E-2</v>
      </c>
      <c r="W3168">
        <v>0.2251824</v>
      </c>
      <c r="X3168">
        <v>0.97210079999999999</v>
      </c>
      <c r="Y3168">
        <v>8.384904E-2</v>
      </c>
      <c r="Z3168">
        <v>5.5332910000000001E-3</v>
      </c>
      <c r="AA3168">
        <v>0.99646310000000005</v>
      </c>
      <c r="AB3168">
        <v>38</v>
      </c>
      <c r="AC3168">
        <v>68.270199999999903</v>
      </c>
      <c r="AD3168">
        <v>9.238702</v>
      </c>
      <c r="AE3168">
        <v>-5.5849000000000002</v>
      </c>
      <c r="AF3168">
        <v>5.7205599415425104</v>
      </c>
      <c r="AG3168">
        <v>9.238702</v>
      </c>
      <c r="AH3168">
        <v>67.0307905639295</v>
      </c>
      <c r="AI3168">
        <v>82.180565415126495</v>
      </c>
      <c r="AJ3168">
        <v>85.122067590530904</v>
      </c>
      <c r="AK3168">
        <v>67.905856185714697</v>
      </c>
      <c r="AL3168">
        <v>76.9863961235245</v>
      </c>
      <c r="AM3168">
        <v>86.1350854502072</v>
      </c>
      <c r="AN3168">
        <v>1.0000000219441201</v>
      </c>
    </row>
    <row r="3169" spans="1:40" x14ac:dyDescent="0.25">
      <c r="A3169" t="str">
        <f>"20190303171039521"</f>
        <v>20190303171039521</v>
      </c>
      <c r="B3169" t="str">
        <f>"1551604239513973"</f>
        <v>1551604239513973</v>
      </c>
      <c r="C3169" t="s">
        <v>40</v>
      </c>
      <c r="D3169">
        <v>4.5587080000000002</v>
      </c>
      <c r="E3169">
        <v>0.50859529999999997</v>
      </c>
      <c r="F3169" t="s">
        <v>50</v>
      </c>
      <c r="G3169">
        <v>-154.0324</v>
      </c>
      <c r="H3169">
        <v>10.292920000000001</v>
      </c>
      <c r="I3169">
        <v>209.33699999999999</v>
      </c>
      <c r="J3169">
        <v>-222.4897</v>
      </c>
      <c r="K3169">
        <v>1.121122</v>
      </c>
      <c r="L3169">
        <v>214.92339999999999</v>
      </c>
      <c r="M3169">
        <v>0.99989510000000004</v>
      </c>
      <c r="N3169">
        <v>-1.405591E-2</v>
      </c>
      <c r="O3169">
        <v>3.5121850000000001E-3</v>
      </c>
      <c r="P3169">
        <v>0.97558339999999999</v>
      </c>
      <c r="Q3169">
        <v>0.2105484</v>
      </c>
      <c r="R3169">
        <v>-6.2503729999999993E-2</v>
      </c>
      <c r="S3169">
        <v>2.974335</v>
      </c>
      <c r="T3169">
        <v>0.39636579999999999</v>
      </c>
      <c r="U3169">
        <v>-0.24136350000000001</v>
      </c>
      <c r="V3169">
        <v>6.5937109999999993E-2</v>
      </c>
      <c r="W3169">
        <v>0.22423499999999999</v>
      </c>
      <c r="X3169">
        <v>0.97230190000000005</v>
      </c>
      <c r="Y3169">
        <v>8.3689180000000002E-2</v>
      </c>
      <c r="Z3169">
        <v>5.4655989999999998E-3</v>
      </c>
      <c r="AA3169">
        <v>0.9964769</v>
      </c>
      <c r="AB3169">
        <v>38</v>
      </c>
      <c r="AC3169">
        <v>68.457300000000004</v>
      </c>
      <c r="AD3169">
        <v>9.1717979999999901</v>
      </c>
      <c r="AE3169">
        <v>-5.5863999999999603</v>
      </c>
      <c r="AF3169">
        <v>5.7247434370852499</v>
      </c>
      <c r="AG3169">
        <v>9.1717979999999901</v>
      </c>
      <c r="AH3169">
        <v>67.238298139795603</v>
      </c>
      <c r="AI3169">
        <v>82.260036789165994</v>
      </c>
      <c r="AJ3169">
        <v>85.133510080608602</v>
      </c>
      <c r="AK3169">
        <v>68.102006598258896</v>
      </c>
      <c r="AL3169">
        <v>77.042102648014506</v>
      </c>
      <c r="AM3169">
        <v>86.120399873283006</v>
      </c>
      <c r="AN3169">
        <v>1.0000000112218801</v>
      </c>
    </row>
    <row r="3170" spans="1:40" x14ac:dyDescent="0.25">
      <c r="A3170" t="str">
        <f>"20190303171039544"</f>
        <v>20190303171039544</v>
      </c>
      <c r="B3170" t="str">
        <f>"1551604239533493"</f>
        <v>1551604239533493</v>
      </c>
      <c r="C3170" t="s">
        <v>40</v>
      </c>
      <c r="D3170">
        <v>4.5562649999999998</v>
      </c>
      <c r="E3170">
        <v>0.50859920000000003</v>
      </c>
      <c r="F3170" t="s">
        <v>50</v>
      </c>
      <c r="G3170">
        <v>-154.07079999999999</v>
      </c>
      <c r="H3170">
        <v>10.14972</v>
      </c>
      <c r="I3170">
        <v>209.33709999999999</v>
      </c>
      <c r="J3170">
        <v>-222.11269999999999</v>
      </c>
      <c r="K3170">
        <v>1.121124</v>
      </c>
      <c r="L3170">
        <v>214.9247</v>
      </c>
      <c r="M3170">
        <v>0.99989519999999998</v>
      </c>
      <c r="N3170">
        <v>-1.4057800000000001E-2</v>
      </c>
      <c r="O3170">
        <v>3.5089180000000002E-3</v>
      </c>
      <c r="P3170">
        <v>0.9754043</v>
      </c>
      <c r="Q3170">
        <v>0.2111304</v>
      </c>
      <c r="R3170">
        <v>-6.3328209999999996E-2</v>
      </c>
      <c r="S3170">
        <v>2.9747919999999999</v>
      </c>
      <c r="T3170">
        <v>0.39255689999999999</v>
      </c>
      <c r="U3170">
        <v>-0.24288940000000001</v>
      </c>
      <c r="V3170">
        <v>6.675905E-2</v>
      </c>
      <c r="W3170">
        <v>0.2248163</v>
      </c>
      <c r="X3170">
        <v>0.97211150000000002</v>
      </c>
      <c r="Y3170">
        <v>8.4191639999999998E-2</v>
      </c>
      <c r="Z3170">
        <v>5.4362300000000002E-3</v>
      </c>
      <c r="AA3170">
        <v>0.99643470000000001</v>
      </c>
      <c r="AB3170">
        <v>38</v>
      </c>
      <c r="AC3170">
        <v>68.041899999999998</v>
      </c>
      <c r="AD3170">
        <v>9.0285960000000003</v>
      </c>
      <c r="AE3170">
        <v>-5.5876000000000001</v>
      </c>
      <c r="AF3170">
        <v>5.7261962999609803</v>
      </c>
      <c r="AG3170">
        <v>9.0285960000000003</v>
      </c>
      <c r="AH3170">
        <v>66.852676303539099</v>
      </c>
      <c r="AI3170">
        <v>82.336345071903494</v>
      </c>
      <c r="AJ3170">
        <v>85.104338901689204</v>
      </c>
      <c r="AK3170">
        <v>67.702180162404503</v>
      </c>
      <c r="AL3170">
        <v>77.007923210385002</v>
      </c>
      <c r="AM3170">
        <v>86.071422207850006</v>
      </c>
      <c r="AN3170">
        <v>0.99999995396742003</v>
      </c>
    </row>
    <row r="3171" spans="1:40" x14ac:dyDescent="0.25">
      <c r="A3171" t="str">
        <f>"20190303171039566"</f>
        <v>20190303171039566</v>
      </c>
      <c r="B3171" t="str">
        <f>"1551604239553989"</f>
        <v>1551604239553989</v>
      </c>
      <c r="C3171" t="s">
        <v>40</v>
      </c>
      <c r="D3171">
        <v>4.6596690000000001</v>
      </c>
      <c r="E3171">
        <v>0.50861229999999902</v>
      </c>
      <c r="F3171" t="s">
        <v>50</v>
      </c>
      <c r="G3171">
        <v>-154.4118</v>
      </c>
      <c r="H3171">
        <v>10.07058</v>
      </c>
      <c r="I3171">
        <v>209.3372</v>
      </c>
      <c r="J3171">
        <v>-221.72579999999999</v>
      </c>
      <c r="K3171">
        <v>1.12112099999999</v>
      </c>
      <c r="L3171">
        <v>214.92609999999999</v>
      </c>
      <c r="M3171">
        <v>0.99989530000000004</v>
      </c>
      <c r="N3171">
        <v>-1.4059210000000001E-2</v>
      </c>
      <c r="O3171">
        <v>3.4878909999999999E-3</v>
      </c>
      <c r="P3171">
        <v>0.97516599999999998</v>
      </c>
      <c r="Q3171">
        <v>0.21225089999999999</v>
      </c>
      <c r="R3171">
        <v>-6.3255699999999998E-2</v>
      </c>
      <c r="S3171">
        <v>2.9745789999999999</v>
      </c>
      <c r="T3171">
        <v>0.39321469999999997</v>
      </c>
      <c r="U3171">
        <v>-0.24549869999999999</v>
      </c>
      <c r="V3171">
        <v>6.667004E-2</v>
      </c>
      <c r="W3171">
        <v>0.2259331</v>
      </c>
      <c r="X3171">
        <v>0.97185869999999996</v>
      </c>
      <c r="Y3171">
        <v>8.5035959999999994E-2</v>
      </c>
      <c r="Z3171">
        <v>5.4927419999999897E-3</v>
      </c>
      <c r="AA3171">
        <v>0.99636270000000005</v>
      </c>
      <c r="AB3171">
        <v>38</v>
      </c>
      <c r="AC3171">
        <v>67.313999999999993</v>
      </c>
      <c r="AD3171">
        <v>8.9494589999999992</v>
      </c>
      <c r="AE3171">
        <v>-5.58889999999999</v>
      </c>
      <c r="AF3171">
        <v>5.72320260067373</v>
      </c>
      <c r="AG3171">
        <v>8.9494589999999992</v>
      </c>
      <c r="AH3171">
        <v>66.133132256300598</v>
      </c>
      <c r="AI3171">
        <v>82.321626081645206</v>
      </c>
      <c r="AJ3171">
        <v>85.053910415382006</v>
      </c>
      <c r="AK3171">
        <v>66.980885679650299</v>
      </c>
      <c r="AL3171">
        <v>76.942246094988903</v>
      </c>
      <c r="AM3171">
        <v>86.075626465405904</v>
      </c>
      <c r="AN3171">
        <v>0.99999999633744996</v>
      </c>
    </row>
    <row r="3172" spans="1:40" x14ac:dyDescent="0.25">
      <c r="A3172" t="str">
        <f>"20190303171039589"</f>
        <v>20190303171039589</v>
      </c>
      <c r="B3172" t="str">
        <f>"1551604239584245"</f>
        <v>1551604239584245</v>
      </c>
      <c r="C3172" t="s">
        <v>40</v>
      </c>
      <c r="D3172">
        <v>4.4616259999999999</v>
      </c>
      <c r="E3172">
        <v>0.50838839999999996</v>
      </c>
      <c r="F3172" t="s">
        <v>50</v>
      </c>
      <c r="G3172">
        <v>-151.66829999999999</v>
      </c>
      <c r="H3172">
        <v>0.2238464</v>
      </c>
      <c r="I3172">
        <v>209.86449999999999</v>
      </c>
      <c r="J3172">
        <v>-221.3391</v>
      </c>
      <c r="K3172">
        <v>1.1211040000000001</v>
      </c>
      <c r="L3172">
        <v>214.92740000000001</v>
      </c>
      <c r="M3172">
        <v>0.99989550000000005</v>
      </c>
      <c r="N3172">
        <v>-1.406018E-2</v>
      </c>
      <c r="O3172">
        <v>3.4289569999999998E-3</v>
      </c>
      <c r="P3172">
        <v>0.97490140000000003</v>
      </c>
      <c r="Q3172">
        <v>0.21352199999999999</v>
      </c>
      <c r="R3172">
        <v>-6.3056009999999996E-2</v>
      </c>
      <c r="S3172">
        <v>3.0705719999999999</v>
      </c>
      <c r="T3172">
        <v>-3.9325480000000003E-2</v>
      </c>
      <c r="U3172">
        <v>-0.2218475</v>
      </c>
      <c r="V3172">
        <v>6.6424800000000006E-2</v>
      </c>
      <c r="W3172">
        <v>0.22719780000000001</v>
      </c>
      <c r="X3172">
        <v>0.97158060000000002</v>
      </c>
      <c r="Y3172">
        <v>7.5468750000000001E-2</v>
      </c>
      <c r="Z3172">
        <v>-1.009645E-3</v>
      </c>
      <c r="AA3172">
        <v>0.99714769999999997</v>
      </c>
      <c r="AB3172">
        <v>38</v>
      </c>
      <c r="AC3172">
        <v>69.6708</v>
      </c>
      <c r="AD3172">
        <v>-0.89725759999999999</v>
      </c>
      <c r="AE3172">
        <v>-5.0629000000000097</v>
      </c>
      <c r="AF3172">
        <v>5.3009173962480096</v>
      </c>
      <c r="AG3172">
        <v>-0.89725759999999999</v>
      </c>
      <c r="AH3172">
        <v>69.641538321563601</v>
      </c>
      <c r="AI3172">
        <v>90.736025819647594</v>
      </c>
      <c r="AJ3172">
        <v>85.647200433314296</v>
      </c>
      <c r="AK3172">
        <v>69.8487555811584</v>
      </c>
      <c r="AL3172">
        <v>76.867849262627104</v>
      </c>
      <c r="AM3172">
        <v>86.088901378229593</v>
      </c>
      <c r="AN3172">
        <v>0.99999997833811904</v>
      </c>
    </row>
    <row r="3173" spans="1:40" x14ac:dyDescent="0.25">
      <c r="A3173" t="str">
        <f>"20190303171039611"</f>
        <v>20190303171039611</v>
      </c>
      <c r="B3173" t="str">
        <f>"1551604239603765"</f>
        <v>1551604239603765</v>
      </c>
      <c r="C3173" t="s">
        <v>40</v>
      </c>
      <c r="D3173">
        <v>4.553877</v>
      </c>
      <c r="E3173">
        <v>0.50826199999999999</v>
      </c>
      <c r="F3173" t="s">
        <v>50</v>
      </c>
      <c r="G3173">
        <v>-151.66829999999999</v>
      </c>
      <c r="H3173">
        <v>0.2289639</v>
      </c>
      <c r="I3173">
        <v>209.95679999999999</v>
      </c>
      <c r="J3173">
        <v>-220.9615</v>
      </c>
      <c r="K3173">
        <v>1.1210659999999999</v>
      </c>
      <c r="L3173">
        <v>214.92859999999999</v>
      </c>
      <c r="M3173">
        <v>0.99989570000000005</v>
      </c>
      <c r="N3173">
        <v>-1.4060980000000001E-2</v>
      </c>
      <c r="O3173">
        <v>3.3120739999999999E-3</v>
      </c>
      <c r="P3173">
        <v>0.9749565</v>
      </c>
      <c r="Q3173">
        <v>0.21320410000000001</v>
      </c>
      <c r="R3173">
        <v>-6.3279440000000006E-2</v>
      </c>
      <c r="S3173">
        <v>3.0716709999999998</v>
      </c>
      <c r="T3173">
        <v>-3.9331440000000002E-2</v>
      </c>
      <c r="U3173">
        <v>-0.2191467</v>
      </c>
      <c r="V3173">
        <v>6.65573E-2</v>
      </c>
      <c r="W3173">
        <v>0.22687460000000001</v>
      </c>
      <c r="X3173">
        <v>0.97164709999999999</v>
      </c>
      <c r="Y3173">
        <v>7.4454430000000002E-2</v>
      </c>
      <c r="Z3173">
        <v>-9.9608279999999997E-4</v>
      </c>
      <c r="AA3173">
        <v>0.99722390000000005</v>
      </c>
      <c r="AB3173">
        <v>38</v>
      </c>
      <c r="AC3173">
        <v>69.293199999999999</v>
      </c>
      <c r="AD3173">
        <v>-0.89210209999999901</v>
      </c>
      <c r="AE3173">
        <v>-4.9718</v>
      </c>
      <c r="AF3173">
        <v>5.2004420639818996</v>
      </c>
      <c r="AG3173">
        <v>-0.89210209999999901</v>
      </c>
      <c r="AH3173">
        <v>69.264929546788096</v>
      </c>
      <c r="AI3173">
        <v>90.735833035418395</v>
      </c>
      <c r="AJ3173">
        <v>85.706263049171</v>
      </c>
      <c r="AK3173">
        <v>69.465609541262694</v>
      </c>
      <c r="AL3173">
        <v>76.886864389674798</v>
      </c>
      <c r="AM3173">
        <v>86.081391424401602</v>
      </c>
      <c r="AN3173">
        <v>1.00000002262342</v>
      </c>
    </row>
    <row r="3174" spans="1:40" x14ac:dyDescent="0.25">
      <c r="A3174" t="str">
        <f>"20190303171039634"</f>
        <v>20190303171039634</v>
      </c>
      <c r="B3174" t="str">
        <f>"1551604239624261"</f>
        <v>1551604239624261</v>
      </c>
      <c r="C3174" t="s">
        <v>40</v>
      </c>
      <c r="D3174">
        <v>4.7135790000000002</v>
      </c>
      <c r="E3174">
        <v>0.50825989999999999</v>
      </c>
      <c r="F3174" t="s">
        <v>50</v>
      </c>
      <c r="G3174">
        <v>-151.66820000000001</v>
      </c>
      <c r="H3174">
        <v>0.1981144</v>
      </c>
      <c r="I3174">
        <v>209.97579999999999</v>
      </c>
      <c r="J3174">
        <v>-220.57939999999999</v>
      </c>
      <c r="K3174">
        <v>1.121</v>
      </c>
      <c r="L3174">
        <v>214.9297</v>
      </c>
      <c r="M3174">
        <v>0.99989629999999996</v>
      </c>
      <c r="N3174">
        <v>-1.406141E-2</v>
      </c>
      <c r="O3174">
        <v>3.110359E-3</v>
      </c>
      <c r="P3174">
        <v>0.97496629999999995</v>
      </c>
      <c r="Q3174">
        <v>0.21295929999999999</v>
      </c>
      <c r="R3174">
        <v>-6.394859E-2</v>
      </c>
      <c r="S3174">
        <v>3.0717620000000001</v>
      </c>
      <c r="T3174">
        <v>-4.0912869999999997E-2</v>
      </c>
      <c r="U3174">
        <v>-0.2195587</v>
      </c>
      <c r="V3174">
        <v>6.7064319999999997E-2</v>
      </c>
      <c r="W3174">
        <v>0.2266205</v>
      </c>
      <c r="X3174">
        <v>0.97167150000000002</v>
      </c>
      <c r="Y3174">
        <v>7.4383459999999998E-2</v>
      </c>
      <c r="Z3174">
        <v>-1.0161040000000001E-3</v>
      </c>
      <c r="AA3174">
        <v>0.99722920000000004</v>
      </c>
      <c r="AB3174">
        <v>38</v>
      </c>
      <c r="AC3174">
        <v>68.911199999999894</v>
      </c>
      <c r="AD3174">
        <v>-0.92288559999999997</v>
      </c>
      <c r="AE3174">
        <v>-4.9539</v>
      </c>
      <c r="AF3174">
        <v>5.1673137713657598</v>
      </c>
      <c r="AG3174">
        <v>-0.92288559999999997</v>
      </c>
      <c r="AH3174">
        <v>68.883165571818495</v>
      </c>
      <c r="AI3174">
        <v>90.765443306695602</v>
      </c>
      <c r="AJ3174">
        <v>85.709956388578505</v>
      </c>
      <c r="AK3174">
        <v>69.082873048513207</v>
      </c>
      <c r="AL3174">
        <v>76.901812145800207</v>
      </c>
      <c r="AM3174">
        <v>86.051733156233993</v>
      </c>
      <c r="AN3174">
        <v>0.99999998897478104</v>
      </c>
    </row>
    <row r="3175" spans="1:40" x14ac:dyDescent="0.25">
      <c r="A3175" t="str">
        <f>"20190303171039656"</f>
        <v>20190303171039656</v>
      </c>
      <c r="B3175" t="str">
        <f>"1551604239643781"</f>
        <v>1551604239643781</v>
      </c>
      <c r="C3175" t="s">
        <v>40</v>
      </c>
      <c r="D3175">
        <v>4.6573739999999999</v>
      </c>
      <c r="E3175">
        <v>0.50818679999999905</v>
      </c>
      <c r="F3175" t="s">
        <v>50</v>
      </c>
      <c r="G3175">
        <v>-151.66829999999999</v>
      </c>
      <c r="H3175">
        <v>0.19039149999999999</v>
      </c>
      <c r="I3175">
        <v>209.9504</v>
      </c>
      <c r="J3175">
        <v>-220.1968</v>
      </c>
      <c r="K3175">
        <v>1.1209180000000001</v>
      </c>
      <c r="L3175">
        <v>214.9306</v>
      </c>
      <c r="M3175">
        <v>0.99989729999999999</v>
      </c>
      <c r="N3175">
        <v>-1.40614E-2</v>
      </c>
      <c r="O3175">
        <v>2.8001969999999999E-3</v>
      </c>
      <c r="P3175">
        <v>0.9747325</v>
      </c>
      <c r="Q3175">
        <v>0.2133824</v>
      </c>
      <c r="R3175">
        <v>-6.6066699999999895E-2</v>
      </c>
      <c r="S3175">
        <v>3.0715330000000001</v>
      </c>
      <c r="T3175">
        <v>-4.1477920000000001E-2</v>
      </c>
      <c r="U3175">
        <v>-0.2219391</v>
      </c>
      <c r="V3175">
        <v>6.8926020000000005E-2</v>
      </c>
      <c r="W3175">
        <v>0.22702549999999999</v>
      </c>
      <c r="X3175">
        <v>0.9714467</v>
      </c>
      <c r="Y3175">
        <v>7.4847910000000004E-2</v>
      </c>
      <c r="Z3175">
        <v>-1.0301240000000001E-3</v>
      </c>
      <c r="AA3175">
        <v>0.99719440000000004</v>
      </c>
      <c r="AB3175">
        <v>38</v>
      </c>
      <c r="AC3175">
        <v>68.528499999999994</v>
      </c>
      <c r="AD3175">
        <v>-0.93052649999999903</v>
      </c>
      <c r="AE3175">
        <v>-4.9801999999999902</v>
      </c>
      <c r="AF3175">
        <v>5.1711442788803197</v>
      </c>
      <c r="AG3175">
        <v>-0.93052649999999903</v>
      </c>
      <c r="AH3175">
        <v>68.501720331126094</v>
      </c>
      <c r="AI3175">
        <v>90.7760494787954</v>
      </c>
      <c r="AJ3175">
        <v>85.682971873288594</v>
      </c>
      <c r="AK3175">
        <v>68.702927892805405</v>
      </c>
      <c r="AL3175">
        <v>76.877986939430798</v>
      </c>
      <c r="AM3175">
        <v>85.941554951180706</v>
      </c>
      <c r="AN3175">
        <v>1.0000000324120799</v>
      </c>
    </row>
    <row r="3176" spans="1:40" x14ac:dyDescent="0.25">
      <c r="A3176" t="str">
        <f>"20190303171039679"</f>
        <v>20190303171039679</v>
      </c>
      <c r="B3176" t="str">
        <f>"1551604239674037"</f>
        <v>1551604239674037</v>
      </c>
      <c r="C3176" t="s">
        <v>40</v>
      </c>
      <c r="D3176">
        <v>4.6589720000000003</v>
      </c>
      <c r="E3176">
        <v>0.50833499999999998</v>
      </c>
      <c r="F3176" t="s">
        <v>50</v>
      </c>
      <c r="G3176">
        <v>-151.66829999999999</v>
      </c>
      <c r="H3176">
        <v>0.21637339999999999</v>
      </c>
      <c r="I3176">
        <v>209.85239999999999</v>
      </c>
      <c r="J3176">
        <v>-219.81309999999999</v>
      </c>
      <c r="K3176">
        <v>1.1208089999999999</v>
      </c>
      <c r="L3176">
        <v>214.93129999999999</v>
      </c>
      <c r="M3176">
        <v>0.99989839999999997</v>
      </c>
      <c r="N3176">
        <v>-1.40614E-2</v>
      </c>
      <c r="O3176">
        <v>2.3318179999999998E-3</v>
      </c>
      <c r="P3176">
        <v>0.97453610000000002</v>
      </c>
      <c r="Q3176">
        <v>0.2136024</v>
      </c>
      <c r="R3176">
        <v>-6.8217520000000004E-2</v>
      </c>
      <c r="S3176">
        <v>3.0712130000000002</v>
      </c>
      <c r="T3176">
        <v>-4.0537120000000003E-2</v>
      </c>
      <c r="U3176">
        <v>-0.2275848</v>
      </c>
      <c r="V3176">
        <v>7.0681330000000001E-2</v>
      </c>
      <c r="W3176">
        <v>0.22722329999999999</v>
      </c>
      <c r="X3176">
        <v>0.97127430000000003</v>
      </c>
      <c r="Y3176">
        <v>7.6211769999999998E-2</v>
      </c>
      <c r="Z3176">
        <v>-1.0368720000000001E-3</v>
      </c>
      <c r="AA3176">
        <v>0.99709110000000001</v>
      </c>
      <c r="AB3176">
        <v>38</v>
      </c>
      <c r="AC3176">
        <v>68.144800000000004</v>
      </c>
      <c r="AD3176">
        <v>-0.90443560000000001</v>
      </c>
      <c r="AE3176">
        <v>-5.0789</v>
      </c>
      <c r="AF3176">
        <v>5.2368857777119704</v>
      </c>
      <c r="AG3176">
        <v>-0.90443560000000001</v>
      </c>
      <c r="AH3176">
        <v>68.120837060953406</v>
      </c>
      <c r="AI3176">
        <v>90.758429782860901</v>
      </c>
      <c r="AJ3176">
        <v>85.6039524275931</v>
      </c>
      <c r="AK3176">
        <v>68.327823163688706</v>
      </c>
      <c r="AL3176">
        <v>76.866349567144397</v>
      </c>
      <c r="AM3176">
        <v>85.837822794191794</v>
      </c>
      <c r="AN3176">
        <v>1.00000002215697</v>
      </c>
    </row>
    <row r="3177" spans="1:40" x14ac:dyDescent="0.25">
      <c r="A3177" t="str">
        <f>"20190303171039700"</f>
        <v>20190303171039700</v>
      </c>
      <c r="B3177" t="str">
        <f>"1551604239693557"</f>
        <v>1551604239693557</v>
      </c>
      <c r="C3177" t="s">
        <v>40</v>
      </c>
      <c r="D3177">
        <v>4.7183120000000001</v>
      </c>
      <c r="E3177">
        <v>0.50833490000000003</v>
      </c>
      <c r="F3177" t="s">
        <v>50</v>
      </c>
      <c r="G3177">
        <v>-151.66829999999999</v>
      </c>
      <c r="H3177">
        <v>0.17440029999999901</v>
      </c>
      <c r="I3177">
        <v>209.6994</v>
      </c>
      <c r="J3177">
        <v>-219.44470000000001</v>
      </c>
      <c r="K3177">
        <v>1.1206849999999999</v>
      </c>
      <c r="L3177">
        <v>214.9315</v>
      </c>
      <c r="M3177">
        <v>0.99989980000000001</v>
      </c>
      <c r="N3177">
        <v>-1.406163E-2</v>
      </c>
      <c r="O3177">
        <v>1.724085E-3</v>
      </c>
      <c r="P3177">
        <v>0.97424770000000005</v>
      </c>
      <c r="Q3177">
        <v>0.21404599999999999</v>
      </c>
      <c r="R3177">
        <v>-7.0896979999999998E-2</v>
      </c>
      <c r="S3177">
        <v>3.0712130000000002</v>
      </c>
      <c r="T3177">
        <v>-4.2652130000000003E-2</v>
      </c>
      <c r="U3177">
        <v>-0.23579410000000001</v>
      </c>
      <c r="V3177">
        <v>7.2839520000000005E-2</v>
      </c>
      <c r="W3177">
        <v>0.22763839999999999</v>
      </c>
      <c r="X3177">
        <v>0.97101760000000004</v>
      </c>
      <c r="Y3177">
        <v>7.8254219999999999E-2</v>
      </c>
      <c r="Z3177">
        <v>-1.0933399999999999E-3</v>
      </c>
      <c r="AA3177">
        <v>0.99693290000000001</v>
      </c>
      <c r="AB3177">
        <v>38</v>
      </c>
      <c r="AC3177">
        <v>67.776399999999995</v>
      </c>
      <c r="AD3177">
        <v>-0.94628469999999998</v>
      </c>
      <c r="AE3177">
        <v>-5.2321</v>
      </c>
      <c r="AF3177">
        <v>5.3479197195780301</v>
      </c>
      <c r="AG3177">
        <v>-0.94628469999999998</v>
      </c>
      <c r="AH3177">
        <v>67.754148456031601</v>
      </c>
      <c r="AI3177">
        <v>90.797685755887301</v>
      </c>
      <c r="AJ3177">
        <v>85.486929265302706</v>
      </c>
      <c r="AK3177">
        <v>67.971467050980095</v>
      </c>
      <c r="AL3177">
        <v>76.841925865124097</v>
      </c>
      <c r="AM3177">
        <v>85.710072150604304</v>
      </c>
      <c r="AN3177">
        <v>1.0000000081690701</v>
      </c>
    </row>
    <row r="3178" spans="1:40" x14ac:dyDescent="0.25">
      <c r="A3178" t="str">
        <f>"20190303171039723"</f>
        <v>20190303171039723</v>
      </c>
      <c r="B3178" t="str">
        <f>"1551604239714308"</f>
        <v>1551604239714308</v>
      </c>
      <c r="C3178" t="s">
        <v>40</v>
      </c>
      <c r="D3178">
        <v>4.8308920000000004</v>
      </c>
      <c r="E3178">
        <v>0.50835459999999999</v>
      </c>
      <c r="F3178" t="s">
        <v>50</v>
      </c>
      <c r="G3178">
        <v>-151.66839999999999</v>
      </c>
      <c r="H3178">
        <v>0.163017299999999</v>
      </c>
      <c r="I3178">
        <v>209.5401</v>
      </c>
      <c r="J3178">
        <v>-219.07069999999999</v>
      </c>
      <c r="K3178">
        <v>1.1205459999999901</v>
      </c>
      <c r="L3178">
        <v>214.9315</v>
      </c>
      <c r="M3178">
        <v>0.99990069999999998</v>
      </c>
      <c r="N3178">
        <v>-1.4062089999999999E-2</v>
      </c>
      <c r="O3178">
        <v>9.5956500000000001E-4</v>
      </c>
      <c r="P3178">
        <v>0.97394970000000003</v>
      </c>
      <c r="Q3178">
        <v>0.21447189999999999</v>
      </c>
      <c r="R3178">
        <v>-7.3647829999999997E-2</v>
      </c>
      <c r="S3178">
        <v>3.0710449999999998</v>
      </c>
      <c r="T3178">
        <v>-4.3391699999999998E-2</v>
      </c>
      <c r="U3178">
        <v>-0.24429319999999999</v>
      </c>
      <c r="V3178">
        <v>7.4922030000000001E-2</v>
      </c>
      <c r="W3178">
        <v>0.2280345</v>
      </c>
      <c r="X3178">
        <v>0.97076620000000002</v>
      </c>
      <c r="Y3178">
        <v>8.0237439999999993E-2</v>
      </c>
      <c r="Z3178">
        <v>-1.1311170000000001E-3</v>
      </c>
      <c r="AA3178">
        <v>0.99677519999999997</v>
      </c>
      <c r="AB3178">
        <v>38</v>
      </c>
      <c r="AC3178">
        <v>67.402299999999997</v>
      </c>
      <c r="AD3178">
        <v>-0.95752870000000001</v>
      </c>
      <c r="AE3178">
        <v>-5.3914</v>
      </c>
      <c r="AF3178">
        <v>5.4549868975831197</v>
      </c>
      <c r="AG3178">
        <v>-0.95752870000000001</v>
      </c>
      <c r="AH3178">
        <v>67.383582467897696</v>
      </c>
      <c r="AI3178">
        <v>90.8114707043907</v>
      </c>
      <c r="AJ3178">
        <v>85.371756479327502</v>
      </c>
      <c r="AK3178">
        <v>67.610804827868293</v>
      </c>
      <c r="AL3178">
        <v>76.818618281414203</v>
      </c>
      <c r="AM3178">
        <v>85.586760970479801</v>
      </c>
      <c r="AN3178">
        <v>1.0000000294160001</v>
      </c>
    </row>
    <row r="3179" spans="1:40" x14ac:dyDescent="0.25">
      <c r="A3179" t="str">
        <f>"20190303171039744"</f>
        <v>20190303171039744</v>
      </c>
      <c r="B3179" t="str">
        <f>"1551604239733828"</f>
        <v>1551604239733828</v>
      </c>
      <c r="C3179" t="s">
        <v>40</v>
      </c>
      <c r="D3179">
        <v>4.4695130000000001</v>
      </c>
      <c r="E3179">
        <v>0.50832650000000001</v>
      </c>
      <c r="F3179" t="s">
        <v>50</v>
      </c>
      <c r="G3179">
        <v>-151.66839999999999</v>
      </c>
      <c r="H3179">
        <v>0.17908099999999999</v>
      </c>
      <c r="I3179">
        <v>209.36789999999999</v>
      </c>
      <c r="J3179">
        <v>-218.69470000000001</v>
      </c>
      <c r="K3179">
        <v>1.120398</v>
      </c>
      <c r="L3179">
        <v>214.93090000000001</v>
      </c>
      <c r="M3179">
        <v>0.99990120000000005</v>
      </c>
      <c r="N3179">
        <v>-1.406251E-2</v>
      </c>
      <c r="O3179" s="1">
        <v>1.295236E-5</v>
      </c>
      <c r="P3179">
        <v>0.97382360000000001</v>
      </c>
      <c r="Q3179">
        <v>0.2139868</v>
      </c>
      <c r="R3179">
        <v>-7.6664899999999994E-2</v>
      </c>
      <c r="S3179">
        <v>3.0705260000000001</v>
      </c>
      <c r="T3179">
        <v>-4.2887090000000003E-2</v>
      </c>
      <c r="U3179">
        <v>-0.25344850000000002</v>
      </c>
      <c r="V3179">
        <v>7.7097799999999994E-2</v>
      </c>
      <c r="W3179">
        <v>0.2275182</v>
      </c>
      <c r="X3179">
        <v>0.97071700000000005</v>
      </c>
      <c r="Y3179">
        <v>8.2259460000000006E-2</v>
      </c>
      <c r="Z3179">
        <v>-1.1529229999999999E-3</v>
      </c>
      <c r="AA3179">
        <v>0.99661029999999995</v>
      </c>
      <c r="AB3179">
        <v>38</v>
      </c>
      <c r="AC3179">
        <v>67.026300000000006</v>
      </c>
      <c r="AD3179">
        <v>-0.94131699999999996</v>
      </c>
      <c r="AE3179">
        <v>-5.5630000000000104</v>
      </c>
      <c r="AF3179">
        <v>5.5627785723874403</v>
      </c>
      <c r="AG3179">
        <v>-0.94131699999999996</v>
      </c>
      <c r="AH3179">
        <v>67.013101110350803</v>
      </c>
      <c r="AI3179">
        <v>90.802009080067805</v>
      </c>
      <c r="AJ3179">
        <v>85.2547387995441</v>
      </c>
      <c r="AK3179">
        <v>67.250176977953103</v>
      </c>
      <c r="AL3179">
        <v>76.848998937131</v>
      </c>
      <c r="AM3179">
        <v>85.458897780880903</v>
      </c>
      <c r="AN3179">
        <v>1.00000004809253</v>
      </c>
    </row>
    <row r="3180" spans="1:40" x14ac:dyDescent="0.25">
      <c r="A3180" t="str">
        <f>"20190303171039767"</f>
        <v>20190303171039767</v>
      </c>
      <c r="B3180" t="str">
        <f>"1551604239754324"</f>
        <v>1551604239754324</v>
      </c>
      <c r="C3180" t="s">
        <v>40</v>
      </c>
      <c r="D3180">
        <v>4.4927700000000002</v>
      </c>
      <c r="E3180">
        <v>0.50830889999999995</v>
      </c>
      <c r="F3180" t="s">
        <v>50</v>
      </c>
      <c r="G3180">
        <v>-153.42150000000001</v>
      </c>
      <c r="H3180">
        <v>0.15901179999999901</v>
      </c>
      <c r="I3180">
        <v>209.34020000000001</v>
      </c>
      <c r="J3180">
        <v>-218.30770000000001</v>
      </c>
      <c r="K3180">
        <v>1.1202270000000001</v>
      </c>
      <c r="L3180">
        <v>214.9299</v>
      </c>
      <c r="M3180">
        <v>0.99990049999999997</v>
      </c>
      <c r="N3180">
        <v>-1.4063340000000001E-2</v>
      </c>
      <c r="O3180">
        <v>-1.1811669999999999E-3</v>
      </c>
      <c r="P3180">
        <v>0.97371300000000005</v>
      </c>
      <c r="Q3180">
        <v>0.2134646</v>
      </c>
      <c r="R3180">
        <v>-7.9472479999999998E-2</v>
      </c>
      <c r="S3180">
        <v>3.0698699999999999</v>
      </c>
      <c r="T3180">
        <v>-4.5213580000000003E-2</v>
      </c>
      <c r="U3180">
        <v>-0.26293949999999999</v>
      </c>
      <c r="V3180">
        <v>7.8835249999999996E-2</v>
      </c>
      <c r="W3180">
        <v>0.226961</v>
      </c>
      <c r="X3180">
        <v>0.97070780000000001</v>
      </c>
      <c r="Y3180">
        <v>8.4144380000000005E-2</v>
      </c>
      <c r="Z3180">
        <v>-1.2105480000000001E-3</v>
      </c>
      <c r="AA3180">
        <v>0.99645280000000003</v>
      </c>
      <c r="AB3180">
        <v>38</v>
      </c>
      <c r="AC3180">
        <v>64.886200000000002</v>
      </c>
      <c r="AD3180">
        <v>-0.96121520000000005</v>
      </c>
      <c r="AE3180">
        <v>-5.5896999999999899</v>
      </c>
      <c r="AF3180">
        <v>5.51184642157087</v>
      </c>
      <c r="AG3180">
        <v>-0.96121520000000005</v>
      </c>
      <c r="AH3180">
        <v>64.878624984282695</v>
      </c>
      <c r="AI3180">
        <v>90.8457625161316</v>
      </c>
      <c r="AJ3180">
        <v>85.144024275931599</v>
      </c>
      <c r="AK3180">
        <v>65.119431550704505</v>
      </c>
      <c r="AL3180">
        <v>76.881780638358705</v>
      </c>
      <c r="AM3180">
        <v>85.356959751208606</v>
      </c>
      <c r="AN3180">
        <v>0.99999996257220003</v>
      </c>
    </row>
    <row r="3181" spans="1:40" x14ac:dyDescent="0.25">
      <c r="A3181" t="str">
        <f>"20190303171039790"</f>
        <v>20190303171039790</v>
      </c>
      <c r="B3181" t="str">
        <f>"1551604239783607"</f>
        <v>1551604239783607</v>
      </c>
      <c r="C3181" t="s">
        <v>40</v>
      </c>
      <c r="D3181">
        <v>4.6598379999999997</v>
      </c>
      <c r="E3181">
        <v>0.50787479999999996</v>
      </c>
      <c r="F3181" t="s">
        <v>50</v>
      </c>
      <c r="G3181">
        <v>-155.11150000000001</v>
      </c>
      <c r="H3181">
        <v>3.586578E-2</v>
      </c>
      <c r="I3181">
        <v>209.3408</v>
      </c>
      <c r="J3181">
        <v>-217.92080000000001</v>
      </c>
      <c r="K3181">
        <v>1.120034</v>
      </c>
      <c r="L3181">
        <v>214.9281</v>
      </c>
      <c r="M3181">
        <v>0.99989779999999995</v>
      </c>
      <c r="N3181">
        <v>-1.406513E-2</v>
      </c>
      <c r="O3181">
        <v>-2.6217559999999998E-3</v>
      </c>
      <c r="P3181">
        <v>0.97343550000000001</v>
      </c>
      <c r="Q3181">
        <v>0.21358460000000001</v>
      </c>
      <c r="R3181">
        <v>-8.2494479999999995E-2</v>
      </c>
      <c r="S3181">
        <v>3.0703740000000002</v>
      </c>
      <c r="T3181">
        <v>-5.2681800000000001E-2</v>
      </c>
      <c r="U3181">
        <v>-0.27154539999999999</v>
      </c>
      <c r="V3181">
        <v>8.0562990000000001E-2</v>
      </c>
      <c r="W3181">
        <v>0.2270385</v>
      </c>
      <c r="X3181">
        <v>0.97054790000000002</v>
      </c>
      <c r="Y3181">
        <v>8.5461759999999998E-2</v>
      </c>
      <c r="Z3181">
        <v>-1.3259089999999999E-3</v>
      </c>
      <c r="AA3181">
        <v>0.99634060000000002</v>
      </c>
      <c r="AB3181">
        <v>38</v>
      </c>
      <c r="AC3181">
        <v>62.8093</v>
      </c>
      <c r="AD3181">
        <v>-1.08416822</v>
      </c>
      <c r="AE3181">
        <v>-5.5872999999999902</v>
      </c>
      <c r="AF3181">
        <v>5.4209913587546197</v>
      </c>
      <c r="AG3181">
        <v>-1.08416822</v>
      </c>
      <c r="AH3181">
        <v>62.805168107449603</v>
      </c>
      <c r="AI3181">
        <v>90.985301898655905</v>
      </c>
      <c r="AJ3181">
        <v>85.066775185861204</v>
      </c>
      <c r="AK3181">
        <v>63.048011142667796</v>
      </c>
      <c r="AL3181">
        <v>76.877222371408394</v>
      </c>
      <c r="AM3181">
        <v>85.254885143199303</v>
      </c>
      <c r="AN3181">
        <v>1.00000005101719</v>
      </c>
    </row>
    <row r="3182" spans="1:40" x14ac:dyDescent="0.25">
      <c r="A3182" t="str">
        <f>"20190303171039812"</f>
        <v>20190303171039812</v>
      </c>
      <c r="B3182" t="str">
        <f>"1551604239804100"</f>
        <v>1551604239804100</v>
      </c>
      <c r="C3182" t="s">
        <v>40</v>
      </c>
      <c r="D3182">
        <v>4.6596679999999999</v>
      </c>
      <c r="E3182">
        <v>0.50761729999999905</v>
      </c>
      <c r="F3182" t="s">
        <v>50</v>
      </c>
      <c r="G3182">
        <v>-156.1799</v>
      </c>
      <c r="H3182">
        <v>6.1531069999999997E-3</v>
      </c>
      <c r="I3182">
        <v>209.34110000000001</v>
      </c>
      <c r="J3182">
        <v>-217.54900000000001</v>
      </c>
      <c r="K3182">
        <v>1.1198239999999999</v>
      </c>
      <c r="L3182">
        <v>214.92570000000001</v>
      </c>
      <c r="M3182">
        <v>0.999892</v>
      </c>
      <c r="N3182">
        <v>-1.406784E-2</v>
      </c>
      <c r="O3182">
        <v>-4.2596609999999997E-3</v>
      </c>
      <c r="P3182">
        <v>0.97273299999999996</v>
      </c>
      <c r="Q3182">
        <v>0.2154015</v>
      </c>
      <c r="R3182">
        <v>-8.5980680000000004E-2</v>
      </c>
      <c r="S3182">
        <v>3.070465</v>
      </c>
      <c r="T3182">
        <v>-5.539322E-2</v>
      </c>
      <c r="U3182">
        <v>-0.27784730000000002</v>
      </c>
      <c r="V3182">
        <v>8.2581150000000006E-2</v>
      </c>
      <c r="W3182">
        <v>0.2288019</v>
      </c>
      <c r="X3182">
        <v>0.96996400000000005</v>
      </c>
      <c r="Y3182">
        <v>8.5853780000000005E-2</v>
      </c>
      <c r="Z3182">
        <v>-1.361152E-3</v>
      </c>
      <c r="AA3182">
        <v>0.99630680000000005</v>
      </c>
      <c r="AB3182">
        <v>38</v>
      </c>
      <c r="AC3182">
        <v>61.369100000000003</v>
      </c>
      <c r="AD3182">
        <v>-1.1136708930000001</v>
      </c>
      <c r="AE3182">
        <v>-5.5845999999999902</v>
      </c>
      <c r="AF3182">
        <v>5.3213738727071904</v>
      </c>
      <c r="AG3182">
        <v>-1.1136708930000001</v>
      </c>
      <c r="AH3182">
        <v>61.372289032490897</v>
      </c>
      <c r="AI3182">
        <v>91.035698779616496</v>
      </c>
      <c r="AJ3182">
        <v>85.044479585065403</v>
      </c>
      <c r="AK3182">
        <v>61.6126216277043</v>
      </c>
      <c r="AL3182">
        <v>76.7734559298584</v>
      </c>
      <c r="AM3182">
        <v>85.133666254769693</v>
      </c>
      <c r="AN3182">
        <v>1.00000005853746</v>
      </c>
    </row>
    <row r="3183" spans="1:40" x14ac:dyDescent="0.25">
      <c r="A3183" t="str">
        <f>"20190303171039834"</f>
        <v>20190303171039834</v>
      </c>
      <c r="B3183" t="str">
        <f>"1551604239823621"</f>
        <v>1551604239823621</v>
      </c>
      <c r="C3183" t="s">
        <v>40</v>
      </c>
      <c r="D3183">
        <v>4.6598410000000001</v>
      </c>
      <c r="E3183">
        <v>0.50731559999999998</v>
      </c>
      <c r="F3183" t="s">
        <v>50</v>
      </c>
      <c r="G3183">
        <v>-157.6815</v>
      </c>
      <c r="H3183">
        <v>0.1369514</v>
      </c>
      <c r="I3183">
        <v>209.3416</v>
      </c>
      <c r="J3183">
        <v>-217.18020000000001</v>
      </c>
      <c r="K3183">
        <v>1.1195980000000001</v>
      </c>
      <c r="L3183">
        <v>214.92250000000001</v>
      </c>
      <c r="M3183">
        <v>0.9998821</v>
      </c>
      <c r="N3183">
        <v>-1.407154E-2</v>
      </c>
      <c r="O3183">
        <v>-6.1462299999999999E-3</v>
      </c>
      <c r="P3183">
        <v>0.97214219999999896</v>
      </c>
      <c r="Q3183">
        <v>0.21653130000000001</v>
      </c>
      <c r="R3183">
        <v>-8.9742470000000005E-2</v>
      </c>
      <c r="S3183">
        <v>3.069931</v>
      </c>
      <c r="T3183">
        <v>-5.0398829999999999E-2</v>
      </c>
      <c r="U3183">
        <v>-0.2863464</v>
      </c>
      <c r="V3183">
        <v>8.4644940000000002E-2</v>
      </c>
      <c r="W3183">
        <v>0.22987489999999999</v>
      </c>
      <c r="X3183">
        <v>0.96953230000000001</v>
      </c>
      <c r="Y3183">
        <v>8.6727819999999997E-2</v>
      </c>
      <c r="Z3183">
        <v>-1.307578E-3</v>
      </c>
      <c r="AA3183">
        <v>0.99623119999999998</v>
      </c>
      <c r="AB3183">
        <v>38</v>
      </c>
      <c r="AC3183">
        <v>59.498699999999999</v>
      </c>
      <c r="AD3183">
        <v>-0.98264659999999904</v>
      </c>
      <c r="AE3183">
        <v>-5.5809000000000104</v>
      </c>
      <c r="AF3183">
        <v>5.2136559887906797</v>
      </c>
      <c r="AG3183">
        <v>-0.98264659999999904</v>
      </c>
      <c r="AH3183">
        <v>59.515788930342801</v>
      </c>
      <c r="AI3183">
        <v>90.942298748059898</v>
      </c>
      <c r="AJ3183">
        <v>84.993599781919201</v>
      </c>
      <c r="AK3183">
        <v>59.751794409131001</v>
      </c>
      <c r="AL3183">
        <v>76.710294084884794</v>
      </c>
      <c r="AM3183">
        <v>85.010447918670806</v>
      </c>
      <c r="AN3183">
        <v>1.00000005813045</v>
      </c>
    </row>
    <row r="3184" spans="1:40" x14ac:dyDescent="0.25">
      <c r="A3184" t="str">
        <f>"20190303171039857"</f>
        <v>20190303171039857</v>
      </c>
      <c r="B3184" t="str">
        <f>"1551604239844116"</f>
        <v>1551604239844116</v>
      </c>
      <c r="C3184" t="s">
        <v>40</v>
      </c>
      <c r="D3184">
        <v>4.6027009999999997</v>
      </c>
      <c r="E3184">
        <v>0.50702239999999998</v>
      </c>
      <c r="F3184" t="s">
        <v>50</v>
      </c>
      <c r="G3184">
        <v>-168.42789999999999</v>
      </c>
      <c r="H3184">
        <v>0.36706919999999998</v>
      </c>
      <c r="I3184">
        <v>210.23670000000001</v>
      </c>
      <c r="J3184">
        <v>-216.79589999999999</v>
      </c>
      <c r="K3184">
        <v>1.119345</v>
      </c>
      <c r="L3184">
        <v>214.91810000000001</v>
      </c>
      <c r="M3184">
        <v>0.99986569999999997</v>
      </c>
      <c r="N3184">
        <v>-1.407655E-2</v>
      </c>
      <c r="O3184">
        <v>-8.4041979999999999E-3</v>
      </c>
      <c r="P3184">
        <v>0.97179170000000004</v>
      </c>
      <c r="Q3184">
        <v>0.21635660000000001</v>
      </c>
      <c r="R3184">
        <v>-9.3867519999999996E-2</v>
      </c>
      <c r="S3184">
        <v>3.0692900000000001</v>
      </c>
      <c r="T3184">
        <v>-4.7374609999999998E-2</v>
      </c>
      <c r="U3184">
        <v>-0.29499819999999999</v>
      </c>
      <c r="V3184">
        <v>8.6721590000000001E-2</v>
      </c>
      <c r="W3184">
        <v>0.2296406</v>
      </c>
      <c r="X3184">
        <v>0.96940420000000005</v>
      </c>
      <c r="Y3184">
        <v>8.728234E-2</v>
      </c>
      <c r="Z3184">
        <v>-1.276494E-3</v>
      </c>
      <c r="AA3184">
        <v>0.99618280000000003</v>
      </c>
      <c r="AB3184">
        <v>38</v>
      </c>
      <c r="AC3184">
        <v>48.368000000000002</v>
      </c>
      <c r="AD3184">
        <v>-0.75227580000000005</v>
      </c>
      <c r="AE3184">
        <v>-4.6813999999999902</v>
      </c>
      <c r="AF3184">
        <v>4.2736759390033301</v>
      </c>
      <c r="AG3184">
        <v>-0.75227580000000005</v>
      </c>
      <c r="AH3184">
        <v>48.394040882298903</v>
      </c>
      <c r="AI3184">
        <v>90.887127911892705</v>
      </c>
      <c r="AJ3184">
        <v>84.9533038216899</v>
      </c>
      <c r="AK3184">
        <v>48.5882024552103</v>
      </c>
      <c r="AL3184">
        <v>76.724086312706802</v>
      </c>
      <c r="AM3184">
        <v>84.888004837654904</v>
      </c>
      <c r="AN3184">
        <v>0.99999997115906303</v>
      </c>
    </row>
    <row r="3185" spans="1:40" x14ac:dyDescent="0.25">
      <c r="A3185" t="str">
        <f>"20190303171039880"</f>
        <v>20190303171039880</v>
      </c>
      <c r="B3185" t="str">
        <f>"1551604239874372"</f>
        <v>1551604239874372</v>
      </c>
      <c r="C3185" t="s">
        <v>40</v>
      </c>
      <c r="D3185">
        <v>4.7203920000000004</v>
      </c>
      <c r="E3185">
        <v>0.50675360000000003</v>
      </c>
      <c r="F3185" t="s">
        <v>50</v>
      </c>
      <c r="G3185">
        <v>-169.392</v>
      </c>
      <c r="H3185">
        <v>0.36675829999999998</v>
      </c>
      <c r="I3185">
        <v>210.19110000000001</v>
      </c>
      <c r="J3185">
        <v>-216.40719999999999</v>
      </c>
      <c r="K3185">
        <v>1.119076</v>
      </c>
      <c r="L3185">
        <v>214.91239999999999</v>
      </c>
      <c r="M3185">
        <v>0.99984030000000002</v>
      </c>
      <c r="N3185">
        <v>-1.408299E-2</v>
      </c>
      <c r="O3185">
        <v>-1.101296E-2</v>
      </c>
      <c r="P3185">
        <v>0.97140629999999994</v>
      </c>
      <c r="Q3185">
        <v>0.2162058</v>
      </c>
      <c r="R3185">
        <v>-9.8108619999999994E-2</v>
      </c>
      <c r="S3185">
        <v>3.0683590000000001</v>
      </c>
      <c r="T3185">
        <v>-4.871118E-2</v>
      </c>
      <c r="U3185">
        <v>-0.3059692</v>
      </c>
      <c r="V3185">
        <v>8.8579610000000003E-2</v>
      </c>
      <c r="W3185">
        <v>0.2294284</v>
      </c>
      <c r="X3185">
        <v>0.96928639999999999</v>
      </c>
      <c r="Y3185">
        <v>8.8238860000000002E-2</v>
      </c>
      <c r="Z3185">
        <v>-1.301986E-3</v>
      </c>
      <c r="AA3185">
        <v>0.9960985</v>
      </c>
      <c r="AB3185">
        <v>38</v>
      </c>
      <c r="AC3185">
        <v>47.015199999999901</v>
      </c>
      <c r="AD3185">
        <v>-0.75231769999999998</v>
      </c>
      <c r="AE3185">
        <v>-4.7212999999999798</v>
      </c>
      <c r="AF3185">
        <v>4.2021206008883096</v>
      </c>
      <c r="AG3185">
        <v>-0.75231769999999998</v>
      </c>
      <c r="AH3185">
        <v>47.052421336381997</v>
      </c>
      <c r="AI3185">
        <v>90.912389282472603</v>
      </c>
      <c r="AJ3185">
        <v>84.896612722820194</v>
      </c>
      <c r="AK3185">
        <v>47.245678670991197</v>
      </c>
      <c r="AL3185">
        <v>76.736577465108297</v>
      </c>
      <c r="AM3185">
        <v>84.778447728402398</v>
      </c>
      <c r="AN3185">
        <v>0.99999993162963297</v>
      </c>
    </row>
    <row r="3186" spans="1:40" x14ac:dyDescent="0.25">
      <c r="A3186" t="str">
        <f>"20190303171039901"</f>
        <v>20190303171039901</v>
      </c>
      <c r="B3186" t="str">
        <f>"1551604239893891"</f>
        <v>1551604239893891</v>
      </c>
      <c r="C3186" t="s">
        <v>40</v>
      </c>
      <c r="D3186">
        <v>4.6629659999999999</v>
      </c>
      <c r="E3186">
        <v>0.5064535</v>
      </c>
      <c r="F3186" t="s">
        <v>50</v>
      </c>
      <c r="G3186">
        <v>-169.3921</v>
      </c>
      <c r="H3186">
        <v>0.30303760000000002</v>
      </c>
      <c r="I3186">
        <v>210.05340000000001</v>
      </c>
      <c r="J3186">
        <v>-216.03870000000001</v>
      </c>
      <c r="K3186">
        <v>1.118833</v>
      </c>
      <c r="L3186">
        <v>214.9059</v>
      </c>
      <c r="M3186">
        <v>0.99980659999999999</v>
      </c>
      <c r="N3186">
        <v>-1.40890999999999E-2</v>
      </c>
      <c r="O3186">
        <v>-1.371908E-2</v>
      </c>
      <c r="P3186">
        <v>0.97067519999999996</v>
      </c>
      <c r="Q3186">
        <v>0.21708250000000001</v>
      </c>
      <c r="R3186">
        <v>-0.1032711</v>
      </c>
      <c r="S3186">
        <v>3.06813</v>
      </c>
      <c r="T3186">
        <v>-5.3251149999999997E-2</v>
      </c>
      <c r="U3186">
        <v>-0.31709290000000001</v>
      </c>
      <c r="V3186">
        <v>9.1258619999999999E-2</v>
      </c>
      <c r="W3186">
        <v>0.23023879999999999</v>
      </c>
      <c r="X3186">
        <v>0.96884570000000003</v>
      </c>
      <c r="Y3186">
        <v>8.9121420000000007E-2</v>
      </c>
      <c r="Z3186">
        <v>-1.356306E-3</v>
      </c>
      <c r="AA3186">
        <v>0.99601980000000001</v>
      </c>
      <c r="AB3186">
        <v>38</v>
      </c>
      <c r="AC3186">
        <v>46.646599999999999</v>
      </c>
      <c r="AD3186">
        <v>-0.81579539999999995</v>
      </c>
      <c r="AE3186">
        <v>-4.8524999999999903</v>
      </c>
      <c r="AF3186">
        <v>4.2107571446104402</v>
      </c>
      <c r="AG3186">
        <v>-0.81579539999999995</v>
      </c>
      <c r="AH3186">
        <v>46.694658492144903</v>
      </c>
      <c r="AI3186">
        <v>90.996860074663303</v>
      </c>
      <c r="AJ3186">
        <v>84.847208686090298</v>
      </c>
      <c r="AK3186">
        <v>46.891226573460301</v>
      </c>
      <c r="AL3186">
        <v>76.688868907063295</v>
      </c>
      <c r="AM3186">
        <v>84.619007075383394</v>
      </c>
      <c r="AN3186">
        <v>1.00000001557911</v>
      </c>
    </row>
    <row r="3187" spans="1:40" x14ac:dyDescent="0.25">
      <c r="A3187" t="str">
        <f>"20190303171039923"</f>
        <v>20190303171039923</v>
      </c>
      <c r="B3187" t="str">
        <f>"1551604239914391"</f>
        <v>1551604239914391</v>
      </c>
      <c r="C3187" t="s">
        <v>40</v>
      </c>
      <c r="D3187">
        <v>4.6570640000000001</v>
      </c>
      <c r="E3187">
        <v>0.50621890000000003</v>
      </c>
      <c r="F3187" t="s">
        <v>50</v>
      </c>
      <c r="G3187">
        <v>-169.3921</v>
      </c>
      <c r="H3187">
        <v>0.34117509999999901</v>
      </c>
      <c r="I3187">
        <v>209.88140000000001</v>
      </c>
      <c r="J3187">
        <v>-215.6722</v>
      </c>
      <c r="K3187">
        <v>1.1186179999999999</v>
      </c>
      <c r="L3187">
        <v>214.8982</v>
      </c>
      <c r="M3187">
        <v>0.99976220000000005</v>
      </c>
      <c r="N3187">
        <v>-1.4094519999999999E-2</v>
      </c>
      <c r="O3187">
        <v>-1.6634670000000001E-2</v>
      </c>
      <c r="P3187">
        <v>0.97005980000000003</v>
      </c>
      <c r="Q3187">
        <v>0.21764159999999999</v>
      </c>
      <c r="R3187">
        <v>-0.1077782</v>
      </c>
      <c r="S3187">
        <v>3.0669249999999999</v>
      </c>
      <c r="T3187">
        <v>-5.1127310000000002E-2</v>
      </c>
      <c r="U3187">
        <v>-0.3303528</v>
      </c>
      <c r="V3187">
        <v>9.3069719999999995E-2</v>
      </c>
      <c r="W3187">
        <v>0.23073850000000001</v>
      </c>
      <c r="X3187">
        <v>0.96855449999999998</v>
      </c>
      <c r="Y3187">
        <v>9.0516700000000005E-2</v>
      </c>
      <c r="Z3187">
        <v>-1.3495340000000001E-3</v>
      </c>
      <c r="AA3187">
        <v>0.99589399999999995</v>
      </c>
      <c r="AB3187">
        <v>38</v>
      </c>
      <c r="AC3187">
        <v>46.280099999999997</v>
      </c>
      <c r="AD3187">
        <v>-0.77744290000000005</v>
      </c>
      <c r="AE3187">
        <v>-5.0167999999999804</v>
      </c>
      <c r="AF3187">
        <v>4.2449909710136096</v>
      </c>
      <c r="AG3187">
        <v>-0.77744290000000005</v>
      </c>
      <c r="AH3187">
        <v>46.344230067391202</v>
      </c>
      <c r="AI3187">
        <v>90.957063605577403</v>
      </c>
      <c r="AJ3187">
        <v>84.766484105957801</v>
      </c>
      <c r="AK3187">
        <v>46.544731456374699</v>
      </c>
      <c r="AL3187">
        <v>76.659446106552593</v>
      </c>
      <c r="AM3187">
        <v>84.511222808756699</v>
      </c>
      <c r="AN3187">
        <v>1.00000002381668</v>
      </c>
    </row>
    <row r="3188" spans="1:40" x14ac:dyDescent="0.25">
      <c r="A3188" t="str">
        <f>"20190303171039946"</f>
        <v>20190303171039946</v>
      </c>
      <c r="B3188" t="str">
        <f>"1551604239933908"</f>
        <v>1551604239933908</v>
      </c>
      <c r="C3188" t="s">
        <v>40</v>
      </c>
      <c r="D3188">
        <v>4.5965639999999999</v>
      </c>
      <c r="E3188">
        <v>0.50607360000000001</v>
      </c>
      <c r="F3188" t="s">
        <v>50</v>
      </c>
      <c r="G3188">
        <v>-169.3922</v>
      </c>
      <c r="H3188">
        <v>0.36248780000000003</v>
      </c>
      <c r="I3188">
        <v>209.73589999999999</v>
      </c>
      <c r="J3188">
        <v>-215.2895</v>
      </c>
      <c r="K3188">
        <v>1.118384</v>
      </c>
      <c r="L3188">
        <v>214.88890000000001</v>
      </c>
      <c r="M3188">
        <v>0.99970230000000004</v>
      </c>
      <c r="N3188">
        <v>-1.4100059999999999E-2</v>
      </c>
      <c r="O3188">
        <v>-1.991654E-2</v>
      </c>
      <c r="P3188">
        <v>0.96960939999999995</v>
      </c>
      <c r="Q3188">
        <v>0.2172829</v>
      </c>
      <c r="R3188">
        <v>-0.11245429999999999</v>
      </c>
      <c r="S3188">
        <v>3.0658259999999999</v>
      </c>
      <c r="T3188">
        <v>-5.0087689999999997E-2</v>
      </c>
      <c r="U3188">
        <v>-0.34198000000000001</v>
      </c>
      <c r="V3188">
        <v>9.4688250000000002E-2</v>
      </c>
      <c r="W3188">
        <v>0.23032269999999999</v>
      </c>
      <c r="X3188">
        <v>0.96849660000000004</v>
      </c>
      <c r="Y3188">
        <v>9.1018100000000005E-2</v>
      </c>
      <c r="Z3188">
        <v>-1.3407359999999999E-3</v>
      </c>
      <c r="AA3188">
        <v>0.99584839999999997</v>
      </c>
      <c r="AB3188">
        <v>38</v>
      </c>
      <c r="AC3188">
        <v>45.897300000000001</v>
      </c>
      <c r="AD3188">
        <v>-0.75589619999999902</v>
      </c>
      <c r="AE3188">
        <v>-5.15300000000002</v>
      </c>
      <c r="AF3188">
        <v>4.2366366319614297</v>
      </c>
      <c r="AG3188">
        <v>-0.75589619999999902</v>
      </c>
      <c r="AH3188">
        <v>45.978518540677499</v>
      </c>
      <c r="AI3188">
        <v>90.937896953052999</v>
      </c>
      <c r="AJ3188">
        <v>84.735413681795293</v>
      </c>
      <c r="AK3188">
        <v>46.179482849116802</v>
      </c>
      <c r="AL3188">
        <v>76.683929325723398</v>
      </c>
      <c r="AM3188">
        <v>84.416036563302896</v>
      </c>
      <c r="AN3188">
        <v>1.00000003751745</v>
      </c>
    </row>
    <row r="3189" spans="1:40" x14ac:dyDescent="0.25">
      <c r="A3189" t="str">
        <f>"20190303171039962"</f>
        <v>20190303171039962</v>
      </c>
      <c r="B3189" t="str">
        <f>"1551604239954404"</f>
        <v>1551604239954404</v>
      </c>
      <c r="C3189" t="s">
        <v>40</v>
      </c>
      <c r="D3189">
        <v>4.6053189999999997</v>
      </c>
      <c r="E3189">
        <v>0.5039034</v>
      </c>
      <c r="F3189" t="s">
        <v>50</v>
      </c>
      <c r="G3189">
        <v>-169.3922</v>
      </c>
      <c r="H3189">
        <v>0.33510400000000001</v>
      </c>
      <c r="I3189">
        <v>209.5651</v>
      </c>
      <c r="J3189">
        <v>-215.01159999999999</v>
      </c>
      <c r="K3189">
        <v>1.11822</v>
      </c>
      <c r="L3189">
        <v>214.88130000000001</v>
      </c>
      <c r="M3189">
        <v>0.99964869999999995</v>
      </c>
      <c r="N3189">
        <v>-1.4104510000000001E-2</v>
      </c>
      <c r="O3189">
        <v>-2.2438619999999999E-2</v>
      </c>
      <c r="P3189">
        <v>0.96932879999999999</v>
      </c>
      <c r="Q3189">
        <v>0.21715999999999999</v>
      </c>
      <c r="R3189">
        <v>-0.11508019999999999</v>
      </c>
      <c r="S3189">
        <v>3.0645289999999998</v>
      </c>
      <c r="T3189">
        <v>-5.2297000000000003E-2</v>
      </c>
      <c r="U3189">
        <v>-0.35546879999999997</v>
      </c>
      <c r="V3189">
        <v>9.4958169999999995E-2</v>
      </c>
      <c r="W3189">
        <v>0.23016590000000001</v>
      </c>
      <c r="X3189">
        <v>0.96850740000000002</v>
      </c>
      <c r="Y3189">
        <v>9.2877180000000004E-2</v>
      </c>
      <c r="Z3189">
        <v>-1.3811800000000001E-3</v>
      </c>
      <c r="AA3189">
        <v>0.99567660000000002</v>
      </c>
      <c r="AB3189">
        <v>38</v>
      </c>
      <c r="AC3189">
        <v>45.619399999999899</v>
      </c>
      <c r="AD3189">
        <v>-0.78311599999999904</v>
      </c>
      <c r="AE3189">
        <v>-5.3162000000000003</v>
      </c>
      <c r="AF3189">
        <v>4.2898757830300198</v>
      </c>
      <c r="AG3189">
        <v>-0.78311599999999904</v>
      </c>
      <c r="AH3189">
        <v>45.7139212703837</v>
      </c>
      <c r="AI3189">
        <v>90.977134298888501</v>
      </c>
      <c r="AJ3189">
        <v>84.638962160532401</v>
      </c>
      <c r="AK3189">
        <v>45.921442734501802</v>
      </c>
      <c r="AL3189">
        <v>76.693160693663302</v>
      </c>
      <c r="AM3189">
        <v>84.400281894599203</v>
      </c>
      <c r="AN3189">
        <v>0.999999989713659</v>
      </c>
    </row>
    <row r="3190" spans="1:40" x14ac:dyDescent="0.25">
      <c r="A3190" t="str">
        <f>"20190303171039977"</f>
        <v>20190303171039977</v>
      </c>
      <c r="B3190" t="str">
        <f>"1551604239973924"</f>
        <v>1551604239973924</v>
      </c>
      <c r="C3190" t="s">
        <v>40</v>
      </c>
      <c r="D3190">
        <v>4.5084679999999997</v>
      </c>
      <c r="E3190">
        <v>0.46932879999999899</v>
      </c>
      <c r="F3190" t="s">
        <v>50</v>
      </c>
      <c r="G3190">
        <v>-169.3922</v>
      </c>
      <c r="H3190">
        <v>0.52442739999999999</v>
      </c>
      <c r="I3190">
        <v>209.70939999999999</v>
      </c>
      <c r="J3190">
        <v>-214.76939999999999</v>
      </c>
      <c r="K3190">
        <v>1.118077</v>
      </c>
      <c r="L3190">
        <v>214.8741</v>
      </c>
      <c r="M3190">
        <v>0.99959500000000001</v>
      </c>
      <c r="N3190">
        <v>-1.410867E-2</v>
      </c>
      <c r="O3190">
        <v>-2.4718460000000001E-2</v>
      </c>
      <c r="P3190">
        <v>0.96908550000000004</v>
      </c>
      <c r="Q3190">
        <v>0.21678900000000001</v>
      </c>
      <c r="R3190">
        <v>-0.117796</v>
      </c>
      <c r="S3190">
        <v>3.0626370000000001</v>
      </c>
      <c r="T3190">
        <v>-3.9861800000000003E-2</v>
      </c>
      <c r="U3190">
        <v>-0.34721370000000001</v>
      </c>
      <c r="V3190">
        <v>9.5538609999999996E-2</v>
      </c>
      <c r="W3190">
        <v>0.2297631</v>
      </c>
      <c r="X3190">
        <v>0.96854600000000002</v>
      </c>
      <c r="Y3190">
        <v>8.8035779999999994E-2</v>
      </c>
      <c r="Z3190">
        <v>-1.2214159999999999E-3</v>
      </c>
      <c r="AA3190">
        <v>0.99611660000000002</v>
      </c>
      <c r="AB3190">
        <v>38</v>
      </c>
      <c r="AC3190">
        <v>45.377199999999903</v>
      </c>
      <c r="AD3190">
        <v>-0.5936496</v>
      </c>
      <c r="AE3190">
        <v>-5.1647000000000096</v>
      </c>
      <c r="AF3190">
        <v>4.0406728625217099</v>
      </c>
      <c r="AG3190">
        <v>-0.5936496</v>
      </c>
      <c r="AH3190">
        <v>45.483323401570601</v>
      </c>
      <c r="AI3190">
        <v>90.744850465500207</v>
      </c>
      <c r="AJ3190">
        <v>84.923253295551206</v>
      </c>
      <c r="AK3190">
        <v>45.666313237235997</v>
      </c>
      <c r="AL3190">
        <v>76.716875560876602</v>
      </c>
      <c r="AM3190">
        <v>84.366495747173403</v>
      </c>
      <c r="AN3190">
        <v>1.0000000311191699</v>
      </c>
    </row>
    <row r="3191" spans="1:40" x14ac:dyDescent="0.25">
      <c r="A3191" t="str">
        <f>"20190303171039990"</f>
        <v>20190303171039990</v>
      </c>
      <c r="B3191" t="str">
        <f>"1551604239983684"</f>
        <v>1551604239983684</v>
      </c>
      <c r="C3191" t="s">
        <v>40</v>
      </c>
      <c r="D3191">
        <v>4.6352919999999997</v>
      </c>
      <c r="E3191">
        <v>0.46932879999999899</v>
      </c>
      <c r="F3191" t="s">
        <v>77</v>
      </c>
      <c r="G3191">
        <v>-107.39749999999999</v>
      </c>
      <c r="H3191">
        <v>14.79316</v>
      </c>
      <c r="I3191">
        <v>211.33750000000001</v>
      </c>
      <c r="J3191">
        <v>-214.53</v>
      </c>
      <c r="K3191">
        <v>1.1179349999999999</v>
      </c>
      <c r="L3191">
        <v>214.86609999999999</v>
      </c>
      <c r="M3191">
        <v>0.99953369999999997</v>
      </c>
      <c r="N3191">
        <v>-1.4114460000000001E-2</v>
      </c>
      <c r="O3191">
        <v>-2.7081750000000002E-2</v>
      </c>
      <c r="P3191">
        <v>0.96889689999999995</v>
      </c>
      <c r="Q3191">
        <v>0.21592130000000001</v>
      </c>
      <c r="R3191">
        <v>-0.1209006</v>
      </c>
      <c r="S3191">
        <v>2.9982760000000002</v>
      </c>
      <c r="T3191">
        <v>0.38186740000000002</v>
      </c>
      <c r="U3191">
        <v>-9.8754880000000003E-2</v>
      </c>
      <c r="V3191">
        <v>9.6419809999999995E-2</v>
      </c>
      <c r="W3191">
        <v>0.22886409999999999</v>
      </c>
      <c r="X3191">
        <v>0.96867150000000002</v>
      </c>
      <c r="Y3191">
        <v>6.063634E-3</v>
      </c>
      <c r="Z3191">
        <v>-3.472709E-3</v>
      </c>
      <c r="AA3191">
        <v>0.99997559999999996</v>
      </c>
      <c r="AB3191">
        <v>38</v>
      </c>
      <c r="AC3191">
        <v>107.13249999999999</v>
      </c>
      <c r="AD3191">
        <v>13.675224999999999</v>
      </c>
      <c r="AE3191">
        <v>-3.52859999999998</v>
      </c>
      <c r="AF3191">
        <v>0.61566060352903995</v>
      </c>
      <c r="AG3191">
        <v>13.675224999999999</v>
      </c>
      <c r="AH3191">
        <v>105.472073743929</v>
      </c>
      <c r="AI3191">
        <v>82.612521753735507</v>
      </c>
      <c r="AJ3191">
        <v>89.6655574095183</v>
      </c>
      <c r="AK3191">
        <v>106.356707153917</v>
      </c>
      <c r="AL3191">
        <v>76.769794412023103</v>
      </c>
      <c r="AM3191">
        <v>84.315605716670106</v>
      </c>
      <c r="AN3191">
        <v>1.00000001547074</v>
      </c>
    </row>
    <row r="3192" spans="1:40" x14ac:dyDescent="0.25">
      <c r="A3192" t="str">
        <f>"20190303171040012"</f>
        <v>20190303171040012</v>
      </c>
      <c r="B3192" t="str">
        <f>"1551604240004180"</f>
        <v>1551604240004180</v>
      </c>
      <c r="C3192" t="s">
        <v>40</v>
      </c>
      <c r="D3192">
        <v>4.659459</v>
      </c>
      <c r="E3192">
        <v>0.46375519999999998</v>
      </c>
      <c r="F3192" t="s">
        <v>77</v>
      </c>
      <c r="G3192">
        <v>-107.39749999999999</v>
      </c>
      <c r="H3192">
        <v>14.680490000000001</v>
      </c>
      <c r="I3192">
        <v>211.00980000000001</v>
      </c>
      <c r="J3192">
        <v>-214.16679999999999</v>
      </c>
      <c r="K3192">
        <v>1.117729</v>
      </c>
      <c r="L3192">
        <v>214.85300000000001</v>
      </c>
      <c r="M3192">
        <v>0.99942609999999998</v>
      </c>
      <c r="N3192">
        <v>-1.4124009999999999E-2</v>
      </c>
      <c r="O3192">
        <v>-3.0788360000000001E-2</v>
      </c>
      <c r="P3192">
        <v>0.96867910000000002</v>
      </c>
      <c r="Q3192">
        <v>0.21471680000000001</v>
      </c>
      <c r="R3192">
        <v>-0.1247299</v>
      </c>
      <c r="S3192">
        <v>2.9982760000000002</v>
      </c>
      <c r="T3192">
        <v>0.37957160000000001</v>
      </c>
      <c r="U3192">
        <v>-0.1079254</v>
      </c>
      <c r="V3192">
        <v>9.6752199999999997E-2</v>
      </c>
      <c r="W3192">
        <v>0.22762309999999999</v>
      </c>
      <c r="X3192">
        <v>0.96893070000000003</v>
      </c>
      <c r="Y3192">
        <v>5.4485380000000002E-3</v>
      </c>
      <c r="Z3192">
        <v>-4.0081240000000001E-3</v>
      </c>
      <c r="AA3192">
        <v>0.99997709999999995</v>
      </c>
      <c r="AB3192">
        <v>38</v>
      </c>
      <c r="AC3192">
        <v>106.7693</v>
      </c>
      <c r="AD3192">
        <v>13.562760999999901</v>
      </c>
      <c r="AE3192">
        <v>-3.84319999999996</v>
      </c>
      <c r="AF3192">
        <v>0.54501486684204603</v>
      </c>
      <c r="AG3192">
        <v>13.562760999999901</v>
      </c>
      <c r="AH3192">
        <v>105.142595992563</v>
      </c>
      <c r="AI3192">
        <v>82.649876067433297</v>
      </c>
      <c r="AJ3192">
        <v>89.703005507266099</v>
      </c>
      <c r="AK3192">
        <v>106.015145235025</v>
      </c>
      <c r="AL3192">
        <v>76.842825782532799</v>
      </c>
      <c r="AM3192">
        <v>84.297654571040894</v>
      </c>
      <c r="AN3192">
        <v>0.99999998263046896</v>
      </c>
    </row>
    <row r="3193" spans="1:40" x14ac:dyDescent="0.25">
      <c r="A3193" t="str">
        <f>"20190303171040035"</f>
        <v>20190303171040035</v>
      </c>
      <c r="B3193" t="str">
        <f>"1551604240023700"</f>
        <v>1551604240023700</v>
      </c>
      <c r="C3193" t="s">
        <v>40</v>
      </c>
      <c r="D3193">
        <v>4.6426610000000004</v>
      </c>
      <c r="E3193">
        <v>0.4637503</v>
      </c>
      <c r="F3193" t="s">
        <v>41</v>
      </c>
      <c r="G3193">
        <v>-100.5915</v>
      </c>
      <c r="H3193">
        <v>-0.05</v>
      </c>
      <c r="I3193">
        <v>212.7157</v>
      </c>
      <c r="J3193">
        <v>-213.79220000000001</v>
      </c>
      <c r="K3193">
        <v>1.1175250000000001</v>
      </c>
      <c r="L3193">
        <v>214.83799999999999</v>
      </c>
      <c r="M3193">
        <v>0.99929489999999999</v>
      </c>
      <c r="N3193">
        <v>-1.413411E-2</v>
      </c>
      <c r="O3193">
        <v>-3.4786640000000001E-2</v>
      </c>
      <c r="P3193">
        <v>0.9684275</v>
      </c>
      <c r="Q3193">
        <v>0.2136894</v>
      </c>
      <c r="R3193">
        <v>-0.1283947</v>
      </c>
      <c r="S3193">
        <v>3.0965419999999999</v>
      </c>
      <c r="T3193">
        <v>-3.1837219999999999E-2</v>
      </c>
      <c r="U3193">
        <v>-5.8273320000000003E-2</v>
      </c>
      <c r="V3193">
        <v>9.6635849999999995E-2</v>
      </c>
      <c r="W3193">
        <v>0.22656390000000001</v>
      </c>
      <c r="X3193">
        <v>0.96919049999999995</v>
      </c>
      <c r="Y3193">
        <v>-1.5977580000000002E-2</v>
      </c>
      <c r="Z3193" s="1">
        <v>6.0821700000000001E-5</v>
      </c>
      <c r="AA3193">
        <v>0.99987230000000005</v>
      </c>
      <c r="AB3193">
        <v>38</v>
      </c>
      <c r="AC3193">
        <v>113.2007</v>
      </c>
      <c r="AD3193">
        <v>-1.1675249999999999</v>
      </c>
      <c r="AE3193">
        <v>-2.1222999999999899</v>
      </c>
      <c r="AF3193">
        <v>-1.8170565770875</v>
      </c>
      <c r="AG3193">
        <v>-1.1675249999999999</v>
      </c>
      <c r="AH3193">
        <v>113.193971344362</v>
      </c>
      <c r="AI3193">
        <v>90.590873046131094</v>
      </c>
      <c r="AJ3193">
        <v>90.919666751022206</v>
      </c>
      <c r="AK3193">
        <v>113.214574847668</v>
      </c>
      <c r="AL3193">
        <v>76.905141260358903</v>
      </c>
      <c r="AM3193">
        <v>84.305983556160797</v>
      </c>
      <c r="AN3193">
        <v>0.99999995678933995</v>
      </c>
    </row>
    <row r="3194" spans="1:40" x14ac:dyDescent="0.25">
      <c r="A3194" t="str">
        <f>"20190303171040058"</f>
        <v>20190303171040058</v>
      </c>
      <c r="B3194" t="str">
        <f>"1551604240053956"</f>
        <v>1551604240053956</v>
      </c>
      <c r="C3194" t="s">
        <v>40</v>
      </c>
      <c r="D3194">
        <v>4.6646859999999997</v>
      </c>
      <c r="E3194">
        <v>0.46324149999999997</v>
      </c>
      <c r="F3194" t="s">
        <v>41</v>
      </c>
      <c r="G3194">
        <v>-121.8156</v>
      </c>
      <c r="H3194">
        <v>-0.05</v>
      </c>
      <c r="I3194">
        <v>212.76759999999999</v>
      </c>
      <c r="J3194">
        <v>-213.41239999999999</v>
      </c>
      <c r="K3194">
        <v>1.117329</v>
      </c>
      <c r="L3194">
        <v>214.82089999999999</v>
      </c>
      <c r="M3194">
        <v>0.99913839999999998</v>
      </c>
      <c r="N3194">
        <v>-1.4144179999999999E-2</v>
      </c>
      <c r="O3194">
        <v>-3.9023309999999999E-2</v>
      </c>
      <c r="P3194">
        <v>0.96785560000000004</v>
      </c>
      <c r="Q3194">
        <v>0.21373049999999999</v>
      </c>
      <c r="R3194">
        <v>-0.1325711</v>
      </c>
      <c r="S3194">
        <v>3.097229</v>
      </c>
      <c r="T3194">
        <v>-3.9315339999999997E-2</v>
      </c>
      <c r="U3194">
        <v>-6.9717409999999994E-2</v>
      </c>
      <c r="V3194">
        <v>9.6813899999999994E-2</v>
      </c>
      <c r="W3194">
        <v>0.22656899999999999</v>
      </c>
      <c r="X3194">
        <v>0.96917160000000002</v>
      </c>
      <c r="Y3194">
        <v>-1.6527710000000001E-2</v>
      </c>
      <c r="Z3194">
        <v>1.6483829999999999E-4</v>
      </c>
      <c r="AA3194">
        <v>0.99986339999999996</v>
      </c>
      <c r="AB3194">
        <v>37</v>
      </c>
      <c r="AC3194">
        <v>91.596800000000002</v>
      </c>
      <c r="AD3194">
        <v>-1.1673290000000001</v>
      </c>
      <c r="AE3194">
        <v>-2.0533000000000001</v>
      </c>
      <c r="AF3194">
        <v>-1.52278428177661</v>
      </c>
      <c r="AG3194">
        <v>-1.1673290000000001</v>
      </c>
      <c r="AH3194">
        <v>91.592282909877994</v>
      </c>
      <c r="AI3194">
        <v>90.730085130284706</v>
      </c>
      <c r="AJ3194">
        <v>90.952493726287699</v>
      </c>
      <c r="AK3194">
        <v>91.612378080727694</v>
      </c>
      <c r="AL3194">
        <v>76.904842047752894</v>
      </c>
      <c r="AM3194">
        <v>84.295451040973504</v>
      </c>
      <c r="AN3194">
        <v>1.00000001662038</v>
      </c>
    </row>
    <row r="3195" spans="1:40" x14ac:dyDescent="0.25">
      <c r="A3195" t="str">
        <f>"20190303171040081"</f>
        <v>20190303171040081</v>
      </c>
      <c r="B3195" t="str">
        <f>"1551604240073476"</f>
        <v>1551604240073476</v>
      </c>
      <c r="C3195" t="s">
        <v>40</v>
      </c>
      <c r="D3195">
        <v>4.7031910000000003</v>
      </c>
      <c r="E3195">
        <v>0.46275179999999999</v>
      </c>
      <c r="F3195" t="s">
        <v>41</v>
      </c>
      <c r="G3195">
        <v>-125.52249999999999</v>
      </c>
      <c r="H3195">
        <v>-0.05</v>
      </c>
      <c r="I3195">
        <v>212.58580000000001</v>
      </c>
      <c r="J3195">
        <v>-213.0189</v>
      </c>
      <c r="K3195">
        <v>1.117143</v>
      </c>
      <c r="L3195">
        <v>214.8013</v>
      </c>
      <c r="M3195">
        <v>0.99894930000000004</v>
      </c>
      <c r="N3195">
        <v>-1.415465E-2</v>
      </c>
      <c r="O3195">
        <v>-4.3586710000000001E-2</v>
      </c>
      <c r="P3195">
        <v>0.96715370000000001</v>
      </c>
      <c r="Q3195">
        <v>0.2138314</v>
      </c>
      <c r="R3195">
        <v>-0.1374396</v>
      </c>
      <c r="S3195">
        <v>3.0979459999999999</v>
      </c>
      <c r="T3195">
        <v>-4.1146040000000002E-2</v>
      </c>
      <c r="U3195">
        <v>-7.8781130000000005E-2</v>
      </c>
      <c r="V3195">
        <v>9.7367570000000001E-2</v>
      </c>
      <c r="W3195">
        <v>0.22663169999999999</v>
      </c>
      <c r="X3195">
        <v>0.96910149999999995</v>
      </c>
      <c r="Y3195">
        <v>-1.8175940000000002E-2</v>
      </c>
      <c r="Z3195">
        <v>2.108046E-4</v>
      </c>
      <c r="AA3195">
        <v>0.99983480000000002</v>
      </c>
      <c r="AB3195">
        <v>37</v>
      </c>
      <c r="AC3195">
        <v>87.496399999999994</v>
      </c>
      <c r="AD3195">
        <v>-1.167143</v>
      </c>
      <c r="AE3195">
        <v>-2.2154999999999898</v>
      </c>
      <c r="AF3195">
        <v>-1.6003839235088599</v>
      </c>
      <c r="AG3195">
        <v>-1.167143</v>
      </c>
      <c r="AH3195">
        <v>87.494248413688894</v>
      </c>
      <c r="AI3195">
        <v>90.764132740721493</v>
      </c>
      <c r="AJ3195">
        <v>91.047897683762599</v>
      </c>
      <c r="AK3195">
        <v>87.516666738178401</v>
      </c>
      <c r="AL3195">
        <v>76.901154027355403</v>
      </c>
      <c r="AM3195">
        <v>84.262632026750197</v>
      </c>
      <c r="AN3195">
        <v>1.0000000442174199</v>
      </c>
    </row>
    <row r="3196" spans="1:40" x14ac:dyDescent="0.25">
      <c r="A3196" t="str">
        <f>"20190303171040103"</f>
        <v>20190303171040103</v>
      </c>
      <c r="B3196" t="str">
        <f>"1551604240093972"</f>
        <v>1551604240093972</v>
      </c>
      <c r="C3196" t="s">
        <v>40</v>
      </c>
      <c r="D3196">
        <v>4.6986749999999997</v>
      </c>
      <c r="E3196">
        <v>0.46208189999999999</v>
      </c>
      <c r="F3196" t="s">
        <v>41</v>
      </c>
      <c r="G3196">
        <v>-123.7383</v>
      </c>
      <c r="H3196">
        <v>-0.05</v>
      </c>
      <c r="I3196">
        <v>212.22190000000001</v>
      </c>
      <c r="J3196">
        <v>-212.65190000000001</v>
      </c>
      <c r="K3196">
        <v>1.116992</v>
      </c>
      <c r="L3196">
        <v>214.78129999999999</v>
      </c>
      <c r="M3196">
        <v>0.99874859999999999</v>
      </c>
      <c r="N3196">
        <v>-1.4163820000000001E-2</v>
      </c>
      <c r="O3196">
        <v>-4.7964930000000003E-2</v>
      </c>
      <c r="P3196">
        <v>0.96645729999999996</v>
      </c>
      <c r="Q3196">
        <v>0.21383669999999999</v>
      </c>
      <c r="R3196">
        <v>-0.1422477</v>
      </c>
      <c r="S3196">
        <v>3.0981139999999998</v>
      </c>
      <c r="T3196">
        <v>-4.0500880000000003E-2</v>
      </c>
      <c r="U3196">
        <v>-8.950806E-2</v>
      </c>
      <c r="V3196">
        <v>9.8023319999999997E-2</v>
      </c>
      <c r="W3196">
        <v>0.22660379999999999</v>
      </c>
      <c r="X3196">
        <v>0.96904190000000001</v>
      </c>
      <c r="Y3196">
        <v>-1.910046E-2</v>
      </c>
      <c r="Z3196">
        <v>2.0714360000000001E-4</v>
      </c>
      <c r="AA3196">
        <v>0.99981759999999997</v>
      </c>
      <c r="AB3196">
        <v>37</v>
      </c>
      <c r="AC3196">
        <v>88.913600000000002</v>
      </c>
      <c r="AD3196">
        <v>-1.166992</v>
      </c>
      <c r="AE3196">
        <v>-2.5593999999999801</v>
      </c>
      <c r="AF3196">
        <v>-1.7084147668732399</v>
      </c>
      <c r="AG3196">
        <v>-1.166992</v>
      </c>
      <c r="AH3196">
        <v>88.918710487251801</v>
      </c>
      <c r="AI3196">
        <v>90.751782629245596</v>
      </c>
      <c r="AJ3196">
        <v>91.1007010027174</v>
      </c>
      <c r="AK3196">
        <v>88.942777256275406</v>
      </c>
      <c r="AL3196">
        <v>76.902795071801094</v>
      </c>
      <c r="AM3196">
        <v>84.223899608444</v>
      </c>
      <c r="AN3196">
        <v>1.0000000286969299</v>
      </c>
    </row>
    <row r="3197" spans="1:40" x14ac:dyDescent="0.25">
      <c r="A3197" t="str">
        <f>"20190303171040125"</f>
        <v>20190303171040125</v>
      </c>
      <c r="B3197" t="str">
        <f>"1551604240113492"</f>
        <v>1551604240113492</v>
      </c>
      <c r="C3197" t="s">
        <v>40</v>
      </c>
      <c r="D3197">
        <v>4.7409299999999996</v>
      </c>
      <c r="E3197">
        <v>0.46183980000000002</v>
      </c>
      <c r="F3197" t="s">
        <v>41</v>
      </c>
      <c r="G3197">
        <v>-121.5668</v>
      </c>
      <c r="H3197">
        <v>-0.05</v>
      </c>
      <c r="I3197">
        <v>211.86279999999999</v>
      </c>
      <c r="J3197">
        <v>-212.28980000000001</v>
      </c>
      <c r="K3197">
        <v>1.116859</v>
      </c>
      <c r="L3197">
        <v>214.76</v>
      </c>
      <c r="M3197">
        <v>0.99852600000000002</v>
      </c>
      <c r="N3197">
        <v>-1.417179E-2</v>
      </c>
      <c r="O3197">
        <v>-5.2393099999999998E-2</v>
      </c>
      <c r="P3197">
        <v>0.96589550000000002</v>
      </c>
      <c r="Q3197">
        <v>0.21356420000000001</v>
      </c>
      <c r="R3197">
        <v>-0.1464105</v>
      </c>
      <c r="S3197">
        <v>3.0982820000000002</v>
      </c>
      <c r="T3197">
        <v>-3.9695500000000002E-2</v>
      </c>
      <c r="U3197">
        <v>-9.9273680000000003E-2</v>
      </c>
      <c r="V3197">
        <v>9.7967680000000001E-2</v>
      </c>
      <c r="W3197">
        <v>0.22631029999999999</v>
      </c>
      <c r="X3197">
        <v>0.96911610000000004</v>
      </c>
      <c r="Y3197">
        <v>-2.038682E-2</v>
      </c>
      <c r="Z3197">
        <v>2.0300550000000001E-4</v>
      </c>
      <c r="AA3197">
        <v>0.99979220000000002</v>
      </c>
      <c r="AB3197">
        <v>37</v>
      </c>
      <c r="AC3197">
        <v>90.722999999999999</v>
      </c>
      <c r="AD3197">
        <v>-1.1668590000000001</v>
      </c>
      <c r="AE3197">
        <v>-2.89719999999999</v>
      </c>
      <c r="AF3197">
        <v>-1.8602090682419901</v>
      </c>
      <c r="AG3197">
        <v>-1.1668590000000001</v>
      </c>
      <c r="AH3197">
        <v>90.7351843227476</v>
      </c>
      <c r="AI3197">
        <v>90.736631195594398</v>
      </c>
      <c r="AJ3197">
        <v>91.174485957022995</v>
      </c>
      <c r="AK3197">
        <v>90.761751921095197</v>
      </c>
      <c r="AL3197">
        <v>76.920059743976395</v>
      </c>
      <c r="AM3197">
        <v>84.227595099294305</v>
      </c>
      <c r="AN3197">
        <v>1.0000000167449401</v>
      </c>
    </row>
    <row r="3198" spans="1:40" x14ac:dyDescent="0.25">
      <c r="A3198" t="str">
        <f>"20190303171040147"</f>
        <v>20190303171040147</v>
      </c>
      <c r="B3198" t="str">
        <f>"1551604240133988"</f>
        <v>1551604240133988</v>
      </c>
      <c r="C3198" t="s">
        <v>40</v>
      </c>
      <c r="D3198">
        <v>4.9317880000000001</v>
      </c>
      <c r="E3198">
        <v>0.49344290000000002</v>
      </c>
      <c r="F3198" t="s">
        <v>41</v>
      </c>
      <c r="G3198">
        <v>-123.0753</v>
      </c>
      <c r="H3198">
        <v>-0.05</v>
      </c>
      <c r="I3198">
        <v>211.55850000000001</v>
      </c>
      <c r="J3198">
        <v>-211.9134</v>
      </c>
      <c r="K3198">
        <v>1.11673</v>
      </c>
      <c r="L3198">
        <v>214.73599999999999</v>
      </c>
      <c r="M3198">
        <v>0.99826769999999998</v>
      </c>
      <c r="N3198">
        <v>-1.4179550000000001E-2</v>
      </c>
      <c r="O3198">
        <v>-5.710196E-2</v>
      </c>
      <c r="P3198">
        <v>0.96518110000000001</v>
      </c>
      <c r="Q3198">
        <v>0.21315809999999999</v>
      </c>
      <c r="R3198">
        <v>-0.1516217</v>
      </c>
      <c r="S3198">
        <v>3.0980530000000002</v>
      </c>
      <c r="T3198">
        <v>-4.0520189999999998E-2</v>
      </c>
      <c r="U3198">
        <v>-0.1111755</v>
      </c>
      <c r="V3198">
        <v>9.8688670000000006E-2</v>
      </c>
      <c r="W3198">
        <v>0.22587550000000001</v>
      </c>
      <c r="X3198">
        <v>0.96914429999999996</v>
      </c>
      <c r="Y3198">
        <v>-2.1263150000000001E-2</v>
      </c>
      <c r="Z3198">
        <v>2.2590380000000001E-4</v>
      </c>
      <c r="AA3198">
        <v>0.99977389999999999</v>
      </c>
      <c r="AB3198">
        <v>37</v>
      </c>
      <c r="AC3198">
        <v>88.838099999999997</v>
      </c>
      <c r="AD3198">
        <v>-1.1667299999999901</v>
      </c>
      <c r="AE3198">
        <v>-3.1774999999999798</v>
      </c>
      <c r="AF3198">
        <v>-1.90069762948139</v>
      </c>
      <c r="AG3198">
        <v>-1.1667299999999901</v>
      </c>
      <c r="AH3198">
        <v>88.859271052093305</v>
      </c>
      <c r="AI3198">
        <v>90.752083357021306</v>
      </c>
      <c r="AJ3198">
        <v>91.225368460641107</v>
      </c>
      <c r="AK3198">
        <v>88.887254217244305</v>
      </c>
      <c r="AL3198">
        <v>76.9456330891189</v>
      </c>
      <c r="AM3198">
        <v>84.185571330988907</v>
      </c>
      <c r="AN3198">
        <v>0.99999993465455195</v>
      </c>
    </row>
    <row r="3199" spans="1:40" x14ac:dyDescent="0.25">
      <c r="A3199" t="str">
        <f>"20190303171040170"</f>
        <v>20190303171040170</v>
      </c>
      <c r="B3199" t="str">
        <f>"1551604240164255"</f>
        <v>1551604240164255</v>
      </c>
      <c r="C3199" t="s">
        <v>40</v>
      </c>
      <c r="D3199">
        <v>4.6628610000000004</v>
      </c>
      <c r="E3199">
        <v>0.56428149999999999</v>
      </c>
      <c r="F3199" t="s">
        <v>50</v>
      </c>
      <c r="G3199">
        <v>-169.3922</v>
      </c>
      <c r="H3199">
        <v>9.6105579999999996E-2</v>
      </c>
      <c r="I3199">
        <v>209.52420000000001</v>
      </c>
      <c r="J3199">
        <v>-211.53380000000001</v>
      </c>
      <c r="K3199">
        <v>1.116611</v>
      </c>
      <c r="L3199">
        <v>214.7099</v>
      </c>
      <c r="M3199">
        <v>0.99797820000000004</v>
      </c>
      <c r="N3199">
        <v>-1.418736E-2</v>
      </c>
      <c r="O3199">
        <v>-6.1954120000000001E-2</v>
      </c>
      <c r="P3199">
        <v>0.96432039999999997</v>
      </c>
      <c r="Q3199">
        <v>0.2131883</v>
      </c>
      <c r="R3199">
        <v>-0.1569614</v>
      </c>
      <c r="S3199">
        <v>3.0654599999999999</v>
      </c>
      <c r="T3199">
        <v>-7.3576929999999999E-2</v>
      </c>
      <c r="U3199">
        <v>-0.37573240000000002</v>
      </c>
      <c r="V3199">
        <v>9.9409369999999997E-2</v>
      </c>
      <c r="W3199">
        <v>0.22587650000000001</v>
      </c>
      <c r="X3199">
        <v>0.96907049999999995</v>
      </c>
      <c r="Y3199">
        <v>5.990111E-2</v>
      </c>
      <c r="Z3199">
        <v>-5.4049670000000003E-4</v>
      </c>
      <c r="AA3199">
        <v>0.99820419999999999</v>
      </c>
      <c r="AB3199">
        <v>37</v>
      </c>
      <c r="AC3199">
        <v>42.141599999999997</v>
      </c>
      <c r="AD3199">
        <v>-1.0205054200000001</v>
      </c>
      <c r="AE3199">
        <v>-5.18569999999999</v>
      </c>
      <c r="AF3199">
        <v>2.5631471625508602</v>
      </c>
      <c r="AG3199">
        <v>-1.0205054200000001</v>
      </c>
      <c r="AH3199">
        <v>42.357468674107501</v>
      </c>
      <c r="AI3199">
        <v>91.377623567068696</v>
      </c>
      <c r="AJ3199">
        <v>86.537124127134405</v>
      </c>
      <c r="AK3199">
        <v>42.447217896667198</v>
      </c>
      <c r="AL3199">
        <v>76.945575473992903</v>
      </c>
      <c r="AM3199">
        <v>84.1429611139028</v>
      </c>
      <c r="AN3199">
        <v>1.00000002503314</v>
      </c>
    </row>
    <row r="3200" spans="1:40" x14ac:dyDescent="0.25">
      <c r="A3200" t="str">
        <f>"20190303171040202"</f>
        <v>20190303171040202</v>
      </c>
      <c r="B3200" t="str">
        <f>"1551604240193524"</f>
        <v>1551604240193524</v>
      </c>
      <c r="C3200" t="s">
        <v>40</v>
      </c>
      <c r="D3200">
        <v>4.6568100000000001</v>
      </c>
      <c r="E3200">
        <v>0.57000319999999904</v>
      </c>
      <c r="F3200" t="s">
        <v>52</v>
      </c>
      <c r="G3200">
        <v>-188.53460000000001</v>
      </c>
      <c r="H3200" s="1">
        <v>4.9344109999999998E-6</v>
      </c>
      <c r="I3200">
        <v>207.41650000000001</v>
      </c>
      <c r="J3200">
        <v>-210.98929999999999</v>
      </c>
      <c r="K3200">
        <v>1.1164339999999999</v>
      </c>
      <c r="L3200">
        <v>214.66909999999999</v>
      </c>
      <c r="M3200">
        <v>0.99750919999999998</v>
      </c>
      <c r="N3200">
        <v>-1.4198880000000001E-2</v>
      </c>
      <c r="O3200">
        <v>-6.9091799999999995E-2</v>
      </c>
      <c r="P3200">
        <v>0.96324770000000004</v>
      </c>
      <c r="Q3200">
        <v>0.21295259999999999</v>
      </c>
      <c r="R3200">
        <v>-0.16372229999999999</v>
      </c>
      <c r="S3200">
        <v>2.9887999999999999</v>
      </c>
      <c r="T3200">
        <v>-0.1451057</v>
      </c>
      <c r="U3200">
        <v>-0.94779970000000002</v>
      </c>
      <c r="V3200">
        <v>9.9357979999999999E-2</v>
      </c>
      <c r="W3200">
        <v>0.22561490000000001</v>
      </c>
      <c r="X3200">
        <v>0.96913669999999996</v>
      </c>
      <c r="Y3200">
        <v>0.23539940000000001</v>
      </c>
      <c r="Z3200">
        <v>-4.9857629999999998E-3</v>
      </c>
      <c r="AA3200">
        <v>0.97188589999999997</v>
      </c>
      <c r="AB3200">
        <v>37</v>
      </c>
      <c r="AC3200">
        <v>22.4546999999999</v>
      </c>
      <c r="AD3200">
        <v>-1.1164290655889999</v>
      </c>
      <c r="AE3200">
        <v>-7.25259999999997</v>
      </c>
      <c r="AF3200">
        <v>5.67097851855653</v>
      </c>
      <c r="AG3200">
        <v>-1.1164290655889999</v>
      </c>
      <c r="AH3200">
        <v>22.8510235889513</v>
      </c>
      <c r="AI3200">
        <v>92.714842696651402</v>
      </c>
      <c r="AJ3200">
        <v>76.0623880362173</v>
      </c>
      <c r="AK3200">
        <v>23.570653157671099</v>
      </c>
      <c r="AL3200">
        <v>76.960961110206298</v>
      </c>
      <c r="AM3200">
        <v>84.146364997731396</v>
      </c>
      <c r="AN3200">
        <v>1.00000001728929</v>
      </c>
    </row>
    <row r="3201" spans="1:40" x14ac:dyDescent="0.25">
      <c r="A3201" t="str">
        <f>"20190303171040225"</f>
        <v>20190303171040225</v>
      </c>
      <c r="B3201" t="str">
        <f>"1551604240213550"</f>
        <v>1551604240213550</v>
      </c>
      <c r="C3201" t="s">
        <v>40</v>
      </c>
      <c r="D3201">
        <v>4.6350339999999903</v>
      </c>
      <c r="E3201">
        <v>0.57177029999999995</v>
      </c>
      <c r="F3201" t="s">
        <v>52</v>
      </c>
      <c r="G3201">
        <v>-189.15289999999999</v>
      </c>
      <c r="H3201" s="1">
        <v>5.1130050000000004E-6</v>
      </c>
      <c r="I3201">
        <v>207.22149999999999</v>
      </c>
      <c r="J3201">
        <v>-210.6164</v>
      </c>
      <c r="K3201">
        <v>1.116333</v>
      </c>
      <c r="L3201">
        <v>214.6387</v>
      </c>
      <c r="M3201">
        <v>0.99715019999999999</v>
      </c>
      <c r="N3201">
        <v>-1.4206899999999901E-2</v>
      </c>
      <c r="O3201">
        <v>-7.4092069999999996E-2</v>
      </c>
      <c r="P3201">
        <v>0.96248180000000005</v>
      </c>
      <c r="Q3201">
        <v>0.21291850000000001</v>
      </c>
      <c r="R3201">
        <v>-0.1682109</v>
      </c>
      <c r="S3201">
        <v>2.9755859999999998</v>
      </c>
      <c r="T3201">
        <v>-0.1521325</v>
      </c>
      <c r="U3201">
        <v>-1.0148619999999999</v>
      </c>
      <c r="V3201">
        <v>9.9072350000000003E-2</v>
      </c>
      <c r="W3201">
        <v>0.2255675</v>
      </c>
      <c r="X3201">
        <v>0.96917690000000001</v>
      </c>
      <c r="Y3201">
        <v>0.25144689999999997</v>
      </c>
      <c r="Z3201">
        <v>-5.4434359999999899E-3</v>
      </c>
      <c r="AA3201">
        <v>0.96785580000000004</v>
      </c>
      <c r="AB3201">
        <v>37</v>
      </c>
      <c r="AC3201">
        <v>21.4635</v>
      </c>
      <c r="AD3201">
        <v>-1.116327886995</v>
      </c>
      <c r="AE3201">
        <v>-7.4172000000000002</v>
      </c>
      <c r="AF3201">
        <v>5.7923759846865597</v>
      </c>
      <c r="AG3201">
        <v>-1.116327886995</v>
      </c>
      <c r="AH3201">
        <v>21.901180285731101</v>
      </c>
      <c r="AI3201">
        <v>92.821072829209996</v>
      </c>
      <c r="AJ3201">
        <v>75.1857331457865</v>
      </c>
      <c r="AK3201">
        <v>22.6816997909626</v>
      </c>
      <c r="AL3201">
        <v>76.963747838991097</v>
      </c>
      <c r="AM3201">
        <v>84.163316855954903</v>
      </c>
      <c r="AN3201">
        <v>0.99999994554218896</v>
      </c>
    </row>
    <row r="3202" spans="1:40" x14ac:dyDescent="0.25">
      <c r="A3202" t="str">
        <f>"20190303171040247"</f>
        <v>20190303171040247</v>
      </c>
      <c r="B3202" t="str">
        <f>"1551604240234046"</f>
        <v>1551604240234046</v>
      </c>
      <c r="C3202" t="s">
        <v>40</v>
      </c>
      <c r="D3202">
        <v>4.6347829999999997</v>
      </c>
      <c r="E3202">
        <v>0.5727814</v>
      </c>
      <c r="F3202" t="s">
        <v>52</v>
      </c>
      <c r="G3202">
        <v>-188.91820000000001</v>
      </c>
      <c r="H3202" s="1">
        <v>5.1451500000000002E-6</v>
      </c>
      <c r="I3202">
        <v>207.0128</v>
      </c>
      <c r="J3202">
        <v>-210.23769999999999</v>
      </c>
      <c r="K3202">
        <v>1.1162339999999999</v>
      </c>
      <c r="L3202">
        <v>214.60579999999999</v>
      </c>
      <c r="M3202">
        <v>0.99675309999999995</v>
      </c>
      <c r="N3202">
        <v>-1.4214009999999999E-2</v>
      </c>
      <c r="O3202">
        <v>-7.9254770000000002E-2</v>
      </c>
      <c r="P3202">
        <v>0.96124080000000001</v>
      </c>
      <c r="Q3202">
        <v>0.2136063</v>
      </c>
      <c r="R3202">
        <v>-0.1743229</v>
      </c>
      <c r="S3202">
        <v>2.968369</v>
      </c>
      <c r="T3202">
        <v>-0.15271660000000001</v>
      </c>
      <c r="U3202">
        <v>-1.0432429999999999</v>
      </c>
      <c r="V3202">
        <v>0.10028960000000001</v>
      </c>
      <c r="W3202">
        <v>0.2262207</v>
      </c>
      <c r="X3202">
        <v>0.96889950000000002</v>
      </c>
      <c r="Y3202">
        <v>0.25540780000000002</v>
      </c>
      <c r="Z3202">
        <v>-5.4026319999999897E-3</v>
      </c>
      <c r="AA3202">
        <v>0.96681830000000002</v>
      </c>
      <c r="AB3202">
        <v>37</v>
      </c>
      <c r="AC3202">
        <v>21.319499999999898</v>
      </c>
      <c r="AD3202">
        <v>-1.1162288548499999</v>
      </c>
      <c r="AE3202">
        <v>-7.5929999999999804</v>
      </c>
      <c r="AF3202">
        <v>5.8650000974274503</v>
      </c>
      <c r="AG3202">
        <v>-1.1162288548499999</v>
      </c>
      <c r="AH3202">
        <v>21.801230083998401</v>
      </c>
      <c r="AI3202">
        <v>92.830534928107397</v>
      </c>
      <c r="AJ3202">
        <v>74.942691123936996</v>
      </c>
      <c r="AK3202">
        <v>22.603933865030299</v>
      </c>
      <c r="AL3202">
        <v>76.925330240027293</v>
      </c>
      <c r="AM3202">
        <v>84.090429284757207</v>
      </c>
      <c r="AN3202">
        <v>1.00000002503844</v>
      </c>
    </row>
    <row r="3203" spans="1:40" x14ac:dyDescent="0.25">
      <c r="A3203" t="str">
        <f>"20190303171040271"</f>
        <v>20190303171040271</v>
      </c>
      <c r="B3203" t="str">
        <f>"1551604240264305"</f>
        <v>1551604240264305</v>
      </c>
      <c r="C3203" t="s">
        <v>40</v>
      </c>
      <c r="D3203">
        <v>4.6284890000000001</v>
      </c>
      <c r="E3203">
        <v>0.57363030000000004</v>
      </c>
      <c r="F3203" t="s">
        <v>52</v>
      </c>
      <c r="G3203">
        <v>-188.41669999999999</v>
      </c>
      <c r="H3203" s="1">
        <v>5.1574349999999999E-6</v>
      </c>
      <c r="I3203">
        <v>206.72640000000001</v>
      </c>
      <c r="J3203">
        <v>-209.851</v>
      </c>
      <c r="K3203">
        <v>1.1161380000000001</v>
      </c>
      <c r="L3203">
        <v>214.5702</v>
      </c>
      <c r="M3203">
        <v>0.99631170000000002</v>
      </c>
      <c r="N3203">
        <v>-1.422064E-2</v>
      </c>
      <c r="O3203">
        <v>-8.4621139999999997E-2</v>
      </c>
      <c r="P3203">
        <v>0.9602098</v>
      </c>
      <c r="Q3203">
        <v>0.21372769999999999</v>
      </c>
      <c r="R3203">
        <v>-0.17977129999999999</v>
      </c>
      <c r="S3203">
        <v>2.9607389999999998</v>
      </c>
      <c r="T3203">
        <v>-0.1514529</v>
      </c>
      <c r="U3203">
        <v>-1.069107</v>
      </c>
      <c r="V3203">
        <v>0.1006243</v>
      </c>
      <c r="W3203">
        <v>0.22632099999999999</v>
      </c>
      <c r="X3203">
        <v>0.96884139999999996</v>
      </c>
      <c r="Y3203">
        <v>0.2584747</v>
      </c>
      <c r="Z3203">
        <v>-5.2976059999999998E-3</v>
      </c>
      <c r="AA3203">
        <v>0.96600350000000001</v>
      </c>
      <c r="AB3203">
        <v>37</v>
      </c>
      <c r="AC3203">
        <v>21.4343</v>
      </c>
      <c r="AD3203">
        <v>-1.1161328425649999</v>
      </c>
      <c r="AE3203">
        <v>-7.8437999999999803</v>
      </c>
      <c r="AF3203">
        <v>5.9873642715887998</v>
      </c>
      <c r="AG3203">
        <v>-1.1161328425649999</v>
      </c>
      <c r="AH3203">
        <v>21.968688796061301</v>
      </c>
      <c r="AI3203">
        <v>92.806263657054402</v>
      </c>
      <c r="AJ3203">
        <v>74.754825587198894</v>
      </c>
      <c r="AK3203">
        <v>22.7973149923656</v>
      </c>
      <c r="AL3203">
        <v>76.919430812521796</v>
      </c>
      <c r="AM3203">
        <v>84.0704943060597</v>
      </c>
      <c r="AN3203">
        <v>1.0000000515727201</v>
      </c>
    </row>
    <row r="3204" spans="1:40" x14ac:dyDescent="0.25">
      <c r="A3204" t="str">
        <f>"20190303171040292"</f>
        <v>20190303171040292</v>
      </c>
      <c r="B3204" t="str">
        <f>"1551604240283822"</f>
        <v>1551604240283822</v>
      </c>
      <c r="C3204" t="s">
        <v>40</v>
      </c>
      <c r="D3204">
        <v>4.6638820000000001</v>
      </c>
      <c r="E3204">
        <v>0.57395569999999996</v>
      </c>
      <c r="F3204" t="s">
        <v>52</v>
      </c>
      <c r="G3204">
        <v>-188.69929999999999</v>
      </c>
      <c r="H3204" s="1">
        <v>5.1982399999999999E-6</v>
      </c>
      <c r="I3204">
        <v>206.7527</v>
      </c>
      <c r="J3204">
        <v>-209.49379999999999</v>
      </c>
      <c r="K3204">
        <v>1.116042</v>
      </c>
      <c r="L3204">
        <v>214.53530000000001</v>
      </c>
      <c r="M3204">
        <v>0.99587049999999999</v>
      </c>
      <c r="N3204">
        <v>-1.422693E-2</v>
      </c>
      <c r="O3204">
        <v>-8.9665110000000006E-2</v>
      </c>
      <c r="P3204">
        <v>0.9596382</v>
      </c>
      <c r="Q3204">
        <v>0.21203959999999999</v>
      </c>
      <c r="R3204">
        <v>-0.18475440000000001</v>
      </c>
      <c r="S3204">
        <v>2.9545750000000002</v>
      </c>
      <c r="T3204">
        <v>-0.15590670000000001</v>
      </c>
      <c r="U3204">
        <v>-1.09198</v>
      </c>
      <c r="V3204">
        <v>0.100742</v>
      </c>
      <c r="W3204">
        <v>0.2246225</v>
      </c>
      <c r="X3204">
        <v>0.96922430000000004</v>
      </c>
      <c r="Y3204">
        <v>0.26080560000000003</v>
      </c>
      <c r="Z3204">
        <v>-5.2594479999999999E-3</v>
      </c>
      <c r="AA3204">
        <v>0.96537700000000004</v>
      </c>
      <c r="AB3204">
        <v>37</v>
      </c>
      <c r="AC3204">
        <v>20.794499999999999</v>
      </c>
      <c r="AD3204">
        <v>-1.11603680176</v>
      </c>
      <c r="AE3204">
        <v>-7.7826000000000004</v>
      </c>
      <c r="AF3204">
        <v>5.8716804450705196</v>
      </c>
      <c r="AG3204">
        <v>-1.11603680176</v>
      </c>
      <c r="AH3204">
        <v>21.354666808682101</v>
      </c>
      <c r="AI3204">
        <v>92.884796200165894</v>
      </c>
      <c r="AJ3204">
        <v>74.625876328746699</v>
      </c>
      <c r="AK3204">
        <v>22.175300762373801</v>
      </c>
      <c r="AL3204">
        <v>77.019318942240005</v>
      </c>
      <c r="AM3204">
        <v>84.065936561216503</v>
      </c>
      <c r="AN3204">
        <v>0.99999998089036901</v>
      </c>
    </row>
    <row r="3205" spans="1:40" x14ac:dyDescent="0.25">
      <c r="A3205" t="str">
        <f>"20190303171040314"</f>
        <v>20190303171040314</v>
      </c>
      <c r="B3205" t="str">
        <f>"1551604240303851"</f>
        <v>1551604240303851</v>
      </c>
      <c r="C3205" t="s">
        <v>40</v>
      </c>
      <c r="D3205">
        <v>4.6135539999999997</v>
      </c>
      <c r="E3205">
        <v>0.57420719999999903</v>
      </c>
      <c r="F3205" t="s">
        <v>52</v>
      </c>
      <c r="G3205">
        <v>-189.21340000000001</v>
      </c>
      <c r="H3205" s="1">
        <v>5.2396690000000002E-6</v>
      </c>
      <c r="I3205">
        <v>206.89349999999999</v>
      </c>
      <c r="J3205">
        <v>-209.1328</v>
      </c>
      <c r="K3205">
        <v>1.1159509999999999</v>
      </c>
      <c r="L3205">
        <v>214.4982</v>
      </c>
      <c r="M3205">
        <v>0.9953902</v>
      </c>
      <c r="N3205">
        <v>-1.42334E-2</v>
      </c>
      <c r="O3205">
        <v>-9.4845689999999996E-2</v>
      </c>
      <c r="P3205">
        <v>0.95847850000000001</v>
      </c>
      <c r="Q3205">
        <v>0.21119389999999999</v>
      </c>
      <c r="R3205">
        <v>-0.19161539999999999</v>
      </c>
      <c r="S3205">
        <v>2.9481510000000002</v>
      </c>
      <c r="T3205">
        <v>-0.16223750000000001</v>
      </c>
      <c r="U3205">
        <v>-1.110886</v>
      </c>
      <c r="V3205">
        <v>0.1026566</v>
      </c>
      <c r="W3205">
        <v>0.22373870000000001</v>
      </c>
      <c r="X3205">
        <v>0.96922790000000003</v>
      </c>
      <c r="Y3205">
        <v>0.26187709999999997</v>
      </c>
      <c r="Z3205">
        <v>-5.1856469999999998E-3</v>
      </c>
      <c r="AA3205">
        <v>0.96508729999999998</v>
      </c>
      <c r="AB3205">
        <v>37</v>
      </c>
      <c r="AC3205">
        <v>19.9194</v>
      </c>
      <c r="AD3205">
        <v>-1.1159457603309999</v>
      </c>
      <c r="AE3205">
        <v>-7.6047000000000002</v>
      </c>
      <c r="AF3205">
        <v>5.6654308025954201</v>
      </c>
      <c r="AG3205">
        <v>-1.1159457603309999</v>
      </c>
      <c r="AH3205">
        <v>20.4947890759308</v>
      </c>
      <c r="AI3205">
        <v>93.004236542984501</v>
      </c>
      <c r="AJ3205">
        <v>74.547458097269597</v>
      </c>
      <c r="AK3205">
        <v>21.292694061247602</v>
      </c>
      <c r="AL3205">
        <v>77.071280419961795</v>
      </c>
      <c r="AM3205">
        <v>83.954009699661299</v>
      </c>
      <c r="AN3205">
        <v>1.0000000527698201</v>
      </c>
    </row>
    <row r="3206" spans="1:40" x14ac:dyDescent="0.25">
      <c r="A3206" t="str">
        <f>"20190303171040338"</f>
        <v>20190303171040338</v>
      </c>
      <c r="B3206" t="str">
        <f>"1551604240324347"</f>
        <v>1551604240324347</v>
      </c>
      <c r="C3206" t="s">
        <v>40</v>
      </c>
      <c r="D3206">
        <v>4.6124609999999997</v>
      </c>
      <c r="E3206">
        <v>0.57443769999999905</v>
      </c>
      <c r="F3206" t="s">
        <v>52</v>
      </c>
      <c r="G3206">
        <v>-189.37880000000001</v>
      </c>
      <c r="H3206" s="1">
        <v>5.2763310000000004E-6</v>
      </c>
      <c r="I3206">
        <v>206.87280000000001</v>
      </c>
      <c r="J3206">
        <v>-208.75839999999999</v>
      </c>
      <c r="K3206">
        <v>1.1158589999999999</v>
      </c>
      <c r="L3206">
        <v>214.45750000000001</v>
      </c>
      <c r="M3206">
        <v>0.99485429999999997</v>
      </c>
      <c r="N3206">
        <v>-1.423994E-2</v>
      </c>
      <c r="O3206">
        <v>-0.1003101</v>
      </c>
      <c r="P3206">
        <v>0.956708</v>
      </c>
      <c r="Q3206">
        <v>0.21199019999999999</v>
      </c>
      <c r="R3206">
        <v>-0.19942499999999999</v>
      </c>
      <c r="S3206">
        <v>2.9396969999999998</v>
      </c>
      <c r="T3206">
        <v>-0.16606989999999999</v>
      </c>
      <c r="U3206">
        <v>-1.1347659999999999</v>
      </c>
      <c r="V3206">
        <v>0.1053215</v>
      </c>
      <c r="W3206">
        <v>0.22447990000000001</v>
      </c>
      <c r="X3206">
        <v>0.96877040000000003</v>
      </c>
      <c r="Y3206">
        <v>0.26431900000000003</v>
      </c>
      <c r="Z3206">
        <v>-5.103677E-3</v>
      </c>
      <c r="AA3206">
        <v>0.9644218</v>
      </c>
      <c r="AB3206">
        <v>37</v>
      </c>
      <c r="AC3206">
        <v>19.3795999999999</v>
      </c>
      <c r="AD3206">
        <v>-1.115853723669</v>
      </c>
      <c r="AE3206">
        <v>-7.58469999999999</v>
      </c>
      <c r="AF3206">
        <v>5.5862098546444097</v>
      </c>
      <c r="AG3206">
        <v>-1.115853723669</v>
      </c>
      <c r="AH3206">
        <v>19.985276297049399</v>
      </c>
      <c r="AI3206">
        <v>93.077983200920698</v>
      </c>
      <c r="AJ3206">
        <v>74.383457600118803</v>
      </c>
      <c r="AK3206">
        <v>20.781292999766801</v>
      </c>
      <c r="AL3206">
        <v>77.027703243496305</v>
      </c>
      <c r="AM3206">
        <v>83.795361455355206</v>
      </c>
      <c r="AN3206">
        <v>0.99999996589120899</v>
      </c>
    </row>
    <row r="3207" spans="1:40" x14ac:dyDescent="0.25">
      <c r="A3207" t="str">
        <f>"20190303171040360"</f>
        <v>20190303171040360</v>
      </c>
      <c r="B3207" t="str">
        <f>"1551604240353630"</f>
        <v>1551604240353630</v>
      </c>
      <c r="C3207" t="s">
        <v>40</v>
      </c>
      <c r="D3207">
        <v>4.6518629999999996</v>
      </c>
      <c r="E3207">
        <v>0.5747063</v>
      </c>
      <c r="F3207" t="s">
        <v>52</v>
      </c>
      <c r="G3207">
        <v>-189.00380000000001</v>
      </c>
      <c r="H3207" s="1">
        <v>5.2896689999999997E-6</v>
      </c>
      <c r="I3207">
        <v>206.64689999999999</v>
      </c>
      <c r="J3207">
        <v>-208.37870000000001</v>
      </c>
      <c r="K3207">
        <v>1.115775</v>
      </c>
      <c r="L3207">
        <v>214.41390000000001</v>
      </c>
      <c r="M3207">
        <v>0.99426890000000001</v>
      </c>
      <c r="N3207">
        <v>-1.424709E-2</v>
      </c>
      <c r="O3207">
        <v>-0.10595449999999999</v>
      </c>
      <c r="P3207">
        <v>0.95508349999999997</v>
      </c>
      <c r="Q3207">
        <v>0.21195330000000001</v>
      </c>
      <c r="R3207">
        <v>-0.20710329999999999</v>
      </c>
      <c r="S3207">
        <v>2.9309080000000001</v>
      </c>
      <c r="T3207">
        <v>-0.16555420000000001</v>
      </c>
      <c r="U3207">
        <v>-1.1588290000000001</v>
      </c>
      <c r="V3207">
        <v>0.107659199999999</v>
      </c>
      <c r="W3207">
        <v>0.2243935</v>
      </c>
      <c r="X3207">
        <v>0.96853350000000005</v>
      </c>
      <c r="Y3207">
        <v>0.2666849</v>
      </c>
      <c r="Z3207">
        <v>-4.9613000000000001E-3</v>
      </c>
      <c r="AA3207">
        <v>0.96377100000000004</v>
      </c>
      <c r="AB3207">
        <v>37</v>
      </c>
      <c r="AC3207">
        <v>19.3749</v>
      </c>
      <c r="AD3207">
        <v>-1.115769710331</v>
      </c>
      <c r="AE3207">
        <v>-7.7670000000000199</v>
      </c>
      <c r="AF3207">
        <v>5.6540492100820501</v>
      </c>
      <c r="AG3207">
        <v>-1.115769710331</v>
      </c>
      <c r="AH3207">
        <v>20.031612847638399</v>
      </c>
      <c r="AI3207">
        <v>93.068460672531998</v>
      </c>
      <c r="AJ3207">
        <v>74.237945121039999</v>
      </c>
      <c r="AK3207">
        <v>20.8441533239946</v>
      </c>
      <c r="AL3207">
        <v>77.032784218007706</v>
      </c>
      <c r="AM3207">
        <v>83.657215664523207</v>
      </c>
      <c r="AN3207">
        <v>1.0000000434045599</v>
      </c>
    </row>
    <row r="3208" spans="1:40" x14ac:dyDescent="0.25">
      <c r="A3208" t="str">
        <f>"20190303171040381"</f>
        <v>20190303171040381</v>
      </c>
      <c r="B3208" t="str">
        <f>"1551604240374123"</f>
        <v>1551604240374123</v>
      </c>
      <c r="C3208" t="s">
        <v>40</v>
      </c>
      <c r="D3208">
        <v>4.6219429999999999</v>
      </c>
      <c r="E3208">
        <v>0.57479999999999998</v>
      </c>
      <c r="F3208" t="s">
        <v>52</v>
      </c>
      <c r="G3208">
        <v>-188.90280000000001</v>
      </c>
      <c r="H3208" s="1">
        <v>5.3147920000000001E-6</v>
      </c>
      <c r="I3208">
        <v>206.52510000000001</v>
      </c>
      <c r="J3208">
        <v>-208.02279999999999</v>
      </c>
      <c r="K3208">
        <v>1.115693</v>
      </c>
      <c r="L3208">
        <v>214.37110000000001</v>
      </c>
      <c r="M3208">
        <v>0.99368219999999996</v>
      </c>
      <c r="N3208">
        <v>-1.42538E-2</v>
      </c>
      <c r="O3208">
        <v>-0.11132160000000001</v>
      </c>
      <c r="P3208">
        <v>0.95403389999999999</v>
      </c>
      <c r="Q3208">
        <v>0.2104211</v>
      </c>
      <c r="R3208">
        <v>-0.21340719999999999</v>
      </c>
      <c r="S3208">
        <v>2.9216160000000002</v>
      </c>
      <c r="T3208">
        <v>-0.16737829999999901</v>
      </c>
      <c r="U3208">
        <v>-1.183411</v>
      </c>
      <c r="V3208">
        <v>0.1088153</v>
      </c>
      <c r="W3208">
        <v>0.22283559999999999</v>
      </c>
      <c r="X3208">
        <v>0.96876390000000001</v>
      </c>
      <c r="Y3208">
        <v>0.26950600000000002</v>
      </c>
      <c r="Z3208">
        <v>-4.8655790000000001E-3</v>
      </c>
      <c r="AA3208">
        <v>0.96298640000000002</v>
      </c>
      <c r="AB3208">
        <v>37</v>
      </c>
      <c r="AC3208">
        <v>19.119999999999902</v>
      </c>
      <c r="AD3208">
        <v>-1.115687685208</v>
      </c>
      <c r="AE3208">
        <v>-7.8460000000000001</v>
      </c>
      <c r="AF3208">
        <v>5.6520661500889897</v>
      </c>
      <c r="AG3208">
        <v>-1.115687685208</v>
      </c>
      <c r="AH3208">
        <v>19.8169015376623</v>
      </c>
      <c r="AI3208">
        <v>93.099011066002305</v>
      </c>
      <c r="AJ3208">
        <v>74.081086073391702</v>
      </c>
      <c r="AK3208">
        <v>20.637349571330802</v>
      </c>
      <c r="AL3208">
        <v>77.124363565816296</v>
      </c>
      <c r="AM3208">
        <v>83.591179451285498</v>
      </c>
      <c r="AN3208">
        <v>0.99999998404232904</v>
      </c>
    </row>
    <row r="3209" spans="1:40" x14ac:dyDescent="0.25">
      <c r="A3209" t="str">
        <f>"20190303171040403"</f>
        <v>20190303171040403</v>
      </c>
      <c r="B3209" t="str">
        <f>"1551604240393643"</f>
        <v>1551604240393643</v>
      </c>
      <c r="C3209" t="s">
        <v>40</v>
      </c>
      <c r="D3209">
        <v>4.6140809999999997</v>
      </c>
      <c r="E3209">
        <v>0.57477869999999998</v>
      </c>
      <c r="F3209" t="s">
        <v>52</v>
      </c>
      <c r="G3209">
        <v>-189.239</v>
      </c>
      <c r="H3209" s="1">
        <v>5.3434369999999999E-6</v>
      </c>
      <c r="I3209">
        <v>206.61279999999999</v>
      </c>
      <c r="J3209">
        <v>-207.6592</v>
      </c>
      <c r="K3209">
        <v>1.115604</v>
      </c>
      <c r="L3209">
        <v>214.3252</v>
      </c>
      <c r="M3209">
        <v>0.99304239999999999</v>
      </c>
      <c r="N3209">
        <v>-1.4260180000000001E-2</v>
      </c>
      <c r="O3209">
        <v>-0.1168908</v>
      </c>
      <c r="P3209">
        <v>0.95320130000000003</v>
      </c>
      <c r="Q3209">
        <v>0.20867230000000001</v>
      </c>
      <c r="R3209">
        <v>-0.21877640000000001</v>
      </c>
      <c r="S3209">
        <v>2.913513</v>
      </c>
      <c r="T3209">
        <v>-0.17305219999999999</v>
      </c>
      <c r="U3209">
        <v>-1.2033689999999999</v>
      </c>
      <c r="V3209">
        <v>0.1088146</v>
      </c>
      <c r="W3209">
        <v>0.2210781</v>
      </c>
      <c r="X3209">
        <v>0.96916659999999999</v>
      </c>
      <c r="Y3209">
        <v>0.27066839999999998</v>
      </c>
      <c r="Z3209">
        <v>-4.7223120000000002E-3</v>
      </c>
      <c r="AA3209">
        <v>0.96266099999999999</v>
      </c>
      <c r="AB3209">
        <v>37</v>
      </c>
      <c r="AC3209">
        <v>18.420199999999902</v>
      </c>
      <c r="AD3209">
        <v>-1.1155986565629901</v>
      </c>
      <c r="AE3209">
        <v>-7.7123999999999997</v>
      </c>
      <c r="AF3209">
        <v>5.4890175366611498</v>
      </c>
      <c r="AG3209">
        <v>-1.1155986565629901</v>
      </c>
      <c r="AH3209">
        <v>19.135779357901701</v>
      </c>
      <c r="AI3209">
        <v>93.207454781680795</v>
      </c>
      <c r="AJ3209">
        <v>73.994685054417701</v>
      </c>
      <c r="AK3209">
        <v>19.938704208513599</v>
      </c>
      <c r="AL3209">
        <v>77.227637395888095</v>
      </c>
      <c r="AM3209">
        <v>83.593861116165996</v>
      </c>
      <c r="AN3209">
        <v>1.00000002101416</v>
      </c>
    </row>
    <row r="3210" spans="1:40" x14ac:dyDescent="0.25">
      <c r="A3210" t="str">
        <f>"20190303171040426"</f>
        <v>20190303171040426</v>
      </c>
      <c r="B3210" t="str">
        <f>"1551604240414139"</f>
        <v>1551604240414139</v>
      </c>
      <c r="C3210" t="s">
        <v>40</v>
      </c>
      <c r="D3210">
        <v>4.6272960000000003</v>
      </c>
      <c r="E3210">
        <v>0.57478609999999997</v>
      </c>
      <c r="F3210" t="s">
        <v>52</v>
      </c>
      <c r="G3210">
        <v>-189.4101</v>
      </c>
      <c r="H3210" s="1">
        <v>5.3584789999999997E-6</v>
      </c>
      <c r="I3210">
        <v>206.65610000000001</v>
      </c>
      <c r="J3210">
        <v>-207.2867</v>
      </c>
      <c r="K3210">
        <v>1.1155010000000001</v>
      </c>
      <c r="L3210">
        <v>214.27600000000001</v>
      </c>
      <c r="M3210">
        <v>0.99234009999999995</v>
      </c>
      <c r="N3210">
        <v>-1.426709E-2</v>
      </c>
      <c r="O3210">
        <v>-0.1227089</v>
      </c>
      <c r="P3210">
        <v>0.95193059999999996</v>
      </c>
      <c r="Q3210">
        <v>0.20839160000000001</v>
      </c>
      <c r="R3210">
        <v>-0.2245017</v>
      </c>
      <c r="S3210">
        <v>2.9058989999999998</v>
      </c>
      <c r="T3210">
        <v>-0.17764250000000001</v>
      </c>
      <c r="U3210">
        <v>-1.2211909999999999</v>
      </c>
      <c r="V3210">
        <v>0.1089976</v>
      </c>
      <c r="W3210">
        <v>0.22077910000000001</v>
      </c>
      <c r="X3210">
        <v>0.96921420000000003</v>
      </c>
      <c r="Y3210">
        <v>0.27093220000000001</v>
      </c>
      <c r="Z3210">
        <v>-4.5115779999999996E-3</v>
      </c>
      <c r="AA3210">
        <v>0.96258790000000005</v>
      </c>
      <c r="AB3210">
        <v>37</v>
      </c>
      <c r="AC3210">
        <v>17.8765999999999</v>
      </c>
      <c r="AD3210">
        <v>-1.115495641521</v>
      </c>
      <c r="AE3210">
        <v>-7.6198999999999701</v>
      </c>
      <c r="AF3210">
        <v>5.3508298023503604</v>
      </c>
      <c r="AG3210">
        <v>-1.115495641521</v>
      </c>
      <c r="AH3210">
        <v>18.615260125457301</v>
      </c>
      <c r="AI3210">
        <v>93.296121331927097</v>
      </c>
      <c r="AJ3210">
        <v>73.963063069123606</v>
      </c>
      <c r="AK3210">
        <v>19.401124184912899</v>
      </c>
      <c r="AL3210">
        <v>77.245202949965801</v>
      </c>
      <c r="AM3210">
        <v>83.583489831981197</v>
      </c>
      <c r="AN3210">
        <v>1.0000000266421001</v>
      </c>
    </row>
    <row r="3211" spans="1:40" x14ac:dyDescent="0.25">
      <c r="A3211" t="str">
        <f>"20190303171040449"</f>
        <v>20190303171040449</v>
      </c>
      <c r="B3211" t="str">
        <f>"1551604240443419"</f>
        <v>1551604240443419</v>
      </c>
      <c r="C3211" t="s">
        <v>40</v>
      </c>
      <c r="D3211">
        <v>4.6268019999999996</v>
      </c>
      <c r="E3211">
        <v>0.574793</v>
      </c>
      <c r="F3211" t="s">
        <v>52</v>
      </c>
      <c r="G3211">
        <v>-189.26840000000001</v>
      </c>
      <c r="H3211" s="1">
        <v>5.35942599999999E-6</v>
      </c>
      <c r="I3211">
        <v>206.5823</v>
      </c>
      <c r="J3211">
        <v>-206.9117</v>
      </c>
      <c r="K3211">
        <v>1.1153949999999999</v>
      </c>
      <c r="L3211">
        <v>214.2242</v>
      </c>
      <c r="M3211">
        <v>0.99157989999999996</v>
      </c>
      <c r="N3211">
        <v>-1.427572E-2</v>
      </c>
      <c r="O3211">
        <v>-0.12870770000000001</v>
      </c>
      <c r="P3211">
        <v>0.95039050000000003</v>
      </c>
      <c r="Q3211">
        <v>0.20792679999999999</v>
      </c>
      <c r="R3211">
        <v>-0.23135330000000001</v>
      </c>
      <c r="S3211">
        <v>2.8988649999999998</v>
      </c>
      <c r="T3211">
        <v>-0.1794655</v>
      </c>
      <c r="U3211">
        <v>-1.2377929999999999</v>
      </c>
      <c r="V3211">
        <v>0.1101615</v>
      </c>
      <c r="W3211">
        <v>0.22027769999999999</v>
      </c>
      <c r="X3211">
        <v>0.96919670000000002</v>
      </c>
      <c r="Y3211">
        <v>0.27061659999999998</v>
      </c>
      <c r="Z3211">
        <v>-4.2471210000000004E-3</v>
      </c>
      <c r="AA3211">
        <v>0.96267780000000003</v>
      </c>
      <c r="AB3211">
        <v>37</v>
      </c>
      <c r="AC3211">
        <v>17.643299999999901</v>
      </c>
      <c r="AD3211">
        <v>-1.115389640574</v>
      </c>
      <c r="AE3211">
        <v>-7.6418999999999899</v>
      </c>
      <c r="AF3211">
        <v>5.2894657045392899</v>
      </c>
      <c r="AG3211">
        <v>-1.115389640574</v>
      </c>
      <c r="AH3211">
        <v>18.418212156143898</v>
      </c>
      <c r="AI3211">
        <v>93.331216414496495</v>
      </c>
      <c r="AJ3211">
        <v>73.976637985710198</v>
      </c>
      <c r="AK3211">
        <v>19.195131687970399</v>
      </c>
      <c r="AL3211">
        <v>77.274656247971393</v>
      </c>
      <c r="AM3211">
        <v>83.515437388844504</v>
      </c>
      <c r="AN3211">
        <v>1.0000000322452101</v>
      </c>
    </row>
    <row r="3212" spans="1:40" x14ac:dyDescent="0.25">
      <c r="A3212" t="str">
        <f>"20190303171040470"</f>
        <v>20190303171040470</v>
      </c>
      <c r="B3212" t="str">
        <f>"1551604240463915"</f>
        <v>1551604240463915</v>
      </c>
      <c r="C3212" t="s">
        <v>40</v>
      </c>
      <c r="D3212">
        <v>4.618519</v>
      </c>
      <c r="E3212">
        <v>0.57474230000000004</v>
      </c>
      <c r="F3212" t="s">
        <v>52</v>
      </c>
      <c r="G3212">
        <v>-189.2501</v>
      </c>
      <c r="H3212" s="1">
        <v>5.370289E-6</v>
      </c>
      <c r="I3212">
        <v>206.54239999999999</v>
      </c>
      <c r="J3212">
        <v>-206.5532</v>
      </c>
      <c r="K3212">
        <v>1.115265</v>
      </c>
      <c r="L3212">
        <v>214.17230000000001</v>
      </c>
      <c r="M3212">
        <v>0.99079669999999997</v>
      </c>
      <c r="N3212">
        <v>-1.4286129999999999E-2</v>
      </c>
      <c r="O3212">
        <v>-0.1346029</v>
      </c>
      <c r="P3212">
        <v>0.94914589999999999</v>
      </c>
      <c r="Q3212">
        <v>0.20747640000000001</v>
      </c>
      <c r="R3212">
        <v>-0.23680370000000001</v>
      </c>
      <c r="S3212">
        <v>2.8904879999999999</v>
      </c>
      <c r="T3212">
        <v>-0.18254480000000001</v>
      </c>
      <c r="U3212">
        <v>-1.2571870000000001</v>
      </c>
      <c r="V3212">
        <v>0.1100078</v>
      </c>
      <c r="W3212">
        <v>0.2198079</v>
      </c>
      <c r="X3212">
        <v>0.96932079999999998</v>
      </c>
      <c r="Y3212">
        <v>0.27133570000000001</v>
      </c>
      <c r="Z3212">
        <v>-4.0201780000000001E-3</v>
      </c>
      <c r="AA3212">
        <v>0.96247640000000001</v>
      </c>
      <c r="AB3212">
        <v>37</v>
      </c>
      <c r="AC3212">
        <v>17.303100000000001</v>
      </c>
      <c r="AD3212">
        <v>-1.115259629711</v>
      </c>
      <c r="AE3212">
        <v>-7.6299000000000099</v>
      </c>
      <c r="AF3212">
        <v>5.2130344687558798</v>
      </c>
      <c r="AG3212">
        <v>-1.115259629711</v>
      </c>
      <c r="AH3212">
        <v>18.109727368887398</v>
      </c>
      <c r="AI3212">
        <v>93.386833340875995</v>
      </c>
      <c r="AJ3212">
        <v>73.941099257166101</v>
      </c>
      <c r="AK3212">
        <v>18.878076114623799</v>
      </c>
      <c r="AL3212">
        <v>77.3022499810683</v>
      </c>
      <c r="AM3212">
        <v>83.525229921302895</v>
      </c>
      <c r="AN3212">
        <v>1.0000000211379401</v>
      </c>
    </row>
    <row r="3213" spans="1:40" x14ac:dyDescent="0.25">
      <c r="A3213" t="str">
        <f>"20190303171040494"</f>
        <v>20190303171040494</v>
      </c>
      <c r="B3213" t="str">
        <f>"1551604240484411"</f>
        <v>1551604240484411</v>
      </c>
      <c r="C3213" t="s">
        <v>40</v>
      </c>
      <c r="D3213">
        <v>4.6088550000000001</v>
      </c>
      <c r="E3213">
        <v>0.5747352</v>
      </c>
      <c r="F3213" t="s">
        <v>52</v>
      </c>
      <c r="G3213">
        <v>-189.13220000000001</v>
      </c>
      <c r="H3213" s="1">
        <v>5.3718259999999901E-6</v>
      </c>
      <c r="I3213">
        <v>206.47900000000001</v>
      </c>
      <c r="J3213">
        <v>-206.18459999999999</v>
      </c>
      <c r="K3213">
        <v>1.1151040000000001</v>
      </c>
      <c r="L3213">
        <v>214.1165</v>
      </c>
      <c r="M3213">
        <v>0.98992599999999997</v>
      </c>
      <c r="N3213">
        <v>-1.4299350000000001E-2</v>
      </c>
      <c r="O3213">
        <v>-0.14086189999999901</v>
      </c>
      <c r="P3213">
        <v>0.94796230000000004</v>
      </c>
      <c r="Q3213">
        <v>0.20670730000000001</v>
      </c>
      <c r="R3213">
        <v>-0.2421556</v>
      </c>
      <c r="S3213">
        <v>2.8834080000000002</v>
      </c>
      <c r="T3213">
        <v>-0.1845907</v>
      </c>
      <c r="U3213">
        <v>-1.2733460000000001</v>
      </c>
      <c r="V3213">
        <v>0.1094</v>
      </c>
      <c r="W3213">
        <v>0.2190222</v>
      </c>
      <c r="X3213">
        <v>0.96956739999999997</v>
      </c>
      <c r="Y3213">
        <v>0.27064009999999999</v>
      </c>
      <c r="Z3213">
        <v>-3.7132160000000001E-3</v>
      </c>
      <c r="AA3213">
        <v>0.96267340000000001</v>
      </c>
      <c r="AB3213">
        <v>37</v>
      </c>
      <c r="AC3213">
        <v>17.052399999999899</v>
      </c>
      <c r="AD3213">
        <v>-1.1150986281739901</v>
      </c>
      <c r="AE3213">
        <v>-7.6374999999999797</v>
      </c>
      <c r="AF3213">
        <v>5.1407439673638997</v>
      </c>
      <c r="AG3213">
        <v>-1.1150986281739901</v>
      </c>
      <c r="AH3213">
        <v>17.894547691454601</v>
      </c>
      <c r="AI3213">
        <v>93.427494659695697</v>
      </c>
      <c r="AJ3213">
        <v>73.971705110095101</v>
      </c>
      <c r="AK3213">
        <v>18.651689751073199</v>
      </c>
      <c r="AL3213">
        <v>77.3483915775508</v>
      </c>
      <c r="AM3213">
        <v>83.562326157926606</v>
      </c>
      <c r="AN3213">
        <v>1.00000001361779</v>
      </c>
    </row>
    <row r="3214" spans="1:40" x14ac:dyDescent="0.25">
      <c r="A3214" t="str">
        <f>"20190303171040516"</f>
        <v>20190303171040516</v>
      </c>
      <c r="B3214" t="str">
        <f>"1551604240503460"</f>
        <v>1551604240503460</v>
      </c>
      <c r="C3214" t="s">
        <v>40</v>
      </c>
      <c r="D3214">
        <v>4.6072160000000002</v>
      </c>
      <c r="E3214">
        <v>0.57473099999999999</v>
      </c>
      <c r="F3214" t="s">
        <v>52</v>
      </c>
      <c r="G3214">
        <v>-188.94710000000001</v>
      </c>
      <c r="H3214" s="1">
        <v>5.3738829999999997E-6</v>
      </c>
      <c r="I3214">
        <v>206.3802</v>
      </c>
      <c r="J3214">
        <v>-205.82210000000001</v>
      </c>
      <c r="K3214">
        <v>1.114922</v>
      </c>
      <c r="L3214">
        <v>214.0591</v>
      </c>
      <c r="M3214">
        <v>0.98899570000000003</v>
      </c>
      <c r="N3214">
        <v>-1.4315100000000001E-2</v>
      </c>
      <c r="O3214">
        <v>-0.14724989999999999</v>
      </c>
      <c r="P3214">
        <v>0.94597039999999999</v>
      </c>
      <c r="Q3214">
        <v>0.2066992</v>
      </c>
      <c r="R3214">
        <v>-0.2498312</v>
      </c>
      <c r="S3214">
        <v>2.8755799999999998</v>
      </c>
      <c r="T3214">
        <v>-0.1860213</v>
      </c>
      <c r="U3214">
        <v>-1.290573</v>
      </c>
      <c r="V3214">
        <v>0.1111022</v>
      </c>
      <c r="W3214">
        <v>0.2189537</v>
      </c>
      <c r="X3214">
        <v>0.96938930000000001</v>
      </c>
      <c r="Y3214">
        <v>0.27020630000000001</v>
      </c>
      <c r="Z3214">
        <v>-3.4042550000000001E-3</v>
      </c>
      <c r="AA3214">
        <v>0.9627964</v>
      </c>
      <c r="AB3214">
        <v>37</v>
      </c>
      <c r="AC3214">
        <v>16.875</v>
      </c>
      <c r="AD3214">
        <v>-1.114916626117</v>
      </c>
      <c r="AE3214">
        <v>-7.6788999999999898</v>
      </c>
      <c r="AF3214">
        <v>5.0916676975880302</v>
      </c>
      <c r="AG3214">
        <v>-1.114916626117</v>
      </c>
      <c r="AH3214">
        <v>17.757629149788599</v>
      </c>
      <c r="AI3214">
        <v>93.453797137063106</v>
      </c>
      <c r="AJ3214">
        <v>74.000746913616595</v>
      </c>
      <c r="AK3214">
        <v>18.506796374501899</v>
      </c>
      <c r="AL3214">
        <v>77.352414031532803</v>
      </c>
      <c r="AM3214">
        <v>83.461829546763198</v>
      </c>
      <c r="AN3214">
        <v>1.0000000182715001</v>
      </c>
    </row>
    <row r="3215" spans="1:40" x14ac:dyDescent="0.25">
      <c r="A3215" t="str">
        <f>"20190303171040538"</f>
        <v>20190303171040538</v>
      </c>
      <c r="B3215" t="str">
        <f>"1551604240533718"</f>
        <v>1551604240533718</v>
      </c>
      <c r="C3215" t="s">
        <v>40</v>
      </c>
      <c r="D3215">
        <v>4.58005</v>
      </c>
      <c r="E3215">
        <v>0.57475769999999904</v>
      </c>
      <c r="F3215" t="s">
        <v>52</v>
      </c>
      <c r="G3215">
        <v>-188.74860000000001</v>
      </c>
      <c r="H3215" s="1">
        <v>5.38937E-6</v>
      </c>
      <c r="I3215">
        <v>206.23679999999999</v>
      </c>
      <c r="J3215">
        <v>-205.46090000000001</v>
      </c>
      <c r="K3215">
        <v>1.1147069999999999</v>
      </c>
      <c r="L3215">
        <v>213.9992</v>
      </c>
      <c r="M3215">
        <v>0.98798200000000003</v>
      </c>
      <c r="N3215">
        <v>-1.433443E-2</v>
      </c>
      <c r="O3215">
        <v>-0.15390229999999999</v>
      </c>
      <c r="P3215">
        <v>0.94289319999999999</v>
      </c>
      <c r="Q3215">
        <v>0.20686070000000001</v>
      </c>
      <c r="R3215">
        <v>-0.26107720000000001</v>
      </c>
      <c r="S3215">
        <v>2.8655089999999999</v>
      </c>
      <c r="T3215">
        <v>-0.18712019999999999</v>
      </c>
      <c r="U3215">
        <v>-1.312851</v>
      </c>
      <c r="V3215">
        <v>0.1162576</v>
      </c>
      <c r="W3215">
        <v>0.21898860000000001</v>
      </c>
      <c r="X3215">
        <v>0.96877659999999999</v>
      </c>
      <c r="Y3215">
        <v>0.27119539999999998</v>
      </c>
      <c r="Z3215">
        <v>-3.134413E-3</v>
      </c>
      <c r="AA3215">
        <v>0.96251920000000002</v>
      </c>
      <c r="AB3215">
        <v>37</v>
      </c>
      <c r="AC3215">
        <v>16.712299999999999</v>
      </c>
      <c r="AD3215">
        <v>-1.1147016106299901</v>
      </c>
      <c r="AE3215">
        <v>-7.7624000000000102</v>
      </c>
      <c r="AF3215">
        <v>5.0789883659417097</v>
      </c>
      <c r="AG3215">
        <v>-1.1147016106299901</v>
      </c>
      <c r="AH3215">
        <v>17.643360155109001</v>
      </c>
      <c r="AI3215">
        <v>93.474395305548597</v>
      </c>
      <c r="AJ3215">
        <v>73.940494827512197</v>
      </c>
      <c r="AK3215">
        <v>18.3936630409769</v>
      </c>
      <c r="AL3215">
        <v>77.350364034915501</v>
      </c>
      <c r="AM3215">
        <v>83.156969588564195</v>
      </c>
      <c r="AN3215">
        <v>0.99999996859763896</v>
      </c>
    </row>
    <row r="3216" spans="1:40" x14ac:dyDescent="0.25">
      <c r="A3216" t="str">
        <f>"20190303171040561"</f>
        <v>20190303171040561</v>
      </c>
      <c r="B3216" t="str">
        <f>"1551604240554216"</f>
        <v>1551604240554216</v>
      </c>
      <c r="C3216" t="s">
        <v>40</v>
      </c>
      <c r="D3216">
        <v>4.5594359999999998</v>
      </c>
      <c r="E3216">
        <v>0.57477880000000003</v>
      </c>
      <c r="F3216" t="s">
        <v>52</v>
      </c>
      <c r="G3216">
        <v>-188.57919999999999</v>
      </c>
      <c r="H3216" s="1">
        <v>5.4310189999999996E-6</v>
      </c>
      <c r="I3216">
        <v>206.03399999999999</v>
      </c>
      <c r="J3216">
        <v>-205.09030000000001</v>
      </c>
      <c r="K3216">
        <v>1.1144559999999999</v>
      </c>
      <c r="L3216">
        <v>213.9348</v>
      </c>
      <c r="M3216">
        <v>0.98683980000000004</v>
      </c>
      <c r="N3216">
        <v>-1.435873E-2</v>
      </c>
      <c r="O3216">
        <v>-0.16106229999999999</v>
      </c>
      <c r="P3216">
        <v>0.93993879999999996</v>
      </c>
      <c r="Q3216">
        <v>0.20666229999999999</v>
      </c>
      <c r="R3216">
        <v>-0.27167239999999998</v>
      </c>
      <c r="S3216">
        <v>2.850571</v>
      </c>
      <c r="T3216">
        <v>-0.188224</v>
      </c>
      <c r="U3216">
        <v>-1.3449709999999999</v>
      </c>
      <c r="V3216">
        <v>0.12027110000000001</v>
      </c>
      <c r="W3216">
        <v>0.2186737</v>
      </c>
      <c r="X3216">
        <v>0.96835769999999999</v>
      </c>
      <c r="Y3216">
        <v>0.27502599999999999</v>
      </c>
      <c r="Z3216">
        <v>-2.9475590000000002E-3</v>
      </c>
      <c r="AA3216">
        <v>0.96143230000000002</v>
      </c>
      <c r="AB3216">
        <v>37</v>
      </c>
      <c r="AC3216">
        <v>16.511099999999999</v>
      </c>
      <c r="AD3216">
        <v>-1.11445056898099</v>
      </c>
      <c r="AE3216">
        <v>-7.9007999999999701</v>
      </c>
      <c r="AF3216">
        <v>5.1190612502836297</v>
      </c>
      <c r="AG3216">
        <v>-1.11445056898099</v>
      </c>
      <c r="AH3216">
        <v>17.503257412997499</v>
      </c>
      <c r="AI3216">
        <v>93.497058720918901</v>
      </c>
      <c r="AJ3216">
        <v>73.697736552998506</v>
      </c>
      <c r="AK3216">
        <v>18.270490092510101</v>
      </c>
      <c r="AL3216">
        <v>77.368854782680003</v>
      </c>
      <c r="AM3216">
        <v>82.920056969447003</v>
      </c>
      <c r="AN3216">
        <v>0.99999997985809397</v>
      </c>
    </row>
    <row r="3217" spans="1:40" x14ac:dyDescent="0.25">
      <c r="A3217" t="str">
        <f>"20190303171040583"</f>
        <v>20190303171040583</v>
      </c>
      <c r="B3217" t="str">
        <f>"1551604240573734"</f>
        <v>1551604240573734</v>
      </c>
      <c r="C3217" t="s">
        <v>40</v>
      </c>
      <c r="D3217">
        <v>4.5390990000000002</v>
      </c>
      <c r="E3217">
        <v>0.57476159999999998</v>
      </c>
      <c r="F3217" t="s">
        <v>52</v>
      </c>
      <c r="G3217">
        <v>-188.33799999999999</v>
      </c>
      <c r="H3217" s="1">
        <v>5.4736870000000001E-6</v>
      </c>
      <c r="I3217">
        <v>205.79230000000001</v>
      </c>
      <c r="J3217">
        <v>-204.7277</v>
      </c>
      <c r="K3217">
        <v>1.114196</v>
      </c>
      <c r="L3217">
        <v>213.86879999999999</v>
      </c>
      <c r="M3217">
        <v>0.9856203</v>
      </c>
      <c r="N3217">
        <v>-1.438558E-2</v>
      </c>
      <c r="O3217">
        <v>-0.16836219999999999</v>
      </c>
      <c r="P3217">
        <v>0.93774650000000004</v>
      </c>
      <c r="Q3217">
        <v>0.2047812</v>
      </c>
      <c r="R3217">
        <v>-0.28052870000000002</v>
      </c>
      <c r="S3217">
        <v>2.8349000000000002</v>
      </c>
      <c r="T3217">
        <v>-0.18859310000000001</v>
      </c>
      <c r="U3217">
        <v>-1.3779140000000001</v>
      </c>
      <c r="V3217">
        <v>0.1222792</v>
      </c>
      <c r="W3217">
        <v>0.21671570000000001</v>
      </c>
      <c r="X3217">
        <v>0.96854640000000003</v>
      </c>
      <c r="Y3217">
        <v>0.2790318</v>
      </c>
      <c r="Z3217">
        <v>-2.7643300000000002E-3</v>
      </c>
      <c r="AA3217">
        <v>0.96027790000000002</v>
      </c>
      <c r="AB3217">
        <v>37</v>
      </c>
      <c r="AC3217">
        <v>16.389700000000001</v>
      </c>
      <c r="AD3217">
        <v>-1.1141905263130001</v>
      </c>
      <c r="AE3217">
        <v>-8.0764999999999798</v>
      </c>
      <c r="AF3217">
        <v>5.1822242819835003</v>
      </c>
      <c r="AG3217">
        <v>-1.1141905263130001</v>
      </c>
      <c r="AH3217">
        <v>17.4507194407974</v>
      </c>
      <c r="AI3217">
        <v>93.502478731866006</v>
      </c>
      <c r="AJ3217">
        <v>73.460509648174195</v>
      </c>
      <c r="AK3217">
        <v>18.237995450134601</v>
      </c>
      <c r="AL3217">
        <v>77.483797026086606</v>
      </c>
      <c r="AM3217">
        <v>82.804464015893601</v>
      </c>
      <c r="AN3217">
        <v>1.00000001316604</v>
      </c>
    </row>
    <row r="3218" spans="1:40" x14ac:dyDescent="0.25">
      <c r="A3218" t="str">
        <f>"20190303171040605"</f>
        <v>20190303171040605</v>
      </c>
      <c r="B3218" t="str">
        <f>"1551604240594229"</f>
        <v>1551604240594229</v>
      </c>
      <c r="C3218" t="s">
        <v>40</v>
      </c>
      <c r="D3218">
        <v>4.577426</v>
      </c>
      <c r="E3218">
        <v>0.57470169999999998</v>
      </c>
      <c r="F3218" t="s">
        <v>52</v>
      </c>
      <c r="G3218">
        <v>-188.4468</v>
      </c>
      <c r="H3218" s="1">
        <v>5.5085699999999997E-6</v>
      </c>
      <c r="I3218">
        <v>205.7482</v>
      </c>
      <c r="J3218">
        <v>-204.37119999999999</v>
      </c>
      <c r="K3218">
        <v>1.1139269999999999</v>
      </c>
      <c r="L3218">
        <v>213.80099999999999</v>
      </c>
      <c r="M3218">
        <v>0.98430910000000005</v>
      </c>
      <c r="N3218">
        <v>-1.4412599999999999E-2</v>
      </c>
      <c r="O3218">
        <v>-0.17586370000000001</v>
      </c>
      <c r="P3218">
        <v>0.93556189999999995</v>
      </c>
      <c r="Q3218">
        <v>0.20274310000000001</v>
      </c>
      <c r="R3218">
        <v>-0.28917039999999999</v>
      </c>
      <c r="S3218">
        <v>2.820465</v>
      </c>
      <c r="T3218">
        <v>-0.1930202</v>
      </c>
      <c r="U3218">
        <v>-1.4067989999999999</v>
      </c>
      <c r="V3218">
        <v>0.12387040000000001</v>
      </c>
      <c r="W3218">
        <v>0.21460409999999999</v>
      </c>
      <c r="X3218">
        <v>0.96881430000000002</v>
      </c>
      <c r="Y3218">
        <v>0.28154190000000001</v>
      </c>
      <c r="Z3218">
        <v>-2.4675389999999999E-3</v>
      </c>
      <c r="AA3218">
        <v>0.9595458</v>
      </c>
      <c r="AB3218">
        <v>37</v>
      </c>
      <c r="AC3218">
        <v>15.924399999999901</v>
      </c>
      <c r="AD3218">
        <v>-1.11392149143</v>
      </c>
      <c r="AE3218">
        <v>-8.0527999999999906</v>
      </c>
      <c r="AF3218">
        <v>5.1065540821764897</v>
      </c>
      <c r="AG3218">
        <v>-1.11392149143</v>
      </c>
      <c r="AH3218">
        <v>17.0261562458446</v>
      </c>
      <c r="AI3218">
        <v>93.585823357764397</v>
      </c>
      <c r="AJ3218">
        <v>73.304747091160294</v>
      </c>
      <c r="AK3218">
        <v>17.810325999014601</v>
      </c>
      <c r="AL3218">
        <v>77.607697879154301</v>
      </c>
      <c r="AM3218">
        <v>82.713823741296295</v>
      </c>
      <c r="AN3218">
        <v>0.99999997180872902</v>
      </c>
    </row>
    <row r="3219" spans="1:40" x14ac:dyDescent="0.25">
      <c r="A3219" t="str">
        <f>"20190303171040627"</f>
        <v>20190303171040627</v>
      </c>
      <c r="B3219" t="str">
        <f>"1551604240614255"</f>
        <v>1551604240614255</v>
      </c>
      <c r="C3219" t="s">
        <v>40</v>
      </c>
      <c r="D3219">
        <v>4.5775750000000004</v>
      </c>
      <c r="E3219">
        <v>0.57466099999999998</v>
      </c>
      <c r="F3219" t="s">
        <v>52</v>
      </c>
      <c r="G3219">
        <v>-188.63079999999999</v>
      </c>
      <c r="H3219" s="1">
        <v>5.5369439999999998E-6</v>
      </c>
      <c r="I3219">
        <v>205.7602</v>
      </c>
      <c r="J3219">
        <v>-204.0111</v>
      </c>
      <c r="K3219">
        <v>1.113623</v>
      </c>
      <c r="L3219">
        <v>213.7294</v>
      </c>
      <c r="M3219">
        <v>0.98285429999999996</v>
      </c>
      <c r="N3219">
        <v>-1.444343E-2</v>
      </c>
      <c r="O3219">
        <v>-0.18381719999999999</v>
      </c>
      <c r="P3219">
        <v>0.93282220000000005</v>
      </c>
      <c r="Q3219">
        <v>0.20200099999999999</v>
      </c>
      <c r="R3219">
        <v>-0.29839280000000001</v>
      </c>
      <c r="S3219">
        <v>2.8065340000000001</v>
      </c>
      <c r="T3219">
        <v>-0.19861400000000001</v>
      </c>
      <c r="U3219">
        <v>-1.4336850000000001</v>
      </c>
      <c r="V3219">
        <v>0.12571689999999999</v>
      </c>
      <c r="W3219">
        <v>0.21377180000000001</v>
      </c>
      <c r="X3219">
        <v>0.96876050000000002</v>
      </c>
      <c r="Y3219">
        <v>0.2829873</v>
      </c>
      <c r="Z3219">
        <v>-2.0725370000000002E-3</v>
      </c>
      <c r="AA3219">
        <v>0.95912140000000001</v>
      </c>
      <c r="AB3219">
        <v>37</v>
      </c>
      <c r="AC3219">
        <v>15.3803</v>
      </c>
      <c r="AD3219">
        <v>-1.1136174630560001</v>
      </c>
      <c r="AE3219">
        <v>-7.9691999999999998</v>
      </c>
      <c r="AF3219">
        <v>4.9853169817586096</v>
      </c>
      <c r="AG3219">
        <v>-1.1136174630560001</v>
      </c>
      <c r="AH3219">
        <v>16.514944617434601</v>
      </c>
      <c r="AI3219">
        <v>93.693536317188801</v>
      </c>
      <c r="AJ3219">
        <v>73.202666910779698</v>
      </c>
      <c r="AK3219">
        <v>17.286900386696502</v>
      </c>
      <c r="AL3219">
        <v>77.656518685391802</v>
      </c>
      <c r="AM3219">
        <v>82.605997839788401</v>
      </c>
      <c r="AN3219">
        <v>1.00000001389055</v>
      </c>
    </row>
    <row r="3220" spans="1:40" x14ac:dyDescent="0.25">
      <c r="A3220" t="str">
        <f>"20190303171040650"</f>
        <v>20190303171040650</v>
      </c>
      <c r="B3220" t="str">
        <f>"1551604240643536"</f>
        <v>1551604240643536</v>
      </c>
      <c r="C3220" t="s">
        <v>40</v>
      </c>
      <c r="D3220">
        <v>4.541245</v>
      </c>
      <c r="E3220">
        <v>0.57452569999999903</v>
      </c>
      <c r="F3220" t="s">
        <v>52</v>
      </c>
      <c r="G3220">
        <v>-188.5778</v>
      </c>
      <c r="H3220" s="1">
        <v>5.5637209999999997E-6</v>
      </c>
      <c r="I3220">
        <v>205.65790000000001</v>
      </c>
      <c r="J3220">
        <v>-203.64019999999999</v>
      </c>
      <c r="K3220">
        <v>1.1132759999999999</v>
      </c>
      <c r="L3220">
        <v>213.65219999999999</v>
      </c>
      <c r="M3220">
        <v>0.98120039999999997</v>
      </c>
      <c r="N3220">
        <v>-1.4482480000000001E-2</v>
      </c>
      <c r="O3220">
        <v>-0.1924478</v>
      </c>
      <c r="P3220">
        <v>0.92951980000000001</v>
      </c>
      <c r="Q3220">
        <v>0.2023432</v>
      </c>
      <c r="R3220">
        <v>-0.30830220000000003</v>
      </c>
      <c r="S3220">
        <v>2.7924799999999999</v>
      </c>
      <c r="T3220">
        <v>-0.2014967</v>
      </c>
      <c r="U3220">
        <v>-1.4604490000000001</v>
      </c>
      <c r="V3220">
        <v>0.1277162</v>
      </c>
      <c r="W3220">
        <v>0.214008</v>
      </c>
      <c r="X3220">
        <v>0.96844680000000005</v>
      </c>
      <c r="Y3220">
        <v>0.28375640000000002</v>
      </c>
      <c r="Z3220">
        <v>-1.633301E-3</v>
      </c>
      <c r="AA3220">
        <v>0.95889500000000005</v>
      </c>
      <c r="AB3220">
        <v>37</v>
      </c>
      <c r="AC3220">
        <v>15.062399999999901</v>
      </c>
      <c r="AD3220">
        <v>-1.113270436279</v>
      </c>
      <c r="AE3220">
        <v>-7.9942999999999804</v>
      </c>
      <c r="AF3220">
        <v>4.92481266991759</v>
      </c>
      <c r="AG3220">
        <v>-1.113270436279</v>
      </c>
      <c r="AH3220">
        <v>16.250168057625299</v>
      </c>
      <c r="AI3220">
        <v>93.751141843309796</v>
      </c>
      <c r="AJ3220">
        <v>73.139924200596795</v>
      </c>
      <c r="AK3220">
        <v>17.0164953148156</v>
      </c>
      <c r="AL3220">
        <v>77.642664991579593</v>
      </c>
      <c r="AM3220">
        <v>82.487336625257697</v>
      </c>
      <c r="AN3220">
        <v>1.0000000281183301</v>
      </c>
    </row>
    <row r="3221" spans="1:40" x14ac:dyDescent="0.25">
      <c r="A3221" t="str">
        <f>"20190303171040671"</f>
        <v>20190303171040671</v>
      </c>
      <c r="B3221" t="str">
        <f>"1551604240664032"</f>
        <v>1551604240664032</v>
      </c>
      <c r="C3221" t="s">
        <v>40</v>
      </c>
      <c r="D3221">
        <v>4.5854140000000001</v>
      </c>
      <c r="E3221">
        <v>0.57441339999999996</v>
      </c>
      <c r="F3221" t="s">
        <v>52</v>
      </c>
      <c r="G3221">
        <v>-188.20779999999999</v>
      </c>
      <c r="H3221" s="1">
        <v>5.5886089999999998E-6</v>
      </c>
      <c r="I3221">
        <v>205.37190000000001</v>
      </c>
      <c r="J3221">
        <v>-203.29640000000001</v>
      </c>
      <c r="K3221">
        <v>1.112916</v>
      </c>
      <c r="L3221">
        <v>213.5772</v>
      </c>
      <c r="M3221">
        <v>0.97950610000000005</v>
      </c>
      <c r="N3221">
        <v>-1.4526560000000001E-2</v>
      </c>
      <c r="O3221">
        <v>-0.2008894</v>
      </c>
      <c r="P3221">
        <v>0.92643580000000003</v>
      </c>
      <c r="Q3221">
        <v>0.20216980000000001</v>
      </c>
      <c r="R3221">
        <v>-0.31756010000000001</v>
      </c>
      <c r="S3221">
        <v>2.7769010000000001</v>
      </c>
      <c r="T3221">
        <v>-0.20032249999999999</v>
      </c>
      <c r="U3221">
        <v>-1.48996</v>
      </c>
      <c r="V3221">
        <v>0.12921779999999999</v>
      </c>
      <c r="W3221">
        <v>0.21373829999999999</v>
      </c>
      <c r="X3221">
        <v>0.96830709999999998</v>
      </c>
      <c r="Y3221">
        <v>0.28566170000000002</v>
      </c>
      <c r="Z3221">
        <v>-1.3116759999999999E-3</v>
      </c>
      <c r="AA3221">
        <v>0.9583296</v>
      </c>
      <c r="AB3221">
        <v>37</v>
      </c>
      <c r="AC3221">
        <v>15.0886</v>
      </c>
      <c r="AD3221">
        <v>-1.112910411391</v>
      </c>
      <c r="AE3221">
        <v>-8.2052999999999905</v>
      </c>
      <c r="AF3221">
        <v>4.9855976945915499</v>
      </c>
      <c r="AG3221">
        <v>-1.112910411391</v>
      </c>
      <c r="AH3221">
        <v>16.3607759157514</v>
      </c>
      <c r="AI3221">
        <v>93.722930702640596</v>
      </c>
      <c r="AJ3221">
        <v>73.052517490300701</v>
      </c>
      <c r="AK3221">
        <v>17.139712439872799</v>
      </c>
      <c r="AL3221">
        <v>77.658482960075503</v>
      </c>
      <c r="AM3221">
        <v>82.398950746655999</v>
      </c>
      <c r="AN3221">
        <v>0.999999970317069</v>
      </c>
    </row>
    <row r="3222" spans="1:40" x14ac:dyDescent="0.25">
      <c r="A3222" t="str">
        <f>"20190303171040695"</f>
        <v>20190303171040695</v>
      </c>
      <c r="B3222" t="str">
        <f>"1551604240683551"</f>
        <v>1551604240683551</v>
      </c>
      <c r="C3222" t="s">
        <v>40</v>
      </c>
      <c r="D3222">
        <v>4.5748739999999897</v>
      </c>
      <c r="E3222">
        <v>0.57429459999999999</v>
      </c>
      <c r="F3222" t="s">
        <v>52</v>
      </c>
      <c r="G3222">
        <v>-187.91759999999999</v>
      </c>
      <c r="H3222" s="1">
        <v>5.5914530000000004E-6</v>
      </c>
      <c r="I3222">
        <v>205.1181</v>
      </c>
      <c r="J3222">
        <v>-202.9246</v>
      </c>
      <c r="K3222">
        <v>1.1124860000000001</v>
      </c>
      <c r="L3222">
        <v>213.4922</v>
      </c>
      <c r="M3222">
        <v>0.97748009999999996</v>
      </c>
      <c r="N3222">
        <v>-1.458189E-2</v>
      </c>
      <c r="O3222">
        <v>-0.21052360000000001</v>
      </c>
      <c r="P3222">
        <v>0.92316319999999996</v>
      </c>
      <c r="Q3222">
        <v>0.2018585</v>
      </c>
      <c r="R3222">
        <v>-0.3271442</v>
      </c>
      <c r="S3222">
        <v>2.761215</v>
      </c>
      <c r="T3222">
        <v>-0.19981969999999999</v>
      </c>
      <c r="U3222">
        <v>-1.518799</v>
      </c>
      <c r="V3222">
        <v>0.1299218</v>
      </c>
      <c r="W3222">
        <v>0.21333669999999999</v>
      </c>
      <c r="X3222">
        <v>0.96830150000000004</v>
      </c>
      <c r="Y3222">
        <v>0.28622039999999999</v>
      </c>
      <c r="Z3222">
        <v>-8.6966530000000004E-4</v>
      </c>
      <c r="AA3222">
        <v>0.9581634</v>
      </c>
      <c r="AB3222">
        <v>36</v>
      </c>
      <c r="AC3222">
        <v>15.007</v>
      </c>
      <c r="AD3222">
        <v>-1.1124804085469999</v>
      </c>
      <c r="AE3222">
        <v>-8.3740999999999897</v>
      </c>
      <c r="AF3222">
        <v>5.0057457500791802</v>
      </c>
      <c r="AG3222">
        <v>-1.1124804085469999</v>
      </c>
      <c r="AH3222">
        <v>16.365156774555899</v>
      </c>
      <c r="AI3222">
        <v>93.7193119571143</v>
      </c>
      <c r="AJ3222">
        <v>72.992267260738402</v>
      </c>
      <c r="AK3222">
        <v>17.1497364244944</v>
      </c>
      <c r="AL3222">
        <v>77.6820366798473</v>
      </c>
      <c r="AM3222">
        <v>82.357983382908699</v>
      </c>
      <c r="AN3222">
        <v>1.00000000829219</v>
      </c>
    </row>
    <row r="3223" spans="1:40" x14ac:dyDescent="0.25">
      <c r="A3223" t="str">
        <f>"20190303171040717"</f>
        <v>20190303171040717</v>
      </c>
      <c r="B3223" t="str">
        <f>"1551604240703579"</f>
        <v>1551604240703579</v>
      </c>
      <c r="C3223" t="s">
        <v>40</v>
      </c>
      <c r="D3223">
        <v>4.55844</v>
      </c>
      <c r="E3223">
        <v>0.57416330000000004</v>
      </c>
      <c r="F3223" t="s">
        <v>52</v>
      </c>
      <c r="G3223">
        <v>-187.6737</v>
      </c>
      <c r="H3223" s="1">
        <v>5.5968299999999999E-6</v>
      </c>
      <c r="I3223">
        <v>204.89359999999999</v>
      </c>
      <c r="J3223">
        <v>-202.57310000000001</v>
      </c>
      <c r="K3223">
        <v>1.112036</v>
      </c>
      <c r="L3223">
        <v>213.40790000000001</v>
      </c>
      <c r="M3223">
        <v>0.97535110000000003</v>
      </c>
      <c r="N3223">
        <v>-1.4643099999999999E-2</v>
      </c>
      <c r="O3223">
        <v>-0.2201728</v>
      </c>
      <c r="P3223">
        <v>0.91948160000000001</v>
      </c>
      <c r="Q3223">
        <v>0.20163900000000001</v>
      </c>
      <c r="R3223">
        <v>-0.3374838</v>
      </c>
      <c r="S3223">
        <v>2.7450260000000002</v>
      </c>
      <c r="T3223">
        <v>-0.2002362</v>
      </c>
      <c r="U3223">
        <v>-1.5476840000000001</v>
      </c>
      <c r="V3223">
        <v>0.13143450000000001</v>
      </c>
      <c r="W3223">
        <v>0.21300920000000001</v>
      </c>
      <c r="X3223">
        <v>0.96816950000000002</v>
      </c>
      <c r="Y3223">
        <v>0.28682729999999901</v>
      </c>
      <c r="Z3223">
        <v>-4.1127759999999997E-4</v>
      </c>
      <c r="AA3223">
        <v>0.95798220000000001</v>
      </c>
      <c r="AB3223">
        <v>36</v>
      </c>
      <c r="AC3223">
        <v>14.8994</v>
      </c>
      <c r="AD3223">
        <v>-1.1120304031699999</v>
      </c>
      <c r="AE3223">
        <v>-8.5143000000000093</v>
      </c>
      <c r="AF3223">
        <v>5.0035164251415898</v>
      </c>
      <c r="AG3223">
        <v>-1.1120304031699999</v>
      </c>
      <c r="AH3223">
        <v>16.3399056507395</v>
      </c>
      <c r="AI3223">
        <v>93.723191545328902</v>
      </c>
      <c r="AJ3223">
        <v>72.974651036038097</v>
      </c>
      <c r="AK3223">
        <v>17.124961457162598</v>
      </c>
      <c r="AL3223">
        <v>77.701243198064702</v>
      </c>
      <c r="AM3223">
        <v>82.269034705146098</v>
      </c>
      <c r="AN3223">
        <v>1.0000000639025599</v>
      </c>
    </row>
    <row r="3224" spans="1:40" x14ac:dyDescent="0.25">
      <c r="A3224" t="str">
        <f>"20190303171040740"</f>
        <v>20190303171040740</v>
      </c>
      <c r="B3224" t="str">
        <f>"1551604240733835"</f>
        <v>1551604240733835</v>
      </c>
      <c r="C3224" t="s">
        <v>40</v>
      </c>
      <c r="D3224">
        <v>4.5716020000000004</v>
      </c>
      <c r="E3224">
        <v>0.57401880000000005</v>
      </c>
      <c r="F3224" t="s">
        <v>52</v>
      </c>
      <c r="G3224">
        <v>-187.48150000000001</v>
      </c>
      <c r="H3224" s="1">
        <v>5.6118629999999899E-6</v>
      </c>
      <c r="I3224">
        <v>204.67590000000001</v>
      </c>
      <c r="J3224">
        <v>-202.20480000000001</v>
      </c>
      <c r="K3224">
        <v>1.1115660000000001</v>
      </c>
      <c r="L3224">
        <v>213.31469999999999</v>
      </c>
      <c r="M3224">
        <v>0.9728696</v>
      </c>
      <c r="N3224">
        <v>-1.471715E-2</v>
      </c>
      <c r="O3224">
        <v>-0.2308858</v>
      </c>
      <c r="P3224">
        <v>0.91549749999999996</v>
      </c>
      <c r="Q3224">
        <v>0.2016146</v>
      </c>
      <c r="R3224">
        <v>-0.34816069999999999</v>
      </c>
      <c r="S3224">
        <v>2.7275390000000002</v>
      </c>
      <c r="T3224">
        <v>-0.2009803</v>
      </c>
      <c r="U3224">
        <v>-1.5781559999999999</v>
      </c>
      <c r="V3224">
        <v>0.13229959999999999</v>
      </c>
      <c r="W3224">
        <v>0.21289040000000001</v>
      </c>
      <c r="X3224">
        <v>0.96807770000000004</v>
      </c>
      <c r="Y3224">
        <v>0.2869814</v>
      </c>
      <c r="Z3224">
        <v>1.2742219999999999E-4</v>
      </c>
      <c r="AA3224">
        <v>0.95793620000000002</v>
      </c>
      <c r="AB3224">
        <v>36</v>
      </c>
      <c r="AC3224">
        <v>14.723299999999901</v>
      </c>
      <c r="AD3224">
        <v>-1.111560388137</v>
      </c>
      <c r="AE3224">
        <v>-8.6387999999999696</v>
      </c>
      <c r="AF3224">
        <v>4.9844326601799001</v>
      </c>
      <c r="AG3224">
        <v>-1.111560388137</v>
      </c>
      <c r="AH3224">
        <v>16.251287781738</v>
      </c>
      <c r="AI3224">
        <v>93.741340824764094</v>
      </c>
      <c r="AJ3224">
        <v>72.948699067167297</v>
      </c>
      <c r="AK3224">
        <v>17.0348023177614</v>
      </c>
      <c r="AL3224">
        <v>77.708208553037394</v>
      </c>
      <c r="AM3224">
        <v>82.218042146389905</v>
      </c>
      <c r="AN3224">
        <v>0.999999969904804</v>
      </c>
    </row>
    <row r="3225" spans="1:40" x14ac:dyDescent="0.25">
      <c r="A3225" t="str">
        <f>"20190303171040762"</f>
        <v>20190303171040762</v>
      </c>
      <c r="B3225" t="str">
        <f>"1551604240754330"</f>
        <v>1551604240754330</v>
      </c>
      <c r="C3225" t="s">
        <v>40</v>
      </c>
      <c r="D3225">
        <v>4.4744609999999998</v>
      </c>
      <c r="E3225">
        <v>0.57399509999999998</v>
      </c>
      <c r="F3225" t="s">
        <v>52</v>
      </c>
      <c r="G3225">
        <v>-187.16839999999999</v>
      </c>
      <c r="H3225" s="1">
        <v>5.6435299999999998E-6</v>
      </c>
      <c r="I3225">
        <v>204.375</v>
      </c>
      <c r="J3225">
        <v>-201.86259999999999</v>
      </c>
      <c r="K3225">
        <v>1.11114</v>
      </c>
      <c r="L3225">
        <v>213.22409999999999</v>
      </c>
      <c r="M3225">
        <v>0.9703389</v>
      </c>
      <c r="N3225">
        <v>-1.4790009999999999E-2</v>
      </c>
      <c r="O3225">
        <v>-0.24129619999999999</v>
      </c>
      <c r="P3225">
        <v>0.91185530000000004</v>
      </c>
      <c r="Q3225">
        <v>0.20086989999999999</v>
      </c>
      <c r="R3225">
        <v>-0.3580103</v>
      </c>
      <c r="S3225">
        <v>2.7086030000000001</v>
      </c>
      <c r="T3225">
        <v>-0.20023289999999999</v>
      </c>
      <c r="U3225">
        <v>-1.610382</v>
      </c>
      <c r="V3225">
        <v>0.1325279</v>
      </c>
      <c r="W3225">
        <v>0.21208099999999999</v>
      </c>
      <c r="X3225">
        <v>0.96822419999999998</v>
      </c>
      <c r="Y3225">
        <v>0.28809059999999997</v>
      </c>
      <c r="Z3225">
        <v>5.7045230000000004E-4</v>
      </c>
      <c r="AA3225">
        <v>0.95760299999999998</v>
      </c>
      <c r="AB3225">
        <v>36</v>
      </c>
      <c r="AC3225">
        <v>14.694199999999899</v>
      </c>
      <c r="AD3225">
        <v>-1.11113435647</v>
      </c>
      <c r="AE3225">
        <v>-8.8490999999999893</v>
      </c>
      <c r="AF3225">
        <v>5.0204556807731198</v>
      </c>
      <c r="AG3225">
        <v>-1.11113435647</v>
      </c>
      <c r="AH3225">
        <v>16.326889647784501</v>
      </c>
      <c r="AI3225">
        <v>93.721823159275601</v>
      </c>
      <c r="AJ3225">
        <v>72.907538670369703</v>
      </c>
      <c r="AK3225">
        <v>17.117444913644899</v>
      </c>
      <c r="AL3225">
        <v>77.755668497610998</v>
      </c>
      <c r="AM3225">
        <v>82.205943317955501</v>
      </c>
      <c r="AN3225">
        <v>1.00000004815252</v>
      </c>
    </row>
    <row r="3226" spans="1:40" x14ac:dyDescent="0.25">
      <c r="A3226" t="str">
        <f>"20190303171040783"</f>
        <v>20190303171040783</v>
      </c>
      <c r="B3226" t="str">
        <f>"1551604240773851"</f>
        <v>1551604240773851</v>
      </c>
      <c r="C3226" t="s">
        <v>40</v>
      </c>
      <c r="D3226">
        <v>4.4555389999999999</v>
      </c>
      <c r="E3226">
        <v>0.564002</v>
      </c>
      <c r="F3226" t="s">
        <v>52</v>
      </c>
      <c r="G3226">
        <v>-187.0136</v>
      </c>
      <c r="H3226" s="1">
        <v>5.6838789999999898E-6</v>
      </c>
      <c r="I3226">
        <v>204.16380000000001</v>
      </c>
      <c r="J3226">
        <v>-201.51179999999999</v>
      </c>
      <c r="K3226">
        <v>1.1107020000000001</v>
      </c>
      <c r="L3226">
        <v>213.1267</v>
      </c>
      <c r="M3226">
        <v>0.96749750000000001</v>
      </c>
      <c r="N3226">
        <v>-1.486326E-2</v>
      </c>
      <c r="O3226">
        <v>-0.25244359999999999</v>
      </c>
      <c r="P3226">
        <v>0.90766869999999999</v>
      </c>
      <c r="Q3226">
        <v>0.20064019999999999</v>
      </c>
      <c r="R3226">
        <v>-0.36862080000000003</v>
      </c>
      <c r="S3226">
        <v>2.6899410000000001</v>
      </c>
      <c r="T3226">
        <v>-0.20128570000000001</v>
      </c>
      <c r="U3226">
        <v>-1.6413120000000001</v>
      </c>
      <c r="V3226">
        <v>0.13288249999999999</v>
      </c>
      <c r="W3226">
        <v>0.21178279999999999</v>
      </c>
      <c r="X3226">
        <v>0.96824080000000001</v>
      </c>
      <c r="Y3226">
        <v>0.28806029999999999</v>
      </c>
      <c r="Z3226">
        <v>1.155089E-3</v>
      </c>
      <c r="AA3226">
        <v>0.95761160000000001</v>
      </c>
      <c r="AB3226">
        <v>36</v>
      </c>
      <c r="AC3226">
        <v>14.498199999999899</v>
      </c>
      <c r="AD3226">
        <v>-1.1106963161209999</v>
      </c>
      <c r="AE3226">
        <v>-8.9628999999999905</v>
      </c>
      <c r="AF3226">
        <v>4.99096645134283</v>
      </c>
      <c r="AG3226">
        <v>-1.1106963161209999</v>
      </c>
      <c r="AH3226">
        <v>16.222514208411098</v>
      </c>
      <c r="AI3226">
        <v>93.744060392529406</v>
      </c>
      <c r="AJ3226">
        <v>72.899130693744596</v>
      </c>
      <c r="AK3226">
        <v>17.009213963824799</v>
      </c>
      <c r="AL3226">
        <v>77.773150381976095</v>
      </c>
      <c r="AM3226">
        <v>82.1854787035643</v>
      </c>
      <c r="AN3226">
        <v>0.99999997998336398</v>
      </c>
    </row>
    <row r="3227" spans="1:40" x14ac:dyDescent="0.25">
      <c r="A3227" t="str">
        <f>"20190303171040806"</f>
        <v>20190303171040806</v>
      </c>
      <c r="B3227" t="str">
        <f>"1551604240794346"</f>
        <v>1551604240794346</v>
      </c>
      <c r="C3227" t="s">
        <v>40</v>
      </c>
      <c r="D3227">
        <v>4.4631759999999998</v>
      </c>
      <c r="E3227">
        <v>0.56395689999999998</v>
      </c>
      <c r="F3227" t="s">
        <v>50</v>
      </c>
      <c r="G3227">
        <v>-168.4162</v>
      </c>
      <c r="H3227">
        <v>3.7262240000000002</v>
      </c>
      <c r="I3227">
        <v>193.0018</v>
      </c>
      <c r="J3227">
        <v>-201.16159999999999</v>
      </c>
      <c r="K3227">
        <v>1.1102669999999999</v>
      </c>
      <c r="L3227">
        <v>213.0248</v>
      </c>
      <c r="M3227">
        <v>0.964391</v>
      </c>
      <c r="N3227">
        <v>-1.493737E-2</v>
      </c>
      <c r="O3227">
        <v>-0.26405889999999999</v>
      </c>
      <c r="P3227">
        <v>0.90290040000000005</v>
      </c>
      <c r="Q3227">
        <v>0.2003511</v>
      </c>
      <c r="R3227">
        <v>-0.38030340000000001</v>
      </c>
      <c r="S3227">
        <v>2.6139679999999998</v>
      </c>
      <c r="T3227">
        <v>0.20658219999999999</v>
      </c>
      <c r="U3227">
        <v>-1.5895079999999999</v>
      </c>
      <c r="V3227">
        <v>0.13393070000000001</v>
      </c>
      <c r="W3227">
        <v>0.21140719999999999</v>
      </c>
      <c r="X3227">
        <v>0.96817850000000005</v>
      </c>
      <c r="Y3227">
        <v>0.27583079999999999</v>
      </c>
      <c r="Z3227">
        <v>-1.462694E-2</v>
      </c>
      <c r="AA3227">
        <v>0.96109489999999997</v>
      </c>
      <c r="AB3227">
        <v>36</v>
      </c>
      <c r="AC3227">
        <v>32.745399999999897</v>
      </c>
      <c r="AD3227">
        <v>2.6159569999999999</v>
      </c>
      <c r="AE3227">
        <v>-20.023</v>
      </c>
      <c r="AF3227">
        <v>10.6151656728426</v>
      </c>
      <c r="AG3227">
        <v>2.6159569999999999</v>
      </c>
      <c r="AH3227">
        <v>36.700249634519899</v>
      </c>
      <c r="AI3227">
        <v>86.082938098705696</v>
      </c>
      <c r="AJ3227">
        <v>73.868036847423795</v>
      </c>
      <c r="AK3227">
        <v>38.294037349485897</v>
      </c>
      <c r="AL3227">
        <v>77.795169764461505</v>
      </c>
      <c r="AM3227">
        <v>82.124106519819605</v>
      </c>
      <c r="AN3227">
        <v>1.0000000222382801</v>
      </c>
    </row>
    <row r="3228" spans="1:40" x14ac:dyDescent="0.25">
      <c r="A3228" t="str">
        <f>"20190303171040829"</f>
        <v>20190303171040829</v>
      </c>
      <c r="B3228" t="str">
        <f>"1551604240824151"</f>
        <v>1551604240824151</v>
      </c>
      <c r="C3228" t="s">
        <v>40</v>
      </c>
      <c r="D3228">
        <v>4.4254110000000004</v>
      </c>
      <c r="E3228">
        <v>0.56379040000000002</v>
      </c>
      <c r="F3228" t="s">
        <v>50</v>
      </c>
      <c r="G3228">
        <v>-168.41630000000001</v>
      </c>
      <c r="H3228">
        <v>3.7082000000000002</v>
      </c>
      <c r="I3228">
        <v>192.53899999999999</v>
      </c>
      <c r="J3228">
        <v>-200.79849999999999</v>
      </c>
      <c r="K3228">
        <v>1.1098220000000001</v>
      </c>
      <c r="L3228">
        <v>212.91399999999999</v>
      </c>
      <c r="M3228">
        <v>0.96086780000000005</v>
      </c>
      <c r="N3228">
        <v>-1.501971E-2</v>
      </c>
      <c r="O3228">
        <v>-0.2765997</v>
      </c>
      <c r="P3228">
        <v>0.89760260000000003</v>
      </c>
      <c r="Q3228">
        <v>0.20063919999999999</v>
      </c>
      <c r="R3228">
        <v>-0.39249679999999998</v>
      </c>
      <c r="S3228">
        <v>2.5935359999999998</v>
      </c>
      <c r="T3228">
        <v>0.2057679</v>
      </c>
      <c r="U3228">
        <v>-1.6225430000000001</v>
      </c>
      <c r="V3228">
        <v>0.13468260000000001</v>
      </c>
      <c r="W3228">
        <v>0.2116169</v>
      </c>
      <c r="X3228">
        <v>0.96802840000000001</v>
      </c>
      <c r="Y3228">
        <v>0.2755495</v>
      </c>
      <c r="Z3228">
        <v>-1.5689640000000001E-2</v>
      </c>
      <c r="AA3228">
        <v>0.96115879999999998</v>
      </c>
      <c r="AB3228">
        <v>36</v>
      </c>
      <c r="AC3228">
        <v>32.382199999999898</v>
      </c>
      <c r="AD3228">
        <v>2.5983779999999999</v>
      </c>
      <c r="AE3228">
        <v>-20.375</v>
      </c>
      <c r="AF3228">
        <v>10.573204112732901</v>
      </c>
      <c r="AG3228">
        <v>2.5983779999999999</v>
      </c>
      <c r="AH3228">
        <v>36.586125432673498</v>
      </c>
      <c r="AI3228">
        <v>86.096825954194898</v>
      </c>
      <c r="AJ3228">
        <v>73.880975151764503</v>
      </c>
      <c r="AK3228">
        <v>38.171832384832101</v>
      </c>
      <c r="AL3228">
        <v>77.782877048234795</v>
      </c>
      <c r="AM3228">
        <v>82.079237579566296</v>
      </c>
      <c r="AN3228">
        <v>1.0000000491574601</v>
      </c>
    </row>
    <row r="3229" spans="1:40" x14ac:dyDescent="0.25">
      <c r="A3229" t="str">
        <f>"20190303171040851"</f>
        <v>20190303171040851</v>
      </c>
      <c r="B3229" t="str">
        <f>"1551604240843591"</f>
        <v>1551604240843591</v>
      </c>
      <c r="C3229" t="s">
        <v>40</v>
      </c>
      <c r="D3229">
        <v>4.4022119999999996</v>
      </c>
      <c r="E3229">
        <v>0.56359079999999995</v>
      </c>
      <c r="F3229" t="s">
        <v>50</v>
      </c>
      <c r="G3229">
        <v>-168.41650000000001</v>
      </c>
      <c r="H3229">
        <v>3.7037939999999998</v>
      </c>
      <c r="I3229">
        <v>192.0547</v>
      </c>
      <c r="J3229">
        <v>-200.4573</v>
      </c>
      <c r="K3229">
        <v>1.109407</v>
      </c>
      <c r="L3229">
        <v>212.8049</v>
      </c>
      <c r="M3229">
        <v>0.95725439999999995</v>
      </c>
      <c r="N3229">
        <v>-1.51028E-2</v>
      </c>
      <c r="O3229">
        <v>-0.28885270000000002</v>
      </c>
      <c r="P3229">
        <v>0.89234369999999996</v>
      </c>
      <c r="Q3229">
        <v>0.2008964</v>
      </c>
      <c r="R3229">
        <v>-0.40418270000000001</v>
      </c>
      <c r="S3229">
        <v>2.571777</v>
      </c>
      <c r="T3229">
        <v>0.20601530000000001</v>
      </c>
      <c r="U3229">
        <v>-1.656647</v>
      </c>
      <c r="V3229">
        <v>0.13519139999999999</v>
      </c>
      <c r="W3229">
        <v>0.21181069999999999</v>
      </c>
      <c r="X3229">
        <v>0.96791510000000003</v>
      </c>
      <c r="Y3229">
        <v>0.27601560000000003</v>
      </c>
      <c r="Z3229">
        <v>-1.67584E-2</v>
      </c>
      <c r="AA3229">
        <v>0.9610071</v>
      </c>
      <c r="AB3229">
        <v>36</v>
      </c>
      <c r="AC3229">
        <v>32.040799999999898</v>
      </c>
      <c r="AD3229">
        <v>2.59438699999999</v>
      </c>
      <c r="AE3229">
        <v>-20.7502</v>
      </c>
      <c r="AF3229">
        <v>10.5605787645531</v>
      </c>
      <c r="AG3229">
        <v>2.59438699999999</v>
      </c>
      <c r="AH3229">
        <v>36.500532225633698</v>
      </c>
      <c r="AI3229">
        <v>86.094036742004207</v>
      </c>
      <c r="AJ3229">
        <v>73.863431645213097</v>
      </c>
      <c r="AK3229">
        <v>38.086027890850197</v>
      </c>
      <c r="AL3229">
        <v>77.7715157664543</v>
      </c>
      <c r="AM3229">
        <v>82.048777936132794</v>
      </c>
      <c r="AN3229">
        <v>1.0000000640382201</v>
      </c>
    </row>
    <row r="3230" spans="1:40" x14ac:dyDescent="0.25">
      <c r="A3230" t="str">
        <f>"20190303171040872"</f>
        <v>20190303171040872</v>
      </c>
      <c r="B3230" t="str">
        <f>"1551604240864087"</f>
        <v>1551604240864087</v>
      </c>
      <c r="C3230" t="s">
        <v>40</v>
      </c>
      <c r="D3230">
        <v>4.446555</v>
      </c>
      <c r="E3230">
        <v>0.56068249999999997</v>
      </c>
      <c r="F3230" t="s">
        <v>50</v>
      </c>
      <c r="G3230">
        <v>-168.41669999999999</v>
      </c>
      <c r="H3230">
        <v>3.7075399999999998</v>
      </c>
      <c r="I3230">
        <v>191.5788</v>
      </c>
      <c r="J3230">
        <v>-200.11799999999999</v>
      </c>
      <c r="K3230">
        <v>1.1089929999999999</v>
      </c>
      <c r="L3230">
        <v>212.69130000000001</v>
      </c>
      <c r="M3230">
        <v>0.95335289999999995</v>
      </c>
      <c r="N3230">
        <v>-1.5189899999999999E-2</v>
      </c>
      <c r="O3230">
        <v>-0.30147560000000001</v>
      </c>
      <c r="P3230">
        <v>0.88706509999999905</v>
      </c>
      <c r="Q3230">
        <v>0.2005112</v>
      </c>
      <c r="R3230">
        <v>-0.41582570000000002</v>
      </c>
      <c r="S3230">
        <v>2.5501710000000002</v>
      </c>
      <c r="T3230">
        <v>0.20679249999999999</v>
      </c>
      <c r="U3230">
        <v>-1.6894229999999999</v>
      </c>
      <c r="V3230">
        <v>0.135242</v>
      </c>
      <c r="W3230">
        <v>0.21138290000000001</v>
      </c>
      <c r="X3230">
        <v>0.96800149999999996</v>
      </c>
      <c r="Y3230">
        <v>0.27568910000000002</v>
      </c>
      <c r="Z3230">
        <v>-1.791566E-2</v>
      </c>
      <c r="AA3230">
        <v>0.96107989999999999</v>
      </c>
      <c r="AB3230">
        <v>36</v>
      </c>
      <c r="AC3230">
        <v>31.7013</v>
      </c>
      <c r="AD3230">
        <v>2.5985469999999999</v>
      </c>
      <c r="AE3230">
        <v>-21.112500000000001</v>
      </c>
      <c r="AF3230">
        <v>10.522735320687699</v>
      </c>
      <c r="AG3230">
        <v>2.5985469999999999</v>
      </c>
      <c r="AH3230">
        <v>36.422121491160603</v>
      </c>
      <c r="AI3230">
        <v>86.078963030627406</v>
      </c>
      <c r="AJ3230">
        <v>73.885436037639806</v>
      </c>
      <c r="AK3230">
        <v>38.000675507908099</v>
      </c>
      <c r="AL3230">
        <v>77.796594172873597</v>
      </c>
      <c r="AM3230">
        <v>82.046540874261296</v>
      </c>
      <c r="AN3230">
        <v>1.0000000164893299</v>
      </c>
    </row>
    <row r="3231" spans="1:40" x14ac:dyDescent="0.25">
      <c r="A3231" t="str">
        <f>"20190303171040896"</f>
        <v>20190303171040896</v>
      </c>
      <c r="B3231" t="str">
        <f>"1551604240883607"</f>
        <v>1551604240883607</v>
      </c>
      <c r="C3231" t="s">
        <v>40</v>
      </c>
      <c r="D3231">
        <v>4.4353499999999997</v>
      </c>
      <c r="E3231">
        <v>0.56119779999999997</v>
      </c>
      <c r="F3231" t="s">
        <v>50</v>
      </c>
      <c r="G3231">
        <v>-168.41659999999999</v>
      </c>
      <c r="H3231">
        <v>3.4963340000000001</v>
      </c>
      <c r="I3231">
        <v>191.4512</v>
      </c>
      <c r="J3231">
        <v>-199.75790000000001</v>
      </c>
      <c r="K3231">
        <v>1.1085579999999999</v>
      </c>
      <c r="L3231">
        <v>212.5652</v>
      </c>
      <c r="M3231">
        <v>0.9488626</v>
      </c>
      <c r="N3231">
        <v>-1.5285480000000001E-2</v>
      </c>
      <c r="O3231">
        <v>-0.31531949999999997</v>
      </c>
      <c r="P3231">
        <v>0.88071259999999996</v>
      </c>
      <c r="Q3231">
        <v>0.20030880000000001</v>
      </c>
      <c r="R3231">
        <v>-0.42921150000000002</v>
      </c>
      <c r="S3231">
        <v>2.5406949999999999</v>
      </c>
      <c r="T3231">
        <v>0.19133539999999999</v>
      </c>
      <c r="U3231">
        <v>-1.702286</v>
      </c>
      <c r="V3231">
        <v>0.13601269999999999</v>
      </c>
      <c r="W3231">
        <v>0.21111630000000001</v>
      </c>
      <c r="X3231">
        <v>0.96795169999999997</v>
      </c>
      <c r="Y3231">
        <v>0.26671339999999999</v>
      </c>
      <c r="Z3231">
        <v>-1.8436290000000001E-2</v>
      </c>
      <c r="AA3231">
        <v>0.9635996</v>
      </c>
      <c r="AB3231">
        <v>36</v>
      </c>
      <c r="AC3231">
        <v>31.3413</v>
      </c>
      <c r="AD3231">
        <v>2.3877760000000001</v>
      </c>
      <c r="AE3231">
        <v>-21.114000000000001</v>
      </c>
      <c r="AF3231">
        <v>10.1125731583098</v>
      </c>
      <c r="AG3231">
        <v>2.3877760000000001</v>
      </c>
      <c r="AH3231">
        <v>36.2557433178549</v>
      </c>
      <c r="AI3231">
        <v>86.370146503555603</v>
      </c>
      <c r="AJ3231">
        <v>74.414972649805904</v>
      </c>
      <c r="AK3231">
        <v>37.715309008922702</v>
      </c>
      <c r="AL3231">
        <v>77.812221956769505</v>
      </c>
      <c r="AM3231">
        <v>82.001395430111799</v>
      </c>
      <c r="AN3231">
        <v>1.0000000201099299</v>
      </c>
    </row>
    <row r="3232" spans="1:40" x14ac:dyDescent="0.25">
      <c r="A3232" t="str">
        <f>"20190303171040919"</f>
        <v>20190303171040919</v>
      </c>
      <c r="B3232" t="str">
        <f>"1551604240903636"</f>
        <v>1551604240903636</v>
      </c>
      <c r="C3232" t="s">
        <v>40</v>
      </c>
      <c r="D3232">
        <v>4.42896</v>
      </c>
      <c r="E3232">
        <v>0.5611699</v>
      </c>
      <c r="F3232" t="s">
        <v>50</v>
      </c>
      <c r="G3232">
        <v>-168.41679999999999</v>
      </c>
      <c r="H3232">
        <v>3.487142</v>
      </c>
      <c r="I3232">
        <v>190.8167</v>
      </c>
      <c r="J3232">
        <v>-199.41839999999999</v>
      </c>
      <c r="K3232">
        <v>1.10816</v>
      </c>
      <c r="L3232">
        <v>212.4401</v>
      </c>
      <c r="M3232">
        <v>0.94425879999999995</v>
      </c>
      <c r="N3232">
        <v>-1.5379520000000001E-2</v>
      </c>
      <c r="O3232">
        <v>-0.32884469999999999</v>
      </c>
      <c r="P3232">
        <v>0.87422080000000002</v>
      </c>
      <c r="Q3232">
        <v>0.20053289999999999</v>
      </c>
      <c r="R3232">
        <v>-0.44218190000000002</v>
      </c>
      <c r="S3232">
        <v>2.513077</v>
      </c>
      <c r="T3232">
        <v>0.19072839999999999</v>
      </c>
      <c r="U3232">
        <v>-1.7438959999999999</v>
      </c>
      <c r="V3232">
        <v>0.13671620000000001</v>
      </c>
      <c r="W3232">
        <v>0.211286</v>
      </c>
      <c r="X3232">
        <v>0.96781550000000005</v>
      </c>
      <c r="Y3232">
        <v>0.26870690000000003</v>
      </c>
      <c r="Z3232">
        <v>-1.947142E-2</v>
      </c>
      <c r="AA3232">
        <v>0.96302520000000003</v>
      </c>
      <c r="AB3232">
        <v>36</v>
      </c>
      <c r="AC3232">
        <v>31.0016</v>
      </c>
      <c r="AD3232">
        <v>2.3789820000000002</v>
      </c>
      <c r="AE3232">
        <v>-21.6234</v>
      </c>
      <c r="AF3232">
        <v>10.1842389370153</v>
      </c>
      <c r="AG3232">
        <v>2.3789820000000002</v>
      </c>
      <c r="AH3232">
        <v>36.244995553795903</v>
      </c>
      <c r="AI3232">
        <v>86.384338846106601</v>
      </c>
      <c r="AJ3232">
        <v>74.305523109514795</v>
      </c>
      <c r="AK3232">
        <v>37.723705819778999</v>
      </c>
      <c r="AL3232">
        <v>77.802273823533895</v>
      </c>
      <c r="AM3232">
        <v>81.959447089379907</v>
      </c>
      <c r="AN3232">
        <v>0.99999996758934395</v>
      </c>
    </row>
    <row r="3233" spans="1:40" x14ac:dyDescent="0.25">
      <c r="A3233" t="str">
        <f>"20190303171040940"</f>
        <v>20190303171040940</v>
      </c>
      <c r="B3233" t="str">
        <f>"1551604240933891"</f>
        <v>1551604240933891</v>
      </c>
      <c r="C3233" t="s">
        <v>40</v>
      </c>
      <c r="D3233">
        <v>4.3790979999999999</v>
      </c>
      <c r="E3233">
        <v>0.59668350000000003</v>
      </c>
      <c r="F3233" t="s">
        <v>50</v>
      </c>
      <c r="G3233">
        <v>-168.417</v>
      </c>
      <c r="H3233">
        <v>3.4775659999999999</v>
      </c>
      <c r="I3233">
        <v>190.25129999999999</v>
      </c>
      <c r="J3233">
        <v>-199.08</v>
      </c>
      <c r="K3233">
        <v>1.107777</v>
      </c>
      <c r="L3233">
        <v>212.30959999999999</v>
      </c>
      <c r="M3233">
        <v>0.93931030000000004</v>
      </c>
      <c r="N3233">
        <v>-1.547522E-2</v>
      </c>
      <c r="O3233">
        <v>-0.34272029999999998</v>
      </c>
      <c r="P3233">
        <v>0.86735219999999902</v>
      </c>
      <c r="Q3233">
        <v>0.2002052</v>
      </c>
      <c r="R3233">
        <v>-0.4556521</v>
      </c>
      <c r="S3233">
        <v>2.4874879999999999</v>
      </c>
      <c r="T3233">
        <v>0.1901188</v>
      </c>
      <c r="U3233">
        <v>-1.7803800000000001</v>
      </c>
      <c r="V3233">
        <v>0.1375885</v>
      </c>
      <c r="W3233">
        <v>0.21090429999999999</v>
      </c>
      <c r="X3233">
        <v>0.96777519999999995</v>
      </c>
      <c r="Y3233">
        <v>0.26858009999999999</v>
      </c>
      <c r="Z3233">
        <v>-2.058536E-2</v>
      </c>
      <c r="AA3233">
        <v>0.96303740000000004</v>
      </c>
      <c r="AB3233">
        <v>36</v>
      </c>
      <c r="AC3233">
        <v>30.663</v>
      </c>
      <c r="AD3233">
        <v>2.3697889999999999</v>
      </c>
      <c r="AE3233">
        <v>-22.058299999999999</v>
      </c>
      <c r="AF3233">
        <v>10.1719388214924</v>
      </c>
      <c r="AG3233">
        <v>2.3697889999999999</v>
      </c>
      <c r="AH3233">
        <v>36.223666237080899</v>
      </c>
      <c r="AI3233">
        <v>86.395995716385499</v>
      </c>
      <c r="AJ3233">
        <v>74.314769371466298</v>
      </c>
      <c r="AK3233">
        <v>37.699313454599498</v>
      </c>
      <c r="AL3233">
        <v>77.824648561576296</v>
      </c>
      <c r="AM3233">
        <v>81.908490143718694</v>
      </c>
      <c r="AN3233">
        <v>1.00000002841288</v>
      </c>
    </row>
    <row r="3234" spans="1:40" x14ac:dyDescent="0.25">
      <c r="A3234" t="str">
        <f>"20190303171040963"</f>
        <v>20190303171040963</v>
      </c>
      <c r="B3234" t="str">
        <f>"1551604240954387"</f>
        <v>1551604240954387</v>
      </c>
      <c r="C3234" t="s">
        <v>40</v>
      </c>
      <c r="D3234">
        <v>4.5532500000000002</v>
      </c>
      <c r="E3234">
        <v>0.61299499999999996</v>
      </c>
      <c r="F3234" t="s">
        <v>50</v>
      </c>
      <c r="G3234">
        <v>-169.4014</v>
      </c>
      <c r="H3234">
        <v>4.2183089999999996</v>
      </c>
      <c r="I3234">
        <v>185.82069999999999</v>
      </c>
      <c r="J3234">
        <v>-198.74879999999999</v>
      </c>
      <c r="K3234">
        <v>1.1074200000000001</v>
      </c>
      <c r="L3234">
        <v>212.17609999999999</v>
      </c>
      <c r="M3234">
        <v>0.93411319999999998</v>
      </c>
      <c r="N3234">
        <v>-1.5568810000000001E-2</v>
      </c>
      <c r="O3234">
        <v>-0.35663739999999999</v>
      </c>
      <c r="P3234">
        <v>0.86008059999999997</v>
      </c>
      <c r="Q3234">
        <v>0.2000005</v>
      </c>
      <c r="R3234">
        <v>-0.46932030000000002</v>
      </c>
      <c r="S3234">
        <v>2.316589</v>
      </c>
      <c r="T3234">
        <v>0.24279790000000001</v>
      </c>
      <c r="U3234">
        <v>-2.067612</v>
      </c>
      <c r="V3234">
        <v>0.13868169999999999</v>
      </c>
      <c r="W3234">
        <v>0.2106441</v>
      </c>
      <c r="X3234">
        <v>0.96767579999999997</v>
      </c>
      <c r="Y3234">
        <v>0.3565159</v>
      </c>
      <c r="Z3234">
        <v>-2.262225E-2</v>
      </c>
      <c r="AA3234">
        <v>0.93401529999999999</v>
      </c>
      <c r="AB3234">
        <v>36</v>
      </c>
      <c r="AC3234">
        <v>29.3474</v>
      </c>
      <c r="AD3234">
        <v>3.1108889999999998</v>
      </c>
      <c r="AE3234">
        <v>-26.355399999999999</v>
      </c>
      <c r="AF3234">
        <v>14.0667654887624</v>
      </c>
      <c r="AG3234">
        <v>3.1108889999999998</v>
      </c>
      <c r="AH3234">
        <v>36.589984199790898</v>
      </c>
      <c r="AI3234">
        <v>85.462639544112704</v>
      </c>
      <c r="AJ3234">
        <v>68.971090592743707</v>
      </c>
      <c r="AK3234">
        <v>39.324018937884603</v>
      </c>
      <c r="AL3234">
        <v>77.839899217800806</v>
      </c>
      <c r="AM3234">
        <v>81.844234614851501</v>
      </c>
      <c r="AN3234">
        <v>1.0000000023426601</v>
      </c>
    </row>
    <row r="3235" spans="1:40" x14ac:dyDescent="0.25">
      <c r="A3235" t="str">
        <f>"20190303171040985"</f>
        <v>20190303171040985</v>
      </c>
      <c r="B3235" t="str">
        <f>"1551604240973906"</f>
        <v>1551604240973906</v>
      </c>
      <c r="C3235" t="s">
        <v>40</v>
      </c>
      <c r="D3235">
        <v>4.7034390000000004</v>
      </c>
      <c r="E3235">
        <v>0.61889300000000003</v>
      </c>
      <c r="F3235" t="s">
        <v>43</v>
      </c>
      <c r="G3235">
        <v>-198.17429999999999</v>
      </c>
      <c r="H3235">
        <v>1.1773209999999901</v>
      </c>
      <c r="I3235">
        <v>211.601</v>
      </c>
      <c r="J3235">
        <v>-198.4134</v>
      </c>
      <c r="K3235">
        <v>1.1070719999999901</v>
      </c>
      <c r="L3235">
        <v>212.035</v>
      </c>
      <c r="M3235">
        <v>0.9284753</v>
      </c>
      <c r="N3235">
        <v>-1.566035E-2</v>
      </c>
      <c r="O3235">
        <v>-0.37106450000000002</v>
      </c>
      <c r="P3235">
        <v>0.85204249999999904</v>
      </c>
      <c r="Q3235">
        <v>0.2003335</v>
      </c>
      <c r="R3235">
        <v>-0.4836221</v>
      </c>
      <c r="S3235">
        <v>2.2155149999999999</v>
      </c>
      <c r="T3235">
        <v>0.26949440000000002</v>
      </c>
      <c r="U3235">
        <v>-2.217209</v>
      </c>
      <c r="V3235">
        <v>0.1400692</v>
      </c>
      <c r="W3235">
        <v>0.2109113</v>
      </c>
      <c r="X3235">
        <v>0.96741770000000005</v>
      </c>
      <c r="Y3235">
        <v>0.39507599999999998</v>
      </c>
      <c r="Z3235">
        <v>-2.422612E-2</v>
      </c>
      <c r="AA3235">
        <v>0.9183289</v>
      </c>
      <c r="AB3235">
        <v>36</v>
      </c>
      <c r="AC3235">
        <v>0.239100000000007</v>
      </c>
      <c r="AD3235">
        <v>7.0249000000000006E-2</v>
      </c>
      <c r="AE3235">
        <v>-0.433999999999997</v>
      </c>
      <c r="AF3235">
        <v>0.308082913086838</v>
      </c>
      <c r="AG3235">
        <v>7.0249000000000006E-2</v>
      </c>
      <c r="AH3235">
        <v>0.37553917749492999</v>
      </c>
      <c r="AI3235">
        <v>81.770814160364495</v>
      </c>
      <c r="AJ3235">
        <v>50.635405996143902</v>
      </c>
      <c r="AK3235">
        <v>0.490794944116829</v>
      </c>
      <c r="AL3235">
        <v>77.824237685149399</v>
      </c>
      <c r="AM3235">
        <v>81.7615836097212</v>
      </c>
      <c r="AN3235">
        <v>0.99999998176480998</v>
      </c>
    </row>
    <row r="3236" spans="1:40" x14ac:dyDescent="0.25">
      <c r="A3236" t="str">
        <f>"20190303171041007"</f>
        <v>20190303171041007</v>
      </c>
      <c r="B3236" t="str">
        <f>"1551604240994403"</f>
        <v>1551604240994403</v>
      </c>
      <c r="C3236" t="s">
        <v>40</v>
      </c>
      <c r="D3236">
        <v>4.5929349999999998</v>
      </c>
      <c r="E3236">
        <v>0.62676509999999996</v>
      </c>
      <c r="F3236" t="s">
        <v>43</v>
      </c>
      <c r="G3236">
        <v>-197.86969999999999</v>
      </c>
      <c r="H3236">
        <v>1.177154</v>
      </c>
      <c r="I3236">
        <v>211.4555</v>
      </c>
      <c r="J3236">
        <v>-198.08340000000001</v>
      </c>
      <c r="K3236">
        <v>1.106752</v>
      </c>
      <c r="L3236">
        <v>211.89</v>
      </c>
      <c r="M3236">
        <v>0.92254420000000004</v>
      </c>
      <c r="N3236">
        <v>-1.5747770000000001E-2</v>
      </c>
      <c r="O3236">
        <v>-0.38556980000000002</v>
      </c>
      <c r="P3236">
        <v>0.84379850000000001</v>
      </c>
      <c r="Q3236">
        <v>0.2003779</v>
      </c>
      <c r="R3236">
        <v>-0.49784810000000002</v>
      </c>
      <c r="S3236">
        <v>2.1534270000000002</v>
      </c>
      <c r="T3236">
        <v>0.27748869999999998</v>
      </c>
      <c r="U3236">
        <v>-2.2943570000000002</v>
      </c>
      <c r="V3236">
        <v>0.14130400000000001</v>
      </c>
      <c r="W3236">
        <v>0.21089730000000001</v>
      </c>
      <c r="X3236">
        <v>0.96724120000000002</v>
      </c>
      <c r="Y3236">
        <v>0.40940100000000001</v>
      </c>
      <c r="Z3236">
        <v>-2.571638E-2</v>
      </c>
      <c r="AA3236">
        <v>0.91199209999999997</v>
      </c>
      <c r="AB3236">
        <v>36</v>
      </c>
      <c r="AC3236">
        <v>0.21370000000001699</v>
      </c>
      <c r="AD3236">
        <v>7.0402000000000006E-2</v>
      </c>
      <c r="AE3236">
        <v>-0.43449999999998501</v>
      </c>
      <c r="AF3236">
        <v>0.31189523780544698</v>
      </c>
      <c r="AG3236">
        <v>7.0402000000000006E-2</v>
      </c>
      <c r="AH3236">
        <v>0.35717239983425098</v>
      </c>
      <c r="AI3236">
        <v>81.555004245657898</v>
      </c>
      <c r="AJ3236">
        <v>48.871418909416299</v>
      </c>
      <c r="AK3236">
        <v>0.47938210664674902</v>
      </c>
      <c r="AL3236">
        <v>77.825058698224197</v>
      </c>
      <c r="AM3236">
        <v>81.688471364784903</v>
      </c>
      <c r="AN3236">
        <v>1.0000000152703601</v>
      </c>
    </row>
    <row r="3237" spans="1:40" x14ac:dyDescent="0.25">
      <c r="A3237" t="str">
        <f>"20190303171041030"</f>
        <v>20190303171041030</v>
      </c>
      <c r="B3237" t="str">
        <f>"1551604241023962"</f>
        <v>1551604241023962</v>
      </c>
      <c r="C3237" t="s">
        <v>40</v>
      </c>
      <c r="D3237">
        <v>4.5781850000000004</v>
      </c>
      <c r="E3237">
        <v>0.63092939999999997</v>
      </c>
      <c r="F3237" t="s">
        <v>43</v>
      </c>
      <c r="G3237">
        <v>-197.57060000000001</v>
      </c>
      <c r="H3237">
        <v>1.177144</v>
      </c>
      <c r="I3237">
        <v>211.30279999999999</v>
      </c>
      <c r="J3237">
        <v>-197.7379</v>
      </c>
      <c r="K3237">
        <v>1.1064350000000001</v>
      </c>
      <c r="L3237">
        <v>211.73159999999999</v>
      </c>
      <c r="M3237">
        <v>0.91591239999999996</v>
      </c>
      <c r="N3237">
        <v>-1.5838339999999999E-2</v>
      </c>
      <c r="O3237">
        <v>-0.40106560000000002</v>
      </c>
      <c r="P3237">
        <v>0.83488560000000001</v>
      </c>
      <c r="Q3237">
        <v>0.19934370000000001</v>
      </c>
      <c r="R3237">
        <v>-0.51305730000000005</v>
      </c>
      <c r="S3237">
        <v>2.0812840000000001</v>
      </c>
      <c r="T3237">
        <v>0.28568549999999998</v>
      </c>
      <c r="U3237">
        <v>-2.383362</v>
      </c>
      <c r="V3237">
        <v>0.14255329999999999</v>
      </c>
      <c r="W3237">
        <v>0.20980879999999999</v>
      </c>
      <c r="X3237">
        <v>0.9672946</v>
      </c>
      <c r="Y3237">
        <v>0.42670019999999997</v>
      </c>
      <c r="Z3237">
        <v>-2.7227660000000001E-2</v>
      </c>
      <c r="AA3237">
        <v>0.90398319999999999</v>
      </c>
      <c r="AB3237">
        <v>36</v>
      </c>
      <c r="AC3237">
        <v>0.16729999999998299</v>
      </c>
      <c r="AD3237">
        <v>7.0708999999999897E-2</v>
      </c>
      <c r="AE3237">
        <v>-0.42879999999999502</v>
      </c>
      <c r="AF3237">
        <v>0.31817699373589498</v>
      </c>
      <c r="AG3237">
        <v>7.0708999999999897E-2</v>
      </c>
      <c r="AH3237">
        <v>0.31775110146200403</v>
      </c>
      <c r="AI3237">
        <v>81.063602741778396</v>
      </c>
      <c r="AJ3237">
        <v>44.961628010529402</v>
      </c>
      <c r="AK3237">
        <v>0.45519460069746998</v>
      </c>
      <c r="AL3237">
        <v>77.888852441963195</v>
      </c>
      <c r="AM3237">
        <v>81.616483557453407</v>
      </c>
      <c r="AN3237">
        <v>1.00000000954374</v>
      </c>
    </row>
    <row r="3238" spans="1:40" x14ac:dyDescent="0.25">
      <c r="A3238" t="str">
        <f>"20190303171041053"</f>
        <v>20190303171041053</v>
      </c>
      <c r="B3238" t="str">
        <f>"1551604241044458"</f>
        <v>1551604241044458</v>
      </c>
      <c r="C3238" t="s">
        <v>40</v>
      </c>
      <c r="D3238">
        <v>4.7137669999999998</v>
      </c>
      <c r="E3238">
        <v>0.63241020000000003</v>
      </c>
      <c r="F3238" t="s">
        <v>82</v>
      </c>
      <c r="G3238">
        <v>-171.00120000000001</v>
      </c>
      <c r="H3238">
        <v>4.92</v>
      </c>
      <c r="I3238">
        <v>179.32650000000001</v>
      </c>
      <c r="J3238">
        <v>-197.40969999999999</v>
      </c>
      <c r="K3238">
        <v>1.10615</v>
      </c>
      <c r="L3238">
        <v>211.5744</v>
      </c>
      <c r="M3238">
        <v>0.90918900000000002</v>
      </c>
      <c r="N3238">
        <v>-1.5924319999999999E-2</v>
      </c>
      <c r="O3238">
        <v>-0.41607899999999998</v>
      </c>
      <c r="P3238">
        <v>0.82616959999999995</v>
      </c>
      <c r="Q3238">
        <v>0.19791449999999999</v>
      </c>
      <c r="R3238">
        <v>-0.52751669999999995</v>
      </c>
      <c r="S3238">
        <v>2.0200040000000001</v>
      </c>
      <c r="T3238">
        <v>0.28812219999999999</v>
      </c>
      <c r="U3238">
        <v>-2.4482569999999999</v>
      </c>
      <c r="V3238">
        <v>0.14343330000000001</v>
      </c>
      <c r="W3238">
        <v>0.20834369999999999</v>
      </c>
      <c r="X3238">
        <v>0.96748109999999998</v>
      </c>
      <c r="Y3238">
        <v>0.43713760000000002</v>
      </c>
      <c r="Z3238">
        <v>-2.8671160000000001E-2</v>
      </c>
      <c r="AA3238">
        <v>0.89893749999999994</v>
      </c>
      <c r="AB3238">
        <v>36</v>
      </c>
      <c r="AC3238">
        <v>26.408499999999901</v>
      </c>
      <c r="AD3238">
        <v>3.81385</v>
      </c>
      <c r="AE3238">
        <v>-32.247899999999902</v>
      </c>
      <c r="AF3238">
        <v>18.181518158508201</v>
      </c>
      <c r="AG3238">
        <v>3.81385</v>
      </c>
      <c r="AH3238">
        <v>37.121943914351903</v>
      </c>
      <c r="AI3238">
        <v>84.728461673621695</v>
      </c>
      <c r="AJ3238">
        <v>63.905395500852002</v>
      </c>
      <c r="AK3238">
        <v>41.510863329385899</v>
      </c>
      <c r="AL3238">
        <v>77.974692842144506</v>
      </c>
      <c r="AM3238">
        <v>81.567075769910105</v>
      </c>
      <c r="AN3238">
        <v>0.99999994386789304</v>
      </c>
    </row>
    <row r="3239" spans="1:40" x14ac:dyDescent="0.25">
      <c r="A3239" t="str">
        <f>"20190303171041074"</f>
        <v>20190303171041074</v>
      </c>
      <c r="B3239" t="str">
        <f>"1551604241063978"</f>
        <v>1551604241063978</v>
      </c>
      <c r="C3239" t="s">
        <v>40</v>
      </c>
      <c r="D3239">
        <v>4.7338230000000001</v>
      </c>
      <c r="E3239">
        <v>0.63336099999999995</v>
      </c>
      <c r="F3239" t="s">
        <v>82</v>
      </c>
      <c r="G3239">
        <v>-171.17750000000001</v>
      </c>
      <c r="H3239">
        <v>4.92</v>
      </c>
      <c r="I3239">
        <v>178.3947</v>
      </c>
      <c r="J3239">
        <v>-197.1003</v>
      </c>
      <c r="K3239">
        <v>1.105877</v>
      </c>
      <c r="L3239">
        <v>211.41980000000001</v>
      </c>
      <c r="M3239">
        <v>0.90245450000000005</v>
      </c>
      <c r="N3239">
        <v>-1.6005450000000001E-2</v>
      </c>
      <c r="O3239">
        <v>-0.43048829999999999</v>
      </c>
      <c r="P3239">
        <v>0.81723330000000005</v>
      </c>
      <c r="Q3239">
        <v>0.1975256</v>
      </c>
      <c r="R3239">
        <v>-0.5414002</v>
      </c>
      <c r="S3239">
        <v>1.9708859999999999</v>
      </c>
      <c r="T3239">
        <v>0.28654410000000002</v>
      </c>
      <c r="U3239">
        <v>-2.4928590000000002</v>
      </c>
      <c r="V3239">
        <v>0.14446600000000001</v>
      </c>
      <c r="W3239">
        <v>0.20791270000000001</v>
      </c>
      <c r="X3239">
        <v>0.96742019999999995</v>
      </c>
      <c r="Y3239">
        <v>0.44161889999999998</v>
      </c>
      <c r="Z3239">
        <v>-3.0061879999999999E-2</v>
      </c>
      <c r="AA3239">
        <v>0.89669900000000002</v>
      </c>
      <c r="AB3239">
        <v>36</v>
      </c>
      <c r="AC3239">
        <v>25.922799999999899</v>
      </c>
      <c r="AD3239">
        <v>3.8141229999999999</v>
      </c>
      <c r="AE3239">
        <v>-33.025100000000002</v>
      </c>
      <c r="AF3239">
        <v>18.493937513912101</v>
      </c>
      <c r="AG3239">
        <v>3.8141229999999999</v>
      </c>
      <c r="AH3239">
        <v>37.307965175584599</v>
      </c>
      <c r="AI3239">
        <v>84.7664802653279</v>
      </c>
      <c r="AJ3239">
        <v>63.631917658806302</v>
      </c>
      <c r="AK3239">
        <v>41.814561154820801</v>
      </c>
      <c r="AL3239">
        <v>77.999940638775399</v>
      </c>
      <c r="AM3239">
        <v>81.506715386909704</v>
      </c>
      <c r="AN3239">
        <v>0.99999997967266396</v>
      </c>
    </row>
    <row r="3240" spans="1:40" x14ac:dyDescent="0.25">
      <c r="A3240" t="str">
        <f>"20190303171041100"</f>
        <v>20190303171041100</v>
      </c>
      <c r="B3240" t="str">
        <f>"1551604241094235"</f>
        <v>1551604241094235</v>
      </c>
      <c r="C3240" t="s">
        <v>40</v>
      </c>
      <c r="D3240">
        <v>4.6041829999999999</v>
      </c>
      <c r="E3240">
        <v>0.63526819999999995</v>
      </c>
      <c r="F3240" t="s">
        <v>82</v>
      </c>
      <c r="G3240">
        <v>-171.4273</v>
      </c>
      <c r="H3240">
        <v>4.92</v>
      </c>
      <c r="I3240">
        <v>177.6498</v>
      </c>
      <c r="J3240">
        <v>-196.74260000000001</v>
      </c>
      <c r="K3240">
        <v>1.1055870000000001</v>
      </c>
      <c r="L3240">
        <v>211.23310000000001</v>
      </c>
      <c r="M3240">
        <v>0.8941635</v>
      </c>
      <c r="N3240">
        <v>-1.6099349999999998E-2</v>
      </c>
      <c r="O3240">
        <v>-0.44745079999999998</v>
      </c>
      <c r="P3240">
        <v>0.80592010000000003</v>
      </c>
      <c r="Q3240">
        <v>0.1982524</v>
      </c>
      <c r="R3240">
        <v>-0.55784290000000003</v>
      </c>
      <c r="S3240">
        <v>1.924652</v>
      </c>
      <c r="T3240">
        <v>0.285939</v>
      </c>
      <c r="U3240">
        <v>-2.5316770000000002</v>
      </c>
      <c r="V3240">
        <v>0.14604710000000001</v>
      </c>
      <c r="W3240">
        <v>0.20857590000000001</v>
      </c>
      <c r="X3240">
        <v>0.96704000000000001</v>
      </c>
      <c r="Y3240">
        <v>0.44175920000000002</v>
      </c>
      <c r="Z3240">
        <v>-3.1994809999999999E-2</v>
      </c>
      <c r="AA3240">
        <v>0.896562999999999</v>
      </c>
      <c r="AB3240">
        <v>36</v>
      </c>
      <c r="AC3240">
        <v>25.315300000000001</v>
      </c>
      <c r="AD3240">
        <v>3.8144129999999898</v>
      </c>
      <c r="AE3240">
        <v>-33.583300000000001</v>
      </c>
      <c r="AF3240">
        <v>18.5514278183405</v>
      </c>
      <c r="AG3240">
        <v>3.8144129999999898</v>
      </c>
      <c r="AH3240">
        <v>37.360442396493099</v>
      </c>
      <c r="AI3240">
        <v>84.775138652067497</v>
      </c>
      <c r="AJ3240">
        <v>63.593180095014802</v>
      </c>
      <c r="AK3240">
        <v>41.8868461058522</v>
      </c>
      <c r="AL3240">
        <v>77.961090744708997</v>
      </c>
      <c r="AM3240">
        <v>81.411813897010305</v>
      </c>
      <c r="AN3240">
        <v>1.0000000115396099</v>
      </c>
    </row>
    <row r="3241" spans="1:40" x14ac:dyDescent="0.25">
      <c r="A3241" t="str">
        <f>"20190303171041120"</f>
        <v>20190303171041120</v>
      </c>
      <c r="B3241" t="str">
        <f>"1551604241104501"</f>
        <v>1551604241104501</v>
      </c>
      <c r="C3241" t="s">
        <v>40</v>
      </c>
      <c r="D3241">
        <v>4.6286149999999999</v>
      </c>
      <c r="E3241">
        <v>0.63577649999999997</v>
      </c>
      <c r="F3241" t="s">
        <v>43</v>
      </c>
      <c r="G3241">
        <v>-196.26349999999999</v>
      </c>
      <c r="H3241">
        <v>1.1795910000000001</v>
      </c>
      <c r="I3241">
        <v>210.56960000000001</v>
      </c>
      <c r="J3241">
        <v>-196.45320000000001</v>
      </c>
      <c r="K3241">
        <v>1.1053729999999999</v>
      </c>
      <c r="L3241">
        <v>211.07560000000001</v>
      </c>
      <c r="M3241">
        <v>0.88704959999999899</v>
      </c>
      <c r="N3241">
        <v>-1.6175200000000001E-2</v>
      </c>
      <c r="O3241">
        <v>-0.46139089999999999</v>
      </c>
      <c r="P3241">
        <v>0.79635540000000005</v>
      </c>
      <c r="Q3241">
        <v>0.19857430000000001</v>
      </c>
      <c r="R3241">
        <v>-0.57130239999999999</v>
      </c>
      <c r="S3241">
        <v>1.864304</v>
      </c>
      <c r="T3241">
        <v>0.28800989999999999</v>
      </c>
      <c r="U3241">
        <v>-2.5821230000000002</v>
      </c>
      <c r="V3241">
        <v>0.14731749999999999</v>
      </c>
      <c r="W3241">
        <v>0.2088487</v>
      </c>
      <c r="X3241">
        <v>0.96678839999999999</v>
      </c>
      <c r="Y3241">
        <v>0.44985910000000001</v>
      </c>
      <c r="Z3241">
        <v>-3.3458080000000001E-2</v>
      </c>
      <c r="AA3241">
        <v>0.89247259999999995</v>
      </c>
      <c r="AB3241">
        <v>35</v>
      </c>
      <c r="AC3241">
        <v>0.18970000000001599</v>
      </c>
      <c r="AD3241">
        <v>7.4218000000000103E-2</v>
      </c>
      <c r="AE3241">
        <v>-0.50600000000000001</v>
      </c>
      <c r="AF3241">
        <v>0.35467831173641801</v>
      </c>
      <c r="AG3241">
        <v>7.4218000000000103E-2</v>
      </c>
      <c r="AH3241">
        <v>0.39435112219503099</v>
      </c>
      <c r="AI3241">
        <v>82.034210920285105</v>
      </c>
      <c r="AJ3241">
        <v>48.0318736003833</v>
      </c>
      <c r="AK3241">
        <v>0.53555375446044295</v>
      </c>
      <c r="AL3241">
        <v>77.945108557155393</v>
      </c>
      <c r="AM3241">
        <v>81.336017308033902</v>
      </c>
      <c r="AN3241">
        <v>1.00000001783624</v>
      </c>
    </row>
    <row r="3242" spans="1:40" x14ac:dyDescent="0.25">
      <c r="A3242" t="str">
        <f>"20190303171041142"</f>
        <v>20190303171041142</v>
      </c>
      <c r="B3242" t="str">
        <f>"1551604241133781"</f>
        <v>1551604241133781</v>
      </c>
      <c r="C3242" t="s">
        <v>40</v>
      </c>
      <c r="D3242">
        <v>4.471679</v>
      </c>
      <c r="E3242">
        <v>0.63594819999999996</v>
      </c>
      <c r="F3242" t="s">
        <v>43</v>
      </c>
      <c r="G3242">
        <v>-195.971</v>
      </c>
      <c r="H3242">
        <v>1.1792469999999999</v>
      </c>
      <c r="I3242">
        <v>210.38220000000001</v>
      </c>
      <c r="J3242">
        <v>-196.1361</v>
      </c>
      <c r="K3242">
        <v>1.1051359999999999</v>
      </c>
      <c r="L3242">
        <v>210.89599999999999</v>
      </c>
      <c r="M3242">
        <v>0.87881520000000002</v>
      </c>
      <c r="N3242">
        <v>-1.6257420000000002E-2</v>
      </c>
      <c r="O3242">
        <v>-0.47688540000000001</v>
      </c>
      <c r="P3242">
        <v>0.78618009999999905</v>
      </c>
      <c r="Q3242">
        <v>0.1974061</v>
      </c>
      <c r="R3242">
        <v>-0.58562099999999995</v>
      </c>
      <c r="S3242">
        <v>1.820236</v>
      </c>
      <c r="T3242">
        <v>0.27881519999999999</v>
      </c>
      <c r="U3242">
        <v>-2.6169739999999999</v>
      </c>
      <c r="V3242">
        <v>0.14777799999999999</v>
      </c>
      <c r="W3242">
        <v>0.207672</v>
      </c>
      <c r="X3242">
        <v>0.96697160000000004</v>
      </c>
      <c r="Y3242">
        <v>0.44993739999999999</v>
      </c>
      <c r="Z3242">
        <v>-3.4513870000000002E-2</v>
      </c>
      <c r="AA3242">
        <v>0.89239290000000004</v>
      </c>
      <c r="AB3242">
        <v>35</v>
      </c>
      <c r="AC3242">
        <v>0.16510000000002301</v>
      </c>
      <c r="AD3242">
        <v>7.4110999999999802E-2</v>
      </c>
      <c r="AE3242">
        <v>-0.51379999999997406</v>
      </c>
      <c r="AF3242">
        <v>0.36594954615068997</v>
      </c>
      <c r="AG3242">
        <v>7.4110999999999802E-2</v>
      </c>
      <c r="AH3242">
        <v>0.38294594868169202</v>
      </c>
      <c r="AI3242">
        <v>82.035159705271198</v>
      </c>
      <c r="AJ3242">
        <v>46.300121302279599</v>
      </c>
      <c r="AK3242">
        <v>0.53484494038984598</v>
      </c>
      <c r="AL3242">
        <v>78.014040154584904</v>
      </c>
      <c r="AM3242">
        <v>81.310968788185903</v>
      </c>
      <c r="AN3242">
        <v>1.0000000360372701</v>
      </c>
    </row>
    <row r="3243" spans="1:40" x14ac:dyDescent="0.25">
      <c r="A3243" t="str">
        <f>"20190303171041165"</f>
        <v>20190303171041165</v>
      </c>
      <c r="B3243" t="str">
        <f>"1551604241154278"</f>
        <v>1551604241154278</v>
      </c>
      <c r="C3243" t="s">
        <v>40</v>
      </c>
      <c r="D3243">
        <v>4.4625110000000001</v>
      </c>
      <c r="E3243">
        <v>0.6358625</v>
      </c>
      <c r="F3243" t="s">
        <v>43</v>
      </c>
      <c r="G3243">
        <v>-195.6771</v>
      </c>
      <c r="H3243">
        <v>1.178577</v>
      </c>
      <c r="I3243">
        <v>210.209</v>
      </c>
      <c r="J3243">
        <v>-195.8312</v>
      </c>
      <c r="K3243">
        <v>1.104919</v>
      </c>
      <c r="L3243">
        <v>210.71629999999999</v>
      </c>
      <c r="M3243">
        <v>0.87045219999999901</v>
      </c>
      <c r="N3243">
        <v>-1.633333E-2</v>
      </c>
      <c r="O3243">
        <v>-0.49198190000000003</v>
      </c>
      <c r="P3243">
        <v>0.77599130000000005</v>
      </c>
      <c r="Q3243">
        <v>0.1960624</v>
      </c>
      <c r="R3243">
        <v>-0.59949759999999996</v>
      </c>
      <c r="S3243">
        <v>1.77092</v>
      </c>
      <c r="T3243">
        <v>0.28329280000000001</v>
      </c>
      <c r="U3243">
        <v>-2.6498719999999998</v>
      </c>
      <c r="V3243">
        <v>0.14815320000000001</v>
      </c>
      <c r="W3243">
        <v>0.20632339999999999</v>
      </c>
      <c r="X3243">
        <v>0.96720280000000003</v>
      </c>
      <c r="Y3243">
        <v>0.45118200000000003</v>
      </c>
      <c r="Z3243">
        <v>-3.662381E-2</v>
      </c>
      <c r="AA3243">
        <v>0.89168009999999998</v>
      </c>
      <c r="AB3243">
        <v>35</v>
      </c>
      <c r="AC3243">
        <v>0.15409999999999899</v>
      </c>
      <c r="AD3243">
        <v>7.3658000000000001E-2</v>
      </c>
      <c r="AE3243">
        <v>-0.50729999999998598</v>
      </c>
      <c r="AF3243">
        <v>0.35888790899193501</v>
      </c>
      <c r="AG3243">
        <v>7.3658000000000001E-2</v>
      </c>
      <c r="AH3243">
        <v>0.37650341962059197</v>
      </c>
      <c r="AI3243">
        <v>81.9399746235094</v>
      </c>
      <c r="AJ3243">
        <v>46.372196542070199</v>
      </c>
      <c r="AK3243">
        <v>0.52533880227011898</v>
      </c>
      <c r="AL3243">
        <v>78.093019231645599</v>
      </c>
      <c r="AM3243">
        <v>81.291296071769196</v>
      </c>
      <c r="AN3243">
        <v>0.99999998619282005</v>
      </c>
    </row>
    <row r="3244" spans="1:40" x14ac:dyDescent="0.25">
      <c r="A3244" t="str">
        <f>"20190303171041186"</f>
        <v>20190303171041186</v>
      </c>
      <c r="B3244" t="str">
        <f>"1551604241173798"</f>
        <v>1551604241173798</v>
      </c>
      <c r="C3244" t="s">
        <v>40</v>
      </c>
      <c r="D3244">
        <v>4.4570780000000001</v>
      </c>
      <c r="E3244">
        <v>0.63551059999999904</v>
      </c>
      <c r="F3244" t="s">
        <v>43</v>
      </c>
      <c r="G3244">
        <v>-195.386</v>
      </c>
      <c r="H3244">
        <v>1.1780539999999999</v>
      </c>
      <c r="I3244">
        <v>210.02430000000001</v>
      </c>
      <c r="J3244">
        <v>-195.52629999999999</v>
      </c>
      <c r="K3244">
        <v>1.1047169999999999</v>
      </c>
      <c r="L3244">
        <v>210.52940000000001</v>
      </c>
      <c r="M3244">
        <v>0.86163690000000004</v>
      </c>
      <c r="N3244">
        <v>-1.6406569999999999E-2</v>
      </c>
      <c r="O3244">
        <v>-0.50726000000000004</v>
      </c>
      <c r="P3244">
        <v>0.7652892</v>
      </c>
      <c r="Q3244">
        <v>0.19573450000000001</v>
      </c>
      <c r="R3244">
        <v>-0.61320529999999995</v>
      </c>
      <c r="S3244">
        <v>1.72416699999999</v>
      </c>
      <c r="T3244">
        <v>0.28324429999999901</v>
      </c>
      <c r="U3244">
        <v>-2.679764</v>
      </c>
      <c r="V3244">
        <v>0.1483352</v>
      </c>
      <c r="W3244">
        <v>0.20599719999999999</v>
      </c>
      <c r="X3244">
        <v>0.9672444</v>
      </c>
      <c r="Y3244">
        <v>0.45101849999999999</v>
      </c>
      <c r="Z3244">
        <v>-3.8436600000000001E-2</v>
      </c>
      <c r="AA3244">
        <v>0.8916866</v>
      </c>
      <c r="AB3244">
        <v>35</v>
      </c>
      <c r="AC3244">
        <v>0.14029999999999601</v>
      </c>
      <c r="AD3244">
        <v>7.3337000000000194E-2</v>
      </c>
      <c r="AE3244">
        <v>-0.505099999999998</v>
      </c>
      <c r="AF3244">
        <v>0.357104322490506</v>
      </c>
      <c r="AG3244">
        <v>7.3337000000000194E-2</v>
      </c>
      <c r="AH3244">
        <v>0.369915809363554</v>
      </c>
      <c r="AI3244">
        <v>81.8824050014656</v>
      </c>
      <c r="AJ3244">
        <v>46.009556857835904</v>
      </c>
      <c r="AK3244">
        <v>0.51936453356722101</v>
      </c>
      <c r="AL3244">
        <v>78.112119028601697</v>
      </c>
      <c r="AM3244">
        <v>81.281131344493502</v>
      </c>
      <c r="AN3244">
        <v>0.99999995364911798</v>
      </c>
    </row>
    <row r="3245" spans="1:40" x14ac:dyDescent="0.25">
      <c r="A3245" t="str">
        <f>"20190303171041210"</f>
        <v>20190303171041210</v>
      </c>
      <c r="B3245" t="str">
        <f>"1551604241203585"</f>
        <v>1551604241203585</v>
      </c>
      <c r="C3245" t="s">
        <v>40</v>
      </c>
      <c r="D3245">
        <v>4.3840110000000001</v>
      </c>
      <c r="E3245">
        <v>0.63512789999999997</v>
      </c>
      <c r="F3245" t="s">
        <v>82</v>
      </c>
      <c r="G3245">
        <v>-173.11590000000001</v>
      </c>
      <c r="H3245">
        <v>4.92</v>
      </c>
      <c r="I3245">
        <v>174.36070000000001</v>
      </c>
      <c r="J3245">
        <v>-195.20930000000001</v>
      </c>
      <c r="K3245">
        <v>1.104538</v>
      </c>
      <c r="L3245">
        <v>210.3272</v>
      </c>
      <c r="M3245">
        <v>0.85196700000000003</v>
      </c>
      <c r="N3245">
        <v>-1.648109E-2</v>
      </c>
      <c r="O3245">
        <v>-0.52333609999999997</v>
      </c>
      <c r="P3245">
        <v>0.75368599999999997</v>
      </c>
      <c r="Q3245">
        <v>0.19686000000000001</v>
      </c>
      <c r="R3245">
        <v>-0.62705949999999999</v>
      </c>
      <c r="S3245">
        <v>1.677597</v>
      </c>
      <c r="T3245">
        <v>0.28560609999999997</v>
      </c>
      <c r="U3245">
        <v>-2.7075200000000001</v>
      </c>
      <c r="V3245">
        <v>0.148117</v>
      </c>
      <c r="W3245">
        <v>0.20713980000000001</v>
      </c>
      <c r="X3245">
        <v>0.9670339</v>
      </c>
      <c r="Y3245">
        <v>0.44950709999999999</v>
      </c>
      <c r="Z3245">
        <v>-4.0646920000000003E-2</v>
      </c>
      <c r="AA3245">
        <v>0.89235149999999996</v>
      </c>
      <c r="AB3245">
        <v>35</v>
      </c>
      <c r="AC3245">
        <v>22.093399999999999</v>
      </c>
      <c r="AD3245">
        <v>3.8154620000000001</v>
      </c>
      <c r="AE3245">
        <v>-35.966500000000003</v>
      </c>
      <c r="AF3245">
        <v>18.927934520351599</v>
      </c>
      <c r="AG3245">
        <v>3.8154620000000001</v>
      </c>
      <c r="AH3245">
        <v>37.345391037759597</v>
      </c>
      <c r="AI3245">
        <v>84.792998553923496</v>
      </c>
      <c r="AJ3245">
        <v>63.122533247286498</v>
      </c>
      <c r="AK3245">
        <v>42.041677978445797</v>
      </c>
      <c r="AL3245">
        <v>78.045210980552795</v>
      </c>
      <c r="AM3245">
        <v>81.291893991410305</v>
      </c>
      <c r="AN3245">
        <v>1.0000000530911199</v>
      </c>
    </row>
    <row r="3246" spans="1:40" x14ac:dyDescent="0.25">
      <c r="A3246" t="str">
        <f>"20190303171041243"</f>
        <v>20190303171041243</v>
      </c>
      <c r="B3246" t="str">
        <f>"1551604241233840"</f>
        <v>1551604241233840</v>
      </c>
      <c r="C3246" t="s">
        <v>40</v>
      </c>
      <c r="D3246">
        <v>4.3627699999999896</v>
      </c>
      <c r="E3246">
        <v>0.63676790000000005</v>
      </c>
      <c r="F3246" t="s">
        <v>82</v>
      </c>
      <c r="G3246">
        <v>-174.04820000000001</v>
      </c>
      <c r="H3246">
        <v>4.92</v>
      </c>
      <c r="I3246">
        <v>174.78710000000001</v>
      </c>
      <c r="J3246">
        <v>-194.77510000000001</v>
      </c>
      <c r="K3246">
        <v>1.104295</v>
      </c>
      <c r="L3246">
        <v>210.0361</v>
      </c>
      <c r="M3246">
        <v>0.83783799999999997</v>
      </c>
      <c r="N3246">
        <v>-1.6581160000000001E-2</v>
      </c>
      <c r="O3246">
        <v>-0.54566700000000001</v>
      </c>
      <c r="P3246">
        <v>0.73731530000000001</v>
      </c>
      <c r="Q3246">
        <v>0.1985372</v>
      </c>
      <c r="R3246">
        <v>-0.64571599999999996</v>
      </c>
      <c r="S3246">
        <v>1.6283570000000001</v>
      </c>
      <c r="T3246">
        <v>0.29360350000000002</v>
      </c>
      <c r="U3246">
        <v>-2.7348330000000001</v>
      </c>
      <c r="V3246">
        <v>0.14717949999999999</v>
      </c>
      <c r="W3246">
        <v>0.20887020000000001</v>
      </c>
      <c r="X3246">
        <v>0.96680469999999996</v>
      </c>
      <c r="Y3246">
        <v>0.44177139999999998</v>
      </c>
      <c r="Z3246">
        <v>-4.4499490000000003E-2</v>
      </c>
      <c r="AA3246">
        <v>0.89602329999999997</v>
      </c>
      <c r="AB3246">
        <v>35</v>
      </c>
      <c r="AC3246">
        <v>20.726900000000001</v>
      </c>
      <c r="AD3246">
        <v>3.8157049999999999</v>
      </c>
      <c r="AE3246">
        <v>-35.248999999999903</v>
      </c>
      <c r="AF3246">
        <v>18.0681460982936</v>
      </c>
      <c r="AG3246">
        <v>3.8157049999999999</v>
      </c>
      <c r="AH3246">
        <v>36.289051139388</v>
      </c>
      <c r="AI3246">
        <v>84.622823399181101</v>
      </c>
      <c r="AJ3246">
        <v>63.531504770647601</v>
      </c>
      <c r="AK3246">
        <v>40.717474635264701</v>
      </c>
      <c r="AL3246">
        <v>77.943848048177898</v>
      </c>
      <c r="AM3246">
        <v>81.344154054130399</v>
      </c>
      <c r="AN3246">
        <v>0.999999946805188</v>
      </c>
    </row>
    <row r="3247" spans="1:40" x14ac:dyDescent="0.25">
      <c r="A3247" t="str">
        <f>"20190303171041265"</f>
        <v>20190303171041265</v>
      </c>
      <c r="B3247" t="str">
        <f>"1551604241254336"</f>
        <v>1551604241254336</v>
      </c>
      <c r="C3247" t="s">
        <v>40</v>
      </c>
      <c r="D3247">
        <v>4.5083320000000002</v>
      </c>
      <c r="E3247">
        <v>0.62811349999999999</v>
      </c>
      <c r="F3247" t="s">
        <v>51</v>
      </c>
      <c r="G3247">
        <v>-142.08600000000001</v>
      </c>
      <c r="H3247">
        <v>1.1429020000000001</v>
      </c>
      <c r="I3247">
        <v>117.90049999999999</v>
      </c>
      <c r="J3247">
        <v>-194.4864</v>
      </c>
      <c r="K3247">
        <v>1.1041399999999999</v>
      </c>
      <c r="L3247">
        <v>209.8331</v>
      </c>
      <c r="M3247">
        <v>0.82784990000000003</v>
      </c>
      <c r="N3247">
        <v>-1.6646330000000001E-2</v>
      </c>
      <c r="O3247">
        <v>-0.5607029</v>
      </c>
      <c r="P3247">
        <v>0.72554649999999998</v>
      </c>
      <c r="Q3247">
        <v>0.1980778</v>
      </c>
      <c r="R3247">
        <v>-0.65905049999999998</v>
      </c>
      <c r="S3247">
        <v>1.607208</v>
      </c>
      <c r="T3247">
        <v>1.177907E-3</v>
      </c>
      <c r="U3247">
        <v>-2.8104710000000002</v>
      </c>
      <c r="V3247">
        <v>0.14733840000000001</v>
      </c>
      <c r="W3247">
        <v>0.2084201</v>
      </c>
      <c r="X3247">
        <v>0.9668776</v>
      </c>
      <c r="Y3247">
        <v>0.44035960000000002</v>
      </c>
      <c r="Z3247">
        <v>-1.266717E-2</v>
      </c>
      <c r="AA3247">
        <v>0.89773210000000003</v>
      </c>
      <c r="AB3247">
        <v>35</v>
      </c>
      <c r="AC3247">
        <v>52.400399999999898</v>
      </c>
      <c r="AD3247">
        <v>3.8762000000000102E-2</v>
      </c>
      <c r="AE3247">
        <v>-91.932599999999994</v>
      </c>
      <c r="AF3247">
        <v>46.731799357934001</v>
      </c>
      <c r="AG3247">
        <v>3.8762000000000102E-2</v>
      </c>
      <c r="AH3247">
        <v>94.939669194205194</v>
      </c>
      <c r="AI3247">
        <v>89.979012043380706</v>
      </c>
      <c r="AJ3247">
        <v>63.792377101186297</v>
      </c>
      <c r="AK3247">
        <v>105.817783762598</v>
      </c>
      <c r="AL3247">
        <v>77.970216874401004</v>
      </c>
      <c r="AM3247">
        <v>81.335594082018602</v>
      </c>
      <c r="AN3247">
        <v>0.99999991779016095</v>
      </c>
    </row>
    <row r="3248" spans="1:40" x14ac:dyDescent="0.25">
      <c r="A3248" t="str">
        <f>"20190303171041287"</f>
        <v>20190303171041287</v>
      </c>
      <c r="B3248" t="str">
        <f>"1551604241273857"</f>
        <v>1551604241273857</v>
      </c>
      <c r="C3248" t="s">
        <v>40</v>
      </c>
      <c r="D3248">
        <v>4.3552210000000002</v>
      </c>
      <c r="E3248">
        <v>0.62605559999999905</v>
      </c>
      <c r="F3248" t="s">
        <v>43</v>
      </c>
      <c r="G3248">
        <v>-194.13980000000001</v>
      </c>
      <c r="H3248">
        <v>1.1889320000000001</v>
      </c>
      <c r="I3248">
        <v>209.2089</v>
      </c>
      <c r="J3248">
        <v>-194.20179999999999</v>
      </c>
      <c r="K3248">
        <v>1.1040030000000001</v>
      </c>
      <c r="L3248">
        <v>209.6251</v>
      </c>
      <c r="M3248">
        <v>0.81751770000000001</v>
      </c>
      <c r="N3248">
        <v>-1.6708310000000001E-2</v>
      </c>
      <c r="O3248">
        <v>-0.57566110000000004</v>
      </c>
      <c r="P3248">
        <v>0.71370409999999995</v>
      </c>
      <c r="Q3248">
        <v>0.19849890000000001</v>
      </c>
      <c r="R3248">
        <v>-0.67173249999999995</v>
      </c>
      <c r="S3248">
        <v>1.5305789999999999</v>
      </c>
      <c r="T3248">
        <v>0.37419029999999998</v>
      </c>
      <c r="U3248">
        <v>-2.7545320000000002</v>
      </c>
      <c r="V3248">
        <v>0.14694760000000001</v>
      </c>
      <c r="W3248">
        <v>0.2088729</v>
      </c>
      <c r="X3248">
        <v>0.96683940000000002</v>
      </c>
      <c r="Y3248">
        <v>0.43651610000000002</v>
      </c>
      <c r="Z3248">
        <v>-5.8534419999999997E-2</v>
      </c>
      <c r="AA3248">
        <v>0.89779030000000004</v>
      </c>
      <c r="AB3248">
        <v>35</v>
      </c>
      <c r="AC3248">
        <v>6.1999999999983402E-2</v>
      </c>
      <c r="AD3248">
        <v>8.4928999999999796E-2</v>
      </c>
      <c r="AE3248">
        <v>-0.41620000000000301</v>
      </c>
      <c r="AF3248">
        <v>0.29267985525972101</v>
      </c>
      <c r="AG3248">
        <v>8.4928999999999796E-2</v>
      </c>
      <c r="AH3248">
        <v>0.278953388177555</v>
      </c>
      <c r="AI3248">
        <v>78.137326584567006</v>
      </c>
      <c r="AJ3248">
        <v>43.624437030741099</v>
      </c>
      <c r="AK3248">
        <v>0.41314576784905999</v>
      </c>
      <c r="AL3248">
        <v>77.943689966175597</v>
      </c>
      <c r="AM3248">
        <v>81.357891844479695</v>
      </c>
      <c r="AN3248">
        <v>0.99999995544626397</v>
      </c>
    </row>
    <row r="3249" spans="1:40" x14ac:dyDescent="0.25">
      <c r="A3249" t="str">
        <f>"20190303171041310"</f>
        <v>20190303171041310</v>
      </c>
      <c r="B3249" t="str">
        <f>"1551604241303643"</f>
        <v>1551604241303643</v>
      </c>
      <c r="C3249" t="s">
        <v>40</v>
      </c>
      <c r="D3249">
        <v>4.7050280000000004</v>
      </c>
      <c r="E3249">
        <v>0.62546489999999999</v>
      </c>
      <c r="F3249" t="s">
        <v>43</v>
      </c>
      <c r="G3249">
        <v>-193.88140000000001</v>
      </c>
      <c r="H3249">
        <v>1.183967</v>
      </c>
      <c r="I3249">
        <v>209.03100000000001</v>
      </c>
      <c r="J3249">
        <v>-193.90719999999999</v>
      </c>
      <c r="K3249">
        <v>1.103888</v>
      </c>
      <c r="L3249">
        <v>209.4015</v>
      </c>
      <c r="M3249">
        <v>0.80629790000000001</v>
      </c>
      <c r="N3249">
        <v>-1.6769139999999998E-2</v>
      </c>
      <c r="O3249">
        <v>-0.59127220000000003</v>
      </c>
      <c r="P3249">
        <v>0.70108590000000004</v>
      </c>
      <c r="Q3249">
        <v>0.1991443</v>
      </c>
      <c r="R3249">
        <v>-0.68470439999999999</v>
      </c>
      <c r="S3249">
        <v>1.4931490000000001</v>
      </c>
      <c r="T3249">
        <v>0.37272060000000001</v>
      </c>
      <c r="U3249">
        <v>-2.7694700000000001</v>
      </c>
      <c r="V3249">
        <v>0.146282299999999</v>
      </c>
      <c r="W3249">
        <v>0.20956259999999999</v>
      </c>
      <c r="X3249">
        <v>0.96679110000000001</v>
      </c>
      <c r="Y3249">
        <v>0.43070809999999998</v>
      </c>
      <c r="Z3249">
        <v>-6.1105699999999999E-2</v>
      </c>
      <c r="AA3249">
        <v>0.900420199999999</v>
      </c>
      <c r="AB3249">
        <v>35</v>
      </c>
      <c r="AC3249">
        <v>2.5799999999975402E-2</v>
      </c>
      <c r="AD3249">
        <v>8.0078999999999997E-2</v>
      </c>
      <c r="AE3249">
        <v>-0.37050000000002098</v>
      </c>
      <c r="AF3249">
        <v>0.27092313963401898</v>
      </c>
      <c r="AG3249">
        <v>8.0078999999999997E-2</v>
      </c>
      <c r="AH3249">
        <v>0.22924492281156</v>
      </c>
      <c r="AI3249">
        <v>77.284746906527602</v>
      </c>
      <c r="AJ3249">
        <v>40.236637603096597</v>
      </c>
      <c r="AK3249">
        <v>0.36382032442543999</v>
      </c>
      <c r="AL3249">
        <v>77.903279430863904</v>
      </c>
      <c r="AM3249">
        <v>81.396008473307603</v>
      </c>
      <c r="AN3249">
        <v>1.0000000128256299</v>
      </c>
    </row>
    <row r="3250" spans="1:40" x14ac:dyDescent="0.25">
      <c r="A3250" t="str">
        <f>"20190303171041333"</f>
        <v>20190303171041333</v>
      </c>
      <c r="B3250" t="str">
        <f>"1551604241324140"</f>
        <v>1551604241324140</v>
      </c>
      <c r="C3250" t="s">
        <v>40</v>
      </c>
      <c r="D3250">
        <v>4.5515999999999996</v>
      </c>
      <c r="E3250">
        <v>0.63703889999999996</v>
      </c>
      <c r="F3250" t="s">
        <v>43</v>
      </c>
      <c r="G3250">
        <v>-193.61920000000001</v>
      </c>
      <c r="H3250">
        <v>1.179014</v>
      </c>
      <c r="I3250">
        <v>208.8441</v>
      </c>
      <c r="J3250">
        <v>-193.6232</v>
      </c>
      <c r="K3250">
        <v>1.1037699999999999</v>
      </c>
      <c r="L3250">
        <v>209.1773</v>
      </c>
      <c r="M3250">
        <v>0.79495159999999998</v>
      </c>
      <c r="N3250">
        <v>-1.6824390000000002E-2</v>
      </c>
      <c r="O3250">
        <v>-0.60643950000000002</v>
      </c>
      <c r="P3250">
        <v>0.68805890000000003</v>
      </c>
      <c r="Q3250">
        <v>0.20046320000000001</v>
      </c>
      <c r="R3250">
        <v>-0.69741640000000005</v>
      </c>
      <c r="S3250">
        <v>1.444061</v>
      </c>
      <c r="T3250">
        <v>0.37649460000000001</v>
      </c>
      <c r="U3250">
        <v>-2.7933500000000002</v>
      </c>
      <c r="V3250">
        <v>0.14599889999999999</v>
      </c>
      <c r="W3250">
        <v>0.2109066</v>
      </c>
      <c r="X3250">
        <v>0.9665416</v>
      </c>
      <c r="Y3250">
        <v>0.42932930000000002</v>
      </c>
      <c r="Z3250">
        <v>-6.4041630000000002E-2</v>
      </c>
      <c r="AA3250">
        <v>0.90087459999999997</v>
      </c>
      <c r="AB3250">
        <v>35</v>
      </c>
      <c r="AC3250">
        <v>3.9999999999906699E-3</v>
      </c>
      <c r="AD3250">
        <v>7.5243999999999797E-2</v>
      </c>
      <c r="AE3250">
        <v>-0.33320000000000499</v>
      </c>
      <c r="AF3250">
        <v>0.24975468551125199</v>
      </c>
      <c r="AG3250">
        <v>7.5243999999999797E-2</v>
      </c>
      <c r="AH3250">
        <v>0.19531567594516899</v>
      </c>
      <c r="AI3250">
        <v>76.649569325528503</v>
      </c>
      <c r="AJ3250">
        <v>38.026476824407098</v>
      </c>
      <c r="AK3250">
        <v>0.32586389143435801</v>
      </c>
      <c r="AL3250">
        <v>77.824513009800597</v>
      </c>
      <c r="AM3250">
        <v>81.4102449544487</v>
      </c>
      <c r="AN3250">
        <v>0.99999996862766405</v>
      </c>
    </row>
    <row r="3251" spans="1:40" x14ac:dyDescent="0.25">
      <c r="A3251" t="str">
        <f>"20190303171041354"</f>
        <v>20190303171041354</v>
      </c>
      <c r="B3251" t="str">
        <f>"1551604241343660"</f>
        <v>1551604241343660</v>
      </c>
      <c r="C3251" t="s">
        <v>40</v>
      </c>
      <c r="D3251">
        <v>4.4952019999999999</v>
      </c>
      <c r="E3251">
        <v>0.68878689999999998</v>
      </c>
      <c r="F3251" t="s">
        <v>83</v>
      </c>
      <c r="G3251">
        <v>-174.61</v>
      </c>
      <c r="H3251">
        <v>5.7084549999999998</v>
      </c>
      <c r="I3251">
        <v>168.05459999999999</v>
      </c>
      <c r="J3251">
        <v>-193.3623</v>
      </c>
      <c r="K3251">
        <v>1.1036600000000001</v>
      </c>
      <c r="L3251">
        <v>208.96340000000001</v>
      </c>
      <c r="M3251">
        <v>0.78403990000000001</v>
      </c>
      <c r="N3251">
        <v>-1.6872350000000001E-2</v>
      </c>
      <c r="O3251">
        <v>-0.62048139999999996</v>
      </c>
      <c r="P3251">
        <v>0.67459820000000004</v>
      </c>
      <c r="Q3251">
        <v>0.2005721</v>
      </c>
      <c r="R3251">
        <v>-0.71041460000000001</v>
      </c>
      <c r="S3251">
        <v>1.3363039999999999</v>
      </c>
      <c r="T3251">
        <v>0.32363049999999999</v>
      </c>
      <c r="U3251">
        <v>-2.890228</v>
      </c>
      <c r="V3251">
        <v>0.14732390000000001</v>
      </c>
      <c r="W3251">
        <v>0.2109723</v>
      </c>
      <c r="X3251">
        <v>0.96632620000000002</v>
      </c>
      <c r="Y3251">
        <v>0.45251629999999998</v>
      </c>
      <c r="Z3251">
        <v>-5.742742E-2</v>
      </c>
      <c r="AA3251">
        <v>0.88990509999999901</v>
      </c>
      <c r="AB3251">
        <v>35</v>
      </c>
      <c r="AC3251">
        <v>18.752299999999899</v>
      </c>
      <c r="AD3251">
        <v>4.6047950000000002</v>
      </c>
      <c r="AE3251">
        <v>-40.908799999999999</v>
      </c>
      <c r="AF3251">
        <v>20.2297728697562</v>
      </c>
      <c r="AG3251">
        <v>4.6047950000000002</v>
      </c>
      <c r="AH3251">
        <v>39.675982011872499</v>
      </c>
      <c r="AI3251">
        <v>84.0968436450122</v>
      </c>
      <c r="AJ3251">
        <v>62.984123506287197</v>
      </c>
      <c r="AK3251">
        <v>44.773110188598402</v>
      </c>
      <c r="AL3251">
        <v>77.820662214634496</v>
      </c>
      <c r="AM3251">
        <v>81.331565345664799</v>
      </c>
      <c r="AN3251">
        <v>0.99999998384246902</v>
      </c>
    </row>
    <row r="3252" spans="1:40" x14ac:dyDescent="0.25">
      <c r="A3252" t="str">
        <f>"20190303171041377"</f>
        <v>20190303171041377</v>
      </c>
      <c r="B3252" t="str">
        <f>"1551604241364155"</f>
        <v>1551604241364155</v>
      </c>
      <c r="C3252" t="s">
        <v>40</v>
      </c>
      <c r="D3252">
        <v>4.4622270000000004</v>
      </c>
      <c r="E3252">
        <v>0.68313500000000005</v>
      </c>
      <c r="F3252" t="s">
        <v>51</v>
      </c>
      <c r="G3252">
        <v>-163.03870000000001</v>
      </c>
      <c r="H3252">
        <v>7.9185460000000001</v>
      </c>
      <c r="I3252">
        <v>111.5848</v>
      </c>
      <c r="J3252">
        <v>-193.08969999999999</v>
      </c>
      <c r="K3252">
        <v>1.103564</v>
      </c>
      <c r="L3252">
        <v>208.73150000000001</v>
      </c>
      <c r="M3252">
        <v>0.77212840000000005</v>
      </c>
      <c r="N3252">
        <v>-1.6919179999999999E-2</v>
      </c>
      <c r="O3252">
        <v>-0.63524119999999995</v>
      </c>
      <c r="P3252">
        <v>0.66057819999999901</v>
      </c>
      <c r="Q3252">
        <v>0.199965</v>
      </c>
      <c r="R3252">
        <v>-0.72363719999999998</v>
      </c>
      <c r="S3252">
        <v>0.99964900000000001</v>
      </c>
      <c r="T3252">
        <v>0.22466040000000001</v>
      </c>
      <c r="U3252">
        <v>-3.2101899999999999</v>
      </c>
      <c r="V3252">
        <v>0.1480426</v>
      </c>
      <c r="W3252">
        <v>0.2103505</v>
      </c>
      <c r="X3252">
        <v>0.96635190000000004</v>
      </c>
      <c r="Y3252">
        <v>0.54892600000000003</v>
      </c>
      <c r="Z3252">
        <v>-4.1607060000000001E-2</v>
      </c>
      <c r="AA3252">
        <v>0.83483479999999999</v>
      </c>
      <c r="AB3252">
        <v>35</v>
      </c>
      <c r="AC3252">
        <v>30.050999999999899</v>
      </c>
      <c r="AD3252">
        <v>6.8149819999999997</v>
      </c>
      <c r="AE3252">
        <v>-97.146699999999996</v>
      </c>
      <c r="AF3252">
        <v>55.678026095831399</v>
      </c>
      <c r="AG3252">
        <v>6.8149819999999997</v>
      </c>
      <c r="AH3252">
        <v>84.547237965387396</v>
      </c>
      <c r="AI3252">
        <v>86.148702004482104</v>
      </c>
      <c r="AJ3252">
        <v>56.6333613991767</v>
      </c>
      <c r="AK3252">
        <v>101.462909563861</v>
      </c>
      <c r="AL3252">
        <v>77.857106398820406</v>
      </c>
      <c r="AM3252">
        <v>81.290152605722895</v>
      </c>
      <c r="AN3252">
        <v>0.99999996944930902</v>
      </c>
    </row>
    <row r="3253" spans="1:40" x14ac:dyDescent="0.25">
      <c r="A3253" t="str">
        <f>"20190303171041400"</f>
        <v>20190303171041400</v>
      </c>
      <c r="B3253" t="str">
        <f>"1551604241394411"</f>
        <v>1551604241394411</v>
      </c>
      <c r="C3253" t="s">
        <v>40</v>
      </c>
      <c r="D3253">
        <v>4.4723509999999997</v>
      </c>
      <c r="E3253">
        <v>0.67932109999999901</v>
      </c>
      <c r="F3253" t="s">
        <v>43</v>
      </c>
      <c r="G3253">
        <v>-192.81829999999999</v>
      </c>
      <c r="H3253">
        <v>1.1841469999999901</v>
      </c>
      <c r="I3253">
        <v>207.82769999999999</v>
      </c>
      <c r="J3253">
        <v>-192.8124</v>
      </c>
      <c r="K3253">
        <v>1.103477</v>
      </c>
      <c r="L3253">
        <v>208.4854</v>
      </c>
      <c r="M3253">
        <v>0.75942299999999996</v>
      </c>
      <c r="N3253">
        <v>-1.6963470000000001E-2</v>
      </c>
      <c r="O3253">
        <v>-0.65037639999999997</v>
      </c>
      <c r="P3253">
        <v>0.64679869999999995</v>
      </c>
      <c r="Q3253">
        <v>0.1988499</v>
      </c>
      <c r="R3253">
        <v>-0.73628169999999904</v>
      </c>
      <c r="S3253">
        <v>0.95854189999999995</v>
      </c>
      <c r="T3253">
        <v>0.28458020000000001</v>
      </c>
      <c r="U3253">
        <v>-3.1920169999999999</v>
      </c>
      <c r="V3253">
        <v>0.14741270000000001</v>
      </c>
      <c r="W3253">
        <v>0.20928140000000001</v>
      </c>
      <c r="X3253">
        <v>0.96668030000000005</v>
      </c>
      <c r="Y3253">
        <v>0.54103049999999997</v>
      </c>
      <c r="Z3253">
        <v>-5.1159959999999997E-2</v>
      </c>
      <c r="AA3253">
        <v>0.83944549999999996</v>
      </c>
      <c r="AB3253">
        <v>35</v>
      </c>
      <c r="AC3253">
        <v>-5.8999999999968999E-3</v>
      </c>
      <c r="AD3253">
        <v>8.0669999999999797E-2</v>
      </c>
      <c r="AE3253">
        <v>-0.65770000000000495</v>
      </c>
      <c r="AF3253">
        <v>0.49592189379863599</v>
      </c>
      <c r="AG3253">
        <v>8.0669999999999797E-2</v>
      </c>
      <c r="AH3253">
        <v>0.41705896320948699</v>
      </c>
      <c r="AI3253">
        <v>82.9034866456402</v>
      </c>
      <c r="AJ3253">
        <v>40.063067431108699</v>
      </c>
      <c r="AK3253">
        <v>0.65298112717152701</v>
      </c>
      <c r="AL3253">
        <v>77.919756283922595</v>
      </c>
      <c r="AM3253">
        <v>81.329548738188905</v>
      </c>
      <c r="AN3253">
        <v>1.0000000054576601</v>
      </c>
    </row>
    <row r="3254" spans="1:40" x14ac:dyDescent="0.25">
      <c r="A3254" t="str">
        <f>"20190303171041422"</f>
        <v>20190303171041422</v>
      </c>
      <c r="B3254" t="str">
        <f>"1551604241414438"</f>
        <v>1551604241414438</v>
      </c>
      <c r="C3254" t="s">
        <v>40</v>
      </c>
      <c r="D3254">
        <v>4.6215699999999904</v>
      </c>
      <c r="E3254">
        <v>0.67816350000000003</v>
      </c>
      <c r="F3254" t="s">
        <v>43</v>
      </c>
      <c r="G3254">
        <v>-192.5788</v>
      </c>
      <c r="H3254">
        <v>1.1825399999999999</v>
      </c>
      <c r="I3254">
        <v>207.67150000000001</v>
      </c>
      <c r="J3254">
        <v>-192.56389999999999</v>
      </c>
      <c r="K3254">
        <v>1.103405</v>
      </c>
      <c r="L3254">
        <v>208.25659999999999</v>
      </c>
      <c r="M3254">
        <v>0.74753190000000003</v>
      </c>
      <c r="N3254">
        <v>-1.6999770000000001E-2</v>
      </c>
      <c r="O3254">
        <v>-0.6640083</v>
      </c>
      <c r="P3254">
        <v>0.6331871</v>
      </c>
      <c r="Q3254">
        <v>0.19958480000000001</v>
      </c>
      <c r="R3254">
        <v>-0.74782360000000003</v>
      </c>
      <c r="S3254">
        <v>0.91496279999999997</v>
      </c>
      <c r="T3254">
        <v>0.30955280000000002</v>
      </c>
      <c r="U3254">
        <v>-3.1871339999999999</v>
      </c>
      <c r="V3254">
        <v>0.14757219999999999</v>
      </c>
      <c r="W3254">
        <v>0.2100204</v>
      </c>
      <c r="X3254">
        <v>0.96649560000000001</v>
      </c>
      <c r="Y3254">
        <v>0.53611419999999999</v>
      </c>
      <c r="Z3254">
        <v>-5.650123E-2</v>
      </c>
      <c r="AA3254">
        <v>0.84225249999999996</v>
      </c>
      <c r="AB3254">
        <v>35</v>
      </c>
      <c r="AC3254">
        <v>-1.4900000000011401E-2</v>
      </c>
      <c r="AD3254">
        <v>7.91349999999999E-2</v>
      </c>
      <c r="AE3254">
        <v>-0.58509999999998197</v>
      </c>
      <c r="AF3254">
        <v>0.43930837803150202</v>
      </c>
      <c r="AG3254">
        <v>7.91349999999999E-2</v>
      </c>
      <c r="AH3254">
        <v>0.37065176504996999</v>
      </c>
      <c r="AI3254">
        <v>82.160901043998194</v>
      </c>
      <c r="AJ3254">
        <v>40.154881289013602</v>
      </c>
      <c r="AK3254">
        <v>0.58020421419387203</v>
      </c>
      <c r="AL3254">
        <v>77.876451445113005</v>
      </c>
      <c r="AM3254">
        <v>81.318676693162402</v>
      </c>
      <c r="AN3254">
        <v>0.99999993372417695</v>
      </c>
    </row>
    <row r="3255" spans="1:40" x14ac:dyDescent="0.25">
      <c r="A3255" t="str">
        <f>"20190303171041443"</f>
        <v>20190303171041443</v>
      </c>
      <c r="B3255" t="str">
        <f>"1551604241433958"</f>
        <v>1551604241433958</v>
      </c>
      <c r="C3255" t="s">
        <v>40</v>
      </c>
      <c r="D3255">
        <v>4.643103</v>
      </c>
      <c r="E3255">
        <v>0.6769191</v>
      </c>
      <c r="F3255" t="s">
        <v>43</v>
      </c>
      <c r="G3255">
        <v>-192.35040000000001</v>
      </c>
      <c r="H3255">
        <v>1.1816469999999999</v>
      </c>
      <c r="I3255">
        <v>207.4649</v>
      </c>
      <c r="J3255">
        <v>-192.31379999999999</v>
      </c>
      <c r="K3255">
        <v>1.1033379999999999</v>
      </c>
      <c r="L3255">
        <v>208.01769999999999</v>
      </c>
      <c r="M3255">
        <v>0.73505039999999999</v>
      </c>
      <c r="N3255">
        <v>-1.7032849999999999E-2</v>
      </c>
      <c r="O3255">
        <v>-0.67779869999999898</v>
      </c>
      <c r="P3255">
        <v>0.61794950000000004</v>
      </c>
      <c r="Q3255">
        <v>0.20034930000000001</v>
      </c>
      <c r="R3255">
        <v>-0.76026229999999995</v>
      </c>
      <c r="S3255">
        <v>0.86277769999999998</v>
      </c>
      <c r="T3255">
        <v>0.31590200000000002</v>
      </c>
      <c r="U3255">
        <v>-3.1968380000000001</v>
      </c>
      <c r="V3255">
        <v>0.149039899999999</v>
      </c>
      <c r="W3255">
        <v>0.21072949999999999</v>
      </c>
      <c r="X3255">
        <v>0.96611599999999997</v>
      </c>
      <c r="Y3255">
        <v>0.53389790000000004</v>
      </c>
      <c r="Z3255">
        <v>-5.9341129999999999E-2</v>
      </c>
      <c r="AA3255">
        <v>0.84346409999999905</v>
      </c>
      <c r="AB3255">
        <v>35</v>
      </c>
      <c r="AC3255">
        <v>-3.6600000000021199E-2</v>
      </c>
      <c r="AD3255">
        <v>7.8308999999999906E-2</v>
      </c>
      <c r="AE3255">
        <v>-0.55279999999998997</v>
      </c>
      <c r="AF3255">
        <v>0.42275920910498399</v>
      </c>
      <c r="AG3255">
        <v>7.8308999999999906E-2</v>
      </c>
      <c r="AH3255">
        <v>0.34102120563692201</v>
      </c>
      <c r="AI3255">
        <v>81.7959997129187</v>
      </c>
      <c r="AJ3255">
        <v>38.891587588306699</v>
      </c>
      <c r="AK3255">
        <v>0.54877418949703904</v>
      </c>
      <c r="AL3255">
        <v>77.834893401753604</v>
      </c>
      <c r="AM3255">
        <v>81.230279229799805</v>
      </c>
      <c r="AN3255">
        <v>0.99999996970912897</v>
      </c>
    </row>
    <row r="3256" spans="1:40" x14ac:dyDescent="0.25">
      <c r="A3256" t="str">
        <f>"20190303171041466"</f>
        <v>20190303171041466</v>
      </c>
      <c r="B3256" t="str">
        <f>"1551604241454454"</f>
        <v>1551604241454454</v>
      </c>
      <c r="C3256" t="s">
        <v>40</v>
      </c>
      <c r="D3256">
        <v>4.6453540000000002</v>
      </c>
      <c r="E3256">
        <v>0.675682</v>
      </c>
      <c r="F3256" t="s">
        <v>43</v>
      </c>
      <c r="G3256">
        <v>-192.11609999999999</v>
      </c>
      <c r="H3256">
        <v>1.181006</v>
      </c>
      <c r="I3256">
        <v>207.23169999999999</v>
      </c>
      <c r="J3256">
        <v>-192.065</v>
      </c>
      <c r="K3256">
        <v>1.1032820000000001</v>
      </c>
      <c r="L3256">
        <v>207.77099999999999</v>
      </c>
      <c r="M3256">
        <v>0.72210260000000004</v>
      </c>
      <c r="N3256">
        <v>-1.7062480000000001E-2</v>
      </c>
      <c r="O3256">
        <v>-0.69157550000000001</v>
      </c>
      <c r="P3256">
        <v>0.60247359999999905</v>
      </c>
      <c r="Q3256">
        <v>0.20119670000000001</v>
      </c>
      <c r="R3256">
        <v>-0.77236349999999998</v>
      </c>
      <c r="S3256">
        <v>0.8067474</v>
      </c>
      <c r="T3256">
        <v>0.31687140000000003</v>
      </c>
      <c r="U3256">
        <v>-3.2068020000000002</v>
      </c>
      <c r="V3256">
        <v>0.1501864</v>
      </c>
      <c r="W3256">
        <v>0.21153440000000001</v>
      </c>
      <c r="X3256">
        <v>0.96576249999999997</v>
      </c>
      <c r="Y3256">
        <v>0.53240299999999996</v>
      </c>
      <c r="Z3256">
        <v>-6.1456030000000002E-2</v>
      </c>
      <c r="AA3256">
        <v>0.84425720000000004</v>
      </c>
      <c r="AB3256">
        <v>34</v>
      </c>
      <c r="AC3256">
        <v>-5.1099999999991E-2</v>
      </c>
      <c r="AD3256">
        <v>7.7724000000000099E-2</v>
      </c>
      <c r="AE3256">
        <v>-0.539299999999997</v>
      </c>
      <c r="AF3256">
        <v>0.41626220208810999</v>
      </c>
      <c r="AG3256">
        <v>7.7724000000000099E-2</v>
      </c>
      <c r="AH3256">
        <v>0.32933650489746003</v>
      </c>
      <c r="AI3256">
        <v>81.669320393920103</v>
      </c>
      <c r="AJ3256">
        <v>38.350185865557997</v>
      </c>
      <c r="AK3256">
        <v>0.53644922827917096</v>
      </c>
      <c r="AL3256">
        <v>77.787712602126106</v>
      </c>
      <c r="AM3256">
        <v>81.160694911230294</v>
      </c>
      <c r="AN3256">
        <v>0.999999981767284</v>
      </c>
    </row>
    <row r="3257" spans="1:40" x14ac:dyDescent="0.25">
      <c r="A3257" t="str">
        <f>"20190303171041489"</f>
        <v>20190303171041489</v>
      </c>
      <c r="B3257" t="str">
        <f>"1551604241473974"</f>
        <v>1551604241473974</v>
      </c>
      <c r="C3257" t="s">
        <v>40</v>
      </c>
      <c r="D3257">
        <v>4.559437</v>
      </c>
      <c r="E3257">
        <v>0.67321790000000004</v>
      </c>
      <c r="F3257" t="s">
        <v>43</v>
      </c>
      <c r="G3257">
        <v>-191.88460000000001</v>
      </c>
      <c r="H3257">
        <v>1.180293</v>
      </c>
      <c r="I3257">
        <v>206.99680000000001</v>
      </c>
      <c r="J3257">
        <v>-191.81229999999999</v>
      </c>
      <c r="K3257">
        <v>1.103234</v>
      </c>
      <c r="L3257">
        <v>207.51070000000001</v>
      </c>
      <c r="M3257">
        <v>0.70837130000000004</v>
      </c>
      <c r="N3257">
        <v>-1.7089409999999999E-2</v>
      </c>
      <c r="O3257">
        <v>-0.70563299999999995</v>
      </c>
      <c r="P3257">
        <v>0.58735669999999995</v>
      </c>
      <c r="Q3257">
        <v>0.2010073</v>
      </c>
      <c r="R3257">
        <v>-0.78396960000000004</v>
      </c>
      <c r="S3257">
        <v>0.75010679999999996</v>
      </c>
      <c r="T3257">
        <v>0.31984400000000002</v>
      </c>
      <c r="U3257">
        <v>-3.2157140000000002</v>
      </c>
      <c r="V3257">
        <v>0.1500166</v>
      </c>
      <c r="W3257">
        <v>0.21136379999999999</v>
      </c>
      <c r="X3257">
        <v>0.96582630000000003</v>
      </c>
      <c r="Y3257">
        <v>0.53040330000000002</v>
      </c>
      <c r="Z3257">
        <v>-6.3953369999999995E-2</v>
      </c>
      <c r="AA3257">
        <v>0.84532969999999896</v>
      </c>
      <c r="AB3257">
        <v>34</v>
      </c>
      <c r="AC3257">
        <v>-7.2300000000012604E-2</v>
      </c>
      <c r="AD3257">
        <v>7.7058999999999905E-2</v>
      </c>
      <c r="AE3257">
        <v>-0.51390000000000602</v>
      </c>
      <c r="AF3257">
        <v>0.40615485312350602</v>
      </c>
      <c r="AG3257">
        <v>7.7058999999999905E-2</v>
      </c>
      <c r="AH3257">
        <v>0.30473610861747802</v>
      </c>
      <c r="AI3257">
        <v>81.370583306618201</v>
      </c>
      <c r="AJ3257">
        <v>36.8807273753077</v>
      </c>
      <c r="AK3257">
        <v>0.513579546021939</v>
      </c>
      <c r="AL3257">
        <v>77.797714099129706</v>
      </c>
      <c r="AM3257">
        <v>81.171105092638598</v>
      </c>
      <c r="AN3257">
        <v>1.0000000389988399</v>
      </c>
    </row>
    <row r="3258" spans="1:40" x14ac:dyDescent="0.25">
      <c r="A3258" t="str">
        <f>"20190303171041513"</f>
        <v>20190303171041513</v>
      </c>
      <c r="B3258" t="str">
        <f>"1551604241504230"</f>
        <v>1551604241504230</v>
      </c>
      <c r="C3258" t="s">
        <v>40</v>
      </c>
      <c r="D3258">
        <v>4.5941589999999897</v>
      </c>
      <c r="E3258">
        <v>0.67009149999999995</v>
      </c>
      <c r="F3258" t="s">
        <v>43</v>
      </c>
      <c r="G3258">
        <v>-191.64750000000001</v>
      </c>
      <c r="H3258">
        <v>1.1792100000000001</v>
      </c>
      <c r="I3258">
        <v>206.75450000000001</v>
      </c>
      <c r="J3258">
        <v>-191.55869999999999</v>
      </c>
      <c r="K3258">
        <v>1.1031930000000001</v>
      </c>
      <c r="L3258">
        <v>207.2389</v>
      </c>
      <c r="M3258">
        <v>0.69397159999999902</v>
      </c>
      <c r="N3258">
        <v>-1.7113380000000001E-2</v>
      </c>
      <c r="O3258">
        <v>-0.71979899999999997</v>
      </c>
      <c r="P3258">
        <v>0.57140290000000005</v>
      </c>
      <c r="Q3258">
        <v>0.2007179</v>
      </c>
      <c r="R3258">
        <v>-0.79574599999999995</v>
      </c>
      <c r="S3258">
        <v>0.70176700000000003</v>
      </c>
      <c r="T3258">
        <v>0.3233105</v>
      </c>
      <c r="U3258">
        <v>-3.2180019999999998</v>
      </c>
      <c r="V3258">
        <v>0.15007210000000001</v>
      </c>
      <c r="W3258">
        <v>0.21108180000000001</v>
      </c>
      <c r="X3258">
        <v>0.9658793</v>
      </c>
      <c r="Y3258">
        <v>0.5255263</v>
      </c>
      <c r="Z3258">
        <v>-6.6749619999999996E-2</v>
      </c>
      <c r="AA3258">
        <v>0.84815479999999999</v>
      </c>
      <c r="AB3258">
        <v>34</v>
      </c>
      <c r="AC3258">
        <v>-8.8800000000020404E-2</v>
      </c>
      <c r="AD3258">
        <v>7.6017000000000001E-2</v>
      </c>
      <c r="AE3258">
        <v>-0.484399999999993</v>
      </c>
      <c r="AF3258">
        <v>0.39082464412666301</v>
      </c>
      <c r="AG3258">
        <v>7.6017000000000001E-2</v>
      </c>
      <c r="AH3258">
        <v>0.28040691017972702</v>
      </c>
      <c r="AI3258">
        <v>81.019489760494494</v>
      </c>
      <c r="AJ3258">
        <v>35.658493856682099</v>
      </c>
      <c r="AK3258">
        <v>0.48698102840077301</v>
      </c>
      <c r="AL3258">
        <v>77.814243883875307</v>
      </c>
      <c r="AM3258">
        <v>81.168367249160994</v>
      </c>
      <c r="AN3258">
        <v>0.99999999182906996</v>
      </c>
    </row>
    <row r="3259" spans="1:40" x14ac:dyDescent="0.25">
      <c r="A3259" t="str">
        <f>"20190303171041535"</f>
        <v>20190303171041535</v>
      </c>
      <c r="B3259" t="str">
        <f>"1551604241523750"</f>
        <v>1551604241523750</v>
      </c>
      <c r="C3259" t="s">
        <v>40</v>
      </c>
      <c r="D3259">
        <v>4.6428560000000001</v>
      </c>
      <c r="E3259">
        <v>0.66903059999999903</v>
      </c>
      <c r="F3259" t="s">
        <v>51</v>
      </c>
      <c r="G3259">
        <v>-168.8623</v>
      </c>
      <c r="H3259">
        <v>12.182700000000001</v>
      </c>
      <c r="I3259">
        <v>96.134249999999994</v>
      </c>
      <c r="J3259">
        <v>-191.32849999999999</v>
      </c>
      <c r="K3259">
        <v>1.1031610000000001</v>
      </c>
      <c r="L3259">
        <v>206.98230000000001</v>
      </c>
      <c r="M3259">
        <v>0.68032459999999995</v>
      </c>
      <c r="N3259">
        <v>-1.7132640000000001E-2</v>
      </c>
      <c r="O3259">
        <v>-0.7327108</v>
      </c>
      <c r="P3259">
        <v>0.55539380000000005</v>
      </c>
      <c r="Q3259">
        <v>0.20110210000000001</v>
      </c>
      <c r="R3259">
        <v>-0.80690519999999999</v>
      </c>
      <c r="S3259">
        <v>0.65721130000000005</v>
      </c>
      <c r="T3259">
        <v>0.32082470000000002</v>
      </c>
      <c r="U3259">
        <v>-3.217209</v>
      </c>
      <c r="V3259">
        <v>0.15118819999999999</v>
      </c>
      <c r="W3259">
        <v>0.211423</v>
      </c>
      <c r="X3259">
        <v>0.96563060000000001</v>
      </c>
      <c r="Y3259">
        <v>0.52075590000000005</v>
      </c>
      <c r="Z3259">
        <v>-6.8480009999999994E-2</v>
      </c>
      <c r="AA3259">
        <v>0.85095469999999895</v>
      </c>
      <c r="AB3259">
        <v>34</v>
      </c>
      <c r="AC3259">
        <v>22.466199999999901</v>
      </c>
      <c r="AD3259">
        <v>11.079539</v>
      </c>
      <c r="AE3259">
        <v>-110.84805</v>
      </c>
      <c r="AF3259">
        <v>58.399654534272102</v>
      </c>
      <c r="AG3259">
        <v>11.079539</v>
      </c>
      <c r="AH3259">
        <v>95.600615321031199</v>
      </c>
      <c r="AI3259">
        <v>84.351768684493706</v>
      </c>
      <c r="AJ3259">
        <v>58.580447221189303</v>
      </c>
      <c r="AK3259">
        <v>112.57332492173499</v>
      </c>
      <c r="AL3259">
        <v>77.794243356729893</v>
      </c>
      <c r="AM3259">
        <v>81.101477796634597</v>
      </c>
      <c r="AN3259">
        <v>1.0000000062023</v>
      </c>
    </row>
    <row r="3260" spans="1:40" x14ac:dyDescent="0.25">
      <c r="A3260" t="str">
        <f>"20190303171041555"</f>
        <v>20190303171041555</v>
      </c>
      <c r="B3260" t="str">
        <f>"1551604241544246"</f>
        <v>1551604241544246</v>
      </c>
      <c r="C3260" t="s">
        <v>40</v>
      </c>
      <c r="D3260">
        <v>4.6474339999999996</v>
      </c>
      <c r="E3260">
        <v>0.66794219999999904</v>
      </c>
      <c r="F3260" t="s">
        <v>51</v>
      </c>
      <c r="G3260">
        <v>-168.86250000000001</v>
      </c>
      <c r="H3260">
        <v>12.91507</v>
      </c>
      <c r="I3260">
        <v>86.536819999999906</v>
      </c>
      <c r="J3260">
        <v>-191.11689999999999</v>
      </c>
      <c r="K3260">
        <v>1.103135</v>
      </c>
      <c r="L3260">
        <v>206.73740000000001</v>
      </c>
      <c r="M3260">
        <v>0.66726229999999997</v>
      </c>
      <c r="N3260">
        <v>-1.7148340000000001E-2</v>
      </c>
      <c r="O3260">
        <v>-0.74462550000000005</v>
      </c>
      <c r="P3260">
        <v>0.54042829999999997</v>
      </c>
      <c r="Q3260">
        <v>0.2010258</v>
      </c>
      <c r="R3260">
        <v>-0.8170231</v>
      </c>
      <c r="S3260">
        <v>0.60154719999999995</v>
      </c>
      <c r="T3260">
        <v>0.31627490000000003</v>
      </c>
      <c r="U3260">
        <v>-3.2250369999999999</v>
      </c>
      <c r="V3260">
        <v>0.15193400000000001</v>
      </c>
      <c r="W3260">
        <v>0.21132090000000001</v>
      </c>
      <c r="X3260">
        <v>0.9655359</v>
      </c>
      <c r="Y3260">
        <v>0.52022170000000001</v>
      </c>
      <c r="Z3260">
        <v>-6.945287E-2</v>
      </c>
      <c r="AA3260">
        <v>0.85120249999999997</v>
      </c>
      <c r="AB3260">
        <v>34</v>
      </c>
      <c r="AC3260">
        <v>22.254399999999901</v>
      </c>
      <c r="AD3260">
        <v>11.811935</v>
      </c>
      <c r="AE3260">
        <v>-120.20058</v>
      </c>
      <c r="AF3260">
        <v>63.054753608920201</v>
      </c>
      <c r="AG3260">
        <v>11.811935</v>
      </c>
      <c r="AH3260">
        <v>103.403830184009</v>
      </c>
      <c r="AI3260">
        <v>84.429641651232799</v>
      </c>
      <c r="AJ3260">
        <v>58.6255255692639</v>
      </c>
      <c r="AK3260">
        <v>121.687204988237</v>
      </c>
      <c r="AL3260">
        <v>77.800228639921798</v>
      </c>
      <c r="AM3260">
        <v>81.057426797946206</v>
      </c>
      <c r="AN3260">
        <v>1.00000001866081</v>
      </c>
    </row>
    <row r="3261" spans="1:40" x14ac:dyDescent="0.25">
      <c r="A3261" t="str">
        <f>"20190303171041579"</f>
        <v>20190303171041579</v>
      </c>
      <c r="B3261" t="str">
        <f>"1551604241563766"</f>
        <v>1551604241563766</v>
      </c>
      <c r="C3261" t="s">
        <v>40</v>
      </c>
      <c r="D3261">
        <v>4.7109940000000003</v>
      </c>
      <c r="E3261">
        <v>0.66673159999999998</v>
      </c>
      <c r="F3261" t="s">
        <v>51</v>
      </c>
      <c r="G3261">
        <v>-169.89699999999999</v>
      </c>
      <c r="H3261">
        <v>13.26915</v>
      </c>
      <c r="I3261">
        <v>81.897800000000004</v>
      </c>
      <c r="J3261">
        <v>-190.8877</v>
      </c>
      <c r="K3261">
        <v>1.1031139999999999</v>
      </c>
      <c r="L3261">
        <v>206.4616</v>
      </c>
      <c r="M3261">
        <v>0.65251340000000002</v>
      </c>
      <c r="N3261">
        <v>-1.7162750000000001E-2</v>
      </c>
      <c r="O3261">
        <v>-0.75758289999999995</v>
      </c>
      <c r="P3261">
        <v>0.52452779999999999</v>
      </c>
      <c r="Q3261">
        <v>0.20009769999999999</v>
      </c>
      <c r="R3261">
        <v>-0.82754530000000004</v>
      </c>
      <c r="S3261">
        <v>0.54920959999999996</v>
      </c>
      <c r="T3261">
        <v>0.31487920000000003</v>
      </c>
      <c r="U3261">
        <v>-3.2310789999999998</v>
      </c>
      <c r="V3261">
        <v>0.15176339999999999</v>
      </c>
      <c r="W3261">
        <v>0.2104106</v>
      </c>
      <c r="X3261">
        <v>0.96576150000000005</v>
      </c>
      <c r="Y3261">
        <v>0.51711809999999903</v>
      </c>
      <c r="Z3261">
        <v>-7.1167969999999997E-2</v>
      </c>
      <c r="AA3261">
        <v>0.85295019999999999</v>
      </c>
      <c r="AB3261">
        <v>34</v>
      </c>
      <c r="AC3261">
        <v>20.990699999999901</v>
      </c>
      <c r="AD3261">
        <v>12.166036</v>
      </c>
      <c r="AE3261">
        <v>-124.5638</v>
      </c>
      <c r="AF3261">
        <v>64.786033763728099</v>
      </c>
      <c r="AG3261">
        <v>12.166036</v>
      </c>
      <c r="AH3261">
        <v>107.086708742496</v>
      </c>
      <c r="AI3261">
        <v>84.448029897151002</v>
      </c>
      <c r="AJ3261">
        <v>58.826619954066302</v>
      </c>
      <c r="AK3261">
        <v>125.748979288455</v>
      </c>
      <c r="AL3261">
        <v>77.853584622834504</v>
      </c>
      <c r="AM3261">
        <v>81.069359032640307</v>
      </c>
      <c r="AN3261">
        <v>1.00000001252708</v>
      </c>
    </row>
    <row r="3262" spans="1:40" x14ac:dyDescent="0.25">
      <c r="A3262" t="str">
        <f>"20190303171041601"</f>
        <v>20190303171041601</v>
      </c>
      <c r="B3262" t="str">
        <f>"1551604241594022"</f>
        <v>1551604241594022</v>
      </c>
      <c r="C3262" t="s">
        <v>40</v>
      </c>
      <c r="D3262">
        <v>4.7216180000000003</v>
      </c>
      <c r="E3262">
        <v>0.66453090000000004</v>
      </c>
      <c r="F3262" t="s">
        <v>43</v>
      </c>
      <c r="G3262">
        <v>-190.7576</v>
      </c>
      <c r="H3262">
        <v>1.1860329999999999</v>
      </c>
      <c r="I3262">
        <v>205.6079</v>
      </c>
      <c r="J3262">
        <v>-190.6618</v>
      </c>
      <c r="K3262">
        <v>1.1030990000000001</v>
      </c>
      <c r="L3262">
        <v>206.178</v>
      </c>
      <c r="M3262">
        <v>0.63731369999999998</v>
      </c>
      <c r="N3262">
        <v>-1.717393E-2</v>
      </c>
      <c r="O3262">
        <v>-0.77041309999999996</v>
      </c>
      <c r="P3262">
        <v>0.50768359999999901</v>
      </c>
      <c r="Q3262">
        <v>0.20103499999999999</v>
      </c>
      <c r="R3262">
        <v>-0.83776039999999996</v>
      </c>
      <c r="S3262">
        <v>0.49382019999999999</v>
      </c>
      <c r="T3262">
        <v>0.31430409999999998</v>
      </c>
      <c r="U3262">
        <v>-3.2361909999999998</v>
      </c>
      <c r="V3262">
        <v>0.15198809999999999</v>
      </c>
      <c r="W3262">
        <v>0.2113429</v>
      </c>
      <c r="X3262">
        <v>0.96552260000000001</v>
      </c>
      <c r="Y3262">
        <v>0.51455779999999995</v>
      </c>
      <c r="Z3262">
        <v>-7.2997389999999995E-2</v>
      </c>
      <c r="AA3262">
        <v>0.85434279999999996</v>
      </c>
      <c r="AB3262">
        <v>34</v>
      </c>
      <c r="AC3262">
        <v>-9.5799999999996999E-2</v>
      </c>
      <c r="AD3262">
        <v>8.29339999999998E-2</v>
      </c>
      <c r="AE3262">
        <v>-0.57009999999999605</v>
      </c>
      <c r="AF3262">
        <v>0.42838591175924101</v>
      </c>
      <c r="AG3262">
        <v>8.29339999999998E-2</v>
      </c>
      <c r="AH3262">
        <v>0.370586531301481</v>
      </c>
      <c r="AI3262">
        <v>81.670285499588203</v>
      </c>
      <c r="AJ3262">
        <v>40.862308401144197</v>
      </c>
      <c r="AK3262">
        <v>0.572474379279859</v>
      </c>
      <c r="AL3262">
        <v>77.798939363066793</v>
      </c>
      <c r="AM3262">
        <v>81.054172819574902</v>
      </c>
      <c r="AN3262">
        <v>1.0000000475163799</v>
      </c>
    </row>
    <row r="3263" spans="1:40" x14ac:dyDescent="0.25">
      <c r="A3263" t="str">
        <f>"20190303171041624"</f>
        <v>20190303171041624</v>
      </c>
      <c r="B3263" t="str">
        <f>"1551604241614518"</f>
        <v>1551604241614518</v>
      </c>
      <c r="C3263" t="s">
        <v>40</v>
      </c>
      <c r="D3263">
        <v>4.8415860000000004</v>
      </c>
      <c r="E3263">
        <v>0.65168029999999999</v>
      </c>
      <c r="F3263" t="s">
        <v>43</v>
      </c>
      <c r="G3263">
        <v>-190.55269999999999</v>
      </c>
      <c r="H3263">
        <v>1.180644</v>
      </c>
      <c r="I3263">
        <v>205.38200000000001</v>
      </c>
      <c r="J3263">
        <v>-190.453</v>
      </c>
      <c r="K3263">
        <v>1.1030979999999999</v>
      </c>
      <c r="L3263">
        <v>205.90539999999999</v>
      </c>
      <c r="M3263">
        <v>0.62265969999999904</v>
      </c>
      <c r="N3263">
        <v>-1.7181490000000001E-2</v>
      </c>
      <c r="O3263">
        <v>-0.78230390000000005</v>
      </c>
      <c r="P3263">
        <v>0.49084339999999999</v>
      </c>
      <c r="Q3263">
        <v>0.2019551</v>
      </c>
      <c r="R3263">
        <v>-0.84751799999999999</v>
      </c>
      <c r="S3263">
        <v>0.44363399999999997</v>
      </c>
      <c r="T3263">
        <v>0.3152992</v>
      </c>
      <c r="U3263">
        <v>-3.2364809999999999</v>
      </c>
      <c r="V3263">
        <v>0.1529655</v>
      </c>
      <c r="W3263">
        <v>0.21222179999999999</v>
      </c>
      <c r="X3263">
        <v>0.96517529999999996</v>
      </c>
      <c r="Y3263">
        <v>0.51137709999999903</v>
      </c>
      <c r="Z3263">
        <v>-7.5063679999999994E-2</v>
      </c>
      <c r="AA3263">
        <v>0.85607180000000005</v>
      </c>
      <c r="AB3263">
        <v>34</v>
      </c>
      <c r="AC3263">
        <v>-9.9699999999984301E-2</v>
      </c>
      <c r="AD3263">
        <v>7.7546000000000101E-2</v>
      </c>
      <c r="AE3263">
        <v>-0.52339999999998099</v>
      </c>
      <c r="AF3263">
        <v>0.39557627618623098</v>
      </c>
      <c r="AG3263">
        <v>7.7546000000000101E-2</v>
      </c>
      <c r="AH3263">
        <v>0.34022332769020602</v>
      </c>
      <c r="AI3263">
        <v>81.546345097519904</v>
      </c>
      <c r="AJ3263">
        <v>40.697839808466497</v>
      </c>
      <c r="AK3263">
        <v>0.52749017536060705</v>
      </c>
      <c r="AL3263">
        <v>77.747412094283206</v>
      </c>
      <c r="AM3263">
        <v>80.994397242122304</v>
      </c>
      <c r="AN3263">
        <v>0.99999994815778803</v>
      </c>
    </row>
    <row r="3264" spans="1:40" x14ac:dyDescent="0.25">
      <c r="A3264" t="str">
        <f>"20190303171041645"</f>
        <v>20190303171041645</v>
      </c>
      <c r="B3264" t="str">
        <f>"1551604241634038"</f>
        <v>1551604241634038</v>
      </c>
      <c r="C3264" t="s">
        <v>40</v>
      </c>
      <c r="D3264">
        <v>4.6429</v>
      </c>
      <c r="E3264">
        <v>0.63636899999999996</v>
      </c>
      <c r="F3264" t="s">
        <v>84</v>
      </c>
      <c r="G3264">
        <v>-177.99510000000001</v>
      </c>
      <c r="H3264">
        <v>7.9987939999999993E-2</v>
      </c>
      <c r="I3264">
        <v>128.76339999999999</v>
      </c>
      <c r="J3264">
        <v>-190.24950000000001</v>
      </c>
      <c r="K3264">
        <v>1.1030960000000001</v>
      </c>
      <c r="L3264">
        <v>205.62909999999999</v>
      </c>
      <c r="M3264">
        <v>0.60777689999999995</v>
      </c>
      <c r="N3264">
        <v>-1.7186429999999999E-2</v>
      </c>
      <c r="O3264">
        <v>-0.79392180000000001</v>
      </c>
      <c r="P3264">
        <v>0.47474759999999999</v>
      </c>
      <c r="Q3264">
        <v>0.20200760000000001</v>
      </c>
      <c r="R3264">
        <v>-0.85662590000000005</v>
      </c>
      <c r="S3264">
        <v>0.52426149999999905</v>
      </c>
      <c r="T3264">
        <v>-4.3055530000000002E-2</v>
      </c>
      <c r="U3264">
        <v>-3.2463679999999999</v>
      </c>
      <c r="V3264">
        <v>0.15296479999999901</v>
      </c>
      <c r="W3264">
        <v>0.21227950000000001</v>
      </c>
      <c r="X3264">
        <v>0.96516279999999999</v>
      </c>
      <c r="Y3264">
        <v>0.47337259999999998</v>
      </c>
      <c r="Z3264">
        <v>-7.88435E-3</v>
      </c>
      <c r="AA3264">
        <v>0.88082700000000003</v>
      </c>
      <c r="AB3264">
        <v>34</v>
      </c>
      <c r="AC3264">
        <v>12.2544</v>
      </c>
      <c r="AD3264">
        <v>-1.02310805999999</v>
      </c>
      <c r="AE3264">
        <v>-76.865700000000004</v>
      </c>
      <c r="AF3264">
        <v>36.987235782823099</v>
      </c>
      <c r="AG3264">
        <v>-1.02310805999999</v>
      </c>
      <c r="AH3264">
        <v>68.471582333245706</v>
      </c>
      <c r="AI3264">
        <v>90.753201838690202</v>
      </c>
      <c r="AJ3264">
        <v>61.622803339535899</v>
      </c>
      <c r="AK3264">
        <v>77.829685520211598</v>
      </c>
      <c r="AL3264">
        <v>77.744029981380706</v>
      </c>
      <c r="AM3264">
        <v>80.994323056911597</v>
      </c>
      <c r="AN3264">
        <v>1.00000002333156</v>
      </c>
    </row>
    <row r="3265" spans="1:40" x14ac:dyDescent="0.25">
      <c r="A3265" t="str">
        <f>"20190303171041668"</f>
        <v>20190303171041668</v>
      </c>
      <c r="B3265" t="str">
        <f>"1551604241654535"</f>
        <v>1551604241654535</v>
      </c>
      <c r="C3265" t="s">
        <v>40</v>
      </c>
      <c r="D3265">
        <v>4.6447979999999998</v>
      </c>
      <c r="E3265">
        <v>0.63534809999999997</v>
      </c>
      <c r="F3265" t="s">
        <v>43</v>
      </c>
      <c r="G3265">
        <v>-190.13050000000001</v>
      </c>
      <c r="H3265">
        <v>1.1767399999999999</v>
      </c>
      <c r="I3265">
        <v>204.90350000000001</v>
      </c>
      <c r="J3265">
        <v>-190.05459999999999</v>
      </c>
      <c r="K3265">
        <v>1.103111</v>
      </c>
      <c r="L3265">
        <v>205.35380000000001</v>
      </c>
      <c r="M3265">
        <v>0.59292889999999998</v>
      </c>
      <c r="N3265">
        <v>-1.7188350000000002E-2</v>
      </c>
      <c r="O3265">
        <v>-0.8050716</v>
      </c>
      <c r="P3265">
        <v>0.45986519999999997</v>
      </c>
      <c r="Q3265">
        <v>0.20156589999999999</v>
      </c>
      <c r="R3265">
        <v>-0.86480990000000002</v>
      </c>
      <c r="S3265">
        <v>0.5148315</v>
      </c>
      <c r="T3265">
        <v>0.3188877</v>
      </c>
      <c r="U3265">
        <v>-3.1415860000000002</v>
      </c>
      <c r="V3265">
        <v>0.15176329999999999</v>
      </c>
      <c r="W3265">
        <v>0.21189930000000001</v>
      </c>
      <c r="X3265">
        <v>0.96543599999999996</v>
      </c>
      <c r="Y3265">
        <v>0.45585189999999998</v>
      </c>
      <c r="Z3265">
        <v>-8.2257399999999994E-2</v>
      </c>
      <c r="AA3265">
        <v>0.88624639999999999</v>
      </c>
      <c r="AB3265">
        <v>34</v>
      </c>
      <c r="AC3265">
        <v>-7.5900000000018494E-2</v>
      </c>
      <c r="AD3265">
        <v>7.3628999999999903E-2</v>
      </c>
      <c r="AE3265">
        <v>-0.45029999999999798</v>
      </c>
      <c r="AF3265">
        <v>0.31983441520396799</v>
      </c>
      <c r="AG3265">
        <v>7.3628999999999903E-2</v>
      </c>
      <c r="AH3265">
        <v>0.30952060460692699</v>
      </c>
      <c r="AI3265">
        <v>80.606725399634996</v>
      </c>
      <c r="AJ3265">
        <v>44.061126222246202</v>
      </c>
      <c r="AK3265">
        <v>0.45113001171070599</v>
      </c>
      <c r="AL3265">
        <v>77.766321173552001</v>
      </c>
      <c r="AM3265">
        <v>81.066402384634102</v>
      </c>
      <c r="AN3265">
        <v>1.0000000413316801</v>
      </c>
    </row>
    <row r="3266" spans="1:40" x14ac:dyDescent="0.25">
      <c r="A3266" t="str">
        <f>"20190303171041690"</f>
        <v>20190303171041690</v>
      </c>
      <c r="B3266" t="str">
        <f>"1551604241683814"</f>
        <v>1551604241683814</v>
      </c>
      <c r="C3266" t="s">
        <v>40</v>
      </c>
      <c r="D3266">
        <v>4.7759269999999896</v>
      </c>
      <c r="E3266">
        <v>0.63457969999999997</v>
      </c>
      <c r="F3266" t="s">
        <v>43</v>
      </c>
      <c r="G3266">
        <v>-189.94640000000001</v>
      </c>
      <c r="H3266">
        <v>1.176234</v>
      </c>
      <c r="I3266">
        <v>204.62459999999999</v>
      </c>
      <c r="J3266">
        <v>-189.85230000000001</v>
      </c>
      <c r="K3266">
        <v>1.1031310000000001</v>
      </c>
      <c r="L3266">
        <v>205.05619999999999</v>
      </c>
      <c r="M3266">
        <v>0.57685259999999905</v>
      </c>
      <c r="N3266">
        <v>-1.718656E-2</v>
      </c>
      <c r="O3266">
        <v>-0.81666740000000004</v>
      </c>
      <c r="P3266">
        <v>0.44233640000000002</v>
      </c>
      <c r="Q3266">
        <v>0.20243849999999999</v>
      </c>
      <c r="R3266">
        <v>-0.87370319999999901</v>
      </c>
      <c r="S3266">
        <v>0.46752929999999998</v>
      </c>
      <c r="T3266">
        <v>0.31549890000000003</v>
      </c>
      <c r="U3266">
        <v>-3.1468509999999998</v>
      </c>
      <c r="V3266">
        <v>0.15199989999999999</v>
      </c>
      <c r="W3266">
        <v>0.2127637</v>
      </c>
      <c r="X3266">
        <v>0.96520859999999997</v>
      </c>
      <c r="Y3266">
        <v>0.45144719999999999</v>
      </c>
      <c r="Z3266">
        <v>-8.3383219999999994E-2</v>
      </c>
      <c r="AA3266">
        <v>0.88839330000000005</v>
      </c>
      <c r="AB3266">
        <v>34</v>
      </c>
      <c r="AC3266">
        <v>-9.4099999999997394E-2</v>
      </c>
      <c r="AD3266">
        <v>7.3103000000000098E-2</v>
      </c>
      <c r="AE3266">
        <v>-0.43160000000000298</v>
      </c>
      <c r="AF3266">
        <v>0.317179637701549</v>
      </c>
      <c r="AG3266">
        <v>7.3103000000000098E-2</v>
      </c>
      <c r="AH3266">
        <v>0.29028592032880601</v>
      </c>
      <c r="AI3266">
        <v>80.350768315727706</v>
      </c>
      <c r="AJ3266">
        <v>42.465056350208997</v>
      </c>
      <c r="AK3266">
        <v>0.43613402380762301</v>
      </c>
      <c r="AL3266">
        <v>77.715638536374996</v>
      </c>
      <c r="AM3266">
        <v>81.050626157193193</v>
      </c>
      <c r="AN3266">
        <v>1.0000000015758299</v>
      </c>
    </row>
    <row r="3267" spans="1:40" x14ac:dyDescent="0.25">
      <c r="A3267" t="str">
        <f>"20190303171041715"</f>
        <v>20190303171041715</v>
      </c>
      <c r="B3267" t="str">
        <f>"1551604241704309"</f>
        <v>1551604241704309</v>
      </c>
      <c r="C3267" t="s">
        <v>40</v>
      </c>
      <c r="D3267">
        <v>4.6712480000000003</v>
      </c>
      <c r="E3267">
        <v>0.63215949999999999</v>
      </c>
      <c r="F3267" t="s">
        <v>43</v>
      </c>
      <c r="G3267">
        <v>-189.75890000000001</v>
      </c>
      <c r="H3267">
        <v>1.1753849999999999</v>
      </c>
      <c r="I3267">
        <v>204.3374</v>
      </c>
      <c r="J3267">
        <v>-189.655</v>
      </c>
      <c r="K3267">
        <v>1.1031660000000001</v>
      </c>
      <c r="L3267">
        <v>204.75309999999999</v>
      </c>
      <c r="M3267">
        <v>0.56047709999999995</v>
      </c>
      <c r="N3267">
        <v>-1.7180129999999998E-2</v>
      </c>
      <c r="O3267">
        <v>-0.8279917</v>
      </c>
      <c r="P3267">
        <v>0.42366540000000003</v>
      </c>
      <c r="Q3267">
        <v>0.203707</v>
      </c>
      <c r="R3267">
        <v>-0.88261650000000003</v>
      </c>
      <c r="S3267">
        <v>0.40983579999999997</v>
      </c>
      <c r="T3267">
        <v>0.31693830000000001</v>
      </c>
      <c r="U3267">
        <v>-3.1527560000000001</v>
      </c>
      <c r="V3267">
        <v>0.1531757</v>
      </c>
      <c r="W3267">
        <v>0.21398</v>
      </c>
      <c r="X3267">
        <v>0.96475370000000005</v>
      </c>
      <c r="Y3267">
        <v>0.4498857</v>
      </c>
      <c r="Z3267">
        <v>-8.5400980000000001E-2</v>
      </c>
      <c r="AA3267">
        <v>0.88899359999999905</v>
      </c>
      <c r="AB3267">
        <v>34</v>
      </c>
      <c r="AC3267">
        <v>-0.10390000000001</v>
      </c>
      <c r="AD3267">
        <v>7.2219000000000005E-2</v>
      </c>
      <c r="AE3267">
        <v>-0.41569999999998603</v>
      </c>
      <c r="AF3267">
        <v>0.31025240242820901</v>
      </c>
      <c r="AG3267">
        <v>7.2219000000000005E-2</v>
      </c>
      <c r="AH3267">
        <v>0.27810465659489503</v>
      </c>
      <c r="AI3267">
        <v>80.166523045219705</v>
      </c>
      <c r="AJ3267">
        <v>41.872476722541997</v>
      </c>
      <c r="AK3267">
        <v>0.42286444304675203</v>
      </c>
      <c r="AL3267">
        <v>77.644306570470107</v>
      </c>
      <c r="AM3267">
        <v>80.978349278521804</v>
      </c>
      <c r="AN3267">
        <v>0.99999996856708895</v>
      </c>
    </row>
    <row r="3268" spans="1:40" x14ac:dyDescent="0.25">
      <c r="A3268" t="str">
        <f>"20190303171041739"</f>
        <v>20190303171041739</v>
      </c>
      <c r="B3268" t="str">
        <f>"1551604241723830"</f>
        <v>1551604241723830</v>
      </c>
      <c r="C3268" t="s">
        <v>40</v>
      </c>
      <c r="D3268">
        <v>4.7840389999999999</v>
      </c>
      <c r="E3268">
        <v>0.63152989999999998</v>
      </c>
      <c r="F3268" t="s">
        <v>85</v>
      </c>
      <c r="G3268">
        <v>-169.0881</v>
      </c>
      <c r="H3268">
        <v>18.79232</v>
      </c>
      <c r="I3268">
        <v>25.595970000000001</v>
      </c>
      <c r="J3268">
        <v>-189.4597</v>
      </c>
      <c r="K3268">
        <v>1.1032090000000001</v>
      </c>
      <c r="L3268">
        <v>204.43879999999999</v>
      </c>
      <c r="M3268">
        <v>0.54350639999999995</v>
      </c>
      <c r="N3268">
        <v>-1.716821E-2</v>
      </c>
      <c r="O3268">
        <v>-0.83922960000000002</v>
      </c>
      <c r="P3268">
        <v>0.40546989999999999</v>
      </c>
      <c r="Q3268">
        <v>0.20402670000000001</v>
      </c>
      <c r="R3268">
        <v>-0.89104879999999997</v>
      </c>
      <c r="S3268">
        <v>0.36199949999999997</v>
      </c>
      <c r="T3268">
        <v>0.3113474</v>
      </c>
      <c r="U3268">
        <v>-3.1533509999999998</v>
      </c>
      <c r="V3268">
        <v>0.15328079999999999</v>
      </c>
      <c r="W3268">
        <v>0.21429670000000001</v>
      </c>
      <c r="X3268">
        <v>0.96466669999999999</v>
      </c>
      <c r="Y3268">
        <v>0.44500329999999999</v>
      </c>
      <c r="Z3268">
        <v>-8.6033310000000002E-2</v>
      </c>
      <c r="AA3268">
        <v>0.89138669999999998</v>
      </c>
      <c r="AB3268">
        <v>34</v>
      </c>
      <c r="AC3268">
        <v>20.371600000000001</v>
      </c>
      <c r="AD3268">
        <v>17.689110999999901</v>
      </c>
      <c r="AE3268">
        <v>-178.84282999999999</v>
      </c>
      <c r="AF3268">
        <v>79.351225846543699</v>
      </c>
      <c r="AG3268">
        <v>17.689110999999901</v>
      </c>
      <c r="AH3268">
        <v>159.644241955583</v>
      </c>
      <c r="AI3268">
        <v>84.333528656042603</v>
      </c>
      <c r="AJ3268">
        <v>63.570310417650703</v>
      </c>
      <c r="AK3268">
        <v>179.15302308611001</v>
      </c>
      <c r="AL3268">
        <v>77.625729984897603</v>
      </c>
      <c r="AM3268">
        <v>80.971460301508998</v>
      </c>
      <c r="AN3268">
        <v>0.99999996068420904</v>
      </c>
    </row>
    <row r="3269" spans="1:40" x14ac:dyDescent="0.25">
      <c r="A3269" t="str">
        <f>"20190303171041757"</f>
        <v>20190303171041757</v>
      </c>
      <c r="B3269" t="str">
        <f>"1551604241744326"</f>
        <v>1551604241744326</v>
      </c>
      <c r="C3269" t="s">
        <v>40</v>
      </c>
      <c r="D3269">
        <v>4.6697860000000002</v>
      </c>
      <c r="E3269">
        <v>0.62967930000000005</v>
      </c>
      <c r="F3269" t="s">
        <v>43</v>
      </c>
      <c r="G3269">
        <v>-189.3817</v>
      </c>
      <c r="H3269">
        <v>1.1848909999999999</v>
      </c>
      <c r="I3269">
        <v>203.6198</v>
      </c>
      <c r="J3269">
        <v>-189.31290000000001</v>
      </c>
      <c r="K3269">
        <v>1.103243</v>
      </c>
      <c r="L3269">
        <v>204.19309999999999</v>
      </c>
      <c r="M3269">
        <v>0.53024300000000002</v>
      </c>
      <c r="N3269">
        <v>-1.715552E-2</v>
      </c>
      <c r="O3269">
        <v>-0.84767219999999999</v>
      </c>
      <c r="P3269">
        <v>0.39158199999999999</v>
      </c>
      <c r="Q3269">
        <v>0.20347680000000001</v>
      </c>
      <c r="R3269">
        <v>-0.89736329999999997</v>
      </c>
      <c r="S3269">
        <v>0.30154419999999998</v>
      </c>
      <c r="T3269">
        <v>0.31483109999999997</v>
      </c>
      <c r="U3269">
        <v>-3.1575319999999998</v>
      </c>
      <c r="V3269">
        <v>0.15311559999999999</v>
      </c>
      <c r="W3269">
        <v>0.21375739999999999</v>
      </c>
      <c r="X3269">
        <v>0.96481260000000002</v>
      </c>
      <c r="Y3269">
        <v>0.44794869999999998</v>
      </c>
      <c r="Z3269">
        <v>-8.7992290000000001E-2</v>
      </c>
      <c r="AA3269">
        <v>0.88971869999999997</v>
      </c>
      <c r="AB3269">
        <v>34</v>
      </c>
      <c r="AC3269">
        <v>-6.8799999999981695E-2</v>
      </c>
      <c r="AD3269">
        <v>8.1647999999999901E-2</v>
      </c>
      <c r="AE3269">
        <v>-0.57329999999998904</v>
      </c>
      <c r="AF3269">
        <v>0.35525814813428902</v>
      </c>
      <c r="AG3269">
        <v>8.1647999999999901E-2</v>
      </c>
      <c r="AH3269">
        <v>0.44074331057793598</v>
      </c>
      <c r="AI3269">
        <v>81.792808337206097</v>
      </c>
      <c r="AJ3269">
        <v>51.1296853120066</v>
      </c>
      <c r="AK3269">
        <v>0.57195228257172304</v>
      </c>
      <c r="AL3269">
        <v>77.657362880515393</v>
      </c>
      <c r="AM3269">
        <v>80.982372324017405</v>
      </c>
      <c r="AN3269">
        <v>0.99999998306843896</v>
      </c>
    </row>
    <row r="3270" spans="1:40" x14ac:dyDescent="0.25">
      <c r="A3270" t="str">
        <f>"20190303171041782"</f>
        <v>20190303171041782</v>
      </c>
      <c r="B3270" t="str">
        <f>"1551604241774582"</f>
        <v>1551604241774582</v>
      </c>
      <c r="C3270" t="s">
        <v>40</v>
      </c>
      <c r="D3270">
        <v>4.6591779999999998</v>
      </c>
      <c r="E3270">
        <v>0.62758590000000003</v>
      </c>
      <c r="F3270" t="s">
        <v>43</v>
      </c>
      <c r="G3270">
        <v>-189.2423</v>
      </c>
      <c r="H3270">
        <v>1.187665</v>
      </c>
      <c r="I3270">
        <v>203.35220000000001</v>
      </c>
      <c r="J3270">
        <v>-189.12139999999999</v>
      </c>
      <c r="K3270">
        <v>1.103302</v>
      </c>
      <c r="L3270">
        <v>203.857</v>
      </c>
      <c r="M3270">
        <v>0.51214409999999999</v>
      </c>
      <c r="N3270">
        <v>-1.7133229999999999E-2</v>
      </c>
      <c r="O3270">
        <v>-0.85872879999999996</v>
      </c>
      <c r="P3270">
        <v>0.37237490000000001</v>
      </c>
      <c r="Q3270">
        <v>0.20265540000000001</v>
      </c>
      <c r="R3270">
        <v>-0.90568669999999996</v>
      </c>
      <c r="S3270">
        <v>0.2649841</v>
      </c>
      <c r="T3270">
        <v>0.3168243</v>
      </c>
      <c r="U3270">
        <v>-3.1556700000000002</v>
      </c>
      <c r="V3270">
        <v>0.15323399999999901</v>
      </c>
      <c r="W3270">
        <v>0.21293229999999999</v>
      </c>
      <c r="X3270">
        <v>0.96497630000000001</v>
      </c>
      <c r="Y3270">
        <v>0.4391526</v>
      </c>
      <c r="Z3270">
        <v>-9.0390490000000004E-2</v>
      </c>
      <c r="AA3270">
        <v>0.89385380000000003</v>
      </c>
      <c r="AB3270">
        <v>34</v>
      </c>
      <c r="AC3270">
        <v>-0.120900000000006</v>
      </c>
      <c r="AD3270">
        <v>8.4362999999999896E-2</v>
      </c>
      <c r="AE3270">
        <v>-0.50479999999998804</v>
      </c>
      <c r="AF3270">
        <v>0.353077438502713</v>
      </c>
      <c r="AG3270">
        <v>8.4362999999999896E-2</v>
      </c>
      <c r="AH3270">
        <v>0.36205897076281601</v>
      </c>
      <c r="AI3270">
        <v>80.529220926512295</v>
      </c>
      <c r="AJ3270">
        <v>45.719550607762599</v>
      </c>
      <c r="AK3270">
        <v>0.51270604800262198</v>
      </c>
      <c r="AL3270">
        <v>77.705752415962493</v>
      </c>
      <c r="AM3270">
        <v>80.9770196976432</v>
      </c>
      <c r="AN3270">
        <v>1.0000000413504799</v>
      </c>
    </row>
    <row r="3271" spans="1:40" x14ac:dyDescent="0.25">
      <c r="A3271" t="str">
        <f>"20190303171041801"</f>
        <v>20190303171041801</v>
      </c>
      <c r="B3271" t="str">
        <f>"1551604241794102"</f>
        <v>1551604241794102</v>
      </c>
      <c r="C3271" t="s">
        <v>40</v>
      </c>
      <c r="D3271">
        <v>4.6881440000000003</v>
      </c>
      <c r="E3271">
        <v>0.62595129999999999</v>
      </c>
      <c r="F3271" t="s">
        <v>43</v>
      </c>
      <c r="G3271">
        <v>-189.07079999999999</v>
      </c>
      <c r="H3271">
        <v>1.1791480000000001</v>
      </c>
      <c r="I3271">
        <v>203.10319999999999</v>
      </c>
      <c r="J3271">
        <v>-188.97229999999999</v>
      </c>
      <c r="K3271">
        <v>1.1033580000000001</v>
      </c>
      <c r="L3271">
        <v>203.5839</v>
      </c>
      <c r="M3271">
        <v>0.49744339999999998</v>
      </c>
      <c r="N3271">
        <v>-1.7113299999999901E-2</v>
      </c>
      <c r="O3271">
        <v>-0.86732790000000004</v>
      </c>
      <c r="P3271">
        <v>0.35645209999999999</v>
      </c>
      <c r="Q3271">
        <v>0.2031481</v>
      </c>
      <c r="R3271">
        <v>-0.91196140000000003</v>
      </c>
      <c r="S3271">
        <v>0.21243290000000001</v>
      </c>
      <c r="T3271">
        <v>0.31730390000000003</v>
      </c>
      <c r="U3271">
        <v>-3.1540530000000002</v>
      </c>
      <c r="V3271">
        <v>0.15364059999999999</v>
      </c>
      <c r="W3271">
        <v>0.2134057</v>
      </c>
      <c r="X3271">
        <v>0.96480699999999997</v>
      </c>
      <c r="Y3271">
        <v>0.43862659999999998</v>
      </c>
      <c r="Z3271">
        <v>-9.1907059999999999E-2</v>
      </c>
      <c r="AA3271">
        <v>0.89395740000000001</v>
      </c>
      <c r="AB3271">
        <v>34</v>
      </c>
      <c r="AC3271">
        <v>-9.8500000000001295E-2</v>
      </c>
      <c r="AD3271">
        <v>7.5789999999999802E-2</v>
      </c>
      <c r="AE3271">
        <v>-0.48070000000001201</v>
      </c>
      <c r="AF3271">
        <v>0.31703680115877297</v>
      </c>
      <c r="AG3271">
        <v>7.5789999999999802E-2</v>
      </c>
      <c r="AH3271">
        <v>0.359405857632072</v>
      </c>
      <c r="AI3271">
        <v>81.013582846156595</v>
      </c>
      <c r="AJ3271">
        <v>48.5840450949214</v>
      </c>
      <c r="AK3271">
        <v>0.48521029243950697</v>
      </c>
      <c r="AL3271">
        <v>77.677989816410104</v>
      </c>
      <c r="AM3271">
        <v>80.9519118369073</v>
      </c>
      <c r="AN3271">
        <v>0.99999998700492398</v>
      </c>
    </row>
    <row r="3272" spans="1:40" x14ac:dyDescent="0.25">
      <c r="A3272" t="str">
        <f>"20190303171041824"</f>
        <v>20190303171041824</v>
      </c>
      <c r="B3272" t="str">
        <f>"1551604241813623"</f>
        <v>1551604241813623</v>
      </c>
      <c r="C3272" t="s">
        <v>40</v>
      </c>
      <c r="D3272">
        <v>4.7916470000000002</v>
      </c>
      <c r="E3272">
        <v>0.62515769999999904</v>
      </c>
      <c r="F3272" t="s">
        <v>43</v>
      </c>
      <c r="G3272">
        <v>-188.93209999999999</v>
      </c>
      <c r="H3272">
        <v>1.178261</v>
      </c>
      <c r="I3272">
        <v>202.83619999999999</v>
      </c>
      <c r="J3272">
        <v>-188.81549999999999</v>
      </c>
      <c r="K3272">
        <v>1.1034219999999999</v>
      </c>
      <c r="L3272">
        <v>203.28370000000001</v>
      </c>
      <c r="M3272">
        <v>0.48131049999999997</v>
      </c>
      <c r="N3272">
        <v>-1.7089650000000001E-2</v>
      </c>
      <c r="O3272">
        <v>-0.87638369999999999</v>
      </c>
      <c r="P3272">
        <v>0.33912510000000001</v>
      </c>
      <c r="Q3272">
        <v>0.2037707</v>
      </c>
      <c r="R3272">
        <v>-0.91840739999999998</v>
      </c>
      <c r="S3272">
        <v>0.169952399999999</v>
      </c>
      <c r="T3272">
        <v>0.31581710000000002</v>
      </c>
      <c r="U3272">
        <v>-3.1528320000000001</v>
      </c>
      <c r="V3272">
        <v>0.15397849999999999</v>
      </c>
      <c r="W3272">
        <v>0.21401120000000001</v>
      </c>
      <c r="X3272">
        <v>0.964619</v>
      </c>
      <c r="Y3272">
        <v>0.43397259999999999</v>
      </c>
      <c r="Z3272">
        <v>-9.3092670000000002E-2</v>
      </c>
      <c r="AA3272">
        <v>0.8961036</v>
      </c>
      <c r="AB3272">
        <v>33</v>
      </c>
      <c r="AC3272">
        <v>-0.11660000000000501</v>
      </c>
      <c r="AD3272">
        <v>7.48390000000001E-2</v>
      </c>
      <c r="AE3272">
        <v>-0.44750000000001899</v>
      </c>
      <c r="AF3272">
        <v>0.30951285222686298</v>
      </c>
      <c r="AG3272">
        <v>7.48390000000001E-2</v>
      </c>
      <c r="AH3272">
        <v>0.32753174076753599</v>
      </c>
      <c r="AI3272">
        <v>80.570766663799304</v>
      </c>
      <c r="AJ3272">
        <v>46.620186535289697</v>
      </c>
      <c r="AK3272">
        <v>0.456810817324657</v>
      </c>
      <c r="AL3272">
        <v>77.642476864119999</v>
      </c>
      <c r="AM3272">
        <v>80.930604861667703</v>
      </c>
      <c r="AN3272">
        <v>0.999999993674345</v>
      </c>
    </row>
    <row r="3273" spans="1:40" x14ac:dyDescent="0.25">
      <c r="A3273" t="str">
        <f>"20190303171041847"</f>
        <v>20190303171041847</v>
      </c>
      <c r="B3273" t="str">
        <f>"1551604241834119"</f>
        <v>1551604241834119</v>
      </c>
      <c r="C3273" t="s">
        <v>40</v>
      </c>
      <c r="D3273">
        <v>4.8271730000000002</v>
      </c>
      <c r="E3273">
        <v>0.615039</v>
      </c>
      <c r="F3273" t="s">
        <v>43</v>
      </c>
      <c r="G3273">
        <v>-188.78890000000001</v>
      </c>
      <c r="H3273">
        <v>1.1762140000000001</v>
      </c>
      <c r="I3273">
        <v>202.56110000000001</v>
      </c>
      <c r="J3273">
        <v>-188.661</v>
      </c>
      <c r="K3273">
        <v>1.1034980000000001</v>
      </c>
      <c r="L3273">
        <v>202.97409999999999</v>
      </c>
      <c r="M3273">
        <v>0.46471099999999999</v>
      </c>
      <c r="N3273">
        <v>-1.7063099999999901E-2</v>
      </c>
      <c r="O3273">
        <v>-0.88529809999999998</v>
      </c>
      <c r="P3273">
        <v>0.32168089999999999</v>
      </c>
      <c r="Q3273">
        <v>0.2040468</v>
      </c>
      <c r="R3273">
        <v>-0.9246008</v>
      </c>
      <c r="S3273">
        <v>0.1161346</v>
      </c>
      <c r="T3273">
        <v>0.31762790000000002</v>
      </c>
      <c r="U3273">
        <v>-3.153168</v>
      </c>
      <c r="V3273">
        <v>0.15400359999999999</v>
      </c>
      <c r="W3273">
        <v>0.214286</v>
      </c>
      <c r="X3273">
        <v>0.96455400000000002</v>
      </c>
      <c r="Y3273">
        <v>0.43226890000000001</v>
      </c>
      <c r="Z3273">
        <v>-9.4944630000000002E-2</v>
      </c>
      <c r="AA3273">
        <v>0.89673239999999999</v>
      </c>
      <c r="AB3273">
        <v>33</v>
      </c>
      <c r="AC3273">
        <v>-0.12790000000003901</v>
      </c>
      <c r="AD3273">
        <v>7.2716000000000003E-2</v>
      </c>
      <c r="AE3273">
        <v>-0.41299999999998199</v>
      </c>
      <c r="AF3273">
        <v>0.29680397803339698</v>
      </c>
      <c r="AG3273">
        <v>7.2716000000000003E-2</v>
      </c>
      <c r="AH3273">
        <v>0.29781192542539098</v>
      </c>
      <c r="AI3273">
        <v>80.188042229023694</v>
      </c>
      <c r="AJ3273">
        <v>45.0971233293319</v>
      </c>
      <c r="AK3273">
        <v>0.42669914571982498</v>
      </c>
      <c r="AL3273">
        <v>77.626358234422895</v>
      </c>
      <c r="AM3273">
        <v>80.928549930794603</v>
      </c>
      <c r="AN3273">
        <v>1.0000000087624801</v>
      </c>
    </row>
    <row r="3274" spans="1:40" x14ac:dyDescent="0.25">
      <c r="A3274" t="str">
        <f>"20190303171041863"</f>
        <v>20190303171041863</v>
      </c>
      <c r="B3274" t="str">
        <f>"1551604241853638"</f>
        <v>1551604241853638</v>
      </c>
      <c r="C3274" t="s">
        <v>40</v>
      </c>
      <c r="D3274">
        <v>4.8521599999999996</v>
      </c>
      <c r="E3274">
        <v>0.61296110000000004</v>
      </c>
      <c r="F3274" t="s">
        <v>84</v>
      </c>
      <c r="G3274">
        <v>-186.0377</v>
      </c>
      <c r="H3274" s="1">
        <v>-1.355464E-5</v>
      </c>
      <c r="I3274">
        <v>156.3091</v>
      </c>
      <c r="J3274">
        <v>-188.5506</v>
      </c>
      <c r="K3274">
        <v>1.1035569999999999</v>
      </c>
      <c r="L3274">
        <v>202.74350000000001</v>
      </c>
      <c r="M3274">
        <v>0.45237179999999999</v>
      </c>
      <c r="N3274">
        <v>-1.704172E-2</v>
      </c>
      <c r="O3274">
        <v>-0.89166669999999904</v>
      </c>
      <c r="P3274">
        <v>0.30843470000000001</v>
      </c>
      <c r="Q3274">
        <v>0.20430609999999999</v>
      </c>
      <c r="R3274">
        <v>-0.92904640000000005</v>
      </c>
      <c r="S3274">
        <v>0.17982479999999901</v>
      </c>
      <c r="T3274">
        <v>-7.5643180000000004E-2</v>
      </c>
      <c r="U3274">
        <v>-3.1987760000000001</v>
      </c>
      <c r="V3274">
        <v>0.15434690000000001</v>
      </c>
      <c r="W3274">
        <v>0.2145291</v>
      </c>
      <c r="X3274">
        <v>0.96444510000000006</v>
      </c>
      <c r="Y3274">
        <v>0.40151959999999998</v>
      </c>
      <c r="Z3274">
        <v>1.9991660000000001E-3</v>
      </c>
      <c r="AA3274">
        <v>0.91584829999999995</v>
      </c>
      <c r="AB3274">
        <v>33</v>
      </c>
      <c r="AC3274">
        <v>2.5129000000000001</v>
      </c>
      <c r="AD3274">
        <v>-1.1035705546400001</v>
      </c>
      <c r="AE3274">
        <v>-46.434399999999997</v>
      </c>
      <c r="AF3274">
        <v>18.7571040161105</v>
      </c>
      <c r="AG3274">
        <v>-1.1035705546400001</v>
      </c>
      <c r="AH3274">
        <v>42.523000116040002</v>
      </c>
      <c r="AI3274">
        <v>91.360225124968807</v>
      </c>
      <c r="AJ3274">
        <v>66.197488816962405</v>
      </c>
      <c r="AK3274">
        <v>46.489271428029497</v>
      </c>
      <c r="AL3274">
        <v>77.612098210456097</v>
      </c>
      <c r="AM3274">
        <v>80.907656090331997</v>
      </c>
      <c r="AN3274">
        <v>1.00000002560021</v>
      </c>
    </row>
    <row r="3275" spans="1:40" x14ac:dyDescent="0.25">
      <c r="A3275" t="str">
        <f>"20190303171041879"</f>
        <v>20190303171041879</v>
      </c>
      <c r="B3275" t="str">
        <f>"1551604241874134"</f>
        <v>1551604241874134</v>
      </c>
      <c r="C3275" t="s">
        <v>40</v>
      </c>
      <c r="D3275">
        <v>4.8687930000000001</v>
      </c>
      <c r="E3275">
        <v>0.60987440000000004</v>
      </c>
      <c r="F3275" t="s">
        <v>84</v>
      </c>
      <c r="G3275">
        <v>-186.5018</v>
      </c>
      <c r="H3275" s="1">
        <v>-1.4853279999999999E-5</v>
      </c>
      <c r="I3275">
        <v>159.32679999999999</v>
      </c>
      <c r="J3275">
        <v>-188.45590000000001</v>
      </c>
      <c r="K3275">
        <v>1.1036140000000001</v>
      </c>
      <c r="L3275">
        <v>202.5393</v>
      </c>
      <c r="M3275">
        <v>0.44146380000000002</v>
      </c>
      <c r="N3275">
        <v>-1.7021959999999999E-2</v>
      </c>
      <c r="O3275">
        <v>-0.89711770000000002</v>
      </c>
      <c r="P3275">
        <v>0.29619380000000001</v>
      </c>
      <c r="Q3275">
        <v>0.20417650000000001</v>
      </c>
      <c r="R3275">
        <v>-0.93304960000000003</v>
      </c>
      <c r="S3275">
        <v>0.15086359999999999</v>
      </c>
      <c r="T3275">
        <v>-8.1259609999999996E-2</v>
      </c>
      <c r="U3275">
        <v>-3.1969150000000002</v>
      </c>
      <c r="V3275">
        <v>0.1552442</v>
      </c>
      <c r="W3275">
        <v>0.214361</v>
      </c>
      <c r="X3275">
        <v>0.96433840000000004</v>
      </c>
      <c r="Y3275">
        <v>0.39858759999999999</v>
      </c>
      <c r="Z3275">
        <v>3.6100490000000002E-3</v>
      </c>
      <c r="AA3275">
        <v>0.91712309999999997</v>
      </c>
      <c r="AB3275">
        <v>33</v>
      </c>
      <c r="AC3275">
        <v>1.9541000000000099</v>
      </c>
      <c r="AD3275">
        <v>-1.1036288532799901</v>
      </c>
      <c r="AE3275">
        <v>-43.212499999999999</v>
      </c>
      <c r="AF3275">
        <v>17.3149343435331</v>
      </c>
      <c r="AG3275">
        <v>-1.1036288532799901</v>
      </c>
      <c r="AH3275">
        <v>39.609318283813899</v>
      </c>
      <c r="AI3275">
        <v>91.4624498095463</v>
      </c>
      <c r="AJ3275">
        <v>66.387795247294505</v>
      </c>
      <c r="AK3275">
        <v>43.242606800181797</v>
      </c>
      <c r="AL3275">
        <v>77.621958394028297</v>
      </c>
      <c r="AM3275">
        <v>80.854693335876703</v>
      </c>
      <c r="AN3275">
        <v>0.99999997483459901</v>
      </c>
    </row>
    <row r="3276" spans="1:40" x14ac:dyDescent="0.25">
      <c r="A3276" t="str">
        <f>"20190303171041892"</f>
        <v>20190303171041892</v>
      </c>
      <c r="B3276" t="str">
        <f>"1551604241883894"</f>
        <v>1551604241883894</v>
      </c>
      <c r="C3276" t="s">
        <v>40</v>
      </c>
      <c r="D3276">
        <v>4.8697990000000004</v>
      </c>
      <c r="E3276">
        <v>0.60836880000000004</v>
      </c>
      <c r="F3276" t="s">
        <v>42</v>
      </c>
      <c r="G3276">
        <v>-186.80549999999999</v>
      </c>
      <c r="H3276" s="1">
        <v>-2.2105989999999998E-6</v>
      </c>
      <c r="I3276">
        <v>163.10900000000001</v>
      </c>
      <c r="J3276">
        <v>-188.36439999999999</v>
      </c>
      <c r="K3276">
        <v>1.103677</v>
      </c>
      <c r="L3276">
        <v>202.33459999999999</v>
      </c>
      <c r="M3276">
        <v>0.4305621</v>
      </c>
      <c r="N3276">
        <v>-1.7000669999999999E-2</v>
      </c>
      <c r="O3276">
        <v>-0.90240109999999996</v>
      </c>
      <c r="P3276">
        <v>0.28345090000000001</v>
      </c>
      <c r="Q3276">
        <v>0.20389699999999999</v>
      </c>
      <c r="R3276">
        <v>-0.93706029999999996</v>
      </c>
      <c r="S3276">
        <v>0.1336212</v>
      </c>
      <c r="T3276">
        <v>-8.9351650000000005E-2</v>
      </c>
      <c r="U3276">
        <v>-3.192383</v>
      </c>
      <c r="V3276">
        <v>0.15668869999999999</v>
      </c>
      <c r="W3276">
        <v>0.2140196</v>
      </c>
      <c r="X3276">
        <v>0.96418060000000005</v>
      </c>
      <c r="Y3276">
        <v>0.39234249999999998</v>
      </c>
      <c r="Z3276">
        <v>5.9319459999999996E-3</v>
      </c>
      <c r="AA3276">
        <v>0.91979999999999995</v>
      </c>
      <c r="AB3276">
        <v>33</v>
      </c>
      <c r="AC3276">
        <v>1.55889999999999</v>
      </c>
      <c r="AD3276">
        <v>-1.1036792105990001</v>
      </c>
      <c r="AE3276">
        <v>-39.225599999999901</v>
      </c>
      <c r="AF3276">
        <v>15.4723079819712</v>
      </c>
      <c r="AG3276">
        <v>-1.1036792105990001</v>
      </c>
      <c r="AH3276">
        <v>36.045141421719698</v>
      </c>
      <c r="AI3276">
        <v>91.611690988776004</v>
      </c>
      <c r="AJ3276">
        <v>66.768663849415304</v>
      </c>
      <c r="AK3276">
        <v>39.241083601254601</v>
      </c>
      <c r="AL3276">
        <v>77.6419840380577</v>
      </c>
      <c r="AM3276">
        <v>80.769572289257198</v>
      </c>
      <c r="AN3276">
        <v>0.99999998365410403</v>
      </c>
    </row>
    <row r="3277" spans="1:40" x14ac:dyDescent="0.25">
      <c r="A3277" t="str">
        <f>"20190303171041916"</f>
        <v>20190303171041916</v>
      </c>
      <c r="B3277" t="str">
        <f>"1551604241904390"</f>
        <v>1551604241904390</v>
      </c>
      <c r="C3277" t="s">
        <v>40</v>
      </c>
      <c r="D3277">
        <v>4.9017089999999897</v>
      </c>
      <c r="E3277">
        <v>0.60639659999999995</v>
      </c>
      <c r="F3277" t="s">
        <v>42</v>
      </c>
      <c r="G3277">
        <v>-187.1754</v>
      </c>
      <c r="H3277" s="1">
        <v>-3.202966E-6</v>
      </c>
      <c r="I3277">
        <v>165.34710000000001</v>
      </c>
      <c r="J3277">
        <v>-188.233</v>
      </c>
      <c r="K3277">
        <v>1.1037729999999999</v>
      </c>
      <c r="L3277">
        <v>202.02889999999999</v>
      </c>
      <c r="M3277">
        <v>0.41432089999999999</v>
      </c>
      <c r="N3277">
        <v>-1.696725E-2</v>
      </c>
      <c r="O3277">
        <v>-0.90997269999999997</v>
      </c>
      <c r="P3277">
        <v>0.2653623</v>
      </c>
      <c r="Q3277">
        <v>0.2030304</v>
      </c>
      <c r="R3277">
        <v>-0.94252919999999996</v>
      </c>
      <c r="S3277">
        <v>0.1025848</v>
      </c>
      <c r="T3277">
        <v>-9.5222829999999994E-2</v>
      </c>
      <c r="U3277">
        <v>-3.1911930000000002</v>
      </c>
      <c r="V3277">
        <v>0.15796199999999999</v>
      </c>
      <c r="W3277">
        <v>0.2131014</v>
      </c>
      <c r="X3277">
        <v>0.96417620000000004</v>
      </c>
      <c r="Y3277">
        <v>0.38476139999999998</v>
      </c>
      <c r="Z3277">
        <v>7.8139109999999998E-3</v>
      </c>
      <c r="AA3277">
        <v>0.922983</v>
      </c>
      <c r="AB3277">
        <v>33</v>
      </c>
      <c r="AC3277">
        <v>1.0576000000000001</v>
      </c>
      <c r="AD3277">
        <v>-1.1037762029660001</v>
      </c>
      <c r="AE3277">
        <v>-36.681799999999903</v>
      </c>
      <c r="AF3277">
        <v>14.2248296984204</v>
      </c>
      <c r="AG3277">
        <v>-1.1037762029660001</v>
      </c>
      <c r="AH3277">
        <v>33.791919860614698</v>
      </c>
      <c r="AI3277">
        <v>91.7243846928816</v>
      </c>
      <c r="AJ3277">
        <v>67.171166522718806</v>
      </c>
      <c r="AK3277">
        <v>36.6804845895131</v>
      </c>
      <c r="AL3277">
        <v>77.695835244285306</v>
      </c>
      <c r="AM3277">
        <v>80.695827884994401</v>
      </c>
      <c r="AN3277">
        <v>0.99999997238619898</v>
      </c>
    </row>
    <row r="3278" spans="1:40" x14ac:dyDescent="0.25">
      <c r="A3278" t="str">
        <f>"20190303171041939"</f>
        <v>20190303171041939</v>
      </c>
      <c r="B3278" t="str">
        <f>"1551604241923911"</f>
        <v>1551604241923911</v>
      </c>
      <c r="C3278" t="s">
        <v>40</v>
      </c>
      <c r="D3278">
        <v>4.9109059999999998</v>
      </c>
      <c r="E3278">
        <v>0.60312840000000001</v>
      </c>
      <c r="F3278" t="s">
        <v>42</v>
      </c>
      <c r="G3278">
        <v>-187.63290000000001</v>
      </c>
      <c r="H3278" s="1">
        <v>-4.453179E-6</v>
      </c>
      <c r="I3278">
        <v>168.1636</v>
      </c>
      <c r="J3278">
        <v>-188.10650000000001</v>
      </c>
      <c r="K3278">
        <v>1.1038840000000001</v>
      </c>
      <c r="L3278">
        <v>201.71870000000001</v>
      </c>
      <c r="M3278">
        <v>0.3979241</v>
      </c>
      <c r="N3278">
        <v>-1.6930549999999999E-2</v>
      </c>
      <c r="O3278">
        <v>-0.91726220000000003</v>
      </c>
      <c r="P3278">
        <v>0.24749370000000001</v>
      </c>
      <c r="Q3278">
        <v>0.2025962</v>
      </c>
      <c r="R3278">
        <v>-0.94747159999999997</v>
      </c>
      <c r="S3278">
        <v>5.6518550000000001E-2</v>
      </c>
      <c r="T3278">
        <v>-0.103954</v>
      </c>
      <c r="U3278">
        <v>-3.189438</v>
      </c>
      <c r="V3278">
        <v>0.15885460000000001</v>
      </c>
      <c r="W3278">
        <v>0.21263270000000001</v>
      </c>
      <c r="X3278">
        <v>0.96413300000000002</v>
      </c>
      <c r="Y3278">
        <v>0.38149260000000002</v>
      </c>
      <c r="Z3278">
        <v>1.044748E-2</v>
      </c>
      <c r="AA3278">
        <v>0.92431289999999999</v>
      </c>
      <c r="AB3278">
        <v>33</v>
      </c>
      <c r="AC3278">
        <v>0.47360000000000402</v>
      </c>
      <c r="AD3278">
        <v>-1.1038884531790001</v>
      </c>
      <c r="AE3278">
        <v>-33.555100000000003</v>
      </c>
      <c r="AF3278">
        <v>12.905853512139799</v>
      </c>
      <c r="AG3278">
        <v>-1.1038884531790001</v>
      </c>
      <c r="AH3278">
        <v>30.9382415242866</v>
      </c>
      <c r="AI3278">
        <v>91.886074303433304</v>
      </c>
      <c r="AJ3278">
        <v>67.356596271301697</v>
      </c>
      <c r="AK3278">
        <v>33.540340087854801</v>
      </c>
      <c r="AL3278">
        <v>77.723319351585502</v>
      </c>
      <c r="AM3278">
        <v>80.643767816688296</v>
      </c>
      <c r="AN3278">
        <v>0.99999994536972303</v>
      </c>
    </row>
    <row r="3279" spans="1:40" x14ac:dyDescent="0.25">
      <c r="A3279" t="str">
        <f>"20190303171041959"</f>
        <v>20190303171041959</v>
      </c>
      <c r="B3279" t="str">
        <f>"1551604241944406"</f>
        <v>1551604241944406</v>
      </c>
      <c r="C3279" t="s">
        <v>40</v>
      </c>
      <c r="D3279">
        <v>4.9385349999999999</v>
      </c>
      <c r="E3279">
        <v>0.60171339999999995</v>
      </c>
      <c r="F3279" t="s">
        <v>42</v>
      </c>
      <c r="G3279">
        <v>-187.89320000000001</v>
      </c>
      <c r="H3279" s="1">
        <v>-8.6866129999999995E-7</v>
      </c>
      <c r="I3279">
        <v>170.55340000000001</v>
      </c>
      <c r="J3279">
        <v>-187.9906</v>
      </c>
      <c r="K3279">
        <v>1.103998</v>
      </c>
      <c r="L3279">
        <v>201.41929999999999</v>
      </c>
      <c r="M3279">
        <v>0.3821813</v>
      </c>
      <c r="N3279">
        <v>-1.6891679999999999E-2</v>
      </c>
      <c r="O3279">
        <v>-0.92393289999999995</v>
      </c>
      <c r="P3279">
        <v>0.2298539</v>
      </c>
      <c r="Q3279">
        <v>0.2034792</v>
      </c>
      <c r="R3279">
        <v>-0.95171609999999995</v>
      </c>
      <c r="S3279">
        <v>2.1789550000000001E-2</v>
      </c>
      <c r="T3279">
        <v>-0.1128062</v>
      </c>
      <c r="U3279">
        <v>-3.1847840000000001</v>
      </c>
      <c r="V3279">
        <v>0.16018209999999999</v>
      </c>
      <c r="W3279">
        <v>0.21346019999999999</v>
      </c>
      <c r="X3279">
        <v>0.96373050000000005</v>
      </c>
      <c r="Y3279">
        <v>0.3757258</v>
      </c>
      <c r="Z3279">
        <v>1.3209E-2</v>
      </c>
      <c r="AA3279">
        <v>0.92663680000000004</v>
      </c>
      <c r="AB3279">
        <v>33</v>
      </c>
      <c r="AC3279">
        <v>9.73999999999932E-2</v>
      </c>
      <c r="AD3279">
        <v>-1.1039988686613</v>
      </c>
      <c r="AE3279">
        <v>-30.8658999999999</v>
      </c>
      <c r="AF3279">
        <v>11.693090813128499</v>
      </c>
      <c r="AG3279">
        <v>-1.1039988686613</v>
      </c>
      <c r="AH3279">
        <v>28.5228318991729</v>
      </c>
      <c r="AI3279">
        <v>92.051066895328702</v>
      </c>
      <c r="AJ3279">
        <v>67.708555336380797</v>
      </c>
      <c r="AK3279">
        <v>30.846379460392999</v>
      </c>
      <c r="AL3279">
        <v>77.674793952424594</v>
      </c>
      <c r="AM3279">
        <v>80.563111342016597</v>
      </c>
      <c r="AN3279">
        <v>1.0000000193873499</v>
      </c>
    </row>
    <row r="3280" spans="1:40" x14ac:dyDescent="0.25">
      <c r="A3280" t="str">
        <f>"20190303171041982"</f>
        <v>20190303171041982</v>
      </c>
      <c r="B3280" t="str">
        <f>"1551604241973686"</f>
        <v>1551604241973686</v>
      </c>
      <c r="C3280" t="s">
        <v>40</v>
      </c>
      <c r="D3280">
        <v>4.9469989999999999</v>
      </c>
      <c r="E3280">
        <v>0.59545179999999998</v>
      </c>
      <c r="F3280" t="s">
        <v>42</v>
      </c>
      <c r="G3280">
        <v>-188.2337</v>
      </c>
      <c r="H3280" s="1">
        <v>-8.1151989999999996E-7</v>
      </c>
      <c r="I3280">
        <v>170.65170000000001</v>
      </c>
      <c r="J3280">
        <v>-187.86429999999999</v>
      </c>
      <c r="K3280">
        <v>1.1041399999999999</v>
      </c>
      <c r="L3280">
        <v>201.0735</v>
      </c>
      <c r="M3280">
        <v>0.36410940000000003</v>
      </c>
      <c r="N3280">
        <v>-1.6843239999999999E-2</v>
      </c>
      <c r="O3280">
        <v>-0.93120380000000003</v>
      </c>
      <c r="P3280">
        <v>0.20936840000000001</v>
      </c>
      <c r="Q3280">
        <v>0.2043431</v>
      </c>
      <c r="R3280">
        <v>-0.95624719999999996</v>
      </c>
      <c r="S3280">
        <v>-2.5146479999999999E-2</v>
      </c>
      <c r="T3280">
        <v>-0.11420180000000001</v>
      </c>
      <c r="U3280">
        <v>-3.182709</v>
      </c>
      <c r="V3280">
        <v>0.16199769999999999</v>
      </c>
      <c r="W3280">
        <v>0.21424689999999999</v>
      </c>
      <c r="X3280">
        <v>0.96325229999999995</v>
      </c>
      <c r="Y3280">
        <v>0.37132959999999998</v>
      </c>
      <c r="Z3280">
        <v>1.401997E-2</v>
      </c>
      <c r="AA3280">
        <v>0.92839530000000003</v>
      </c>
      <c r="AB3280">
        <v>33</v>
      </c>
      <c r="AC3280">
        <v>-0.369400000000013</v>
      </c>
      <c r="AD3280">
        <v>-1.1041408115198901</v>
      </c>
      <c r="AE3280">
        <v>-30.421799999999902</v>
      </c>
      <c r="AF3280">
        <v>11.407446529559101</v>
      </c>
      <c r="AG3280">
        <v>-1.1041408115198901</v>
      </c>
      <c r="AH3280">
        <v>28.161304835927002</v>
      </c>
      <c r="AI3280">
        <v>92.081185255544497</v>
      </c>
      <c r="AJ3280">
        <v>67.948350533993704</v>
      </c>
      <c r="AK3280">
        <v>30.4040795505869</v>
      </c>
      <c r="AL3280">
        <v>77.628651545496098</v>
      </c>
      <c r="AM3280">
        <v>80.453454232321107</v>
      </c>
      <c r="AN3280">
        <v>0.99999999121009397</v>
      </c>
    </row>
    <row r="3281" spans="1:40" x14ac:dyDescent="0.25">
      <c r="A3281" t="str">
        <f>"20190303171042004"</f>
        <v>20190303171042004</v>
      </c>
      <c r="B3281" t="str">
        <f>"1551604241994182"</f>
        <v>1551604241994182</v>
      </c>
      <c r="C3281" t="s">
        <v>40</v>
      </c>
      <c r="D3281">
        <v>4.9743729999999999</v>
      </c>
      <c r="E3281">
        <v>0.59238429999999997</v>
      </c>
      <c r="F3281" t="s">
        <v>42</v>
      </c>
      <c r="G3281">
        <v>-188.34889999999999</v>
      </c>
      <c r="H3281" s="1">
        <v>-3.534814E-6</v>
      </c>
      <c r="I3281">
        <v>166.48949999999999</v>
      </c>
      <c r="J3281">
        <v>-187.7577</v>
      </c>
      <c r="K3281">
        <v>1.1042749999999999</v>
      </c>
      <c r="L3281">
        <v>200.76480000000001</v>
      </c>
      <c r="M3281">
        <v>0.34807090000000002</v>
      </c>
      <c r="N3281">
        <v>-1.6799270000000002E-2</v>
      </c>
      <c r="O3281">
        <v>-0.93731770000000003</v>
      </c>
      <c r="P3281">
        <v>0.1923368</v>
      </c>
      <c r="Q3281">
        <v>0.20374419999999999</v>
      </c>
      <c r="R3281">
        <v>-0.95994539999999995</v>
      </c>
      <c r="S3281">
        <v>-4.4403079999999998E-2</v>
      </c>
      <c r="T3281">
        <v>-0.1011623</v>
      </c>
      <c r="U3281">
        <v>-3.1686100000000001</v>
      </c>
      <c r="V3281">
        <v>0.162538299999999</v>
      </c>
      <c r="W3281">
        <v>0.2136325</v>
      </c>
      <c r="X3281">
        <v>0.96329770000000003</v>
      </c>
      <c r="Y3281">
        <v>0.36106359999999998</v>
      </c>
      <c r="Z3281">
        <v>1.099934E-2</v>
      </c>
      <c r="AA3281">
        <v>0.93247630000000004</v>
      </c>
      <c r="AB3281">
        <v>33</v>
      </c>
      <c r="AC3281">
        <v>-0.59119999999998596</v>
      </c>
      <c r="AD3281">
        <v>-1.1042785348139901</v>
      </c>
      <c r="AE3281">
        <v>-34.275300000000001</v>
      </c>
      <c r="AF3281">
        <v>12.473195275367001</v>
      </c>
      <c r="AG3281">
        <v>-1.1042785348139901</v>
      </c>
      <c r="AH3281">
        <v>31.892476164422099</v>
      </c>
      <c r="AI3281">
        <v>91.846950968467794</v>
      </c>
      <c r="AJ3281">
        <v>68.639457442836004</v>
      </c>
      <c r="AK3281">
        <v>34.262662876053902</v>
      </c>
      <c r="AL3281">
        <v>77.664688568355899</v>
      </c>
      <c r="AM3281">
        <v>80.422628865936801</v>
      </c>
      <c r="AN3281">
        <v>1.0000000014242101</v>
      </c>
    </row>
    <row r="3282" spans="1:40" x14ac:dyDescent="0.25">
      <c r="A3282" t="str">
        <f>"20190303171042025"</f>
        <v>20190303171042025</v>
      </c>
      <c r="B3282" t="str">
        <f>"1551604242013702"</f>
        <v>1551604242013702</v>
      </c>
      <c r="C3282" t="s">
        <v>40</v>
      </c>
      <c r="D3282">
        <v>4.8667249999999997</v>
      </c>
      <c r="E3282">
        <v>0.58946180000000004</v>
      </c>
      <c r="F3282" t="s">
        <v>42</v>
      </c>
      <c r="G3282">
        <v>-188.7311</v>
      </c>
      <c r="H3282" s="1">
        <v>-1.0985979999999999E-6</v>
      </c>
      <c r="I3282">
        <v>161.47919999999999</v>
      </c>
      <c r="J3282">
        <v>-187.66050000000001</v>
      </c>
      <c r="K3282">
        <v>1.1044210000000001</v>
      </c>
      <c r="L3282">
        <v>200.46719999999999</v>
      </c>
      <c r="M3282">
        <v>0.33271899999999999</v>
      </c>
      <c r="N3282">
        <v>-1.6755039999999999E-2</v>
      </c>
      <c r="O3282">
        <v>-0.94287730000000003</v>
      </c>
      <c r="P3282">
        <v>0.17656659999999999</v>
      </c>
      <c r="Q3282">
        <v>0.20256440000000001</v>
      </c>
      <c r="R3282">
        <v>-0.96321979999999996</v>
      </c>
      <c r="S3282">
        <v>-7.8292849999999997E-2</v>
      </c>
      <c r="T3282">
        <v>-8.8816049999999994E-2</v>
      </c>
      <c r="U3282">
        <v>-3.1597140000000001</v>
      </c>
      <c r="V3282">
        <v>0.1625713</v>
      </c>
      <c r="W3282">
        <v>0.21246309999999999</v>
      </c>
      <c r="X3282">
        <v>0.96355069999999998</v>
      </c>
      <c r="Y3282">
        <v>0.35588140000000001</v>
      </c>
      <c r="Z3282">
        <v>7.9459259999999903E-3</v>
      </c>
      <c r="AA3282">
        <v>0.93449740000000003</v>
      </c>
      <c r="AB3282">
        <v>33</v>
      </c>
      <c r="AC3282">
        <v>-1.07059999999998</v>
      </c>
      <c r="AD3282">
        <v>-1.10442209859799</v>
      </c>
      <c r="AE3282">
        <v>-38.988</v>
      </c>
      <c r="AF3282">
        <v>13.9722505421019</v>
      </c>
      <c r="AG3282">
        <v>-1.10442209859799</v>
      </c>
      <c r="AH3282">
        <v>36.380626406838097</v>
      </c>
      <c r="AI3282">
        <v>91.623285671215399</v>
      </c>
      <c r="AJ3282">
        <v>68.990342069950003</v>
      </c>
      <c r="AK3282">
        <v>38.987094161235703</v>
      </c>
      <c r="AL3282">
        <v>77.733264299984796</v>
      </c>
      <c r="AM3282">
        <v>80.4231890552674</v>
      </c>
      <c r="AN3282">
        <v>0.99999997395789397</v>
      </c>
    </row>
    <row r="3283" spans="1:40" x14ac:dyDescent="0.25">
      <c r="A3283" t="str">
        <f>"20190303171042048"</f>
        <v>20190303171042048</v>
      </c>
      <c r="B3283" t="str">
        <f>"1551604242043958"</f>
        <v>1551604242043958</v>
      </c>
      <c r="C3283" t="s">
        <v>40</v>
      </c>
      <c r="D3283">
        <v>4.8777239999999997</v>
      </c>
      <c r="E3283">
        <v>0.58542939999999999</v>
      </c>
      <c r="F3283" t="s">
        <v>84</v>
      </c>
      <c r="G3283">
        <v>-189.15450000000001</v>
      </c>
      <c r="H3283" s="1">
        <v>-1.408769E-5</v>
      </c>
      <c r="I3283">
        <v>157.54220000000001</v>
      </c>
      <c r="J3283">
        <v>-187.55629999999999</v>
      </c>
      <c r="K3283">
        <v>1.1045969999999901</v>
      </c>
      <c r="L3283">
        <v>200.1284</v>
      </c>
      <c r="M3283">
        <v>0.31539460000000002</v>
      </c>
      <c r="N3283">
        <v>-1.6700130000000001E-2</v>
      </c>
      <c r="O3283">
        <v>-0.94881380000000004</v>
      </c>
      <c r="P3283">
        <v>0.15831189999999901</v>
      </c>
      <c r="Q3283">
        <v>0.2022832</v>
      </c>
      <c r="R3283">
        <v>-0.96644680000000005</v>
      </c>
      <c r="S3283">
        <v>-0.1096954</v>
      </c>
      <c r="T3283">
        <v>-8.1091759999999999E-2</v>
      </c>
      <c r="U3283">
        <v>-3.1517179999999998</v>
      </c>
      <c r="V3283">
        <v>0.1630704</v>
      </c>
      <c r="W3283">
        <v>0.2121738</v>
      </c>
      <c r="X3283">
        <v>0.96353009999999994</v>
      </c>
      <c r="Y3283">
        <v>0.34812659999999901</v>
      </c>
      <c r="Z3283">
        <v>6.1440619999999996E-3</v>
      </c>
      <c r="AA3283">
        <v>0.93742740000000002</v>
      </c>
      <c r="AB3283">
        <v>33</v>
      </c>
      <c r="AC3283">
        <v>-1.5982000000000101</v>
      </c>
      <c r="AD3283">
        <v>-1.1046110876899999</v>
      </c>
      <c r="AE3283">
        <v>-42.586199999999899</v>
      </c>
      <c r="AF3283">
        <v>14.9398972328779</v>
      </c>
      <c r="AG3283">
        <v>-1.1046110876899999</v>
      </c>
      <c r="AH3283">
        <v>39.881076591916703</v>
      </c>
      <c r="AI3283">
        <v>91.485770894071393</v>
      </c>
      <c r="AJ3283">
        <v>69.463488360774505</v>
      </c>
      <c r="AK3283">
        <v>42.601889220013803</v>
      </c>
      <c r="AL3283">
        <v>77.750226594183005</v>
      </c>
      <c r="AM3283">
        <v>80.394133356851</v>
      </c>
      <c r="AN3283">
        <v>0.99999996518430401</v>
      </c>
    </row>
    <row r="3284" spans="1:40" x14ac:dyDescent="0.25">
      <c r="A3284" t="str">
        <f>"20190303171042064"</f>
        <v>20190303171042064</v>
      </c>
      <c r="B3284" t="str">
        <f>"1551604242053718"</f>
        <v>1551604242053718</v>
      </c>
      <c r="C3284" t="s">
        <v>40</v>
      </c>
      <c r="D3284">
        <v>4.9963160000000002</v>
      </c>
      <c r="E3284">
        <v>0.58420810000000001</v>
      </c>
      <c r="F3284" t="s">
        <v>84</v>
      </c>
      <c r="G3284">
        <v>-189.95769999999999</v>
      </c>
      <c r="H3284" s="1">
        <v>-9.560616E-6</v>
      </c>
      <c r="I3284">
        <v>145.34309999999999</v>
      </c>
      <c r="J3284">
        <v>-187.49170000000001</v>
      </c>
      <c r="K3284">
        <v>1.104725</v>
      </c>
      <c r="L3284">
        <v>199.90649999999999</v>
      </c>
      <c r="M3284">
        <v>0.30415239999999999</v>
      </c>
      <c r="N3284">
        <v>-1.6660919999999999E-2</v>
      </c>
      <c r="O3284">
        <v>-0.95247800000000005</v>
      </c>
      <c r="P3284">
        <v>0.14659369999999999</v>
      </c>
      <c r="Q3284">
        <v>0.2026039</v>
      </c>
      <c r="R3284">
        <v>-0.96822660000000005</v>
      </c>
      <c r="S3284">
        <v>-0.13763429999999999</v>
      </c>
      <c r="T3284">
        <v>-6.3309190000000001E-2</v>
      </c>
      <c r="U3284">
        <v>-3.1399539999999999</v>
      </c>
      <c r="V3284">
        <v>0.16327369999999999</v>
      </c>
      <c r="W3284">
        <v>0.2124943</v>
      </c>
      <c r="X3284">
        <v>0.96342499999999998</v>
      </c>
      <c r="Y3284">
        <v>0.34550950000000002</v>
      </c>
      <c r="Z3284">
        <v>1.3186210000000001E-3</v>
      </c>
      <c r="AA3284">
        <v>0.93841430000000003</v>
      </c>
      <c r="AB3284">
        <v>33</v>
      </c>
      <c r="AC3284">
        <v>-2.4659999999999802</v>
      </c>
      <c r="AD3284">
        <v>-1.1047345606159999</v>
      </c>
      <c r="AE3284">
        <v>-54.563400000000001</v>
      </c>
      <c r="AF3284">
        <v>18.939275926838601</v>
      </c>
      <c r="AG3284">
        <v>-1.1047345606159999</v>
      </c>
      <c r="AH3284">
        <v>51.206544728644403</v>
      </c>
      <c r="AI3284">
        <v>91.159189470487505</v>
      </c>
      <c r="AJ3284">
        <v>69.702559194217102</v>
      </c>
      <c r="AK3284">
        <v>54.607937464520703</v>
      </c>
      <c r="AL3284">
        <v>77.7314343462604</v>
      </c>
      <c r="AM3284">
        <v>80.381351686632499</v>
      </c>
      <c r="AN3284">
        <v>0.99999992963458695</v>
      </c>
    </row>
    <row r="3285" spans="1:40" x14ac:dyDescent="0.25">
      <c r="A3285" t="str">
        <f>"20190303171042080"</f>
        <v>20190303171042080</v>
      </c>
      <c r="B3285" t="str">
        <f>"1551604242074214"</f>
        <v>1551604242074214</v>
      </c>
      <c r="C3285" t="s">
        <v>40</v>
      </c>
      <c r="D3285">
        <v>4.9883730000000002</v>
      </c>
      <c r="E3285">
        <v>0.58165559999999905</v>
      </c>
      <c r="F3285" t="s">
        <v>84</v>
      </c>
      <c r="G3285">
        <v>-190.0692</v>
      </c>
      <c r="H3285" s="1">
        <v>-1.111097E-5</v>
      </c>
      <c r="I3285">
        <v>150.5573</v>
      </c>
      <c r="J3285">
        <v>-187.42850000000001</v>
      </c>
      <c r="K3285">
        <v>1.104867</v>
      </c>
      <c r="L3285">
        <v>199.6797</v>
      </c>
      <c r="M3285">
        <v>0.29274869999999997</v>
      </c>
      <c r="N3285">
        <v>-1.661876E-2</v>
      </c>
      <c r="O3285">
        <v>-0.95604500000000003</v>
      </c>
      <c r="P3285">
        <v>0.13465089999999999</v>
      </c>
      <c r="Q3285">
        <v>0.20262479999999999</v>
      </c>
      <c r="R3285">
        <v>-0.9699546</v>
      </c>
      <c r="S3285">
        <v>-0.1638947</v>
      </c>
      <c r="T3285">
        <v>-7.0246219999999998E-2</v>
      </c>
      <c r="U3285">
        <v>-3.1379389999999998</v>
      </c>
      <c r="V3285">
        <v>0.16356099999999901</v>
      </c>
      <c r="W3285">
        <v>0.21251439999999999</v>
      </c>
      <c r="X3285">
        <v>0.96337189999999995</v>
      </c>
      <c r="Y3285">
        <v>0.34214919999999999</v>
      </c>
      <c r="Z3285">
        <v>3.468676E-3</v>
      </c>
      <c r="AA3285">
        <v>0.93963920000000001</v>
      </c>
      <c r="AB3285">
        <v>33</v>
      </c>
      <c r="AC3285">
        <v>-2.6406999999999798</v>
      </c>
      <c r="AD3285">
        <v>-1.1048781109700001</v>
      </c>
      <c r="AE3285">
        <v>-49.122399999999999</v>
      </c>
      <c r="AF3285">
        <v>16.898956846388899</v>
      </c>
      <c r="AG3285">
        <v>-1.1048781109700001</v>
      </c>
      <c r="AH3285">
        <v>46.173250596582797</v>
      </c>
      <c r="AI3285">
        <v>91.287291024982295</v>
      </c>
      <c r="AJ3285">
        <v>69.897869792968507</v>
      </c>
      <c r="AK3285">
        <v>49.180937046695703</v>
      </c>
      <c r="AL3285">
        <v>77.730256588779099</v>
      </c>
      <c r="AM3285">
        <v>80.364222400684497</v>
      </c>
      <c r="AN3285">
        <v>0.99999999431898501</v>
      </c>
    </row>
    <row r="3286" spans="1:40" x14ac:dyDescent="0.25">
      <c r="A3286" t="str">
        <f>"20190303171042093"</f>
        <v>20190303171042093</v>
      </c>
      <c r="B3286" t="str">
        <f>"1551604242083974"</f>
        <v>1551604242083974</v>
      </c>
      <c r="C3286" t="s">
        <v>40</v>
      </c>
      <c r="D3286">
        <v>4.9077489999999999</v>
      </c>
      <c r="E3286">
        <v>0.58053480000000002</v>
      </c>
      <c r="F3286" t="s">
        <v>84</v>
      </c>
      <c r="G3286">
        <v>-190.4238</v>
      </c>
      <c r="H3286" s="1">
        <v>-1.030163E-5</v>
      </c>
      <c r="I3286">
        <v>147.83949999999999</v>
      </c>
      <c r="J3286">
        <v>-187.3734</v>
      </c>
      <c r="K3286">
        <v>1.1049979999999999</v>
      </c>
      <c r="L3286">
        <v>199.47280000000001</v>
      </c>
      <c r="M3286">
        <v>0.28244629999999998</v>
      </c>
      <c r="N3286">
        <v>-1.657782E-2</v>
      </c>
      <c r="O3286">
        <v>-0.95913979999999999</v>
      </c>
      <c r="P3286">
        <v>0.12557499999999999</v>
      </c>
      <c r="Q3286">
        <v>0.20166410000000001</v>
      </c>
      <c r="R3286">
        <v>-0.97137150000000005</v>
      </c>
      <c r="S3286">
        <v>-0.1809692</v>
      </c>
      <c r="T3286">
        <v>-6.6752199999999998E-2</v>
      </c>
      <c r="U3286">
        <v>-3.1319729999999999</v>
      </c>
      <c r="V3286">
        <v>0.16214919999999999</v>
      </c>
      <c r="W3286">
        <v>0.2116257</v>
      </c>
      <c r="X3286">
        <v>0.9638061</v>
      </c>
      <c r="Y3286">
        <v>0.33724150000000003</v>
      </c>
      <c r="Z3286">
        <v>2.647389E-3</v>
      </c>
      <c r="AA3286">
        <v>0.94141450000000004</v>
      </c>
      <c r="AB3286">
        <v>33</v>
      </c>
      <c r="AC3286">
        <v>-3.05039999999999</v>
      </c>
      <c r="AD3286">
        <v>-1.1050083016300001</v>
      </c>
      <c r="AE3286">
        <v>-51.633299999999998</v>
      </c>
      <c r="AF3286">
        <v>17.5038130568811</v>
      </c>
      <c r="AG3286">
        <v>-1.1050083016300001</v>
      </c>
      <c r="AH3286">
        <v>48.646466692971202</v>
      </c>
      <c r="AI3286">
        <v>91.224429457369695</v>
      </c>
      <c r="AJ3286">
        <v>70.210419536979302</v>
      </c>
      <c r="AK3286">
        <v>51.711538718039201</v>
      </c>
      <c r="AL3286">
        <v>77.782360541420502</v>
      </c>
      <c r="AM3286">
        <v>80.450080162419098</v>
      </c>
      <c r="AN3286">
        <v>0.99999999917916904</v>
      </c>
    </row>
    <row r="3287" spans="1:40" x14ac:dyDescent="0.25">
      <c r="A3287" t="str">
        <f>"20190303171042118"</f>
        <v>20190303171042118</v>
      </c>
      <c r="B3287" t="str">
        <f>"1551604242104471"</f>
        <v>1551604242104471</v>
      </c>
      <c r="C3287" t="s">
        <v>40</v>
      </c>
      <c r="D3287">
        <v>4.8863690000000002</v>
      </c>
      <c r="E3287">
        <v>0.5790111</v>
      </c>
      <c r="F3287" t="s">
        <v>84</v>
      </c>
      <c r="G3287">
        <v>-191.11760000000001</v>
      </c>
      <c r="H3287" s="1">
        <v>-8.7400269999999999E-6</v>
      </c>
      <c r="I3287">
        <v>141.4513</v>
      </c>
      <c r="J3287">
        <v>-187.28870000000001</v>
      </c>
      <c r="K3287">
        <v>1.1052329999999999</v>
      </c>
      <c r="L3287">
        <v>199.13640000000001</v>
      </c>
      <c r="M3287">
        <v>0.2658876</v>
      </c>
      <c r="N3287">
        <v>-1.650685E-2</v>
      </c>
      <c r="O3287">
        <v>-0.96386289999999997</v>
      </c>
      <c r="P3287">
        <v>0.1116502</v>
      </c>
      <c r="Q3287">
        <v>0.19933039999999999</v>
      </c>
      <c r="R3287">
        <v>-0.97355119999999895</v>
      </c>
      <c r="S3287">
        <v>-0.20178219999999999</v>
      </c>
      <c r="T3287">
        <v>-5.9550400000000003E-2</v>
      </c>
      <c r="U3287">
        <v>-3.126862</v>
      </c>
      <c r="V3287">
        <v>0.15926170000000001</v>
      </c>
      <c r="W3287">
        <v>0.2094348</v>
      </c>
      <c r="X3287">
        <v>0.96476569999999995</v>
      </c>
      <c r="Y3287">
        <v>0.32735310000000001</v>
      </c>
      <c r="Z3287">
        <v>8.1628429999999904E-4</v>
      </c>
      <c r="AA3287">
        <v>0.94490169999999996</v>
      </c>
      <c r="AB3287">
        <v>33</v>
      </c>
      <c r="AC3287">
        <v>-3.8289</v>
      </c>
      <c r="AD3287">
        <v>-1.10524174002699</v>
      </c>
      <c r="AE3287">
        <v>-57.685099999999998</v>
      </c>
      <c r="AF3287">
        <v>19.023923629134298</v>
      </c>
      <c r="AG3287">
        <v>-1.10524174002699</v>
      </c>
      <c r="AH3287">
        <v>54.569953153028003</v>
      </c>
      <c r="AI3287">
        <v>91.095638853761102</v>
      </c>
      <c r="AJ3287">
        <v>70.780660685439898</v>
      </c>
      <c r="AK3287">
        <v>57.801479364067397</v>
      </c>
      <c r="AL3287">
        <v>77.910768347180607</v>
      </c>
      <c r="AM3287">
        <v>80.626258102191301</v>
      </c>
      <c r="AN3287">
        <v>1.0000000402172</v>
      </c>
    </row>
    <row r="3288" spans="1:40" x14ac:dyDescent="0.25">
      <c r="A3288" t="str">
        <f>"20190303171042138"</f>
        <v>20190303171042138</v>
      </c>
      <c r="B3288" t="str">
        <f>"1551604242123990"</f>
        <v>1551604242123990</v>
      </c>
      <c r="C3288" t="s">
        <v>40</v>
      </c>
      <c r="D3288">
        <v>4.9750639999999997</v>
      </c>
      <c r="E3288">
        <v>0.57796729999999996</v>
      </c>
      <c r="F3288" t="s">
        <v>42</v>
      </c>
      <c r="G3288">
        <v>-193.69059999999999</v>
      </c>
      <c r="H3288" s="1">
        <v>-3.4096790000000002E-6</v>
      </c>
      <c r="I3288">
        <v>115.2482</v>
      </c>
      <c r="J3288">
        <v>-187.21700000000001</v>
      </c>
      <c r="K3288">
        <v>1.105469</v>
      </c>
      <c r="L3288">
        <v>198.82939999999999</v>
      </c>
      <c r="M3288">
        <v>0.25103799999999998</v>
      </c>
      <c r="N3288">
        <v>-1.6437529999999999E-2</v>
      </c>
      <c r="O3288">
        <v>-0.96783790000000003</v>
      </c>
      <c r="P3288">
        <v>9.8554359999999994E-2</v>
      </c>
      <c r="Q3288">
        <v>0.19860539999999999</v>
      </c>
      <c r="R3288">
        <v>-0.97511210000000004</v>
      </c>
      <c r="S3288">
        <v>-0.2378845</v>
      </c>
      <c r="T3288">
        <v>-4.1069269999999998E-2</v>
      </c>
      <c r="U3288">
        <v>-3.1171880000000001</v>
      </c>
      <c r="V3288">
        <v>0.15727729999999901</v>
      </c>
      <c r="W3288">
        <v>0.20881140000000001</v>
      </c>
      <c r="X3288">
        <v>0.96522620000000003</v>
      </c>
      <c r="Y3288">
        <v>0.32391890000000001</v>
      </c>
      <c r="Z3288">
        <v>-4.432226E-3</v>
      </c>
      <c r="AA3288">
        <v>0.94607450000000004</v>
      </c>
      <c r="AB3288">
        <v>33</v>
      </c>
      <c r="AC3288">
        <v>-6.47359999999997</v>
      </c>
      <c r="AD3288">
        <v>-1.1054724096789901</v>
      </c>
      <c r="AE3288">
        <v>-83.581199999999995</v>
      </c>
      <c r="AF3288">
        <v>27.246390130146601</v>
      </c>
      <c r="AG3288">
        <v>-1.1054724096789901</v>
      </c>
      <c r="AH3288">
        <v>79.264842232589501</v>
      </c>
      <c r="AI3288">
        <v>90.755637513561496</v>
      </c>
      <c r="AJ3288">
        <v>71.030173604557902</v>
      </c>
      <c r="AK3288">
        <v>83.824239087092394</v>
      </c>
      <c r="AL3288">
        <v>77.947293451755897</v>
      </c>
      <c r="AM3288">
        <v>80.745360598080097</v>
      </c>
      <c r="AN3288">
        <v>0.99999998351584396</v>
      </c>
    </row>
    <row r="3289" spans="1:40" x14ac:dyDescent="0.25">
      <c r="A3289" t="str">
        <f>"20190303171042162"</f>
        <v>20190303171042162</v>
      </c>
      <c r="B3289" t="str">
        <f>"1551604242154246"</f>
        <v>1551604242154246</v>
      </c>
      <c r="C3289" t="s">
        <v>40</v>
      </c>
      <c r="D3289">
        <v>5.0011989999999997</v>
      </c>
      <c r="E3289">
        <v>0.57617379999999996</v>
      </c>
      <c r="F3289" t="s">
        <v>84</v>
      </c>
      <c r="G3289">
        <v>-193.542</v>
      </c>
      <c r="H3289" s="1">
        <v>-4.2600319999999999E-6</v>
      </c>
      <c r="I3289">
        <v>126.3322</v>
      </c>
      <c r="J3289">
        <v>-187.14320000000001</v>
      </c>
      <c r="K3289">
        <v>1.1057520000000001</v>
      </c>
      <c r="L3289">
        <v>198.48849999999999</v>
      </c>
      <c r="M3289">
        <v>0.234815</v>
      </c>
      <c r="N3289">
        <v>-1.6356989999999998E-2</v>
      </c>
      <c r="O3289">
        <v>-0.97190240000000006</v>
      </c>
      <c r="P3289">
        <v>8.2669409999999999E-2</v>
      </c>
      <c r="Q3289">
        <v>0.19819870000000001</v>
      </c>
      <c r="R3289">
        <v>-0.97666940000000002</v>
      </c>
      <c r="S3289">
        <v>-0.27165220000000001</v>
      </c>
      <c r="T3289">
        <v>-4.7479390000000003E-2</v>
      </c>
      <c r="U3289">
        <v>-3.1137079999999999</v>
      </c>
      <c r="V3289">
        <v>0.15670689999999901</v>
      </c>
      <c r="W3289">
        <v>0.2084481</v>
      </c>
      <c r="X3289">
        <v>0.96539750000000002</v>
      </c>
      <c r="Y3289">
        <v>0.31835760000000002</v>
      </c>
      <c r="Z3289">
        <v>-2.3461699999999999E-3</v>
      </c>
      <c r="AA3289">
        <v>0.94796780000000003</v>
      </c>
      <c r="AB3289">
        <v>33</v>
      </c>
      <c r="AC3289">
        <v>-6.3987999999999898</v>
      </c>
      <c r="AD3289">
        <v>-1.1057562600319999</v>
      </c>
      <c r="AE3289">
        <v>-72.156299999999902</v>
      </c>
      <c r="AF3289">
        <v>23.160094426388799</v>
      </c>
      <c r="AG3289">
        <v>-1.1057562600319999</v>
      </c>
      <c r="AH3289">
        <v>68.619543556494506</v>
      </c>
      <c r="AI3289">
        <v>90.874730431428304</v>
      </c>
      <c r="AJ3289">
        <v>71.349712797463397</v>
      </c>
      <c r="AK3289">
        <v>72.431032221330995</v>
      </c>
      <c r="AL3289">
        <v>77.968577544279995</v>
      </c>
      <c r="AM3289">
        <v>80.779955065985405</v>
      </c>
      <c r="AN3289">
        <v>0.99999999795373495</v>
      </c>
    </row>
    <row r="3290" spans="1:40" x14ac:dyDescent="0.25">
      <c r="A3290" t="str">
        <f>"20190303171042183"</f>
        <v>20190303171042183</v>
      </c>
      <c r="B3290" t="str">
        <f>"1551604242173766"</f>
        <v>1551604242173766</v>
      </c>
      <c r="C3290" t="s">
        <v>40</v>
      </c>
      <c r="D3290">
        <v>4.9944059999999997</v>
      </c>
      <c r="E3290">
        <v>0.57546509999999995</v>
      </c>
      <c r="F3290" t="s">
        <v>84</v>
      </c>
      <c r="G3290">
        <v>-193.0102</v>
      </c>
      <c r="H3290" s="1">
        <v>-8.1466480000000005E-6</v>
      </c>
      <c r="I3290">
        <v>138.547</v>
      </c>
      <c r="J3290">
        <v>-187.0797</v>
      </c>
      <c r="K3290">
        <v>1.1060129999999999</v>
      </c>
      <c r="L3290">
        <v>198.17150000000001</v>
      </c>
      <c r="M3290">
        <v>0.21998500000000001</v>
      </c>
      <c r="N3290">
        <v>-1.6282979999999999E-2</v>
      </c>
      <c r="O3290">
        <v>-0.9753674</v>
      </c>
      <c r="P3290">
        <v>6.8372340000000004E-2</v>
      </c>
      <c r="Q3290">
        <v>0.1979429</v>
      </c>
      <c r="R3290">
        <v>-0.97782610000000003</v>
      </c>
      <c r="S3290">
        <v>-0.30430600000000002</v>
      </c>
      <c r="T3290">
        <v>-5.7353729999999999E-2</v>
      </c>
      <c r="U3290">
        <v>-3.1090550000000001</v>
      </c>
      <c r="V3290">
        <v>0.1559942</v>
      </c>
      <c r="W3290">
        <v>0.20824200000000001</v>
      </c>
      <c r="X3290">
        <v>0.96555740000000001</v>
      </c>
      <c r="Y3290">
        <v>0.31390319999999999</v>
      </c>
      <c r="Z3290">
        <v>7.9593860000000004E-4</v>
      </c>
      <c r="AA3290">
        <v>0.94945469999999998</v>
      </c>
      <c r="AB3290">
        <v>33</v>
      </c>
      <c r="AC3290">
        <v>-5.9304999999999897</v>
      </c>
      <c r="AD3290">
        <v>-1.1060211466480001</v>
      </c>
      <c r="AE3290">
        <v>-59.624499999999998</v>
      </c>
      <c r="AF3290">
        <v>18.8969785532217</v>
      </c>
      <c r="AG3290">
        <v>-1.1060211466480001</v>
      </c>
      <c r="AH3290">
        <v>56.839341272931399</v>
      </c>
      <c r="AI3290">
        <v>91.057845407167093</v>
      </c>
      <c r="AJ3290">
        <v>71.609942096222795</v>
      </c>
      <c r="AK3290">
        <v>59.908511895710703</v>
      </c>
      <c r="AL3290">
        <v>77.980651263683995</v>
      </c>
      <c r="AM3290">
        <v>80.822666476911905</v>
      </c>
      <c r="AN3290">
        <v>1.0000000068462001</v>
      </c>
    </row>
    <row r="3291" spans="1:40" x14ac:dyDescent="0.25">
      <c r="A3291" t="str">
        <f>"20190303171042204"</f>
        <v>20190303171042204</v>
      </c>
      <c r="B3291" t="str">
        <f>"1551604242194263"</f>
        <v>1551604242194263</v>
      </c>
      <c r="C3291" t="s">
        <v>40</v>
      </c>
      <c r="D3291">
        <v>4.8799939999999999</v>
      </c>
      <c r="E3291">
        <v>0.54827510000000002</v>
      </c>
      <c r="F3291" t="s">
        <v>84</v>
      </c>
      <c r="G3291">
        <v>-193.25890000000001</v>
      </c>
      <c r="H3291" s="1">
        <v>-9.290283E-6</v>
      </c>
      <c r="I3291">
        <v>142.19059999999999</v>
      </c>
      <c r="J3291">
        <v>-187.02269999999999</v>
      </c>
      <c r="K3291">
        <v>1.106274</v>
      </c>
      <c r="L3291">
        <v>197.86369999999999</v>
      </c>
      <c r="M3291">
        <v>0.20584169999999999</v>
      </c>
      <c r="N3291">
        <v>-1.6210570000000001E-2</v>
      </c>
      <c r="O3291">
        <v>-0.97845099999999996</v>
      </c>
      <c r="P3291">
        <v>5.6749559999999998E-2</v>
      </c>
      <c r="Q3291">
        <v>0.19576009999999999</v>
      </c>
      <c r="R3291">
        <v>-0.9790084</v>
      </c>
      <c r="S3291">
        <v>-0.34266659999999999</v>
      </c>
      <c r="T3291">
        <v>-6.1334130000000001E-2</v>
      </c>
      <c r="U3291">
        <v>-3.1044010000000002</v>
      </c>
      <c r="V3291">
        <v>0.15336069999999999</v>
      </c>
      <c r="W3291">
        <v>0.2061876</v>
      </c>
      <c r="X3291">
        <v>0.96641980000000005</v>
      </c>
      <c r="Y3291">
        <v>0.31189860000000003</v>
      </c>
      <c r="Z3291">
        <v>2.1706310000000001E-3</v>
      </c>
      <c r="AA3291">
        <v>0.95011290000000004</v>
      </c>
      <c r="AB3291">
        <v>33</v>
      </c>
      <c r="AC3291">
        <v>-6.2362000000000197</v>
      </c>
      <c r="AD3291">
        <v>-1.106283290283</v>
      </c>
      <c r="AE3291">
        <v>-55.673099999999998</v>
      </c>
      <c r="AF3291">
        <v>17.557123361691399</v>
      </c>
      <c r="AG3291">
        <v>-1.106283290283</v>
      </c>
      <c r="AH3291">
        <v>53.175984983125197</v>
      </c>
      <c r="AI3291">
        <v>91.131745473547795</v>
      </c>
      <c r="AJ3291">
        <v>71.728318607388104</v>
      </c>
      <c r="AK3291">
        <v>56.010372453515899</v>
      </c>
      <c r="AL3291">
        <v>78.100971507760505</v>
      </c>
      <c r="AM3291">
        <v>80.982948450500501</v>
      </c>
      <c r="AN3291">
        <v>1.0000000302651399</v>
      </c>
    </row>
    <row r="3292" spans="1:40" x14ac:dyDescent="0.25">
      <c r="A3292" t="str">
        <f>"20190303171042219"</f>
        <v>20190303171042219</v>
      </c>
      <c r="B3292" t="str">
        <f>"1551604242213782"</f>
        <v>1551604242213782</v>
      </c>
      <c r="C3292" t="s">
        <v>40</v>
      </c>
      <c r="D3292">
        <v>4.971355</v>
      </c>
      <c r="E3292">
        <v>0.54708000000000001</v>
      </c>
      <c r="F3292" t="s">
        <v>86</v>
      </c>
      <c r="G3292">
        <v>-204.6892</v>
      </c>
      <c r="H3292">
        <v>27.650040000000001</v>
      </c>
      <c r="I3292">
        <v>-80.957800000000006</v>
      </c>
      <c r="J3292">
        <v>-186.98509999999999</v>
      </c>
      <c r="K3292">
        <v>1.1064719999999999</v>
      </c>
      <c r="L3292">
        <v>197.64760000000001</v>
      </c>
      <c r="M3292">
        <v>0.1960548</v>
      </c>
      <c r="N3292">
        <v>-1.6159150000000001E-2</v>
      </c>
      <c r="O3292">
        <v>-0.98046009999999995</v>
      </c>
      <c r="P3292">
        <v>4.77811E-2</v>
      </c>
      <c r="Q3292">
        <v>0.1947671</v>
      </c>
      <c r="R3292">
        <v>-0.97968529999999998</v>
      </c>
      <c r="S3292">
        <v>-0.19122310000000001</v>
      </c>
      <c r="T3292">
        <v>0.28731079999999998</v>
      </c>
      <c r="U3292">
        <v>-3.0179749999999999</v>
      </c>
      <c r="V3292">
        <v>0.15246100000000001</v>
      </c>
      <c r="W3292">
        <v>0.20524780000000001</v>
      </c>
      <c r="X3292">
        <v>0.96676209999999996</v>
      </c>
      <c r="Y3292">
        <v>0.25747900000000001</v>
      </c>
      <c r="Z3292">
        <v>-0.1064964</v>
      </c>
      <c r="AA3292">
        <v>0.96039739999999996</v>
      </c>
      <c r="AB3292">
        <v>33</v>
      </c>
      <c r="AC3292">
        <v>-17.7041</v>
      </c>
      <c r="AD3292">
        <v>26.543568</v>
      </c>
      <c r="AE3292">
        <v>-278.60539999999997</v>
      </c>
      <c r="AF3292">
        <v>71.344481916644398</v>
      </c>
      <c r="AG3292">
        <v>26.543568</v>
      </c>
      <c r="AH3292">
        <v>267.30904926547203</v>
      </c>
      <c r="AI3292">
        <v>84.519771437842806</v>
      </c>
      <c r="AJ3292">
        <v>75.056162794917896</v>
      </c>
      <c r="AK3292">
        <v>277.93654657373798</v>
      </c>
      <c r="AL3292">
        <v>78.155994437471904</v>
      </c>
      <c r="AM3292">
        <v>81.038108584960497</v>
      </c>
      <c r="AN3292">
        <v>0.99999998696112402</v>
      </c>
    </row>
    <row r="3293" spans="1:40" x14ac:dyDescent="0.25">
      <c r="A3293" t="str">
        <f>"20190303171042238"</f>
        <v>20190303171042238</v>
      </c>
      <c r="B3293" t="str">
        <f>"1551604242224519"</f>
        <v>1551604242224519</v>
      </c>
      <c r="C3293" t="s">
        <v>40</v>
      </c>
      <c r="D3293">
        <v>4.9744539999999997</v>
      </c>
      <c r="E3293">
        <v>0.5465314</v>
      </c>
      <c r="F3293" t="s">
        <v>42</v>
      </c>
      <c r="G3293">
        <v>-188.30459999999999</v>
      </c>
      <c r="H3293" s="1">
        <v>-2.3864900000000001E-6</v>
      </c>
      <c r="I3293">
        <v>174.49469999999999</v>
      </c>
      <c r="J3293">
        <v>-186.9401</v>
      </c>
      <c r="K3293">
        <v>1.1067279999999999</v>
      </c>
      <c r="L3293">
        <v>197.36940000000001</v>
      </c>
      <c r="M3293">
        <v>0.1836797</v>
      </c>
      <c r="N3293">
        <v>-1.6090449999999999E-2</v>
      </c>
      <c r="O3293">
        <v>-0.98285460000000002</v>
      </c>
      <c r="P3293">
        <v>3.5534740000000002E-2</v>
      </c>
      <c r="Q3293">
        <v>0.19448689999999999</v>
      </c>
      <c r="R3293">
        <v>-0.98026139999999995</v>
      </c>
      <c r="S3293">
        <v>-0.17669679999999999</v>
      </c>
      <c r="T3293">
        <v>-0.1481624</v>
      </c>
      <c r="U3293">
        <v>-3.1002809999999998</v>
      </c>
      <c r="V3293">
        <v>0.15222649999999999</v>
      </c>
      <c r="W3293">
        <v>0.2049995</v>
      </c>
      <c r="X3293">
        <v>0.96685180000000004</v>
      </c>
      <c r="Y3293">
        <v>0.23918710000000001</v>
      </c>
      <c r="Z3293">
        <v>2.9622220000000001E-2</v>
      </c>
      <c r="AA3293">
        <v>0.97052150000000004</v>
      </c>
      <c r="AB3293">
        <v>33</v>
      </c>
      <c r="AC3293">
        <v>-1.3644999999999901</v>
      </c>
      <c r="AD3293">
        <v>-1.10673038649</v>
      </c>
      <c r="AE3293">
        <v>-22.874700000000001</v>
      </c>
      <c r="AF3293">
        <v>5.53053971707791</v>
      </c>
      <c r="AG3293">
        <v>-1.10673038649</v>
      </c>
      <c r="AH3293">
        <v>22.183005454062499</v>
      </c>
      <c r="AI3293">
        <v>92.771473278899407</v>
      </c>
      <c r="AJ3293">
        <v>76.000741014782193</v>
      </c>
      <c r="AK3293">
        <v>22.888806274804399</v>
      </c>
      <c r="AL3293">
        <v>78.170530853654796</v>
      </c>
      <c r="AM3293">
        <v>81.052486384285004</v>
      </c>
      <c r="AN3293">
        <v>1.0000000527328601</v>
      </c>
    </row>
    <row r="3294" spans="1:40" x14ac:dyDescent="0.25">
      <c r="A3294" t="str">
        <f>"20190303171042261"</f>
        <v>20190303171042261</v>
      </c>
      <c r="B3294" t="str">
        <f>"1551604242253798"</f>
        <v>1551604242253798</v>
      </c>
      <c r="C3294" t="s">
        <v>40</v>
      </c>
      <c r="D3294">
        <v>4.9826949999999997</v>
      </c>
      <c r="E3294">
        <v>0.54418029999999995</v>
      </c>
      <c r="F3294" t="s">
        <v>42</v>
      </c>
      <c r="G3294">
        <v>-188.4933</v>
      </c>
      <c r="H3294" s="1">
        <v>-2.356713E-6</v>
      </c>
      <c r="I3294">
        <v>174.5033</v>
      </c>
      <c r="J3294">
        <v>-186.88980000000001</v>
      </c>
      <c r="K3294">
        <v>1.107075</v>
      </c>
      <c r="L3294">
        <v>197.0275</v>
      </c>
      <c r="M3294">
        <v>0.16882820000000001</v>
      </c>
      <c r="N3294">
        <v>-1.6002559999999999E-2</v>
      </c>
      <c r="O3294">
        <v>-0.98551569999999999</v>
      </c>
      <c r="P3294">
        <v>2.043381E-2</v>
      </c>
      <c r="Q3294">
        <v>0.19480169999999999</v>
      </c>
      <c r="R3294">
        <v>-0.98062969999999905</v>
      </c>
      <c r="S3294">
        <v>-0.21041869999999999</v>
      </c>
      <c r="T3294">
        <v>-0.1499335</v>
      </c>
      <c r="U3294">
        <v>-3.097763</v>
      </c>
      <c r="V3294">
        <v>0.15236079999999999</v>
      </c>
      <c r="W3294">
        <v>0.2053402</v>
      </c>
      <c r="X3294">
        <v>0.96675829999999996</v>
      </c>
      <c r="Y3294">
        <v>0.23510239999999999</v>
      </c>
      <c r="Z3294">
        <v>3.0487690000000001E-2</v>
      </c>
      <c r="AA3294">
        <v>0.97149240000000003</v>
      </c>
      <c r="AB3294">
        <v>33</v>
      </c>
      <c r="AC3294">
        <v>-1.6034999999999899</v>
      </c>
      <c r="AD3294">
        <v>-1.1070773567129999</v>
      </c>
      <c r="AE3294">
        <v>-22.5242</v>
      </c>
      <c r="AF3294">
        <v>5.3707741240336899</v>
      </c>
      <c r="AG3294">
        <v>-1.1070773567129999</v>
      </c>
      <c r="AH3294">
        <v>21.877457624370098</v>
      </c>
      <c r="AI3294">
        <v>92.813499530927302</v>
      </c>
      <c r="AJ3294">
        <v>76.2070268312509</v>
      </c>
      <c r="AK3294">
        <v>22.554245433426601</v>
      </c>
      <c r="AL3294">
        <v>78.150585377526895</v>
      </c>
      <c r="AM3294">
        <v>81.043868356867804</v>
      </c>
      <c r="AN3294">
        <v>1.0000000108657801</v>
      </c>
    </row>
    <row r="3295" spans="1:40" x14ac:dyDescent="0.25">
      <c r="A3295" t="str">
        <f>"20190303171042284"</f>
        <v>20190303171042284</v>
      </c>
      <c r="B3295" t="str">
        <f>"1551604242274295"</f>
        <v>1551604242274295</v>
      </c>
      <c r="C3295" t="s">
        <v>40</v>
      </c>
      <c r="D3295">
        <v>4.993169</v>
      </c>
      <c r="E3295">
        <v>0.54237179999999996</v>
      </c>
      <c r="F3295" t="s">
        <v>42</v>
      </c>
      <c r="G3295">
        <v>-188.60570000000001</v>
      </c>
      <c r="H3295" s="1">
        <v>-2.3675760000000002E-6</v>
      </c>
      <c r="I3295">
        <v>174.57509999999999</v>
      </c>
      <c r="J3295">
        <v>-186.84610000000001</v>
      </c>
      <c r="K3295">
        <v>1.107418</v>
      </c>
      <c r="L3295">
        <v>196.69739999999999</v>
      </c>
      <c r="M3295">
        <v>0.1548196</v>
      </c>
      <c r="N3295">
        <v>-1.59171E-2</v>
      </c>
      <c r="O3295">
        <v>-0.98781439999999998</v>
      </c>
      <c r="P3295">
        <v>7.3106129999999997E-3</v>
      </c>
      <c r="Q3295">
        <v>0.193721</v>
      </c>
      <c r="R3295">
        <v>-0.98102929999999999</v>
      </c>
      <c r="S3295">
        <v>-0.23648069999999999</v>
      </c>
      <c r="T3295">
        <v>-0.15258179999999999</v>
      </c>
      <c r="U3295">
        <v>-3.0944820000000002</v>
      </c>
      <c r="V3295">
        <v>0.15140039999999999</v>
      </c>
      <c r="W3295">
        <v>0.2043288</v>
      </c>
      <c r="X3295">
        <v>0.96712339999999997</v>
      </c>
      <c r="Y3295">
        <v>0.22950780000000001</v>
      </c>
      <c r="Z3295">
        <v>3.163026E-2</v>
      </c>
      <c r="AA3295">
        <v>0.97279269999999995</v>
      </c>
      <c r="AB3295">
        <v>33</v>
      </c>
      <c r="AC3295">
        <v>-1.7596000000000001</v>
      </c>
      <c r="AD3295">
        <v>-1.1074203675759999</v>
      </c>
      <c r="AE3295">
        <v>-22.122299999999999</v>
      </c>
      <c r="AF3295">
        <v>5.1509520270317397</v>
      </c>
      <c r="AG3295">
        <v>-1.1074203675759999</v>
      </c>
      <c r="AH3295">
        <v>21.5294313489708</v>
      </c>
      <c r="AI3295">
        <v>92.863872094375296</v>
      </c>
      <c r="AJ3295">
        <v>76.544815537745805</v>
      </c>
      <c r="AK3295">
        <v>22.164726501027499</v>
      </c>
      <c r="AL3295">
        <v>78.209789594579505</v>
      </c>
      <c r="AM3295">
        <v>81.102722608442406</v>
      </c>
      <c r="AN3295">
        <v>1.00000000522858</v>
      </c>
    </row>
    <row r="3296" spans="1:40" x14ac:dyDescent="0.25">
      <c r="A3296" t="str">
        <f>"20190303171042304"</f>
        <v>20190303171042304</v>
      </c>
      <c r="B3296" t="str">
        <f>"1551604242293815"</f>
        <v>1551604242293815</v>
      </c>
      <c r="C3296" t="s">
        <v>40</v>
      </c>
      <c r="D3296">
        <v>4.9909730000000003</v>
      </c>
      <c r="E3296">
        <v>0.54100630000000005</v>
      </c>
      <c r="F3296" t="s">
        <v>42</v>
      </c>
      <c r="G3296">
        <v>-188.69589999999999</v>
      </c>
      <c r="H3296" s="1">
        <v>-2.5348459999999999E-6</v>
      </c>
      <c r="I3296">
        <v>175.00229999999999</v>
      </c>
      <c r="J3296">
        <v>-186.80940000000001</v>
      </c>
      <c r="K3296">
        <v>1.1077410000000001</v>
      </c>
      <c r="L3296">
        <v>196.3905</v>
      </c>
      <c r="M3296">
        <v>0.14210619999999999</v>
      </c>
      <c r="N3296">
        <v>-1.583853E-2</v>
      </c>
      <c r="O3296">
        <v>-0.98972510000000002</v>
      </c>
      <c r="P3296">
        <v>-2.9204180000000001E-3</v>
      </c>
      <c r="Q3296">
        <v>0.1924756</v>
      </c>
      <c r="R3296">
        <v>-0.981298</v>
      </c>
      <c r="S3296">
        <v>-0.2635651</v>
      </c>
      <c r="T3296">
        <v>-0.15778539999999999</v>
      </c>
      <c r="U3296">
        <v>-3.09111</v>
      </c>
      <c r="V3296">
        <v>0.14888199999999999</v>
      </c>
      <c r="W3296">
        <v>0.203206</v>
      </c>
      <c r="X3296">
        <v>0.96775069999999996</v>
      </c>
      <c r="Y3296">
        <v>0.22553509999999999</v>
      </c>
      <c r="Z3296">
        <v>3.3534090000000003E-2</v>
      </c>
      <c r="AA3296">
        <v>0.97365769999999996</v>
      </c>
      <c r="AB3296">
        <v>33</v>
      </c>
      <c r="AC3296">
        <v>-1.8864999999999801</v>
      </c>
      <c r="AD3296">
        <v>-1.1077435348459901</v>
      </c>
      <c r="AE3296">
        <v>-21.388200000000001</v>
      </c>
      <c r="AF3296">
        <v>4.8940990097172898</v>
      </c>
      <c r="AG3296">
        <v>-1.1077435348459901</v>
      </c>
      <c r="AH3296">
        <v>20.847478236851401</v>
      </c>
      <c r="AI3296">
        <v>92.961231204537697</v>
      </c>
      <c r="AJ3296">
        <v>76.788624049609993</v>
      </c>
      <c r="AK3296">
        <v>21.4428694369923</v>
      </c>
      <c r="AL3296">
        <v>78.275499561775206</v>
      </c>
      <c r="AM3296">
        <v>81.253995229928904</v>
      </c>
      <c r="AN3296">
        <v>0.999999972855244</v>
      </c>
    </row>
    <row r="3297" spans="1:40" x14ac:dyDescent="0.25">
      <c r="A3297" t="str">
        <f>"20190303171042328"</f>
        <v>20190303171042328</v>
      </c>
      <c r="B3297" t="str">
        <f>"1551604242324070"</f>
        <v>1551604242324070</v>
      </c>
      <c r="C3297" t="s">
        <v>40</v>
      </c>
      <c r="D3297">
        <v>4.9486970000000001</v>
      </c>
      <c r="E3297">
        <v>0.53898789999999996</v>
      </c>
      <c r="F3297" t="s">
        <v>42</v>
      </c>
      <c r="G3297">
        <v>-188.76830000000001</v>
      </c>
      <c r="H3297" s="1">
        <v>-2.6404539999999898E-6</v>
      </c>
      <c r="I3297">
        <v>175.27850000000001</v>
      </c>
      <c r="J3297">
        <v>-186.77260000000001</v>
      </c>
      <c r="K3297">
        <v>1.108112</v>
      </c>
      <c r="L3297">
        <v>196.0438</v>
      </c>
      <c r="M3297">
        <v>0.12810779999999999</v>
      </c>
      <c r="N3297">
        <v>-1.5749760000000002E-2</v>
      </c>
      <c r="O3297">
        <v>-0.99163539999999994</v>
      </c>
      <c r="P3297">
        <v>-1.530806E-2</v>
      </c>
      <c r="Q3297">
        <v>0.1921551</v>
      </c>
      <c r="R3297">
        <v>-0.98124560000000005</v>
      </c>
      <c r="S3297">
        <v>-0.28652949999999999</v>
      </c>
      <c r="T3297">
        <v>-0.16203010000000001</v>
      </c>
      <c r="U3297">
        <v>-3.0880740000000002</v>
      </c>
      <c r="V3297">
        <v>0.1472366</v>
      </c>
      <c r="W3297">
        <v>0.20298050000000001</v>
      </c>
      <c r="X3297">
        <v>0.96804979999999996</v>
      </c>
      <c r="Y3297">
        <v>0.2190262</v>
      </c>
      <c r="Z3297">
        <v>3.5174850000000001E-2</v>
      </c>
      <c r="AA3297">
        <v>0.97508470000000003</v>
      </c>
      <c r="AB3297">
        <v>33</v>
      </c>
      <c r="AC3297">
        <v>-1.9957</v>
      </c>
      <c r="AD3297">
        <v>-1.1081146404540001</v>
      </c>
      <c r="AE3297">
        <v>-20.7653</v>
      </c>
      <c r="AF3297">
        <v>4.6267232673988596</v>
      </c>
      <c r="AG3297">
        <v>-1.1081146404540001</v>
      </c>
      <c r="AH3297">
        <v>20.2812340229966</v>
      </c>
      <c r="AI3297">
        <v>93.049200807848806</v>
      </c>
      <c r="AJ3297">
        <v>77.149130014807696</v>
      </c>
      <c r="AK3297">
        <v>20.8317771624274</v>
      </c>
      <c r="AL3297">
        <v>78.2886957617918</v>
      </c>
      <c r="AM3297">
        <v>81.351815666065207</v>
      </c>
      <c r="AN3297">
        <v>1.0000000575199199</v>
      </c>
    </row>
    <row r="3298" spans="1:40" x14ac:dyDescent="0.25">
      <c r="A3298" t="str">
        <f>"20190303171042354"</f>
        <v>20190303171042354</v>
      </c>
      <c r="B3298" t="str">
        <f>"1551604242344567"</f>
        <v>1551604242344567</v>
      </c>
      <c r="C3298" t="s">
        <v>40</v>
      </c>
      <c r="D3298">
        <v>4.9697839999999998</v>
      </c>
      <c r="E3298">
        <v>0.53835769999999905</v>
      </c>
      <c r="F3298" t="s">
        <v>42</v>
      </c>
      <c r="G3298">
        <v>-188.864</v>
      </c>
      <c r="H3298" s="1">
        <v>-2.555412E-6</v>
      </c>
      <c r="I3298">
        <v>175.1198</v>
      </c>
      <c r="J3298">
        <v>-186.738</v>
      </c>
      <c r="K3298">
        <v>1.1085339999999999</v>
      </c>
      <c r="L3298">
        <v>195.66970000000001</v>
      </c>
      <c r="M3298">
        <v>0.113445699999999</v>
      </c>
      <c r="N3298">
        <v>-1.56537E-2</v>
      </c>
      <c r="O3298">
        <v>-0.99342090000000005</v>
      </c>
      <c r="P3298">
        <v>-2.9496169999999999E-2</v>
      </c>
      <c r="Q3298">
        <v>0.19139300000000001</v>
      </c>
      <c r="R3298">
        <v>-0.98107029999999995</v>
      </c>
      <c r="S3298">
        <v>-0.30830380000000002</v>
      </c>
      <c r="T3298">
        <v>-0.163354799999999</v>
      </c>
      <c r="U3298">
        <v>-3.084549</v>
      </c>
      <c r="V3298">
        <v>0.14672660000000001</v>
      </c>
      <c r="W3298">
        <v>0.20228199999999999</v>
      </c>
      <c r="X3298">
        <v>0.9682733</v>
      </c>
      <c r="Y3298">
        <v>0.21153089999999999</v>
      </c>
      <c r="Z3298">
        <v>3.5918039999999998E-2</v>
      </c>
      <c r="AA3298">
        <v>0.97671110000000005</v>
      </c>
      <c r="AB3298">
        <v>32</v>
      </c>
      <c r="AC3298">
        <v>-2.1259999999999999</v>
      </c>
      <c r="AD3298">
        <v>-1.1085365554119999</v>
      </c>
      <c r="AE3298">
        <v>-20.549900000000001</v>
      </c>
      <c r="AF3298">
        <v>4.43109742291466</v>
      </c>
      <c r="AG3298">
        <v>-1.1085365554119999</v>
      </c>
      <c r="AH3298">
        <v>20.118064231732301</v>
      </c>
      <c r="AI3298">
        <v>93.080215226973095</v>
      </c>
      <c r="AJ3298">
        <v>77.578664802990104</v>
      </c>
      <c r="AK3298">
        <v>20.630074796232599</v>
      </c>
      <c r="AL3298">
        <v>78.329563329177802</v>
      </c>
      <c r="AM3298">
        <v>81.383280280270796</v>
      </c>
      <c r="AN3298">
        <v>0.99999994308222295</v>
      </c>
    </row>
    <row r="3299" spans="1:40" x14ac:dyDescent="0.25">
      <c r="A3299" t="str">
        <f>"20190303171042373"</f>
        <v>20190303171042373</v>
      </c>
      <c r="B3299" t="str">
        <f>"1551604242364087"</f>
        <v>1551604242364087</v>
      </c>
      <c r="C3299" t="s">
        <v>40</v>
      </c>
      <c r="D3299">
        <v>4.9671110000000001</v>
      </c>
      <c r="E3299">
        <v>0.52648319999999904</v>
      </c>
      <c r="F3299" t="s">
        <v>42</v>
      </c>
      <c r="G3299">
        <v>-189.04060000000001</v>
      </c>
      <c r="H3299" s="1">
        <v>-2.551507E-6</v>
      </c>
      <c r="I3299">
        <v>175.18369999999999</v>
      </c>
      <c r="J3299">
        <v>-186.7148</v>
      </c>
      <c r="K3299">
        <v>1.1088739999999999</v>
      </c>
      <c r="L3299">
        <v>195.3767</v>
      </c>
      <c r="M3299">
        <v>0.10231</v>
      </c>
      <c r="N3299">
        <v>-1.557799E-2</v>
      </c>
      <c r="O3299">
        <v>-0.99463069999999998</v>
      </c>
      <c r="P3299">
        <v>-3.8593250000000003E-2</v>
      </c>
      <c r="Q3299">
        <v>0.19021189999999999</v>
      </c>
      <c r="R3299">
        <v>-0.98098430000000003</v>
      </c>
      <c r="S3299">
        <v>-0.34619139999999998</v>
      </c>
      <c r="T3299">
        <v>-0.16666410000000001</v>
      </c>
      <c r="U3299">
        <v>-3.079987</v>
      </c>
      <c r="V3299">
        <v>0.144681</v>
      </c>
      <c r="W3299">
        <v>0.20120589999999999</v>
      </c>
      <c r="X3299">
        <v>0.96880529999999998</v>
      </c>
      <c r="Y3299">
        <v>0.2125988</v>
      </c>
      <c r="Z3299">
        <v>3.7171959999999997E-2</v>
      </c>
      <c r="AA3299">
        <v>0.97643230000000003</v>
      </c>
      <c r="AB3299">
        <v>32</v>
      </c>
      <c r="AC3299">
        <v>-2.3258000000000099</v>
      </c>
      <c r="AD3299">
        <v>-1.10887655150699</v>
      </c>
      <c r="AE3299">
        <v>-20.193000000000001</v>
      </c>
      <c r="AF3299">
        <v>4.3667930266556301</v>
      </c>
      <c r="AG3299">
        <v>-1.10887655150699</v>
      </c>
      <c r="AH3299">
        <v>19.790134755251401</v>
      </c>
      <c r="AI3299">
        <v>93.1318500643102</v>
      </c>
      <c r="AJ3299">
        <v>77.556787871950704</v>
      </c>
      <c r="AK3299">
        <v>20.296500244503701</v>
      </c>
      <c r="AL3299">
        <v>78.392515039411094</v>
      </c>
      <c r="AM3299">
        <v>81.506243246628799</v>
      </c>
      <c r="AN3299">
        <v>1.0000000576319401</v>
      </c>
    </row>
    <row r="3300" spans="1:40" x14ac:dyDescent="0.25">
      <c r="A3300" t="str">
        <f>"20190303171042416"</f>
        <v>20190303171042416</v>
      </c>
      <c r="B3300" t="str">
        <f>"1551604242404103"</f>
        <v>1551604242404103</v>
      </c>
      <c r="C3300" t="s">
        <v>40</v>
      </c>
      <c r="D3300">
        <v>4.9519679999999999</v>
      </c>
      <c r="E3300">
        <v>0.52389529999999995</v>
      </c>
      <c r="F3300" t="s">
        <v>42</v>
      </c>
      <c r="G3300">
        <v>-188.6343</v>
      </c>
      <c r="H3300" s="1">
        <v>-2.2418279999999998E-6</v>
      </c>
      <c r="I3300">
        <v>174.2938</v>
      </c>
      <c r="J3300">
        <v>-186.67500000000001</v>
      </c>
      <c r="K3300">
        <v>1.109623</v>
      </c>
      <c r="L3300">
        <v>194.7456</v>
      </c>
      <c r="M3300">
        <v>7.9351350000000001E-2</v>
      </c>
      <c r="N3300">
        <v>-1.541549E-2</v>
      </c>
      <c r="O3300">
        <v>-0.99672749999999999</v>
      </c>
      <c r="P3300">
        <v>-5.5774740000000003E-2</v>
      </c>
      <c r="Q3300">
        <v>0.188357</v>
      </c>
      <c r="R3300">
        <v>-0.98051549999999998</v>
      </c>
      <c r="S3300">
        <v>-0.2802887</v>
      </c>
      <c r="T3300">
        <v>-0.16191839999999999</v>
      </c>
      <c r="U3300">
        <v>-3.078522</v>
      </c>
      <c r="V3300">
        <v>0.13891879999999901</v>
      </c>
      <c r="W3300">
        <v>0.1996134</v>
      </c>
      <c r="X3300">
        <v>0.96997739999999999</v>
      </c>
      <c r="Y3300">
        <v>0.16927020000000001</v>
      </c>
      <c r="Z3300">
        <v>3.6332929999999999E-2</v>
      </c>
      <c r="AA3300">
        <v>0.98489979999999999</v>
      </c>
      <c r="AB3300">
        <v>32</v>
      </c>
      <c r="AC3300">
        <v>-1.9592999999999801</v>
      </c>
      <c r="AD3300">
        <v>-1.1096252418279999</v>
      </c>
      <c r="AE3300">
        <v>-20.451799999999899</v>
      </c>
      <c r="AF3300">
        <v>3.5657900426224298</v>
      </c>
      <c r="AG3300">
        <v>-1.1096252418279999</v>
      </c>
      <c r="AH3300">
        <v>20.172960057032299</v>
      </c>
      <c r="AI3300">
        <v>93.100447169585607</v>
      </c>
      <c r="AJ3300">
        <v>79.975891186986104</v>
      </c>
      <c r="AK3300">
        <v>20.515712131631901</v>
      </c>
      <c r="AL3300">
        <v>78.485647943728694</v>
      </c>
      <c r="AM3300">
        <v>81.849603208740703</v>
      </c>
      <c r="AN3300">
        <v>1.0000000494818699</v>
      </c>
    </row>
    <row r="3301" spans="1:40" x14ac:dyDescent="0.25">
      <c r="A3301" t="str">
        <f>"20190303171042441"</f>
        <v>20190303171042441</v>
      </c>
      <c r="B3301" t="str">
        <f>"1551604242434359"</f>
        <v>1551604242434359</v>
      </c>
      <c r="C3301" t="s">
        <v>40</v>
      </c>
      <c r="D3301">
        <v>4.9770240000000001</v>
      </c>
      <c r="E3301">
        <v>0.51142049999999994</v>
      </c>
      <c r="F3301" t="s">
        <v>42</v>
      </c>
      <c r="G3301">
        <v>-188.73429999999999</v>
      </c>
      <c r="H3301" s="1">
        <v>-2.4063289999999999E-6</v>
      </c>
      <c r="I3301">
        <v>174.71860000000001</v>
      </c>
      <c r="J3301">
        <v>-186.65860000000001</v>
      </c>
      <c r="K3301">
        <v>1.110058</v>
      </c>
      <c r="L3301">
        <v>194.38140000000001</v>
      </c>
      <c r="M3301">
        <v>6.6763260000000005E-2</v>
      </c>
      <c r="N3301">
        <v>-1.532263E-2</v>
      </c>
      <c r="O3301">
        <v>-0.99765139999999997</v>
      </c>
      <c r="P3301">
        <v>-6.6733899999999999E-2</v>
      </c>
      <c r="Q3301">
        <v>0.18956909999999999</v>
      </c>
      <c r="R3301">
        <v>-0.97959719999999995</v>
      </c>
      <c r="S3301">
        <v>-0.31611630000000002</v>
      </c>
      <c r="T3301">
        <v>-0.1703384</v>
      </c>
      <c r="U3301">
        <v>-3.074341</v>
      </c>
      <c r="V3301">
        <v>0.13732549999999999</v>
      </c>
      <c r="W3301">
        <v>0.2009126</v>
      </c>
      <c r="X3301">
        <v>0.96993600000000002</v>
      </c>
      <c r="Y3301">
        <v>0.16830709999999999</v>
      </c>
      <c r="Z3301">
        <v>3.9239980000000001E-2</v>
      </c>
      <c r="AA3301">
        <v>0.98495330000000003</v>
      </c>
      <c r="AB3301">
        <v>32</v>
      </c>
      <c r="AC3301">
        <v>-2.0756999999999799</v>
      </c>
      <c r="AD3301">
        <v>-1.110060406329</v>
      </c>
      <c r="AE3301">
        <v>-19.662800000000001</v>
      </c>
      <c r="AF3301">
        <v>3.3733413291603398</v>
      </c>
      <c r="AG3301">
        <v>-1.110060406329</v>
      </c>
      <c r="AH3301">
        <v>19.419112691164202</v>
      </c>
      <c r="AI3301">
        <v>93.223484553971204</v>
      </c>
      <c r="AJ3301">
        <v>80.145350077538893</v>
      </c>
      <c r="AK3301">
        <v>19.7411652022077</v>
      </c>
      <c r="AL3301">
        <v>78.409669595880999</v>
      </c>
      <c r="AM3301">
        <v>81.941508260128302</v>
      </c>
      <c r="AN3301">
        <v>1.0000000049425</v>
      </c>
    </row>
    <row r="3302" spans="1:40" x14ac:dyDescent="0.25">
      <c r="A3302" t="str">
        <f>"20190303171042463"</f>
        <v>20190303171042463</v>
      </c>
      <c r="B3302" t="str">
        <f>"1551604242453879"</f>
        <v>1551604242453879</v>
      </c>
      <c r="C3302" t="s">
        <v>40</v>
      </c>
      <c r="D3302">
        <v>5.0811859999999998</v>
      </c>
      <c r="E3302">
        <v>0.50916209999999995</v>
      </c>
      <c r="F3302" t="s">
        <v>86</v>
      </c>
      <c r="G3302">
        <v>-212.24170000000001</v>
      </c>
      <c r="H3302">
        <v>29.103950000000001</v>
      </c>
      <c r="I3302">
        <v>-81.824809999999999</v>
      </c>
      <c r="J3302">
        <v>-186.64760000000001</v>
      </c>
      <c r="K3302">
        <v>1.110417</v>
      </c>
      <c r="L3302">
        <v>194.0641</v>
      </c>
      <c r="M3302">
        <v>5.6101129999999999E-2</v>
      </c>
      <c r="N3302">
        <v>-1.5246249999999999E-2</v>
      </c>
      <c r="O3302">
        <v>-0.99830870000000005</v>
      </c>
      <c r="P3302">
        <v>-7.5644710000000004E-2</v>
      </c>
      <c r="Q3302">
        <v>0.19006310000000001</v>
      </c>
      <c r="R3302">
        <v>-0.97885339999999998</v>
      </c>
      <c r="S3302">
        <v>-0.27648929999999999</v>
      </c>
      <c r="T3302">
        <v>0.30254340000000002</v>
      </c>
      <c r="U3302">
        <v>-2.9850919999999999</v>
      </c>
      <c r="V3302">
        <v>0.13562340000000001</v>
      </c>
      <c r="W3302">
        <v>0.2014871</v>
      </c>
      <c r="X3302">
        <v>0.97005629999999998</v>
      </c>
      <c r="Y3302">
        <v>0.14743339999999999</v>
      </c>
      <c r="Z3302">
        <v>-0.1150298</v>
      </c>
      <c r="AA3302">
        <v>0.98236020000000002</v>
      </c>
      <c r="AB3302">
        <v>32</v>
      </c>
      <c r="AC3302">
        <v>-25.594100000000001</v>
      </c>
      <c r="AD3302">
        <v>27.993532999999999</v>
      </c>
      <c r="AE3302">
        <v>-275.88891000000001</v>
      </c>
      <c r="AF3302">
        <v>40.618640279988703</v>
      </c>
      <c r="AG3302">
        <v>27.993532999999999</v>
      </c>
      <c r="AH3302">
        <v>271.24946762311799</v>
      </c>
      <c r="AI3302">
        <v>84.172333773930205</v>
      </c>
      <c r="AJ3302">
        <v>81.4834435327911</v>
      </c>
      <c r="AK3302">
        <v>275.69872236526999</v>
      </c>
      <c r="AL3302">
        <v>78.376065826601902</v>
      </c>
      <c r="AM3302">
        <v>82.041076738308604</v>
      </c>
      <c r="AN3302">
        <v>0.99999999163182995</v>
      </c>
    </row>
    <row r="3303" spans="1:40" x14ac:dyDescent="0.25">
      <c r="A3303" t="str">
        <f>"20190303171042484"</f>
        <v>20190303171042484</v>
      </c>
      <c r="B3303" t="str">
        <f>"1551604242474375"</f>
        <v>1551604242474375</v>
      </c>
      <c r="C3303" t="s">
        <v>40</v>
      </c>
      <c r="D3303">
        <v>5.0799979999999998</v>
      </c>
      <c r="E3303">
        <v>0.50829089999999999</v>
      </c>
      <c r="F3303" t="s">
        <v>42</v>
      </c>
      <c r="G3303">
        <v>-188.959</v>
      </c>
      <c r="H3303" s="1">
        <v>-3.6636040000000001E-6</v>
      </c>
      <c r="I3303">
        <v>166.99090000000001</v>
      </c>
      <c r="J3303">
        <v>-186.64</v>
      </c>
      <c r="K3303">
        <v>1.110741</v>
      </c>
      <c r="L3303">
        <v>193.75819999999999</v>
      </c>
      <c r="M3303">
        <v>4.6114710000000003E-2</v>
      </c>
      <c r="N3303">
        <v>-1.517695E-2</v>
      </c>
      <c r="O3303">
        <v>-0.99882099999999996</v>
      </c>
      <c r="P3303">
        <v>-8.3113599999999996E-2</v>
      </c>
      <c r="Q3303">
        <v>0.188862</v>
      </c>
      <c r="R3303">
        <v>-0.97848020000000002</v>
      </c>
      <c r="S3303">
        <v>-0.26200869999999998</v>
      </c>
      <c r="T3303">
        <v>-0.1258763</v>
      </c>
      <c r="U3303">
        <v>-3.069</v>
      </c>
      <c r="V3303">
        <v>0.13314389999999901</v>
      </c>
      <c r="W3303">
        <v>0.20038839999999999</v>
      </c>
      <c r="X3303">
        <v>0.97062720000000002</v>
      </c>
      <c r="Y3303">
        <v>0.13084219999999999</v>
      </c>
      <c r="Z3303">
        <v>2.5466760000000001E-2</v>
      </c>
      <c r="AA3303">
        <v>0.99107610000000002</v>
      </c>
      <c r="AB3303">
        <v>32</v>
      </c>
      <c r="AC3303">
        <v>-2.3190000000000102</v>
      </c>
      <c r="AD3303">
        <v>-1.1107446636039999</v>
      </c>
      <c r="AE3303">
        <v>-26.767299999999899</v>
      </c>
      <c r="AF3303">
        <v>3.5449818572653902</v>
      </c>
      <c r="AG3303">
        <v>-1.1107446636039999</v>
      </c>
      <c r="AH3303">
        <v>26.586425446268802</v>
      </c>
      <c r="AI3303">
        <v>92.3713850932035</v>
      </c>
      <c r="AJ3303">
        <v>82.405091674834594</v>
      </c>
      <c r="AK3303">
        <v>26.844713969161202</v>
      </c>
      <c r="AL3303">
        <v>78.440327305997499</v>
      </c>
      <c r="AM3303">
        <v>82.189309179082997</v>
      </c>
      <c r="AN3303">
        <v>0.99999998517080402</v>
      </c>
    </row>
    <row r="3304" spans="1:40" x14ac:dyDescent="0.25">
      <c r="A3304" t="str">
        <f>"20190303171042505"</f>
        <v>20190303171042505</v>
      </c>
      <c r="B3304" t="str">
        <f>"1551604242493894"</f>
        <v>1551604242493894</v>
      </c>
      <c r="C3304" t="s">
        <v>40</v>
      </c>
      <c r="D3304">
        <v>5.0797319999999999</v>
      </c>
      <c r="E3304">
        <v>0.50723240000000003</v>
      </c>
      <c r="F3304" t="s">
        <v>42</v>
      </c>
      <c r="G3304">
        <v>-189.0128</v>
      </c>
      <c r="H3304" s="1">
        <v>-3.968524E-6</v>
      </c>
      <c r="I3304">
        <v>167.65610000000001</v>
      </c>
      <c r="J3304">
        <v>-186.6353</v>
      </c>
      <c r="K3304">
        <v>1.1110850000000001</v>
      </c>
      <c r="L3304">
        <v>193.44640000000001</v>
      </c>
      <c r="M3304">
        <v>3.6254099999999997E-2</v>
      </c>
      <c r="N3304">
        <v>-1.510647E-2</v>
      </c>
      <c r="O3304">
        <v>-0.99922840000000002</v>
      </c>
      <c r="P3304">
        <v>-8.9233010000000001E-2</v>
      </c>
      <c r="Q3304">
        <v>0.18603800000000001</v>
      </c>
      <c r="R3304">
        <v>-0.97848210000000002</v>
      </c>
      <c r="S3304">
        <v>-0.27883909999999901</v>
      </c>
      <c r="T3304">
        <v>-0.13053329999999999</v>
      </c>
      <c r="U3304">
        <v>-3.0674899999999998</v>
      </c>
      <c r="V3304">
        <v>0.129416</v>
      </c>
      <c r="W3304">
        <v>0.19770199999999999</v>
      </c>
      <c r="X3304">
        <v>0.97168180000000004</v>
      </c>
      <c r="Y3304">
        <v>0.12648980000000001</v>
      </c>
      <c r="Z3304">
        <v>2.7093229999999999E-2</v>
      </c>
      <c r="AA3304">
        <v>0.99159779999999997</v>
      </c>
      <c r="AB3304">
        <v>32</v>
      </c>
      <c r="AC3304">
        <v>-2.3774999999999902</v>
      </c>
      <c r="AD3304">
        <v>-1.111088968524</v>
      </c>
      <c r="AE3304">
        <v>-25.790299999999998</v>
      </c>
      <c r="AF3304">
        <v>3.3049650995533302</v>
      </c>
      <c r="AG3304">
        <v>-1.111088968524</v>
      </c>
      <c r="AH3304">
        <v>25.639950232741398</v>
      </c>
      <c r="AI3304">
        <v>92.460984338361499</v>
      </c>
      <c r="AJ3304">
        <v>82.6551283161795</v>
      </c>
      <c r="AK3304">
        <v>25.8759417402091</v>
      </c>
      <c r="AL3304">
        <v>78.597390273078702</v>
      </c>
      <c r="AM3304">
        <v>82.413558925638497</v>
      </c>
      <c r="AN3304">
        <v>1.00000005115561</v>
      </c>
    </row>
    <row r="3305" spans="1:40" x14ac:dyDescent="0.25">
      <c r="A3305" t="str">
        <f>"20190303171042530"</f>
        <v>20190303171042530</v>
      </c>
      <c r="B3305" t="str">
        <f>"1551604242514391"</f>
        <v>1551604242514391</v>
      </c>
      <c r="C3305" t="s">
        <v>40</v>
      </c>
      <c r="D3305">
        <v>5.0850949999999999</v>
      </c>
      <c r="E3305">
        <v>0.50614579999999998</v>
      </c>
      <c r="F3305" t="s">
        <v>42</v>
      </c>
      <c r="G3305">
        <v>-188.99080000000001</v>
      </c>
      <c r="H3305" s="1">
        <v>-4.4325149999999997E-6</v>
      </c>
      <c r="I3305">
        <v>168.6294</v>
      </c>
      <c r="J3305">
        <v>-186.63319999999999</v>
      </c>
      <c r="K3305">
        <v>1.1114869999999999</v>
      </c>
      <c r="L3305">
        <v>193.09610000000001</v>
      </c>
      <c r="M3305">
        <v>2.5583399999999999E-2</v>
      </c>
      <c r="N3305">
        <v>-1.5025E-2</v>
      </c>
      <c r="O3305">
        <v>-0.99955989999999995</v>
      </c>
      <c r="P3305">
        <v>-9.6310060000000003E-2</v>
      </c>
      <c r="Q3305">
        <v>0.18560760000000001</v>
      </c>
      <c r="R3305">
        <v>-0.97789289999999995</v>
      </c>
      <c r="S3305">
        <v>-0.2909698</v>
      </c>
      <c r="T3305">
        <v>-0.137248799999999</v>
      </c>
      <c r="U3305">
        <v>-3.0655519999999998</v>
      </c>
      <c r="V3305">
        <v>0.12586349999999999</v>
      </c>
      <c r="W3305">
        <v>0.19740050000000001</v>
      </c>
      <c r="X3305">
        <v>0.97220960000000001</v>
      </c>
      <c r="Y3305">
        <v>0.1198376</v>
      </c>
      <c r="Z3305">
        <v>2.9410459999999999E-2</v>
      </c>
      <c r="AA3305">
        <v>0.99235779999999996</v>
      </c>
      <c r="AB3305">
        <v>32</v>
      </c>
      <c r="AC3305">
        <v>-2.3576000000000099</v>
      </c>
      <c r="AD3305">
        <v>-1.111491432515</v>
      </c>
      <c r="AE3305">
        <v>-24.466699999999999</v>
      </c>
      <c r="AF3305">
        <v>2.9767533019863901</v>
      </c>
      <c r="AG3305">
        <v>-1.111491432515</v>
      </c>
      <c r="AH3305">
        <v>24.348580202394899</v>
      </c>
      <c r="AI3305">
        <v>92.594397888894306</v>
      </c>
      <c r="AJ3305">
        <v>83.029852005659905</v>
      </c>
      <c r="AK3305">
        <v>24.555036780626001</v>
      </c>
      <c r="AL3305">
        <v>78.615012129955204</v>
      </c>
      <c r="AM3305">
        <v>82.6234433251513</v>
      </c>
      <c r="AN3305">
        <v>1.0000000421823201</v>
      </c>
    </row>
    <row r="3306" spans="1:40" x14ac:dyDescent="0.25">
      <c r="A3306" t="str">
        <f>"20190303171042554"</f>
        <v>20190303171042554</v>
      </c>
      <c r="B3306" t="str">
        <f>"1551604242543672"</f>
        <v>1551604242543672</v>
      </c>
      <c r="C3306" t="s">
        <v>40</v>
      </c>
      <c r="D3306">
        <v>5.0837329999999996</v>
      </c>
      <c r="E3306">
        <v>0.50497060000000005</v>
      </c>
      <c r="F3306" t="s">
        <v>42</v>
      </c>
      <c r="G3306">
        <v>-189.11920000000001</v>
      </c>
      <c r="H3306" s="1">
        <v>-4.2121589999999996E-6</v>
      </c>
      <c r="I3306">
        <v>168.2114</v>
      </c>
      <c r="J3306">
        <v>-186.6345</v>
      </c>
      <c r="K3306">
        <v>1.111926</v>
      </c>
      <c r="L3306">
        <v>192.74430000000001</v>
      </c>
      <c r="M3306">
        <v>1.5321120000000001E-2</v>
      </c>
      <c r="N3306">
        <v>-1.4942199999999999E-2</v>
      </c>
      <c r="O3306">
        <v>-0.99977090000000002</v>
      </c>
      <c r="P3306">
        <v>-0.1041685</v>
      </c>
      <c r="Q3306">
        <v>0.18705550000000001</v>
      </c>
      <c r="R3306">
        <v>-0.97681079999999998</v>
      </c>
      <c r="S3306">
        <v>-0.30606080000000002</v>
      </c>
      <c r="T3306">
        <v>-0.13684009999999999</v>
      </c>
      <c r="U3306">
        <v>-3.063644</v>
      </c>
      <c r="V3306">
        <v>0.12351470000000001</v>
      </c>
      <c r="W3306">
        <v>0.1989447</v>
      </c>
      <c r="X3306">
        <v>0.97219599999999995</v>
      </c>
      <c r="Y3306">
        <v>0.1145476</v>
      </c>
      <c r="Z3306">
        <v>2.941268E-2</v>
      </c>
      <c r="AA3306">
        <v>0.99298229999999998</v>
      </c>
      <c r="AB3306">
        <v>32</v>
      </c>
      <c r="AC3306">
        <v>-2.4847000000000001</v>
      </c>
      <c r="AD3306">
        <v>-1.111930212159</v>
      </c>
      <c r="AE3306">
        <v>-24.532900000000001</v>
      </c>
      <c r="AF3306">
        <v>2.8545173849985699</v>
      </c>
      <c r="AG3306">
        <v>-1.111930212159</v>
      </c>
      <c r="AH3306">
        <v>24.4422460356503</v>
      </c>
      <c r="AI3306">
        <v>92.587152850824694</v>
      </c>
      <c r="AJ3306">
        <v>83.338817447080501</v>
      </c>
      <c r="AK3306">
        <v>24.633474167588101</v>
      </c>
      <c r="AL3306">
        <v>78.524744884184102</v>
      </c>
      <c r="AM3306">
        <v>82.759526152049006</v>
      </c>
      <c r="AN3306">
        <v>0.99999996859508899</v>
      </c>
    </row>
    <row r="3307" spans="1:40" x14ac:dyDescent="0.25">
      <c r="A3307" t="str">
        <f>"20190303171042573"</f>
        <v>20190303171042573</v>
      </c>
      <c r="B3307" t="str">
        <f>"1551604242564167"</f>
        <v>1551604242564167</v>
      </c>
      <c r="C3307" t="s">
        <v>40</v>
      </c>
      <c r="D3307">
        <v>5.0811279999999996</v>
      </c>
      <c r="E3307">
        <v>0.50395869999999998</v>
      </c>
      <c r="F3307" t="s">
        <v>42</v>
      </c>
      <c r="G3307">
        <v>-189.3485</v>
      </c>
      <c r="H3307" s="1">
        <v>-3.5071479999999999E-6</v>
      </c>
      <c r="I3307">
        <v>166.80609999999999</v>
      </c>
      <c r="J3307">
        <v>-186.63800000000001</v>
      </c>
      <c r="K3307">
        <v>1.112344</v>
      </c>
      <c r="L3307">
        <v>192.4513</v>
      </c>
      <c r="M3307">
        <v>7.1841989999999996E-3</v>
      </c>
      <c r="N3307">
        <v>-1.48726E-2</v>
      </c>
      <c r="O3307">
        <v>-0.99986370000000002</v>
      </c>
      <c r="P3307">
        <v>-0.110539899999999</v>
      </c>
      <c r="Q3307">
        <v>0.18865509999999999</v>
      </c>
      <c r="R3307">
        <v>-0.97580270000000002</v>
      </c>
      <c r="S3307">
        <v>-0.32041930000000002</v>
      </c>
      <c r="T3307">
        <v>-0.131272</v>
      </c>
      <c r="U3307">
        <v>-3.0622099999999999</v>
      </c>
      <c r="V3307">
        <v>0.1217858</v>
      </c>
      <c r="W3307">
        <v>0.20062250000000001</v>
      </c>
      <c r="X3307">
        <v>0.97206939999999997</v>
      </c>
      <c r="Y3307">
        <v>0.1111244</v>
      </c>
      <c r="Z3307">
        <v>2.770945E-2</v>
      </c>
      <c r="AA3307">
        <v>0.99342010000000003</v>
      </c>
      <c r="AB3307">
        <v>32</v>
      </c>
      <c r="AC3307">
        <v>-2.7104999999999899</v>
      </c>
      <c r="AD3307">
        <v>-1.112347507148</v>
      </c>
      <c r="AE3307">
        <v>-25.645199999999999</v>
      </c>
      <c r="AF3307">
        <v>2.88931486407605</v>
      </c>
      <c r="AG3307">
        <v>-1.112347507148</v>
      </c>
      <c r="AH3307">
        <v>25.577474624681699</v>
      </c>
      <c r="AI3307">
        <v>92.474468373979903</v>
      </c>
      <c r="AJ3307">
        <v>83.5550036272369</v>
      </c>
      <c r="AK3307">
        <v>25.764174070531801</v>
      </c>
      <c r="AL3307">
        <v>78.426637019999603</v>
      </c>
      <c r="AM3307">
        <v>82.858901192788906</v>
      </c>
      <c r="AN3307">
        <v>1.0000000435021199</v>
      </c>
    </row>
    <row r="3308" spans="1:40" x14ac:dyDescent="0.25">
      <c r="A3308" t="str">
        <f>"20190303171042597"</f>
        <v>20190303171042597</v>
      </c>
      <c r="B3308" t="str">
        <f>"1551604242583686"</f>
        <v>1551604242583686</v>
      </c>
      <c r="C3308" t="s">
        <v>40</v>
      </c>
      <c r="D3308">
        <v>5.1319900000000001</v>
      </c>
      <c r="E3308">
        <v>0.50314110000000001</v>
      </c>
      <c r="F3308" t="s">
        <v>42</v>
      </c>
      <c r="G3308">
        <v>-189.56049999999999</v>
      </c>
      <c r="H3308" s="1">
        <v>-2.7805389999999999E-6</v>
      </c>
      <c r="I3308">
        <v>165.3485</v>
      </c>
      <c r="J3308">
        <v>-186.64420000000001</v>
      </c>
      <c r="K3308">
        <v>1.11283</v>
      </c>
      <c r="L3308">
        <v>192.1267</v>
      </c>
      <c r="M3308">
        <v>-1.3723989999999901E-3</v>
      </c>
      <c r="N3308">
        <v>-1.479477E-2</v>
      </c>
      <c r="O3308">
        <v>-0.99988969999999999</v>
      </c>
      <c r="P3308">
        <v>-0.1167994</v>
      </c>
      <c r="Q3308">
        <v>0.1881496</v>
      </c>
      <c r="R3308">
        <v>-0.9751708</v>
      </c>
      <c r="S3308">
        <v>-0.33009339999999998</v>
      </c>
      <c r="T3308">
        <v>-0.12564149999999999</v>
      </c>
      <c r="U3308">
        <v>-3.0613100000000002</v>
      </c>
      <c r="V3308">
        <v>0.1194629</v>
      </c>
      <c r="W3308">
        <v>0.20022490000000001</v>
      </c>
      <c r="X3308">
        <v>0.97243950000000001</v>
      </c>
      <c r="Y3308">
        <v>0.1057618</v>
      </c>
      <c r="Z3308">
        <v>2.5988440000000002E-2</v>
      </c>
      <c r="AA3308">
        <v>0.99405180000000004</v>
      </c>
      <c r="AB3308">
        <v>32</v>
      </c>
      <c r="AC3308">
        <v>-2.9162999999999699</v>
      </c>
      <c r="AD3308">
        <v>-1.1128327805389999</v>
      </c>
      <c r="AE3308">
        <v>-26.778199999999998</v>
      </c>
      <c r="AF3308">
        <v>2.8746364992025599</v>
      </c>
      <c r="AG3308">
        <v>-1.1128327805389999</v>
      </c>
      <c r="AH3308">
        <v>26.7365442592995</v>
      </c>
      <c r="AI3308">
        <v>92.369756473236905</v>
      </c>
      <c r="AJ3308">
        <v>83.863296409513893</v>
      </c>
      <c r="AK3308">
        <v>26.913653240120901</v>
      </c>
      <c r="AL3308">
        <v>78.449888983916296</v>
      </c>
      <c r="AM3308">
        <v>82.996381357289707</v>
      </c>
      <c r="AN3308">
        <v>0.99999998810833401</v>
      </c>
    </row>
    <row r="3309" spans="1:40" x14ac:dyDescent="0.25">
      <c r="A3309" t="str">
        <f>"20190303171042620"</f>
        <v>20190303171042620</v>
      </c>
      <c r="B3309" t="str">
        <f>"1551604242613943"</f>
        <v>1551604242613943</v>
      </c>
      <c r="C3309" t="s">
        <v>40</v>
      </c>
      <c r="D3309">
        <v>5.1352820000000001</v>
      </c>
      <c r="E3309">
        <v>0.501637</v>
      </c>
      <c r="F3309" t="s">
        <v>42</v>
      </c>
      <c r="G3309">
        <v>-189.6337</v>
      </c>
      <c r="H3309" s="1">
        <v>-2.8046070000000002E-6</v>
      </c>
      <c r="I3309">
        <v>165.42679999999999</v>
      </c>
      <c r="J3309">
        <v>-186.65360000000001</v>
      </c>
      <c r="K3309">
        <v>1.113378</v>
      </c>
      <c r="L3309">
        <v>191.78190000000001</v>
      </c>
      <c r="M3309">
        <v>-9.7992070000000008E-3</v>
      </c>
      <c r="N3309">
        <v>-1.4709979999999999E-2</v>
      </c>
      <c r="O3309">
        <v>-0.99984379999999995</v>
      </c>
      <c r="P3309">
        <v>-0.1218404</v>
      </c>
      <c r="Q3309">
        <v>0.1867162</v>
      </c>
      <c r="R3309">
        <v>-0.97482939999999996</v>
      </c>
      <c r="S3309">
        <v>-0.34260559999999901</v>
      </c>
      <c r="T3309">
        <v>-0.12753689999999901</v>
      </c>
      <c r="U3309">
        <v>-3.059952</v>
      </c>
      <c r="V3309">
        <v>0.1159983</v>
      </c>
      <c r="W3309">
        <v>0.1989312</v>
      </c>
      <c r="X3309">
        <v>0.97312430000000005</v>
      </c>
      <c r="Y3309">
        <v>0.1014429</v>
      </c>
      <c r="Z3309">
        <v>2.6709960000000001E-2</v>
      </c>
      <c r="AA3309">
        <v>0.9944828</v>
      </c>
      <c r="AB3309">
        <v>32</v>
      </c>
      <c r="AC3309">
        <v>-2.98009999999999</v>
      </c>
      <c r="AD3309">
        <v>-1.113380804607</v>
      </c>
      <c r="AE3309">
        <v>-26.3551</v>
      </c>
      <c r="AF3309">
        <v>2.7168823344725799</v>
      </c>
      <c r="AG3309">
        <v>-1.113380804607</v>
      </c>
      <c r="AH3309">
        <v>26.336631267904</v>
      </c>
      <c r="AI3309">
        <v>92.407973361924505</v>
      </c>
      <c r="AJ3309">
        <v>84.110211260621099</v>
      </c>
      <c r="AK3309">
        <v>26.499796470482099</v>
      </c>
      <c r="AL3309">
        <v>78.525535281196298</v>
      </c>
      <c r="AM3309">
        <v>83.202307460756998</v>
      </c>
      <c r="AN3309">
        <v>1.0000000655934</v>
      </c>
    </row>
    <row r="3310" spans="1:40" x14ac:dyDescent="0.25">
      <c r="A3310" t="str">
        <f>"20190303171042642"</f>
        <v>20190303171042642</v>
      </c>
      <c r="B3310" t="str">
        <f>"1551604242634439"</f>
        <v>1551604242634439</v>
      </c>
      <c r="C3310" t="s">
        <v>40</v>
      </c>
      <c r="D3310">
        <v>4.9630769999999904</v>
      </c>
      <c r="E3310">
        <v>0.50072819999999996</v>
      </c>
      <c r="F3310" t="s">
        <v>42</v>
      </c>
      <c r="G3310">
        <v>-189.60059999999999</v>
      </c>
      <c r="H3310" s="1">
        <v>-2.9976849999999999E-6</v>
      </c>
      <c r="I3310">
        <v>165.8229</v>
      </c>
      <c r="J3310">
        <v>-186.6643</v>
      </c>
      <c r="K3310">
        <v>1.1138779999999999</v>
      </c>
      <c r="L3310">
        <v>191.4607</v>
      </c>
      <c r="M3310">
        <v>-1.7090419999999999E-2</v>
      </c>
      <c r="N3310">
        <v>-1.46322999999999E-2</v>
      </c>
      <c r="O3310">
        <v>-0.99974689999999999</v>
      </c>
      <c r="P3310">
        <v>-0.12656419999999999</v>
      </c>
      <c r="Q3310">
        <v>0.18644930000000001</v>
      </c>
      <c r="R3310">
        <v>-0.97427839999999999</v>
      </c>
      <c r="S3310">
        <v>-0.34730529999999998</v>
      </c>
      <c r="T3310">
        <v>-0.13120870000000001</v>
      </c>
      <c r="U3310">
        <v>-3.0591889999999999</v>
      </c>
      <c r="V3310">
        <v>0.1133598</v>
      </c>
      <c r="W3310">
        <v>0.19877790000000001</v>
      </c>
      <c r="X3310">
        <v>0.97346650000000001</v>
      </c>
      <c r="Y3310">
        <v>9.5720139999999995E-2</v>
      </c>
      <c r="Z3310">
        <v>2.799691E-2</v>
      </c>
      <c r="AA3310">
        <v>0.99501450000000002</v>
      </c>
      <c r="AB3310">
        <v>32</v>
      </c>
      <c r="AC3310">
        <v>-2.9362999999999801</v>
      </c>
      <c r="AD3310">
        <v>-1.1138809976849999</v>
      </c>
      <c r="AE3310">
        <v>-25.637799999999999</v>
      </c>
      <c r="AF3310">
        <v>2.4930184244870599</v>
      </c>
      <c r="AG3310">
        <v>-1.1138809976849999</v>
      </c>
      <c r="AH3310">
        <v>25.636477173414502</v>
      </c>
      <c r="AI3310">
        <v>92.476217267270599</v>
      </c>
      <c r="AJ3310">
        <v>84.445737886797801</v>
      </c>
      <c r="AK3310">
        <v>25.781482377955701</v>
      </c>
      <c r="AL3310">
        <v>78.534497672795297</v>
      </c>
      <c r="AM3310">
        <v>83.357844358115898</v>
      </c>
      <c r="AN3310">
        <v>1.00000006220334</v>
      </c>
    </row>
    <row r="3311" spans="1:40" x14ac:dyDescent="0.25">
      <c r="A3311" t="str">
        <f>"20190303171042664"</f>
        <v>20190303171042664</v>
      </c>
      <c r="B3311" t="str">
        <f>"1551604242653958"</f>
        <v>1551604242653958</v>
      </c>
      <c r="C3311" t="s">
        <v>40</v>
      </c>
      <c r="D3311">
        <v>5.1319290000000004</v>
      </c>
      <c r="E3311">
        <v>0.50027290000000002</v>
      </c>
      <c r="F3311" t="s">
        <v>42</v>
      </c>
      <c r="G3311">
        <v>-189.6472</v>
      </c>
      <c r="H3311" s="1">
        <v>-2.9576190000000002E-6</v>
      </c>
      <c r="I3311">
        <v>165.75559999999999</v>
      </c>
      <c r="J3311">
        <v>-186.67660000000001</v>
      </c>
      <c r="K3311">
        <v>1.1143689999999999</v>
      </c>
      <c r="L3311">
        <v>191.14340000000001</v>
      </c>
      <c r="M3311">
        <v>-2.3807519999999999E-2</v>
      </c>
      <c r="N3311">
        <v>-1.455949E-2</v>
      </c>
      <c r="O3311">
        <v>-0.99961060000000002</v>
      </c>
      <c r="P3311">
        <v>-0.1322972</v>
      </c>
      <c r="Q3311">
        <v>0.1876361</v>
      </c>
      <c r="R3311">
        <v>-0.9732885</v>
      </c>
      <c r="S3311">
        <v>-0.3549194</v>
      </c>
      <c r="T3311">
        <v>-0.13253299999999901</v>
      </c>
      <c r="U3311">
        <v>-3.0584720000000001</v>
      </c>
      <c r="V3311">
        <v>0.1123415</v>
      </c>
      <c r="W3311">
        <v>0.2000343</v>
      </c>
      <c r="X3311">
        <v>0.9733271</v>
      </c>
      <c r="Y3311">
        <v>9.1502059999999996E-2</v>
      </c>
      <c r="Z3311">
        <v>2.850865E-2</v>
      </c>
      <c r="AA3311">
        <v>0.99539670000000002</v>
      </c>
      <c r="AB3311">
        <v>32</v>
      </c>
      <c r="AC3311">
        <v>-2.9705999999999899</v>
      </c>
      <c r="AD3311">
        <v>-1.1143719576190001</v>
      </c>
      <c r="AE3311">
        <v>-25.387799999999999</v>
      </c>
      <c r="AF3311">
        <v>2.3607861939702</v>
      </c>
      <c r="AG3311">
        <v>-1.1143719576190001</v>
      </c>
      <c r="AH3311">
        <v>25.403050111896299</v>
      </c>
      <c r="AI3311">
        <v>92.501057165449694</v>
      </c>
      <c r="AJ3311">
        <v>84.6905711375897</v>
      </c>
      <c r="AK3311">
        <v>25.536837926827999</v>
      </c>
      <c r="AL3311">
        <v>78.461035057774097</v>
      </c>
      <c r="AM3311">
        <v>83.416049598224205</v>
      </c>
      <c r="AN3311">
        <v>0.99999998869657503</v>
      </c>
    </row>
    <row r="3312" spans="1:40" x14ac:dyDescent="0.25">
      <c r="A3312" t="str">
        <f>"20190303171042685"</f>
        <v>20190303171042685</v>
      </c>
      <c r="B3312" t="str">
        <f>"1551604242674455"</f>
        <v>1551604242674455</v>
      </c>
      <c r="C3312" t="s">
        <v>40</v>
      </c>
      <c r="D3312">
        <v>4.8367990000000001</v>
      </c>
      <c r="E3312">
        <v>0.49974809999999997</v>
      </c>
      <c r="F3312" t="s">
        <v>42</v>
      </c>
      <c r="G3312">
        <v>-189.85059999999999</v>
      </c>
      <c r="H3312" s="1">
        <v>-2.4043669999999999E-6</v>
      </c>
      <c r="I3312">
        <v>164.66159999999999</v>
      </c>
      <c r="J3312">
        <v>-186.68969999999999</v>
      </c>
      <c r="K3312">
        <v>1.1148279999999999</v>
      </c>
      <c r="L3312">
        <v>190.8466</v>
      </c>
      <c r="M3312">
        <v>-2.9604800000000001E-2</v>
      </c>
      <c r="N3312">
        <v>-1.449457E-2</v>
      </c>
      <c r="O3312">
        <v>-0.99945669999999998</v>
      </c>
      <c r="P3312">
        <v>-0.13736019999999999</v>
      </c>
      <c r="Q3312">
        <v>0.1878022</v>
      </c>
      <c r="R3312">
        <v>-0.97255499999999995</v>
      </c>
      <c r="S3312">
        <v>-0.36643979999999998</v>
      </c>
      <c r="T3312">
        <v>-0.12865409999999999</v>
      </c>
      <c r="U3312">
        <v>-3.0573269999999999</v>
      </c>
      <c r="V3312">
        <v>0.1115501</v>
      </c>
      <c r="W3312">
        <v>0.20026559999999999</v>
      </c>
      <c r="X3312">
        <v>0.97337059999999997</v>
      </c>
      <c r="Y3312">
        <v>8.9474079999999998E-2</v>
      </c>
      <c r="Z3312">
        <v>2.732157E-2</v>
      </c>
      <c r="AA3312">
        <v>0.99561429999999995</v>
      </c>
      <c r="AB3312">
        <v>32</v>
      </c>
      <c r="AC3312">
        <v>-3.1608999999999901</v>
      </c>
      <c r="AD3312">
        <v>-1.1148304043670001</v>
      </c>
      <c r="AE3312">
        <v>-26.184999999999999</v>
      </c>
      <c r="AF3312">
        <v>2.3799790932247298</v>
      </c>
      <c r="AG3312">
        <v>-1.1148304043670001</v>
      </c>
      <c r="AH3312">
        <v>26.220262494437701</v>
      </c>
      <c r="AI3312">
        <v>92.424673707765393</v>
      </c>
      <c r="AJ3312">
        <v>84.813549168913696</v>
      </c>
      <c r="AK3312">
        <v>26.351647246271</v>
      </c>
      <c r="AL3312">
        <v>78.447509330075803</v>
      </c>
      <c r="AM3312">
        <v>83.462317519191899</v>
      </c>
      <c r="AN3312">
        <v>1.0000000301488601</v>
      </c>
    </row>
    <row r="3313" spans="1:40" x14ac:dyDescent="0.25">
      <c r="A3313" t="str">
        <f>"20190303171042707"</f>
        <v>20190303171042707</v>
      </c>
      <c r="B3313" t="str">
        <f>"1551604242693975"</f>
        <v>1551604242693975</v>
      </c>
      <c r="C3313" t="s">
        <v>40</v>
      </c>
      <c r="D3313">
        <v>4.7651459999999997</v>
      </c>
      <c r="E3313">
        <v>0.49622430000000001</v>
      </c>
      <c r="F3313" t="s">
        <v>42</v>
      </c>
      <c r="G3313">
        <v>-189.96019999999999</v>
      </c>
      <c r="H3313" s="1">
        <v>-2.2058390000000001E-6</v>
      </c>
      <c r="I3313">
        <v>164.28039999999999</v>
      </c>
      <c r="J3313">
        <v>-186.70519999999999</v>
      </c>
      <c r="K3313">
        <v>1.1153219999999999</v>
      </c>
      <c r="L3313">
        <v>190.52670000000001</v>
      </c>
      <c r="M3313">
        <v>-3.5274939999999998E-2</v>
      </c>
      <c r="N3313">
        <v>-1.44247E-2</v>
      </c>
      <c r="O3313">
        <v>-0.99927370000000004</v>
      </c>
      <c r="P3313">
        <v>-0.141899</v>
      </c>
      <c r="Q3313">
        <v>0.1863581</v>
      </c>
      <c r="R3313">
        <v>-0.97218079999999996</v>
      </c>
      <c r="S3313">
        <v>-0.37625120000000001</v>
      </c>
      <c r="T3313">
        <v>-0.1282548</v>
      </c>
      <c r="U3313">
        <v>-3.0562900000000002</v>
      </c>
      <c r="V3313">
        <v>0.1102987</v>
      </c>
      <c r="W3313">
        <v>0.19890640000000001</v>
      </c>
      <c r="X3313">
        <v>0.97379179999999999</v>
      </c>
      <c r="Y3313">
        <v>8.7013980000000005E-2</v>
      </c>
      <c r="Z3313">
        <v>2.7266490000000001E-2</v>
      </c>
      <c r="AA3313">
        <v>0.99583390000000005</v>
      </c>
      <c r="AB3313">
        <v>32</v>
      </c>
      <c r="AC3313">
        <v>-3.2549999999999901</v>
      </c>
      <c r="AD3313">
        <v>-1.1153242058389901</v>
      </c>
      <c r="AE3313">
        <v>-26.246300000000002</v>
      </c>
      <c r="AF3313">
        <v>2.3229098331831501</v>
      </c>
      <c r="AG3313">
        <v>-1.1153242058389901</v>
      </c>
      <c r="AH3313">
        <v>26.298024708298001</v>
      </c>
      <c r="AI3313">
        <v>92.419105469569502</v>
      </c>
      <c r="AJ3313">
        <v>84.952153166745006</v>
      </c>
      <c r="AK3313">
        <v>26.4239656701162</v>
      </c>
      <c r="AL3313">
        <v>78.526984596909003</v>
      </c>
      <c r="AM3313">
        <v>83.537807327442394</v>
      </c>
      <c r="AN3313">
        <v>1.0000000144649399</v>
      </c>
    </row>
    <row r="3314" spans="1:40" x14ac:dyDescent="0.25">
      <c r="A3314" t="str">
        <f>"20190303171042732"</f>
        <v>20190303171042732</v>
      </c>
      <c r="B3314" t="str">
        <f>"1551604242724231"</f>
        <v>1551604242724231</v>
      </c>
      <c r="C3314" t="s">
        <v>40</v>
      </c>
      <c r="D3314">
        <v>5.0084</v>
      </c>
      <c r="E3314">
        <v>0.493197</v>
      </c>
      <c r="F3314" t="s">
        <v>42</v>
      </c>
      <c r="G3314">
        <v>-190.2834</v>
      </c>
      <c r="H3314" s="1">
        <v>-5.1577470000000002E-7</v>
      </c>
      <c r="I3314">
        <v>160.5232</v>
      </c>
      <c r="J3314">
        <v>-186.7236</v>
      </c>
      <c r="K3314">
        <v>1.115909</v>
      </c>
      <c r="L3314">
        <v>190.1765</v>
      </c>
      <c r="M3314">
        <v>-4.077182E-2</v>
      </c>
      <c r="N3314">
        <v>-1.434905E-2</v>
      </c>
      <c r="O3314">
        <v>-0.99906569999999995</v>
      </c>
      <c r="P3314">
        <v>-0.14641680000000001</v>
      </c>
      <c r="Q3314">
        <v>0.1863184</v>
      </c>
      <c r="R3314">
        <v>-0.97151849999999995</v>
      </c>
      <c r="S3314">
        <v>-0.36427310000000002</v>
      </c>
      <c r="T3314">
        <v>-0.1135439</v>
      </c>
      <c r="U3314">
        <v>-3.054459</v>
      </c>
      <c r="V3314">
        <v>0.109181</v>
      </c>
      <c r="W3314">
        <v>0.198962</v>
      </c>
      <c r="X3314">
        <v>0.97390639999999995</v>
      </c>
      <c r="Y3314">
        <v>7.777394E-2</v>
      </c>
      <c r="Z3314">
        <v>2.2606049999999999E-2</v>
      </c>
      <c r="AA3314">
        <v>0.99671469999999995</v>
      </c>
      <c r="AB3314">
        <v>32</v>
      </c>
      <c r="AC3314">
        <v>-3.5597999999999899</v>
      </c>
      <c r="AD3314">
        <v>-1.1159095157746901</v>
      </c>
      <c r="AE3314">
        <v>-29.653300000000002</v>
      </c>
      <c r="AF3314">
        <v>2.3444232648031398</v>
      </c>
      <c r="AG3314">
        <v>-1.1159095157746901</v>
      </c>
      <c r="AH3314">
        <v>29.732284708250699</v>
      </c>
      <c r="AI3314">
        <v>92.142766554902906</v>
      </c>
      <c r="AJ3314">
        <v>85.491493364736797</v>
      </c>
      <c r="AK3314">
        <v>29.845440664604499</v>
      </c>
      <c r="AL3314">
        <v>78.523734069680501</v>
      </c>
      <c r="AM3314">
        <v>83.603492169256498</v>
      </c>
      <c r="AN3314">
        <v>1.0000000220829699</v>
      </c>
    </row>
    <row r="3315" spans="1:40" x14ac:dyDescent="0.25">
      <c r="A3315" t="str">
        <f>"20190303171042755"</f>
        <v>20190303171042755</v>
      </c>
      <c r="B3315" t="str">
        <f>"1551604242743751"</f>
        <v>1551604242743751</v>
      </c>
      <c r="C3315" t="s">
        <v>40</v>
      </c>
      <c r="D3315">
        <v>5.0076510000000001</v>
      </c>
      <c r="E3315">
        <v>0.49149199999999998</v>
      </c>
      <c r="F3315" t="s">
        <v>42</v>
      </c>
      <c r="G3315">
        <v>-190.2166</v>
      </c>
      <c r="H3315" s="1">
        <v>-2.6959869999999997E-7</v>
      </c>
      <c r="I3315">
        <v>160.04</v>
      </c>
      <c r="J3315">
        <v>-186.74250000000001</v>
      </c>
      <c r="K3315">
        <v>1.1165510000000001</v>
      </c>
      <c r="L3315">
        <v>189.8374</v>
      </c>
      <c r="M3315">
        <v>-4.5355119999999999E-2</v>
      </c>
      <c r="N3315">
        <v>-1.4279129999999999E-2</v>
      </c>
      <c r="O3315">
        <v>-0.99886900000000001</v>
      </c>
      <c r="P3315">
        <v>-0.151679799999999</v>
      </c>
      <c r="Q3315">
        <v>0.18696289999999999</v>
      </c>
      <c r="R3315">
        <v>-0.97058699999999998</v>
      </c>
      <c r="S3315">
        <v>-0.35424800000000001</v>
      </c>
      <c r="T3315">
        <v>-0.1131698</v>
      </c>
      <c r="U3315">
        <v>-3.0562900000000002</v>
      </c>
      <c r="V3315">
        <v>0.1097052</v>
      </c>
      <c r="W3315">
        <v>0.19969000000000001</v>
      </c>
      <c r="X3315">
        <v>0.97369839999999996</v>
      </c>
      <c r="Y3315">
        <v>6.9905780000000001E-2</v>
      </c>
      <c r="Z3315">
        <v>2.2542070000000001E-2</v>
      </c>
      <c r="AA3315">
        <v>0.99729889999999999</v>
      </c>
      <c r="AB3315">
        <v>32</v>
      </c>
      <c r="AC3315">
        <v>-3.4740999999999902</v>
      </c>
      <c r="AD3315">
        <v>-1.1165512695986901</v>
      </c>
      <c r="AE3315">
        <v>-29.7974</v>
      </c>
      <c r="AF3315">
        <v>2.1159906588310302</v>
      </c>
      <c r="AG3315">
        <v>-1.1165512695986901</v>
      </c>
      <c r="AH3315">
        <v>29.882918182387499</v>
      </c>
      <c r="AI3315">
        <v>92.1344759862438</v>
      </c>
      <c r="AJ3315">
        <v>85.949682215237203</v>
      </c>
      <c r="AK3315">
        <v>29.978540696657799</v>
      </c>
      <c r="AL3315">
        <v>78.481167755771494</v>
      </c>
      <c r="AM3315">
        <v>83.571676177996693</v>
      </c>
      <c r="AN3315">
        <v>0.99999995058479796</v>
      </c>
    </row>
    <row r="3316" spans="1:40" x14ac:dyDescent="0.25">
      <c r="A3316" t="str">
        <f>"20190303171042776"</f>
        <v>20190303171042776</v>
      </c>
      <c r="B3316" t="str">
        <f>"1551604242764248"</f>
        <v>1551604242764248</v>
      </c>
      <c r="C3316" t="s">
        <v>40</v>
      </c>
      <c r="D3316">
        <v>4.977163</v>
      </c>
      <c r="E3316">
        <v>0.48978470000000002</v>
      </c>
      <c r="F3316" t="s">
        <v>84</v>
      </c>
      <c r="G3316">
        <v>-190.2927</v>
      </c>
      <c r="H3316" s="1">
        <v>-1.4822620000000001E-5</v>
      </c>
      <c r="I3316">
        <v>159.18610000000001</v>
      </c>
      <c r="J3316">
        <v>-186.75980000000001</v>
      </c>
      <c r="K3316">
        <v>1.117151</v>
      </c>
      <c r="L3316">
        <v>189.53909999999999</v>
      </c>
      <c r="M3316">
        <v>-4.8705400000000003E-2</v>
      </c>
      <c r="N3316">
        <v>-1.4221279999999999E-2</v>
      </c>
      <c r="O3316">
        <v>-0.99871189999999999</v>
      </c>
      <c r="P3316">
        <v>-0.1552944</v>
      </c>
      <c r="Q3316">
        <v>0.18682570000000001</v>
      </c>
      <c r="R3316">
        <v>-0.97004120000000005</v>
      </c>
      <c r="S3316">
        <v>-0.35408020000000001</v>
      </c>
      <c r="T3316">
        <v>-0.11136210000000001</v>
      </c>
      <c r="U3316">
        <v>-3.0570529999999998</v>
      </c>
      <c r="V3316">
        <v>0.10978019999999999</v>
      </c>
      <c r="W3316">
        <v>0.19964889999999999</v>
      </c>
      <c r="X3316">
        <v>0.97369839999999996</v>
      </c>
      <c r="Y3316">
        <v>6.6479819999999995E-2</v>
      </c>
      <c r="Z3316">
        <v>2.200237E-2</v>
      </c>
      <c r="AA3316">
        <v>0.99754509999999996</v>
      </c>
      <c r="AB3316">
        <v>32</v>
      </c>
      <c r="AC3316">
        <v>-3.5328999999999802</v>
      </c>
      <c r="AD3316">
        <v>-1.1171658226200001</v>
      </c>
      <c r="AE3316">
        <v>-30.352999999999899</v>
      </c>
      <c r="AF3316">
        <v>2.0474651225029699</v>
      </c>
      <c r="AG3316">
        <v>-1.1171658226200001</v>
      </c>
      <c r="AH3316">
        <v>30.448362097844502</v>
      </c>
      <c r="AI3316">
        <v>92.096538185297007</v>
      </c>
      <c r="AJ3316">
        <v>86.153002535684607</v>
      </c>
      <c r="AK3316">
        <v>30.537565838562699</v>
      </c>
      <c r="AL3316">
        <v>78.483571289469893</v>
      </c>
      <c r="AM3316">
        <v>83.567318276675707</v>
      </c>
      <c r="AN3316">
        <v>0.99999997487290404</v>
      </c>
    </row>
    <row r="3317" spans="1:40" x14ac:dyDescent="0.25">
      <c r="A3317" t="str">
        <f>"20190303171042799"</f>
        <v>20190303171042799</v>
      </c>
      <c r="B3317" t="str">
        <f>"1551604242783767"</f>
        <v>1551604242783767</v>
      </c>
      <c r="C3317" t="s">
        <v>40</v>
      </c>
      <c r="D3317">
        <v>4.9729279999999996</v>
      </c>
      <c r="E3317">
        <v>0.48832049999999999</v>
      </c>
      <c r="F3317" t="s">
        <v>84</v>
      </c>
      <c r="G3317">
        <v>-190.25980000000001</v>
      </c>
      <c r="H3317" s="1">
        <v>-1.4695969999999999E-5</v>
      </c>
      <c r="I3317">
        <v>158.89760000000001</v>
      </c>
      <c r="J3317">
        <v>-186.7783</v>
      </c>
      <c r="K3317">
        <v>1.117791</v>
      </c>
      <c r="L3317">
        <v>189.227</v>
      </c>
      <c r="M3317">
        <v>-5.1488029999999997E-2</v>
      </c>
      <c r="N3317">
        <v>-1.416546E-2</v>
      </c>
      <c r="O3317">
        <v>-0.9985733</v>
      </c>
      <c r="P3317">
        <v>-0.15639120000000001</v>
      </c>
      <c r="Q3317">
        <v>0.1845243</v>
      </c>
      <c r="R3317">
        <v>-0.97030559999999999</v>
      </c>
      <c r="S3317">
        <v>-0.34931950000000001</v>
      </c>
      <c r="T3317">
        <v>-0.11150069999999999</v>
      </c>
      <c r="U3317">
        <v>-3.0582280000000002</v>
      </c>
      <c r="V3317">
        <v>0.1078148</v>
      </c>
      <c r="W3317">
        <v>0.1974842</v>
      </c>
      <c r="X3317">
        <v>0.97435930000000004</v>
      </c>
      <c r="Y3317">
        <v>6.2124029999999997E-2</v>
      </c>
      <c r="Z3317">
        <v>2.2091630000000001E-2</v>
      </c>
      <c r="AA3317">
        <v>0.99782389999999999</v>
      </c>
      <c r="AB3317">
        <v>32</v>
      </c>
      <c r="AC3317">
        <v>-3.4815000000000098</v>
      </c>
      <c r="AD3317">
        <v>-1.11780569597</v>
      </c>
      <c r="AE3317">
        <v>-30.3294</v>
      </c>
      <c r="AF3317">
        <v>1.9125596422737401</v>
      </c>
      <c r="AG3317">
        <v>-1.11780569597</v>
      </c>
      <c r="AH3317">
        <v>30.427643673875</v>
      </c>
      <c r="AI3317">
        <v>92.099761213209703</v>
      </c>
      <c r="AJ3317">
        <v>86.4033487616895</v>
      </c>
      <c r="AK3317">
        <v>30.508177157993298</v>
      </c>
      <c r="AL3317">
        <v>78.610120181339198</v>
      </c>
      <c r="AM3317">
        <v>83.685794202243997</v>
      </c>
      <c r="AN3317">
        <v>1.0000000429225799</v>
      </c>
    </row>
    <row r="3318" spans="1:40" x14ac:dyDescent="0.25">
      <c r="A3318" t="str">
        <f>"20190303171042814"</f>
        <v>20190303171042814</v>
      </c>
      <c r="B3318" t="str">
        <f>"1551604242804263"</f>
        <v>1551604242804263</v>
      </c>
      <c r="C3318" t="s">
        <v>40</v>
      </c>
      <c r="D3318">
        <v>5.0062220000000002</v>
      </c>
      <c r="E3318">
        <v>0.4868519</v>
      </c>
      <c r="F3318" t="s">
        <v>42</v>
      </c>
      <c r="G3318">
        <v>-189.95599999999999</v>
      </c>
      <c r="H3318" s="1">
        <v>-4.658136E-7</v>
      </c>
      <c r="I3318">
        <v>160.6001</v>
      </c>
      <c r="J3318">
        <v>-186.79159999999999</v>
      </c>
      <c r="K3318">
        <v>1.1182369999999999</v>
      </c>
      <c r="L3318">
        <v>189.00559999999999</v>
      </c>
      <c r="M3318">
        <v>-5.303546E-2</v>
      </c>
      <c r="N3318">
        <v>-1.412917E-2</v>
      </c>
      <c r="O3318">
        <v>-0.99849279999999996</v>
      </c>
      <c r="P3318">
        <v>-0.15710389999999999</v>
      </c>
      <c r="Q3318">
        <v>0.18354490000000001</v>
      </c>
      <c r="R3318">
        <v>-0.97037640000000003</v>
      </c>
      <c r="S3318">
        <v>-0.33964539999999999</v>
      </c>
      <c r="T3318">
        <v>-0.1194751</v>
      </c>
      <c r="U3318">
        <v>-3.0597840000000001</v>
      </c>
      <c r="V3318">
        <v>0.1067869</v>
      </c>
      <c r="W3318">
        <v>0.19659589999999999</v>
      </c>
      <c r="X3318">
        <v>0.97465210000000002</v>
      </c>
      <c r="Y3318">
        <v>5.7398089999999999E-2</v>
      </c>
      <c r="Z3318">
        <v>2.4702890000000002E-2</v>
      </c>
      <c r="AA3318">
        <v>0.99804570000000004</v>
      </c>
      <c r="AB3318">
        <v>32</v>
      </c>
      <c r="AC3318">
        <v>-3.1644000000000001</v>
      </c>
      <c r="AD3318">
        <v>-1.1182374658136001</v>
      </c>
      <c r="AE3318">
        <v>-28.4054999999999</v>
      </c>
      <c r="AF3318">
        <v>1.65076974306737</v>
      </c>
      <c r="AG3318">
        <v>-1.1182374658136001</v>
      </c>
      <c r="AH3318">
        <v>28.4897461824734</v>
      </c>
      <c r="AI3318">
        <v>92.243975666439596</v>
      </c>
      <c r="AJ3318">
        <v>86.683841861093597</v>
      </c>
      <c r="AK3318">
        <v>28.559431600021899</v>
      </c>
      <c r="AL3318">
        <v>78.662033880370203</v>
      </c>
      <c r="AM3318">
        <v>83.747378167836203</v>
      </c>
      <c r="AN3318">
        <v>1.0000000529714099</v>
      </c>
    </row>
    <row r="3319" spans="1:40" x14ac:dyDescent="0.25">
      <c r="A3319" t="str">
        <f>"20190303171042832"</f>
        <v>20190303171042832</v>
      </c>
      <c r="B3319" t="str">
        <f>"1551604242823783"</f>
        <v>1551604242823783</v>
      </c>
      <c r="C3319" t="s">
        <v>40</v>
      </c>
      <c r="D3319">
        <v>4.9642280000000003</v>
      </c>
      <c r="E3319">
        <v>0.48544730000000003</v>
      </c>
      <c r="F3319" t="s">
        <v>42</v>
      </c>
      <c r="G3319">
        <v>-189.80680000000001</v>
      </c>
      <c r="H3319" s="1">
        <v>-7.1536549999999996E-7</v>
      </c>
      <c r="I3319">
        <v>161.07210000000001</v>
      </c>
      <c r="J3319">
        <v>-186.8073</v>
      </c>
      <c r="K3319">
        <v>1.118722</v>
      </c>
      <c r="L3319">
        <v>188.74289999999999</v>
      </c>
      <c r="M3319">
        <v>-5.4502259999999997E-2</v>
      </c>
      <c r="N3319">
        <v>-1.4089630000000001E-2</v>
      </c>
      <c r="O3319">
        <v>-0.99841429999999998</v>
      </c>
      <c r="P3319">
        <v>-0.1578445</v>
      </c>
      <c r="Q3319">
        <v>0.18406249999999999</v>
      </c>
      <c r="R3319">
        <v>-0.97015770000000001</v>
      </c>
      <c r="S3319">
        <v>-0.33044430000000002</v>
      </c>
      <c r="T3319">
        <v>-0.1225493</v>
      </c>
      <c r="U3319">
        <v>-3.0612789999999999</v>
      </c>
      <c r="V3319">
        <v>0.105874</v>
      </c>
      <c r="W3319">
        <v>0.19720409999999999</v>
      </c>
      <c r="X3319">
        <v>0.97462870000000001</v>
      </c>
      <c r="Y3319">
        <v>5.2911779999999999E-2</v>
      </c>
      <c r="Z3319">
        <v>2.5726510000000001E-2</v>
      </c>
      <c r="AA3319">
        <v>0.99826780000000004</v>
      </c>
      <c r="AB3319">
        <v>32</v>
      </c>
      <c r="AC3319">
        <v>-2.99950000000001</v>
      </c>
      <c r="AD3319">
        <v>-1.1187227153654999</v>
      </c>
      <c r="AE3319">
        <v>-27.6707999999999</v>
      </c>
      <c r="AF3319">
        <v>1.48437192428521</v>
      </c>
      <c r="AG3319">
        <v>-1.1187227153654999</v>
      </c>
      <c r="AH3319">
        <v>27.748329403739699</v>
      </c>
      <c r="AI3319">
        <v>92.305437067210093</v>
      </c>
      <c r="AJ3319">
        <v>86.937932405288905</v>
      </c>
      <c r="AK3319">
        <v>27.810513933077999</v>
      </c>
      <c r="AL3319">
        <v>78.626489386422904</v>
      </c>
      <c r="AM3319">
        <v>83.800264894617598</v>
      </c>
      <c r="AN3319">
        <v>0.99999993189824699</v>
      </c>
    </row>
    <row r="3320" spans="1:40" x14ac:dyDescent="0.25">
      <c r="A3320" t="str">
        <f>"20190303171042867"</f>
        <v>20190303171042867</v>
      </c>
      <c r="B3320" t="str">
        <f>"1551604242854039"</f>
        <v>1551604242854039</v>
      </c>
      <c r="C3320" t="s">
        <v>40</v>
      </c>
      <c r="D3320">
        <v>4.9986689999999996</v>
      </c>
      <c r="E3320">
        <v>0.48346749999999999</v>
      </c>
      <c r="F3320" t="s">
        <v>42</v>
      </c>
      <c r="G3320">
        <v>-189.79679999999999</v>
      </c>
      <c r="H3320" s="1">
        <v>-3.3910649999999998E-7</v>
      </c>
      <c r="I3320">
        <v>160.2724</v>
      </c>
      <c r="J3320">
        <v>-186.82640000000001</v>
      </c>
      <c r="K3320">
        <v>1.1192690000000001</v>
      </c>
      <c r="L3320">
        <v>188.4255</v>
      </c>
      <c r="M3320">
        <v>-5.5748609999999997E-2</v>
      </c>
      <c r="N3320">
        <v>-1.404438E-2</v>
      </c>
      <c r="O3320">
        <v>-0.99834599999999996</v>
      </c>
      <c r="P3320">
        <v>-0.160603</v>
      </c>
      <c r="Q3320">
        <v>0.18555559999999999</v>
      </c>
      <c r="R3320">
        <v>-0.96942039999999996</v>
      </c>
      <c r="S3320">
        <v>-0.3215942</v>
      </c>
      <c r="T3320">
        <v>-0.1203494</v>
      </c>
      <c r="U3320">
        <v>-3.0627900000000001</v>
      </c>
      <c r="V3320">
        <v>0.1071971</v>
      </c>
      <c r="W3320">
        <v>0.19877790000000001</v>
      </c>
      <c r="X3320">
        <v>0.97416429999999998</v>
      </c>
      <c r="Y3320">
        <v>4.8763689999999998E-2</v>
      </c>
      <c r="Z3320">
        <v>2.504524E-2</v>
      </c>
      <c r="AA3320">
        <v>0.9984963</v>
      </c>
      <c r="AB3320">
        <v>32</v>
      </c>
      <c r="AC3320">
        <v>-2.9703999999999802</v>
      </c>
      <c r="AD3320">
        <v>-1.1192693391065001</v>
      </c>
      <c r="AE3320">
        <v>-28.153099999999899</v>
      </c>
      <c r="AF3320">
        <v>1.3939495472800401</v>
      </c>
      <c r="AG3320">
        <v>-1.1192693391065001</v>
      </c>
      <c r="AH3320">
        <v>28.230790909686799</v>
      </c>
      <c r="AI3320">
        <v>92.267663284655598</v>
      </c>
      <c r="AJ3320">
        <v>87.1732066161711</v>
      </c>
      <c r="AK3320">
        <v>28.287336646992401</v>
      </c>
      <c r="AL3320">
        <v>78.534496689449995</v>
      </c>
      <c r="AM3320">
        <v>83.720433577118399</v>
      </c>
      <c r="AN3320">
        <v>0.99999997758565395</v>
      </c>
    </row>
    <row r="3321" spans="1:40" x14ac:dyDescent="0.25">
      <c r="A3321" t="str">
        <f>"20190303171042882"</f>
        <v>20190303171042882</v>
      </c>
      <c r="B3321" t="str">
        <f>"1551604242873559"</f>
        <v>1551604242873559</v>
      </c>
      <c r="C3321" t="s">
        <v>40</v>
      </c>
      <c r="D3321">
        <v>4.996264</v>
      </c>
      <c r="E3321">
        <v>0.48221829999999999</v>
      </c>
      <c r="F3321" t="s">
        <v>84</v>
      </c>
      <c r="G3321">
        <v>-189.90209999999999</v>
      </c>
      <c r="H3321" s="1">
        <v>-1.437305E-5</v>
      </c>
      <c r="I3321">
        <v>158.2073</v>
      </c>
      <c r="J3321">
        <v>-186.84899999999999</v>
      </c>
      <c r="K3321">
        <v>1.1198699999999999</v>
      </c>
      <c r="L3321">
        <v>188.04390000000001</v>
      </c>
      <c r="M3321">
        <v>-5.6474009999999998E-2</v>
      </c>
      <c r="N3321">
        <v>-1.3994980000000001E-2</v>
      </c>
      <c r="O3321">
        <v>-0.99830620000000003</v>
      </c>
      <c r="P3321">
        <v>-0.16262289999999999</v>
      </c>
      <c r="Q3321">
        <v>0.18561369999999999</v>
      </c>
      <c r="R3321">
        <v>-0.96907270000000001</v>
      </c>
      <c r="S3321">
        <v>-0.31193539999999997</v>
      </c>
      <c r="T3321">
        <v>-0.1135168</v>
      </c>
      <c r="U3321">
        <v>-3.0646969999999998</v>
      </c>
      <c r="V3321">
        <v>0.10824209999999999</v>
      </c>
      <c r="W3321">
        <v>0.198933</v>
      </c>
      <c r="X3321">
        <v>0.97401709999999997</v>
      </c>
      <c r="Y3321">
        <v>4.4866969999999999E-2</v>
      </c>
      <c r="Z3321">
        <v>2.2863669999999999E-2</v>
      </c>
      <c r="AA3321">
        <v>0.99873129999999999</v>
      </c>
      <c r="AB3321">
        <v>32</v>
      </c>
      <c r="AC3321">
        <v>-3.0530999999999699</v>
      </c>
      <c r="AD3321">
        <v>-1.1198843730500001</v>
      </c>
      <c r="AE3321">
        <v>-29.836600000000001</v>
      </c>
      <c r="AF3321">
        <v>1.36117166220512</v>
      </c>
      <c r="AG3321">
        <v>-1.1198843730500001</v>
      </c>
      <c r="AH3321">
        <v>29.919697269187299</v>
      </c>
      <c r="AI3321">
        <v>92.141348637109502</v>
      </c>
      <c r="AJ3321">
        <v>87.395172415122104</v>
      </c>
      <c r="AK3321">
        <v>29.971573431883801</v>
      </c>
      <c r="AL3321">
        <v>78.525429293031806</v>
      </c>
      <c r="AM3321">
        <v>83.658763624447204</v>
      </c>
      <c r="AN3321">
        <v>1.0000000008969001</v>
      </c>
    </row>
    <row r="3322" spans="1:40" x14ac:dyDescent="0.25">
      <c r="A3322" t="str">
        <f>"20190303171042897"</f>
        <v>20190303171042897</v>
      </c>
      <c r="B3322" t="str">
        <f>"1551604242884295"</f>
        <v>1551604242884295</v>
      </c>
      <c r="C3322" t="s">
        <v>40</v>
      </c>
      <c r="D3322">
        <v>5.0316890000000001</v>
      </c>
      <c r="E3322">
        <v>0.48160259999999999</v>
      </c>
      <c r="F3322" t="s">
        <v>84</v>
      </c>
      <c r="G3322">
        <v>-189.9196</v>
      </c>
      <c r="H3322" s="1">
        <v>-1.399543E-5</v>
      </c>
      <c r="I3322">
        <v>157.3271</v>
      </c>
      <c r="J3322">
        <v>-186.86259999999999</v>
      </c>
      <c r="K3322">
        <v>1.1201989999999999</v>
      </c>
      <c r="L3322">
        <v>187.81299999999999</v>
      </c>
      <c r="M3322">
        <v>-5.6613339999999998E-2</v>
      </c>
      <c r="N3322">
        <v>-1.3967729999999999E-2</v>
      </c>
      <c r="O3322">
        <v>-0.99829860000000004</v>
      </c>
      <c r="P3322">
        <v>-0.16238540000000001</v>
      </c>
      <c r="Q3322">
        <v>0.18343889999999999</v>
      </c>
      <c r="R3322">
        <v>-0.96952640000000001</v>
      </c>
      <c r="S3322">
        <v>-0.30645749999999999</v>
      </c>
      <c r="T3322">
        <v>-0.1117716</v>
      </c>
      <c r="U3322">
        <v>-3.0657350000000001</v>
      </c>
      <c r="V3322">
        <v>0.10768</v>
      </c>
      <c r="W3322">
        <v>0.196825</v>
      </c>
      <c r="X3322">
        <v>0.97450760000000003</v>
      </c>
      <c r="Y3322">
        <v>4.2928979999999999E-2</v>
      </c>
      <c r="Z3322">
        <v>2.2316949999999999E-2</v>
      </c>
      <c r="AA3322">
        <v>0.99882879999999996</v>
      </c>
      <c r="AB3322">
        <v>32</v>
      </c>
      <c r="AC3322">
        <v>-3.0570000000000102</v>
      </c>
      <c r="AD3322">
        <v>-1.12021299543</v>
      </c>
      <c r="AE3322">
        <v>-30.485899999999901</v>
      </c>
      <c r="AF3322">
        <v>1.32424916000412</v>
      </c>
      <c r="AG3322">
        <v>-1.12021299543</v>
      </c>
      <c r="AH3322">
        <v>30.569216234134998</v>
      </c>
      <c r="AI3322">
        <v>92.096707729442002</v>
      </c>
      <c r="AJ3322">
        <v>87.519515085615396</v>
      </c>
      <c r="AK3322">
        <v>30.6183849045341</v>
      </c>
      <c r="AL3322">
        <v>78.648645949750701</v>
      </c>
      <c r="AM3322">
        <v>83.694577128524102</v>
      </c>
      <c r="AN3322">
        <v>1.0000000627413701</v>
      </c>
    </row>
    <row r="3323" spans="1:40" x14ac:dyDescent="0.25">
      <c r="A3323" t="str">
        <f>"20190303171042913"</f>
        <v>20190303171042913</v>
      </c>
      <c r="B3323" t="str">
        <f>"1551604242903815"</f>
        <v>1551604242903815</v>
      </c>
      <c r="C3323" t="s">
        <v>40</v>
      </c>
      <c r="D3323">
        <v>5.0357789999999998</v>
      </c>
      <c r="E3323">
        <v>0.48046240000000001</v>
      </c>
      <c r="F3323" t="s">
        <v>84</v>
      </c>
      <c r="G3323">
        <v>-189.7295</v>
      </c>
      <c r="H3323" s="1">
        <v>-1.4552609999999999E-5</v>
      </c>
      <c r="I3323">
        <v>158.6259</v>
      </c>
      <c r="J3323">
        <v>-186.87520000000001</v>
      </c>
      <c r="K3323">
        <v>1.120468</v>
      </c>
      <c r="L3323">
        <v>187.5941</v>
      </c>
      <c r="M3323">
        <v>-5.6547149999999997E-2</v>
      </c>
      <c r="N3323">
        <v>-1.3944109999999999E-2</v>
      </c>
      <c r="O3323">
        <v>-0.99830260000000004</v>
      </c>
      <c r="P3323">
        <v>-0.1613861</v>
      </c>
      <c r="Q3323">
        <v>0.1820128</v>
      </c>
      <c r="R3323">
        <v>-0.96996210000000005</v>
      </c>
      <c r="S3323">
        <v>-0.301178</v>
      </c>
      <c r="T3323">
        <v>-0.1176798</v>
      </c>
      <c r="U3323">
        <v>-3.066147</v>
      </c>
      <c r="V3323">
        <v>0.1065889</v>
      </c>
      <c r="W3323">
        <v>0.19545460000000001</v>
      </c>
      <c r="X3323">
        <v>0.97490319999999997</v>
      </c>
      <c r="Y3323">
        <v>4.1274400000000003E-2</v>
      </c>
      <c r="Z3323">
        <v>2.4253150000000001E-2</v>
      </c>
      <c r="AA3323">
        <v>0.9988534</v>
      </c>
      <c r="AB3323">
        <v>32</v>
      </c>
      <c r="AC3323">
        <v>-2.8542999999999901</v>
      </c>
      <c r="AD3323">
        <v>-1.12048255261</v>
      </c>
      <c r="AE3323">
        <v>-28.9682</v>
      </c>
      <c r="AF3323">
        <v>1.20971121341101</v>
      </c>
      <c r="AG3323">
        <v>-1.12048255261</v>
      </c>
      <c r="AH3323">
        <v>29.0402280652524</v>
      </c>
      <c r="AI3323">
        <v>92.207680530311706</v>
      </c>
      <c r="AJ3323">
        <v>87.614643468638405</v>
      </c>
      <c r="AK3323">
        <v>29.087002740956802</v>
      </c>
      <c r="AL3323">
        <v>78.728718401857506</v>
      </c>
      <c r="AM3323">
        <v>83.7604747641209</v>
      </c>
      <c r="AN3323">
        <v>0.99999997181730405</v>
      </c>
    </row>
    <row r="3324" spans="1:40" x14ac:dyDescent="0.25">
      <c r="A3324" t="str">
        <f>"20190303171042933"</f>
        <v>20190303171042933</v>
      </c>
      <c r="B3324" t="str">
        <f>"1551604242923841"</f>
        <v>1551604242923841</v>
      </c>
      <c r="C3324" t="s">
        <v>40</v>
      </c>
      <c r="D3324">
        <v>5.004416</v>
      </c>
      <c r="E3324">
        <v>0.47932229999999998</v>
      </c>
      <c r="F3324" t="s">
        <v>84</v>
      </c>
      <c r="G3324">
        <v>-189.55699999999999</v>
      </c>
      <c r="H3324" s="1">
        <v>-1.47968E-5</v>
      </c>
      <c r="I3324">
        <v>159.1951</v>
      </c>
      <c r="J3324">
        <v>-186.8913</v>
      </c>
      <c r="K3324">
        <v>1.12079</v>
      </c>
      <c r="L3324">
        <v>187.3109</v>
      </c>
      <c r="M3324">
        <v>-5.6252799999999999E-2</v>
      </c>
      <c r="N3324">
        <v>-1.391531E-2</v>
      </c>
      <c r="O3324">
        <v>-0.99831990000000004</v>
      </c>
      <c r="P3324">
        <v>-0.15983789999999901</v>
      </c>
      <c r="Q3324">
        <v>0.1807463</v>
      </c>
      <c r="R3324">
        <v>-0.97045490000000001</v>
      </c>
      <c r="S3324">
        <v>-0.28965760000000002</v>
      </c>
      <c r="T3324">
        <v>-0.1210247</v>
      </c>
      <c r="U3324">
        <v>-3.0674130000000002</v>
      </c>
      <c r="V3324">
        <v>0.10514999999999999</v>
      </c>
      <c r="W3324">
        <v>0.1942498</v>
      </c>
      <c r="X3324">
        <v>0.97530019999999995</v>
      </c>
      <c r="Y3324">
        <v>3.7810139999999999E-2</v>
      </c>
      <c r="Z3324">
        <v>2.535805E-2</v>
      </c>
      <c r="AA3324">
        <v>0.99896309999999999</v>
      </c>
      <c r="AB3324">
        <v>32</v>
      </c>
      <c r="AC3324">
        <v>-2.66570000000001</v>
      </c>
      <c r="AD3324">
        <v>-1.1208047967999999</v>
      </c>
      <c r="AE3324">
        <v>-28.1158</v>
      </c>
      <c r="AF3324">
        <v>1.0780352081909499</v>
      </c>
      <c r="AG3324">
        <v>-1.1208047967999999</v>
      </c>
      <c r="AH3324">
        <v>28.176861472610302</v>
      </c>
      <c r="AI3324">
        <v>92.276217756509098</v>
      </c>
      <c r="AJ3324">
        <v>87.808955548168598</v>
      </c>
      <c r="AK3324">
        <v>28.219742836342402</v>
      </c>
      <c r="AL3324">
        <v>78.799097592509597</v>
      </c>
      <c r="AM3324">
        <v>83.846540898128495</v>
      </c>
      <c r="AN3324">
        <v>0.999999993710039</v>
      </c>
    </row>
    <row r="3325" spans="1:40" x14ac:dyDescent="0.25">
      <c r="A3325" t="str">
        <f>"20190303171042957"</f>
        <v>20190303171042957</v>
      </c>
      <c r="B3325" t="str">
        <f>"1551604242944338"</f>
        <v>1551604242944338</v>
      </c>
      <c r="C3325" t="s">
        <v>40</v>
      </c>
      <c r="D3325">
        <v>5.0304489999999999</v>
      </c>
      <c r="E3325">
        <v>0.47829840000000001</v>
      </c>
      <c r="F3325" t="s">
        <v>84</v>
      </c>
      <c r="G3325">
        <v>-189.39340000000001</v>
      </c>
      <c r="H3325" s="1">
        <v>-1.494926E-5</v>
      </c>
      <c r="I3325">
        <v>159.5505</v>
      </c>
      <c r="J3325">
        <v>-186.90950000000001</v>
      </c>
      <c r="K3325">
        <v>1.121135</v>
      </c>
      <c r="L3325">
        <v>186.9837</v>
      </c>
      <c r="M3325">
        <v>-5.5620959999999997E-2</v>
      </c>
      <c r="N3325">
        <v>-1.388502E-2</v>
      </c>
      <c r="O3325">
        <v>-0.99835560000000001</v>
      </c>
      <c r="P3325">
        <v>-0.15894339999999901</v>
      </c>
      <c r="Q3325">
        <v>0.1811876</v>
      </c>
      <c r="R3325">
        <v>-0.97051960000000004</v>
      </c>
      <c r="S3325">
        <v>-0.27659610000000001</v>
      </c>
      <c r="T3325">
        <v>-0.1239029</v>
      </c>
      <c r="U3325">
        <v>-3.0688629999999999</v>
      </c>
      <c r="V3325">
        <v>0.10471179999999999</v>
      </c>
      <c r="W3325">
        <v>0.1947469</v>
      </c>
      <c r="X3325">
        <v>0.97524820000000001</v>
      </c>
      <c r="Y3325">
        <v>3.4181280000000001E-2</v>
      </c>
      <c r="Z3325">
        <v>2.63118E-2</v>
      </c>
      <c r="AA3325">
        <v>0.99906919999999999</v>
      </c>
      <c r="AB3325">
        <v>32</v>
      </c>
      <c r="AC3325">
        <v>-2.4839000000000002</v>
      </c>
      <c r="AD3325">
        <v>-1.1211499492599999</v>
      </c>
      <c r="AE3325">
        <v>-27.433199999999999</v>
      </c>
      <c r="AF3325">
        <v>0.952468442031844</v>
      </c>
      <c r="AG3325">
        <v>-1.1211499492599999</v>
      </c>
      <c r="AH3325">
        <v>27.483364135626399</v>
      </c>
      <c r="AI3325">
        <v>92.334615411214202</v>
      </c>
      <c r="AJ3325">
        <v>88.015141478881404</v>
      </c>
      <c r="AK3325">
        <v>27.5227083978526</v>
      </c>
      <c r="AL3325">
        <v>78.7700612383357</v>
      </c>
      <c r="AM3325">
        <v>83.871664923765294</v>
      </c>
      <c r="AN3325">
        <v>0.99999998386104405</v>
      </c>
    </row>
    <row r="3326" spans="1:40" x14ac:dyDescent="0.25">
      <c r="A3326" t="str">
        <f>"20190303171042977"</f>
        <v>20190303171042977</v>
      </c>
      <c r="B3326" t="str">
        <f>"1551604242963859"</f>
        <v>1551604242963859</v>
      </c>
      <c r="C3326" t="s">
        <v>40</v>
      </c>
      <c r="D3326">
        <v>5.0462449999999999</v>
      </c>
      <c r="E3326">
        <v>0.47730660000000003</v>
      </c>
      <c r="F3326" t="s">
        <v>84</v>
      </c>
      <c r="G3326">
        <v>-189.3647</v>
      </c>
      <c r="H3326" s="1">
        <v>-1.451407E-5</v>
      </c>
      <c r="I3326">
        <v>158.5361</v>
      </c>
      <c r="J3326">
        <v>-186.92500000000001</v>
      </c>
      <c r="K3326">
        <v>1.1214139999999999</v>
      </c>
      <c r="L3326">
        <v>186.6968</v>
      </c>
      <c r="M3326">
        <v>-5.4818730000000003E-2</v>
      </c>
      <c r="N3326">
        <v>-1.386216E-2</v>
      </c>
      <c r="O3326">
        <v>-0.99840019999999996</v>
      </c>
      <c r="P3326">
        <v>-0.15662870000000001</v>
      </c>
      <c r="Q3326">
        <v>0.18178759999999999</v>
      </c>
      <c r="R3326">
        <v>-0.97078379999999997</v>
      </c>
      <c r="S3326">
        <v>-0.2649841</v>
      </c>
      <c r="T3326">
        <v>-0.1210046</v>
      </c>
      <c r="U3326">
        <v>-3.0703279999999999</v>
      </c>
      <c r="V3326">
        <v>0.103043</v>
      </c>
      <c r="W3326">
        <v>0.19539380000000001</v>
      </c>
      <c r="X3326">
        <v>0.97529659999999996</v>
      </c>
      <c r="Y3326">
        <v>3.11957E-2</v>
      </c>
      <c r="Z3326">
        <v>2.5386800000000001E-2</v>
      </c>
      <c r="AA3326">
        <v>0.99919089999999999</v>
      </c>
      <c r="AB3326">
        <v>32</v>
      </c>
      <c r="AC3326">
        <v>-2.4396999999999802</v>
      </c>
      <c r="AD3326">
        <v>-1.12142851407</v>
      </c>
      <c r="AE3326">
        <v>-28.160699999999899</v>
      </c>
      <c r="AF3326">
        <v>0.89074673640728996</v>
      </c>
      <c r="AG3326">
        <v>-1.12142851407</v>
      </c>
      <c r="AH3326">
        <v>28.207702015956599</v>
      </c>
      <c r="AI3326">
        <v>92.275525304934504</v>
      </c>
      <c r="AJ3326">
        <v>88.191306944875194</v>
      </c>
      <c r="AK3326">
        <v>28.244034497245501</v>
      </c>
      <c r="AL3326">
        <v>78.732271108584001</v>
      </c>
      <c r="AM3326">
        <v>83.968904092897702</v>
      </c>
      <c r="AN3326">
        <v>1.00000002744949</v>
      </c>
    </row>
    <row r="3327" spans="1:40" x14ac:dyDescent="0.25">
      <c r="A3327" t="str">
        <f>"20190303171042998"</f>
        <v>20190303171042998</v>
      </c>
      <c r="B3327" t="str">
        <f>"1551604242984354"</f>
        <v>1551604242984354</v>
      </c>
      <c r="C3327" t="s">
        <v>40</v>
      </c>
      <c r="D3327">
        <v>5.0758999999999999</v>
      </c>
      <c r="E3327">
        <v>0.47638989999999998</v>
      </c>
      <c r="F3327" t="s">
        <v>84</v>
      </c>
      <c r="G3327">
        <v>-189.30250000000001</v>
      </c>
      <c r="H3327" s="1">
        <v>-1.404546E-5</v>
      </c>
      <c r="I3327">
        <v>157.44370000000001</v>
      </c>
      <c r="J3327">
        <v>-186.94069999999999</v>
      </c>
      <c r="K3327">
        <v>1.1216660000000001</v>
      </c>
      <c r="L3327">
        <v>186.39580000000001</v>
      </c>
      <c r="M3327">
        <v>-5.3792640000000003E-2</v>
      </c>
      <c r="N3327">
        <v>-1.3841259999999999E-2</v>
      </c>
      <c r="O3327">
        <v>-0.99845649999999997</v>
      </c>
      <c r="P3327">
        <v>-0.15345500000000001</v>
      </c>
      <c r="Q3327">
        <v>0.18078820000000001</v>
      </c>
      <c r="R3327">
        <v>-0.97147740000000005</v>
      </c>
      <c r="S3327">
        <v>-0.2496796</v>
      </c>
      <c r="T3327">
        <v>-0.1177682</v>
      </c>
      <c r="U3327">
        <v>-3.0720519999999998</v>
      </c>
      <c r="V3327">
        <v>0.1007242</v>
      </c>
      <c r="W3327">
        <v>0.19443969999999999</v>
      </c>
      <c r="X3327">
        <v>0.97572939999999997</v>
      </c>
      <c r="Y3327">
        <v>2.7235280000000001E-2</v>
      </c>
      <c r="Z3327">
        <v>2.4349570000000001E-2</v>
      </c>
      <c r="AA3327">
        <v>0.99933240000000001</v>
      </c>
      <c r="AB3327">
        <v>32</v>
      </c>
      <c r="AC3327">
        <v>-2.3618000000000099</v>
      </c>
      <c r="AD3327">
        <v>-1.12168004546</v>
      </c>
      <c r="AE3327">
        <v>-28.952100000000002</v>
      </c>
      <c r="AF3327">
        <v>0.799628838344281</v>
      </c>
      <c r="AG3327">
        <v>-1.12168004546</v>
      </c>
      <c r="AH3327">
        <v>28.9940006205799</v>
      </c>
      <c r="AI3327">
        <v>92.214634306681603</v>
      </c>
      <c r="AJ3327">
        <v>88.420233631204397</v>
      </c>
      <c r="AK3327">
        <v>29.0267057102538</v>
      </c>
      <c r="AL3327">
        <v>78.788005841245607</v>
      </c>
      <c r="AM3327">
        <v>84.106253129681605</v>
      </c>
      <c r="AN3327">
        <v>1.0000000117130401</v>
      </c>
    </row>
    <row r="3328" spans="1:40" x14ac:dyDescent="0.25">
      <c r="A3328" t="str">
        <f>"20190303171043011"</f>
        <v>20190303171043011</v>
      </c>
      <c r="B3328" t="str">
        <f>"1551604243003874"</f>
        <v>1551604243003874</v>
      </c>
      <c r="C3328" t="s">
        <v>40</v>
      </c>
      <c r="D3328">
        <v>5.0780880000000002</v>
      </c>
      <c r="E3328">
        <v>0.47554289999999999</v>
      </c>
      <c r="F3328" t="s">
        <v>84</v>
      </c>
      <c r="G3328">
        <v>-189.11940000000001</v>
      </c>
      <c r="H3328" s="1">
        <v>-1.4117920000000001E-5</v>
      </c>
      <c r="I3328">
        <v>157.61259999999999</v>
      </c>
      <c r="J3328">
        <v>-186.95079999999999</v>
      </c>
      <c r="K3328">
        <v>1.1218060000000001</v>
      </c>
      <c r="L3328">
        <v>186.19579999999999</v>
      </c>
      <c r="M3328">
        <v>-5.3033539999999997E-2</v>
      </c>
      <c r="N3328">
        <v>-1.382863E-2</v>
      </c>
      <c r="O3328">
        <v>-0.99849699999999997</v>
      </c>
      <c r="P3328">
        <v>-0.15131829999999999</v>
      </c>
      <c r="Q3328">
        <v>0.18001739999999999</v>
      </c>
      <c r="R3328">
        <v>-0.97195509999999996</v>
      </c>
      <c r="S3328">
        <v>-0.23265079999999999</v>
      </c>
      <c r="T3328">
        <v>-0.1197792</v>
      </c>
      <c r="U3328">
        <v>-3.0736240000000001</v>
      </c>
      <c r="V3328">
        <v>9.9245E-2</v>
      </c>
      <c r="W3328">
        <v>0.19369169999999999</v>
      </c>
      <c r="X3328">
        <v>0.9760297</v>
      </c>
      <c r="Y3328">
        <v>2.2451390000000002E-2</v>
      </c>
      <c r="Z3328">
        <v>2.5003850000000001E-2</v>
      </c>
      <c r="AA3328">
        <v>0.99943519999999997</v>
      </c>
      <c r="AB3328">
        <v>32</v>
      </c>
      <c r="AC3328">
        <v>-2.1686000000000201</v>
      </c>
      <c r="AD3328">
        <v>-1.12182011791999</v>
      </c>
      <c r="AE3328">
        <v>-28.583200000000001</v>
      </c>
      <c r="AF3328">
        <v>0.64854113203041297</v>
      </c>
      <c r="AG3328">
        <v>-1.12182011791999</v>
      </c>
      <c r="AH3328">
        <v>28.614163492036202</v>
      </c>
      <c r="AI3328">
        <v>92.244559046849005</v>
      </c>
      <c r="AJ3328">
        <v>88.701611220456201</v>
      </c>
      <c r="AK3328">
        <v>28.643488585119702</v>
      </c>
      <c r="AL3328">
        <v>78.831693634700599</v>
      </c>
      <c r="AM3328">
        <v>84.193985288301803</v>
      </c>
      <c r="AN3328">
        <v>1.00000000997799</v>
      </c>
    </row>
    <row r="3329" spans="1:40" x14ac:dyDescent="0.25">
      <c r="A3329" t="str">
        <f>"20190303171043032"</f>
        <v>20190303171043032</v>
      </c>
      <c r="B3329" t="str">
        <f>"1551604243023900"</f>
        <v>1551604243023900</v>
      </c>
      <c r="C3329" t="s">
        <v>40</v>
      </c>
      <c r="D3329">
        <v>5.0770679999999997</v>
      </c>
      <c r="E3329">
        <v>0.47472140000000002</v>
      </c>
      <c r="F3329" t="s">
        <v>84</v>
      </c>
      <c r="G3329">
        <v>-188.977</v>
      </c>
      <c r="H3329" s="1">
        <v>-1.4222850000000001E-5</v>
      </c>
      <c r="I3329">
        <v>157.85720000000001</v>
      </c>
      <c r="J3329">
        <v>-186.96520000000001</v>
      </c>
      <c r="K3329">
        <v>1.1219709999999901</v>
      </c>
      <c r="L3329">
        <v>185.90450000000001</v>
      </c>
      <c r="M3329">
        <v>-5.1857199999999999E-2</v>
      </c>
      <c r="N3329">
        <v>-1.381114E-2</v>
      </c>
      <c r="O3329">
        <v>-0.99855910000000003</v>
      </c>
      <c r="P3329">
        <v>-0.14854439999999999</v>
      </c>
      <c r="Q3329">
        <v>0.17984410000000001</v>
      </c>
      <c r="R3329">
        <v>-0.97241509999999998</v>
      </c>
      <c r="S3329">
        <v>-0.21984860000000001</v>
      </c>
      <c r="T3329">
        <v>-0.12172230000000001</v>
      </c>
      <c r="U3329">
        <v>-3.0748600000000001</v>
      </c>
      <c r="V3329">
        <v>9.7528310000000007E-2</v>
      </c>
      <c r="W3329">
        <v>0.19353960000000001</v>
      </c>
      <c r="X3329">
        <v>0.97623289999999996</v>
      </c>
      <c r="Y3329">
        <v>1.9460000000000002E-2</v>
      </c>
      <c r="Z3329">
        <v>2.5642999999999999E-2</v>
      </c>
      <c r="AA3329">
        <v>0.99948170000000003</v>
      </c>
      <c r="AB3329">
        <v>32</v>
      </c>
      <c r="AC3329">
        <v>-2.0117999999999898</v>
      </c>
      <c r="AD3329">
        <v>-1.12198522284999</v>
      </c>
      <c r="AE3329">
        <v>-28.0473</v>
      </c>
      <c r="AF3329">
        <v>0.55361818408853802</v>
      </c>
      <c r="AG3329">
        <v>-1.12198522284999</v>
      </c>
      <c r="AH3329">
        <v>28.069203436707902</v>
      </c>
      <c r="AI3329">
        <v>92.288569861395004</v>
      </c>
      <c r="AJ3329">
        <v>88.870082889487904</v>
      </c>
      <c r="AK3329">
        <v>28.097073255151301</v>
      </c>
      <c r="AL3329">
        <v>78.840576424868502</v>
      </c>
      <c r="AM3329">
        <v>84.294926164605997</v>
      </c>
      <c r="AN3329">
        <v>1.0000000115310099</v>
      </c>
    </row>
    <row r="3330" spans="1:40" x14ac:dyDescent="0.25">
      <c r="A3330" t="str">
        <f>"20190303171043054"</f>
        <v>20190303171043054</v>
      </c>
      <c r="B3330" t="str">
        <f>"1551604243044396"</f>
        <v>1551604243044396</v>
      </c>
      <c r="C3330" t="s">
        <v>40</v>
      </c>
      <c r="D3330">
        <v>5.1663240000000004</v>
      </c>
      <c r="E3330">
        <v>0.47400029999999999</v>
      </c>
      <c r="F3330" t="s">
        <v>84</v>
      </c>
      <c r="G3330">
        <v>-188.86250000000001</v>
      </c>
      <c r="H3330" s="1">
        <v>-1.4096950000000001E-5</v>
      </c>
      <c r="I3330">
        <v>157.56370000000001</v>
      </c>
      <c r="J3330">
        <v>-186.9795</v>
      </c>
      <c r="K3330">
        <v>1.122096</v>
      </c>
      <c r="L3330">
        <v>185.60679999999999</v>
      </c>
      <c r="M3330">
        <v>-5.0584270000000001E-2</v>
      </c>
      <c r="N3330">
        <v>-1.379474E-2</v>
      </c>
      <c r="O3330">
        <v>-0.99862459999999997</v>
      </c>
      <c r="P3330">
        <v>-0.1470815</v>
      </c>
      <c r="Q3330">
        <v>0.18143390000000001</v>
      </c>
      <c r="R3330">
        <v>-0.97234200000000004</v>
      </c>
      <c r="S3330">
        <v>-0.20593259999999999</v>
      </c>
      <c r="T3330">
        <v>-0.12178219999999999</v>
      </c>
      <c r="U3330">
        <v>-3.0761569999999998</v>
      </c>
      <c r="V3330">
        <v>9.7261470000000003E-2</v>
      </c>
      <c r="W3330">
        <v>0.19513649999999999</v>
      </c>
      <c r="X3330">
        <v>0.97594150000000002</v>
      </c>
      <c r="Y3330">
        <v>1.6205649999999999E-2</v>
      </c>
      <c r="Z3330">
        <v>2.567111E-2</v>
      </c>
      <c r="AA3330">
        <v>0.99953910000000001</v>
      </c>
      <c r="AB3330">
        <v>32</v>
      </c>
      <c r="AC3330">
        <v>-1.883</v>
      </c>
      <c r="AD3330">
        <v>-1.12211009695</v>
      </c>
      <c r="AE3330">
        <v>-28.0430999999999</v>
      </c>
      <c r="AF3330">
        <v>0.461179215464466</v>
      </c>
      <c r="AG3330">
        <v>-1.12211009695</v>
      </c>
      <c r="AH3330">
        <v>28.057729884580802</v>
      </c>
      <c r="AI3330">
        <v>92.2898951412337</v>
      </c>
      <c r="AJ3330">
        <v>89.0583256902393</v>
      </c>
      <c r="AK3330">
        <v>28.0839460121713</v>
      </c>
      <c r="AL3330">
        <v>78.747301543478997</v>
      </c>
      <c r="AM3330">
        <v>84.308745185374804</v>
      </c>
      <c r="AN3330">
        <v>0.99999992930052795</v>
      </c>
    </row>
    <row r="3331" spans="1:40" x14ac:dyDescent="0.25">
      <c r="A3331" t="str">
        <f>"20190303171043066"</f>
        <v>20190303171043066</v>
      </c>
      <c r="B3331" t="str">
        <f>"1551604243054156"</f>
        <v>1551604243054156</v>
      </c>
      <c r="C3331" t="s">
        <v>40</v>
      </c>
      <c r="D3331">
        <v>5.2145210000000004</v>
      </c>
      <c r="E3331">
        <v>0.4739602</v>
      </c>
      <c r="F3331" t="s">
        <v>84</v>
      </c>
      <c r="G3331">
        <v>-188.8751</v>
      </c>
      <c r="H3331" s="1">
        <v>-1.334182E-5</v>
      </c>
      <c r="I3331">
        <v>155.80350000000001</v>
      </c>
      <c r="J3331">
        <v>-186.9879</v>
      </c>
      <c r="K3331">
        <v>1.1221509999999999</v>
      </c>
      <c r="L3331">
        <v>185.4247</v>
      </c>
      <c r="M3331">
        <v>-4.9781779999999998E-2</v>
      </c>
      <c r="N3331">
        <v>-1.3785739999999999E-2</v>
      </c>
      <c r="O3331">
        <v>-0.99866500000000002</v>
      </c>
      <c r="P3331">
        <v>-0.14659</v>
      </c>
      <c r="Q3331">
        <v>0.18264179999999999</v>
      </c>
      <c r="R3331">
        <v>-0.97219</v>
      </c>
      <c r="S3331">
        <v>-0.19573969999999999</v>
      </c>
      <c r="T3331">
        <v>-0.11586390000000001</v>
      </c>
      <c r="U3331">
        <v>-3.0773470000000001</v>
      </c>
      <c r="V3331">
        <v>9.7539849999999997E-2</v>
      </c>
      <c r="W3331">
        <v>0.1963435</v>
      </c>
      <c r="X3331">
        <v>0.97567170000000003</v>
      </c>
      <c r="Y3331">
        <v>1.369077E-2</v>
      </c>
      <c r="Z3331">
        <v>2.3756610000000001E-2</v>
      </c>
      <c r="AA3331">
        <v>0.99962399999999996</v>
      </c>
      <c r="AB3331">
        <v>32</v>
      </c>
      <c r="AC3331">
        <v>-1.8872</v>
      </c>
      <c r="AD3331">
        <v>-1.12216434182</v>
      </c>
      <c r="AE3331">
        <v>-29.621199999999899</v>
      </c>
      <c r="AF3331">
        <v>0.40953810178833999</v>
      </c>
      <c r="AG3331">
        <v>-1.12216434182</v>
      </c>
      <c r="AH3331">
        <v>29.636062083053201</v>
      </c>
      <c r="AI3331">
        <v>92.168251973927696</v>
      </c>
      <c r="AJ3331">
        <v>89.208285120451905</v>
      </c>
      <c r="AK3331">
        <v>29.6601272764877</v>
      </c>
      <c r="AL3331">
        <v>78.676782520095102</v>
      </c>
      <c r="AM3331">
        <v>84.290995334081401</v>
      </c>
      <c r="AN3331">
        <v>1.00000002925558</v>
      </c>
    </row>
    <row r="3332" spans="1:40" x14ac:dyDescent="0.25">
      <c r="A3332" t="str">
        <f>"20190303171043082"</f>
        <v>20190303171043082</v>
      </c>
      <c r="B3332" t="str">
        <f>"1551604243074652"</f>
        <v>1551604243074652</v>
      </c>
      <c r="C3332" t="s">
        <v>40</v>
      </c>
      <c r="D3332">
        <v>5.0501610000000001</v>
      </c>
      <c r="E3332">
        <v>0.51296839999999999</v>
      </c>
      <c r="F3332" t="s">
        <v>84</v>
      </c>
      <c r="G3332">
        <v>-188.9204</v>
      </c>
      <c r="H3332" s="1">
        <v>-1.2864389999999999E-5</v>
      </c>
      <c r="I3332">
        <v>154.70590000000001</v>
      </c>
      <c r="J3332">
        <v>-186.9973</v>
      </c>
      <c r="K3332">
        <v>1.122198</v>
      </c>
      <c r="L3332">
        <v>185.2191</v>
      </c>
      <c r="M3332">
        <v>-4.8868300000000003E-2</v>
      </c>
      <c r="N3332">
        <v>-1.3776149999999999E-2</v>
      </c>
      <c r="O3332">
        <v>-0.99870999999999999</v>
      </c>
      <c r="P3332">
        <v>-0.14616609999999999</v>
      </c>
      <c r="Q3332">
        <v>0.18371129999999999</v>
      </c>
      <c r="R3332">
        <v>-0.97205220000000003</v>
      </c>
      <c r="S3332">
        <v>-0.19361880000000001</v>
      </c>
      <c r="T3332">
        <v>-0.112431</v>
      </c>
      <c r="U3332">
        <v>-3.0777589999999999</v>
      </c>
      <c r="V3332">
        <v>9.7996130000000001E-2</v>
      </c>
      <c r="W3332">
        <v>0.1974108</v>
      </c>
      <c r="X3332">
        <v>0.97541060000000002</v>
      </c>
      <c r="Y3332">
        <v>1.39124E-2</v>
      </c>
      <c r="Z3332">
        <v>2.2653429999999999E-2</v>
      </c>
      <c r="AA3332">
        <v>0.99964649999999999</v>
      </c>
      <c r="AB3332">
        <v>32</v>
      </c>
      <c r="AC3332">
        <v>-1.9231</v>
      </c>
      <c r="AD3332">
        <v>-1.12221086439</v>
      </c>
      <c r="AE3332">
        <v>-30.513199999999902</v>
      </c>
      <c r="AF3332">
        <v>0.42895393234367202</v>
      </c>
      <c r="AG3332">
        <v>-1.12221086439</v>
      </c>
      <c r="AH3332">
        <v>30.529593067157801</v>
      </c>
      <c r="AI3332">
        <v>92.104930565058496</v>
      </c>
      <c r="AJ3332">
        <v>89.195022587964701</v>
      </c>
      <c r="AK3332">
        <v>30.5532226049312</v>
      </c>
      <c r="AL3332">
        <v>78.614410250904996</v>
      </c>
      <c r="AM3332">
        <v>84.262941862255005</v>
      </c>
      <c r="AN3332">
        <v>1.0000000520219801</v>
      </c>
    </row>
    <row r="3333" spans="1:40" x14ac:dyDescent="0.25">
      <c r="A3333" t="str">
        <f>"20190303171043100"</f>
        <v>20190303171043100</v>
      </c>
      <c r="B3333" t="str">
        <f>"1551604243094172"</f>
        <v>1551604243094172</v>
      </c>
      <c r="C3333" t="s">
        <v>40</v>
      </c>
      <c r="D3333">
        <v>4.9288930000000004</v>
      </c>
      <c r="E3333">
        <v>0.51969079999999901</v>
      </c>
      <c r="F3333" t="s">
        <v>42</v>
      </c>
      <c r="G3333">
        <v>-190.1703</v>
      </c>
      <c r="H3333" s="1">
        <v>-2.9778570000000002E-6</v>
      </c>
      <c r="I3333">
        <v>165.7953</v>
      </c>
      <c r="J3333">
        <v>-187.00880000000001</v>
      </c>
      <c r="K3333">
        <v>1.1222399999999999</v>
      </c>
      <c r="L3333">
        <v>184.9622</v>
      </c>
      <c r="M3333">
        <v>-4.7721369999999999E-2</v>
      </c>
      <c r="N3333">
        <v>-1.376528E-2</v>
      </c>
      <c r="O3333">
        <v>-0.99876609999999999</v>
      </c>
      <c r="P3333">
        <v>-0.14517249999999901</v>
      </c>
      <c r="Q3333">
        <v>0.1844867</v>
      </c>
      <c r="R3333">
        <v>-0.97205459999999999</v>
      </c>
      <c r="S3333">
        <v>-0.49737550000000003</v>
      </c>
      <c r="T3333">
        <v>-0.1759077</v>
      </c>
      <c r="U3333">
        <v>-3.044724</v>
      </c>
      <c r="V3333">
        <v>9.8108490000000007E-2</v>
      </c>
      <c r="W3333">
        <v>0.19818150000000001</v>
      </c>
      <c r="X3333">
        <v>0.97524299999999997</v>
      </c>
      <c r="Y3333">
        <v>0.11372790000000001</v>
      </c>
      <c r="Z3333">
        <v>4.3321529999999997E-2</v>
      </c>
      <c r="AA3333">
        <v>0.99256699999999998</v>
      </c>
      <c r="AB3333">
        <v>31</v>
      </c>
      <c r="AC3333">
        <v>-3.1614999999999802</v>
      </c>
      <c r="AD3333">
        <v>-1.122242977857</v>
      </c>
      <c r="AE3333">
        <v>-19.166899999999998</v>
      </c>
      <c r="AF3333">
        <v>2.2356788083414898</v>
      </c>
      <c r="AG3333">
        <v>-1.122242977857</v>
      </c>
      <c r="AH3333">
        <v>19.231759498579599</v>
      </c>
      <c r="AI3333">
        <v>93.317340024132207</v>
      </c>
      <c r="AJ3333">
        <v>83.369167645333306</v>
      </c>
      <c r="AK3333">
        <v>19.393768649920101</v>
      </c>
      <c r="AL3333">
        <v>78.569362321192799</v>
      </c>
      <c r="AM3333">
        <v>84.255427382552497</v>
      </c>
      <c r="AN3333">
        <v>1.0000000459006599</v>
      </c>
    </row>
    <row r="3334" spans="1:40" x14ac:dyDescent="0.25">
      <c r="A3334" t="str">
        <f>"20190303171043122"</f>
        <v>20190303171043122</v>
      </c>
      <c r="B3334" t="str">
        <f>"1551604243114200"</f>
        <v>1551604243114200</v>
      </c>
      <c r="C3334" t="s">
        <v>40</v>
      </c>
      <c r="D3334">
        <v>5.0062689999999996</v>
      </c>
      <c r="E3334">
        <v>0.52577810000000003</v>
      </c>
      <c r="F3334" t="s">
        <v>42</v>
      </c>
      <c r="G3334">
        <v>-190.57839999999999</v>
      </c>
      <c r="H3334" s="1">
        <v>-2.8249650000000002E-6</v>
      </c>
      <c r="I3334">
        <v>165.2422</v>
      </c>
      <c r="J3334">
        <v>-187.0224</v>
      </c>
      <c r="K3334">
        <v>1.1222559999999999</v>
      </c>
      <c r="L3334">
        <v>184.6464</v>
      </c>
      <c r="M3334">
        <v>-4.6320760000000002E-2</v>
      </c>
      <c r="N3334">
        <v>-1.375358E-2</v>
      </c>
      <c r="O3334">
        <v>-0.9988321</v>
      </c>
      <c r="P3334">
        <v>-0.14236179999999901</v>
      </c>
      <c r="Q3334">
        <v>0.18338489999999999</v>
      </c>
      <c r="R3334">
        <v>-0.9726785</v>
      </c>
      <c r="S3334">
        <v>-0.54974369999999995</v>
      </c>
      <c r="T3334">
        <v>-0.1728297</v>
      </c>
      <c r="U3334">
        <v>-3.0369570000000001</v>
      </c>
      <c r="V3334">
        <v>9.6633659999999996E-2</v>
      </c>
      <c r="W3334">
        <v>0.19707559999999999</v>
      </c>
      <c r="X3334">
        <v>0.97561419999999999</v>
      </c>
      <c r="Y3334">
        <v>0.13212499999999999</v>
      </c>
      <c r="Z3334">
        <v>4.2342970000000001E-2</v>
      </c>
      <c r="AA3334">
        <v>0.99032830000000005</v>
      </c>
      <c r="AB3334">
        <v>31</v>
      </c>
      <c r="AC3334">
        <v>-3.5559999999999801</v>
      </c>
      <c r="AD3334">
        <v>-1.1222588249649901</v>
      </c>
      <c r="AE3334">
        <v>-19.404199999999999</v>
      </c>
      <c r="AF3334">
        <v>2.6447210571991602</v>
      </c>
      <c r="AG3334">
        <v>-1.1222588249649901</v>
      </c>
      <c r="AH3334">
        <v>19.4850406696156</v>
      </c>
      <c r="AI3334">
        <v>93.266475456428907</v>
      </c>
      <c r="AJ3334">
        <v>82.2704313235581</v>
      </c>
      <c r="AK3334">
        <v>19.6957057308739</v>
      </c>
      <c r="AL3334">
        <v>78.633999617722395</v>
      </c>
      <c r="AM3334">
        <v>84.343357869328102</v>
      </c>
      <c r="AN3334">
        <v>0.99999996180099704</v>
      </c>
    </row>
    <row r="3335" spans="1:40" x14ac:dyDescent="0.25">
      <c r="A3335" t="str">
        <f>"20190303171043145"</f>
        <v>20190303171043145</v>
      </c>
      <c r="B3335" t="str">
        <f>"1551604243134696"</f>
        <v>1551604243134696</v>
      </c>
      <c r="C3335" t="s">
        <v>40</v>
      </c>
      <c r="D3335">
        <v>5.0838320000000001</v>
      </c>
      <c r="E3335">
        <v>0.53530819999999901</v>
      </c>
      <c r="F3335" t="s">
        <v>42</v>
      </c>
      <c r="G3335">
        <v>-190.7441</v>
      </c>
      <c r="H3335" s="1">
        <v>-3.018861E-6</v>
      </c>
      <c r="I3335">
        <v>165.5591</v>
      </c>
      <c r="J3335">
        <v>-187.03559999999999</v>
      </c>
      <c r="K3335">
        <v>1.1222639999999999</v>
      </c>
      <c r="L3335">
        <v>184.3314</v>
      </c>
      <c r="M3335">
        <v>-4.4940580000000001E-2</v>
      </c>
      <c r="N3335">
        <v>-1.374335E-2</v>
      </c>
      <c r="O3335">
        <v>-0.99889519999999998</v>
      </c>
      <c r="P3335">
        <v>-0.14087069999999999</v>
      </c>
      <c r="Q3335">
        <v>0.18240960000000001</v>
      </c>
      <c r="R3335">
        <v>-0.97307880000000002</v>
      </c>
      <c r="S3335">
        <v>-0.59106449999999999</v>
      </c>
      <c r="T3335">
        <v>-0.1782339</v>
      </c>
      <c r="U3335">
        <v>-3.0313870000000001</v>
      </c>
      <c r="V3335">
        <v>9.647232E-2</v>
      </c>
      <c r="W3335">
        <v>0.19609660000000001</v>
      </c>
      <c r="X3335">
        <v>0.97582749999999996</v>
      </c>
      <c r="Y3335">
        <v>0.14681269999999999</v>
      </c>
      <c r="Z3335">
        <v>4.408024E-2</v>
      </c>
      <c r="AA3335">
        <v>0.98818170000000005</v>
      </c>
      <c r="AB3335">
        <v>31</v>
      </c>
      <c r="AC3335">
        <v>-3.7085000000000101</v>
      </c>
      <c r="AD3335">
        <v>-1.122267018861</v>
      </c>
      <c r="AE3335">
        <v>-18.772300000000001</v>
      </c>
      <c r="AF3335">
        <v>2.8512271888597098</v>
      </c>
      <c r="AG3335">
        <v>-1.122267018861</v>
      </c>
      <c r="AH3335">
        <v>18.855150336661101</v>
      </c>
      <c r="AI3335">
        <v>93.368051094338796</v>
      </c>
      <c r="AJ3335">
        <v>81.401028479616301</v>
      </c>
      <c r="AK3335">
        <v>19.102504389796799</v>
      </c>
      <c r="AL3335">
        <v>78.691209513995304</v>
      </c>
      <c r="AM3335">
        <v>84.3539675492963</v>
      </c>
      <c r="AN3335">
        <v>1.0000000474069899</v>
      </c>
    </row>
    <row r="3336" spans="1:40" x14ac:dyDescent="0.25">
      <c r="A3336" t="str">
        <f>"20190303171043168"</f>
        <v>20190303171043168</v>
      </c>
      <c r="B3336" t="str">
        <f>"1551604243154215"</f>
        <v>1551604243154215</v>
      </c>
      <c r="C3336" t="s">
        <v>40</v>
      </c>
      <c r="D3336">
        <v>4.962682</v>
      </c>
      <c r="E3336">
        <v>0.53519329999999998</v>
      </c>
      <c r="F3336" t="s">
        <v>87</v>
      </c>
      <c r="G3336">
        <v>-212.22829999999999</v>
      </c>
      <c r="H3336">
        <v>9.4526789999999998</v>
      </c>
      <c r="I3336">
        <v>76.128369999999904</v>
      </c>
      <c r="J3336">
        <v>-187.04810000000001</v>
      </c>
      <c r="K3336">
        <v>1.122271</v>
      </c>
      <c r="L3336">
        <v>184.02119999999999</v>
      </c>
      <c r="M3336">
        <v>-4.3597209999999997E-2</v>
      </c>
      <c r="N3336">
        <v>-1.373454E-2</v>
      </c>
      <c r="O3336">
        <v>-0.99895480000000003</v>
      </c>
      <c r="P3336">
        <v>-0.14020820000000001</v>
      </c>
      <c r="Q3336">
        <v>0.1822385</v>
      </c>
      <c r="R3336">
        <v>-0.97320640000000003</v>
      </c>
      <c r="S3336">
        <v>-0.68484500000000004</v>
      </c>
      <c r="T3336">
        <v>0.22645570000000001</v>
      </c>
      <c r="U3336">
        <v>-2.9414060000000002</v>
      </c>
      <c r="V3336">
        <v>9.7116010000000003E-2</v>
      </c>
      <c r="W3336">
        <v>0.19592080000000001</v>
      </c>
      <c r="X3336">
        <v>0.97579890000000002</v>
      </c>
      <c r="Y3336">
        <v>0.18326690000000001</v>
      </c>
      <c r="Z3336">
        <v>-8.8624980000000006E-2</v>
      </c>
      <c r="AA3336">
        <v>0.97906020000000005</v>
      </c>
      <c r="AB3336">
        <v>31</v>
      </c>
      <c r="AC3336">
        <v>-25.1801999999999</v>
      </c>
      <c r="AD3336">
        <v>8.3304080000000003</v>
      </c>
      <c r="AE3336">
        <v>-107.89283</v>
      </c>
      <c r="AF3336">
        <v>20.337009418649501</v>
      </c>
      <c r="AG3336">
        <v>8.3304080000000003</v>
      </c>
      <c r="AH3336">
        <v>108.27598098533799</v>
      </c>
      <c r="AI3336">
        <v>85.675832337356397</v>
      </c>
      <c r="AJ3336">
        <v>79.362319609739302</v>
      </c>
      <c r="AK3336">
        <v>110.483834599809</v>
      </c>
      <c r="AL3336">
        <v>78.701480663263993</v>
      </c>
      <c r="AM3336">
        <v>84.316375995970404</v>
      </c>
      <c r="AN3336">
        <v>0.99999998625608499</v>
      </c>
    </row>
    <row r="3337" spans="1:40" x14ac:dyDescent="0.25">
      <c r="A3337" t="str">
        <f>"20190303171043189"</f>
        <v>20190303171043189</v>
      </c>
      <c r="B3337" t="str">
        <f>"1551604243184472"</f>
        <v>1551604243184472</v>
      </c>
      <c r="C3337" t="s">
        <v>40</v>
      </c>
      <c r="D3337">
        <v>4.9047199999999904</v>
      </c>
      <c r="E3337">
        <v>0.53599580000000002</v>
      </c>
      <c r="F3337" t="s">
        <v>87</v>
      </c>
      <c r="G3337">
        <v>-212.22829999999999</v>
      </c>
      <c r="H3337">
        <v>9.4849029999999992</v>
      </c>
      <c r="I3337">
        <v>75.286450000000002</v>
      </c>
      <c r="J3337">
        <v>-187.0599</v>
      </c>
      <c r="K3337">
        <v>1.1222799999999999</v>
      </c>
      <c r="L3337">
        <v>183.71809999999999</v>
      </c>
      <c r="M3337">
        <v>-4.229426E-2</v>
      </c>
      <c r="N3337">
        <v>-1.372697E-2</v>
      </c>
      <c r="O3337">
        <v>-0.99901110000000004</v>
      </c>
      <c r="P3337">
        <v>-0.13881079999999901</v>
      </c>
      <c r="Q3337">
        <v>0.181812</v>
      </c>
      <c r="R3337">
        <v>-0.97348670000000004</v>
      </c>
      <c r="S3337">
        <v>-0.68130489999999999</v>
      </c>
      <c r="T3337">
        <v>0.226269</v>
      </c>
      <c r="U3337">
        <v>-2.9420470000000001</v>
      </c>
      <c r="V3337">
        <v>9.6982170000000006E-2</v>
      </c>
      <c r="W3337">
        <v>0.19548960000000001</v>
      </c>
      <c r="X3337">
        <v>0.97589870000000001</v>
      </c>
      <c r="Y3337">
        <v>0.1833853</v>
      </c>
      <c r="Z3337">
        <v>-8.8558129999999999E-2</v>
      </c>
      <c r="AA3337">
        <v>0.97904409999999997</v>
      </c>
      <c r="AB3337">
        <v>31</v>
      </c>
      <c r="AC3337">
        <v>-25.168399999999899</v>
      </c>
      <c r="AD3337">
        <v>8.3626229999999993</v>
      </c>
      <c r="AE3337">
        <v>-108.43165</v>
      </c>
      <c r="AF3337">
        <v>20.444022377483101</v>
      </c>
      <c r="AG3337">
        <v>8.3626229999999993</v>
      </c>
      <c r="AH3337">
        <v>108.785207437434</v>
      </c>
      <c r="AI3337">
        <v>85.679497910061798</v>
      </c>
      <c r="AJ3337">
        <v>79.356536796362803</v>
      </c>
      <c r="AK3337">
        <v>111.005012822019</v>
      </c>
      <c r="AL3337">
        <v>78.726673912413503</v>
      </c>
      <c r="AM3337">
        <v>84.324734327711695</v>
      </c>
      <c r="AN3337">
        <v>0.99999999883387902</v>
      </c>
    </row>
    <row r="3338" spans="1:40" x14ac:dyDescent="0.25">
      <c r="A3338" t="str">
        <f>"20190303171043213"</f>
        <v>20190303171043213</v>
      </c>
      <c r="B3338" t="str">
        <f>"1551604243203992"</f>
        <v>1551604243203992</v>
      </c>
      <c r="C3338" t="s">
        <v>40</v>
      </c>
      <c r="D3338">
        <v>4.9264549999999998</v>
      </c>
      <c r="E3338">
        <v>0.53642699999999999</v>
      </c>
      <c r="F3338" t="s">
        <v>87</v>
      </c>
      <c r="G3338">
        <v>-212.22839999999999</v>
      </c>
      <c r="H3338">
        <v>9.8334589999999995</v>
      </c>
      <c r="I3338">
        <v>75.562709999999996</v>
      </c>
      <c r="J3338">
        <v>-187.0727</v>
      </c>
      <c r="K3338">
        <v>1.122288</v>
      </c>
      <c r="L3338">
        <v>183.37960000000001</v>
      </c>
      <c r="M3338">
        <v>-4.0845149999999997E-2</v>
      </c>
      <c r="N3338">
        <v>-1.3719439999999999E-2</v>
      </c>
      <c r="O3338">
        <v>-0.99907140000000005</v>
      </c>
      <c r="P3338">
        <v>-0.13647690000000001</v>
      </c>
      <c r="Q3338">
        <v>0.1812095</v>
      </c>
      <c r="R3338">
        <v>-0.97392900000000004</v>
      </c>
      <c r="S3338">
        <v>-0.6841431</v>
      </c>
      <c r="T3338">
        <v>0.23679149999999999</v>
      </c>
      <c r="U3338">
        <v>-2.9399259999999998</v>
      </c>
      <c r="V3338">
        <v>9.605139E-2</v>
      </c>
      <c r="W3338">
        <v>0.1948802</v>
      </c>
      <c r="X3338">
        <v>0.9761126</v>
      </c>
      <c r="Y3338">
        <v>0.18579619999999999</v>
      </c>
      <c r="Z3338">
        <v>-9.2047939999999995E-2</v>
      </c>
      <c r="AA3338">
        <v>0.97826729999999995</v>
      </c>
      <c r="AB3338">
        <v>31</v>
      </c>
      <c r="AC3338">
        <v>-25.1557</v>
      </c>
      <c r="AD3338">
        <v>8.7111710000000002</v>
      </c>
      <c r="AE3338">
        <v>-107.81689</v>
      </c>
      <c r="AF3338">
        <v>20.602940099482499</v>
      </c>
      <c r="AG3338">
        <v>8.7111710000000002</v>
      </c>
      <c r="AH3338">
        <v>108.08533074187601</v>
      </c>
      <c r="AI3338">
        <v>85.473344679469406</v>
      </c>
      <c r="AJ3338">
        <v>79.207897254320599</v>
      </c>
      <c r="AK3338">
        <v>110.375741730304</v>
      </c>
      <c r="AL3338">
        <v>78.762274531095599</v>
      </c>
      <c r="AM3338">
        <v>84.380075711653802</v>
      </c>
      <c r="AN3338">
        <v>0.99999998487586494</v>
      </c>
    </row>
    <row r="3339" spans="1:40" x14ac:dyDescent="0.25">
      <c r="A3339" t="str">
        <f>"20190303171043226"</f>
        <v>20190303171043226</v>
      </c>
      <c r="B3339" t="str">
        <f>"1551604243214258"</f>
        <v>1551604243214258</v>
      </c>
      <c r="C3339" t="s">
        <v>40</v>
      </c>
      <c r="D3339">
        <v>4.9430170000000002</v>
      </c>
      <c r="E3339">
        <v>0.53666169999999902</v>
      </c>
      <c r="F3339" t="s">
        <v>87</v>
      </c>
      <c r="G3339">
        <v>-212.2285</v>
      </c>
      <c r="H3339">
        <v>9.8810359999999999</v>
      </c>
      <c r="I3339">
        <v>74.712729999999993</v>
      </c>
      <c r="J3339">
        <v>-187.0795</v>
      </c>
      <c r="K3339">
        <v>1.1222890000000001</v>
      </c>
      <c r="L3339">
        <v>183.19280000000001</v>
      </c>
      <c r="M3339">
        <v>-4.0046459999999999E-2</v>
      </c>
      <c r="N3339">
        <v>-1.3715740000000001E-2</v>
      </c>
      <c r="O3339">
        <v>-0.99910359999999998</v>
      </c>
      <c r="P3339">
        <v>-0.13493859999999999</v>
      </c>
      <c r="Q3339">
        <v>0.1810184</v>
      </c>
      <c r="R3339">
        <v>-0.97417849999999995</v>
      </c>
      <c r="S3339">
        <v>-0.68078609999999995</v>
      </c>
      <c r="T3339">
        <v>0.23703650000000001</v>
      </c>
      <c r="U3339">
        <v>-2.9408259999999999</v>
      </c>
      <c r="V3339">
        <v>9.5286910000000002E-2</v>
      </c>
      <c r="W3339">
        <v>0.19468569999999999</v>
      </c>
      <c r="X3339">
        <v>0.97622629999999999</v>
      </c>
      <c r="Y3339">
        <v>0.18545429999999999</v>
      </c>
      <c r="Z3339">
        <v>-9.211946E-2</v>
      </c>
      <c r="AA3339">
        <v>0.97832549999999996</v>
      </c>
      <c r="AB3339">
        <v>31</v>
      </c>
      <c r="AC3339">
        <v>-25.149000000000001</v>
      </c>
      <c r="AD3339">
        <v>8.7587469999999996</v>
      </c>
      <c r="AE3339">
        <v>-108.48007</v>
      </c>
      <c r="AF3339">
        <v>20.656378674053101</v>
      </c>
      <c r="AG3339">
        <v>8.7587469999999996</v>
      </c>
      <c r="AH3339">
        <v>108.72760767509899</v>
      </c>
      <c r="AI3339">
        <v>85.474974262581597</v>
      </c>
      <c r="AJ3339">
        <v>79.242982371480593</v>
      </c>
      <c r="AK3339">
        <v>111.01844125948701</v>
      </c>
      <c r="AL3339">
        <v>78.773635813605395</v>
      </c>
      <c r="AM3339">
        <v>84.4251674205439</v>
      </c>
      <c r="AN3339">
        <v>0.99999995290676202</v>
      </c>
    </row>
    <row r="3340" spans="1:40" x14ac:dyDescent="0.25">
      <c r="A3340" t="str">
        <f>"20190303171043244"</f>
        <v>20190303171043244</v>
      </c>
      <c r="B3340" t="str">
        <f>"1551604243233778"</f>
        <v>1551604243233778</v>
      </c>
      <c r="C3340" t="s">
        <v>40</v>
      </c>
      <c r="D3340">
        <v>4.9561299999999999</v>
      </c>
      <c r="E3340">
        <v>0.53685629999999995</v>
      </c>
      <c r="F3340" t="s">
        <v>87</v>
      </c>
      <c r="G3340">
        <v>-212.2285</v>
      </c>
      <c r="H3340">
        <v>9.8900790000000001</v>
      </c>
      <c r="I3340">
        <v>74.133030000000005</v>
      </c>
      <c r="J3340">
        <v>-187.0883</v>
      </c>
      <c r="K3340">
        <v>1.1222939999999999</v>
      </c>
      <c r="L3340">
        <v>182.94450000000001</v>
      </c>
      <c r="M3340">
        <v>-3.898447E-2</v>
      </c>
      <c r="N3340">
        <v>-1.371122E-2</v>
      </c>
      <c r="O3340">
        <v>-0.99914599999999998</v>
      </c>
      <c r="P3340">
        <v>-0.13262209999999999</v>
      </c>
      <c r="Q3340">
        <v>0.18045829999999999</v>
      </c>
      <c r="R3340">
        <v>-0.97460089999999999</v>
      </c>
      <c r="S3340">
        <v>-0.67832950000000003</v>
      </c>
      <c r="T3340">
        <v>0.2364888</v>
      </c>
      <c r="U3340">
        <v>-2.941605</v>
      </c>
      <c r="V3340">
        <v>9.3997549999999999E-2</v>
      </c>
      <c r="W3340">
        <v>0.19412070000000001</v>
      </c>
      <c r="X3340">
        <v>0.97646390000000005</v>
      </c>
      <c r="Y3340">
        <v>0.1856699</v>
      </c>
      <c r="Z3340">
        <v>-9.1927300000000003E-2</v>
      </c>
      <c r="AA3340">
        <v>0.97830269999999997</v>
      </c>
      <c r="AB3340">
        <v>31</v>
      </c>
      <c r="AC3340">
        <v>-25.1402</v>
      </c>
      <c r="AD3340">
        <v>8.7677849999999999</v>
      </c>
      <c r="AE3340">
        <v>-108.81147</v>
      </c>
      <c r="AF3340">
        <v>20.7508271935354</v>
      </c>
      <c r="AG3340">
        <v>8.7677849999999999</v>
      </c>
      <c r="AH3340">
        <v>109.03683151432099</v>
      </c>
      <c r="AI3340">
        <v>85.483387394262905</v>
      </c>
      <c r="AJ3340">
        <v>79.224876959833693</v>
      </c>
      <c r="AK3340">
        <v>111.339577463293</v>
      </c>
      <c r="AL3340">
        <v>78.806638839052795</v>
      </c>
      <c r="AM3340">
        <v>84.501466792331996</v>
      </c>
      <c r="AN3340">
        <v>1.00000006678884</v>
      </c>
    </row>
    <row r="3341" spans="1:40" x14ac:dyDescent="0.25">
      <c r="A3341" t="str">
        <f>"20190303171043259"</f>
        <v>20190303171043259</v>
      </c>
      <c r="B3341" t="str">
        <f>"1551604243254275"</f>
        <v>1551604243254275</v>
      </c>
      <c r="C3341" t="s">
        <v>40</v>
      </c>
      <c r="D3341">
        <v>4.9495899999999997</v>
      </c>
      <c r="E3341">
        <v>0.53719090000000003</v>
      </c>
      <c r="F3341" t="s">
        <v>87</v>
      </c>
      <c r="G3341">
        <v>-212.2285</v>
      </c>
      <c r="H3341">
        <v>9.9047409999999996</v>
      </c>
      <c r="I3341">
        <v>73.011150000000001</v>
      </c>
      <c r="J3341">
        <v>-187.09540000000001</v>
      </c>
      <c r="K3341">
        <v>1.122296</v>
      </c>
      <c r="L3341">
        <v>182.74100000000001</v>
      </c>
      <c r="M3341">
        <v>-3.8114019999999998E-2</v>
      </c>
      <c r="N3341">
        <v>-1.3707820000000001E-2</v>
      </c>
      <c r="O3341">
        <v>-0.99917959999999995</v>
      </c>
      <c r="P3341">
        <v>-0.13119990000000001</v>
      </c>
      <c r="Q3341">
        <v>0.18036630000000001</v>
      </c>
      <c r="R3341">
        <v>-0.97480999999999995</v>
      </c>
      <c r="S3341">
        <v>-0.67303469999999999</v>
      </c>
      <c r="T3341">
        <v>0.23511770000000001</v>
      </c>
      <c r="U3341">
        <v>-2.9430540000000001</v>
      </c>
      <c r="V3341">
        <v>9.3421760000000006E-2</v>
      </c>
      <c r="W3341">
        <v>0.1940248</v>
      </c>
      <c r="X3341">
        <v>0.97653820000000002</v>
      </c>
      <c r="Y3341">
        <v>0.1847568</v>
      </c>
      <c r="Z3341">
        <v>-9.1463920000000004E-2</v>
      </c>
      <c r="AA3341">
        <v>0.97851889999999997</v>
      </c>
      <c r="AB3341">
        <v>31</v>
      </c>
      <c r="AC3341">
        <v>-25.133099999999899</v>
      </c>
      <c r="AD3341">
        <v>8.7824449999999992</v>
      </c>
      <c r="AE3341">
        <v>-109.729849999999</v>
      </c>
      <c r="AF3341">
        <v>20.805561851614499</v>
      </c>
      <c r="AG3341">
        <v>8.7824449999999992</v>
      </c>
      <c r="AH3341">
        <v>109.938963395122</v>
      </c>
      <c r="AI3341">
        <v>85.511967593895903</v>
      </c>
      <c r="AJ3341">
        <v>79.283707911419697</v>
      </c>
      <c r="AK3341">
        <v>112.234479624282</v>
      </c>
      <c r="AL3341">
        <v>78.812239832182797</v>
      </c>
      <c r="AM3341">
        <v>84.535357277150595</v>
      </c>
      <c r="AN3341">
        <v>1.00000005215788</v>
      </c>
    </row>
    <row r="3342" spans="1:40" x14ac:dyDescent="0.25">
      <c r="A3342" t="str">
        <f>"20190303171043271"</f>
        <v>20190303171043271</v>
      </c>
      <c r="B3342" t="str">
        <f>"1551604243264034"</f>
        <v>1551604243264034</v>
      </c>
      <c r="C3342" t="s">
        <v>40</v>
      </c>
      <c r="D3342">
        <v>4.9513989999999897</v>
      </c>
      <c r="E3342">
        <v>0.53739989999999904</v>
      </c>
      <c r="F3342" t="s">
        <v>87</v>
      </c>
      <c r="G3342">
        <v>-212.2285</v>
      </c>
      <c r="H3342">
        <v>9.9317430000000009</v>
      </c>
      <c r="I3342">
        <v>72.556229999999999</v>
      </c>
      <c r="J3342">
        <v>-187.1019</v>
      </c>
      <c r="K3342">
        <v>1.1222970000000001</v>
      </c>
      <c r="L3342">
        <v>182.5487</v>
      </c>
      <c r="M3342">
        <v>-3.7291020000000001E-2</v>
      </c>
      <c r="N3342">
        <v>-1.370482E-2</v>
      </c>
      <c r="O3342">
        <v>-0.99921059999999995</v>
      </c>
      <c r="P3342">
        <v>-0.12930510000000001</v>
      </c>
      <c r="Q3342">
        <v>0.18049789999999999</v>
      </c>
      <c r="R3342">
        <v>-0.97503890000000004</v>
      </c>
      <c r="S3342">
        <v>-0.67143249999999999</v>
      </c>
      <c r="T3342">
        <v>0.235345</v>
      </c>
      <c r="U3342">
        <v>-2.9435880000000001</v>
      </c>
      <c r="V3342">
        <v>9.2326140000000001E-2</v>
      </c>
      <c r="W3342">
        <v>0.19415099999999999</v>
      </c>
      <c r="X3342">
        <v>0.97661730000000002</v>
      </c>
      <c r="Y3342">
        <v>0.18502009999999999</v>
      </c>
      <c r="Z3342">
        <v>-9.1529719999999995E-2</v>
      </c>
      <c r="AA3342">
        <v>0.97846299999999997</v>
      </c>
      <c r="AB3342">
        <v>31</v>
      </c>
      <c r="AC3342">
        <v>-25.1266</v>
      </c>
      <c r="AD3342">
        <v>8.8094459999999994</v>
      </c>
      <c r="AE3342">
        <v>-109.99247</v>
      </c>
      <c r="AF3342">
        <v>20.879710949363702</v>
      </c>
      <c r="AG3342">
        <v>8.8094459999999994</v>
      </c>
      <c r="AH3342">
        <v>110.181316039455</v>
      </c>
      <c r="AI3342">
        <v>85.508297478109398</v>
      </c>
      <c r="AJ3342">
        <v>79.269508700825</v>
      </c>
      <c r="AK3342">
        <v>112.48773743098501</v>
      </c>
      <c r="AL3342">
        <v>78.804868789836405</v>
      </c>
      <c r="AM3342">
        <v>84.599498489067102</v>
      </c>
      <c r="AN3342">
        <v>1.00000003879379</v>
      </c>
    </row>
    <row r="3343" spans="1:40" x14ac:dyDescent="0.25">
      <c r="A3343" t="str">
        <f>"20190303171043289"</f>
        <v>20190303171043289</v>
      </c>
      <c r="B3343" t="str">
        <f>"1551604243284531"</f>
        <v>1551604243284531</v>
      </c>
      <c r="C3343" t="s">
        <v>40</v>
      </c>
      <c r="D3343">
        <v>5.0349690000000002</v>
      </c>
      <c r="E3343">
        <v>0.53767500000000001</v>
      </c>
      <c r="F3343" t="s">
        <v>87</v>
      </c>
      <c r="G3343">
        <v>-212.2285</v>
      </c>
      <c r="H3343">
        <v>9.9645349999999997</v>
      </c>
      <c r="I3343">
        <v>71.701179999999994</v>
      </c>
      <c r="J3343">
        <v>-187.10900000000001</v>
      </c>
      <c r="K3343">
        <v>1.1222989999999999</v>
      </c>
      <c r="L3343">
        <v>182.32919999999999</v>
      </c>
      <c r="M3343">
        <v>-3.6351410000000001E-2</v>
      </c>
      <c r="N3343">
        <v>-1.3701639999999999E-2</v>
      </c>
      <c r="O3343">
        <v>-0.9992451</v>
      </c>
      <c r="P3343">
        <v>-0.1260076</v>
      </c>
      <c r="Q3343">
        <v>0.1811652</v>
      </c>
      <c r="R3343">
        <v>-0.97534650000000001</v>
      </c>
      <c r="S3343">
        <v>-0.66752619999999996</v>
      </c>
      <c r="T3343">
        <v>0.23490730000000001</v>
      </c>
      <c r="U3343">
        <v>-2.9448240000000001</v>
      </c>
      <c r="V3343">
        <v>8.9938980000000002E-2</v>
      </c>
      <c r="W3343">
        <v>0.1948096</v>
      </c>
      <c r="X3343">
        <v>0.97670880000000004</v>
      </c>
      <c r="Y3343">
        <v>0.1846237</v>
      </c>
      <c r="Z3343">
        <v>-9.1371040000000001E-2</v>
      </c>
      <c r="AA3343">
        <v>0.97855270000000005</v>
      </c>
      <c r="AB3343">
        <v>31</v>
      </c>
      <c r="AC3343">
        <v>-25.119499999999899</v>
      </c>
      <c r="AD3343">
        <v>8.8422359999999998</v>
      </c>
      <c r="AE3343">
        <v>-110.628019999999</v>
      </c>
      <c r="AF3343">
        <v>20.953734210754501</v>
      </c>
      <c r="AG3343">
        <v>8.8422359999999998</v>
      </c>
      <c r="AH3343">
        <v>110.79500148250899</v>
      </c>
      <c r="AI3343">
        <v>85.516205495096003</v>
      </c>
      <c r="AJ3343">
        <v>79.290612654387402</v>
      </c>
      <c r="AK3343">
        <v>113.10515668334401</v>
      </c>
      <c r="AL3343">
        <v>78.766398147342201</v>
      </c>
      <c r="AM3343">
        <v>84.738828531880799</v>
      </c>
      <c r="AN3343">
        <v>0.99999994018651805</v>
      </c>
    </row>
    <row r="3344" spans="1:40" x14ac:dyDescent="0.25">
      <c r="A3344" t="str">
        <f>"20190303171043311"</f>
        <v>20190303171043311</v>
      </c>
      <c r="B3344" t="str">
        <f>"1551604243304051"</f>
        <v>1551604243304051</v>
      </c>
      <c r="C3344" t="s">
        <v>40</v>
      </c>
      <c r="D3344">
        <v>5.3039560000000003</v>
      </c>
      <c r="E3344">
        <v>0.53796440000000001</v>
      </c>
      <c r="F3344" t="s">
        <v>87</v>
      </c>
      <c r="G3344">
        <v>-212.15620000000001</v>
      </c>
      <c r="H3344">
        <v>10.15086</v>
      </c>
      <c r="I3344">
        <v>70.567830000000001</v>
      </c>
      <c r="J3344">
        <v>-187.11940000000001</v>
      </c>
      <c r="K3344">
        <v>1.1223019999999999</v>
      </c>
      <c r="L3344">
        <v>182.00360000000001</v>
      </c>
      <c r="M3344">
        <v>-3.4956979999999999E-2</v>
      </c>
      <c r="N3344">
        <v>-1.3697259999999999E-2</v>
      </c>
      <c r="O3344">
        <v>-0.99929520000000005</v>
      </c>
      <c r="P3344">
        <v>-0.12224260000000001</v>
      </c>
      <c r="Q3344">
        <v>0.18246319999999999</v>
      </c>
      <c r="R3344">
        <v>-0.97558429999999996</v>
      </c>
      <c r="S3344">
        <v>-0.66030880000000003</v>
      </c>
      <c r="T3344">
        <v>0.2380167</v>
      </c>
      <c r="U3344">
        <v>-2.9463200000000001</v>
      </c>
      <c r="V3344">
        <v>8.7531659999999997E-2</v>
      </c>
      <c r="W3344">
        <v>0.19609660000000001</v>
      </c>
      <c r="X3344">
        <v>0.97667000000000004</v>
      </c>
      <c r="Y3344">
        <v>0.1835869</v>
      </c>
      <c r="Z3344">
        <v>-9.2386930000000006E-2</v>
      </c>
      <c r="AA3344">
        <v>0.97865239999999998</v>
      </c>
      <c r="AB3344">
        <v>31</v>
      </c>
      <c r="AC3344">
        <v>-25.036799999999999</v>
      </c>
      <c r="AD3344">
        <v>9.0285580000000003</v>
      </c>
      <c r="AE3344">
        <v>-111.435769999999</v>
      </c>
      <c r="AF3344">
        <v>20.9944811946716</v>
      </c>
      <c r="AG3344">
        <v>9.0285580000000003</v>
      </c>
      <c r="AH3344">
        <v>111.545908574514</v>
      </c>
      <c r="AI3344">
        <v>85.452060067795301</v>
      </c>
      <c r="AJ3344">
        <v>79.3408401632352</v>
      </c>
      <c r="AK3344">
        <v>113.862956311114</v>
      </c>
      <c r="AL3344">
        <v>78.6912087240825</v>
      </c>
      <c r="AM3344">
        <v>84.878688452434702</v>
      </c>
      <c r="AN3344">
        <v>0.99999997846695698</v>
      </c>
    </row>
    <row r="3345" spans="1:40" x14ac:dyDescent="0.25">
      <c r="A3345" t="str">
        <f>"20190303171043325"</f>
        <v>20190303171043325</v>
      </c>
      <c r="B3345" t="str">
        <f>"1551604243313812"</f>
        <v>1551604243313812</v>
      </c>
      <c r="C3345" t="s">
        <v>40</v>
      </c>
      <c r="D3345">
        <v>4.9614209999999996</v>
      </c>
      <c r="E3345">
        <v>0.53833750000000002</v>
      </c>
      <c r="F3345" t="s">
        <v>87</v>
      </c>
      <c r="G3345">
        <v>-211.74680000000001</v>
      </c>
      <c r="H3345">
        <v>10.2842</v>
      </c>
      <c r="I3345">
        <v>70.567830000000001</v>
      </c>
      <c r="J3345">
        <v>-187.1249</v>
      </c>
      <c r="K3345">
        <v>1.1223030000000001</v>
      </c>
      <c r="L3345">
        <v>181.82259999999999</v>
      </c>
      <c r="M3345">
        <v>-3.4181429999999999E-2</v>
      </c>
      <c r="N3345">
        <v>-1.3694970000000001E-2</v>
      </c>
      <c r="O3345">
        <v>-0.99932189999999999</v>
      </c>
      <c r="P3345">
        <v>-0.12076919999999999</v>
      </c>
      <c r="Q3345">
        <v>0.18348020000000001</v>
      </c>
      <c r="R3345">
        <v>-0.97557689999999997</v>
      </c>
      <c r="S3345">
        <v>-0.65153499999999998</v>
      </c>
      <c r="T3345">
        <v>0.24238419999999999</v>
      </c>
      <c r="U3345">
        <v>-2.948105</v>
      </c>
      <c r="V3345">
        <v>8.6816969999999993E-2</v>
      </c>
      <c r="W3345">
        <v>0.19710739999999999</v>
      </c>
      <c r="X3345">
        <v>0.97653029999999996</v>
      </c>
      <c r="Y3345">
        <v>0.18141950000000001</v>
      </c>
      <c r="Z3345">
        <v>-9.3819130000000001E-2</v>
      </c>
      <c r="AA3345">
        <v>0.97892029999999997</v>
      </c>
      <c r="AB3345">
        <v>31</v>
      </c>
      <c r="AC3345">
        <v>-24.6219</v>
      </c>
      <c r="AD3345">
        <v>9.1618969999999997</v>
      </c>
      <c r="AE3345">
        <v>-111.25476999999999</v>
      </c>
      <c r="AF3345">
        <v>20.670670508245902</v>
      </c>
      <c r="AG3345">
        <v>9.1618969999999997</v>
      </c>
      <c r="AH3345">
        <v>111.311807869194</v>
      </c>
      <c r="AI3345">
        <v>85.373427203499205</v>
      </c>
      <c r="AJ3345">
        <v>79.479973181210894</v>
      </c>
      <c r="AK3345">
        <v>113.58492658362501</v>
      </c>
      <c r="AL3345">
        <v>78.632141254152103</v>
      </c>
      <c r="AM3345">
        <v>84.919561055468094</v>
      </c>
      <c r="AN3345">
        <v>0.99999997011641495</v>
      </c>
    </row>
    <row r="3346" spans="1:40" x14ac:dyDescent="0.25">
      <c r="A3346" t="str">
        <f>"20190303171043339"</f>
        <v>20190303171043339</v>
      </c>
      <c r="B3346" t="str">
        <f>"1551604243334307"</f>
        <v>1551604243334307</v>
      </c>
      <c r="C3346" t="s">
        <v>40</v>
      </c>
      <c r="D3346">
        <v>4.9469099999999999</v>
      </c>
      <c r="E3346">
        <v>0.53915299999999999</v>
      </c>
      <c r="F3346" t="s">
        <v>87</v>
      </c>
      <c r="G3346">
        <v>-211.6609</v>
      </c>
      <c r="H3346">
        <v>10.412240000000001</v>
      </c>
      <c r="I3346">
        <v>70.567830000000001</v>
      </c>
      <c r="J3346">
        <v>-187.13059999999999</v>
      </c>
      <c r="K3346">
        <v>1.122304</v>
      </c>
      <c r="L3346">
        <v>181.631</v>
      </c>
      <c r="M3346">
        <v>-3.3360000000000001E-2</v>
      </c>
      <c r="N3346">
        <v>-1.3692630000000001E-2</v>
      </c>
      <c r="O3346">
        <v>-0.99934979999999995</v>
      </c>
      <c r="P3346">
        <v>-0.1192059</v>
      </c>
      <c r="Q3346">
        <v>0.18438299999999999</v>
      </c>
      <c r="R3346">
        <v>-0.9755992</v>
      </c>
      <c r="S3346">
        <v>-0.65022279999999999</v>
      </c>
      <c r="T3346">
        <v>0.24619050000000001</v>
      </c>
      <c r="U3346">
        <v>-2.948334</v>
      </c>
      <c r="V3346">
        <v>8.6056579999999994E-2</v>
      </c>
      <c r="W3346">
        <v>0.19800390000000001</v>
      </c>
      <c r="X3346">
        <v>0.97641619999999996</v>
      </c>
      <c r="Y3346">
        <v>0.1817725</v>
      </c>
      <c r="Z3346">
        <v>-9.5066460000000005E-2</v>
      </c>
      <c r="AA3346">
        <v>0.9787344</v>
      </c>
      <c r="AB3346">
        <v>31</v>
      </c>
      <c r="AC3346">
        <v>-24.5303</v>
      </c>
      <c r="AD3346">
        <v>9.2899360000000009</v>
      </c>
      <c r="AE3346">
        <v>-111.063169999999</v>
      </c>
      <c r="AF3346">
        <v>20.673315397069299</v>
      </c>
      <c r="AG3346">
        <v>9.2899360000000009</v>
      </c>
      <c r="AH3346">
        <v>111.07872675031599</v>
      </c>
      <c r="AI3346">
        <v>85.299605220562398</v>
      </c>
      <c r="AJ3346">
        <v>79.457074272922199</v>
      </c>
      <c r="AK3346">
        <v>113.36742220259799</v>
      </c>
      <c r="AL3346">
        <v>78.579742522842395</v>
      </c>
      <c r="AM3346">
        <v>84.963242969733699</v>
      </c>
      <c r="AN3346">
        <v>0.99999993749947103</v>
      </c>
    </row>
    <row r="3347" spans="1:40" x14ac:dyDescent="0.25">
      <c r="A3347" t="str">
        <f>"20190303171043355"</f>
        <v>20190303171043355</v>
      </c>
      <c r="B3347" t="str">
        <f>"1551604243344067"</f>
        <v>1551604243344067</v>
      </c>
      <c r="C3347" t="s">
        <v>40</v>
      </c>
      <c r="D3347">
        <v>5.0942829999999999</v>
      </c>
      <c r="E3347">
        <v>0.53915299999999999</v>
      </c>
      <c r="F3347" t="s">
        <v>87</v>
      </c>
      <c r="G3347">
        <v>-211.69149999999999</v>
      </c>
      <c r="H3347">
        <v>10.51065</v>
      </c>
      <c r="I3347">
        <v>70.567830000000001</v>
      </c>
      <c r="J3347">
        <v>-187.13759999999999</v>
      </c>
      <c r="K3347">
        <v>1.1223019999999999</v>
      </c>
      <c r="L3347">
        <v>181.3897</v>
      </c>
      <c r="M3347">
        <v>-3.2325470000000002E-2</v>
      </c>
      <c r="N3347">
        <v>-1.3689979999999999E-2</v>
      </c>
      <c r="O3347">
        <v>-0.99938360000000004</v>
      </c>
      <c r="P3347">
        <v>-0.11753710000000001</v>
      </c>
      <c r="Q3347">
        <v>0.1850175</v>
      </c>
      <c r="R3347">
        <v>-0.97568120000000003</v>
      </c>
      <c r="S3347">
        <v>-0.65199280000000004</v>
      </c>
      <c r="T3347">
        <v>0.24922250000000001</v>
      </c>
      <c r="U3347">
        <v>-2.9482729999999999</v>
      </c>
      <c r="V3347">
        <v>8.5398299999999996E-2</v>
      </c>
      <c r="W3347">
        <v>0.198633</v>
      </c>
      <c r="X3347">
        <v>0.9763463</v>
      </c>
      <c r="Y3347">
        <v>0.1833361</v>
      </c>
      <c r="Z3347">
        <v>-9.6049079999999995E-2</v>
      </c>
      <c r="AA3347">
        <v>0.97834679999999996</v>
      </c>
      <c r="AB3347">
        <v>31</v>
      </c>
      <c r="AC3347">
        <v>-24.553899999999999</v>
      </c>
      <c r="AD3347">
        <v>9.3883479999999899</v>
      </c>
      <c r="AE3347">
        <v>-110.821869999999</v>
      </c>
      <c r="AF3347">
        <v>20.815960298169699</v>
      </c>
      <c r="AG3347">
        <v>9.3883479999999899</v>
      </c>
      <c r="AH3347">
        <v>110.79976108274001</v>
      </c>
      <c r="AI3347">
        <v>85.239638026866103</v>
      </c>
      <c r="AJ3347">
        <v>79.359862052624194</v>
      </c>
      <c r="AK3347">
        <v>113.128388732874</v>
      </c>
      <c r="AL3347">
        <v>78.542968236173294</v>
      </c>
      <c r="AM3347">
        <v>85.001219096081797</v>
      </c>
      <c r="AN3347">
        <v>1.0000000179277899</v>
      </c>
    </row>
    <row r="3348" spans="1:40" x14ac:dyDescent="0.25">
      <c r="A3348" t="str">
        <f>"20190303171043380"</f>
        <v>20190303171043380</v>
      </c>
      <c r="B3348" t="str">
        <f>"1551604243374323"</f>
        <v>1551604243374323</v>
      </c>
      <c r="C3348" t="s">
        <v>40</v>
      </c>
      <c r="D3348">
        <v>5.3046920000000002</v>
      </c>
      <c r="E3348">
        <v>0.49967889999999998</v>
      </c>
      <c r="F3348" t="s">
        <v>87</v>
      </c>
      <c r="G3348">
        <v>-211.44730000000001</v>
      </c>
      <c r="H3348">
        <v>10.55273</v>
      </c>
      <c r="I3348">
        <v>70.567830000000001</v>
      </c>
      <c r="J3348">
        <v>-187.14599999999999</v>
      </c>
      <c r="K3348">
        <v>1.1222939999999999</v>
      </c>
      <c r="L3348">
        <v>181.08359999999999</v>
      </c>
      <c r="M3348">
        <v>-3.1012930000000001E-2</v>
      </c>
      <c r="N3348">
        <v>-1.3686780000000001E-2</v>
      </c>
      <c r="O3348">
        <v>-0.99942540000000002</v>
      </c>
      <c r="P3348">
        <v>-0.11476260000000001</v>
      </c>
      <c r="Q3348">
        <v>0.18412690000000001</v>
      </c>
      <c r="R3348">
        <v>-0.97618000000000005</v>
      </c>
      <c r="S3348">
        <v>-0.64694209999999996</v>
      </c>
      <c r="T3348">
        <v>0.25096800000000002</v>
      </c>
      <c r="U3348">
        <v>-2.949249</v>
      </c>
      <c r="V3348">
        <v>8.3898349999999997E-2</v>
      </c>
      <c r="W3348">
        <v>0.19773930000000001</v>
      </c>
      <c r="X3348">
        <v>0.97665769999999996</v>
      </c>
      <c r="Y3348">
        <v>0.18294940000000001</v>
      </c>
      <c r="Z3348">
        <v>-9.6617560000000005E-2</v>
      </c>
      <c r="AA3348">
        <v>0.97836319999999999</v>
      </c>
      <c r="AB3348">
        <v>31</v>
      </c>
      <c r="AC3348">
        <v>-24.301300000000001</v>
      </c>
      <c r="AD3348">
        <v>9.4304360000000003</v>
      </c>
      <c r="AE3348">
        <v>-110.51577</v>
      </c>
      <c r="AF3348">
        <v>20.717971830670699</v>
      </c>
      <c r="AG3348">
        <v>9.4304360000000003</v>
      </c>
      <c r="AH3348">
        <v>110.449192204905</v>
      </c>
      <c r="AI3348">
        <v>85.203037960762501</v>
      </c>
      <c r="AJ3348">
        <v>79.375960716922293</v>
      </c>
      <c r="AK3348">
        <v>112.77052601918</v>
      </c>
      <c r="AL3348">
        <v>78.595209664548506</v>
      </c>
      <c r="AM3348">
        <v>85.090143554335995</v>
      </c>
      <c r="AN3348">
        <v>1.0000000134332501</v>
      </c>
    </row>
    <row r="3349" spans="1:40" x14ac:dyDescent="0.25">
      <c r="A3349" t="str">
        <f>"20190303171043400"</f>
        <v>20190303171043400</v>
      </c>
      <c r="B3349" t="str">
        <f>"1551604243393843"</f>
        <v>1551604243393843</v>
      </c>
      <c r="C3349" t="s">
        <v>40</v>
      </c>
      <c r="D3349">
        <v>5.1320550000000003</v>
      </c>
      <c r="E3349">
        <v>0.49169180000000001</v>
      </c>
      <c r="F3349" t="s">
        <v>88</v>
      </c>
      <c r="G3349">
        <v>-210.91040000000001</v>
      </c>
      <c r="H3349">
        <v>18.847639999999998</v>
      </c>
      <c r="I3349">
        <v>-37.539169999999999</v>
      </c>
      <c r="J3349">
        <v>-187.15430000000001</v>
      </c>
      <c r="K3349">
        <v>1.1222829999999999</v>
      </c>
      <c r="L3349">
        <v>180.7688</v>
      </c>
      <c r="M3349">
        <v>-2.9662460000000002E-2</v>
      </c>
      <c r="N3349">
        <v>-1.3683610000000001E-2</v>
      </c>
      <c r="O3349">
        <v>-0.99946650000000004</v>
      </c>
      <c r="P3349">
        <v>-0.1113948</v>
      </c>
      <c r="Q3349">
        <v>0.18249199999999999</v>
      </c>
      <c r="R3349">
        <v>-0.976877</v>
      </c>
      <c r="S3349">
        <v>-0.3249359</v>
      </c>
      <c r="T3349">
        <v>0.24236350000000001</v>
      </c>
      <c r="U3349">
        <v>-2.9892880000000002</v>
      </c>
      <c r="V3349">
        <v>8.1839579999999995E-2</v>
      </c>
      <c r="W3349">
        <v>0.1961022</v>
      </c>
      <c r="X3349">
        <v>0.97716230000000004</v>
      </c>
      <c r="Y3349">
        <v>7.8081609999999996E-2</v>
      </c>
      <c r="Z3349">
        <v>-9.4010070000000001E-2</v>
      </c>
      <c r="AA3349">
        <v>0.99250459999999996</v>
      </c>
      <c r="AB3349">
        <v>31</v>
      </c>
      <c r="AC3349">
        <v>-23.7561</v>
      </c>
      <c r="AD3349">
        <v>17.725356999999999</v>
      </c>
      <c r="AE3349">
        <v>-218.30797000000001</v>
      </c>
      <c r="AF3349">
        <v>17.1576996537461</v>
      </c>
      <c r="AG3349">
        <v>17.725356999999999</v>
      </c>
      <c r="AH3349">
        <v>217.49953347744599</v>
      </c>
      <c r="AI3349">
        <v>85.355281851261793</v>
      </c>
      <c r="AJ3349">
        <v>85.489497695865097</v>
      </c>
      <c r="AK3349">
        <v>218.894088547618</v>
      </c>
      <c r="AL3349">
        <v>78.690881476271997</v>
      </c>
      <c r="AM3349">
        <v>85.212520255314104</v>
      </c>
      <c r="AN3349">
        <v>0.99999997512035299</v>
      </c>
    </row>
    <row r="3350" spans="1:40" x14ac:dyDescent="0.25">
      <c r="A3350" t="str">
        <f>"20190303171043413"</f>
        <v>20190303171043413</v>
      </c>
      <c r="B3350" t="str">
        <f>"1551604243404579"</f>
        <v>1551604243404579</v>
      </c>
      <c r="C3350" t="s">
        <v>40</v>
      </c>
      <c r="D3350">
        <v>5.1377620000000004</v>
      </c>
      <c r="E3350">
        <v>0.43459989999999998</v>
      </c>
      <c r="F3350" t="s">
        <v>86</v>
      </c>
      <c r="G3350">
        <v>-209.06970000000001</v>
      </c>
      <c r="H3350">
        <v>20.889959999999999</v>
      </c>
      <c r="I3350">
        <v>-81.822090000000003</v>
      </c>
      <c r="J3350">
        <v>-187.15899999999999</v>
      </c>
      <c r="K3350">
        <v>1.1222780000000001</v>
      </c>
      <c r="L3350">
        <v>180.58529999999999</v>
      </c>
      <c r="M3350">
        <v>-2.8875100000000001E-2</v>
      </c>
      <c r="N3350">
        <v>-1.3681799999999999E-2</v>
      </c>
      <c r="O3350">
        <v>-0.99948939999999997</v>
      </c>
      <c r="P3350">
        <v>-0.1100314</v>
      </c>
      <c r="Q3350">
        <v>0.1824122</v>
      </c>
      <c r="R3350">
        <v>-0.97704619999999998</v>
      </c>
      <c r="S3350">
        <v>-0.25039670000000003</v>
      </c>
      <c r="T3350">
        <v>0.22585759999999999</v>
      </c>
      <c r="U3350">
        <v>-3.0002589999999998</v>
      </c>
      <c r="V3350">
        <v>8.124431E-2</v>
      </c>
      <c r="W3350">
        <v>0.19601940000000001</v>
      </c>
      <c r="X3350">
        <v>0.9772286</v>
      </c>
      <c r="Y3350">
        <v>5.405343E-2</v>
      </c>
      <c r="Z3350">
        <v>-8.8455870000000006E-2</v>
      </c>
      <c r="AA3350">
        <v>0.99461239999999995</v>
      </c>
      <c r="AB3350">
        <v>31</v>
      </c>
      <c r="AC3350">
        <v>-21.910699999999899</v>
      </c>
      <c r="AD3350">
        <v>19.767682000000001</v>
      </c>
      <c r="AE3350">
        <v>-262.40739000000002</v>
      </c>
      <c r="AF3350">
        <v>14.243542074168101</v>
      </c>
      <c r="AG3350">
        <v>19.767682000000001</v>
      </c>
      <c r="AH3350">
        <v>261.457211339141</v>
      </c>
      <c r="AI3350">
        <v>85.682709945863294</v>
      </c>
      <c r="AJ3350">
        <v>86.881750016012603</v>
      </c>
      <c r="AK3350">
        <v>262.59000952761301</v>
      </c>
      <c r="AL3350">
        <v>78.695719632797207</v>
      </c>
      <c r="AM3350">
        <v>85.247503436949202</v>
      </c>
      <c r="AN3350">
        <v>0.99999998987084804</v>
      </c>
    </row>
    <row r="3351" spans="1:40" x14ac:dyDescent="0.25">
      <c r="A3351" t="str">
        <f>"20190303171043427"</f>
        <v>20190303171043427</v>
      </c>
      <c r="B3351" t="str">
        <f>"1551604243414339"</f>
        <v>1551604243414339</v>
      </c>
      <c r="C3351" t="s">
        <v>40</v>
      </c>
      <c r="D3351">
        <v>5.1166519999999904</v>
      </c>
      <c r="E3351">
        <v>0.42691709999999999</v>
      </c>
      <c r="F3351" t="s">
        <v>62</v>
      </c>
      <c r="G3351">
        <v>0</v>
      </c>
      <c r="H3351">
        <v>0</v>
      </c>
      <c r="I3351">
        <v>0</v>
      </c>
      <c r="J3351">
        <v>-187.16309999999999</v>
      </c>
      <c r="K3351">
        <v>1.1222760000000001</v>
      </c>
      <c r="L3351">
        <v>180.416</v>
      </c>
      <c r="M3351">
        <v>-2.814844E-2</v>
      </c>
      <c r="N3351">
        <v>-1.3680289999999999E-2</v>
      </c>
      <c r="O3351">
        <v>-0.99951009999999996</v>
      </c>
      <c r="P3351">
        <v>-0.10893129999999999</v>
      </c>
      <c r="Q3351">
        <v>0.18270729999999999</v>
      </c>
      <c r="R3351">
        <v>-0.97711440000000005</v>
      </c>
      <c r="S3351">
        <v>0.2048035</v>
      </c>
      <c r="T3351">
        <v>0.27261069999999998</v>
      </c>
      <c r="U3351">
        <v>-3.0426479999999998</v>
      </c>
      <c r="V3351">
        <v>8.0854629999999997E-2</v>
      </c>
      <c r="W3351">
        <v>0.19631170000000001</v>
      </c>
      <c r="X3351">
        <v>0.97720220000000002</v>
      </c>
      <c r="Y3351">
        <v>-9.4914810000000002E-2</v>
      </c>
      <c r="Z3351">
        <v>-0.10251490000000001</v>
      </c>
      <c r="AA3351">
        <v>0.99019279999999998</v>
      </c>
      <c r="AB3351">
        <v>31</v>
      </c>
      <c r="AC3351">
        <v>0.2048035</v>
      </c>
      <c r="AD3351">
        <v>0.27261069999999998</v>
      </c>
      <c r="AE3351">
        <v>-3.0426479999999998</v>
      </c>
      <c r="AF3351">
        <v>-0.288074050444595</v>
      </c>
      <c r="AG3351">
        <v>0.27261069999999998</v>
      </c>
      <c r="AH3351">
        <v>3.0116099264349798</v>
      </c>
      <c r="AI3351">
        <v>84.851061760631595</v>
      </c>
      <c r="AJ3351">
        <v>95.463975044553607</v>
      </c>
      <c r="AK3351">
        <v>3.0376138005506501</v>
      </c>
      <c r="AL3351">
        <v>78.678639747774298</v>
      </c>
      <c r="AM3351">
        <v>85.270067433911606</v>
      </c>
      <c r="AN3351">
        <v>0.99999994721708196</v>
      </c>
    </row>
    <row r="3352" spans="1:40" x14ac:dyDescent="0.25">
      <c r="A3352" t="str">
        <f>"20190303171043444"</f>
        <v>20190303171043444</v>
      </c>
      <c r="B3352" t="str">
        <f>"1551604243433859"</f>
        <v>1551604243433859</v>
      </c>
      <c r="C3352" t="s">
        <v>40</v>
      </c>
      <c r="D3352">
        <v>5.1559619999999997</v>
      </c>
      <c r="E3352">
        <v>0.41639350000000003</v>
      </c>
      <c r="F3352" t="s">
        <v>62</v>
      </c>
      <c r="G3352">
        <v>0</v>
      </c>
      <c r="H3352">
        <v>0</v>
      </c>
      <c r="I3352">
        <v>0</v>
      </c>
      <c r="J3352">
        <v>-187.16909999999999</v>
      </c>
      <c r="K3352">
        <v>1.1222799999999999</v>
      </c>
      <c r="L3352">
        <v>180.16220000000001</v>
      </c>
      <c r="M3352">
        <v>-2.7059090000000001E-2</v>
      </c>
      <c r="N3352">
        <v>-1.367819E-2</v>
      </c>
      <c r="O3352">
        <v>-0.9995404</v>
      </c>
      <c r="P3352">
        <v>-0.1076609</v>
      </c>
      <c r="Q3352">
        <v>0.18352479999999999</v>
      </c>
      <c r="R3352">
        <v>-0.97710200000000003</v>
      </c>
      <c r="S3352">
        <v>0.26892090000000002</v>
      </c>
      <c r="T3352">
        <v>0.28123379999999998</v>
      </c>
      <c r="U3352">
        <v>-3.0476529999999999</v>
      </c>
      <c r="V3352">
        <v>8.0651230000000004E-2</v>
      </c>
      <c r="W3352">
        <v>0.19712470000000001</v>
      </c>
      <c r="X3352">
        <v>0.97705540000000002</v>
      </c>
      <c r="Y3352">
        <v>-0.1143967</v>
      </c>
      <c r="Z3352">
        <v>-0.1049881</v>
      </c>
      <c r="AA3352">
        <v>0.98787190000000002</v>
      </c>
      <c r="AB3352">
        <v>31</v>
      </c>
      <c r="AC3352">
        <v>0.26892090000000002</v>
      </c>
      <c r="AD3352">
        <v>0.28123379999999998</v>
      </c>
      <c r="AE3352">
        <v>-3.0476529999999999</v>
      </c>
      <c r="AF3352">
        <v>-0.34835338906859298</v>
      </c>
      <c r="AG3352">
        <v>0.28123379999999998</v>
      </c>
      <c r="AH3352">
        <v>3.01379409047941</v>
      </c>
      <c r="AI3352">
        <v>84.703910753787198</v>
      </c>
      <c r="AJ3352">
        <v>96.5933497671098</v>
      </c>
      <c r="AK3352">
        <v>3.0468668093217701</v>
      </c>
      <c r="AL3352">
        <v>78.631130676721696</v>
      </c>
      <c r="AM3352">
        <v>85.281206711681904</v>
      </c>
      <c r="AN3352">
        <v>1.0000000114598799</v>
      </c>
    </row>
    <row r="3353" spans="1:40" x14ac:dyDescent="0.25">
      <c r="A3353" t="str">
        <f>"20190303171043459"</f>
        <v>20190303171043459</v>
      </c>
      <c r="B3353" t="str">
        <f>"1551604243454355"</f>
        <v>1551604243454355</v>
      </c>
      <c r="C3353" t="s">
        <v>40</v>
      </c>
      <c r="D3353">
        <v>5.1014249999999999</v>
      </c>
      <c r="E3353">
        <v>0.41200989999999998</v>
      </c>
      <c r="F3353" t="s">
        <v>85</v>
      </c>
      <c r="G3353">
        <v>-169.08709999999999</v>
      </c>
      <c r="H3353">
        <v>15.684240000000001</v>
      </c>
      <c r="I3353">
        <v>25.171949999999999</v>
      </c>
      <c r="J3353">
        <v>-187.1738</v>
      </c>
      <c r="K3353">
        <v>1.1222799999999999</v>
      </c>
      <c r="L3353">
        <v>179.95820000000001</v>
      </c>
      <c r="M3353">
        <v>-2.6183729999999999E-2</v>
      </c>
      <c r="N3353">
        <v>-1.3676600000000001E-2</v>
      </c>
      <c r="O3353">
        <v>-0.99956400000000001</v>
      </c>
      <c r="P3353">
        <v>-0.106749499999999</v>
      </c>
      <c r="Q3353">
        <v>0.18373010000000001</v>
      </c>
      <c r="R3353">
        <v>-0.97716389999999997</v>
      </c>
      <c r="S3353">
        <v>0.35649109999999901</v>
      </c>
      <c r="T3353">
        <v>0.28709200000000001</v>
      </c>
      <c r="U3353">
        <v>-3.0556640000000002</v>
      </c>
      <c r="V3353">
        <v>8.0596370000000001E-2</v>
      </c>
      <c r="W3353">
        <v>0.19732710000000001</v>
      </c>
      <c r="X3353">
        <v>0.97701910000000003</v>
      </c>
      <c r="Y3353">
        <v>-0.1412687</v>
      </c>
      <c r="Z3353">
        <v>-0.1063417</v>
      </c>
      <c r="AA3353">
        <v>0.98424319999999998</v>
      </c>
      <c r="AB3353">
        <v>31</v>
      </c>
      <c r="AC3353">
        <v>18.0867</v>
      </c>
      <c r="AD3353">
        <v>14.561959999999999</v>
      </c>
      <c r="AE3353">
        <v>-154.78625</v>
      </c>
      <c r="AF3353">
        <v>-21.942170103331598</v>
      </c>
      <c r="AG3353">
        <v>14.561959999999999</v>
      </c>
      <c r="AH3353">
        <v>152.924302410499</v>
      </c>
      <c r="AI3353">
        <v>84.615324180198101</v>
      </c>
      <c r="AJ3353">
        <v>98.165289677179501</v>
      </c>
      <c r="AK3353">
        <v>155.175229259128</v>
      </c>
      <c r="AL3353">
        <v>78.619302001473201</v>
      </c>
      <c r="AM3353">
        <v>85.284227602889402</v>
      </c>
      <c r="AN3353">
        <v>1.0000000405081899</v>
      </c>
    </row>
    <row r="3354" spans="1:40" x14ac:dyDescent="0.25">
      <c r="A3354" t="str">
        <f>"20190303171043471"</f>
        <v>20190303171043471</v>
      </c>
      <c r="B3354" t="str">
        <f>"1551604243464115"</f>
        <v>1551604243464115</v>
      </c>
      <c r="C3354" t="s">
        <v>40</v>
      </c>
      <c r="D3354">
        <v>5.12758</v>
      </c>
      <c r="E3354">
        <v>0.41057909999999997</v>
      </c>
      <c r="F3354" t="s">
        <v>85</v>
      </c>
      <c r="G3354">
        <v>-169.08670000000001</v>
      </c>
      <c r="H3354">
        <v>14.211329999999901</v>
      </c>
      <c r="I3354">
        <v>39.592019999999998</v>
      </c>
      <c r="J3354">
        <v>-187.17760000000001</v>
      </c>
      <c r="K3354">
        <v>1.1222799999999999</v>
      </c>
      <c r="L3354">
        <v>179.779</v>
      </c>
      <c r="M3354">
        <v>-2.5414320000000001E-2</v>
      </c>
      <c r="N3354">
        <v>-1.367529E-2</v>
      </c>
      <c r="O3354">
        <v>-0.99958369999999996</v>
      </c>
      <c r="P3354">
        <v>-0.1059783</v>
      </c>
      <c r="Q3354">
        <v>0.18384439999999999</v>
      </c>
      <c r="R3354">
        <v>-0.97722580000000003</v>
      </c>
      <c r="S3354">
        <v>0.39424130000000002</v>
      </c>
      <c r="T3354">
        <v>0.2853</v>
      </c>
      <c r="U3354">
        <v>-3.0595400000000001</v>
      </c>
      <c r="V3354">
        <v>8.0578049999999998E-2</v>
      </c>
      <c r="W3354">
        <v>0.19744020000000001</v>
      </c>
      <c r="X3354">
        <v>0.97699769999999997</v>
      </c>
      <c r="Y3354">
        <v>-0.15233450000000001</v>
      </c>
      <c r="Z3354">
        <v>-0.1055127</v>
      </c>
      <c r="AA3354">
        <v>0.98268069999999996</v>
      </c>
      <c r="AB3354">
        <v>31</v>
      </c>
      <c r="AC3354">
        <v>18.090900000000001</v>
      </c>
      <c r="AD3354">
        <v>13.08905</v>
      </c>
      <c r="AE3354">
        <v>-140.18698000000001</v>
      </c>
      <c r="AF3354">
        <v>-21.464092760508201</v>
      </c>
      <c r="AG3354">
        <v>13.08905</v>
      </c>
      <c r="AH3354">
        <v>138.49430912428099</v>
      </c>
      <c r="AI3354">
        <v>84.664356844571799</v>
      </c>
      <c r="AJ3354">
        <v>98.809712823918801</v>
      </c>
      <c r="AK3354">
        <v>140.757607850325</v>
      </c>
      <c r="AL3354">
        <v>78.612691106911399</v>
      </c>
      <c r="AM3354">
        <v>85.285191886640007</v>
      </c>
      <c r="AN3354">
        <v>0.999999980261566</v>
      </c>
    </row>
    <row r="3355" spans="1:40" x14ac:dyDescent="0.25">
      <c r="A3355" t="str">
        <f>"20190303171043489"</f>
        <v>20190303171043489</v>
      </c>
      <c r="B3355" t="str">
        <f>"1551604243484611"</f>
        <v>1551604243484611</v>
      </c>
      <c r="C3355" t="s">
        <v>40</v>
      </c>
      <c r="D3355">
        <v>5.0902750000000001</v>
      </c>
      <c r="E3355">
        <v>0.40966910000000001</v>
      </c>
      <c r="F3355" t="s">
        <v>85</v>
      </c>
      <c r="G3355">
        <v>-169.0865</v>
      </c>
      <c r="H3355">
        <v>13.75976</v>
      </c>
      <c r="I3355">
        <v>44.031770000000002</v>
      </c>
      <c r="J3355">
        <v>-187.1825</v>
      </c>
      <c r="K3355">
        <v>1.1222829999999999</v>
      </c>
      <c r="L3355">
        <v>179.54499999999999</v>
      </c>
      <c r="M3355">
        <v>-2.4409799999999999E-2</v>
      </c>
      <c r="N3355">
        <v>-1.3673569999999999E-2</v>
      </c>
      <c r="O3355">
        <v>-0.99960879999999996</v>
      </c>
      <c r="P3355">
        <v>-0.10510419999999999</v>
      </c>
      <c r="Q3355">
        <v>0.18326999999999999</v>
      </c>
      <c r="R3355">
        <v>-0.97742799999999996</v>
      </c>
      <c r="S3355">
        <v>0.40788269999999999</v>
      </c>
      <c r="T3355">
        <v>0.28492509999999999</v>
      </c>
      <c r="U3355">
        <v>-3.060562</v>
      </c>
      <c r="V3355">
        <v>8.0685740000000006E-2</v>
      </c>
      <c r="W3355">
        <v>0.19686519999999999</v>
      </c>
      <c r="X3355">
        <v>0.9771048</v>
      </c>
      <c r="Y3355">
        <v>-0.15560929999999901</v>
      </c>
      <c r="Z3355">
        <v>-0.1053149</v>
      </c>
      <c r="AA3355">
        <v>0.98218859999999997</v>
      </c>
      <c r="AB3355">
        <v>31</v>
      </c>
      <c r="AC3355">
        <v>18.096</v>
      </c>
      <c r="AD3355">
        <v>12.637477000000001</v>
      </c>
      <c r="AE3355">
        <v>-135.51322999999999</v>
      </c>
      <c r="AF3355">
        <v>-21.217475778521599</v>
      </c>
      <c r="AG3355">
        <v>12.637477000000001</v>
      </c>
      <c r="AH3355">
        <v>133.88709951159601</v>
      </c>
      <c r="AI3355">
        <v>84.673955075483306</v>
      </c>
      <c r="AJ3355">
        <v>99.0049437851183</v>
      </c>
      <c r="AK3355">
        <v>136.14566654493899</v>
      </c>
      <c r="AL3355">
        <v>78.646295316691607</v>
      </c>
      <c r="AM3355">
        <v>85.279434296074101</v>
      </c>
      <c r="AN3355">
        <v>0.99999994289671201</v>
      </c>
    </row>
    <row r="3356" spans="1:40" x14ac:dyDescent="0.25">
      <c r="A3356" t="str">
        <f>"20190303171043502"</f>
        <v>20190303171043502</v>
      </c>
      <c r="B3356" t="str">
        <f>"1551604243494371"</f>
        <v>1551604243494371</v>
      </c>
      <c r="C3356" t="s">
        <v>40</v>
      </c>
      <c r="D3356">
        <v>5.1069779999999998</v>
      </c>
      <c r="E3356">
        <v>0.40894320000000001</v>
      </c>
      <c r="F3356" t="s">
        <v>85</v>
      </c>
      <c r="G3356">
        <v>-169.0573</v>
      </c>
      <c r="H3356">
        <v>13.28265</v>
      </c>
      <c r="I3356">
        <v>46.64141</v>
      </c>
      <c r="J3356">
        <v>-187.18610000000001</v>
      </c>
      <c r="K3356">
        <v>1.1222810000000001</v>
      </c>
      <c r="L3356">
        <v>179.36590000000001</v>
      </c>
      <c r="M3356">
        <v>-2.3641229999999999E-2</v>
      </c>
      <c r="N3356">
        <v>-1.367228E-2</v>
      </c>
      <c r="O3356">
        <v>-0.9996273</v>
      </c>
      <c r="P3356">
        <v>-0.1044481</v>
      </c>
      <c r="Q3356">
        <v>0.18328559999999999</v>
      </c>
      <c r="R3356">
        <v>-0.97749549999999996</v>
      </c>
      <c r="S3356">
        <v>0.41754150000000001</v>
      </c>
      <c r="T3356">
        <v>0.28013209999999999</v>
      </c>
      <c r="U3356">
        <v>-3.0616300000000001</v>
      </c>
      <c r="V3356">
        <v>8.0781919999999993E-2</v>
      </c>
      <c r="W3356">
        <v>0.19687969999999999</v>
      </c>
      <c r="X3356">
        <v>0.97709400000000002</v>
      </c>
      <c r="Y3356">
        <v>-0.15787000000000001</v>
      </c>
      <c r="Z3356">
        <v>-0.1037226</v>
      </c>
      <c r="AA3356">
        <v>0.98199729999999996</v>
      </c>
      <c r="AB3356">
        <v>31</v>
      </c>
      <c r="AC3356">
        <v>18.128799999999998</v>
      </c>
      <c r="AD3356">
        <v>12.160368999999999</v>
      </c>
      <c r="AE3356">
        <v>-132.72449</v>
      </c>
      <c r="AF3356">
        <v>-21.088015019037901</v>
      </c>
      <c r="AG3356">
        <v>12.160368999999999</v>
      </c>
      <c r="AH3356">
        <v>131.177765326349</v>
      </c>
      <c r="AI3356">
        <v>84.770498616261804</v>
      </c>
      <c r="AJ3356">
        <v>99.132677578182296</v>
      </c>
      <c r="AK3356">
        <v>133.417334209892</v>
      </c>
      <c r="AL3356">
        <v>78.645448714376698</v>
      </c>
      <c r="AM3356">
        <v>85.273780702309494</v>
      </c>
      <c r="AN3356">
        <v>1.00000000985348</v>
      </c>
    </row>
    <row r="3357" spans="1:40" x14ac:dyDescent="0.25">
      <c r="A3357" t="str">
        <f>"20190303171043513"</f>
        <v>20190303171043513</v>
      </c>
      <c r="B3357" t="str">
        <f>"1551604243504131"</f>
        <v>1551604243504131</v>
      </c>
      <c r="C3357" t="s">
        <v>40</v>
      </c>
      <c r="D3357">
        <v>5.1105150000000004</v>
      </c>
      <c r="E3357">
        <v>0.40840549999999998</v>
      </c>
      <c r="F3357" t="s">
        <v>85</v>
      </c>
      <c r="G3357">
        <v>-168.75210000000001</v>
      </c>
      <c r="H3357">
        <v>13.1599</v>
      </c>
      <c r="I3357">
        <v>46.64141</v>
      </c>
      <c r="J3357">
        <v>-187.18950000000001</v>
      </c>
      <c r="K3357">
        <v>1.122282</v>
      </c>
      <c r="L3357">
        <v>179.1944</v>
      </c>
      <c r="M3357">
        <v>-2.2904549999999999E-2</v>
      </c>
      <c r="N3357">
        <v>-1.3671060000000001E-2</v>
      </c>
      <c r="O3357">
        <v>-0.99964419999999998</v>
      </c>
      <c r="P3357">
        <v>-0.1039345</v>
      </c>
      <c r="Q3357">
        <v>0.18343010000000001</v>
      </c>
      <c r="R3357">
        <v>-0.97752300000000003</v>
      </c>
      <c r="S3357">
        <v>0.42533870000000001</v>
      </c>
      <c r="T3357">
        <v>0.27775179999999999</v>
      </c>
      <c r="U3357">
        <v>-3.0624389999999999</v>
      </c>
      <c r="V3357">
        <v>8.0989870000000005E-2</v>
      </c>
      <c r="W3357">
        <v>0.1970228</v>
      </c>
      <c r="X3357">
        <v>0.97704789999999997</v>
      </c>
      <c r="Y3357">
        <v>-0.15957279999999999</v>
      </c>
      <c r="Z3357">
        <v>-0.1029144</v>
      </c>
      <c r="AA3357">
        <v>0.98180710000000004</v>
      </c>
      <c r="AB3357">
        <v>31</v>
      </c>
      <c r="AC3357">
        <v>18.4374</v>
      </c>
      <c r="AD3357">
        <v>12.037618</v>
      </c>
      <c r="AE3357">
        <v>-132.55298999999999</v>
      </c>
      <c r="AF3357">
        <v>-21.2966104208964</v>
      </c>
      <c r="AG3357">
        <v>12.037618</v>
      </c>
      <c r="AH3357">
        <v>131.03571378364001</v>
      </c>
      <c r="AI3357">
        <v>84.818850896144596</v>
      </c>
      <c r="AJ3357">
        <v>99.231295003919499</v>
      </c>
      <c r="AK3357">
        <v>133.299692982848</v>
      </c>
      <c r="AL3357">
        <v>78.637085438745999</v>
      </c>
      <c r="AM3357">
        <v>85.261447174542894</v>
      </c>
      <c r="AN3357">
        <v>0.99999997082843295</v>
      </c>
    </row>
    <row r="3358" spans="1:40" x14ac:dyDescent="0.25">
      <c r="A3358" t="str">
        <f>"20190303171043526"</f>
        <v>20190303171043526</v>
      </c>
      <c r="B3358" t="str">
        <f>"1551604243513891"</f>
        <v>1551604243513891</v>
      </c>
      <c r="C3358" t="s">
        <v>40</v>
      </c>
      <c r="D3358">
        <v>5.1137759999999997</v>
      </c>
      <c r="E3358">
        <v>0.40793960000000001</v>
      </c>
      <c r="F3358" t="s">
        <v>85</v>
      </c>
      <c r="G3358">
        <v>-169.08619999999999</v>
      </c>
      <c r="H3358">
        <v>12.72893</v>
      </c>
      <c r="I3358">
        <v>50.660350000000001</v>
      </c>
      <c r="J3358">
        <v>-187.19239999999999</v>
      </c>
      <c r="K3358">
        <v>1.122282</v>
      </c>
      <c r="L3358">
        <v>179.0343</v>
      </c>
      <c r="M3358">
        <v>-2.2217110000000002E-2</v>
      </c>
      <c r="N3358">
        <v>-1.366996E-2</v>
      </c>
      <c r="O3358">
        <v>-0.99965999999999999</v>
      </c>
      <c r="P3358">
        <v>-0.1035784</v>
      </c>
      <c r="Q3358">
        <v>0.18359780000000001</v>
      </c>
      <c r="R3358">
        <v>-0.97752939999999999</v>
      </c>
      <c r="S3358">
        <v>0.43139650000000002</v>
      </c>
      <c r="T3358">
        <v>0.27658440000000001</v>
      </c>
      <c r="U3358">
        <v>-3.0629430000000002</v>
      </c>
      <c r="V3358">
        <v>8.1307400000000002E-2</v>
      </c>
      <c r="W3358">
        <v>0.19718869999999999</v>
      </c>
      <c r="X3358">
        <v>0.97698810000000003</v>
      </c>
      <c r="Y3358">
        <v>-0.16078249999999999</v>
      </c>
      <c r="Z3358">
        <v>-0.10250819999999999</v>
      </c>
      <c r="AA3358">
        <v>0.98165219999999997</v>
      </c>
      <c r="AB3358">
        <v>31</v>
      </c>
      <c r="AC3358">
        <v>18.106200000000001</v>
      </c>
      <c r="AD3358">
        <v>11.606648</v>
      </c>
      <c r="AE3358">
        <v>-128.37395000000001</v>
      </c>
      <c r="AF3358">
        <v>-20.787481556408</v>
      </c>
      <c r="AG3358">
        <v>11.606648</v>
      </c>
      <c r="AH3358">
        <v>126.92266352469299</v>
      </c>
      <c r="AI3358">
        <v>84.843352909828695</v>
      </c>
      <c r="AJ3358">
        <v>99.3013621193506</v>
      </c>
      <c r="AK3358">
        <v>129.13634725922901</v>
      </c>
      <c r="AL3358">
        <v>78.627390338964005</v>
      </c>
      <c r="AM3358">
        <v>85.2426643972059</v>
      </c>
      <c r="AN3358">
        <v>1.00000001212203</v>
      </c>
    </row>
    <row r="3359" spans="1:40" x14ac:dyDescent="0.25">
      <c r="A3359" t="str">
        <f>"20190303171043545"</f>
        <v>20190303171043545</v>
      </c>
      <c r="B3359" t="str">
        <f>"1551604243534387"</f>
        <v>1551604243534387</v>
      </c>
      <c r="C3359" t="s">
        <v>40</v>
      </c>
      <c r="D3359">
        <v>5.1609150000000001</v>
      </c>
      <c r="E3359">
        <v>0.40715770000000001</v>
      </c>
      <c r="F3359" t="s">
        <v>85</v>
      </c>
      <c r="G3359">
        <v>-169.08619999999999</v>
      </c>
      <c r="H3359">
        <v>12.544409999999999</v>
      </c>
      <c r="I3359">
        <v>51.965510000000002</v>
      </c>
      <c r="J3359">
        <v>-187.1969</v>
      </c>
      <c r="K3359">
        <v>1.1222840000000001</v>
      </c>
      <c r="L3359">
        <v>178.7783</v>
      </c>
      <c r="M3359">
        <v>-2.1117799999999999E-2</v>
      </c>
      <c r="N3359">
        <v>-1.366823E-2</v>
      </c>
      <c r="O3359">
        <v>-0.99968369999999995</v>
      </c>
      <c r="P3359">
        <v>-0.1028897</v>
      </c>
      <c r="Q3359">
        <v>0.18425929999999999</v>
      </c>
      <c r="R3359">
        <v>-0.97747759999999995</v>
      </c>
      <c r="S3359">
        <v>0.43652340000000001</v>
      </c>
      <c r="T3359">
        <v>0.27537660000000003</v>
      </c>
      <c r="U3359">
        <v>-3.063507</v>
      </c>
      <c r="V3359">
        <v>8.1696069999999996E-2</v>
      </c>
      <c r="W3359">
        <v>0.1978473</v>
      </c>
      <c r="X3359">
        <v>0.97682250000000004</v>
      </c>
      <c r="Y3359">
        <v>-0.1612886</v>
      </c>
      <c r="Z3359">
        <v>-0.1020943</v>
      </c>
      <c r="AA3359">
        <v>0.98161229999999999</v>
      </c>
      <c r="AB3359">
        <v>31</v>
      </c>
      <c r="AC3359">
        <v>18.110700000000001</v>
      </c>
      <c r="AD3359">
        <v>11.422125999999899</v>
      </c>
      <c r="AE3359">
        <v>-126.812789999999</v>
      </c>
      <c r="AF3359">
        <v>-20.620968657608898</v>
      </c>
      <c r="AG3359">
        <v>11.422125999999899</v>
      </c>
      <c r="AH3359">
        <v>125.404968179268</v>
      </c>
      <c r="AI3359">
        <v>84.864341602273996</v>
      </c>
      <c r="AJ3359">
        <v>99.337869304291502</v>
      </c>
      <c r="AK3359">
        <v>127.601314079367</v>
      </c>
      <c r="AL3359">
        <v>78.588896841832806</v>
      </c>
      <c r="AM3359">
        <v>85.219221659636304</v>
      </c>
      <c r="AN3359">
        <v>0.99999999923849203</v>
      </c>
    </row>
    <row r="3360" spans="1:40" x14ac:dyDescent="0.25">
      <c r="A3360" t="str">
        <f>"20190303171043569"</f>
        <v>20190303171043569</v>
      </c>
      <c r="B3360" t="str">
        <f>"1551604243564643"</f>
        <v>1551604243564643</v>
      </c>
      <c r="C3360" t="s">
        <v>40</v>
      </c>
      <c r="D3360">
        <v>5.1276919999999997</v>
      </c>
      <c r="E3360">
        <v>0.4063679</v>
      </c>
      <c r="F3360" t="s">
        <v>85</v>
      </c>
      <c r="G3360">
        <v>-168.87780000000001</v>
      </c>
      <c r="H3360">
        <v>12.5609</v>
      </c>
      <c r="I3360">
        <v>52.638829999999999</v>
      </c>
      <c r="J3360">
        <v>-187.20240000000001</v>
      </c>
      <c r="K3360">
        <v>1.1222840000000001</v>
      </c>
      <c r="L3360">
        <v>178.4451</v>
      </c>
      <c r="M3360">
        <v>-1.9686579999999999E-2</v>
      </c>
      <c r="N3360">
        <v>-1.3666019999999999E-2</v>
      </c>
      <c r="O3360">
        <v>-0.99971299999999996</v>
      </c>
      <c r="P3360">
        <v>-0.1013884</v>
      </c>
      <c r="Q3360">
        <v>0.18392800000000001</v>
      </c>
      <c r="R3360">
        <v>-0.97769700000000004</v>
      </c>
      <c r="S3360">
        <v>0.44491579999999997</v>
      </c>
      <c r="T3360">
        <v>0.27781009999999901</v>
      </c>
      <c r="U3360">
        <v>-3.0635530000000002</v>
      </c>
      <c r="V3360">
        <v>8.1594680000000003E-2</v>
      </c>
      <c r="W3360">
        <v>0.1975141</v>
      </c>
      <c r="X3360">
        <v>0.97689839999999994</v>
      </c>
      <c r="Y3360">
        <v>-0.16249859999999999</v>
      </c>
      <c r="Z3360">
        <v>-0.10284219999999999</v>
      </c>
      <c r="AA3360">
        <v>0.98133459999999995</v>
      </c>
      <c r="AB3360">
        <v>31</v>
      </c>
      <c r="AC3360">
        <v>18.3246</v>
      </c>
      <c r="AD3360">
        <v>11.438616</v>
      </c>
      <c r="AE3360">
        <v>-125.806269999999</v>
      </c>
      <c r="AF3360">
        <v>-20.630963355956599</v>
      </c>
      <c r="AG3360">
        <v>11.438616</v>
      </c>
      <c r="AH3360">
        <v>124.413952659784</v>
      </c>
      <c r="AI3360">
        <v>84.817374615871501</v>
      </c>
      <c r="AJ3360">
        <v>99.415404025699701</v>
      </c>
      <c r="AK3360">
        <v>126.630605310964</v>
      </c>
      <c r="AL3360">
        <v>78.608372094005802</v>
      </c>
      <c r="AM3360">
        <v>85.225496726444206</v>
      </c>
      <c r="AN3360">
        <v>0.99999999771283599</v>
      </c>
    </row>
    <row r="3361" spans="1:40" x14ac:dyDescent="0.25">
      <c r="A3361" t="str">
        <f>"20190303171043590"</f>
        <v>20190303171043590</v>
      </c>
      <c r="B3361" t="str">
        <f>"1551604243584163"</f>
        <v>1551604243584163</v>
      </c>
      <c r="C3361" t="s">
        <v>40</v>
      </c>
      <c r="D3361">
        <v>5.1356840000000004</v>
      </c>
      <c r="E3361">
        <v>0.40577210000000002</v>
      </c>
      <c r="F3361" t="s">
        <v>85</v>
      </c>
      <c r="G3361">
        <v>-168.4744</v>
      </c>
      <c r="H3361">
        <v>12.46123</v>
      </c>
      <c r="I3361">
        <v>52.638840000000002</v>
      </c>
      <c r="J3361">
        <v>-187.20689999999999</v>
      </c>
      <c r="K3361">
        <v>1.1222730000000001</v>
      </c>
      <c r="L3361">
        <v>178.14410000000001</v>
      </c>
      <c r="M3361">
        <v>-1.8393219999999998E-2</v>
      </c>
      <c r="N3361">
        <v>-1.3663959999999999E-2</v>
      </c>
      <c r="O3361">
        <v>-0.9997376</v>
      </c>
      <c r="P3361">
        <v>-9.9556240000000004E-2</v>
      </c>
      <c r="Q3361">
        <v>0.18284410000000001</v>
      </c>
      <c r="R3361">
        <v>-0.97808839999999997</v>
      </c>
      <c r="S3361">
        <v>0.45608520000000002</v>
      </c>
      <c r="T3361">
        <v>0.27613910000000003</v>
      </c>
      <c r="U3361">
        <v>-3.0637819999999998</v>
      </c>
      <c r="V3361">
        <v>8.1026490000000007E-2</v>
      </c>
      <c r="W3361">
        <v>0.19642989999999999</v>
      </c>
      <c r="X3361">
        <v>0.97716429999999999</v>
      </c>
      <c r="Y3361">
        <v>-0.1647226</v>
      </c>
      <c r="Z3361">
        <v>-0.1022648</v>
      </c>
      <c r="AA3361">
        <v>0.98102409999999995</v>
      </c>
      <c r="AB3361">
        <v>31</v>
      </c>
      <c r="AC3361">
        <v>18.732499999999899</v>
      </c>
      <c r="AD3361">
        <v>11.338957000000001</v>
      </c>
      <c r="AE3361">
        <v>-125.50526000000001</v>
      </c>
      <c r="AF3361">
        <v>-20.871342040035401</v>
      </c>
      <c r="AG3361">
        <v>11.338957000000001</v>
      </c>
      <c r="AH3361">
        <v>124.148166958795</v>
      </c>
      <c r="AI3361">
        <v>84.853251048688804</v>
      </c>
      <c r="AJ3361">
        <v>99.543121414291093</v>
      </c>
      <c r="AK3361">
        <v>126.39996923903399</v>
      </c>
      <c r="AL3361">
        <v>78.671733897820701</v>
      </c>
      <c r="AM3361">
        <v>85.259876513819606</v>
      </c>
      <c r="AN3361">
        <v>1.0000000334451</v>
      </c>
    </row>
    <row r="3362" spans="1:40" x14ac:dyDescent="0.25">
      <c r="A3362" t="str">
        <f>"20190303171043604"</f>
        <v>20190303171043604</v>
      </c>
      <c r="B3362" t="str">
        <f>"1551604243593923"</f>
        <v>1551604243593923</v>
      </c>
      <c r="C3362" t="s">
        <v>40</v>
      </c>
      <c r="D3362">
        <v>5.1367289999999999</v>
      </c>
      <c r="E3362">
        <v>0.40553610000000001</v>
      </c>
      <c r="F3362" t="s">
        <v>85</v>
      </c>
      <c r="G3362">
        <v>-168.10720000000001</v>
      </c>
      <c r="H3362">
        <v>12.217000000000001</v>
      </c>
      <c r="I3362">
        <v>52.638840000000002</v>
      </c>
      <c r="J3362">
        <v>-187.20949999999999</v>
      </c>
      <c r="K3362">
        <v>1.1222700000000001</v>
      </c>
      <c r="L3362">
        <v>177.95840000000001</v>
      </c>
      <c r="M3362">
        <v>-1.759527E-2</v>
      </c>
      <c r="N3362">
        <v>-1.366273E-2</v>
      </c>
      <c r="O3362">
        <v>-0.99975199999999997</v>
      </c>
      <c r="P3362">
        <v>-9.8667729999999995E-2</v>
      </c>
      <c r="Q3362">
        <v>0.18215139999999999</v>
      </c>
      <c r="R3362">
        <v>-0.97830790000000001</v>
      </c>
      <c r="S3362">
        <v>0.46629330000000002</v>
      </c>
      <c r="T3362">
        <v>0.27086280000000001</v>
      </c>
      <c r="U3362">
        <v>-3.064041</v>
      </c>
      <c r="V3362">
        <v>8.0918580000000004E-2</v>
      </c>
      <c r="W3362">
        <v>0.19573750000000001</v>
      </c>
      <c r="X3362">
        <v>0.97731210000000002</v>
      </c>
      <c r="Y3362">
        <v>-0.1671446</v>
      </c>
      <c r="Z3362">
        <v>-0.1005403</v>
      </c>
      <c r="AA3362">
        <v>0.98079269999999996</v>
      </c>
      <c r="AB3362">
        <v>31</v>
      </c>
      <c r="AC3362">
        <v>19.1022999999999</v>
      </c>
      <c r="AD3362">
        <v>11.09473</v>
      </c>
      <c r="AE3362">
        <v>-125.31956</v>
      </c>
      <c r="AF3362">
        <v>-21.142629730370299</v>
      </c>
      <c r="AG3362">
        <v>11.09473</v>
      </c>
      <c r="AH3362">
        <v>124.01408441743099</v>
      </c>
      <c r="AI3362">
        <v>84.960067480826098</v>
      </c>
      <c r="AJ3362">
        <v>99.675090828889196</v>
      </c>
      <c r="AK3362">
        <v>126.291713740776</v>
      </c>
      <c r="AL3362">
        <v>78.712190076037203</v>
      </c>
      <c r="AM3362">
        <v>85.266873289749995</v>
      </c>
      <c r="AN3362">
        <v>0.99999996315093698</v>
      </c>
    </row>
    <row r="3363" spans="1:40" x14ac:dyDescent="0.25">
      <c r="A3363" t="str">
        <f>"20190303171043620"</f>
        <v>20190303171043620</v>
      </c>
      <c r="B3363" t="str">
        <f>"1551604243614419"</f>
        <v>1551604243614419</v>
      </c>
      <c r="C3363" t="s">
        <v>40</v>
      </c>
      <c r="D3363">
        <v>5.2462879999999998</v>
      </c>
      <c r="E3363">
        <v>0.39863700000000002</v>
      </c>
      <c r="F3363" t="s">
        <v>85</v>
      </c>
      <c r="G3363">
        <v>-167.95779999999999</v>
      </c>
      <c r="H3363">
        <v>12.06738</v>
      </c>
      <c r="I3363">
        <v>52.638840000000002</v>
      </c>
      <c r="J3363">
        <v>-187.2122</v>
      </c>
      <c r="K3363">
        <v>1.1222749999999999</v>
      </c>
      <c r="L3363">
        <v>177.75069999999999</v>
      </c>
      <c r="M3363">
        <v>-1.670259E-2</v>
      </c>
      <c r="N3363">
        <v>-1.3661410000000001E-2</v>
      </c>
      <c r="O3363">
        <v>-0.99976730000000003</v>
      </c>
      <c r="P3363">
        <v>-9.7692319999999999E-2</v>
      </c>
      <c r="Q3363">
        <v>0.18176580000000001</v>
      </c>
      <c r="R3363">
        <v>-0.97847709999999999</v>
      </c>
      <c r="S3363">
        <v>0.47071839999999998</v>
      </c>
      <c r="T3363">
        <v>0.26761659999999998</v>
      </c>
      <c r="U3363">
        <v>-3.0641630000000002</v>
      </c>
      <c r="V3363">
        <v>8.0816990000000005E-2</v>
      </c>
      <c r="W3363">
        <v>0.19535159999999999</v>
      </c>
      <c r="X3363">
        <v>0.97739770000000004</v>
      </c>
      <c r="Y3363">
        <v>-0.16765759999999999</v>
      </c>
      <c r="Z3363">
        <v>-9.9491369999999996E-2</v>
      </c>
      <c r="AA3363">
        <v>0.98081209999999996</v>
      </c>
      <c r="AB3363">
        <v>31</v>
      </c>
      <c r="AC3363">
        <v>19.2544</v>
      </c>
      <c r="AD3363">
        <v>10.945105</v>
      </c>
      <c r="AE3363">
        <v>-125.11185999999999</v>
      </c>
      <c r="AF3363">
        <v>-21.183231825511498</v>
      </c>
      <c r="AG3363">
        <v>10.945105</v>
      </c>
      <c r="AH3363">
        <v>123.846880283364</v>
      </c>
      <c r="AI3363">
        <v>85.021472951095006</v>
      </c>
      <c r="AJ3363">
        <v>99.706156647364097</v>
      </c>
      <c r="AK3363">
        <v>126.12126858684999</v>
      </c>
      <c r="AL3363">
        <v>78.734735602412798</v>
      </c>
      <c r="AM3363">
        <v>85.273200722845203</v>
      </c>
      <c r="AN3363">
        <v>0.999999948730253</v>
      </c>
    </row>
    <row r="3364" spans="1:40" x14ac:dyDescent="0.25">
      <c r="A3364" t="str">
        <f>"20190303171043634"</f>
        <v>20190303171043634</v>
      </c>
      <c r="B3364" t="str">
        <f>"1551604243624180"</f>
        <v>1551604243624180</v>
      </c>
      <c r="C3364" t="s">
        <v>40</v>
      </c>
      <c r="D3364">
        <v>5.1983680000000003</v>
      </c>
      <c r="E3364">
        <v>0.39891130000000002</v>
      </c>
      <c r="F3364" t="s">
        <v>42</v>
      </c>
      <c r="G3364">
        <v>-175.01</v>
      </c>
      <c r="H3364">
        <v>7.9986500000000002E-2</v>
      </c>
      <c r="I3364">
        <v>107.7758</v>
      </c>
      <c r="J3364">
        <v>-187.2149</v>
      </c>
      <c r="K3364">
        <v>1.122277</v>
      </c>
      <c r="L3364">
        <v>177.5333</v>
      </c>
      <c r="M3364">
        <v>-1.5768319999999999E-2</v>
      </c>
      <c r="N3364">
        <v>-1.366004E-2</v>
      </c>
      <c r="O3364">
        <v>-0.99978259999999997</v>
      </c>
      <c r="P3364">
        <v>-9.6488190000000001E-2</v>
      </c>
      <c r="Q3364">
        <v>0.18227930000000001</v>
      </c>
      <c r="R3364">
        <v>-0.97850139999999997</v>
      </c>
      <c r="S3364">
        <v>0.54565430000000004</v>
      </c>
      <c r="T3364">
        <v>-4.6608570000000002E-2</v>
      </c>
      <c r="U3364">
        <v>-3.129105</v>
      </c>
      <c r="V3364">
        <v>8.0527669999999996E-2</v>
      </c>
      <c r="W3364">
        <v>0.19586139999999999</v>
      </c>
      <c r="X3364">
        <v>0.97731959999999996</v>
      </c>
      <c r="Y3364">
        <v>-0.18726590000000001</v>
      </c>
      <c r="Z3364">
        <v>9.6994270000000003E-4</v>
      </c>
      <c r="AA3364">
        <v>0.98230879999999998</v>
      </c>
      <c r="AB3364">
        <v>31</v>
      </c>
      <c r="AC3364">
        <v>12.2049</v>
      </c>
      <c r="AD3364">
        <v>-1.0422905</v>
      </c>
      <c r="AE3364">
        <v>-69.757499999999993</v>
      </c>
      <c r="AF3364">
        <v>-13.300562083422699</v>
      </c>
      <c r="AG3364">
        <v>-1.0422905</v>
      </c>
      <c r="AH3364">
        <v>69.5412928075107</v>
      </c>
      <c r="AI3364">
        <v>90.843404044396706</v>
      </c>
      <c r="AJ3364">
        <v>100.82770333790501</v>
      </c>
      <c r="AK3364">
        <v>70.809481897280605</v>
      </c>
      <c r="AL3364">
        <v>78.704951397447303</v>
      </c>
      <c r="AM3364">
        <v>85.289671426459407</v>
      </c>
      <c r="AN3364">
        <v>0.99999999709487397</v>
      </c>
    </row>
    <row r="3365" spans="1:40" x14ac:dyDescent="0.25">
      <c r="A3365" t="str">
        <f>"20190303171043657"</f>
        <v>20190303171043657</v>
      </c>
      <c r="B3365" t="str">
        <f>"1551604243644676"</f>
        <v>1551604243644676</v>
      </c>
      <c r="C3365" t="s">
        <v>40</v>
      </c>
      <c r="D3365">
        <v>5.2134150000000004</v>
      </c>
      <c r="E3365">
        <v>0.39882960000000001</v>
      </c>
      <c r="F3365" t="s">
        <v>41</v>
      </c>
      <c r="G3365">
        <v>-172.81950000000001</v>
      </c>
      <c r="H3365">
        <v>-0.05</v>
      </c>
      <c r="I3365">
        <v>95.202619999999996</v>
      </c>
      <c r="J3365">
        <v>-187.2183</v>
      </c>
      <c r="K3365">
        <v>1.1222799999999999</v>
      </c>
      <c r="L3365">
        <v>177.23339999999999</v>
      </c>
      <c r="M3365">
        <v>-1.4479489999999999E-2</v>
      </c>
      <c r="N3365">
        <v>-1.3658170000000001E-2</v>
      </c>
      <c r="O3365">
        <v>-0.99980210000000003</v>
      </c>
      <c r="P3365">
        <v>-9.5738299999999998E-2</v>
      </c>
      <c r="Q3365">
        <v>0.1842376</v>
      </c>
      <c r="R3365">
        <v>-0.97820819999999997</v>
      </c>
      <c r="S3365">
        <v>0.54695130000000003</v>
      </c>
      <c r="T3365">
        <v>-4.454052E-2</v>
      </c>
      <c r="U3365">
        <v>-3.1281430000000001</v>
      </c>
      <c r="V3365">
        <v>8.1040920000000002E-2</v>
      </c>
      <c r="W3365">
        <v>0.19781319999999999</v>
      </c>
      <c r="X3365">
        <v>0.97688390000000003</v>
      </c>
      <c r="Y3365">
        <v>-0.186447</v>
      </c>
      <c r="Z3365">
        <v>3.2865269999999999E-4</v>
      </c>
      <c r="AA3365">
        <v>0.98246500000000003</v>
      </c>
      <c r="AB3365">
        <v>31</v>
      </c>
      <c r="AC3365">
        <v>14.3987999999999</v>
      </c>
      <c r="AD3365">
        <v>-1.17228</v>
      </c>
      <c r="AE3365">
        <v>-82.030779999999993</v>
      </c>
      <c r="AF3365">
        <v>-15.5820775092969</v>
      </c>
      <c r="AG3365">
        <v>-1.17228</v>
      </c>
      <c r="AH3365">
        <v>81.797466373520294</v>
      </c>
      <c r="AI3365">
        <v>90.806575585355802</v>
      </c>
      <c r="AJ3365">
        <v>100.785384581055</v>
      </c>
      <c r="AK3365">
        <v>83.276652700689894</v>
      </c>
      <c r="AL3365">
        <v>78.590889144151106</v>
      </c>
      <c r="AM3365">
        <v>85.257681575804796</v>
      </c>
      <c r="AN3365">
        <v>0.99999992344394495</v>
      </c>
    </row>
    <row r="3366" spans="1:40" x14ac:dyDescent="0.25">
      <c r="A3366" t="str">
        <f>"20190303171043671"</f>
        <v>20190303171043671</v>
      </c>
      <c r="B3366" t="str">
        <f>"1551604243664195"</f>
        <v>1551604243664195</v>
      </c>
      <c r="C3366" t="s">
        <v>40</v>
      </c>
      <c r="D3366">
        <v>5.1686569999999996</v>
      </c>
      <c r="E3366">
        <v>0.4009509</v>
      </c>
      <c r="F3366" t="s">
        <v>41</v>
      </c>
      <c r="G3366">
        <v>-170.0352</v>
      </c>
      <c r="H3366">
        <v>-0.05</v>
      </c>
      <c r="I3366">
        <v>79.580919999999907</v>
      </c>
      <c r="J3366">
        <v>-187.22020000000001</v>
      </c>
      <c r="K3366">
        <v>1.122282</v>
      </c>
      <c r="L3366">
        <v>177.04159999999999</v>
      </c>
      <c r="M3366">
        <v>-1.3654879999999999E-2</v>
      </c>
      <c r="N3366">
        <v>-1.3657010000000001E-2</v>
      </c>
      <c r="O3366">
        <v>-0.99981350000000002</v>
      </c>
      <c r="P3366">
        <v>-9.4974169999999997E-2</v>
      </c>
      <c r="Q3366">
        <v>0.18496309999999999</v>
      </c>
      <c r="R3366">
        <v>-0.97814559999999995</v>
      </c>
      <c r="S3366">
        <v>0.55036929999999995</v>
      </c>
      <c r="T3366">
        <v>-3.7547709999999998E-2</v>
      </c>
      <c r="U3366">
        <v>-3.127777</v>
      </c>
      <c r="V3366">
        <v>8.1084210000000004E-2</v>
      </c>
      <c r="W3366">
        <v>0.1985354</v>
      </c>
      <c r="X3366">
        <v>0.97673390000000004</v>
      </c>
      <c r="Y3366">
        <v>-0.18670020000000001</v>
      </c>
      <c r="Z3366">
        <v>-1.867591E-3</v>
      </c>
      <c r="AA3366">
        <v>0.98241509999999999</v>
      </c>
      <c r="AB3366">
        <v>31</v>
      </c>
      <c r="AC3366">
        <v>17.184999999999999</v>
      </c>
      <c r="AD3366">
        <v>-1.172282</v>
      </c>
      <c r="AE3366">
        <v>-97.460679999999996</v>
      </c>
      <c r="AF3366">
        <v>-18.5117380188033</v>
      </c>
      <c r="AG3366">
        <v>-1.172282</v>
      </c>
      <c r="AH3366">
        <v>97.203271625955793</v>
      </c>
      <c r="AI3366">
        <v>90.678761698427493</v>
      </c>
      <c r="AJ3366">
        <v>100.78249425135201</v>
      </c>
      <c r="AK3366">
        <v>98.957236745746201</v>
      </c>
      <c r="AL3366">
        <v>78.548674112371003</v>
      </c>
      <c r="AM3366">
        <v>85.2544345609749</v>
      </c>
      <c r="AN3366">
        <v>1.0000000327868399</v>
      </c>
    </row>
    <row r="3367" spans="1:40" x14ac:dyDescent="0.25">
      <c r="A3367" t="str">
        <f>"20190303171043691"</f>
        <v>20190303171043691</v>
      </c>
      <c r="B3367" t="str">
        <f>"1551604243684691"</f>
        <v>1551604243684691</v>
      </c>
      <c r="C3367" t="s">
        <v>40</v>
      </c>
      <c r="D3367">
        <v>5.1651449999999999</v>
      </c>
      <c r="E3367">
        <v>0.40119670000000002</v>
      </c>
      <c r="F3367" t="s">
        <v>46</v>
      </c>
      <c r="G3367">
        <v>-177.5076</v>
      </c>
      <c r="H3367">
        <v>6.1985530000000004</v>
      </c>
      <c r="I3367">
        <v>119.7073</v>
      </c>
      <c r="J3367">
        <v>-187.2226</v>
      </c>
      <c r="K3367">
        <v>1.1222840000000001</v>
      </c>
      <c r="L3367">
        <v>176.76840000000001</v>
      </c>
      <c r="M3367">
        <v>-1.2480420000000001E-2</v>
      </c>
      <c r="N3367">
        <v>-1.365532E-2</v>
      </c>
      <c r="O3367">
        <v>-0.99982890000000002</v>
      </c>
      <c r="P3367">
        <v>-9.4163200000000002E-2</v>
      </c>
      <c r="Q3367">
        <v>0.18500759999999999</v>
      </c>
      <c r="R3367">
        <v>-0.97821550000000002</v>
      </c>
      <c r="S3367">
        <v>0.51940920000000002</v>
      </c>
      <c r="T3367">
        <v>0.27146940000000003</v>
      </c>
      <c r="U3367">
        <v>-3.0661320000000001</v>
      </c>
      <c r="V3367">
        <v>8.1423449999999994E-2</v>
      </c>
      <c r="W3367">
        <v>0.19857830000000001</v>
      </c>
      <c r="X3367">
        <v>0.97669689999999998</v>
      </c>
      <c r="Y3367">
        <v>-0.17855960000000001</v>
      </c>
      <c r="Z3367">
        <v>-0.1004684</v>
      </c>
      <c r="AA3367">
        <v>0.9787863</v>
      </c>
      <c r="AB3367">
        <v>31</v>
      </c>
      <c r="AC3367">
        <v>9.7149999999999999</v>
      </c>
      <c r="AD3367">
        <v>5.0762689999999999</v>
      </c>
      <c r="AE3367">
        <v>-57.061100000000003</v>
      </c>
      <c r="AF3367">
        <v>-10.346875309424799</v>
      </c>
      <c r="AG3367">
        <v>5.0762689999999999</v>
      </c>
      <c r="AH3367">
        <v>56.500832341083303</v>
      </c>
      <c r="AI3367">
        <v>84.949634163714805</v>
      </c>
      <c r="AJ3367">
        <v>100.37746629107301</v>
      </c>
      <c r="AK3367">
        <v>57.664290430597902</v>
      </c>
      <c r="AL3367">
        <v>78.546165541044999</v>
      </c>
      <c r="AM3367">
        <v>85.234491623439297</v>
      </c>
      <c r="AN3367">
        <v>0.99999997695520104</v>
      </c>
    </row>
    <row r="3368" spans="1:40" x14ac:dyDescent="0.25">
      <c r="A3368" t="str">
        <f>"20190303171043704"</f>
        <v>20190303171043704</v>
      </c>
      <c r="B3368" t="str">
        <f>"1551604243694453"</f>
        <v>1551604243694453</v>
      </c>
      <c r="C3368" t="s">
        <v>40</v>
      </c>
      <c r="D3368">
        <v>5.1288529999999897</v>
      </c>
      <c r="E3368">
        <v>0.40083540000000001</v>
      </c>
      <c r="F3368" t="s">
        <v>46</v>
      </c>
      <c r="G3368">
        <v>-177.54239999999999</v>
      </c>
      <c r="H3368">
        <v>6.1337460000000004</v>
      </c>
      <c r="I3368">
        <v>119.7073</v>
      </c>
      <c r="J3368">
        <v>-187.22409999999999</v>
      </c>
      <c r="K3368">
        <v>1.1222799999999999</v>
      </c>
      <c r="L3368">
        <v>176.5941</v>
      </c>
      <c r="M3368">
        <v>-1.1730600000000001E-2</v>
      </c>
      <c r="N3368">
        <v>-1.365424E-2</v>
      </c>
      <c r="O3368">
        <v>-0.999838</v>
      </c>
      <c r="P3368">
        <v>-9.3669820000000001E-2</v>
      </c>
      <c r="Q3368">
        <v>0.18478900000000001</v>
      </c>
      <c r="R3368">
        <v>-0.97830410000000001</v>
      </c>
      <c r="S3368">
        <v>0.52012630000000004</v>
      </c>
      <c r="T3368">
        <v>0.26926899999999998</v>
      </c>
      <c r="U3368">
        <v>-3.0659329999999998</v>
      </c>
      <c r="V3368">
        <v>8.1664520000000004E-2</v>
      </c>
      <c r="W3368">
        <v>0.1983596</v>
      </c>
      <c r="X3368">
        <v>0.97672119999999996</v>
      </c>
      <c r="Y3368">
        <v>-0.17806529999999901</v>
      </c>
      <c r="Z3368">
        <v>-9.9777589999999999E-2</v>
      </c>
      <c r="AA3368">
        <v>0.97894700000000001</v>
      </c>
      <c r="AB3368">
        <v>31</v>
      </c>
      <c r="AC3368">
        <v>9.6816999999999993</v>
      </c>
      <c r="AD3368">
        <v>5.0114660000000004</v>
      </c>
      <c r="AE3368">
        <v>-56.886800000000001</v>
      </c>
      <c r="AF3368">
        <v>-10.2709453029538</v>
      </c>
      <c r="AG3368">
        <v>5.0114660000000004</v>
      </c>
      <c r="AH3368">
        <v>56.344334585005598</v>
      </c>
      <c r="AI3368">
        <v>84.999262169697204</v>
      </c>
      <c r="AJ3368">
        <v>100.3309499776</v>
      </c>
      <c r="AK3368">
        <v>57.4916615581119</v>
      </c>
      <c r="AL3368">
        <v>78.558950301964899</v>
      </c>
      <c r="AM3368">
        <v>85.220566034964804</v>
      </c>
      <c r="AN3368">
        <v>0.99999996363421395</v>
      </c>
    </row>
    <row r="3369" spans="1:40" x14ac:dyDescent="0.25">
      <c r="A3369" t="str">
        <f>"20190303171043716"</f>
        <v>20190303171043716</v>
      </c>
      <c r="B3369" t="str">
        <f>"1551604243704211"</f>
        <v>1551604243704211</v>
      </c>
      <c r="C3369" t="s">
        <v>40</v>
      </c>
      <c r="D3369">
        <v>5.167008</v>
      </c>
      <c r="E3369">
        <v>0.4007136</v>
      </c>
      <c r="F3369" t="s">
        <v>46</v>
      </c>
      <c r="G3369">
        <v>-177.488</v>
      </c>
      <c r="H3369">
        <v>6.0502029999999998</v>
      </c>
      <c r="I3369">
        <v>119.7073</v>
      </c>
      <c r="J3369">
        <v>-187.22540000000001</v>
      </c>
      <c r="K3369">
        <v>1.1222760000000001</v>
      </c>
      <c r="L3369">
        <v>176.41659999999999</v>
      </c>
      <c r="M3369">
        <v>-1.0967340000000001E-2</v>
      </c>
      <c r="N3369">
        <v>-1.3653139999999999E-2</v>
      </c>
      <c r="O3369">
        <v>-0.99984680000000004</v>
      </c>
      <c r="P3369">
        <v>-9.3457639999999995E-2</v>
      </c>
      <c r="Q3369">
        <v>0.18404100000000001</v>
      </c>
      <c r="R3369">
        <v>-0.97846560000000005</v>
      </c>
      <c r="S3369">
        <v>0.52484129999999996</v>
      </c>
      <c r="T3369">
        <v>0.26564880000000002</v>
      </c>
      <c r="U3369">
        <v>-3.066589</v>
      </c>
      <c r="V3369">
        <v>8.220065E-2</v>
      </c>
      <c r="W3369">
        <v>0.1976127</v>
      </c>
      <c r="X3369">
        <v>0.97682769999999997</v>
      </c>
      <c r="Y3369">
        <v>-0.17876120000000001</v>
      </c>
      <c r="Z3369">
        <v>-9.8594420000000002E-2</v>
      </c>
      <c r="AA3369">
        <v>0.97894000000000003</v>
      </c>
      <c r="AB3369">
        <v>31</v>
      </c>
      <c r="AC3369">
        <v>9.7373999999999992</v>
      </c>
      <c r="AD3369">
        <v>4.9279270000000004</v>
      </c>
      <c r="AE3369">
        <v>-56.709299999999899</v>
      </c>
      <c r="AF3369">
        <v>-10.283393529097699</v>
      </c>
      <c r="AG3369">
        <v>4.9279270000000004</v>
      </c>
      <c r="AH3369">
        <v>56.1869536035503</v>
      </c>
      <c r="AI3369">
        <v>85.0691380877184</v>
      </c>
      <c r="AJ3369">
        <v>100.37154447858801</v>
      </c>
      <c r="AK3369">
        <v>57.332420167294003</v>
      </c>
      <c r="AL3369">
        <v>78.602609640377196</v>
      </c>
      <c r="AM3369">
        <v>85.189857717110598</v>
      </c>
      <c r="AN3369">
        <v>1.0000000407745</v>
      </c>
    </row>
    <row r="3370" spans="1:40" x14ac:dyDescent="0.25">
      <c r="A3370" t="str">
        <f>"20190303171043733"</f>
        <v>20190303171043733</v>
      </c>
      <c r="B3370" t="str">
        <f>"1551604243723731"</f>
        <v>1551604243723731</v>
      </c>
      <c r="C3370" t="s">
        <v>40</v>
      </c>
      <c r="D3370">
        <v>5.1542009999999996</v>
      </c>
      <c r="E3370">
        <v>0.4005861</v>
      </c>
      <c r="F3370" t="s">
        <v>46</v>
      </c>
      <c r="G3370">
        <v>-177.48500000000001</v>
      </c>
      <c r="H3370">
        <v>5.9930640000000004</v>
      </c>
      <c r="I3370">
        <v>119.7073</v>
      </c>
      <c r="J3370">
        <v>-187.227</v>
      </c>
      <c r="K3370">
        <v>1.1222639999999999</v>
      </c>
      <c r="L3370">
        <v>176.1737</v>
      </c>
      <c r="M3370">
        <v>-9.9231909999999996E-3</v>
      </c>
      <c r="N3370">
        <v>-1.3651659999999999E-2</v>
      </c>
      <c r="O3370">
        <v>-0.99985800000000002</v>
      </c>
      <c r="P3370">
        <v>-9.3763180000000002E-2</v>
      </c>
      <c r="Q3370">
        <v>0.1826142</v>
      </c>
      <c r="R3370">
        <v>-0.97870400000000002</v>
      </c>
      <c r="S3370">
        <v>0.52674869999999996</v>
      </c>
      <c r="T3370">
        <v>0.26340649999999999</v>
      </c>
      <c r="U3370">
        <v>-3.0667719999999998</v>
      </c>
      <c r="V3370">
        <v>8.3530930000000003E-2</v>
      </c>
      <c r="W3370">
        <v>0.19619010000000001</v>
      </c>
      <c r="X3370">
        <v>0.97700149999999997</v>
      </c>
      <c r="Y3370">
        <v>-0.1783265</v>
      </c>
      <c r="Z3370">
        <v>-9.7876000000000005E-2</v>
      </c>
      <c r="AA3370">
        <v>0.97909139999999995</v>
      </c>
      <c r="AB3370">
        <v>31</v>
      </c>
      <c r="AC3370">
        <v>9.7419999999999902</v>
      </c>
      <c r="AD3370">
        <v>4.8707999999999902</v>
      </c>
      <c r="AE3370">
        <v>-56.466399999999901</v>
      </c>
      <c r="AF3370">
        <v>-10.227994338780499</v>
      </c>
      <c r="AG3370">
        <v>4.8707999999999902</v>
      </c>
      <c r="AH3370">
        <v>55.962567972090099</v>
      </c>
      <c r="AI3370">
        <v>85.1063536052703</v>
      </c>
      <c r="AJ3370">
        <v>100.357346076764</v>
      </c>
      <c r="AK3370">
        <v>57.097684496526902</v>
      </c>
      <c r="AL3370">
        <v>78.685745134268899</v>
      </c>
      <c r="AM3370">
        <v>85.113252979157195</v>
      </c>
      <c r="AN3370">
        <v>0.99999995130346098</v>
      </c>
    </row>
    <row r="3371" spans="1:40" x14ac:dyDescent="0.25">
      <c r="A3371" t="str">
        <f>"20190303171043747"</f>
        <v>20190303171043747</v>
      </c>
      <c r="B3371" t="str">
        <f>"1551604243734468"</f>
        <v>1551604243734468</v>
      </c>
      <c r="C3371" t="s">
        <v>40</v>
      </c>
      <c r="D3371">
        <v>5.1740059999999897</v>
      </c>
      <c r="E3371">
        <v>0.40062999999999999</v>
      </c>
      <c r="F3371" t="s">
        <v>46</v>
      </c>
      <c r="G3371">
        <v>-177.51929999999999</v>
      </c>
      <c r="H3371">
        <v>5.8688589999999996</v>
      </c>
      <c r="I3371">
        <v>119.7073</v>
      </c>
      <c r="J3371">
        <v>-187.2278</v>
      </c>
      <c r="K3371">
        <v>1.1222570000000001</v>
      </c>
      <c r="L3371">
        <v>176.01439999999999</v>
      </c>
      <c r="M3371">
        <v>-9.2380090000000002E-3</v>
      </c>
      <c r="N3371">
        <v>-1.365068E-2</v>
      </c>
      <c r="O3371">
        <v>-0.99986419999999998</v>
      </c>
      <c r="P3371">
        <v>-9.3789609999999995E-2</v>
      </c>
      <c r="Q3371">
        <v>0.1816759</v>
      </c>
      <c r="R3371">
        <v>-0.97887559999999996</v>
      </c>
      <c r="S3371">
        <v>0.52738949999999996</v>
      </c>
      <c r="T3371">
        <v>0.25786999999999999</v>
      </c>
      <c r="U3371">
        <v>-3.0676730000000001</v>
      </c>
      <c r="V3371">
        <v>8.4229999999999999E-2</v>
      </c>
      <c r="W3371">
        <v>0.19525439999999999</v>
      </c>
      <c r="X3371">
        <v>0.97712900000000003</v>
      </c>
      <c r="Y3371">
        <v>-0.17782999999999999</v>
      </c>
      <c r="Z3371">
        <v>-9.6097020000000005E-2</v>
      </c>
      <c r="AA3371">
        <v>0.9793579</v>
      </c>
      <c r="AB3371">
        <v>31</v>
      </c>
      <c r="AC3371">
        <v>9.7085000000000097</v>
      </c>
      <c r="AD3371">
        <v>4.7466019999999904</v>
      </c>
      <c r="AE3371">
        <v>-56.307099999999899</v>
      </c>
      <c r="AF3371">
        <v>-10.1581971589743</v>
      </c>
      <c r="AG3371">
        <v>4.7466019999999904</v>
      </c>
      <c r="AH3371">
        <v>55.829716503667498</v>
      </c>
      <c r="AI3371">
        <v>85.218569542906707</v>
      </c>
      <c r="AJ3371">
        <v>100.31213761265199</v>
      </c>
      <c r="AK3371">
        <v>56.944503202213298</v>
      </c>
      <c r="AL3371">
        <v>78.740415009350301</v>
      </c>
      <c r="AM3371">
        <v>85.073196126882607</v>
      </c>
      <c r="AN3371">
        <v>1.00000002813017</v>
      </c>
    </row>
    <row r="3372" spans="1:40" x14ac:dyDescent="0.25">
      <c r="A3372" t="str">
        <f>"20190303171043762"</f>
        <v>20190303171043762</v>
      </c>
      <c r="B3372" t="str">
        <f>"1551604243753987"</f>
        <v>1551604243753987</v>
      </c>
      <c r="C3372" t="s">
        <v>40</v>
      </c>
      <c r="D3372">
        <v>5.2783239999999996</v>
      </c>
      <c r="E3372">
        <v>0.3980823</v>
      </c>
      <c r="F3372" t="s">
        <v>46</v>
      </c>
      <c r="G3372">
        <v>-177.54759999999999</v>
      </c>
      <c r="H3372">
        <v>5.7850859999999997</v>
      </c>
      <c r="I3372">
        <v>119.7011</v>
      </c>
      <c r="J3372">
        <v>-187.22890000000001</v>
      </c>
      <c r="K3372">
        <v>1.1222510000000001</v>
      </c>
      <c r="L3372">
        <v>175.79949999999999</v>
      </c>
      <c r="M3372">
        <v>-8.3134030000000005E-3</v>
      </c>
      <c r="N3372">
        <v>-1.3649329999999999E-2</v>
      </c>
      <c r="O3372">
        <v>-0.99987239999999999</v>
      </c>
      <c r="P3372">
        <v>-9.3668260000000003E-2</v>
      </c>
      <c r="Q3372">
        <v>0.18035950000000001</v>
      </c>
      <c r="R3372">
        <v>-0.97913079999999997</v>
      </c>
      <c r="S3372">
        <v>0.52740480000000001</v>
      </c>
      <c r="T3372">
        <v>0.25404450000000001</v>
      </c>
      <c r="U3372">
        <v>-3.0681150000000001</v>
      </c>
      <c r="V3372">
        <v>8.5016560000000005E-2</v>
      </c>
      <c r="W3372">
        <v>0.193941</v>
      </c>
      <c r="X3372">
        <v>0.97732240000000004</v>
      </c>
      <c r="Y3372">
        <v>-0.1769192</v>
      </c>
      <c r="Z3372">
        <v>-9.4876929999999998E-2</v>
      </c>
      <c r="AA3372">
        <v>0.97964169999999995</v>
      </c>
      <c r="AB3372">
        <v>31</v>
      </c>
      <c r="AC3372">
        <v>9.6813000000000198</v>
      </c>
      <c r="AD3372">
        <v>4.6628349999999896</v>
      </c>
      <c r="AE3372">
        <v>-56.098399999999998</v>
      </c>
      <c r="AF3372">
        <v>-10.0797529910355</v>
      </c>
      <c r="AG3372">
        <v>4.6628349999999896</v>
      </c>
      <c r="AH3372">
        <v>55.642666067216702</v>
      </c>
      <c r="AI3372">
        <v>85.2861919546244</v>
      </c>
      <c r="AJ3372">
        <v>100.26786698534001</v>
      </c>
      <c r="AK3372">
        <v>56.740195079549203</v>
      </c>
      <c r="AL3372">
        <v>78.817133598973101</v>
      </c>
      <c r="AM3372">
        <v>85.028397145320397</v>
      </c>
      <c r="AN3372">
        <v>1.0000000002484899</v>
      </c>
    </row>
    <row r="3373" spans="1:40" x14ac:dyDescent="0.25">
      <c r="A3373" t="str">
        <f>"20190303171043781"</f>
        <v>20190303171043781</v>
      </c>
      <c r="B3373" t="str">
        <f>"1551604243774483"</f>
        <v>1551604243774483</v>
      </c>
      <c r="C3373" t="s">
        <v>40</v>
      </c>
      <c r="D3373">
        <v>5.5429469999999998</v>
      </c>
      <c r="E3373">
        <v>0.41110059999999898</v>
      </c>
      <c r="F3373" t="s">
        <v>84</v>
      </c>
      <c r="G3373">
        <v>-177.9239</v>
      </c>
      <c r="H3373">
        <v>7.9988519999999994E-2</v>
      </c>
      <c r="I3373">
        <v>124.4666</v>
      </c>
      <c r="J3373">
        <v>-187.22980000000001</v>
      </c>
      <c r="K3373">
        <v>1.122242</v>
      </c>
      <c r="L3373">
        <v>175.542</v>
      </c>
      <c r="M3373">
        <v>-7.2062159999999997E-3</v>
      </c>
      <c r="N3373">
        <v>-1.364772E-2</v>
      </c>
      <c r="O3373">
        <v>-0.99988100000000002</v>
      </c>
      <c r="P3373">
        <v>-9.3114530000000001E-2</v>
      </c>
      <c r="Q3373">
        <v>0.1787697</v>
      </c>
      <c r="R3373">
        <v>-0.97947519999999999</v>
      </c>
      <c r="S3373">
        <v>0.56735230000000003</v>
      </c>
      <c r="T3373">
        <v>-6.3549999999999995E-2</v>
      </c>
      <c r="U3373">
        <v>-3.1299290000000002</v>
      </c>
      <c r="V3373">
        <v>8.5550319999999999E-2</v>
      </c>
      <c r="W3373">
        <v>0.1923541</v>
      </c>
      <c r="X3373">
        <v>0.97758940000000005</v>
      </c>
      <c r="Y3373">
        <v>-0.18540129999999999</v>
      </c>
      <c r="Z3373">
        <v>6.3048050000000001E-3</v>
      </c>
      <c r="AA3373">
        <v>0.98264269999999998</v>
      </c>
      <c r="AB3373">
        <v>31</v>
      </c>
      <c r="AC3373">
        <v>9.3058999999999994</v>
      </c>
      <c r="AD3373">
        <v>-1.0422534800000001</v>
      </c>
      <c r="AE3373">
        <v>-51.075400000000002</v>
      </c>
      <c r="AF3373">
        <v>-9.6698556684636703</v>
      </c>
      <c r="AG3373">
        <v>-1.0422534800000001</v>
      </c>
      <c r="AH3373">
        <v>50.986457804167998</v>
      </c>
      <c r="AI3373">
        <v>91.1505602075366</v>
      </c>
      <c r="AJ3373">
        <v>100.73890818991499</v>
      </c>
      <c r="AK3373">
        <v>51.905792358673096</v>
      </c>
      <c r="AL3373">
        <v>78.909801192397097</v>
      </c>
      <c r="AM3373">
        <v>84.998701204288693</v>
      </c>
      <c r="AN3373">
        <v>0.99999999601563605</v>
      </c>
    </row>
    <row r="3374" spans="1:40" x14ac:dyDescent="0.25">
      <c r="A3374" t="str">
        <f>"20190303171043803"</f>
        <v>20190303171043803</v>
      </c>
      <c r="B3374" t="str">
        <f>"1551604243794414"</f>
        <v>1551604243794414</v>
      </c>
      <c r="C3374" t="s">
        <v>40</v>
      </c>
      <c r="D3374">
        <v>5.2761959999999997</v>
      </c>
      <c r="E3374">
        <v>0.47597889999999998</v>
      </c>
      <c r="F3374" t="s">
        <v>84</v>
      </c>
      <c r="G3374">
        <v>-182.10159999999999</v>
      </c>
      <c r="H3374" s="1">
        <v>-9.1591640000000002E-6</v>
      </c>
      <c r="I3374">
        <v>141.2039</v>
      </c>
      <c r="J3374">
        <v>-187.23060000000001</v>
      </c>
      <c r="K3374">
        <v>1.122234</v>
      </c>
      <c r="L3374">
        <v>175.2329</v>
      </c>
      <c r="M3374">
        <v>-5.8770430000000002E-3</v>
      </c>
      <c r="N3374">
        <v>-1.3645900000000001E-2</v>
      </c>
      <c r="O3374">
        <v>-0.99988960000000005</v>
      </c>
      <c r="P3374">
        <v>-9.2277849999999995E-2</v>
      </c>
      <c r="Q3374">
        <v>0.17889070000000001</v>
      </c>
      <c r="R3374">
        <v>-0.97953219999999996</v>
      </c>
      <c r="S3374">
        <v>0.4668427</v>
      </c>
      <c r="T3374">
        <v>-0.1021624</v>
      </c>
      <c r="U3374">
        <v>-3.1259160000000001</v>
      </c>
      <c r="V3374">
        <v>8.6016889999999999E-2</v>
      </c>
      <c r="W3374">
        <v>0.1924729</v>
      </c>
      <c r="X3374">
        <v>0.97752510000000004</v>
      </c>
      <c r="Y3374">
        <v>-0.15344469999999999</v>
      </c>
      <c r="Z3374">
        <v>1.864414E-2</v>
      </c>
      <c r="AA3374">
        <v>0.98798129999999995</v>
      </c>
      <c r="AB3374">
        <v>31</v>
      </c>
      <c r="AC3374">
        <v>5.1290000000000102</v>
      </c>
      <c r="AD3374">
        <v>-1.1222431591640001</v>
      </c>
      <c r="AE3374">
        <v>-34.029000000000003</v>
      </c>
      <c r="AF3374">
        <v>-5.3232588743376104</v>
      </c>
      <c r="AG3374">
        <v>-1.1222431591640001</v>
      </c>
      <c r="AH3374">
        <v>33.962148782085698</v>
      </c>
      <c r="AI3374">
        <v>91.869777360617604</v>
      </c>
      <c r="AJ3374">
        <v>98.908115098946993</v>
      </c>
      <c r="AK3374">
        <v>34.395116872137898</v>
      </c>
      <c r="AL3374">
        <v>78.902865131153504</v>
      </c>
      <c r="AM3374">
        <v>84.971235774083794</v>
      </c>
      <c r="AN3374">
        <v>1.0000000218648399</v>
      </c>
    </row>
    <row r="3375" spans="1:40" x14ac:dyDescent="0.25">
      <c r="A3375" t="str">
        <f>"20190303171043834"</f>
        <v>20190303171043834</v>
      </c>
      <c r="B3375" t="str">
        <f>"1551604243824670"</f>
        <v>1551604243824670</v>
      </c>
      <c r="C3375" t="s">
        <v>40</v>
      </c>
      <c r="D3375">
        <v>5.0988340000000001</v>
      </c>
      <c r="E3375">
        <v>0.48628569999999999</v>
      </c>
      <c r="F3375" t="s">
        <v>86</v>
      </c>
      <c r="G3375">
        <v>-191.89670000000001</v>
      </c>
      <c r="H3375">
        <v>3.9577610000000001</v>
      </c>
      <c r="I3375">
        <v>-81.816469999999995</v>
      </c>
      <c r="J3375">
        <v>-187.23099999999999</v>
      </c>
      <c r="K3375">
        <v>1.1222219999999901</v>
      </c>
      <c r="L3375">
        <v>174.8022</v>
      </c>
      <c r="M3375">
        <v>-4.0253320000000004E-3</v>
      </c>
      <c r="N3375">
        <v>-1.3643209999999999E-2</v>
      </c>
      <c r="O3375">
        <v>-0.99989879999999998</v>
      </c>
      <c r="P3375">
        <v>-8.9489910000000006E-2</v>
      </c>
      <c r="Q3375">
        <v>0.17864469999999999</v>
      </c>
      <c r="R3375">
        <v>-0.97983560000000003</v>
      </c>
      <c r="S3375">
        <v>-5.5389399999999998E-2</v>
      </c>
      <c r="T3375">
        <v>3.3659099999999997E-2</v>
      </c>
      <c r="U3375">
        <v>-3.0512999999999999</v>
      </c>
      <c r="V3375">
        <v>8.5044629999999996E-2</v>
      </c>
      <c r="W3375">
        <v>0.19222310000000001</v>
      </c>
      <c r="X3375">
        <v>0.97765930000000001</v>
      </c>
      <c r="Y3375">
        <v>1.4118769999999999E-2</v>
      </c>
      <c r="Z3375">
        <v>-2.466966E-2</v>
      </c>
      <c r="AA3375">
        <v>0.99959589999999998</v>
      </c>
      <c r="AB3375">
        <v>31</v>
      </c>
      <c r="AC3375">
        <v>-4.66570000000001</v>
      </c>
      <c r="AD3375">
        <v>2.8355389999999998</v>
      </c>
      <c r="AE3375">
        <v>-256.61867000000001</v>
      </c>
      <c r="AF3375">
        <v>3.6321473550631</v>
      </c>
      <c r="AG3375">
        <v>2.8355389999999998</v>
      </c>
      <c r="AH3375">
        <v>256.60405381710098</v>
      </c>
      <c r="AI3375">
        <v>89.3669564769544</v>
      </c>
      <c r="AJ3375">
        <v>89.189050935898194</v>
      </c>
      <c r="AK3375">
        <v>256.64542312536798</v>
      </c>
      <c r="AL3375">
        <v>78.917449807565902</v>
      </c>
      <c r="AM3375">
        <v>85.028469076968193</v>
      </c>
      <c r="AN3375">
        <v>1.0000000080709599</v>
      </c>
    </row>
    <row r="3376" spans="1:40" x14ac:dyDescent="0.25">
      <c r="A3376" t="str">
        <f>"20190303171043849"</f>
        <v>20190303171043849</v>
      </c>
      <c r="B3376" t="str">
        <f>"1551604243844191"</f>
        <v>1551604243844191</v>
      </c>
      <c r="C3376" t="s">
        <v>40</v>
      </c>
      <c r="D3376">
        <v>5.1559160000000004</v>
      </c>
      <c r="E3376">
        <v>0.48982179999999997</v>
      </c>
      <c r="F3376" t="s">
        <v>86</v>
      </c>
      <c r="G3376">
        <v>-198.624</v>
      </c>
      <c r="H3376">
        <v>13.38519</v>
      </c>
      <c r="I3376">
        <v>-81.819599999999994</v>
      </c>
      <c r="J3376">
        <v>-187.23089999999999</v>
      </c>
      <c r="K3376">
        <v>1.1222160000000001</v>
      </c>
      <c r="L3376">
        <v>174.61660000000001</v>
      </c>
      <c r="M3376">
        <v>-3.2278060000000002E-3</v>
      </c>
      <c r="N3376">
        <v>-1.3642140000000001E-2</v>
      </c>
      <c r="O3376">
        <v>-0.99990190000000001</v>
      </c>
      <c r="P3376">
        <v>-8.8120560000000001E-2</v>
      </c>
      <c r="Q3376">
        <v>0.17810589999999901</v>
      </c>
      <c r="R3376">
        <v>-0.98005799999999998</v>
      </c>
      <c r="S3376">
        <v>-0.13421629999999901</v>
      </c>
      <c r="T3376">
        <v>0.14446529999999999</v>
      </c>
      <c r="U3376">
        <v>-3.0231629999999998</v>
      </c>
      <c r="V3376">
        <v>8.4458290000000005E-2</v>
      </c>
      <c r="W3376">
        <v>0.19168389999999999</v>
      </c>
      <c r="X3376">
        <v>0.97781600000000002</v>
      </c>
      <c r="Y3376">
        <v>4.1053270000000003E-2</v>
      </c>
      <c r="Z3376">
        <v>-6.1308950000000001E-2</v>
      </c>
      <c r="AA3376">
        <v>0.9972742</v>
      </c>
      <c r="AB3376">
        <v>31</v>
      </c>
      <c r="AC3376">
        <v>-11.3931</v>
      </c>
      <c r="AD3376">
        <v>12.262974</v>
      </c>
      <c r="AE3376">
        <v>-256.43619999999999</v>
      </c>
      <c r="AF3376">
        <v>10.541179094133801</v>
      </c>
      <c r="AG3376">
        <v>12.262974</v>
      </c>
      <c r="AH3376">
        <v>255.88762456163201</v>
      </c>
      <c r="AI3376">
        <v>87.258619040009805</v>
      </c>
      <c r="AJ3376">
        <v>87.641059115937495</v>
      </c>
      <c r="AK3376">
        <v>256.39807602986002</v>
      </c>
      <c r="AL3376">
        <v>78.948929270056695</v>
      </c>
      <c r="AM3376">
        <v>85.063362600156793</v>
      </c>
      <c r="AN3376">
        <v>1.0000000250624601</v>
      </c>
    </row>
    <row r="3377" spans="1:40" x14ac:dyDescent="0.25">
      <c r="A3377" t="str">
        <f>"20190303171043869"</f>
        <v>20190303171043869</v>
      </c>
      <c r="B3377" t="str">
        <f>"1551604243864686"</f>
        <v>1551604243864686</v>
      </c>
      <c r="C3377" t="s">
        <v>40</v>
      </c>
      <c r="D3377">
        <v>5.0738969999999997</v>
      </c>
      <c r="E3377">
        <v>0.4909811</v>
      </c>
      <c r="F3377" t="s">
        <v>86</v>
      </c>
      <c r="G3377">
        <v>-199.98079999999999</v>
      </c>
      <c r="H3377">
        <v>4.2610789999999996</v>
      </c>
      <c r="I3377">
        <v>-81.816569999999999</v>
      </c>
      <c r="J3377">
        <v>-187.23060000000001</v>
      </c>
      <c r="K3377">
        <v>1.122206</v>
      </c>
      <c r="L3377">
        <v>174.33799999999999</v>
      </c>
      <c r="M3377">
        <v>-2.0368980000000001E-3</v>
      </c>
      <c r="N3377">
        <v>-1.36405E-2</v>
      </c>
      <c r="O3377">
        <v>-0.99990520000000005</v>
      </c>
      <c r="P3377">
        <v>-8.5292729999999997E-2</v>
      </c>
      <c r="Q3377">
        <v>0.1763323</v>
      </c>
      <c r="R3377">
        <v>-0.98062859999999996</v>
      </c>
      <c r="S3377">
        <v>-0.15118409999999999</v>
      </c>
      <c r="T3377">
        <v>3.7219759999999998E-2</v>
      </c>
      <c r="U3377">
        <v>-3.0407099999999998</v>
      </c>
      <c r="V3377">
        <v>8.280353E-2</v>
      </c>
      <c r="W3377">
        <v>0.18990940000000001</v>
      </c>
      <c r="X3377">
        <v>0.97830360000000005</v>
      </c>
      <c r="Y3377">
        <v>4.7606910000000002E-2</v>
      </c>
      <c r="Z3377">
        <v>-2.5862690000000001E-2</v>
      </c>
      <c r="AA3377">
        <v>0.99853130000000001</v>
      </c>
      <c r="AB3377">
        <v>31</v>
      </c>
      <c r="AC3377">
        <v>-12.7501999999999</v>
      </c>
      <c r="AD3377">
        <v>3.1388729999999998</v>
      </c>
      <c r="AE3377">
        <v>-256.15456999999998</v>
      </c>
      <c r="AF3377">
        <v>12.226533076414199</v>
      </c>
      <c r="AG3377">
        <v>3.1388729999999998</v>
      </c>
      <c r="AH3377">
        <v>256.14164557883902</v>
      </c>
      <c r="AI3377">
        <v>89.298705732851403</v>
      </c>
      <c r="AJ3377">
        <v>87.267147168658695</v>
      </c>
      <c r="AK3377">
        <v>256.45249703329898</v>
      </c>
      <c r="AL3377">
        <v>79.052502724254296</v>
      </c>
      <c r="AM3377">
        <v>85.162021267381306</v>
      </c>
      <c r="AN3377">
        <v>0.99999996928088997</v>
      </c>
    </row>
    <row r="3378" spans="1:40" x14ac:dyDescent="0.25">
      <c r="A3378" t="str">
        <f>"20190303171043883"</f>
        <v>20190303171043883</v>
      </c>
      <c r="B3378" t="str">
        <f>"1551604243874445"</f>
        <v>1551604243874445</v>
      </c>
      <c r="C3378" t="s">
        <v>40</v>
      </c>
      <c r="D3378">
        <v>5.1108330000000004</v>
      </c>
      <c r="E3378">
        <v>0.49182999999999999</v>
      </c>
      <c r="F3378" t="s">
        <v>86</v>
      </c>
      <c r="G3378">
        <v>-200.1283</v>
      </c>
      <c r="H3378">
        <v>6.0513320000000004</v>
      </c>
      <c r="I3378">
        <v>-80.065730000000002</v>
      </c>
      <c r="J3378">
        <v>-187.23009999999999</v>
      </c>
      <c r="K3378">
        <v>1.122207</v>
      </c>
      <c r="L3378">
        <v>174.1524</v>
      </c>
      <c r="M3378">
        <v>-1.2510609999999999E-3</v>
      </c>
      <c r="N3378">
        <v>-1.363934E-2</v>
      </c>
      <c r="O3378">
        <v>-0.99990630000000003</v>
      </c>
      <c r="P3378">
        <v>-8.3735560000000001E-2</v>
      </c>
      <c r="Q3378">
        <v>0.17609620000000001</v>
      </c>
      <c r="R3378">
        <v>-0.98080520000000004</v>
      </c>
      <c r="S3378">
        <v>-0.15388489999999999</v>
      </c>
      <c r="T3378">
        <v>5.8810109999999999E-2</v>
      </c>
      <c r="U3378">
        <v>-3.0353240000000001</v>
      </c>
      <c r="V3378">
        <v>8.2020389999999999E-2</v>
      </c>
      <c r="W3378">
        <v>0.1896707</v>
      </c>
      <c r="X3378">
        <v>0.97841590000000001</v>
      </c>
      <c r="Y3378">
        <v>4.9357749999999999E-2</v>
      </c>
      <c r="Z3378">
        <v>-3.2981900000000001E-2</v>
      </c>
      <c r="AA3378">
        <v>0.99823649999999997</v>
      </c>
      <c r="AB3378">
        <v>31</v>
      </c>
      <c r="AC3378">
        <v>-12.898199999999999</v>
      </c>
      <c r="AD3378">
        <v>4.929125</v>
      </c>
      <c r="AE3378">
        <v>-254.21812999999901</v>
      </c>
      <c r="AF3378">
        <v>12.575402415972199</v>
      </c>
      <c r="AG3378">
        <v>4.929125</v>
      </c>
      <c r="AH3378">
        <v>254.138771559551</v>
      </c>
      <c r="AI3378">
        <v>88.890221812913097</v>
      </c>
      <c r="AJ3378">
        <v>87.167176510309204</v>
      </c>
      <c r="AK3378">
        <v>254.497450338872</v>
      </c>
      <c r="AL3378">
        <v>79.066432700196799</v>
      </c>
      <c r="AM3378">
        <v>85.208111320305704</v>
      </c>
      <c r="AN3378">
        <v>0.99999999609352597</v>
      </c>
    </row>
    <row r="3379" spans="1:40" x14ac:dyDescent="0.25">
      <c r="A3379" t="str">
        <f>"20190303171043903"</f>
        <v>20190303171043903</v>
      </c>
      <c r="B3379" t="str">
        <f>"1551604243893966"</f>
        <v>1551604243893966</v>
      </c>
      <c r="C3379" t="s">
        <v>40</v>
      </c>
      <c r="D3379">
        <v>5.244065</v>
      </c>
      <c r="E3379">
        <v>0.49368570000000001</v>
      </c>
      <c r="F3379" t="s">
        <v>86</v>
      </c>
      <c r="G3379">
        <v>-200.55189999999999</v>
      </c>
      <c r="H3379">
        <v>7.9764720000000002</v>
      </c>
      <c r="I3379">
        <v>-81.817809999999994</v>
      </c>
      <c r="J3379">
        <v>-187.22919999999999</v>
      </c>
      <c r="K3379">
        <v>1.1222030000000001</v>
      </c>
      <c r="L3379">
        <v>173.86799999999999</v>
      </c>
      <c r="M3379" s="1">
        <v>-6.7169300000000001E-5</v>
      </c>
      <c r="N3379">
        <v>-1.3637420000000001E-2</v>
      </c>
      <c r="O3379">
        <v>-0.99990710000000005</v>
      </c>
      <c r="P3379">
        <v>-8.2681690000000002E-2</v>
      </c>
      <c r="Q3379">
        <v>0.17771289999999901</v>
      </c>
      <c r="R3379">
        <v>-0.98060290000000006</v>
      </c>
      <c r="S3379">
        <v>-0.15773010000000001</v>
      </c>
      <c r="T3379">
        <v>8.1154470000000006E-2</v>
      </c>
      <c r="U3379">
        <v>-3.0306850000000001</v>
      </c>
      <c r="V3379">
        <v>8.213136E-2</v>
      </c>
      <c r="W3379">
        <v>0.19127820000000001</v>
      </c>
      <c r="X3379">
        <v>0.97809360000000001</v>
      </c>
      <c r="Y3379">
        <v>5.1869220000000001E-2</v>
      </c>
      <c r="Z3379">
        <v>-4.0361929999999997E-2</v>
      </c>
      <c r="AA3379">
        <v>0.99783790000000006</v>
      </c>
      <c r="AB3379">
        <v>30</v>
      </c>
      <c r="AC3379">
        <v>-13.3226999999999</v>
      </c>
      <c r="AD3379">
        <v>6.8542690000000004</v>
      </c>
      <c r="AE3379">
        <v>-255.68581</v>
      </c>
      <c r="AF3379">
        <v>13.2959950269251</v>
      </c>
      <c r="AG3379">
        <v>6.8542690000000004</v>
      </c>
      <c r="AH3379">
        <v>255.50358744230701</v>
      </c>
      <c r="AI3379">
        <v>88.465398324510602</v>
      </c>
      <c r="AJ3379">
        <v>87.021106950637503</v>
      </c>
      <c r="AK3379">
        <v>255.941101980844</v>
      </c>
      <c r="AL3379">
        <v>78.972612115213906</v>
      </c>
      <c r="AM3379">
        <v>85.200084598793794</v>
      </c>
      <c r="AN3379">
        <v>1.00000000022582</v>
      </c>
    </row>
    <row r="3380" spans="1:40" x14ac:dyDescent="0.25">
      <c r="A3380" t="str">
        <f>"20190303171043938"</f>
        <v>20190303171043938</v>
      </c>
      <c r="B3380" t="str">
        <f>"1551604243924222"</f>
        <v>1551604243924222</v>
      </c>
      <c r="C3380" t="s">
        <v>40</v>
      </c>
      <c r="D3380">
        <v>5.2286669999999997</v>
      </c>
      <c r="E3380">
        <v>0.49517939999999999</v>
      </c>
      <c r="F3380" t="s">
        <v>86</v>
      </c>
      <c r="G3380">
        <v>-201.47210000000001</v>
      </c>
      <c r="H3380">
        <v>7.4668399999999897</v>
      </c>
      <c r="I3380">
        <v>-81.817639999999997</v>
      </c>
      <c r="J3380">
        <v>-187.227</v>
      </c>
      <c r="K3380">
        <v>1.1221749999999999</v>
      </c>
      <c r="L3380">
        <v>173.4008</v>
      </c>
      <c r="M3380">
        <v>1.807428E-3</v>
      </c>
      <c r="N3380">
        <v>-1.363402E-2</v>
      </c>
      <c r="O3380">
        <v>-0.99990559999999995</v>
      </c>
      <c r="P3380">
        <v>-8.182528E-2</v>
      </c>
      <c r="Q3380">
        <v>0.18083199999999999</v>
      </c>
      <c r="R3380">
        <v>-0.98010459999999999</v>
      </c>
      <c r="S3380">
        <v>-0.16886899999999999</v>
      </c>
      <c r="T3380">
        <v>7.5224159999999998E-2</v>
      </c>
      <c r="U3380">
        <v>-3.0314939999999999</v>
      </c>
      <c r="V3380">
        <v>8.3126389999999994E-2</v>
      </c>
      <c r="W3380">
        <v>0.19437789999999999</v>
      </c>
      <c r="X3380">
        <v>0.97739819999999999</v>
      </c>
      <c r="Y3380">
        <v>5.738671E-2</v>
      </c>
      <c r="Z3380">
        <v>-3.8395100000000001E-2</v>
      </c>
      <c r="AA3380">
        <v>0.99761339999999998</v>
      </c>
      <c r="AB3380">
        <v>30</v>
      </c>
      <c r="AC3380">
        <v>-14.245100000000001</v>
      </c>
      <c r="AD3380">
        <v>6.3446649999999902</v>
      </c>
      <c r="AE3380">
        <v>-255.21843999999999</v>
      </c>
      <c r="AF3380">
        <v>14.6973536221779</v>
      </c>
      <c r="AG3380">
        <v>6.3446649999999902</v>
      </c>
      <c r="AH3380">
        <v>255.03514969302901</v>
      </c>
      <c r="AI3380">
        <v>88.577271446137701</v>
      </c>
      <c r="AJ3380">
        <v>86.701764576006994</v>
      </c>
      <c r="AK3380">
        <v>255.53707080657301</v>
      </c>
      <c r="AL3380">
        <v>78.791615493834399</v>
      </c>
      <c r="AM3380">
        <v>85.138770079429193</v>
      </c>
      <c r="AN3380">
        <v>1.00000000304304</v>
      </c>
    </row>
    <row r="3381" spans="1:40" x14ac:dyDescent="0.25">
      <c r="A3381" t="str">
        <f>"20190303171043959"</f>
        <v>20190303171043959</v>
      </c>
      <c r="B3381" t="str">
        <f>"1551604243944719"</f>
        <v>1551604243944719</v>
      </c>
      <c r="C3381" t="s">
        <v>40</v>
      </c>
      <c r="D3381">
        <v>5.2697560000000001</v>
      </c>
      <c r="E3381">
        <v>0.49591059999999998</v>
      </c>
      <c r="F3381" t="s">
        <v>86</v>
      </c>
      <c r="G3381">
        <v>-202.26339999999999</v>
      </c>
      <c r="H3381">
        <v>7.6049289999999896</v>
      </c>
      <c r="I3381">
        <v>-81.817689999999999</v>
      </c>
      <c r="J3381">
        <v>-187.2253</v>
      </c>
      <c r="K3381">
        <v>1.1221509999999999</v>
      </c>
      <c r="L3381">
        <v>173.1173</v>
      </c>
      <c r="M3381">
        <v>2.889717E-3</v>
      </c>
      <c r="N3381">
        <v>-1.3631870000000001E-2</v>
      </c>
      <c r="O3381">
        <v>-0.99990279999999998</v>
      </c>
      <c r="P3381">
        <v>-8.1046099999999996E-2</v>
      </c>
      <c r="Q3381">
        <v>0.18137410000000001</v>
      </c>
      <c r="R3381">
        <v>-0.98006879999999996</v>
      </c>
      <c r="S3381">
        <v>-0.17861939999999901</v>
      </c>
      <c r="T3381">
        <v>7.7009800000000003E-2</v>
      </c>
      <c r="U3381">
        <v>-3.031784</v>
      </c>
      <c r="V3381">
        <v>8.3423549999999999E-2</v>
      </c>
      <c r="W3381">
        <v>0.19490969999999999</v>
      </c>
      <c r="X3381">
        <v>0.977267</v>
      </c>
      <c r="Y3381">
        <v>6.1658610000000003E-2</v>
      </c>
      <c r="Z3381">
        <v>-3.8972640000000003E-2</v>
      </c>
      <c r="AA3381">
        <v>0.99733609999999995</v>
      </c>
      <c r="AB3381">
        <v>30</v>
      </c>
      <c r="AC3381">
        <v>-15.038099999999901</v>
      </c>
      <c r="AD3381">
        <v>6.4827779999999997</v>
      </c>
      <c r="AE3381">
        <v>-254.93499</v>
      </c>
      <c r="AF3381">
        <v>15.764636995124199</v>
      </c>
      <c r="AG3381">
        <v>6.4827779999999997</v>
      </c>
      <c r="AH3381">
        <v>254.72632010200601</v>
      </c>
      <c r="AI3381">
        <v>88.544921400041105</v>
      </c>
      <c r="AJ3381">
        <v>86.458565391850598</v>
      </c>
      <c r="AK3381">
        <v>255.29600142363199</v>
      </c>
      <c r="AL3381">
        <v>78.760551826141594</v>
      </c>
      <c r="AM3381">
        <v>85.120824099820396</v>
      </c>
      <c r="AN3381">
        <v>1.00000003456884</v>
      </c>
    </row>
    <row r="3382" spans="1:40" x14ac:dyDescent="0.25">
      <c r="A3382" t="str">
        <f>"20190303171043982"</f>
        <v>20190303171043982</v>
      </c>
      <c r="B3382" t="str">
        <f>"1551604243973998"</f>
        <v>1551604243973998</v>
      </c>
      <c r="C3382" t="s">
        <v>40</v>
      </c>
      <c r="D3382">
        <v>5.1418229999999996</v>
      </c>
      <c r="E3382">
        <v>0.4969152</v>
      </c>
      <c r="F3382" t="s">
        <v>86</v>
      </c>
      <c r="G3382">
        <v>-202.43389999999999</v>
      </c>
      <c r="H3382">
        <v>6.9747309999999896</v>
      </c>
      <c r="I3382">
        <v>-80.066029999999998</v>
      </c>
      <c r="J3382">
        <v>-187.22309999999999</v>
      </c>
      <c r="K3382">
        <v>1.1221159999999999</v>
      </c>
      <c r="L3382">
        <v>172.80250000000001</v>
      </c>
      <c r="M3382">
        <v>4.0477940000000004E-3</v>
      </c>
      <c r="N3382">
        <v>-1.3629509999999999E-2</v>
      </c>
      <c r="O3382">
        <v>-0.99989899999999998</v>
      </c>
      <c r="P3382">
        <v>-7.9960820000000002E-2</v>
      </c>
      <c r="Q3382">
        <v>0.1809201</v>
      </c>
      <c r="R3382">
        <v>-0.98024199999999995</v>
      </c>
      <c r="S3382">
        <v>-0.18218989999999999</v>
      </c>
      <c r="T3382">
        <v>7.0110560000000002E-2</v>
      </c>
      <c r="U3382">
        <v>-3.0329899999999999</v>
      </c>
      <c r="V3382">
        <v>8.3492540000000004E-2</v>
      </c>
      <c r="W3382">
        <v>0.1944467</v>
      </c>
      <c r="X3382">
        <v>0.97735329999999998</v>
      </c>
      <c r="Y3382">
        <v>6.3965480000000005E-2</v>
      </c>
      <c r="Z3382">
        <v>-3.6690470000000003E-2</v>
      </c>
      <c r="AA3382">
        <v>0.99727739999999998</v>
      </c>
      <c r="AB3382">
        <v>30</v>
      </c>
      <c r="AC3382">
        <v>-15.210800000000001</v>
      </c>
      <c r="AD3382">
        <v>5.8526149999999904</v>
      </c>
      <c r="AE3382">
        <v>-252.86852999999999</v>
      </c>
      <c r="AF3382">
        <v>16.2256695575003</v>
      </c>
      <c r="AG3382">
        <v>5.8526149999999904</v>
      </c>
      <c r="AH3382">
        <v>252.67001831043001</v>
      </c>
      <c r="AI3382">
        <v>88.675817292427197</v>
      </c>
      <c r="AJ3382">
        <v>86.325691391275399</v>
      </c>
      <c r="AK3382">
        <v>253.258096825986</v>
      </c>
      <c r="AL3382">
        <v>78.787596813435798</v>
      </c>
      <c r="AM3382">
        <v>85.117237698781594</v>
      </c>
      <c r="AN3382">
        <v>0.99999999819871499</v>
      </c>
    </row>
    <row r="3383" spans="1:40" x14ac:dyDescent="0.25">
      <c r="A3383" t="str">
        <f>"20190303171044003"</f>
        <v>20190303171044003</v>
      </c>
      <c r="B3383" t="str">
        <f>"1551604243994494"</f>
        <v>1551604243994494</v>
      </c>
      <c r="C3383" t="s">
        <v>40</v>
      </c>
      <c r="D3383">
        <v>5.2332080000000003</v>
      </c>
      <c r="E3383">
        <v>0.49760969999999999</v>
      </c>
      <c r="F3383" t="s">
        <v>86</v>
      </c>
      <c r="G3383">
        <v>-203.18379999999999</v>
      </c>
      <c r="H3383">
        <v>9.460744</v>
      </c>
      <c r="I3383">
        <v>-81.818299999999994</v>
      </c>
      <c r="J3383">
        <v>-187.2208</v>
      </c>
      <c r="K3383">
        <v>1.122085</v>
      </c>
      <c r="L3383">
        <v>172.51490000000001</v>
      </c>
      <c r="M3383">
        <v>5.0753980000000001E-3</v>
      </c>
      <c r="N3383">
        <v>-1.3627429999999999E-2</v>
      </c>
      <c r="O3383">
        <v>-0.99989459999999997</v>
      </c>
      <c r="P3383">
        <v>-7.9934340000000006E-2</v>
      </c>
      <c r="Q3383">
        <v>0.1821863</v>
      </c>
      <c r="R3383">
        <v>-0.98001000000000005</v>
      </c>
      <c r="S3383">
        <v>-0.1897278</v>
      </c>
      <c r="T3383">
        <v>9.9122639999999998E-2</v>
      </c>
      <c r="U3383">
        <v>-3.0267179999999998</v>
      </c>
      <c r="V3383">
        <v>8.4481780000000006E-2</v>
      </c>
      <c r="W3383">
        <v>0.1957033</v>
      </c>
      <c r="X3383">
        <v>0.97701740000000004</v>
      </c>
      <c r="Y3383">
        <v>6.7568379999999997E-2</v>
      </c>
      <c r="Z3383">
        <v>-4.6280870000000002E-2</v>
      </c>
      <c r="AA3383">
        <v>0.99664070000000005</v>
      </c>
      <c r="AB3383">
        <v>30</v>
      </c>
      <c r="AC3383">
        <v>-15.9629999999999</v>
      </c>
      <c r="AD3383">
        <v>8.3386589999999998</v>
      </c>
      <c r="AE3383">
        <v>-254.33320000000001</v>
      </c>
      <c r="AF3383">
        <v>17.2353017059928</v>
      </c>
      <c r="AG3383">
        <v>8.3386589999999998</v>
      </c>
      <c r="AH3383">
        <v>253.97695748521301</v>
      </c>
      <c r="AI3383">
        <v>88.123832734187303</v>
      </c>
      <c r="AJ3383">
        <v>86.117764638963905</v>
      </c>
      <c r="AK3383">
        <v>254.69763209001499</v>
      </c>
      <c r="AL3383">
        <v>78.714188387556305</v>
      </c>
      <c r="AM3383">
        <v>85.057980111760401</v>
      </c>
      <c r="AN3383">
        <v>0.99999997634280802</v>
      </c>
    </row>
    <row r="3384" spans="1:40" x14ac:dyDescent="0.25">
      <c r="A3384" t="str">
        <f>"20190303171044016"</f>
        <v>20190303171044016</v>
      </c>
      <c r="B3384" t="str">
        <f>"1551604244004254"</f>
        <v>1551604244004254</v>
      </c>
      <c r="C3384" t="s">
        <v>40</v>
      </c>
      <c r="D3384">
        <v>5.3816160000000002</v>
      </c>
      <c r="E3384">
        <v>0.49800420000000001</v>
      </c>
      <c r="F3384" t="s">
        <v>86</v>
      </c>
      <c r="G3384">
        <v>-203.56559999999999</v>
      </c>
      <c r="H3384">
        <v>8.9538770000000003</v>
      </c>
      <c r="I3384">
        <v>-80.951599999999999</v>
      </c>
      <c r="J3384">
        <v>-187.2193</v>
      </c>
      <c r="K3384">
        <v>1.1220680000000001</v>
      </c>
      <c r="L3384">
        <v>172.33599999999899</v>
      </c>
      <c r="M3384">
        <v>5.7049539999999999E-3</v>
      </c>
      <c r="N3384">
        <v>-1.362618E-2</v>
      </c>
      <c r="O3384">
        <v>-0.99989110000000003</v>
      </c>
      <c r="P3384">
        <v>-8.0704990000000004E-2</v>
      </c>
      <c r="Q3384">
        <v>0.1832858</v>
      </c>
      <c r="R3384">
        <v>-0.9797418</v>
      </c>
      <c r="S3384">
        <v>-0.19525149999999999</v>
      </c>
      <c r="T3384">
        <v>9.3557119999999994E-2</v>
      </c>
      <c r="U3384">
        <v>-3.027863</v>
      </c>
      <c r="V3384">
        <v>8.5871539999999996E-2</v>
      </c>
      <c r="W3384">
        <v>0.19679740000000001</v>
      </c>
      <c r="X3384">
        <v>0.9766764</v>
      </c>
      <c r="Y3384">
        <v>6.9988510000000004E-2</v>
      </c>
      <c r="Z3384">
        <v>-4.4432720000000002E-2</v>
      </c>
      <c r="AA3384">
        <v>0.99655780000000005</v>
      </c>
      <c r="AB3384">
        <v>30</v>
      </c>
      <c r="AC3384">
        <v>-16.3462999999999</v>
      </c>
      <c r="AD3384">
        <v>7.8318089999999998</v>
      </c>
      <c r="AE3384">
        <v>-253.2876</v>
      </c>
      <c r="AF3384">
        <v>17.7742387117991</v>
      </c>
      <c r="AG3384">
        <v>7.8318089999999998</v>
      </c>
      <c r="AH3384">
        <v>252.94937594334999</v>
      </c>
      <c r="AI3384">
        <v>88.230936086597296</v>
      </c>
      <c r="AJ3384">
        <v>85.980548761456305</v>
      </c>
      <c r="AK3384">
        <v>253.694003839521</v>
      </c>
      <c r="AL3384">
        <v>78.650257725812807</v>
      </c>
      <c r="AM3384">
        <v>84.975349675962207</v>
      </c>
      <c r="AN3384">
        <v>0.99999996417284498</v>
      </c>
    </row>
    <row r="3385" spans="1:40" x14ac:dyDescent="0.25">
      <c r="A3385" t="str">
        <f>"20190303171044035"</f>
        <v>20190303171044035</v>
      </c>
      <c r="B3385" t="str">
        <f>"1551604244023774"</f>
        <v>1551604244023774</v>
      </c>
      <c r="C3385" t="s">
        <v>40</v>
      </c>
      <c r="D3385">
        <v>5.3487850000000003</v>
      </c>
      <c r="E3385">
        <v>0.49849939999999998</v>
      </c>
      <c r="F3385" t="s">
        <v>86</v>
      </c>
      <c r="G3385">
        <v>-203.82839999999999</v>
      </c>
      <c r="H3385">
        <v>7.9466890000000001</v>
      </c>
      <c r="I3385">
        <v>-80.951259999999905</v>
      </c>
      <c r="J3385">
        <v>-187.21680000000001</v>
      </c>
      <c r="K3385">
        <v>1.122052</v>
      </c>
      <c r="L3385">
        <v>172.07480000000001</v>
      </c>
      <c r="M3385">
        <v>6.6101700000000003E-3</v>
      </c>
      <c r="N3385">
        <v>-1.36244E-2</v>
      </c>
      <c r="O3385">
        <v>-0.99988560000000004</v>
      </c>
      <c r="P3385">
        <v>-8.3203429999999995E-2</v>
      </c>
      <c r="Q3385">
        <v>0.18435579999999999</v>
      </c>
      <c r="R3385">
        <v>-0.97933170000000003</v>
      </c>
      <c r="S3385">
        <v>-0.19871520000000001</v>
      </c>
      <c r="T3385">
        <v>8.1651210000000002E-2</v>
      </c>
      <c r="U3385">
        <v>-3.0303800000000001</v>
      </c>
      <c r="V3385">
        <v>8.9257470000000005E-2</v>
      </c>
      <c r="W3385">
        <v>0.19786329999999999</v>
      </c>
      <c r="X3385">
        <v>0.97615739999999995</v>
      </c>
      <c r="Y3385">
        <v>7.198185E-2</v>
      </c>
      <c r="Z3385">
        <v>-4.0489700000000003E-2</v>
      </c>
      <c r="AA3385">
        <v>0.99658380000000002</v>
      </c>
      <c r="AB3385">
        <v>30</v>
      </c>
      <c r="AC3385">
        <v>-16.6115999999999</v>
      </c>
      <c r="AD3385">
        <v>6.8246369999999903</v>
      </c>
      <c r="AE3385">
        <v>-253.02606</v>
      </c>
      <c r="AF3385">
        <v>18.270702334936399</v>
      </c>
      <c r="AG3385">
        <v>6.8246369999999903</v>
      </c>
      <c r="AH3385">
        <v>252.72764689674401</v>
      </c>
      <c r="AI3385">
        <v>88.4571897920504</v>
      </c>
      <c r="AJ3385">
        <v>85.865050347114703</v>
      </c>
      <c r="AK3385">
        <v>253.47910710738901</v>
      </c>
      <c r="AL3385">
        <v>78.587961925002404</v>
      </c>
      <c r="AM3385">
        <v>84.775540550547802</v>
      </c>
      <c r="AN3385">
        <v>1.00000002550622</v>
      </c>
    </row>
    <row r="3386" spans="1:40" x14ac:dyDescent="0.25">
      <c r="A3386" t="str">
        <f>"20190303171044048"</f>
        <v>20190303171044048</v>
      </c>
      <c r="B3386" t="str">
        <f>"1551604244034510"</f>
        <v>1551604244034510</v>
      </c>
      <c r="C3386" t="s">
        <v>40</v>
      </c>
      <c r="D3386">
        <v>5.2206219999999997</v>
      </c>
      <c r="E3386">
        <v>0.49865540000000003</v>
      </c>
      <c r="F3386" t="s">
        <v>86</v>
      </c>
      <c r="G3386">
        <v>-204.50700000000001</v>
      </c>
      <c r="H3386">
        <v>7.6235299999999997</v>
      </c>
      <c r="I3386">
        <v>-80.951160000000002</v>
      </c>
      <c r="J3386">
        <v>-187.21520000000001</v>
      </c>
      <c r="K3386">
        <v>1.1220410000000001</v>
      </c>
      <c r="L3386">
        <v>171.91569999999999</v>
      </c>
      <c r="M3386">
        <v>7.1578650000000002E-3</v>
      </c>
      <c r="N3386">
        <v>-1.3623369999999999E-2</v>
      </c>
      <c r="O3386">
        <v>-0.99988169999999998</v>
      </c>
      <c r="P3386">
        <v>-8.4055870000000005E-2</v>
      </c>
      <c r="Q3386">
        <v>0.1837309</v>
      </c>
      <c r="R3386">
        <v>-0.97937620000000003</v>
      </c>
      <c r="S3386">
        <v>-0.2071228</v>
      </c>
      <c r="T3386">
        <v>7.7882649999999998E-2</v>
      </c>
      <c r="U3386">
        <v>-3.0310519999999999</v>
      </c>
      <c r="V3386">
        <v>9.0649980000000005E-2</v>
      </c>
      <c r="W3386">
        <v>0.1972392</v>
      </c>
      <c r="X3386">
        <v>0.97615529999999995</v>
      </c>
      <c r="Y3386">
        <v>7.5268440000000006E-2</v>
      </c>
      <c r="Z3386">
        <v>-3.9239009999999998E-2</v>
      </c>
      <c r="AA3386">
        <v>0.99639100000000003</v>
      </c>
      <c r="AB3386">
        <v>30</v>
      </c>
      <c r="AC3386">
        <v>-17.291799999999899</v>
      </c>
      <c r="AD3386">
        <v>6.5014890000000003</v>
      </c>
      <c r="AE3386">
        <v>-252.86686</v>
      </c>
      <c r="AF3386">
        <v>19.088951315616299</v>
      </c>
      <c r="AG3386">
        <v>6.5014890000000003</v>
      </c>
      <c r="AH3386">
        <v>252.570409623438</v>
      </c>
      <c r="AI3386">
        <v>88.529649757805501</v>
      </c>
      <c r="AJ3386">
        <v>85.677874668902604</v>
      </c>
      <c r="AK3386">
        <v>253.374168452308</v>
      </c>
      <c r="AL3386">
        <v>78.624438167781804</v>
      </c>
      <c r="AM3386">
        <v>84.694483745624098</v>
      </c>
      <c r="AN3386">
        <v>0.99999994530436298</v>
      </c>
    </row>
    <row r="3387" spans="1:40" x14ac:dyDescent="0.25">
      <c r="A3387" t="str">
        <f>"20190303171044061"</f>
        <v>20190303171044061</v>
      </c>
      <c r="B3387" t="str">
        <f>"1551604244054030"</f>
        <v>1551604244054030</v>
      </c>
      <c r="C3387" t="s">
        <v>40</v>
      </c>
      <c r="D3387">
        <v>5.3476119999999998</v>
      </c>
      <c r="E3387">
        <v>0.49909219999999999</v>
      </c>
      <c r="F3387" t="s">
        <v>86</v>
      </c>
      <c r="G3387">
        <v>-204.78899999999999</v>
      </c>
      <c r="H3387">
        <v>8.0076889999999992</v>
      </c>
      <c r="I3387">
        <v>-80.95129</v>
      </c>
      <c r="J3387">
        <v>-187.2132</v>
      </c>
      <c r="K3387">
        <v>1.1220239999999999</v>
      </c>
      <c r="L3387">
        <v>171.73269999999999</v>
      </c>
      <c r="M3387">
        <v>7.7844359999999996E-3</v>
      </c>
      <c r="N3387">
        <v>-1.3622199999999999E-2</v>
      </c>
      <c r="O3387">
        <v>-0.99987689999999996</v>
      </c>
      <c r="P3387">
        <v>-8.3712030000000007E-2</v>
      </c>
      <c r="Q3387">
        <v>0.1816699</v>
      </c>
      <c r="R3387">
        <v>-0.97979000000000005</v>
      </c>
      <c r="S3387">
        <v>-0.21055599999999999</v>
      </c>
      <c r="T3387">
        <v>8.2498310000000005E-2</v>
      </c>
      <c r="U3387">
        <v>-3.0296479999999999</v>
      </c>
      <c r="V3387">
        <v>9.0929960000000004E-2</v>
      </c>
      <c r="W3387">
        <v>0.19518099999999999</v>
      </c>
      <c r="X3387">
        <v>0.97654289999999999</v>
      </c>
      <c r="Y3387">
        <v>7.7045080000000002E-2</v>
      </c>
      <c r="Z3387">
        <v>-4.0764139999999997E-2</v>
      </c>
      <c r="AA3387">
        <v>0.99619389999999997</v>
      </c>
      <c r="AB3387">
        <v>30</v>
      </c>
      <c r="AC3387">
        <v>-17.575800000000001</v>
      </c>
      <c r="AD3387">
        <v>6.8856650000000004</v>
      </c>
      <c r="AE3387">
        <v>-252.68398999999999</v>
      </c>
      <c r="AF3387">
        <v>19.528021200058401</v>
      </c>
      <c r="AG3387">
        <v>6.8856650000000004</v>
      </c>
      <c r="AH3387">
        <v>252.35301500030801</v>
      </c>
      <c r="AI3387">
        <v>88.441680635542596</v>
      </c>
      <c r="AJ3387">
        <v>85.575056532105805</v>
      </c>
      <c r="AK3387">
        <v>253.20110618681801</v>
      </c>
      <c r="AL3387">
        <v>78.744702221005198</v>
      </c>
      <c r="AM3387">
        <v>84.6802913192669</v>
      </c>
      <c r="AN3387">
        <v>0.99999995796350405</v>
      </c>
    </row>
    <row r="3388" spans="1:40" x14ac:dyDescent="0.25">
      <c r="A3388" t="str">
        <f>"20190303171044073"</f>
        <v>20190303171044073</v>
      </c>
      <c r="B3388" t="str">
        <f>"1551604244063790"</f>
        <v>1551604244063790</v>
      </c>
      <c r="C3388" t="s">
        <v>40</v>
      </c>
      <c r="D3388">
        <v>5.258286</v>
      </c>
      <c r="E3388">
        <v>0.49931950000000003</v>
      </c>
      <c r="F3388" t="s">
        <v>86</v>
      </c>
      <c r="G3388">
        <v>-204.7884</v>
      </c>
      <c r="H3388">
        <v>5.5246459999999997</v>
      </c>
      <c r="I3388">
        <v>-80.950459999999893</v>
      </c>
      <c r="J3388">
        <v>-187.21119999999999</v>
      </c>
      <c r="K3388">
        <v>1.122004</v>
      </c>
      <c r="L3388">
        <v>171.5539</v>
      </c>
      <c r="M3388">
        <v>8.3912680000000003E-3</v>
      </c>
      <c r="N3388">
        <v>-1.3621019999999999E-2</v>
      </c>
      <c r="O3388">
        <v>-0.99987210000000004</v>
      </c>
      <c r="P3388">
        <v>-8.3017450000000007E-2</v>
      </c>
      <c r="Q3388">
        <v>0.1789598</v>
      </c>
      <c r="R3388">
        <v>-0.98034759999999999</v>
      </c>
      <c r="S3388">
        <v>-0.2110291</v>
      </c>
      <c r="T3388">
        <v>5.2863359999999998E-2</v>
      </c>
      <c r="U3388">
        <v>-3.034027</v>
      </c>
      <c r="V3388">
        <v>9.084325E-2</v>
      </c>
      <c r="W3388">
        <v>0.19247520000000001</v>
      </c>
      <c r="X3388">
        <v>0.97708790000000001</v>
      </c>
      <c r="Y3388">
        <v>7.7724520000000005E-2</v>
      </c>
      <c r="Z3388">
        <v>-3.099391E-2</v>
      </c>
      <c r="AA3388">
        <v>0.99649299999999996</v>
      </c>
      <c r="AB3388">
        <v>30</v>
      </c>
      <c r="AC3388">
        <v>-17.577200000000001</v>
      </c>
      <c r="AD3388">
        <v>4.4026420000000002</v>
      </c>
      <c r="AE3388">
        <v>-252.50435999999999</v>
      </c>
      <c r="AF3388">
        <v>19.689652206460799</v>
      </c>
      <c r="AG3388">
        <v>4.4026420000000002</v>
      </c>
      <c r="AH3388">
        <v>252.27163623263201</v>
      </c>
      <c r="AI3388">
        <v>89.003207006212406</v>
      </c>
      <c r="AJ3388">
        <v>85.537145714350501</v>
      </c>
      <c r="AK3388">
        <v>253.077150505692</v>
      </c>
      <c r="AL3388">
        <v>78.902730386335506</v>
      </c>
      <c r="AM3388">
        <v>84.688282536775901</v>
      </c>
      <c r="AN3388">
        <v>0.999999981506006</v>
      </c>
    </row>
    <row r="3389" spans="1:40" x14ac:dyDescent="0.25">
      <c r="A3389" t="str">
        <f>"20190303171044088"</f>
        <v>20190303171044088</v>
      </c>
      <c r="B3389" t="str">
        <f>"1551604244074527"</f>
        <v>1551604244074527</v>
      </c>
      <c r="C3389" t="s">
        <v>40</v>
      </c>
      <c r="D3389">
        <v>5.2670459999999997</v>
      </c>
      <c r="E3389">
        <v>0.49948900000000002</v>
      </c>
      <c r="F3389" t="s">
        <v>86</v>
      </c>
      <c r="G3389">
        <v>-204.81129999999999</v>
      </c>
      <c r="H3389">
        <v>5.4091779999999998</v>
      </c>
      <c r="I3389">
        <v>-80.950419999999994</v>
      </c>
      <c r="J3389">
        <v>-187.20910000000001</v>
      </c>
      <c r="K3389">
        <v>1.1219790000000001</v>
      </c>
      <c r="L3389">
        <v>171.38030000000001</v>
      </c>
      <c r="M3389">
        <v>8.9641549999999997E-3</v>
      </c>
      <c r="N3389">
        <v>-1.361974E-2</v>
      </c>
      <c r="O3389">
        <v>-0.99986730000000001</v>
      </c>
      <c r="P3389">
        <v>-8.2685399999999895E-2</v>
      </c>
      <c r="Q3389">
        <v>0.17624970000000001</v>
      </c>
      <c r="R3389">
        <v>-0.98086700000000004</v>
      </c>
      <c r="S3389">
        <v>-0.21139530000000001</v>
      </c>
      <c r="T3389">
        <v>5.1493410000000003E-2</v>
      </c>
      <c r="U3389">
        <v>-3.0328369999999998</v>
      </c>
      <c r="V3389">
        <v>9.1088849999999999E-2</v>
      </c>
      <c r="W3389">
        <v>0.1897681</v>
      </c>
      <c r="X3389">
        <v>0.97759439999999997</v>
      </c>
      <c r="Y3389">
        <v>7.8443260000000001E-2</v>
      </c>
      <c r="Z3389">
        <v>-3.0548929999999998E-2</v>
      </c>
      <c r="AA3389">
        <v>0.99645039999999996</v>
      </c>
      <c r="AB3389">
        <v>30</v>
      </c>
      <c r="AC3389">
        <v>-17.6021999999999</v>
      </c>
      <c r="AD3389">
        <v>4.2871989999999904</v>
      </c>
      <c r="AE3389">
        <v>-252.33072000000001</v>
      </c>
      <c r="AF3389">
        <v>19.857928906984501</v>
      </c>
      <c r="AG3389">
        <v>4.2871989999999904</v>
      </c>
      <c r="AH3389">
        <v>252.09035690388799</v>
      </c>
      <c r="AI3389">
        <v>89.028696042437701</v>
      </c>
      <c r="AJ3389">
        <v>85.495936931412402</v>
      </c>
      <c r="AK3389">
        <v>252.90762238349001</v>
      </c>
      <c r="AL3389">
        <v>79.060748470804199</v>
      </c>
      <c r="AM3389">
        <v>84.676748059370894</v>
      </c>
      <c r="AN3389">
        <v>0.99999996064164498</v>
      </c>
    </row>
    <row r="3390" spans="1:40" x14ac:dyDescent="0.25">
      <c r="A3390" t="str">
        <f>"20190303171044103"</f>
        <v>20190303171044103</v>
      </c>
      <c r="B3390" t="str">
        <f>"1551604244094046"</f>
        <v>1551604244094046</v>
      </c>
      <c r="C3390" t="s">
        <v>40</v>
      </c>
      <c r="D3390">
        <v>5.3352069999999996</v>
      </c>
      <c r="E3390">
        <v>0.49995030000000001</v>
      </c>
      <c r="F3390" t="s">
        <v>86</v>
      </c>
      <c r="G3390">
        <v>-204.86240000000001</v>
      </c>
      <c r="H3390">
        <v>5.2829480000000002</v>
      </c>
      <c r="I3390">
        <v>-80.950389999999999</v>
      </c>
      <c r="J3390">
        <v>-187.2064</v>
      </c>
      <c r="K3390">
        <v>1.121918</v>
      </c>
      <c r="L3390">
        <v>171.1635</v>
      </c>
      <c r="M3390">
        <v>9.6326410000000008E-3</v>
      </c>
      <c r="N3390">
        <v>-1.3618E-2</v>
      </c>
      <c r="O3390">
        <v>-0.99986109999999995</v>
      </c>
      <c r="P3390">
        <v>-8.4718109999999999E-2</v>
      </c>
      <c r="Q3390">
        <v>0.17121929999999999</v>
      </c>
      <c r="R3390">
        <v>-0.98158409999999996</v>
      </c>
      <c r="S3390">
        <v>-0.21209720000000001</v>
      </c>
      <c r="T3390">
        <v>4.999232E-2</v>
      </c>
      <c r="U3390">
        <v>-3.031647</v>
      </c>
      <c r="V3390">
        <v>9.3809890000000007E-2</v>
      </c>
      <c r="W3390">
        <v>0.18474260000000001</v>
      </c>
      <c r="X3390">
        <v>0.97829949999999999</v>
      </c>
      <c r="Y3390">
        <v>7.9367240000000006E-2</v>
      </c>
      <c r="Z3390">
        <v>-3.0059869999999999E-2</v>
      </c>
      <c r="AA3390">
        <v>0.9963921</v>
      </c>
      <c r="AB3390">
        <v>30</v>
      </c>
      <c r="AC3390">
        <v>-17.655999999999999</v>
      </c>
      <c r="AD3390">
        <v>4.1610300000000002</v>
      </c>
      <c r="AE3390">
        <v>-252.11389</v>
      </c>
      <c r="AF3390">
        <v>20.078485254351399</v>
      </c>
      <c r="AG3390">
        <v>4.1610300000000002</v>
      </c>
      <c r="AH3390">
        <v>251.86382834883699</v>
      </c>
      <c r="AI3390">
        <v>89.056498119992597</v>
      </c>
      <c r="AJ3390">
        <v>85.442042302675205</v>
      </c>
      <c r="AK3390">
        <v>252.69714634578401</v>
      </c>
      <c r="AL3390">
        <v>79.353874399500896</v>
      </c>
      <c r="AM3390">
        <v>84.522611023186897</v>
      </c>
      <c r="AN3390">
        <v>1.0000000177084101</v>
      </c>
    </row>
    <row r="3391" spans="1:40" x14ac:dyDescent="0.25">
      <c r="A3391" t="str">
        <f>"20190303171044117"</f>
        <v>20190303171044117</v>
      </c>
      <c r="B3391" t="str">
        <f>"1551604244103807"</f>
        <v>1551604244103807</v>
      </c>
      <c r="C3391" t="s">
        <v>40</v>
      </c>
      <c r="D3391">
        <v>5.4127559999999999</v>
      </c>
      <c r="E3391">
        <v>0.50090519999999905</v>
      </c>
      <c r="F3391" t="s">
        <v>86</v>
      </c>
      <c r="G3391">
        <v>-205.5522</v>
      </c>
      <c r="H3391">
        <v>3.5603940000000001</v>
      </c>
      <c r="I3391">
        <v>-80.949809999999999</v>
      </c>
      <c r="J3391">
        <v>-187.20419999999999</v>
      </c>
      <c r="K3391">
        <v>1.1218539999999999</v>
      </c>
      <c r="L3391">
        <v>170.98519999999999</v>
      </c>
      <c r="M3391">
        <v>1.0134489999999999E-2</v>
      </c>
      <c r="N3391">
        <v>-1.361644E-2</v>
      </c>
      <c r="O3391">
        <v>-0.99985610000000003</v>
      </c>
      <c r="P3391">
        <v>-8.6318110000000003E-2</v>
      </c>
      <c r="Q3391">
        <v>0.16965810000000001</v>
      </c>
      <c r="R3391">
        <v>-0.98171580000000003</v>
      </c>
      <c r="S3391">
        <v>-0.22064210000000001</v>
      </c>
      <c r="T3391">
        <v>2.9327269999999999E-2</v>
      </c>
      <c r="U3391">
        <v>-3.0321349999999998</v>
      </c>
      <c r="V3391">
        <v>9.5928150000000004E-2</v>
      </c>
      <c r="W3391">
        <v>0.18317339999999999</v>
      </c>
      <c r="X3391">
        <v>0.97838910000000001</v>
      </c>
      <c r="Y3391">
        <v>8.2659120000000003E-2</v>
      </c>
      <c r="Z3391">
        <v>-2.326158E-2</v>
      </c>
      <c r="AA3391">
        <v>0.99630640000000004</v>
      </c>
      <c r="AB3391">
        <v>30</v>
      </c>
      <c r="AC3391">
        <v>-18.347999999999999</v>
      </c>
      <c r="AD3391">
        <v>2.4385400000000002</v>
      </c>
      <c r="AE3391">
        <v>-251.93501000000001</v>
      </c>
      <c r="AF3391">
        <v>20.898579086304899</v>
      </c>
      <c r="AG3391">
        <v>2.4385400000000002</v>
      </c>
      <c r="AH3391">
        <v>251.71264661816599</v>
      </c>
      <c r="AI3391">
        <v>89.446850818155895</v>
      </c>
      <c r="AJ3391">
        <v>85.253872238522504</v>
      </c>
      <c r="AK3391">
        <v>252.590485871261</v>
      </c>
      <c r="AL3391">
        <v>79.445343421758295</v>
      </c>
      <c r="AM3391">
        <v>84.400216934531002</v>
      </c>
      <c r="AN3391">
        <v>0.99999996771439503</v>
      </c>
    </row>
    <row r="3392" spans="1:40" x14ac:dyDescent="0.25">
      <c r="A3392" t="str">
        <f>"20190303171044136"</f>
        <v>20190303171044136</v>
      </c>
      <c r="B3392" t="str">
        <f>"1551604244124302"</f>
        <v>1551604244124302</v>
      </c>
      <c r="C3392" t="s">
        <v>40</v>
      </c>
      <c r="D3392">
        <v>5.2813739999999996</v>
      </c>
      <c r="E3392">
        <v>0.56112059999999997</v>
      </c>
      <c r="F3392" t="s">
        <v>86</v>
      </c>
      <c r="G3392">
        <v>-206.55350000000001</v>
      </c>
      <c r="H3392">
        <v>3.6374010000000001</v>
      </c>
      <c r="I3392">
        <v>-80.949839999999995</v>
      </c>
      <c r="J3392">
        <v>-187.20070000000001</v>
      </c>
      <c r="K3392">
        <v>1.1217269999999999</v>
      </c>
      <c r="L3392">
        <v>170.71709999999999</v>
      </c>
      <c r="M3392">
        <v>1.071448E-2</v>
      </c>
      <c r="N3392">
        <v>-1.36136E-2</v>
      </c>
      <c r="O3392">
        <v>-0.99985009999999996</v>
      </c>
      <c r="P3392">
        <v>-9.1069419999999998E-2</v>
      </c>
      <c r="Q3392">
        <v>0.16825109999999999</v>
      </c>
      <c r="R3392">
        <v>-0.98152850000000003</v>
      </c>
      <c r="S3392">
        <v>-0.23272709999999999</v>
      </c>
      <c r="T3392">
        <v>3.0256269999999998E-2</v>
      </c>
      <c r="U3392">
        <v>-3.0301969999999998</v>
      </c>
      <c r="V3392">
        <v>0.10130690000000001</v>
      </c>
      <c r="W3392">
        <v>0.1817368</v>
      </c>
      <c r="X3392">
        <v>0.97811479999999995</v>
      </c>
      <c r="Y3392">
        <v>8.7233279999999996E-2</v>
      </c>
      <c r="Z3392">
        <v>-2.356747E-2</v>
      </c>
      <c r="AA3392">
        <v>0.99590909999999999</v>
      </c>
      <c r="AB3392">
        <v>30</v>
      </c>
      <c r="AC3392">
        <v>-19.352799999999998</v>
      </c>
      <c r="AD3392">
        <v>2.5156740000000002</v>
      </c>
      <c r="AE3392">
        <v>-251.66693999999899</v>
      </c>
      <c r="AF3392">
        <v>22.0462288056024</v>
      </c>
      <c r="AG3392">
        <v>2.5156740000000002</v>
      </c>
      <c r="AH3392">
        <v>251.42014240427699</v>
      </c>
      <c r="AI3392">
        <v>89.428916924424499</v>
      </c>
      <c r="AJ3392">
        <v>84.9887338040174</v>
      </c>
      <c r="AK3392">
        <v>252.397410499415</v>
      </c>
      <c r="AL3392">
        <v>79.529059685774797</v>
      </c>
      <c r="AM3392">
        <v>84.086752784643906</v>
      </c>
      <c r="AN3392">
        <v>0.99999995722044399</v>
      </c>
    </row>
    <row r="3393" spans="1:40" x14ac:dyDescent="0.25">
      <c r="A3393" t="str">
        <f>"20190303171044149"</f>
        <v>20190303171044149</v>
      </c>
      <c r="B3393" t="str">
        <f>"1551604244144798"</f>
        <v>1551604244144798</v>
      </c>
      <c r="C3393" t="s">
        <v>40</v>
      </c>
      <c r="D3393">
        <v>5.3241319999999996</v>
      </c>
      <c r="E3393">
        <v>0.57684579999999996</v>
      </c>
      <c r="F3393" t="s">
        <v>87</v>
      </c>
      <c r="G3393">
        <v>-211.4187</v>
      </c>
      <c r="H3393">
        <v>0.95937989999999995</v>
      </c>
      <c r="I3393">
        <v>70.567830000000001</v>
      </c>
      <c r="J3393">
        <v>-187.19839999999999</v>
      </c>
      <c r="K3393">
        <v>1.1216140000000001</v>
      </c>
      <c r="L3393">
        <v>170.53460000000001</v>
      </c>
      <c r="M3393">
        <v>1.0967589999999999E-2</v>
      </c>
      <c r="N3393">
        <v>-1.361212E-2</v>
      </c>
      <c r="O3393">
        <v>-0.99984740000000005</v>
      </c>
      <c r="P3393">
        <v>-9.2674950000000006E-2</v>
      </c>
      <c r="Q3393">
        <v>0.16854859999999999</v>
      </c>
      <c r="R3393">
        <v>-0.98132730000000001</v>
      </c>
      <c r="S3393">
        <v>-0.72308349999999999</v>
      </c>
      <c r="T3393">
        <v>-4.8466919999999997E-3</v>
      </c>
      <c r="U3393">
        <v>-2.990189</v>
      </c>
      <c r="V3393">
        <v>0.1032132</v>
      </c>
      <c r="W3393">
        <v>0.18200089999999999</v>
      </c>
      <c r="X3393">
        <v>0.97786640000000002</v>
      </c>
      <c r="Y3393">
        <v>0.24564920000000001</v>
      </c>
      <c r="Z3393">
        <v>-1.2056829999999999E-2</v>
      </c>
      <c r="AA3393">
        <v>0.96928380000000003</v>
      </c>
      <c r="AB3393">
        <v>30</v>
      </c>
      <c r="AC3393">
        <v>-24.220300000000002</v>
      </c>
      <c r="AD3393">
        <v>-0.16223409999999899</v>
      </c>
      <c r="AE3393">
        <v>-99.966769999999997</v>
      </c>
      <c r="AF3393">
        <v>25.3152759201866</v>
      </c>
      <c r="AG3393">
        <v>-0.16223409999999899</v>
      </c>
      <c r="AH3393">
        <v>99.694845412376907</v>
      </c>
      <c r="AI3393">
        <v>90.090369756790494</v>
      </c>
      <c r="AJ3393">
        <v>75.752153818383903</v>
      </c>
      <c r="AK3393">
        <v>102.85889225835599</v>
      </c>
      <c r="AL3393">
        <v>79.513671626047</v>
      </c>
      <c r="AM3393">
        <v>83.974774476663697</v>
      </c>
      <c r="AN3393">
        <v>0.99999999425200503</v>
      </c>
    </row>
    <row r="3394" spans="1:40" x14ac:dyDescent="0.25">
      <c r="A3394" t="str">
        <f>"20190303171044167"</f>
        <v>20190303171044167</v>
      </c>
      <c r="B3394" t="str">
        <f>"1551604244154558"</f>
        <v>1551604244154558</v>
      </c>
      <c r="C3394" t="s">
        <v>40</v>
      </c>
      <c r="D3394">
        <v>5.2893650000000001</v>
      </c>
      <c r="E3394">
        <v>0.58420669999999897</v>
      </c>
      <c r="F3394" t="s">
        <v>84</v>
      </c>
      <c r="G3394">
        <v>-199.4247</v>
      </c>
      <c r="H3394" s="1">
        <v>-5.6949119999999998E-6</v>
      </c>
      <c r="I3394">
        <v>127.43340000000001</v>
      </c>
      <c r="J3394">
        <v>-187.19569999999999</v>
      </c>
      <c r="K3394">
        <v>1.121445</v>
      </c>
      <c r="L3394">
        <v>170.31030000000001</v>
      </c>
      <c r="M3394">
        <v>1.1139410000000001E-2</v>
      </c>
      <c r="N3394">
        <v>-1.3610819999999999E-2</v>
      </c>
      <c r="O3394">
        <v>-0.99984530000000005</v>
      </c>
      <c r="P3394">
        <v>-9.4048839999999995E-2</v>
      </c>
      <c r="Q3394">
        <v>0.16913259999999999</v>
      </c>
      <c r="R3394">
        <v>-0.98109570000000001</v>
      </c>
      <c r="S3394">
        <v>-0.84825130000000004</v>
      </c>
      <c r="T3394">
        <v>-7.7817440000000002E-2</v>
      </c>
      <c r="U3394">
        <v>-2.9903409999999999</v>
      </c>
      <c r="V3394">
        <v>0.104830199999999</v>
      </c>
      <c r="W3394">
        <v>0.18253720000000001</v>
      </c>
      <c r="X3394">
        <v>0.97759439999999997</v>
      </c>
      <c r="Y3394">
        <v>0.2835067</v>
      </c>
      <c r="Z3394">
        <v>1.135567E-2</v>
      </c>
      <c r="AA3394">
        <v>0.95890299999999995</v>
      </c>
      <c r="AB3394">
        <v>30</v>
      </c>
      <c r="AC3394">
        <v>-12.228999999999999</v>
      </c>
      <c r="AD3394">
        <v>-1.121450694912</v>
      </c>
      <c r="AE3394">
        <v>-42.876899999999999</v>
      </c>
      <c r="AF3394">
        <v>12.697875690429999</v>
      </c>
      <c r="AG3394">
        <v>-1.121450694912</v>
      </c>
      <c r="AH3394">
        <v>42.7109825350188</v>
      </c>
      <c r="AI3394">
        <v>91.441717356418806</v>
      </c>
      <c r="AJ3394">
        <v>73.442908881751194</v>
      </c>
      <c r="AK3394">
        <v>44.572656728283697</v>
      </c>
      <c r="AL3394">
        <v>79.482420520353401</v>
      </c>
      <c r="AM3394">
        <v>83.879400740959895</v>
      </c>
      <c r="AN3394">
        <v>1.00000000556362</v>
      </c>
    </row>
    <row r="3395" spans="1:40" x14ac:dyDescent="0.25">
      <c r="A3395" t="str">
        <f>"20190303171044183"</f>
        <v>20190303171044183</v>
      </c>
      <c r="B3395" t="str">
        <f>"1551604244174079"</f>
        <v>1551604244174079</v>
      </c>
      <c r="C3395" t="s">
        <v>40</v>
      </c>
      <c r="D3395">
        <v>5.1661530000000004</v>
      </c>
      <c r="E3395">
        <v>0.60745380000000004</v>
      </c>
      <c r="F3395" t="s">
        <v>84</v>
      </c>
      <c r="G3395">
        <v>-199.22980000000001</v>
      </c>
      <c r="H3395" s="1">
        <v>-6.6871519999999996E-6</v>
      </c>
      <c r="I3395">
        <v>130.87690000000001</v>
      </c>
      <c r="J3395">
        <v>-187.19309999999999</v>
      </c>
      <c r="K3395">
        <v>1.1212530000000001</v>
      </c>
      <c r="L3395">
        <v>170.0889</v>
      </c>
      <c r="M3395">
        <v>1.107788E-2</v>
      </c>
      <c r="N3395">
        <v>-1.361014E-2</v>
      </c>
      <c r="O3395">
        <v>-0.99984600000000001</v>
      </c>
      <c r="P3395">
        <v>-9.6611710000000003E-2</v>
      </c>
      <c r="Q3395">
        <v>0.17158789999999999</v>
      </c>
      <c r="R3395">
        <v>-0.98042010000000002</v>
      </c>
      <c r="S3395">
        <v>-0.91098020000000002</v>
      </c>
      <c r="T3395">
        <v>-8.4893940000000001E-2</v>
      </c>
      <c r="U3395">
        <v>-2.9851070000000002</v>
      </c>
      <c r="V3395">
        <v>0.1074198</v>
      </c>
      <c r="W3395">
        <v>0.18492810000000001</v>
      </c>
      <c r="X3395">
        <v>0.97686360000000005</v>
      </c>
      <c r="Y3395">
        <v>0.30235529999999999</v>
      </c>
      <c r="Z3395">
        <v>1.35125E-2</v>
      </c>
      <c r="AA3395">
        <v>0.95309949999999999</v>
      </c>
      <c r="AB3395">
        <v>30</v>
      </c>
      <c r="AC3395">
        <v>-12.0367</v>
      </c>
      <c r="AD3395">
        <v>-1.121259687152</v>
      </c>
      <c r="AE3395">
        <v>-39.211999999999897</v>
      </c>
      <c r="AF3395">
        <v>12.461075785471699</v>
      </c>
      <c r="AG3395">
        <v>-1.121259687152</v>
      </c>
      <c r="AH3395">
        <v>39.047061991495198</v>
      </c>
      <c r="AI3395">
        <v>91.5670114558731</v>
      </c>
      <c r="AJ3395">
        <v>72.300574341027499</v>
      </c>
      <c r="AK3395">
        <v>41.002544837911898</v>
      </c>
      <c r="AL3395">
        <v>79.343059006134098</v>
      </c>
      <c r="AM3395">
        <v>83.724741182194805</v>
      </c>
      <c r="AN3395">
        <v>0.99999995430330402</v>
      </c>
    </row>
    <row r="3396" spans="1:40" x14ac:dyDescent="0.25">
      <c r="A3396" t="str">
        <f>"20190303171044205"</f>
        <v>20190303171044205</v>
      </c>
      <c r="B3396" t="str">
        <f>"1551604244194574"</f>
        <v>1551604244194574</v>
      </c>
      <c r="C3396" t="s">
        <v>40</v>
      </c>
      <c r="D3396">
        <v>5.1598639999999998</v>
      </c>
      <c r="E3396">
        <v>0.60835019999999995</v>
      </c>
      <c r="F3396" t="s">
        <v>43</v>
      </c>
      <c r="G3396">
        <v>-187.46350000000001</v>
      </c>
      <c r="H3396">
        <v>1.199897</v>
      </c>
      <c r="I3396">
        <v>169.3997</v>
      </c>
      <c r="J3396">
        <v>-187.1902</v>
      </c>
      <c r="K3396">
        <v>1.1209100000000001</v>
      </c>
      <c r="L3396">
        <v>169.79519999999999</v>
      </c>
      <c r="M3396">
        <v>1.051125E-2</v>
      </c>
      <c r="N3396">
        <v>-1.3611659999999999E-2</v>
      </c>
      <c r="O3396">
        <v>-0.99985239999999997</v>
      </c>
      <c r="P3396">
        <v>-0.1007844</v>
      </c>
      <c r="Q3396">
        <v>0.17491960000000001</v>
      </c>
      <c r="R3396">
        <v>-0.97941120000000004</v>
      </c>
      <c r="S3396">
        <v>-1.1331020000000001</v>
      </c>
      <c r="T3396">
        <v>0.32979449999999999</v>
      </c>
      <c r="U3396">
        <v>-2.890549</v>
      </c>
      <c r="V3396">
        <v>0.11119329999999999</v>
      </c>
      <c r="W3396">
        <v>0.18814980000000001</v>
      </c>
      <c r="X3396">
        <v>0.97582570000000002</v>
      </c>
      <c r="Y3396">
        <v>0.37236330000000001</v>
      </c>
      <c r="Z3396">
        <v>-0.1189591</v>
      </c>
      <c r="AA3396">
        <v>0.92043160000000002</v>
      </c>
      <c r="AB3396">
        <v>30</v>
      </c>
      <c r="AC3396">
        <v>-0.27330000000000598</v>
      </c>
      <c r="AD3396">
        <v>7.8986999999999905E-2</v>
      </c>
      <c r="AE3396">
        <v>-0.39549999999999802</v>
      </c>
      <c r="AF3396">
        <v>0.27014973517238799</v>
      </c>
      <c r="AG3396">
        <v>7.8986999999999905E-2</v>
      </c>
      <c r="AH3396">
        <v>0.38228528772304998</v>
      </c>
      <c r="AI3396">
        <v>80.422271177493599</v>
      </c>
      <c r="AJ3396">
        <v>54.752278483147599</v>
      </c>
      <c r="AK3396">
        <v>0.47472293687182099</v>
      </c>
      <c r="AL3396">
        <v>79.155172222047398</v>
      </c>
      <c r="AM3396">
        <v>83.499304142323595</v>
      </c>
      <c r="AN3396">
        <v>1.0000000469927</v>
      </c>
    </row>
    <row r="3397" spans="1:40" x14ac:dyDescent="0.25">
      <c r="A3397" t="str">
        <f>"20190303171044226"</f>
        <v>20190303171044226</v>
      </c>
      <c r="B3397" t="str">
        <f>"1551604244214094"</f>
        <v>1551604244214094</v>
      </c>
      <c r="C3397" t="s">
        <v>40</v>
      </c>
      <c r="D3397">
        <v>5.3117679999999998</v>
      </c>
      <c r="E3397">
        <v>0.61297769999999996</v>
      </c>
      <c r="F3397" t="s">
        <v>43</v>
      </c>
      <c r="G3397">
        <v>-187.46129999999999</v>
      </c>
      <c r="H3397">
        <v>1.1987410000000001</v>
      </c>
      <c r="I3397">
        <v>169.1163</v>
      </c>
      <c r="J3397">
        <v>-187.18819999999999</v>
      </c>
      <c r="K3397">
        <v>1.1205229999999999</v>
      </c>
      <c r="L3397">
        <v>169.5128</v>
      </c>
      <c r="M3397">
        <v>9.4257130000000005E-3</v>
      </c>
      <c r="N3397">
        <v>-1.361801E-2</v>
      </c>
      <c r="O3397">
        <v>-0.9998631</v>
      </c>
      <c r="P3397">
        <v>-0.10722329999999999</v>
      </c>
      <c r="Q3397">
        <v>0.17777509999999999</v>
      </c>
      <c r="R3397">
        <v>-0.97821270000000005</v>
      </c>
      <c r="S3397">
        <v>-1.151932</v>
      </c>
      <c r="T3397">
        <v>0.33077899999999999</v>
      </c>
      <c r="U3397">
        <v>-2.8854519999999999</v>
      </c>
      <c r="V3397">
        <v>0.1167527</v>
      </c>
      <c r="W3397">
        <v>0.19087419999999999</v>
      </c>
      <c r="X3397">
        <v>0.97464649999999997</v>
      </c>
      <c r="Y3397">
        <v>0.3770888</v>
      </c>
      <c r="Z3397">
        <v>-0.11922089999999901</v>
      </c>
      <c r="AA3397">
        <v>0.91847179999999995</v>
      </c>
      <c r="AB3397">
        <v>30</v>
      </c>
      <c r="AC3397">
        <v>-0.27309999999999901</v>
      </c>
      <c r="AD3397">
        <v>7.8218000000000107E-2</v>
      </c>
      <c r="AE3397">
        <v>-0.39650000000000302</v>
      </c>
      <c r="AF3397">
        <v>0.26970682335174201</v>
      </c>
      <c r="AG3397">
        <v>7.8218000000000107E-2</v>
      </c>
      <c r="AH3397">
        <v>0.38377847473600502</v>
      </c>
      <c r="AI3397">
        <v>80.532985235905102</v>
      </c>
      <c r="AJ3397">
        <v>54.901719502298697</v>
      </c>
      <c r="AK3397">
        <v>0.47554783540374002</v>
      </c>
      <c r="AL3397">
        <v>78.996193840058893</v>
      </c>
      <c r="AM3397">
        <v>83.169100029046305</v>
      </c>
      <c r="AN3397">
        <v>0.99999997657258899</v>
      </c>
    </row>
    <row r="3398" spans="1:40" x14ac:dyDescent="0.25">
      <c r="A3398" t="str">
        <f>"20190303171044249"</f>
        <v>20190303171044249</v>
      </c>
      <c r="B3398" t="str">
        <f>"1551604244244351"</f>
        <v>1551604244244351</v>
      </c>
      <c r="C3398" t="s">
        <v>40</v>
      </c>
      <c r="D3398">
        <v>5.1478000000000002</v>
      </c>
      <c r="E3398">
        <v>0.6081299</v>
      </c>
      <c r="F3398" t="s">
        <v>84</v>
      </c>
      <c r="G3398">
        <v>-203.14439999999999</v>
      </c>
      <c r="H3398">
        <v>4.6085710000000002E-2</v>
      </c>
      <c r="I3398">
        <v>129.57089999999999</v>
      </c>
      <c r="J3398">
        <v>-187.18690000000001</v>
      </c>
      <c r="K3398">
        <v>1.1200490000000001</v>
      </c>
      <c r="L3398">
        <v>169.20320000000001</v>
      </c>
      <c r="M3398">
        <v>7.6107199999999996E-3</v>
      </c>
      <c r="N3398">
        <v>-1.362912E-2</v>
      </c>
      <c r="O3398">
        <v>-0.9998783</v>
      </c>
      <c r="P3398">
        <v>-0.1129573</v>
      </c>
      <c r="Q3398">
        <v>0.1801856</v>
      </c>
      <c r="R3398">
        <v>-0.97712560000000004</v>
      </c>
      <c r="S3398">
        <v>-1.179276</v>
      </c>
      <c r="T3398">
        <v>-7.9408409999999999E-2</v>
      </c>
      <c r="U3398">
        <v>-2.951981</v>
      </c>
      <c r="V3398">
        <v>0.120938</v>
      </c>
      <c r="W3398">
        <v>0.1931331</v>
      </c>
      <c r="X3398">
        <v>0.97369070000000002</v>
      </c>
      <c r="Y3398">
        <v>0.37791740000000001</v>
      </c>
      <c r="Z3398">
        <v>1.128791E-2</v>
      </c>
      <c r="AA3398">
        <v>0.92577050000000005</v>
      </c>
      <c r="AB3398">
        <v>30</v>
      </c>
      <c r="AC3398">
        <v>-15.9574999999999</v>
      </c>
      <c r="AD3398">
        <v>-1.07396329</v>
      </c>
      <c r="AE3398">
        <v>-39.632300000000001</v>
      </c>
      <c r="AF3398">
        <v>16.2484291157499</v>
      </c>
      <c r="AG3398">
        <v>-1.07396329</v>
      </c>
      <c r="AH3398">
        <v>39.484743269729002</v>
      </c>
      <c r="AI3398">
        <v>91.440855581416002</v>
      </c>
      <c r="AJ3398">
        <v>67.632266551982198</v>
      </c>
      <c r="AK3398">
        <v>42.710769098135302</v>
      </c>
      <c r="AL3398">
        <v>78.864314766811304</v>
      </c>
      <c r="AM3398">
        <v>82.919794138165003</v>
      </c>
      <c r="AN3398">
        <v>0.99999998671305002</v>
      </c>
    </row>
    <row r="3399" spans="1:40" x14ac:dyDescent="0.25">
      <c r="A3399" t="str">
        <f>"20190303171044262"</f>
        <v>20190303171044262</v>
      </c>
      <c r="B3399" t="str">
        <f>"1551604244254110"</f>
        <v>1551604244254110</v>
      </c>
      <c r="C3399" t="s">
        <v>40</v>
      </c>
      <c r="D3399">
        <v>5.1664070000000004</v>
      </c>
      <c r="E3399">
        <v>0.60759649999999998</v>
      </c>
      <c r="F3399" t="s">
        <v>87</v>
      </c>
      <c r="G3399">
        <v>-216.91460000000001</v>
      </c>
      <c r="H3399">
        <v>9.4185770000000009</v>
      </c>
      <c r="I3399">
        <v>97.150030000000001</v>
      </c>
      <c r="J3399">
        <v>-187.1867</v>
      </c>
      <c r="K3399">
        <v>1.119758</v>
      </c>
      <c r="L3399">
        <v>169.01820000000001</v>
      </c>
      <c r="M3399">
        <v>6.1982729999999998E-3</v>
      </c>
      <c r="N3399">
        <v>-1.3637160000000001E-2</v>
      </c>
      <c r="O3399">
        <v>-0.99988790000000005</v>
      </c>
      <c r="P3399">
        <v>-0.115783</v>
      </c>
      <c r="Q3399">
        <v>0.18101320000000001</v>
      </c>
      <c r="R3399">
        <v>-0.9766418</v>
      </c>
      <c r="S3399">
        <v>-1.185028</v>
      </c>
      <c r="T3399">
        <v>0.33080320000000002</v>
      </c>
      <c r="U3399">
        <v>-2.8722379999999998</v>
      </c>
      <c r="V3399">
        <v>0.12252440000000001</v>
      </c>
      <c r="W3399">
        <v>0.19387090000000001</v>
      </c>
      <c r="X3399">
        <v>0.97334569999999998</v>
      </c>
      <c r="Y3399">
        <v>0.38462669999999999</v>
      </c>
      <c r="Z3399">
        <v>-0.1192998</v>
      </c>
      <c r="AA3399">
        <v>0.91533050000000005</v>
      </c>
      <c r="AB3399">
        <v>30</v>
      </c>
      <c r="AC3399">
        <v>-29.727900000000002</v>
      </c>
      <c r="AD3399">
        <v>8.2988189999999999</v>
      </c>
      <c r="AE3399">
        <v>-71.868169999999907</v>
      </c>
      <c r="AF3399">
        <v>29.833153568743001</v>
      </c>
      <c r="AG3399">
        <v>8.2988189999999999</v>
      </c>
      <c r="AH3399">
        <v>70.875533723533096</v>
      </c>
      <c r="AI3399">
        <v>83.840517007713103</v>
      </c>
      <c r="AJ3399">
        <v>67.172647235290896</v>
      </c>
      <c r="AK3399">
        <v>77.344868797138901</v>
      </c>
      <c r="AL3399">
        <v>78.821227771517798</v>
      </c>
      <c r="AM3399">
        <v>82.825365121031993</v>
      </c>
      <c r="AN3399">
        <v>1.00000000308533</v>
      </c>
    </row>
    <row r="3400" spans="1:40" x14ac:dyDescent="0.25">
      <c r="A3400" t="str">
        <f>"20190303171044275"</f>
        <v>20190303171044275</v>
      </c>
      <c r="B3400" t="str">
        <f>"1551604244263871"</f>
        <v>1551604244263871</v>
      </c>
      <c r="C3400" t="s">
        <v>40</v>
      </c>
      <c r="D3400">
        <v>5.1623900000000003</v>
      </c>
      <c r="E3400">
        <v>0.60722089999999995</v>
      </c>
      <c r="F3400" t="s">
        <v>43</v>
      </c>
      <c r="G3400">
        <v>-187.46199999999999</v>
      </c>
      <c r="H3400">
        <v>1.1962569999999999</v>
      </c>
      <c r="I3400">
        <v>168.3544</v>
      </c>
      <c r="J3400">
        <v>-187.18690000000001</v>
      </c>
      <c r="K3400">
        <v>1.1194770000000001</v>
      </c>
      <c r="L3400">
        <v>168.84379999999999</v>
      </c>
      <c r="M3400">
        <v>4.6880450000000001E-3</v>
      </c>
      <c r="N3400">
        <v>-1.364518E-2</v>
      </c>
      <c r="O3400">
        <v>-0.99989609999999995</v>
      </c>
      <c r="P3400">
        <v>-0.1189726</v>
      </c>
      <c r="Q3400">
        <v>0.18215339999999999</v>
      </c>
      <c r="R3400">
        <v>-0.97604639999999998</v>
      </c>
      <c r="S3400">
        <v>-1.1892849999999999</v>
      </c>
      <c r="T3400">
        <v>0.33062029999999998</v>
      </c>
      <c r="U3400">
        <v>-2.869507</v>
      </c>
      <c r="V3400">
        <v>0.12437479999999999</v>
      </c>
      <c r="W3400">
        <v>0.19492190000000001</v>
      </c>
      <c r="X3400">
        <v>0.97290100000000002</v>
      </c>
      <c r="Y3400">
        <v>0.38470070000000001</v>
      </c>
      <c r="Z3400">
        <v>-0.1193091</v>
      </c>
      <c r="AA3400">
        <v>0.91529819999999995</v>
      </c>
      <c r="AB3400">
        <v>30</v>
      </c>
      <c r="AC3400">
        <v>-0.275100000000009</v>
      </c>
      <c r="AD3400">
        <v>7.6779999999999807E-2</v>
      </c>
      <c r="AE3400">
        <v>-0.48939999999998901</v>
      </c>
      <c r="AF3400">
        <v>0.27229860947156798</v>
      </c>
      <c r="AG3400">
        <v>7.6779999999999807E-2</v>
      </c>
      <c r="AH3400">
        <v>0.47914321368498197</v>
      </c>
      <c r="AI3400">
        <v>82.068703622673397</v>
      </c>
      <c r="AJ3400">
        <v>60.390293211538399</v>
      </c>
      <c r="AK3400">
        <v>0.55643500998815798</v>
      </c>
      <c r="AL3400">
        <v>78.759838719425005</v>
      </c>
      <c r="AM3400">
        <v>82.714873476519202</v>
      </c>
      <c r="AN3400">
        <v>0.99999999688782504</v>
      </c>
    </row>
    <row r="3401" spans="1:40" x14ac:dyDescent="0.25">
      <c r="A3401" t="str">
        <f>"20190303171044294"</f>
        <v>20190303171044294</v>
      </c>
      <c r="B3401" t="str">
        <f>"1551604244284366"</f>
        <v>1551604244284366</v>
      </c>
      <c r="C3401" t="s">
        <v>40</v>
      </c>
      <c r="D3401">
        <v>5.2508039999999996</v>
      </c>
      <c r="E3401">
        <v>0.61088050000000005</v>
      </c>
      <c r="F3401" t="s">
        <v>87</v>
      </c>
      <c r="G3401">
        <v>-217.08779999999999</v>
      </c>
      <c r="H3401">
        <v>9.4145330000000005</v>
      </c>
      <c r="I3401">
        <v>97.150019999999998</v>
      </c>
      <c r="J3401">
        <v>-187.18809999999999</v>
      </c>
      <c r="K3401">
        <v>1.119097</v>
      </c>
      <c r="L3401">
        <v>168.60290000000001</v>
      </c>
      <c r="M3401">
        <v>2.1588710000000001E-3</v>
      </c>
      <c r="N3401">
        <v>-1.365888E-2</v>
      </c>
      <c r="O3401">
        <v>-0.99990449999999997</v>
      </c>
      <c r="P3401">
        <v>-0.1250926</v>
      </c>
      <c r="Q3401">
        <v>0.18302689999999999</v>
      </c>
      <c r="R3401">
        <v>-0.97511709999999996</v>
      </c>
      <c r="S3401">
        <v>-1.1953279999999999</v>
      </c>
      <c r="T3401">
        <v>0.3316057</v>
      </c>
      <c r="U3401">
        <v>-2.8660429999999999</v>
      </c>
      <c r="V3401">
        <v>0.12821089999999999</v>
      </c>
      <c r="W3401">
        <v>0.19566500000000001</v>
      </c>
      <c r="X3401">
        <v>0.9722537</v>
      </c>
      <c r="Y3401">
        <v>0.3843878</v>
      </c>
      <c r="Z3401">
        <v>-0.1197116</v>
      </c>
      <c r="AA3401">
        <v>0.91537710000000005</v>
      </c>
      <c r="AB3401">
        <v>30</v>
      </c>
      <c r="AC3401">
        <v>-29.899699999999999</v>
      </c>
      <c r="AD3401">
        <v>8.2954360000000005</v>
      </c>
      <c r="AE3401">
        <v>-71.452879999999993</v>
      </c>
      <c r="AF3401">
        <v>29.7130934322782</v>
      </c>
      <c r="AG3401">
        <v>8.2954360000000005</v>
      </c>
      <c r="AH3401">
        <v>70.578621957138495</v>
      </c>
      <c r="AI3401">
        <v>83.817460260839496</v>
      </c>
      <c r="AJ3401">
        <v>67.169256540470897</v>
      </c>
      <c r="AK3401">
        <v>77.026125808806299</v>
      </c>
      <c r="AL3401">
        <v>78.716426829385199</v>
      </c>
      <c r="AM3401">
        <v>82.4877620097364</v>
      </c>
      <c r="AN3401">
        <v>1.0000000421337401</v>
      </c>
    </row>
    <row r="3402" spans="1:40" x14ac:dyDescent="0.25">
      <c r="A3402" t="str">
        <f>"20190303171044307"</f>
        <v>20190303171044307</v>
      </c>
      <c r="B3402" t="str">
        <f>"1551604244294126"</f>
        <v>1551604244294126</v>
      </c>
      <c r="C3402" t="s">
        <v>40</v>
      </c>
      <c r="D3402">
        <v>5.1718659999999996</v>
      </c>
      <c r="E3402">
        <v>0.61088050000000005</v>
      </c>
      <c r="F3402" t="s">
        <v>84</v>
      </c>
      <c r="G3402">
        <v>-203.91139999999999</v>
      </c>
      <c r="H3402">
        <v>7.9988050000000005E-2</v>
      </c>
      <c r="I3402">
        <v>128.29329999999999</v>
      </c>
      <c r="J3402">
        <v>-187.18979999999999</v>
      </c>
      <c r="K3402">
        <v>1.1188070000000001</v>
      </c>
      <c r="L3402">
        <v>168.41890000000001</v>
      </c>
      <c r="M3402" s="1">
        <v>-5.1816279999999999E-5</v>
      </c>
      <c r="N3402">
        <v>-1.367059E-2</v>
      </c>
      <c r="O3402">
        <v>-0.99990659999999998</v>
      </c>
      <c r="P3402">
        <v>-0.1289245</v>
      </c>
      <c r="Q3402">
        <v>0.18265909999999999</v>
      </c>
      <c r="R3402">
        <v>-0.97468690000000002</v>
      </c>
      <c r="S3402">
        <v>-1.217468</v>
      </c>
      <c r="T3402">
        <v>-7.5648069999999998E-2</v>
      </c>
      <c r="U3402">
        <v>-2.9345699999999999</v>
      </c>
      <c r="V3402">
        <v>0.13002130000000001</v>
      </c>
      <c r="W3402">
        <v>0.19520760000000001</v>
      </c>
      <c r="X3402">
        <v>0.97210510000000006</v>
      </c>
      <c r="Y3402">
        <v>0.38303999999999999</v>
      </c>
      <c r="Z3402">
        <v>1.013553E-2</v>
      </c>
      <c r="AA3402">
        <v>0.92367619999999895</v>
      </c>
      <c r="AB3402">
        <v>30</v>
      </c>
      <c r="AC3402">
        <v>-16.721599999999899</v>
      </c>
      <c r="AD3402">
        <v>-1.03881894999999</v>
      </c>
      <c r="AE3402">
        <v>-40.125599999999999</v>
      </c>
      <c r="AF3402">
        <v>16.7099779886249</v>
      </c>
      <c r="AG3402">
        <v>-1.03881894999999</v>
      </c>
      <c r="AH3402">
        <v>40.103564371837003</v>
      </c>
      <c r="AI3402">
        <v>91.369727126723603</v>
      </c>
      <c r="AJ3402">
        <v>67.379940884477506</v>
      </c>
      <c r="AK3402">
        <v>43.458007139275097</v>
      </c>
      <c r="AL3402">
        <v>78.743148005984096</v>
      </c>
      <c r="AM3402">
        <v>82.381771799885001</v>
      </c>
      <c r="AN3402">
        <v>0.99999993549872801</v>
      </c>
    </row>
    <row r="3403" spans="1:40" x14ac:dyDescent="0.25">
      <c r="A3403" t="str">
        <f>"20190303171044321"</f>
        <v>20190303171044321</v>
      </c>
      <c r="B3403" t="str">
        <f>"1551604244314622"</f>
        <v>1551604244314622</v>
      </c>
      <c r="C3403" t="s">
        <v>40</v>
      </c>
      <c r="D3403">
        <v>5.2820780000000003</v>
      </c>
      <c r="E3403">
        <v>0.60404349999999996</v>
      </c>
      <c r="F3403" t="s">
        <v>84</v>
      </c>
      <c r="G3403">
        <v>-203.74629999999999</v>
      </c>
      <c r="H3403">
        <v>7.9987920000000004E-2</v>
      </c>
      <c r="I3403">
        <v>128.9485</v>
      </c>
      <c r="J3403">
        <v>-187.19200000000001</v>
      </c>
      <c r="K3403">
        <v>1.1185149999999999</v>
      </c>
      <c r="L3403">
        <v>168.22909999999999</v>
      </c>
      <c r="M3403">
        <v>-2.511194E-3</v>
      </c>
      <c r="N3403">
        <v>-1.3682929999999999E-2</v>
      </c>
      <c r="O3403">
        <v>-0.9999034</v>
      </c>
      <c r="P3403">
        <v>-0.13299320000000001</v>
      </c>
      <c r="Q3403">
        <v>0.18223200000000001</v>
      </c>
      <c r="R3403">
        <v>-0.97422019999999998</v>
      </c>
      <c r="S3403">
        <v>-1.228958</v>
      </c>
      <c r="T3403">
        <v>-7.7109579999999997E-2</v>
      </c>
      <c r="U3403">
        <v>-2.9298099999999998</v>
      </c>
      <c r="V3403">
        <v>0.13182749999999999</v>
      </c>
      <c r="W3403">
        <v>0.194688</v>
      </c>
      <c r="X3403">
        <v>0.97196610000000006</v>
      </c>
      <c r="Y3403">
        <v>0.3843799</v>
      </c>
      <c r="Z3403">
        <v>1.0601330000000001E-2</v>
      </c>
      <c r="AA3403">
        <v>0.92311410000000005</v>
      </c>
      <c r="AB3403">
        <v>30</v>
      </c>
      <c r="AC3403">
        <v>-16.554299999999898</v>
      </c>
      <c r="AD3403">
        <v>-1.0385270799999999</v>
      </c>
      <c r="AE3403">
        <v>-39.2805999999999</v>
      </c>
      <c r="AF3403">
        <v>16.445835471940601</v>
      </c>
      <c r="AG3403">
        <v>-1.0385270799999999</v>
      </c>
      <c r="AH3403">
        <v>39.298724184905801</v>
      </c>
      <c r="AI3403">
        <v>91.396475932690706</v>
      </c>
      <c r="AJ3403">
        <v>67.291534276777895</v>
      </c>
      <c r="AK3403">
        <v>42.613774362608801</v>
      </c>
      <c r="AL3403">
        <v>78.773502035933006</v>
      </c>
      <c r="AM3403">
        <v>82.276120109112398</v>
      </c>
      <c r="AN3403">
        <v>1.00000000332473</v>
      </c>
    </row>
    <row r="3404" spans="1:40" x14ac:dyDescent="0.25">
      <c r="A3404" t="str">
        <f>"20190303171044338"</f>
        <v>20190303171044338</v>
      </c>
      <c r="B3404" t="str">
        <f>"1551604244324382"</f>
        <v>1551604244324382</v>
      </c>
      <c r="C3404" t="s">
        <v>40</v>
      </c>
      <c r="D3404">
        <v>5.2603790000000004</v>
      </c>
      <c r="E3404">
        <v>0.60916689999999996</v>
      </c>
      <c r="F3404" t="s">
        <v>43</v>
      </c>
      <c r="G3404">
        <v>-187.47450000000001</v>
      </c>
      <c r="H3404">
        <v>1.1907650000000001</v>
      </c>
      <c r="I3404">
        <v>167.5624</v>
      </c>
      <c r="J3404">
        <v>-187.19540000000001</v>
      </c>
      <c r="K3404">
        <v>1.1181810000000001</v>
      </c>
      <c r="L3404">
        <v>168.011</v>
      </c>
      <c r="M3404">
        <v>-5.5827430000000003E-3</v>
      </c>
      <c r="N3404">
        <v>-1.3697559999999999E-2</v>
      </c>
      <c r="O3404">
        <v>-0.99989070000000002</v>
      </c>
      <c r="P3404">
        <v>-0.13850670000000001</v>
      </c>
      <c r="Q3404">
        <v>0.17949509999999999</v>
      </c>
      <c r="R3404">
        <v>-0.97396000000000005</v>
      </c>
      <c r="S3404">
        <v>-1.209854</v>
      </c>
      <c r="T3404">
        <v>0.30951790000000001</v>
      </c>
      <c r="U3404">
        <v>-2.8563079999999998</v>
      </c>
      <c r="V3404">
        <v>0.13447770000000001</v>
      </c>
      <c r="W3404">
        <v>0.1918482</v>
      </c>
      <c r="X3404">
        <v>0.97216769999999997</v>
      </c>
      <c r="Y3404">
        <v>0.38259989999999999</v>
      </c>
      <c r="Z3404">
        <v>-0.1130002</v>
      </c>
      <c r="AA3404">
        <v>0.91697779999999995</v>
      </c>
      <c r="AB3404">
        <v>30</v>
      </c>
      <c r="AC3404">
        <v>-0.27909999999999902</v>
      </c>
      <c r="AD3404">
        <v>7.2584000000000204E-2</v>
      </c>
      <c r="AE3404">
        <v>-0.448599999999998</v>
      </c>
      <c r="AF3404">
        <v>0.27146734912963</v>
      </c>
      <c r="AG3404">
        <v>7.2584000000000204E-2</v>
      </c>
      <c r="AH3404">
        <v>0.44181257146346398</v>
      </c>
      <c r="AI3404">
        <v>82.031780370355193</v>
      </c>
      <c r="AJ3404">
        <v>58.431767441568098</v>
      </c>
      <c r="AK3404">
        <v>0.52360415105557301</v>
      </c>
      <c r="AL3404">
        <v>78.939337392387998</v>
      </c>
      <c r="AM3404">
        <v>82.124386219105901</v>
      </c>
      <c r="AN3404">
        <v>1.00000001028191</v>
      </c>
    </row>
    <row r="3405" spans="1:40" x14ac:dyDescent="0.25">
      <c r="A3405" t="str">
        <f>"20190303171044361"</f>
        <v>20190303171044361</v>
      </c>
      <c r="B3405" t="str">
        <f>"1551604244354639"</f>
        <v>1551604244354639</v>
      </c>
      <c r="C3405" t="s">
        <v>40</v>
      </c>
      <c r="D3405">
        <v>5.0959680000000001</v>
      </c>
      <c r="E3405">
        <v>0.60901280000000002</v>
      </c>
      <c r="F3405" t="s">
        <v>84</v>
      </c>
      <c r="G3405">
        <v>-203.1267</v>
      </c>
      <c r="H3405" s="1">
        <v>-5.4726020000000004E-6</v>
      </c>
      <c r="I3405">
        <v>130.65350000000001</v>
      </c>
      <c r="J3405">
        <v>-187.2021</v>
      </c>
      <c r="K3405">
        <v>1.1177619999999999</v>
      </c>
      <c r="L3405">
        <v>167.69640000000001</v>
      </c>
      <c r="M3405">
        <v>-1.047611E-2</v>
      </c>
      <c r="N3405">
        <v>-1.371844E-2</v>
      </c>
      <c r="O3405">
        <v>-0.99985109999999999</v>
      </c>
      <c r="P3405">
        <v>-0.14613029999999999</v>
      </c>
      <c r="Q3405">
        <v>0.177399</v>
      </c>
      <c r="R3405">
        <v>-0.97322960000000003</v>
      </c>
      <c r="S3405">
        <v>-1.244934</v>
      </c>
      <c r="T3405">
        <v>-8.7379219999999994E-2</v>
      </c>
      <c r="U3405">
        <v>-2.9192499999999999</v>
      </c>
      <c r="V3405">
        <v>0.1375072</v>
      </c>
      <c r="W3405">
        <v>0.1896168</v>
      </c>
      <c r="X3405">
        <v>0.97218170000000004</v>
      </c>
      <c r="Y3405">
        <v>0.38247500000000001</v>
      </c>
      <c r="Z3405">
        <v>1.38923E-2</v>
      </c>
      <c r="AA3405">
        <v>0.92386140000000005</v>
      </c>
      <c r="AB3405">
        <v>30</v>
      </c>
      <c r="AC3405">
        <v>-15.9245999999999</v>
      </c>
      <c r="AD3405">
        <v>-1.1177674726019999</v>
      </c>
      <c r="AE3405">
        <v>-37.042900000000003</v>
      </c>
      <c r="AF3405">
        <v>15.5236940114915</v>
      </c>
      <c r="AG3405">
        <v>-1.1177674726019999</v>
      </c>
      <c r="AH3405">
        <v>37.179138224485001</v>
      </c>
      <c r="AI3405">
        <v>91.589157268748593</v>
      </c>
      <c r="AJ3405">
        <v>67.337621474976999</v>
      </c>
      <c r="AK3405">
        <v>40.305369356955197</v>
      </c>
      <c r="AL3405">
        <v>79.069578167698694</v>
      </c>
      <c r="AM3405">
        <v>81.949380584777799</v>
      </c>
      <c r="AN3405">
        <v>1.0000000093544801</v>
      </c>
    </row>
    <row r="3406" spans="1:40" x14ac:dyDescent="0.25">
      <c r="A3406" t="str">
        <f>"20190303171044384"</f>
        <v>20190303171044384</v>
      </c>
      <c r="B3406" t="str">
        <f>"1551604244374158"</f>
        <v>1551604244374158</v>
      </c>
      <c r="C3406" t="s">
        <v>40</v>
      </c>
      <c r="D3406">
        <v>5.3882719999999997</v>
      </c>
      <c r="E3406">
        <v>0.60907699999999998</v>
      </c>
      <c r="F3406" t="s">
        <v>84</v>
      </c>
      <c r="G3406">
        <v>-202.71039999999999</v>
      </c>
      <c r="H3406" s="1">
        <v>-6.091896E-6</v>
      </c>
      <c r="I3406">
        <v>132.0668</v>
      </c>
      <c r="J3406">
        <v>-187.21080000000001</v>
      </c>
      <c r="K3406">
        <v>1.117402</v>
      </c>
      <c r="L3406">
        <v>167.38140000000001</v>
      </c>
      <c r="M3406">
        <v>-1.5777619999999999E-2</v>
      </c>
      <c r="N3406">
        <v>-1.373685E-2</v>
      </c>
      <c r="O3406">
        <v>-0.99978129999999998</v>
      </c>
      <c r="P3406">
        <v>-0.15634770000000001</v>
      </c>
      <c r="Q3406">
        <v>0.17450470000000001</v>
      </c>
      <c r="R3406">
        <v>-0.97216449999999999</v>
      </c>
      <c r="S3406">
        <v>-1.266205</v>
      </c>
      <c r="T3406">
        <v>-9.1262339999999997E-2</v>
      </c>
      <c r="U3406">
        <v>-2.9090419999999999</v>
      </c>
      <c r="V3406">
        <v>0.1427013</v>
      </c>
      <c r="W3406">
        <v>0.18657689999999999</v>
      </c>
      <c r="X3406">
        <v>0.97202129999999998</v>
      </c>
      <c r="Y3406">
        <v>0.38442749999999998</v>
      </c>
      <c r="Z3406">
        <v>1.515209E-2</v>
      </c>
      <c r="AA3406">
        <v>0.92303089999999999</v>
      </c>
      <c r="AB3406">
        <v>30</v>
      </c>
      <c r="AC3406">
        <v>-15.4995999999999</v>
      </c>
      <c r="AD3406">
        <v>-1.1174080918960001</v>
      </c>
      <c r="AE3406">
        <v>-35.314599999999999</v>
      </c>
      <c r="AF3406">
        <v>14.9279058858992</v>
      </c>
      <c r="AG3406">
        <v>-1.1174080918960001</v>
      </c>
      <c r="AH3406">
        <v>35.524950928705799</v>
      </c>
      <c r="AI3406">
        <v>91.660998897447499</v>
      </c>
      <c r="AJ3406">
        <v>67.207413381629394</v>
      </c>
      <c r="AK3406">
        <v>38.550137658237396</v>
      </c>
      <c r="AL3406">
        <v>79.246917040532296</v>
      </c>
      <c r="AM3406">
        <v>81.648135310564697</v>
      </c>
      <c r="AN3406">
        <v>1.0000000041444901</v>
      </c>
    </row>
    <row r="3407" spans="1:40" x14ac:dyDescent="0.25">
      <c r="A3407" t="str">
        <f>"20190303171044405"</f>
        <v>20190303171044405</v>
      </c>
      <c r="B3407" t="str">
        <f>"1551604244394654"</f>
        <v>1551604244394654</v>
      </c>
      <c r="C3407" t="s">
        <v>40</v>
      </c>
      <c r="D3407">
        <v>5.4213089999999999</v>
      </c>
      <c r="E3407">
        <v>0.63790880000000005</v>
      </c>
      <c r="F3407" t="s">
        <v>84</v>
      </c>
      <c r="G3407">
        <v>-201.744</v>
      </c>
      <c r="H3407" s="1">
        <v>-7.36611999999999E-6</v>
      </c>
      <c r="I3407">
        <v>134.90459999999999</v>
      </c>
      <c r="J3407">
        <v>-187.2201</v>
      </c>
      <c r="K3407">
        <v>1.117124</v>
      </c>
      <c r="L3407">
        <v>167.10550000000001</v>
      </c>
      <c r="M3407">
        <v>-2.0715689999999998E-2</v>
      </c>
      <c r="N3407">
        <v>-1.375198E-2</v>
      </c>
      <c r="O3407">
        <v>-0.99969090000000005</v>
      </c>
      <c r="P3407">
        <v>-0.16629959999999999</v>
      </c>
      <c r="Q3407">
        <v>0.1711551</v>
      </c>
      <c r="R3407">
        <v>-0.97110819999999998</v>
      </c>
      <c r="S3407">
        <v>-1.295685</v>
      </c>
      <c r="T3407">
        <v>-9.9620340000000002E-2</v>
      </c>
      <c r="U3407">
        <v>-2.8954010000000001</v>
      </c>
      <c r="V3407">
        <v>0.14794309999999999</v>
      </c>
      <c r="W3407">
        <v>0.18309980000000001</v>
      </c>
      <c r="X3407">
        <v>0.97189879999999995</v>
      </c>
      <c r="Y3407">
        <v>0.38928600000000002</v>
      </c>
      <c r="Z3407">
        <v>1.7827949999999999E-2</v>
      </c>
      <c r="AA3407">
        <v>0.9209444</v>
      </c>
      <c r="AB3407">
        <v>30</v>
      </c>
      <c r="AC3407">
        <v>-14.523899999999999</v>
      </c>
      <c r="AD3407">
        <v>-1.11713136612</v>
      </c>
      <c r="AE3407">
        <v>-32.200899999999997</v>
      </c>
      <c r="AF3407">
        <v>13.8398144111459</v>
      </c>
      <c r="AG3407">
        <v>-1.11713136612</v>
      </c>
      <c r="AH3407">
        <v>32.4624235615575</v>
      </c>
      <c r="AI3407">
        <v>91.813160549823905</v>
      </c>
      <c r="AJ3407">
        <v>66.909830598717093</v>
      </c>
      <c r="AK3407">
        <v>35.3071860803731</v>
      </c>
      <c r="AL3407">
        <v>79.449633149160803</v>
      </c>
      <c r="AM3407">
        <v>81.344839106180999</v>
      </c>
      <c r="AN3407">
        <v>0.999999987519545</v>
      </c>
    </row>
    <row r="3408" spans="1:40" x14ac:dyDescent="0.25">
      <c r="A3408" t="str">
        <f>"20190303171044427"</f>
        <v>20190303171044427</v>
      </c>
      <c r="B3408" t="str">
        <f>"1551604244423935"</f>
        <v>1551604244423935</v>
      </c>
      <c r="C3408" t="s">
        <v>40</v>
      </c>
      <c r="D3408">
        <v>5.2799659999999999</v>
      </c>
      <c r="E3408">
        <v>0.67428429999999995</v>
      </c>
      <c r="F3408" t="s">
        <v>84</v>
      </c>
      <c r="G3408">
        <v>-200.21979999999999</v>
      </c>
      <c r="H3408" s="1">
        <v>-1.044901E-5</v>
      </c>
      <c r="I3408">
        <v>143.24250000000001</v>
      </c>
      <c r="J3408">
        <v>-187.232</v>
      </c>
      <c r="K3408">
        <v>1.1168439999999999</v>
      </c>
      <c r="L3408">
        <v>166.80629999999999</v>
      </c>
      <c r="M3408">
        <v>-2.636579E-2</v>
      </c>
      <c r="N3408">
        <v>-1.3769170000000001E-2</v>
      </c>
      <c r="O3408">
        <v>-0.99955760000000005</v>
      </c>
      <c r="P3408">
        <v>-0.17560629999999999</v>
      </c>
      <c r="Q3408">
        <v>0.1668452</v>
      </c>
      <c r="R3408">
        <v>-0.9702191</v>
      </c>
      <c r="S3408">
        <v>-1.5510250000000001</v>
      </c>
      <c r="T3408">
        <v>-0.1332875</v>
      </c>
      <c r="U3408">
        <v>-2.847137</v>
      </c>
      <c r="V3408">
        <v>0.15183050000000001</v>
      </c>
      <c r="W3408">
        <v>0.1786769</v>
      </c>
      <c r="X3408">
        <v>0.97212240000000005</v>
      </c>
      <c r="Y3408">
        <v>0.45472200000000002</v>
      </c>
      <c r="Z3408">
        <v>2.7653629999999998E-2</v>
      </c>
      <c r="AA3408">
        <v>0.890204</v>
      </c>
      <c r="AB3408">
        <v>30</v>
      </c>
      <c r="AC3408">
        <v>-12.987799999999901</v>
      </c>
      <c r="AD3408">
        <v>-1.1168544490100001</v>
      </c>
      <c r="AE3408">
        <v>-23.563799999999901</v>
      </c>
      <c r="AF3408">
        <v>12.340683645682001</v>
      </c>
      <c r="AG3408">
        <v>-1.1168544490100001</v>
      </c>
      <c r="AH3408">
        <v>23.8569665229507</v>
      </c>
      <c r="AI3408">
        <v>92.381040541183197</v>
      </c>
      <c r="AJ3408">
        <v>62.648469438779102</v>
      </c>
      <c r="AK3408">
        <v>26.882981389352398</v>
      </c>
      <c r="AL3408">
        <v>79.707297002298603</v>
      </c>
      <c r="AM3408">
        <v>81.1230015000978</v>
      </c>
      <c r="AN3408">
        <v>0.999999947952808</v>
      </c>
    </row>
    <row r="3409" spans="1:40" x14ac:dyDescent="0.25">
      <c r="A3409" t="str">
        <f>"20190303171044442"</f>
        <v>20190303171044442</v>
      </c>
      <c r="B3409" t="str">
        <f>"1551604244434672"</f>
        <v>1551604244434672</v>
      </c>
      <c r="C3409" t="s">
        <v>40</v>
      </c>
      <c r="D3409">
        <v>5.2636849999999997</v>
      </c>
      <c r="E3409">
        <v>0.67666539999999997</v>
      </c>
      <c r="F3409" t="s">
        <v>89</v>
      </c>
      <c r="G3409">
        <v>-226.26159999999999</v>
      </c>
      <c r="H3409">
        <v>1.9621630000000001</v>
      </c>
      <c r="I3409">
        <v>109.6611</v>
      </c>
      <c r="J3409">
        <v>-187.2406</v>
      </c>
      <c r="K3409">
        <v>1.1166720000000001</v>
      </c>
      <c r="L3409">
        <v>166.61439999999999</v>
      </c>
      <c r="M3409">
        <v>-3.0140199999999999E-2</v>
      </c>
      <c r="N3409">
        <v>-1.3781089999999999E-2</v>
      </c>
      <c r="O3409">
        <v>-0.99945070000000003</v>
      </c>
      <c r="P3409">
        <v>-0.1808949</v>
      </c>
      <c r="Q3409">
        <v>0.16529769999999999</v>
      </c>
      <c r="R3409">
        <v>-0.9695125</v>
      </c>
      <c r="S3409">
        <v>-1.875275</v>
      </c>
      <c r="T3409">
        <v>4.0615800000000001E-2</v>
      </c>
      <c r="U3409">
        <v>-2.745682</v>
      </c>
      <c r="V3409">
        <v>0.1535099</v>
      </c>
      <c r="W3409">
        <v>0.17706459999999999</v>
      </c>
      <c r="X3409">
        <v>0.97215370000000001</v>
      </c>
      <c r="Y3409">
        <v>0.53865419999999997</v>
      </c>
      <c r="Z3409">
        <v>-2.5967750000000001E-2</v>
      </c>
      <c r="AA3409">
        <v>0.84212670000000001</v>
      </c>
      <c r="AB3409">
        <v>30</v>
      </c>
      <c r="AC3409">
        <v>-39.021000000000001</v>
      </c>
      <c r="AD3409">
        <v>0.84549099999999999</v>
      </c>
      <c r="AE3409">
        <v>-56.953299999999899</v>
      </c>
      <c r="AF3409">
        <v>37.2809303967787</v>
      </c>
      <c r="AG3409">
        <v>0.84549099999999999</v>
      </c>
      <c r="AH3409">
        <v>58.0949194177701</v>
      </c>
      <c r="AI3409">
        <v>89.298248124834601</v>
      </c>
      <c r="AJ3409">
        <v>57.310718235118799</v>
      </c>
      <c r="AK3409">
        <v>69.033341860565798</v>
      </c>
      <c r="AL3409">
        <v>79.801172372223803</v>
      </c>
      <c r="AM3409">
        <v>81.0266863726482</v>
      </c>
      <c r="AN3409">
        <v>0.99999998919742905</v>
      </c>
    </row>
    <row r="3410" spans="1:40" x14ac:dyDescent="0.25">
      <c r="A3410" t="str">
        <f>"20190303171044455"</f>
        <v>20190303171044455</v>
      </c>
      <c r="B3410" t="str">
        <f>"1551604244444430"</f>
        <v>1551604244444430</v>
      </c>
      <c r="C3410" t="s">
        <v>40</v>
      </c>
      <c r="D3410">
        <v>5.1378899999999996</v>
      </c>
      <c r="E3410">
        <v>0.67502309999999999</v>
      </c>
      <c r="F3410" t="s">
        <v>89</v>
      </c>
      <c r="G3410">
        <v>-226.39660000000001</v>
      </c>
      <c r="H3410">
        <v>1.4616629999999999</v>
      </c>
      <c r="I3410">
        <v>110.4829</v>
      </c>
      <c r="J3410">
        <v>-187.24959999999999</v>
      </c>
      <c r="K3410">
        <v>1.1165149999999999</v>
      </c>
      <c r="L3410">
        <v>166.4308</v>
      </c>
      <c r="M3410">
        <v>-3.3848789999999997E-2</v>
      </c>
      <c r="N3410">
        <v>-1.3793059999999999E-2</v>
      </c>
      <c r="O3410">
        <v>-0.99933179999999999</v>
      </c>
      <c r="P3410">
        <v>-0.18642539999999999</v>
      </c>
      <c r="Q3410">
        <v>0.16400439999999999</v>
      </c>
      <c r="R3410">
        <v>-0.96868379999999998</v>
      </c>
      <c r="S3410">
        <v>-1.908188</v>
      </c>
      <c r="T3410">
        <v>1.6813040000000001E-2</v>
      </c>
      <c r="U3410">
        <v>-2.7354579999999999</v>
      </c>
      <c r="V3410">
        <v>0.155499</v>
      </c>
      <c r="W3410">
        <v>0.17570350000000001</v>
      </c>
      <c r="X3410">
        <v>0.97208450000000002</v>
      </c>
      <c r="Y3410">
        <v>0.54390439999999995</v>
      </c>
      <c r="Z3410">
        <v>-1.8734859999999999E-2</v>
      </c>
      <c r="AA3410">
        <v>0.83893799999999996</v>
      </c>
      <c r="AB3410">
        <v>30</v>
      </c>
      <c r="AC3410">
        <v>-39.146999999999998</v>
      </c>
      <c r="AD3410">
        <v>0.34514800000000001</v>
      </c>
      <c r="AE3410">
        <v>-55.947899999999997</v>
      </c>
      <c r="AF3410">
        <v>37.229663108587097</v>
      </c>
      <c r="AG3410">
        <v>0.34514800000000001</v>
      </c>
      <c r="AH3410">
        <v>57.239576021121898</v>
      </c>
      <c r="AI3410">
        <v>89.710386538992296</v>
      </c>
      <c r="AJ3410">
        <v>56.959290531230501</v>
      </c>
      <c r="AK3410">
        <v>68.282765068489994</v>
      </c>
      <c r="AL3410">
        <v>79.880399612495097</v>
      </c>
      <c r="AM3410">
        <v>80.911706951848501</v>
      </c>
      <c r="AN3410">
        <v>0.99999996702674898</v>
      </c>
    </row>
    <row r="3411" spans="1:40" x14ac:dyDescent="0.25">
      <c r="A3411" t="str">
        <f>"20190303171044472"</f>
        <v>20190303171044472</v>
      </c>
      <c r="B3411" t="str">
        <f>"1551604244463950"</f>
        <v>1551604244463950</v>
      </c>
      <c r="C3411" t="s">
        <v>40</v>
      </c>
      <c r="D3411">
        <v>5.242197</v>
      </c>
      <c r="E3411">
        <v>0.67684580000000005</v>
      </c>
      <c r="F3411" t="s">
        <v>89</v>
      </c>
      <c r="G3411">
        <v>-226.1848</v>
      </c>
      <c r="H3411">
        <v>2.2908179999999998</v>
      </c>
      <c r="I3411">
        <v>111.0818</v>
      </c>
      <c r="J3411">
        <v>-187.262</v>
      </c>
      <c r="K3411">
        <v>1.11632</v>
      </c>
      <c r="L3411">
        <v>166.20590000000001</v>
      </c>
      <c r="M3411">
        <v>-3.8573540000000003E-2</v>
      </c>
      <c r="N3411">
        <v>-1.380959E-2</v>
      </c>
      <c r="O3411">
        <v>-0.9991603</v>
      </c>
      <c r="P3411">
        <v>-0.1956466</v>
      </c>
      <c r="Q3411">
        <v>0.1622884</v>
      </c>
      <c r="R3411">
        <v>-0.96715289999999998</v>
      </c>
      <c r="S3411">
        <v>-1.91275</v>
      </c>
      <c r="T3411">
        <v>5.7689669999999998E-2</v>
      </c>
      <c r="U3411">
        <v>-2.7191010000000002</v>
      </c>
      <c r="V3411">
        <v>0.1602227</v>
      </c>
      <c r="W3411">
        <v>0.1738729</v>
      </c>
      <c r="X3411">
        <v>0.97164649999999997</v>
      </c>
      <c r="Y3411">
        <v>0.54310579999999997</v>
      </c>
      <c r="Z3411">
        <v>-3.1173429999999999E-2</v>
      </c>
      <c r="AA3411">
        <v>0.83908530000000003</v>
      </c>
      <c r="AB3411">
        <v>30</v>
      </c>
      <c r="AC3411">
        <v>-38.922800000000002</v>
      </c>
      <c r="AD3411">
        <v>1.174498</v>
      </c>
      <c r="AE3411">
        <v>-55.124099999999999</v>
      </c>
      <c r="AF3411">
        <v>36.756157582700098</v>
      </c>
      <c r="AG3411">
        <v>1.174498</v>
      </c>
      <c r="AH3411">
        <v>56.567464168276501</v>
      </c>
      <c r="AI3411">
        <v>89.002569323190897</v>
      </c>
      <c r="AJ3411">
        <v>56.985172081525</v>
      </c>
      <c r="AK3411">
        <v>67.470531109703998</v>
      </c>
      <c r="AL3411">
        <v>79.986925568798398</v>
      </c>
      <c r="AM3411">
        <v>80.636296500257899</v>
      </c>
      <c r="AN3411">
        <v>1.00000000995597</v>
      </c>
    </row>
    <row r="3412" spans="1:40" x14ac:dyDescent="0.25">
      <c r="A3412" t="str">
        <f>"20190303171044484"</f>
        <v>20190303171044484</v>
      </c>
      <c r="B3412" t="str">
        <f>"1551604244474686"</f>
        <v>1551604244474686</v>
      </c>
      <c r="C3412" t="s">
        <v>40</v>
      </c>
      <c r="D3412">
        <v>5.1274579999999998</v>
      </c>
      <c r="E3412">
        <v>0.67552939999999995</v>
      </c>
      <c r="F3412" t="s">
        <v>89</v>
      </c>
      <c r="G3412">
        <v>-226.39660000000001</v>
      </c>
      <c r="H3412">
        <v>1.5725929999999999</v>
      </c>
      <c r="I3412">
        <v>111.96720000000001</v>
      </c>
      <c r="J3412">
        <v>-187.27170000000001</v>
      </c>
      <c r="K3412">
        <v>1.1161840000000001</v>
      </c>
      <c r="L3412">
        <v>166.0438</v>
      </c>
      <c r="M3412">
        <v>-4.2091950000000003E-2</v>
      </c>
      <c r="N3412">
        <v>-1.382238E-2</v>
      </c>
      <c r="O3412">
        <v>-0.99901819999999997</v>
      </c>
      <c r="P3412">
        <v>-0.2009978</v>
      </c>
      <c r="Q3412">
        <v>0.16167979999999901</v>
      </c>
      <c r="R3412">
        <v>-0.96615720000000005</v>
      </c>
      <c r="S3412">
        <v>-1.9506380000000001</v>
      </c>
      <c r="T3412">
        <v>2.2742869999999998E-2</v>
      </c>
      <c r="U3412">
        <v>-2.7034910000000001</v>
      </c>
      <c r="V3412">
        <v>0.16223129999999999</v>
      </c>
      <c r="W3412">
        <v>0.17319619999999999</v>
      </c>
      <c r="X3412">
        <v>0.97143409999999997</v>
      </c>
      <c r="Y3412">
        <v>0.55031529999999995</v>
      </c>
      <c r="Z3412">
        <v>-2.0536530000000001E-2</v>
      </c>
      <c r="AA3412">
        <v>0.83470440000000001</v>
      </c>
      <c r="AB3412">
        <v>30</v>
      </c>
      <c r="AC3412">
        <v>-39.124899999999997</v>
      </c>
      <c r="AD3412">
        <v>0.45640900000000001</v>
      </c>
      <c r="AE3412">
        <v>-54.076599999999999</v>
      </c>
      <c r="AF3412">
        <v>36.812090481546399</v>
      </c>
      <c r="AG3412">
        <v>0.45640900000000001</v>
      </c>
      <c r="AH3412">
        <v>55.673062362479101</v>
      </c>
      <c r="AI3412">
        <v>89.608199724210493</v>
      </c>
      <c r="AJ3412">
        <v>56.526562190241499</v>
      </c>
      <c r="AK3412">
        <v>66.744499306035195</v>
      </c>
      <c r="AL3412">
        <v>80.026295493732505</v>
      </c>
      <c r="AM3412">
        <v>80.518992793364006</v>
      </c>
      <c r="AN3412">
        <v>1.0000000645184599</v>
      </c>
    </row>
    <row r="3413" spans="1:40" x14ac:dyDescent="0.25">
      <c r="A3413" t="str">
        <f>"20190303171044498"</f>
        <v>20190303171044498</v>
      </c>
      <c r="B3413" t="str">
        <f>"1551604244494207"</f>
        <v>1551604244494207</v>
      </c>
      <c r="C3413" t="s">
        <v>40</v>
      </c>
      <c r="D3413">
        <v>5.2239380000000004</v>
      </c>
      <c r="E3413">
        <v>0.67652840000000003</v>
      </c>
      <c r="F3413" t="s">
        <v>89</v>
      </c>
      <c r="G3413">
        <v>-226.39680000000001</v>
      </c>
      <c r="H3413">
        <v>2.0552619999999999</v>
      </c>
      <c r="I3413">
        <v>112.2486</v>
      </c>
      <c r="J3413">
        <v>-187.28290000000001</v>
      </c>
      <c r="K3413">
        <v>1.1160270000000001</v>
      </c>
      <c r="L3413">
        <v>165.86529999999999</v>
      </c>
      <c r="M3413">
        <v>-4.6041279999999997E-2</v>
      </c>
      <c r="N3413">
        <v>-1.3836680000000001E-2</v>
      </c>
      <c r="O3413">
        <v>-0.99884379999999995</v>
      </c>
      <c r="P3413">
        <v>-0.2065746</v>
      </c>
      <c r="Q3413">
        <v>0.16115389999999999</v>
      </c>
      <c r="R3413">
        <v>-0.96506820000000004</v>
      </c>
      <c r="S3413">
        <v>-1.9565889999999999</v>
      </c>
      <c r="T3413">
        <v>4.6962259999999999E-2</v>
      </c>
      <c r="U3413">
        <v>-2.6902159999999999</v>
      </c>
      <c r="V3413">
        <v>0.16405980000000001</v>
      </c>
      <c r="W3413">
        <v>0.17259829999999901</v>
      </c>
      <c r="X3413">
        <v>0.97123340000000002</v>
      </c>
      <c r="Y3413">
        <v>0.55009419999999898</v>
      </c>
      <c r="Z3413">
        <v>-2.7924439999999998E-2</v>
      </c>
      <c r="AA3413">
        <v>0.83463559999999903</v>
      </c>
      <c r="AB3413">
        <v>30</v>
      </c>
      <c r="AC3413">
        <v>-39.113900000000001</v>
      </c>
      <c r="AD3413">
        <v>0.93923499999999904</v>
      </c>
      <c r="AE3413">
        <v>-53.616700000000002</v>
      </c>
      <c r="AF3413">
        <v>36.596266152685097</v>
      </c>
      <c r="AG3413">
        <v>0.93923499999999904</v>
      </c>
      <c r="AH3413">
        <v>55.349771462112201</v>
      </c>
      <c r="AI3413">
        <v>89.189040284650105</v>
      </c>
      <c r="AJ3413">
        <v>56.528044659587799</v>
      </c>
      <c r="AK3413">
        <v>66.360877477708499</v>
      </c>
      <c r="AL3413">
        <v>80.061076340830695</v>
      </c>
      <c r="AM3413">
        <v>80.412161007034001</v>
      </c>
      <c r="AN3413">
        <v>1.00000005420724</v>
      </c>
    </row>
    <row r="3414" spans="1:40" x14ac:dyDescent="0.25">
      <c r="A3414" t="str">
        <f>"20190303171044517"</f>
        <v>20190303171044517</v>
      </c>
      <c r="B3414" t="str">
        <f>"1551604244503966"</f>
        <v>1551604244503966</v>
      </c>
      <c r="C3414" t="s">
        <v>40</v>
      </c>
      <c r="D3414">
        <v>5.1257890000000002</v>
      </c>
      <c r="E3414">
        <v>0.67549239999999999</v>
      </c>
      <c r="F3414" t="s">
        <v>89</v>
      </c>
      <c r="G3414">
        <v>-226.39670000000001</v>
      </c>
      <c r="H3414">
        <v>1.6557900000000001</v>
      </c>
      <c r="I3414">
        <v>112.88890000000001</v>
      </c>
      <c r="J3414">
        <v>-187.3005</v>
      </c>
      <c r="K3414">
        <v>1.1158030000000001</v>
      </c>
      <c r="L3414">
        <v>165.6104</v>
      </c>
      <c r="M3414">
        <v>-5.1900219999999997E-2</v>
      </c>
      <c r="N3414">
        <v>-1.3859929999999999E-2</v>
      </c>
      <c r="O3414">
        <v>-0.9985562</v>
      </c>
      <c r="P3414">
        <v>-0.21465960000000001</v>
      </c>
      <c r="Q3414">
        <v>0.15990489999999999</v>
      </c>
      <c r="R3414">
        <v>-0.96351039999999999</v>
      </c>
      <c r="S3414">
        <v>-1.979034</v>
      </c>
      <c r="T3414">
        <v>2.7310609999999999E-2</v>
      </c>
      <c r="U3414">
        <v>-2.6804350000000001</v>
      </c>
      <c r="V3414">
        <v>0.1665779</v>
      </c>
      <c r="W3414">
        <v>0.1712497</v>
      </c>
      <c r="X3414">
        <v>0.9710434</v>
      </c>
      <c r="Y3414">
        <v>0.55125199999999996</v>
      </c>
      <c r="Z3414">
        <v>-2.1937069999999999E-2</v>
      </c>
      <c r="AA3414">
        <v>0.83405039999999997</v>
      </c>
      <c r="AB3414">
        <v>30</v>
      </c>
      <c r="AC3414">
        <v>-39.096200000000003</v>
      </c>
      <c r="AD3414">
        <v>0.53998699999999999</v>
      </c>
      <c r="AE3414">
        <v>-52.721499999999899</v>
      </c>
      <c r="AF3414">
        <v>36.304521740319601</v>
      </c>
      <c r="AG3414">
        <v>0.53998699999999999</v>
      </c>
      <c r="AH3414">
        <v>54.676027701157999</v>
      </c>
      <c r="AI3414">
        <v>89.528605853946999</v>
      </c>
      <c r="AJ3414">
        <v>56.416101815903602</v>
      </c>
      <c r="AK3414">
        <v>65.633664303703995</v>
      </c>
      <c r="AL3414">
        <v>80.139512508689407</v>
      </c>
      <c r="AM3414">
        <v>80.265926253992305</v>
      </c>
      <c r="AN3414">
        <v>0.99999997060102896</v>
      </c>
    </row>
    <row r="3415" spans="1:40" x14ac:dyDescent="0.25">
      <c r="A3415" t="str">
        <f>"20190303171044540"</f>
        <v>20190303171044540</v>
      </c>
      <c r="B3415" t="str">
        <f>"1551604244534223"</f>
        <v>1551604244534223</v>
      </c>
      <c r="C3415" t="s">
        <v>40</v>
      </c>
      <c r="D3415">
        <v>5.1308879999999997</v>
      </c>
      <c r="E3415">
        <v>0.67485769999999901</v>
      </c>
      <c r="F3415" t="s">
        <v>89</v>
      </c>
      <c r="G3415">
        <v>-226.39680000000001</v>
      </c>
      <c r="H3415">
        <v>2.023371</v>
      </c>
      <c r="I3415">
        <v>113.46420000000001</v>
      </c>
      <c r="J3415">
        <v>-187.3235</v>
      </c>
      <c r="K3415">
        <v>1.11555</v>
      </c>
      <c r="L3415">
        <v>165.3117</v>
      </c>
      <c r="M3415">
        <v>-5.9067889999999998E-2</v>
      </c>
      <c r="N3415">
        <v>-1.3888920000000001E-2</v>
      </c>
      <c r="O3415">
        <v>-0.99815750000000003</v>
      </c>
      <c r="P3415">
        <v>-0.22325310000000001</v>
      </c>
      <c r="Q3415">
        <v>0.15971869999999999</v>
      </c>
      <c r="R3415">
        <v>-0.96158650000000001</v>
      </c>
      <c r="S3415">
        <v>-1.9953609999999999</v>
      </c>
      <c r="T3415">
        <v>4.631996E-2</v>
      </c>
      <c r="U3415">
        <v>-2.6613920000000002</v>
      </c>
      <c r="V3415">
        <v>0.1683791</v>
      </c>
      <c r="W3415">
        <v>0.17096410000000001</v>
      </c>
      <c r="X3415">
        <v>0.97078310000000001</v>
      </c>
      <c r="Y3415">
        <v>0.55132479999999995</v>
      </c>
      <c r="Z3415">
        <v>-2.7762180000000001E-2</v>
      </c>
      <c r="AA3415">
        <v>0.83382860000000003</v>
      </c>
      <c r="AB3415">
        <v>30</v>
      </c>
      <c r="AC3415">
        <v>-39.073300000000003</v>
      </c>
      <c r="AD3415">
        <v>0.90782099999999899</v>
      </c>
      <c r="AE3415">
        <v>-51.847499999999997</v>
      </c>
      <c r="AF3415">
        <v>35.9352198022492</v>
      </c>
      <c r="AG3415">
        <v>0.90782099999999899</v>
      </c>
      <c r="AH3415">
        <v>54.0545854879582</v>
      </c>
      <c r="AI3415">
        <v>89.198715883115497</v>
      </c>
      <c r="AJ3415">
        <v>56.3842375221273</v>
      </c>
      <c r="AK3415">
        <v>64.915809888493101</v>
      </c>
      <c r="AL3415">
        <v>80.156121770319601</v>
      </c>
      <c r="AM3415">
        <v>80.160131622765206</v>
      </c>
      <c r="AN3415">
        <v>1.0000000360256101</v>
      </c>
    </row>
    <row r="3416" spans="1:40" x14ac:dyDescent="0.25">
      <c r="A3416" t="str">
        <f>"20190303171044552"</f>
        <v>20190303171044552</v>
      </c>
      <c r="B3416" t="str">
        <f>"1551604244543982"</f>
        <v>1551604244543982</v>
      </c>
      <c r="C3416" t="s">
        <v>40</v>
      </c>
      <c r="D3416">
        <v>5.2360790000000001</v>
      </c>
      <c r="E3416">
        <v>0.67491559999999995</v>
      </c>
      <c r="F3416" t="s">
        <v>89</v>
      </c>
      <c r="G3416">
        <v>-226.39680000000001</v>
      </c>
      <c r="H3416">
        <v>2.0539369999999999</v>
      </c>
      <c r="I3416">
        <v>114.032</v>
      </c>
      <c r="J3416">
        <v>-187.33850000000001</v>
      </c>
      <c r="K3416">
        <v>1.11541</v>
      </c>
      <c r="L3416">
        <v>165.1327</v>
      </c>
      <c r="M3416">
        <v>-6.3497830000000005E-2</v>
      </c>
      <c r="N3416">
        <v>-1.390597E-2</v>
      </c>
      <c r="O3416">
        <v>-0.99788520000000003</v>
      </c>
      <c r="P3416">
        <v>-0.22852649999999999</v>
      </c>
      <c r="Q3416">
        <v>0.15981500000000001</v>
      </c>
      <c r="R3416">
        <v>-0.96033080000000004</v>
      </c>
      <c r="S3416">
        <v>-2.0146790000000001</v>
      </c>
      <c r="T3416">
        <v>4.8385020000000001E-2</v>
      </c>
      <c r="U3416">
        <v>-2.6440579999999998</v>
      </c>
      <c r="V3416">
        <v>0.16946069999999999</v>
      </c>
      <c r="W3416">
        <v>0.17100209999999999</v>
      </c>
      <c r="X3416">
        <v>0.97058809999999995</v>
      </c>
      <c r="Y3416">
        <v>0.55409560000000002</v>
      </c>
      <c r="Z3416">
        <v>-2.841217E-2</v>
      </c>
      <c r="AA3416">
        <v>0.83196800000000004</v>
      </c>
      <c r="AB3416">
        <v>30</v>
      </c>
      <c r="AC3416">
        <v>-39.058300000000003</v>
      </c>
      <c r="AD3416">
        <v>0.938527</v>
      </c>
      <c r="AE3416">
        <v>-51.100699999999897</v>
      </c>
      <c r="AF3416">
        <v>35.726760113849103</v>
      </c>
      <c r="AG3416">
        <v>0.938527</v>
      </c>
      <c r="AH3416">
        <v>53.466530164029102</v>
      </c>
      <c r="AI3416">
        <v>89.163825206787706</v>
      </c>
      <c r="AJ3416">
        <v>56.248839232821297</v>
      </c>
      <c r="AK3416">
        <v>64.311368115934897</v>
      </c>
      <c r="AL3416">
        <v>80.1539111683675</v>
      </c>
      <c r="AM3416">
        <v>80.096221423901198</v>
      </c>
      <c r="AN3416">
        <v>0.99999995345525305</v>
      </c>
    </row>
    <row r="3417" spans="1:40" x14ac:dyDescent="0.25">
      <c r="A3417" t="str">
        <f>"20190303171044566"</f>
        <v>20190303171044566</v>
      </c>
      <c r="B3417" t="str">
        <f>"1551604244554721"</f>
        <v>1551604244554721</v>
      </c>
      <c r="C3417" t="s">
        <v>40</v>
      </c>
      <c r="D3417">
        <v>5.217822</v>
      </c>
      <c r="E3417">
        <v>0.67489080000000001</v>
      </c>
      <c r="F3417" t="s">
        <v>89</v>
      </c>
      <c r="G3417">
        <v>-226.26159999999999</v>
      </c>
      <c r="H3417">
        <v>1.913594</v>
      </c>
      <c r="I3417">
        <v>114.6153</v>
      </c>
      <c r="J3417">
        <v>-187.35419999999999</v>
      </c>
      <c r="K3417">
        <v>1.1152759999999999</v>
      </c>
      <c r="L3417">
        <v>164.95590000000001</v>
      </c>
      <c r="M3417">
        <v>-6.7989519999999998E-2</v>
      </c>
      <c r="N3417">
        <v>-1.392296E-2</v>
      </c>
      <c r="O3417">
        <v>-0.9975889</v>
      </c>
      <c r="P3417">
        <v>-0.2340043</v>
      </c>
      <c r="Q3417">
        <v>0.15966729999999901</v>
      </c>
      <c r="R3417">
        <v>-0.95903490000000002</v>
      </c>
      <c r="S3417">
        <v>-2.0294949999999998</v>
      </c>
      <c r="T3417">
        <v>4.1618589999999997E-2</v>
      </c>
      <c r="U3417">
        <v>-2.6340330000000001</v>
      </c>
      <c r="V3417">
        <v>0.17068599999999901</v>
      </c>
      <c r="W3417">
        <v>0.17079730000000001</v>
      </c>
      <c r="X3417">
        <v>0.97040950000000004</v>
      </c>
      <c r="Y3417">
        <v>0.55484469999999997</v>
      </c>
      <c r="Z3417">
        <v>-2.634558E-2</v>
      </c>
      <c r="AA3417">
        <v>0.83153670000000002</v>
      </c>
      <c r="AB3417">
        <v>30</v>
      </c>
      <c r="AC3417">
        <v>-38.907400000000003</v>
      </c>
      <c r="AD3417">
        <v>0.79831799999999897</v>
      </c>
      <c r="AE3417">
        <v>-50.340600000000002</v>
      </c>
      <c r="AF3417">
        <v>35.388815608190797</v>
      </c>
      <c r="AG3417">
        <v>0.79831799999999897</v>
      </c>
      <c r="AH3417">
        <v>52.861320364358299</v>
      </c>
      <c r="AI3417">
        <v>89.281004909757399</v>
      </c>
      <c r="AJ3417">
        <v>56.1990674236704</v>
      </c>
      <c r="AK3417">
        <v>63.618588261945703</v>
      </c>
      <c r="AL3417">
        <v>80.165821141550794</v>
      </c>
      <c r="AM3417">
        <v>80.024245455100598</v>
      </c>
      <c r="AN3417">
        <v>1.0000000129867701</v>
      </c>
    </row>
    <row r="3418" spans="1:40" x14ac:dyDescent="0.25">
      <c r="A3418" t="str">
        <f>"20190303171044585"</f>
        <v>20190303171044585</v>
      </c>
      <c r="B3418" t="str">
        <f>"1551604244574239"</f>
        <v>1551604244574239</v>
      </c>
      <c r="C3418" t="s">
        <v>40</v>
      </c>
      <c r="D3418">
        <v>5.1261989999999997</v>
      </c>
      <c r="E3418">
        <v>0.67407589999999995</v>
      </c>
      <c r="F3418" t="s">
        <v>89</v>
      </c>
      <c r="G3418">
        <v>-226.18469999999999</v>
      </c>
      <c r="H3418">
        <v>1.76967599999999</v>
      </c>
      <c r="I3418">
        <v>115.1079</v>
      </c>
      <c r="J3418">
        <v>-187.3783</v>
      </c>
      <c r="K3418">
        <v>1.115078</v>
      </c>
      <c r="L3418">
        <v>164.70160000000001</v>
      </c>
      <c r="M3418">
        <v>-7.4639860000000002E-2</v>
      </c>
      <c r="N3418">
        <v>-1.3948169999999999E-2</v>
      </c>
      <c r="O3418">
        <v>-0.99711300000000003</v>
      </c>
      <c r="P3418">
        <v>-0.24285390000000001</v>
      </c>
      <c r="Q3418">
        <v>0.15971359999999901</v>
      </c>
      <c r="R3418">
        <v>-0.95682509999999998</v>
      </c>
      <c r="S3418">
        <v>-2.0438079999999998</v>
      </c>
      <c r="T3418">
        <v>3.4444089999999997E-2</v>
      </c>
      <c r="U3418">
        <v>-2.6237029999999999</v>
      </c>
      <c r="V3418">
        <v>0.17326849999999999</v>
      </c>
      <c r="W3418">
        <v>0.17074329999999999</v>
      </c>
      <c r="X3418">
        <v>0.96996119999999997</v>
      </c>
      <c r="Y3418">
        <v>0.55373519999999998</v>
      </c>
      <c r="Z3418">
        <v>-2.4153609999999999E-2</v>
      </c>
      <c r="AA3418">
        <v>0.83234240000000004</v>
      </c>
      <c r="AB3418">
        <v>30</v>
      </c>
      <c r="AC3418">
        <v>-38.806399999999996</v>
      </c>
      <c r="AD3418">
        <v>0.65459799999999901</v>
      </c>
      <c r="AE3418">
        <v>-49.593699999999998</v>
      </c>
      <c r="AF3418">
        <v>34.9923224450162</v>
      </c>
      <c r="AG3418">
        <v>0.65459799999999901</v>
      </c>
      <c r="AH3418">
        <v>52.346463799936799</v>
      </c>
      <c r="AI3418">
        <v>89.404363701124296</v>
      </c>
      <c r="AJ3418">
        <v>56.238247247143697</v>
      </c>
      <c r="AK3418">
        <v>62.968590590830999</v>
      </c>
      <c r="AL3418">
        <v>80.168960996249893</v>
      </c>
      <c r="AM3418">
        <v>79.871828274020999</v>
      </c>
      <c r="AN3418">
        <v>0.99999998854628902</v>
      </c>
    </row>
    <row r="3419" spans="1:40" x14ac:dyDescent="0.25">
      <c r="A3419" t="str">
        <f>"20190303171044608"</f>
        <v>20190303171044608</v>
      </c>
      <c r="B3419" t="str">
        <f>"1551604244594735"</f>
        <v>1551604244594735</v>
      </c>
      <c r="C3419" t="s">
        <v>40</v>
      </c>
      <c r="D3419">
        <v>5.2557799999999997</v>
      </c>
      <c r="E3419">
        <v>0.6739849</v>
      </c>
      <c r="F3419" t="s">
        <v>89</v>
      </c>
      <c r="G3419">
        <v>-226.18469999999999</v>
      </c>
      <c r="H3419">
        <v>1.841631</v>
      </c>
      <c r="I3419">
        <v>115.649</v>
      </c>
      <c r="J3419">
        <v>-187.40899999999999</v>
      </c>
      <c r="K3419">
        <v>1.11483</v>
      </c>
      <c r="L3419">
        <v>164.40289999999999</v>
      </c>
      <c r="M3419">
        <v>-8.2780899999999893E-2</v>
      </c>
      <c r="N3419">
        <v>-1.398222E-2</v>
      </c>
      <c r="O3419">
        <v>-0.99646990000000002</v>
      </c>
      <c r="P3419">
        <v>-0.25232890000000002</v>
      </c>
      <c r="Q3419">
        <v>0.159303799999999</v>
      </c>
      <c r="R3419">
        <v>-0.95443840000000002</v>
      </c>
      <c r="S3419">
        <v>-2.0614170000000001</v>
      </c>
      <c r="T3419">
        <v>3.8595200000000003E-2</v>
      </c>
      <c r="U3419">
        <v>-2.6056979999999998</v>
      </c>
      <c r="V3419">
        <v>0.175059299999999</v>
      </c>
      <c r="W3419">
        <v>0.17023250000000001</v>
      </c>
      <c r="X3419">
        <v>0.96972939999999996</v>
      </c>
      <c r="Y3419">
        <v>0.55317150000000004</v>
      </c>
      <c r="Z3419">
        <v>-2.544859E-2</v>
      </c>
      <c r="AA3419">
        <v>0.83267869999999999</v>
      </c>
      <c r="AB3419">
        <v>30</v>
      </c>
      <c r="AC3419">
        <v>-38.775699999999901</v>
      </c>
      <c r="AD3419">
        <v>0.72680100000000003</v>
      </c>
      <c r="AE3419">
        <v>-48.753899999999902</v>
      </c>
      <c r="AF3419">
        <v>34.601591311663</v>
      </c>
      <c r="AG3419">
        <v>0.72680100000000003</v>
      </c>
      <c r="AH3419">
        <v>51.789683245768302</v>
      </c>
      <c r="AI3419">
        <v>89.331450082909697</v>
      </c>
      <c r="AJ3419">
        <v>56.252423623937197</v>
      </c>
      <c r="AK3419">
        <v>62.289402402735902</v>
      </c>
      <c r="AL3419">
        <v>80.198662492039105</v>
      </c>
      <c r="AM3419">
        <v>79.766955616179303</v>
      </c>
      <c r="AN3419">
        <v>0.99999998589854899</v>
      </c>
    </row>
    <row r="3420" spans="1:40" x14ac:dyDescent="0.25">
      <c r="A3420" t="str">
        <f>"20190303171044629"</f>
        <v>20190303171044629</v>
      </c>
      <c r="B3420" t="str">
        <f>"1551604244624015"</f>
        <v>1551604244624015</v>
      </c>
      <c r="C3420" t="s">
        <v>40</v>
      </c>
      <c r="D3420">
        <v>5.2439220000000004</v>
      </c>
      <c r="E3420">
        <v>0.67366680000000001</v>
      </c>
      <c r="F3420" t="s">
        <v>89</v>
      </c>
      <c r="G3420">
        <v>-226.39670000000001</v>
      </c>
      <c r="H3420">
        <v>1.6681140000000001</v>
      </c>
      <c r="I3420">
        <v>116.077</v>
      </c>
      <c r="J3420">
        <v>-187.4418</v>
      </c>
      <c r="K3420">
        <v>1.11459</v>
      </c>
      <c r="L3420">
        <v>164.11109999999999</v>
      </c>
      <c r="M3420">
        <v>-9.1072769999999997E-2</v>
      </c>
      <c r="N3420">
        <v>-1.402049E-2</v>
      </c>
      <c r="O3420">
        <v>-0.99574560000000001</v>
      </c>
      <c r="P3420">
        <v>-0.26131979999999999</v>
      </c>
      <c r="Q3420">
        <v>0.15930050000000001</v>
      </c>
      <c r="R3420">
        <v>-0.95201670000000005</v>
      </c>
      <c r="S3420">
        <v>-2.0867460000000002</v>
      </c>
      <c r="T3420">
        <v>2.961397E-2</v>
      </c>
      <c r="U3420">
        <v>-2.5865629999999999</v>
      </c>
      <c r="V3420">
        <v>0.1762425</v>
      </c>
      <c r="W3420">
        <v>0.1701376</v>
      </c>
      <c r="X3420">
        <v>0.9695317</v>
      </c>
      <c r="Y3420">
        <v>0.55422119999999997</v>
      </c>
      <c r="Z3420">
        <v>-2.2693350000000001E-2</v>
      </c>
      <c r="AA3420">
        <v>0.83206000000000002</v>
      </c>
      <c r="AB3420">
        <v>30</v>
      </c>
      <c r="AC3420">
        <v>-38.954900000000002</v>
      </c>
      <c r="AD3420">
        <v>0.55352399999999902</v>
      </c>
      <c r="AE3420">
        <v>-48.034099999999903</v>
      </c>
      <c r="AF3420">
        <v>34.415195724800398</v>
      </c>
      <c r="AG3420">
        <v>0.55352399999999902</v>
      </c>
      <c r="AH3420">
        <v>51.3784059311891</v>
      </c>
      <c r="AI3420">
        <v>89.487161948556903</v>
      </c>
      <c r="AJ3420">
        <v>56.184331410497798</v>
      </c>
      <c r="AK3420">
        <v>61.842159419161199</v>
      </c>
      <c r="AL3420">
        <v>80.2041801935206</v>
      </c>
      <c r="AM3420">
        <v>79.697212414055997</v>
      </c>
      <c r="AN3420">
        <v>0.99999996952244896</v>
      </c>
    </row>
    <row r="3421" spans="1:40" x14ac:dyDescent="0.25">
      <c r="A3421" t="str">
        <f>"20190303171044653"</f>
        <v>20190303171044653</v>
      </c>
      <c r="B3421" t="str">
        <f>"1551604244644511"</f>
        <v>1551604244644511</v>
      </c>
      <c r="C3421" t="s">
        <v>40</v>
      </c>
      <c r="D3421">
        <v>5.2583120000000001</v>
      </c>
      <c r="E3421">
        <v>0.67337919999999996</v>
      </c>
      <c r="F3421" t="s">
        <v>89</v>
      </c>
      <c r="G3421">
        <v>-226.39660000000001</v>
      </c>
      <c r="H3421">
        <v>1.498715</v>
      </c>
      <c r="I3421">
        <v>116.67619999999999</v>
      </c>
      <c r="J3421">
        <v>-187.47829999999999</v>
      </c>
      <c r="K3421">
        <v>1.114314</v>
      </c>
      <c r="L3421">
        <v>163.81190000000001</v>
      </c>
      <c r="M3421">
        <v>-9.9923049999999999E-2</v>
      </c>
      <c r="N3421">
        <v>-1.4061880000000001E-2</v>
      </c>
      <c r="O3421">
        <v>-0.99489570000000005</v>
      </c>
      <c r="P3421">
        <v>-0.27090779999999998</v>
      </c>
      <c r="Q3421">
        <v>0.15950549999999999</v>
      </c>
      <c r="R3421">
        <v>-0.94929810000000003</v>
      </c>
      <c r="S3421">
        <v>-2.1094819999999999</v>
      </c>
      <c r="T3421">
        <v>2.080154E-2</v>
      </c>
      <c r="U3421">
        <v>-2.568695</v>
      </c>
      <c r="V3421">
        <v>0.17752309999999999</v>
      </c>
      <c r="W3421">
        <v>0.17024239999999999</v>
      </c>
      <c r="X3421">
        <v>0.96927960000000002</v>
      </c>
      <c r="Y3421">
        <v>0.55408630000000003</v>
      </c>
      <c r="Z3421">
        <v>-1.998144E-2</v>
      </c>
      <c r="AA3421">
        <v>0.83221939999999905</v>
      </c>
      <c r="AB3421">
        <v>29</v>
      </c>
      <c r="AC3421">
        <v>-38.918300000000002</v>
      </c>
      <c r="AD3421">
        <v>0.38440099999999999</v>
      </c>
      <c r="AE3421">
        <v>-47.1357</v>
      </c>
      <c r="AF3421">
        <v>34.011727621804297</v>
      </c>
      <c r="AG3421">
        <v>0.38440099999999999</v>
      </c>
      <c r="AH3421">
        <v>50.786958590100603</v>
      </c>
      <c r="AI3421">
        <v>89.639677462637394</v>
      </c>
      <c r="AJ3421">
        <v>56.190012249729698</v>
      </c>
      <c r="AK3421">
        <v>61.124958427643897</v>
      </c>
      <c r="AL3421">
        <v>80.198086351445298</v>
      </c>
      <c r="AM3421">
        <v>79.621331400070801</v>
      </c>
      <c r="AN3421">
        <v>0.999999934383762</v>
      </c>
    </row>
    <row r="3422" spans="1:40" x14ac:dyDescent="0.25">
      <c r="A3422" t="str">
        <f>"20190303171044666"</f>
        <v>20190303171044666</v>
      </c>
      <c r="B3422" t="str">
        <f>"1551604244654270"</f>
        <v>1551604244654270</v>
      </c>
      <c r="C3422" t="s">
        <v>40</v>
      </c>
      <c r="D3422">
        <v>5.2717510000000001</v>
      </c>
      <c r="E3422">
        <v>0.67320459999999904</v>
      </c>
      <c r="F3422" t="s">
        <v>89</v>
      </c>
      <c r="G3422">
        <v>-226.39660000000001</v>
      </c>
      <c r="H3422">
        <v>1.39236</v>
      </c>
      <c r="I3422">
        <v>117.3115</v>
      </c>
      <c r="J3422">
        <v>-187.50319999999999</v>
      </c>
      <c r="K3422">
        <v>1.1141319999999999</v>
      </c>
      <c r="L3422">
        <v>163.62219999999999</v>
      </c>
      <c r="M3422">
        <v>-0.1057545</v>
      </c>
      <c r="N3422">
        <v>-1.408997E-2</v>
      </c>
      <c r="O3422">
        <v>-0.99429239999999997</v>
      </c>
      <c r="P3422">
        <v>-0.27686909999999998</v>
      </c>
      <c r="Q3422">
        <v>0.1595723</v>
      </c>
      <c r="R3422">
        <v>-0.94756560000000001</v>
      </c>
      <c r="S3422">
        <v>-2.1332550000000001</v>
      </c>
      <c r="T3422">
        <v>1.5241029999999999E-2</v>
      </c>
      <c r="U3422">
        <v>-2.5488590000000002</v>
      </c>
      <c r="V3422">
        <v>0.17801020000000001</v>
      </c>
      <c r="W3422">
        <v>0.1702504</v>
      </c>
      <c r="X3422">
        <v>0.96918890000000002</v>
      </c>
      <c r="Y3422">
        <v>0.55696990000000002</v>
      </c>
      <c r="Z3422">
        <v>-1.8263999999999999E-2</v>
      </c>
      <c r="AA3422">
        <v>0.83033179999999995</v>
      </c>
      <c r="AB3422">
        <v>29</v>
      </c>
      <c r="AC3422">
        <v>-38.8934</v>
      </c>
      <c r="AD3422">
        <v>0.27822799999999998</v>
      </c>
      <c r="AE3422">
        <v>-46.310699999999997</v>
      </c>
      <c r="AF3422">
        <v>33.776486600482002</v>
      </c>
      <c r="AG3422">
        <v>0.27822799999999998</v>
      </c>
      <c r="AH3422">
        <v>50.163449186162403</v>
      </c>
      <c r="AI3422">
        <v>89.736400428521193</v>
      </c>
      <c r="AJ3422">
        <v>56.046488798751398</v>
      </c>
      <c r="AK3422">
        <v>60.475615682233702</v>
      </c>
      <c r="AL3422">
        <v>80.197621615904396</v>
      </c>
      <c r="AM3422">
        <v>79.592522458049004</v>
      </c>
      <c r="AN3422">
        <v>0.99999997694370402</v>
      </c>
    </row>
    <row r="3423" spans="1:40" x14ac:dyDescent="0.25">
      <c r="A3423" t="str">
        <f>"20190303171044683"</f>
        <v>20190303171044683</v>
      </c>
      <c r="B3423" t="str">
        <f>"1551604244673791"</f>
        <v>1551604244673791</v>
      </c>
      <c r="C3423" t="s">
        <v>40</v>
      </c>
      <c r="D3423">
        <v>5.2820090000000004</v>
      </c>
      <c r="E3423">
        <v>0.67284880000000002</v>
      </c>
      <c r="F3423" t="s">
        <v>89</v>
      </c>
      <c r="G3423">
        <v>-226.3965</v>
      </c>
      <c r="H3423">
        <v>1.331966</v>
      </c>
      <c r="I3423">
        <v>117.6927</v>
      </c>
      <c r="J3423">
        <v>-187.5342</v>
      </c>
      <c r="K3423">
        <v>1.113923</v>
      </c>
      <c r="L3423">
        <v>163.39769999999999</v>
      </c>
      <c r="M3423">
        <v>-0.1128381</v>
      </c>
      <c r="N3423">
        <v>-1.4124599999999999E-2</v>
      </c>
      <c r="O3423">
        <v>-0.99351310000000004</v>
      </c>
      <c r="P3423">
        <v>-0.28432030000000003</v>
      </c>
      <c r="Q3423">
        <v>0.16042999999999999</v>
      </c>
      <c r="R3423">
        <v>-0.94521120000000003</v>
      </c>
      <c r="S3423">
        <v>-2.1478269999999999</v>
      </c>
      <c r="T3423">
        <v>1.202989E-2</v>
      </c>
      <c r="U3423">
        <v>-2.5363920000000002</v>
      </c>
      <c r="V3423">
        <v>0.17885519999999999</v>
      </c>
      <c r="W3423">
        <v>0.17103170000000001</v>
      </c>
      <c r="X3423">
        <v>0.96889570000000003</v>
      </c>
      <c r="Y3423">
        <v>0.55584929999999999</v>
      </c>
      <c r="Z3423">
        <v>-1.7270259999999999E-2</v>
      </c>
      <c r="AA3423">
        <v>0.83110360000000005</v>
      </c>
      <c r="AB3423">
        <v>29</v>
      </c>
      <c r="AC3423">
        <v>-38.862299999999998</v>
      </c>
      <c r="AD3423">
        <v>0.21804299999999999</v>
      </c>
      <c r="AE3423">
        <v>-45.704999999999899</v>
      </c>
      <c r="AF3423">
        <v>33.4558306667411</v>
      </c>
      <c r="AG3423">
        <v>0.21804299999999999</v>
      </c>
      <c r="AH3423">
        <v>49.797968804687301</v>
      </c>
      <c r="AI3423">
        <v>89.791760034167893</v>
      </c>
      <c r="AJ3423">
        <v>56.105561300233198</v>
      </c>
      <c r="AK3423">
        <v>59.993148320655003</v>
      </c>
      <c r="AL3423">
        <v>80.152189832808205</v>
      </c>
      <c r="AM3423">
        <v>79.541111813795595</v>
      </c>
      <c r="AN3423">
        <v>0.99999995122520802</v>
      </c>
    </row>
    <row r="3424" spans="1:40" x14ac:dyDescent="0.25">
      <c r="A3424" t="str">
        <f>"20190303171044697"</f>
        <v>20190303171044697</v>
      </c>
      <c r="B3424" t="str">
        <f>"1551604244684527"</f>
        <v>1551604244684527</v>
      </c>
      <c r="C3424" t="s">
        <v>40</v>
      </c>
      <c r="D3424">
        <v>5.2759769999999904</v>
      </c>
      <c r="E3424">
        <v>0.672678199999999</v>
      </c>
      <c r="F3424" t="s">
        <v>89</v>
      </c>
      <c r="G3424">
        <v>-226.3965</v>
      </c>
      <c r="H3424">
        <v>1.2465679999999999</v>
      </c>
      <c r="I3424">
        <v>118.1294</v>
      </c>
      <c r="J3424">
        <v>-187.5592</v>
      </c>
      <c r="K3424">
        <v>1.1137570000000001</v>
      </c>
      <c r="L3424">
        <v>163.22370000000001</v>
      </c>
      <c r="M3424">
        <v>-0.1184525</v>
      </c>
      <c r="N3424">
        <v>-1.4152130000000001E-2</v>
      </c>
      <c r="O3424">
        <v>-0.99285880000000004</v>
      </c>
      <c r="P3424">
        <v>-0.290246</v>
      </c>
      <c r="Q3424">
        <v>0.1609825</v>
      </c>
      <c r="R3424">
        <v>-0.94331419999999999</v>
      </c>
      <c r="S3424">
        <v>-2.1647029999999998</v>
      </c>
      <c r="T3424">
        <v>7.3888299999999999E-3</v>
      </c>
      <c r="U3424">
        <v>-2.5215299999999998</v>
      </c>
      <c r="V3424">
        <v>0.1795503</v>
      </c>
      <c r="W3424">
        <v>0.1715246</v>
      </c>
      <c r="X3424">
        <v>0.96867999999999999</v>
      </c>
      <c r="Y3424">
        <v>0.55678349999999999</v>
      </c>
      <c r="Z3424">
        <v>-1.5829900000000001E-2</v>
      </c>
      <c r="AA3424">
        <v>0.83050679999999999</v>
      </c>
      <c r="AB3424">
        <v>29</v>
      </c>
      <c r="AC3424">
        <v>-38.837299999999999</v>
      </c>
      <c r="AD3424">
        <v>0.13281100000000001</v>
      </c>
      <c r="AE3424">
        <v>-45.094299999999997</v>
      </c>
      <c r="AF3424">
        <v>33.2215861824833</v>
      </c>
      <c r="AG3424">
        <v>0.13281100000000001</v>
      </c>
      <c r="AH3424">
        <v>49.377350050806797</v>
      </c>
      <c r="AI3424">
        <v>89.872137215837299</v>
      </c>
      <c r="AJ3424">
        <v>56.066930533701502</v>
      </c>
      <c r="AK3424">
        <v>59.513142458467101</v>
      </c>
      <c r="AL3424">
        <v>80.123525347645298</v>
      </c>
      <c r="AM3424">
        <v>79.499080829619601</v>
      </c>
      <c r="AN3424">
        <v>0.99999997051762402</v>
      </c>
    </row>
    <row r="3425" spans="1:40" x14ac:dyDescent="0.25">
      <c r="A3425" t="str">
        <f>"20190303171044708"</f>
        <v>20190303171044708</v>
      </c>
      <c r="B3425" t="str">
        <f>"1551604244704047"</f>
        <v>1551604244704047</v>
      </c>
      <c r="C3425" t="s">
        <v>40</v>
      </c>
      <c r="D3425">
        <v>5.3346580000000001</v>
      </c>
      <c r="E3425">
        <v>0.6722475</v>
      </c>
      <c r="F3425" t="s">
        <v>89</v>
      </c>
      <c r="G3425">
        <v>-226.3965</v>
      </c>
      <c r="H3425">
        <v>1.2229030000000001</v>
      </c>
      <c r="I3425">
        <v>118.51220000000001</v>
      </c>
      <c r="J3425">
        <v>-187.58439999999999</v>
      </c>
      <c r="K3425">
        <v>1.113605</v>
      </c>
      <c r="L3425">
        <v>163.0592</v>
      </c>
      <c r="M3425">
        <v>-0.1239338</v>
      </c>
      <c r="N3425">
        <v>-1.418027E-2</v>
      </c>
      <c r="O3425">
        <v>-0.99218930000000005</v>
      </c>
      <c r="P3425">
        <v>-0.29571520000000001</v>
      </c>
      <c r="Q3425">
        <v>0.16142989999999999</v>
      </c>
      <c r="R3425">
        <v>-0.94153759999999997</v>
      </c>
      <c r="S3425">
        <v>-2.1791529999999999</v>
      </c>
      <c r="T3425">
        <v>6.1244960000000001E-3</v>
      </c>
      <c r="U3425">
        <v>-2.508759</v>
      </c>
      <c r="V3425">
        <v>0.1799047</v>
      </c>
      <c r="W3425">
        <v>0.17192479999999999</v>
      </c>
      <c r="X3425">
        <v>0.9685433</v>
      </c>
      <c r="Y3425">
        <v>0.55701820000000002</v>
      </c>
      <c r="Z3425">
        <v>-1.543397E-2</v>
      </c>
      <c r="AA3425">
        <v>0.83035680000000001</v>
      </c>
      <c r="AB3425">
        <v>29</v>
      </c>
      <c r="AC3425">
        <v>-38.812100000000001</v>
      </c>
      <c r="AD3425">
        <v>0.10929800000000001</v>
      </c>
      <c r="AE3425">
        <v>-44.546999999999997</v>
      </c>
      <c r="AF3425">
        <v>32.991271044453597</v>
      </c>
      <c r="AG3425">
        <v>0.10929800000000001</v>
      </c>
      <c r="AH3425">
        <v>49.013941468713099</v>
      </c>
      <c r="AI3425">
        <v>89.894008152039603</v>
      </c>
      <c r="AJ3425">
        <v>56.055513448555999</v>
      </c>
      <c r="AK3425">
        <v>59.083012528812702</v>
      </c>
      <c r="AL3425">
        <v>80.1002499216752</v>
      </c>
      <c r="AM3425">
        <v>79.477364475626501</v>
      </c>
      <c r="AN3425">
        <v>0.99999998095600895</v>
      </c>
    </row>
    <row r="3426" spans="1:40" x14ac:dyDescent="0.25">
      <c r="A3426" t="str">
        <f>"20190303171044721"</f>
        <v>20190303171044721</v>
      </c>
      <c r="B3426" t="str">
        <f>"1551604244713808"</f>
        <v>1551604244713808</v>
      </c>
      <c r="C3426" t="s">
        <v>40</v>
      </c>
      <c r="D3426">
        <v>5.3321300000000003</v>
      </c>
      <c r="E3426">
        <v>0.6720505</v>
      </c>
      <c r="F3426" t="s">
        <v>89</v>
      </c>
      <c r="G3426">
        <v>-226.18450000000001</v>
      </c>
      <c r="H3426">
        <v>1.1524160000000001</v>
      </c>
      <c r="I3426">
        <v>119.03830000000001</v>
      </c>
      <c r="J3426">
        <v>-187.60980000000001</v>
      </c>
      <c r="K3426">
        <v>1.1134599999999999</v>
      </c>
      <c r="L3426">
        <v>162.89859999999999</v>
      </c>
      <c r="M3426">
        <v>-0.1293569</v>
      </c>
      <c r="N3426">
        <v>-1.420708E-2</v>
      </c>
      <c r="O3426">
        <v>-0.99149640000000006</v>
      </c>
      <c r="P3426">
        <v>-0.301245599999999</v>
      </c>
      <c r="Q3426">
        <v>0.161499799999999</v>
      </c>
      <c r="R3426">
        <v>-0.93977080000000002</v>
      </c>
      <c r="S3426">
        <v>-2.1903229999999998</v>
      </c>
      <c r="T3426">
        <v>2.2026300000000001E-3</v>
      </c>
      <c r="U3426">
        <v>-2.497925</v>
      </c>
      <c r="V3426">
        <v>0.1803688</v>
      </c>
      <c r="W3426">
        <v>0.17194779999999901</v>
      </c>
      <c r="X3426">
        <v>0.96845289999999995</v>
      </c>
      <c r="Y3426">
        <v>0.55636859999999999</v>
      </c>
      <c r="Z3426">
        <v>-1.421233E-2</v>
      </c>
      <c r="AA3426">
        <v>0.8308141</v>
      </c>
      <c r="AB3426">
        <v>29</v>
      </c>
      <c r="AC3426">
        <v>-38.5747</v>
      </c>
      <c r="AD3426">
        <v>3.8955999999999699E-2</v>
      </c>
      <c r="AE3426">
        <v>-43.860299999999903</v>
      </c>
      <c r="AF3426">
        <v>32.576314432126203</v>
      </c>
      <c r="AG3426">
        <v>3.8955999999999699E-2</v>
      </c>
      <c r="AH3426">
        <v>48.482100811138402</v>
      </c>
      <c r="AI3426">
        <v>89.961787137199707</v>
      </c>
      <c r="AJ3426">
        <v>56.101876917966202</v>
      </c>
      <c r="AK3426">
        <v>58.410032345583197</v>
      </c>
      <c r="AL3426">
        <v>80.098912235150493</v>
      </c>
      <c r="AM3426">
        <v>79.449865207397295</v>
      </c>
      <c r="AN3426">
        <v>0.99999998472834395</v>
      </c>
    </row>
    <row r="3427" spans="1:40" x14ac:dyDescent="0.25">
      <c r="A3427" t="str">
        <f>"20190303171044734"</f>
        <v>20190303171044734</v>
      </c>
      <c r="B3427" t="str">
        <f>"1551604244724543"</f>
        <v>1551604244724543</v>
      </c>
      <c r="C3427" t="s">
        <v>40</v>
      </c>
      <c r="D3427">
        <v>5.306578</v>
      </c>
      <c r="E3427">
        <v>0.67183380000000004</v>
      </c>
      <c r="F3427" t="s">
        <v>89</v>
      </c>
      <c r="G3427">
        <v>-226.18440000000001</v>
      </c>
      <c r="H3427">
        <v>1.113086</v>
      </c>
      <c r="I3427">
        <v>119.378</v>
      </c>
      <c r="J3427">
        <v>-187.63669999999999</v>
      </c>
      <c r="K3427">
        <v>1.1133120000000001</v>
      </c>
      <c r="L3427">
        <v>162.7338</v>
      </c>
      <c r="M3427">
        <v>-0.13501830000000001</v>
      </c>
      <c r="N3427">
        <v>-1.4234299999999899E-2</v>
      </c>
      <c r="O3427">
        <v>-0.99074090000000004</v>
      </c>
      <c r="P3427">
        <v>-0.30719990000000003</v>
      </c>
      <c r="Q3427">
        <v>0.16146959999999999</v>
      </c>
      <c r="R3427">
        <v>-0.93784630000000002</v>
      </c>
      <c r="S3427">
        <v>-2.2034449999999999</v>
      </c>
      <c r="T3427" s="1">
        <v>-2.0980829999999999E-5</v>
      </c>
      <c r="U3427">
        <v>-2.4859619999999998</v>
      </c>
      <c r="V3427">
        <v>0.1810407</v>
      </c>
      <c r="W3427">
        <v>0.17186699999999999</v>
      </c>
      <c r="X3427">
        <v>0.96834189999999998</v>
      </c>
      <c r="Y3427">
        <v>0.55606650000000002</v>
      </c>
      <c r="Z3427">
        <v>-1.351343E-2</v>
      </c>
      <c r="AA3427">
        <v>0.83102790000000004</v>
      </c>
      <c r="AB3427">
        <v>29</v>
      </c>
      <c r="AC3427">
        <v>-38.547699999999999</v>
      </c>
      <c r="AD3427">
        <v>-2.26000000000059E-4</v>
      </c>
      <c r="AE3427">
        <v>-43.355800000000002</v>
      </c>
      <c r="AF3427">
        <v>32.340231642018701</v>
      </c>
      <c r="AG3427">
        <v>-2.26000000000059E-4</v>
      </c>
      <c r="AH3427">
        <v>48.163886742749703</v>
      </c>
      <c r="AI3427">
        <v>90.000223201217594</v>
      </c>
      <c r="AJ3427">
        <v>56.120130275783303</v>
      </c>
      <c r="AK3427">
        <v>58.014227297094301</v>
      </c>
      <c r="AL3427">
        <v>80.103612027317794</v>
      </c>
      <c r="AM3427">
        <v>79.410265261011006</v>
      </c>
      <c r="AN3427">
        <v>1.0000000180205399</v>
      </c>
    </row>
    <row r="3428" spans="1:40" x14ac:dyDescent="0.25">
      <c r="A3428" t="str">
        <f>"20190303171044752"</f>
        <v>20190303171044752</v>
      </c>
      <c r="B3428" t="str">
        <f>"1551604244744062"</f>
        <v>1551604244744062</v>
      </c>
      <c r="C3428" t="s">
        <v>40</v>
      </c>
      <c r="D3428">
        <v>5.2231459999999998</v>
      </c>
      <c r="E3428">
        <v>0.67150189999999998</v>
      </c>
      <c r="F3428" t="s">
        <v>89</v>
      </c>
      <c r="G3428">
        <v>-226.31780000000001</v>
      </c>
      <c r="H3428">
        <v>1.060873</v>
      </c>
      <c r="I3428">
        <v>119.5971</v>
      </c>
      <c r="J3428">
        <v>-187.67850000000001</v>
      </c>
      <c r="K3428">
        <v>1.1131</v>
      </c>
      <c r="L3428">
        <v>162.49160000000001</v>
      </c>
      <c r="M3428">
        <v>-0.14356679999999999</v>
      </c>
      <c r="N3428">
        <v>-1.42746E-2</v>
      </c>
      <c r="O3428">
        <v>-0.98953780000000002</v>
      </c>
      <c r="P3428">
        <v>-0.31645830000000003</v>
      </c>
      <c r="Q3428">
        <v>0.16093759999999999</v>
      </c>
      <c r="R3428">
        <v>-0.93485479999999999</v>
      </c>
      <c r="S3428">
        <v>-2.217514</v>
      </c>
      <c r="T3428">
        <v>-3.0058620000000002E-3</v>
      </c>
      <c r="U3428">
        <v>-2.4729459999999999</v>
      </c>
      <c r="V3428">
        <v>0.18232180000000001</v>
      </c>
      <c r="W3428">
        <v>0.1712572</v>
      </c>
      <c r="X3428">
        <v>0.9682096</v>
      </c>
      <c r="Y3428">
        <v>0.55368819999999996</v>
      </c>
      <c r="Z3428">
        <v>-1.2572430000000001E-2</v>
      </c>
      <c r="AA3428">
        <v>0.83262909999999901</v>
      </c>
      <c r="AB3428">
        <v>29</v>
      </c>
      <c r="AC3428">
        <v>-38.639299999999899</v>
      </c>
      <c r="AD3428">
        <v>-5.2227000000000003E-2</v>
      </c>
      <c r="AE3428">
        <v>-42.894500000000001</v>
      </c>
      <c r="AF3428">
        <v>32.080060135240302</v>
      </c>
      <c r="AG3428">
        <v>-5.2227000000000003E-2</v>
      </c>
      <c r="AH3428">
        <v>47.997894965789897</v>
      </c>
      <c r="AI3428">
        <v>90.051832793593604</v>
      </c>
      <c r="AJ3428">
        <v>56.242662330790601</v>
      </c>
      <c r="AK3428">
        <v>57.731541700245302</v>
      </c>
      <c r="AL3428">
        <v>80.139077121945803</v>
      </c>
      <c r="AM3428">
        <v>79.335617903422303</v>
      </c>
      <c r="AN3428">
        <v>1.0000000484196101</v>
      </c>
    </row>
    <row r="3429" spans="1:40" x14ac:dyDescent="0.25">
      <c r="A3429" t="str">
        <f>"20190303171044766"</f>
        <v>20190303171044766</v>
      </c>
      <c r="B3429" t="str">
        <f>"1551604244753823"</f>
        <v>1551604244753823</v>
      </c>
      <c r="C3429" t="s">
        <v>40</v>
      </c>
      <c r="D3429">
        <v>5.3548410000000004</v>
      </c>
      <c r="E3429">
        <v>0.67124249999999996</v>
      </c>
      <c r="F3429" t="s">
        <v>89</v>
      </c>
      <c r="G3429">
        <v>-227.02330000000001</v>
      </c>
      <c r="H3429">
        <v>0.96042819999999995</v>
      </c>
      <c r="I3429">
        <v>119.3841</v>
      </c>
      <c r="J3429">
        <v>-187.70949999999999</v>
      </c>
      <c r="K3429">
        <v>1.1129560000000001</v>
      </c>
      <c r="L3429">
        <v>162.321</v>
      </c>
      <c r="M3429">
        <v>-0.1497357</v>
      </c>
      <c r="N3429">
        <v>-1.430377E-2</v>
      </c>
      <c r="O3429">
        <v>-0.98862269999999997</v>
      </c>
      <c r="P3429">
        <v>-0.32286870000000001</v>
      </c>
      <c r="Q3429">
        <v>0.16072330000000001</v>
      </c>
      <c r="R3429">
        <v>-0.9326972</v>
      </c>
      <c r="S3429">
        <v>-2.2386469999999998</v>
      </c>
      <c r="T3429">
        <v>-8.6864230000000004E-3</v>
      </c>
      <c r="U3429">
        <v>-2.452744</v>
      </c>
      <c r="V3429">
        <v>0.1829817</v>
      </c>
      <c r="W3429">
        <v>0.17099510000000001</v>
      </c>
      <c r="X3429">
        <v>0.96813139999999998</v>
      </c>
      <c r="Y3429">
        <v>0.55582769999999904</v>
      </c>
      <c r="Z3429">
        <v>-1.078702E-2</v>
      </c>
      <c r="AA3429">
        <v>0.83122750000000001</v>
      </c>
      <c r="AB3429">
        <v>29</v>
      </c>
      <c r="AC3429">
        <v>-39.313800000000001</v>
      </c>
      <c r="AD3429">
        <v>-0.15252779999999999</v>
      </c>
      <c r="AE3429">
        <v>-42.936900000000001</v>
      </c>
      <c r="AF3429">
        <v>32.440420872862099</v>
      </c>
      <c r="AG3429">
        <v>-0.15252779999999999</v>
      </c>
      <c r="AH3429">
        <v>48.339681594535897</v>
      </c>
      <c r="AI3429">
        <v>90.150116381187004</v>
      </c>
      <c r="AJ3429">
        <v>56.134715544936597</v>
      </c>
      <c r="AK3429">
        <v>58.216226155594399</v>
      </c>
      <c r="AL3429">
        <v>80.154318868393901</v>
      </c>
      <c r="AM3429">
        <v>79.297064493699196</v>
      </c>
      <c r="AN3429">
        <v>1.0000000172124199</v>
      </c>
    </row>
    <row r="3430" spans="1:40" x14ac:dyDescent="0.25">
      <c r="A3430" t="str">
        <f>"20190303171044781"</f>
        <v>20190303171044781</v>
      </c>
      <c r="B3430" t="str">
        <f>"1551604244774318"</f>
        <v>1551604244774318</v>
      </c>
      <c r="C3430" t="s">
        <v>40</v>
      </c>
      <c r="D3430">
        <v>5.3646820000000002</v>
      </c>
      <c r="E3430">
        <v>0.67074969999999901</v>
      </c>
      <c r="F3430" t="s">
        <v>89</v>
      </c>
      <c r="G3430">
        <v>-227.38300000000001</v>
      </c>
      <c r="H3430">
        <v>0.8993468</v>
      </c>
      <c r="I3430">
        <v>119.3841</v>
      </c>
      <c r="J3430">
        <v>-187.74539999999999</v>
      </c>
      <c r="K3430">
        <v>1.112795</v>
      </c>
      <c r="L3430">
        <v>162.12950000000001</v>
      </c>
      <c r="M3430">
        <v>-0.1567702</v>
      </c>
      <c r="N3430">
        <v>-1.433661E-2</v>
      </c>
      <c r="O3430">
        <v>-0.9875311</v>
      </c>
      <c r="P3430">
        <v>-0.3299783</v>
      </c>
      <c r="Q3430">
        <v>0.16079189999999999</v>
      </c>
      <c r="R3430">
        <v>-0.93019359999999995</v>
      </c>
      <c r="S3430">
        <v>-2.2532350000000001</v>
      </c>
      <c r="T3430">
        <v>-1.213145E-2</v>
      </c>
      <c r="U3430">
        <v>-2.4385829999999999</v>
      </c>
      <c r="V3430">
        <v>0.1835495</v>
      </c>
      <c r="W3430">
        <v>0.17101340000000001</v>
      </c>
      <c r="X3430">
        <v>0.96802069999999996</v>
      </c>
      <c r="Y3430">
        <v>0.55500050000000001</v>
      </c>
      <c r="Z3430">
        <v>-9.6959879999999991E-3</v>
      </c>
      <c r="AA3430">
        <v>0.83179349999999996</v>
      </c>
      <c r="AB3430">
        <v>29</v>
      </c>
      <c r="AC3430">
        <v>-39.6375999999999</v>
      </c>
      <c r="AD3430">
        <v>-0.21344819999999901</v>
      </c>
      <c r="AE3430">
        <v>-42.745399999999997</v>
      </c>
      <c r="AF3430">
        <v>32.4450556656072</v>
      </c>
      <c r="AG3430">
        <v>-0.21344819999999901</v>
      </c>
      <c r="AH3430">
        <v>48.430731971960498</v>
      </c>
      <c r="AI3430">
        <v>90.209791363864696</v>
      </c>
      <c r="AJ3430">
        <v>56.180801054373902</v>
      </c>
      <c r="AK3430">
        <v>58.294622364488397</v>
      </c>
      <c r="AL3430">
        <v>80.153254894946699</v>
      </c>
      <c r="AM3430">
        <v>79.263424410587902</v>
      </c>
      <c r="AN3430">
        <v>1.0000000387791399</v>
      </c>
    </row>
    <row r="3431" spans="1:40" x14ac:dyDescent="0.25">
      <c r="A3431" t="str">
        <f>"20190303171044797"</f>
        <v>20190303171044797</v>
      </c>
      <c r="B3431" t="str">
        <f>"1551604244784078"</f>
        <v>1551604244784078</v>
      </c>
      <c r="C3431" t="s">
        <v>40</v>
      </c>
      <c r="D3431">
        <v>5.3607230000000001</v>
      </c>
      <c r="E3431">
        <v>0.67054139999999995</v>
      </c>
      <c r="F3431" t="s">
        <v>89</v>
      </c>
      <c r="G3431">
        <v>-227.74019999999999</v>
      </c>
      <c r="H3431">
        <v>0.80811309999999903</v>
      </c>
      <c r="I3431">
        <v>119.3841</v>
      </c>
      <c r="J3431">
        <v>-187.78729999999999</v>
      </c>
      <c r="K3431">
        <v>1.112628</v>
      </c>
      <c r="L3431">
        <v>161.91550000000001</v>
      </c>
      <c r="M3431">
        <v>-0.16478329999999999</v>
      </c>
      <c r="N3431">
        <v>-1.4374100000000001E-2</v>
      </c>
      <c r="O3431">
        <v>-0.98622489999999996</v>
      </c>
      <c r="P3431">
        <v>-0.338175</v>
      </c>
      <c r="Q3431">
        <v>0.16189719999999999</v>
      </c>
      <c r="R3431">
        <v>-0.92705289999999996</v>
      </c>
      <c r="S3431">
        <v>-2.2677149999999999</v>
      </c>
      <c r="T3431">
        <v>-1.7275209999999999E-2</v>
      </c>
      <c r="U3431">
        <v>-2.4236759999999999</v>
      </c>
      <c r="V3431">
        <v>0.184361</v>
      </c>
      <c r="W3431">
        <v>0.17205860000000001</v>
      </c>
      <c r="X3431">
        <v>0.96768120000000002</v>
      </c>
      <c r="Y3431">
        <v>0.55345080000000002</v>
      </c>
      <c r="Z3431">
        <v>-8.0696899999999992E-3</v>
      </c>
      <c r="AA3431">
        <v>0.83284279999999999</v>
      </c>
      <c r="AB3431">
        <v>29</v>
      </c>
      <c r="AC3431">
        <v>-39.9529</v>
      </c>
      <c r="AD3431">
        <v>-0.30451489999999998</v>
      </c>
      <c r="AE3431">
        <v>-42.531399999999998</v>
      </c>
      <c r="AF3431">
        <v>32.396549997622699</v>
      </c>
      <c r="AG3431">
        <v>-0.30451489999999998</v>
      </c>
      <c r="AH3431">
        <v>48.532796143929701</v>
      </c>
      <c r="AI3431">
        <v>90.298999644676897</v>
      </c>
      <c r="AJ3431">
        <v>56.276147922456602</v>
      </c>
      <c r="AK3431">
        <v>58.352904663101597</v>
      </c>
      <c r="AL3431">
        <v>80.092468195537194</v>
      </c>
      <c r="AM3431">
        <v>79.213372618660202</v>
      </c>
      <c r="AN3431">
        <v>1.0000000224941901</v>
      </c>
    </row>
    <row r="3432" spans="1:40" x14ac:dyDescent="0.25">
      <c r="A3432" t="str">
        <f>"20190303171044820"</f>
        <v>20190303171044820</v>
      </c>
      <c r="B3432" t="str">
        <f>"1551604244814335"</f>
        <v>1551604244814335</v>
      </c>
      <c r="C3432" t="s">
        <v>40</v>
      </c>
      <c r="D3432">
        <v>5.3919920000000001</v>
      </c>
      <c r="E3432">
        <v>0.67004540000000001</v>
      </c>
      <c r="F3432" t="s">
        <v>89</v>
      </c>
      <c r="G3432">
        <v>-228.2576</v>
      </c>
      <c r="H3432">
        <v>0.83512209999999998</v>
      </c>
      <c r="I3432">
        <v>119.3841</v>
      </c>
      <c r="J3432">
        <v>-187.8486</v>
      </c>
      <c r="K3432">
        <v>1.112403</v>
      </c>
      <c r="L3432">
        <v>161.62100000000001</v>
      </c>
      <c r="M3432">
        <v>-0.17609169999999999</v>
      </c>
      <c r="N3432">
        <v>-1.44257E-2</v>
      </c>
      <c r="O3432">
        <v>-0.98426820000000004</v>
      </c>
      <c r="P3432">
        <v>-0.34930359999999899</v>
      </c>
      <c r="Q3432">
        <v>0.1629427</v>
      </c>
      <c r="R3432">
        <v>-0.92273369999999999</v>
      </c>
      <c r="S3432">
        <v>-2.28775</v>
      </c>
      <c r="T3432">
        <v>-1.5686869999999999E-2</v>
      </c>
      <c r="U3432">
        <v>-2.4042659999999998</v>
      </c>
      <c r="V3432">
        <v>0.18504490000000001</v>
      </c>
      <c r="W3432">
        <v>0.17303940000000001</v>
      </c>
      <c r="X3432">
        <v>0.96737569999999995</v>
      </c>
      <c r="Y3432">
        <v>0.55088689999999996</v>
      </c>
      <c r="Z3432">
        <v>-8.5345249999999994E-3</v>
      </c>
      <c r="AA3432">
        <v>0.83453630000000001</v>
      </c>
      <c r="AB3432">
        <v>29</v>
      </c>
      <c r="AC3432">
        <v>-40.408999999999899</v>
      </c>
      <c r="AD3432">
        <v>-0.2772809</v>
      </c>
      <c r="AE3432">
        <v>-42.236899999999999</v>
      </c>
      <c r="AF3432">
        <v>32.338359091054897</v>
      </c>
      <c r="AG3432">
        <v>-0.2772809</v>
      </c>
      <c r="AH3432">
        <v>48.692091449258101</v>
      </c>
      <c r="AI3432">
        <v>90.2717919502619</v>
      </c>
      <c r="AJ3432">
        <v>56.410278251562197</v>
      </c>
      <c r="AK3432">
        <v>58.453110465589802</v>
      </c>
      <c r="AL3432">
        <v>80.035416518784402</v>
      </c>
      <c r="AM3432">
        <v>79.170964775370294</v>
      </c>
      <c r="AN3432">
        <v>0.99999999695942898</v>
      </c>
    </row>
    <row r="3433" spans="1:40" x14ac:dyDescent="0.25">
      <c r="A3433" t="str">
        <f>"20190303171044841"</f>
        <v>20190303171044841</v>
      </c>
      <c r="B3433" t="str">
        <f>"1551604244833855"</f>
        <v>1551604244833855</v>
      </c>
      <c r="C3433" t="s">
        <v>40</v>
      </c>
      <c r="D3433">
        <v>5.390727</v>
      </c>
      <c r="E3433">
        <v>0.66953419999999997</v>
      </c>
      <c r="F3433" t="s">
        <v>89</v>
      </c>
      <c r="G3433">
        <v>-228.9213</v>
      </c>
      <c r="H3433">
        <v>0.81522320000000004</v>
      </c>
      <c r="I3433">
        <v>119.3841</v>
      </c>
      <c r="J3433">
        <v>-187.91139999999999</v>
      </c>
      <c r="K3433">
        <v>1.112209</v>
      </c>
      <c r="L3433">
        <v>161.33670000000001</v>
      </c>
      <c r="M3433">
        <v>-0.18724779999999999</v>
      </c>
      <c r="N3433">
        <v>-1.447269E-2</v>
      </c>
      <c r="O3433">
        <v>-0.98220629999999998</v>
      </c>
      <c r="P3433">
        <v>-0.36077179999999998</v>
      </c>
      <c r="Q3433">
        <v>0.16322819999999999</v>
      </c>
      <c r="R3433">
        <v>-0.91825939999999995</v>
      </c>
      <c r="S3433">
        <v>-2.3130039999999998</v>
      </c>
      <c r="T3433">
        <v>-1.6735320000000001E-2</v>
      </c>
      <c r="U3433">
        <v>-2.378571</v>
      </c>
      <c r="V3433">
        <v>0.18621979999999999</v>
      </c>
      <c r="W3433">
        <v>0.17325679999999999</v>
      </c>
      <c r="X3433">
        <v>0.96711130000000001</v>
      </c>
      <c r="Y3433">
        <v>0.55047599999999997</v>
      </c>
      <c r="Z3433">
        <v>-8.1651789999999998E-3</v>
      </c>
      <c r="AA3433">
        <v>0.83481119999999898</v>
      </c>
      <c r="AB3433">
        <v>29</v>
      </c>
      <c r="AC3433">
        <v>-41.009900000000002</v>
      </c>
      <c r="AD3433">
        <v>-0.29698580000000002</v>
      </c>
      <c r="AE3433">
        <v>-41.952599999999997</v>
      </c>
      <c r="AF3433">
        <v>32.4272087541313</v>
      </c>
      <c r="AG3433">
        <v>-0.29698580000000002</v>
      </c>
      <c r="AH3433">
        <v>48.888979155180202</v>
      </c>
      <c r="AI3433">
        <v>90.290048662926907</v>
      </c>
      <c r="AJ3433">
        <v>56.444376012340598</v>
      </c>
      <c r="AK3433">
        <v>58.666381778537001</v>
      </c>
      <c r="AL3433">
        <v>80.022769418349498</v>
      </c>
      <c r="AM3433">
        <v>79.100941549044194</v>
      </c>
      <c r="AN3433">
        <v>0.99999999962298503</v>
      </c>
    </row>
    <row r="3434" spans="1:40" x14ac:dyDescent="0.25">
      <c r="A3434" t="str">
        <f>"20190303171044854"</f>
        <v>20190303171044854</v>
      </c>
      <c r="B3434" t="str">
        <f>"1551604244844591"</f>
        <v>1551604244844591</v>
      </c>
      <c r="C3434" t="s">
        <v>40</v>
      </c>
      <c r="D3434">
        <v>5.4175009999999997</v>
      </c>
      <c r="E3434">
        <v>0.66923589999999999</v>
      </c>
      <c r="F3434" t="s">
        <v>89</v>
      </c>
      <c r="G3434">
        <v>-229.6071</v>
      </c>
      <c r="H3434">
        <v>0.72656679999999996</v>
      </c>
      <c r="I3434">
        <v>119.3841</v>
      </c>
      <c r="J3434">
        <v>-187.9494</v>
      </c>
      <c r="K3434">
        <v>1.1121030000000001</v>
      </c>
      <c r="L3434">
        <v>161.17089999999999</v>
      </c>
      <c r="M3434">
        <v>-0.19384019999999999</v>
      </c>
      <c r="N3434">
        <v>-1.4498499999999999E-2</v>
      </c>
      <c r="O3434">
        <v>-0.98092610000000002</v>
      </c>
      <c r="P3434">
        <v>-0.36704809999999999</v>
      </c>
      <c r="Q3434">
        <v>0.16288339999999901</v>
      </c>
      <c r="R3434">
        <v>-0.91583009999999998</v>
      </c>
      <c r="S3434">
        <v>-2.337952</v>
      </c>
      <c r="T3434">
        <v>-2.162325E-2</v>
      </c>
      <c r="U3434">
        <v>-2.3523559999999999</v>
      </c>
      <c r="V3434">
        <v>0.1863679</v>
      </c>
      <c r="W3434">
        <v>0.17288909999999999</v>
      </c>
      <c r="X3434">
        <v>0.96714860000000002</v>
      </c>
      <c r="Y3434">
        <v>0.55396909999999999</v>
      </c>
      <c r="Z3434">
        <v>-6.5956259999999899E-3</v>
      </c>
      <c r="AA3434">
        <v>0.83251109999999995</v>
      </c>
      <c r="AB3434">
        <v>29</v>
      </c>
      <c r="AC3434">
        <v>-41.657699999999998</v>
      </c>
      <c r="AD3434">
        <v>-0.3855362</v>
      </c>
      <c r="AE3434">
        <v>-41.7867999999999</v>
      </c>
      <c r="AF3434">
        <v>32.765204729715101</v>
      </c>
      <c r="AG3434">
        <v>-0.3855362</v>
      </c>
      <c r="AH3434">
        <v>49.0677564726928</v>
      </c>
      <c r="AI3434">
        <v>90.374383686594001</v>
      </c>
      <c r="AJ3434">
        <v>56.2668122502796</v>
      </c>
      <c r="AK3434">
        <v>59.002983012769299</v>
      </c>
      <c r="AL3434">
        <v>80.044160132769093</v>
      </c>
      <c r="AM3434">
        <v>79.092891978799898</v>
      </c>
      <c r="AN3434">
        <v>1.00000002476558</v>
      </c>
    </row>
    <row r="3435" spans="1:40" x14ac:dyDescent="0.25">
      <c r="A3435" t="str">
        <f>"20190303171044867"</f>
        <v>20190303171044867</v>
      </c>
      <c r="B3435" t="str">
        <f>"1551604244854351"</f>
        <v>1551604244854351</v>
      </c>
      <c r="C3435" t="s">
        <v>40</v>
      </c>
      <c r="D3435">
        <v>5.429074</v>
      </c>
      <c r="E3435">
        <v>0.66895969999999905</v>
      </c>
      <c r="F3435" t="s">
        <v>89</v>
      </c>
      <c r="G3435">
        <v>-229.976</v>
      </c>
      <c r="H3435">
        <v>0.64096309999999901</v>
      </c>
      <c r="I3435">
        <v>119.3841</v>
      </c>
      <c r="J3435">
        <v>-187.9864</v>
      </c>
      <c r="K3435">
        <v>1.1120099999999999</v>
      </c>
      <c r="L3435">
        <v>161.0164</v>
      </c>
      <c r="M3435">
        <v>-0.20007430000000001</v>
      </c>
      <c r="N3435">
        <v>-1.452211E-2</v>
      </c>
      <c r="O3435">
        <v>-0.97967340000000003</v>
      </c>
      <c r="P3435">
        <v>-0.37329079999999998</v>
      </c>
      <c r="Q3435">
        <v>0.1625693</v>
      </c>
      <c r="R3435">
        <v>-0.91335960000000005</v>
      </c>
      <c r="S3435">
        <v>-2.3513950000000001</v>
      </c>
      <c r="T3435">
        <v>-2.636003E-2</v>
      </c>
      <c r="U3435">
        <v>-2.3379819999999998</v>
      </c>
      <c r="V3435">
        <v>0.18683900000000001</v>
      </c>
      <c r="W3435">
        <v>0.17254810000000001</v>
      </c>
      <c r="X3435">
        <v>0.96711860000000005</v>
      </c>
      <c r="Y3435">
        <v>0.5536143</v>
      </c>
      <c r="Z3435">
        <v>-5.081477E-3</v>
      </c>
      <c r="AA3435">
        <v>0.83275769999999905</v>
      </c>
      <c r="AB3435">
        <v>29</v>
      </c>
      <c r="AC3435">
        <v>-41.989600000000003</v>
      </c>
      <c r="AD3435">
        <v>-0.47104689999999999</v>
      </c>
      <c r="AE3435">
        <v>-41.632300000000001</v>
      </c>
      <c r="AF3435">
        <v>32.807909092272901</v>
      </c>
      <c r="AG3435">
        <v>-0.47104689999999999</v>
      </c>
      <c r="AH3435">
        <v>49.189148034084397</v>
      </c>
      <c r="AI3435">
        <v>90.456453095853405</v>
      </c>
      <c r="AJ3435">
        <v>56.297722244912599</v>
      </c>
      <c r="AK3435">
        <v>59.128276387088398</v>
      </c>
      <c r="AL3435">
        <v>80.063996082094704</v>
      </c>
      <c r="AM3435">
        <v>79.065653757204103</v>
      </c>
      <c r="AN3435">
        <v>1.0000000226002801</v>
      </c>
    </row>
    <row r="3436" spans="1:40" x14ac:dyDescent="0.25">
      <c r="A3436" t="str">
        <f>"20190303171044879"</f>
        <v>20190303171044879</v>
      </c>
      <c r="B3436" t="str">
        <f>"1551604244864111"</f>
        <v>1551604244864111</v>
      </c>
      <c r="C3436" t="s">
        <v>40</v>
      </c>
      <c r="D3436">
        <v>5.4297620000000002</v>
      </c>
      <c r="E3436">
        <v>0.66867929999999998</v>
      </c>
      <c r="F3436" t="s">
        <v>89</v>
      </c>
      <c r="G3436">
        <v>-230.37710000000001</v>
      </c>
      <c r="H3436">
        <v>0.59437369999999901</v>
      </c>
      <c r="I3436">
        <v>119.3841</v>
      </c>
      <c r="J3436">
        <v>-188.02590000000001</v>
      </c>
      <c r="K3436">
        <v>1.111917</v>
      </c>
      <c r="L3436">
        <v>160.8546</v>
      </c>
      <c r="M3436">
        <v>-0.2066441</v>
      </c>
      <c r="N3436">
        <v>-1.454598E-2</v>
      </c>
      <c r="O3436">
        <v>-0.97830830000000002</v>
      </c>
      <c r="P3436">
        <v>-0.37940639999999998</v>
      </c>
      <c r="Q3436">
        <v>0.16225039999999999</v>
      </c>
      <c r="R3436">
        <v>-0.91089310000000001</v>
      </c>
      <c r="S3436">
        <v>-2.365326</v>
      </c>
      <c r="T3436">
        <v>-2.888286E-2</v>
      </c>
      <c r="U3436">
        <v>-2.323013</v>
      </c>
      <c r="V3436">
        <v>0.1868524</v>
      </c>
      <c r="W3436">
        <v>0.1722127</v>
      </c>
      <c r="X3436">
        <v>0.96717580000000003</v>
      </c>
      <c r="Y3436">
        <v>0.55315959999999997</v>
      </c>
      <c r="Z3436">
        <v>-4.2576819999999996E-3</v>
      </c>
      <c r="AA3436">
        <v>0.83306440000000004</v>
      </c>
      <c r="AB3436">
        <v>29</v>
      </c>
      <c r="AC3436">
        <v>-42.351199999999999</v>
      </c>
      <c r="AD3436">
        <v>-0.51754330000000004</v>
      </c>
      <c r="AE3436">
        <v>-41.470500000000001</v>
      </c>
      <c r="AF3436">
        <v>32.863859902094802</v>
      </c>
      <c r="AG3436">
        <v>-0.51754330000000004</v>
      </c>
      <c r="AH3436">
        <v>49.324006154655798</v>
      </c>
      <c r="AI3436">
        <v>90.500294762291304</v>
      </c>
      <c r="AJ3436">
        <v>56.325062814990403</v>
      </c>
      <c r="AK3436">
        <v>59.271904996181902</v>
      </c>
      <c r="AL3436">
        <v>80.083505209526606</v>
      </c>
      <c r="AM3436">
        <v>79.065519582834696</v>
      </c>
      <c r="AN3436">
        <v>1.0000000307663399</v>
      </c>
    </row>
    <row r="3437" spans="1:40" x14ac:dyDescent="0.25">
      <c r="A3437" t="str">
        <f>"20190303171044897"</f>
        <v>20190303171044897</v>
      </c>
      <c r="B3437" t="str">
        <f>"1551604244884606"</f>
        <v>1551604244884606</v>
      </c>
      <c r="C3437" t="s">
        <v>40</v>
      </c>
      <c r="D3437">
        <v>5.49674</v>
      </c>
      <c r="E3437">
        <v>0.66812689999999997</v>
      </c>
      <c r="F3437" t="s">
        <v>89</v>
      </c>
      <c r="G3437">
        <v>-230.76429999999999</v>
      </c>
      <c r="H3437">
        <v>0.54534199999999999</v>
      </c>
      <c r="I3437">
        <v>119.3841</v>
      </c>
      <c r="J3437">
        <v>-188.08199999999999</v>
      </c>
      <c r="K3437">
        <v>1.1117999999999999</v>
      </c>
      <c r="L3437">
        <v>160.6328</v>
      </c>
      <c r="M3437">
        <v>-0.2157625</v>
      </c>
      <c r="N3437">
        <v>-1.457815E-2</v>
      </c>
      <c r="O3437">
        <v>-0.97633709999999996</v>
      </c>
      <c r="P3437">
        <v>-0.3876443</v>
      </c>
      <c r="Q3437">
        <v>0.16233789999999901</v>
      </c>
      <c r="R3437">
        <v>-0.90740200000000004</v>
      </c>
      <c r="S3437">
        <v>-2.3787989999999999</v>
      </c>
      <c r="T3437">
        <v>-3.1534909999999999E-2</v>
      </c>
      <c r="U3437">
        <v>-2.3082280000000002</v>
      </c>
      <c r="V3437">
        <v>0.1866469</v>
      </c>
      <c r="W3437">
        <v>0.17228460000000001</v>
      </c>
      <c r="X3437">
        <v>0.96720269999999997</v>
      </c>
      <c r="Y3437">
        <v>0.55040829999999996</v>
      </c>
      <c r="Z3437">
        <v>-3.3856730000000001E-3</v>
      </c>
      <c r="AA3437">
        <v>0.83488879999999999</v>
      </c>
      <c r="AB3437">
        <v>29</v>
      </c>
      <c r="AC3437">
        <v>-42.682299999999998</v>
      </c>
      <c r="AD3437">
        <v>-0.56645799999999902</v>
      </c>
      <c r="AE3437">
        <v>-41.248699999999999</v>
      </c>
      <c r="AF3437">
        <v>32.7728867736257</v>
      </c>
      <c r="AG3437">
        <v>-0.56645799999999902</v>
      </c>
      <c r="AH3437">
        <v>49.482625393473697</v>
      </c>
      <c r="AI3437">
        <v>90.5468219870762</v>
      </c>
      <c r="AJ3437">
        <v>56.483053461883699</v>
      </c>
      <c r="AK3437">
        <v>59.354133790103504</v>
      </c>
      <c r="AL3437">
        <v>80.0793233864363</v>
      </c>
      <c r="AM3437">
        <v>79.077552378859906</v>
      </c>
      <c r="AN3437">
        <v>1.0000000557820199</v>
      </c>
    </row>
    <row r="3438" spans="1:40" x14ac:dyDescent="0.25">
      <c r="A3438" t="str">
        <f>"20190303171044909"</f>
        <v>20190303171044909</v>
      </c>
      <c r="B3438" t="str">
        <f>"1551604244894367"</f>
        <v>1551604244894367</v>
      </c>
      <c r="C3438" t="s">
        <v>40</v>
      </c>
      <c r="D3438">
        <v>5.4696249999999997</v>
      </c>
      <c r="E3438">
        <v>0.66783930000000002</v>
      </c>
      <c r="F3438" t="s">
        <v>89</v>
      </c>
      <c r="G3438">
        <v>-231.13130000000001</v>
      </c>
      <c r="H3438">
        <v>0.50794649999999997</v>
      </c>
      <c r="I3438">
        <v>119.51649999999999</v>
      </c>
      <c r="J3438">
        <v>-188.12700000000001</v>
      </c>
      <c r="K3438">
        <v>1.11172</v>
      </c>
      <c r="L3438">
        <v>160.4632</v>
      </c>
      <c r="M3438">
        <v>-0.2228425</v>
      </c>
      <c r="N3438">
        <v>-1.4603619999999999E-2</v>
      </c>
      <c r="O3438">
        <v>-0.97474519999999998</v>
      </c>
      <c r="P3438">
        <v>-0.39424330000000002</v>
      </c>
      <c r="Q3438">
        <v>0.16277369999999999</v>
      </c>
      <c r="R3438">
        <v>-0.90447630000000001</v>
      </c>
      <c r="S3438">
        <v>-2.3961030000000001</v>
      </c>
      <c r="T3438">
        <v>-3.360987E-2</v>
      </c>
      <c r="U3438">
        <v>-2.288513</v>
      </c>
      <c r="V3438">
        <v>0.1867356</v>
      </c>
      <c r="W3438">
        <v>0.17270450000000001</v>
      </c>
      <c r="X3438">
        <v>0.96711060000000004</v>
      </c>
      <c r="Y3438">
        <v>0.55094960000000004</v>
      </c>
      <c r="Z3438">
        <v>-2.6917130000000001E-3</v>
      </c>
      <c r="AA3438">
        <v>0.834534199999999</v>
      </c>
      <c r="AB3438">
        <v>29</v>
      </c>
      <c r="AC3438">
        <v>-43.004300000000001</v>
      </c>
      <c r="AD3438">
        <v>-0.60377349999999996</v>
      </c>
      <c r="AE3438">
        <v>-40.9467</v>
      </c>
      <c r="AF3438">
        <v>32.793672896976503</v>
      </c>
      <c r="AG3438">
        <v>-0.60377349999999996</v>
      </c>
      <c r="AH3438">
        <v>49.495940292903398</v>
      </c>
      <c r="AI3438">
        <v>90.582619918438795</v>
      </c>
      <c r="AJ3438">
        <v>56.473425110704397</v>
      </c>
      <c r="AK3438">
        <v>59.377080005603602</v>
      </c>
      <c r="AL3438">
        <v>80.0548979209766</v>
      </c>
      <c r="AM3438">
        <v>79.0714710526467</v>
      </c>
      <c r="AN3438">
        <v>0.99999997062998403</v>
      </c>
    </row>
    <row r="3439" spans="1:40" x14ac:dyDescent="0.25">
      <c r="A3439" t="str">
        <f>"20190303171044923"</f>
        <v>20190303171044923</v>
      </c>
      <c r="B3439" t="str">
        <f>"1551604244913887"</f>
        <v>1551604244913887</v>
      </c>
      <c r="C3439" t="s">
        <v>40</v>
      </c>
      <c r="D3439">
        <v>5.6064489999999996</v>
      </c>
      <c r="E3439">
        <v>0.66751729999999998</v>
      </c>
      <c r="F3439" t="s">
        <v>89</v>
      </c>
      <c r="G3439">
        <v>-231.49350000000001</v>
      </c>
      <c r="H3439">
        <v>0.51307250000000004</v>
      </c>
      <c r="I3439">
        <v>119.5971</v>
      </c>
      <c r="J3439">
        <v>-188.1721</v>
      </c>
      <c r="K3439">
        <v>1.111639</v>
      </c>
      <c r="L3439">
        <v>160.2971</v>
      </c>
      <c r="M3439">
        <v>-0.22981550000000001</v>
      </c>
      <c r="N3439">
        <v>-1.4627899999999999E-2</v>
      </c>
      <c r="O3439">
        <v>-0.9731244</v>
      </c>
      <c r="P3439">
        <v>-0.40053319999999998</v>
      </c>
      <c r="Q3439">
        <v>0.1637575</v>
      </c>
      <c r="R3439">
        <v>-0.90153039999999995</v>
      </c>
      <c r="S3439">
        <v>-2.4109500000000001</v>
      </c>
      <c r="T3439">
        <v>-3.3281329999999998E-2</v>
      </c>
      <c r="U3439">
        <v>-2.2719420000000001</v>
      </c>
      <c r="V3439">
        <v>0.1866439</v>
      </c>
      <c r="W3439">
        <v>0.17367659999999999</v>
      </c>
      <c r="X3439">
        <v>0.96695419999999999</v>
      </c>
      <c r="Y3439">
        <v>0.55057690000000004</v>
      </c>
      <c r="Z3439">
        <v>-2.7573099999999998E-3</v>
      </c>
      <c r="AA3439">
        <v>0.83477999999999997</v>
      </c>
      <c r="AB3439">
        <v>29</v>
      </c>
      <c r="AC3439">
        <v>-43.321399999999997</v>
      </c>
      <c r="AD3439">
        <v>-0.5985665</v>
      </c>
      <c r="AE3439">
        <v>-40.700000000000003</v>
      </c>
      <c r="AF3439">
        <v>32.803800369362399</v>
      </c>
      <c r="AG3439">
        <v>-0.5985665</v>
      </c>
      <c r="AH3439">
        <v>49.562363992806198</v>
      </c>
      <c r="AI3439">
        <v>90.577003187381706</v>
      </c>
      <c r="AJ3439">
        <v>56.500653336139202</v>
      </c>
      <c r="AK3439">
        <v>59.437997317232302</v>
      </c>
      <c r="AL3439">
        <v>79.998346049031696</v>
      </c>
      <c r="AM3439">
        <v>79.074984306090997</v>
      </c>
      <c r="AN3439">
        <v>0.99999996584620399</v>
      </c>
    </row>
    <row r="3440" spans="1:40" x14ac:dyDescent="0.25">
      <c r="A3440" t="str">
        <f>"20190303171044936"</f>
        <v>20190303171044936</v>
      </c>
      <c r="B3440" t="str">
        <f>"1551604244924154"</f>
        <v>1551604244924154</v>
      </c>
      <c r="C3440" t="s">
        <v>40</v>
      </c>
      <c r="D3440">
        <v>5.5036969999999998</v>
      </c>
      <c r="E3440">
        <v>0.66723049999999995</v>
      </c>
      <c r="F3440" t="s">
        <v>89</v>
      </c>
      <c r="G3440">
        <v>-232.12719999999999</v>
      </c>
      <c r="H3440">
        <v>0.48622890000000002</v>
      </c>
      <c r="I3440">
        <v>119.3841</v>
      </c>
      <c r="J3440">
        <v>-188.22040000000001</v>
      </c>
      <c r="K3440">
        <v>1.1115600000000001</v>
      </c>
      <c r="L3440">
        <v>160.1232</v>
      </c>
      <c r="M3440">
        <v>-0.23715849999999999</v>
      </c>
      <c r="N3440">
        <v>-1.4652689999999999E-2</v>
      </c>
      <c r="O3440">
        <v>-0.97136049999999996</v>
      </c>
      <c r="P3440">
        <v>-0.4074313</v>
      </c>
      <c r="Q3440">
        <v>0.1641165</v>
      </c>
      <c r="R3440">
        <v>-0.89836819999999895</v>
      </c>
      <c r="S3440">
        <v>-2.4245610000000002</v>
      </c>
      <c r="T3440">
        <v>-3.4497260000000002E-2</v>
      </c>
      <c r="U3440">
        <v>-2.2567599999999999</v>
      </c>
      <c r="V3440">
        <v>0.18681030000000001</v>
      </c>
      <c r="W3440">
        <v>0.17401939999999999</v>
      </c>
      <c r="X3440">
        <v>0.96686050000000001</v>
      </c>
      <c r="Y3440">
        <v>0.54940840000000002</v>
      </c>
      <c r="Z3440">
        <v>-2.3375840000000002E-3</v>
      </c>
      <c r="AA3440">
        <v>0.83555069999999998</v>
      </c>
      <c r="AB3440">
        <v>29</v>
      </c>
      <c r="AC3440">
        <v>-43.906799999999897</v>
      </c>
      <c r="AD3440">
        <v>-0.62533109999999903</v>
      </c>
      <c r="AE3440">
        <v>-40.739099999999901</v>
      </c>
      <c r="AF3440">
        <v>32.9876522295325</v>
      </c>
      <c r="AG3440">
        <v>-0.62533109999999903</v>
      </c>
      <c r="AH3440">
        <v>49.9851398449226</v>
      </c>
      <c r="AI3440">
        <v>90.598231652829099</v>
      </c>
      <c r="AJ3440">
        <v>56.577216984715299</v>
      </c>
      <c r="AK3440">
        <v>59.892323747853403</v>
      </c>
      <c r="AL3440">
        <v>79.978402028089405</v>
      </c>
      <c r="AM3440">
        <v>79.064444790964203</v>
      </c>
      <c r="AN3440">
        <v>1.0000000331113399</v>
      </c>
    </row>
    <row r="3441" spans="1:40" x14ac:dyDescent="0.25">
      <c r="A3441" t="str">
        <f>"20190303171044955"</f>
        <v>20190303171044955</v>
      </c>
      <c r="B3441" t="str">
        <f>"1551604244943674"</f>
        <v>1551604244943674</v>
      </c>
      <c r="C3441" t="s">
        <v>40</v>
      </c>
      <c r="D3441">
        <v>5.5150509999999997</v>
      </c>
      <c r="E3441">
        <v>0.66664630000000002</v>
      </c>
      <c r="F3441" t="s">
        <v>89</v>
      </c>
      <c r="G3441">
        <v>-232.59460000000001</v>
      </c>
      <c r="H3441">
        <v>0.45422220000000002</v>
      </c>
      <c r="I3441">
        <v>119.3841</v>
      </c>
      <c r="J3441">
        <v>-188.28809999999999</v>
      </c>
      <c r="K3441">
        <v>1.111459</v>
      </c>
      <c r="L3441">
        <v>159.8895</v>
      </c>
      <c r="M3441">
        <v>-0.24715090000000001</v>
      </c>
      <c r="N3441">
        <v>-1.468445E-2</v>
      </c>
      <c r="O3441">
        <v>-0.96886589999999995</v>
      </c>
      <c r="P3441">
        <v>-0.4167826</v>
      </c>
      <c r="Q3441">
        <v>0.1638269</v>
      </c>
      <c r="R3441">
        <v>-0.89412179999999997</v>
      </c>
      <c r="S3441">
        <v>-2.4394840000000002</v>
      </c>
      <c r="T3441">
        <v>-3.6136870000000001E-2</v>
      </c>
      <c r="U3441">
        <v>-2.2396389999999999</v>
      </c>
      <c r="V3441">
        <v>0.1869625</v>
      </c>
      <c r="W3441">
        <v>0.1737137</v>
      </c>
      <c r="X3441">
        <v>0.96688600000000002</v>
      </c>
      <c r="Y3441">
        <v>0.5465257</v>
      </c>
      <c r="Z3441">
        <v>-1.7738369999999999E-3</v>
      </c>
      <c r="AA3441">
        <v>0.83744039999999997</v>
      </c>
      <c r="AB3441">
        <v>29</v>
      </c>
      <c r="AC3441">
        <v>-44.3065</v>
      </c>
      <c r="AD3441">
        <v>-0.65723679999999995</v>
      </c>
      <c r="AE3441">
        <v>-40.505400000000002</v>
      </c>
      <c r="AF3441">
        <v>32.915709524607301</v>
      </c>
      <c r="AG3441">
        <v>-0.65723679999999995</v>
      </c>
      <c r="AH3441">
        <v>50.194080057151197</v>
      </c>
      <c r="AI3441">
        <v>90.627338110922594</v>
      </c>
      <c r="AJ3441">
        <v>56.744389243531799</v>
      </c>
      <c r="AK3441">
        <v>60.027673339080103</v>
      </c>
      <c r="AL3441">
        <v>79.996187723497499</v>
      </c>
      <c r="AM3441">
        <v>79.056031985706298</v>
      </c>
      <c r="AN3441">
        <v>0.99999998148496905</v>
      </c>
    </row>
    <row r="3442" spans="1:40" x14ac:dyDescent="0.25">
      <c r="A3442" t="str">
        <f>"20190303171044971"</f>
        <v>20190303171044971</v>
      </c>
      <c r="B3442" t="str">
        <f>"1551604244964170"</f>
        <v>1551604244964170</v>
      </c>
      <c r="C3442" t="s">
        <v>40</v>
      </c>
      <c r="D3442">
        <v>5.5413779999999999</v>
      </c>
      <c r="E3442">
        <v>0.66605159999999997</v>
      </c>
      <c r="F3442" t="s">
        <v>89</v>
      </c>
      <c r="G3442">
        <v>-233.1841</v>
      </c>
      <c r="H3442">
        <v>0.33318809999999999</v>
      </c>
      <c r="I3442">
        <v>119.3841</v>
      </c>
      <c r="J3442">
        <v>-188.34610000000001</v>
      </c>
      <c r="K3442">
        <v>1.11138</v>
      </c>
      <c r="L3442">
        <v>159.6969</v>
      </c>
      <c r="M3442">
        <v>-0.25546679999999999</v>
      </c>
      <c r="N3442">
        <v>-1.4709730000000001E-2</v>
      </c>
      <c r="O3442">
        <v>-0.96670619999999996</v>
      </c>
      <c r="P3442">
        <v>-0.42439749999999998</v>
      </c>
      <c r="Q3442">
        <v>0.1636976</v>
      </c>
      <c r="R3442">
        <v>-0.89055629999999997</v>
      </c>
      <c r="S3442">
        <v>-2.4577640000000001</v>
      </c>
      <c r="T3442">
        <v>-4.2604919999999998E-2</v>
      </c>
      <c r="U3442">
        <v>-2.2174070000000001</v>
      </c>
      <c r="V3442">
        <v>0.18692800000000001</v>
      </c>
      <c r="W3442">
        <v>0.17357709999999901</v>
      </c>
      <c r="X3442">
        <v>0.96691720000000003</v>
      </c>
      <c r="Y3442">
        <v>0.54659559999999996</v>
      </c>
      <c r="Z3442">
        <v>3.1774860000000001E-4</v>
      </c>
      <c r="AA3442">
        <v>0.83739669999999899</v>
      </c>
      <c r="AB3442">
        <v>29</v>
      </c>
      <c r="AC3442">
        <v>-44.838000000000001</v>
      </c>
      <c r="AD3442">
        <v>-0.77819189999999905</v>
      </c>
      <c r="AE3442">
        <v>-40.312800000000003</v>
      </c>
      <c r="AF3442">
        <v>33.044653193183798</v>
      </c>
      <c r="AG3442">
        <v>-0.77819189999999905</v>
      </c>
      <c r="AH3442">
        <v>50.4222978499322</v>
      </c>
      <c r="AI3442">
        <v>90.739556591595502</v>
      </c>
      <c r="AJ3442">
        <v>56.760852238235103</v>
      </c>
      <c r="AK3442">
        <v>60.290652739527502</v>
      </c>
      <c r="AL3442">
        <v>80.0041350385101</v>
      </c>
      <c r="AM3442">
        <v>79.058347265054493</v>
      </c>
      <c r="AN3442">
        <v>0.99999997924212403</v>
      </c>
    </row>
    <row r="3443" spans="1:40" x14ac:dyDescent="0.25">
      <c r="A3443" t="str">
        <f>"20190303171044986"</f>
        <v>20190303171044986</v>
      </c>
      <c r="B3443" t="str">
        <f>"1551604244973930"</f>
        <v>1551604244973930</v>
      </c>
      <c r="C3443" t="s">
        <v>40</v>
      </c>
      <c r="D3443">
        <v>5.5241379999999998</v>
      </c>
      <c r="E3443">
        <v>0.66605159999999997</v>
      </c>
      <c r="F3443" t="s">
        <v>89</v>
      </c>
      <c r="G3443">
        <v>-233.66829999999999</v>
      </c>
      <c r="H3443">
        <v>0.26080039999999999</v>
      </c>
      <c r="I3443">
        <v>119.3841</v>
      </c>
      <c r="J3443">
        <v>-188.40969999999999</v>
      </c>
      <c r="K3443">
        <v>1.111297</v>
      </c>
      <c r="L3443">
        <v>159.4922</v>
      </c>
      <c r="M3443">
        <v>-0.2643722</v>
      </c>
      <c r="N3443">
        <v>-1.4735730000000001E-2</v>
      </c>
      <c r="O3443">
        <v>-0.96430819999999995</v>
      </c>
      <c r="P3443">
        <v>-0.43181710000000001</v>
      </c>
      <c r="Q3443">
        <v>0.16260269999999999</v>
      </c>
      <c r="R3443">
        <v>-0.88718330000000001</v>
      </c>
      <c r="S3443">
        <v>-2.4722749999999998</v>
      </c>
      <c r="T3443">
        <v>-4.6397809999999998E-2</v>
      </c>
      <c r="U3443">
        <v>-2.19902</v>
      </c>
      <c r="V3443">
        <v>0.18603249999999999</v>
      </c>
      <c r="W3443">
        <v>0.1725006</v>
      </c>
      <c r="X3443">
        <v>0.96728250000000005</v>
      </c>
      <c r="Y3443">
        <v>0.54478149999999903</v>
      </c>
      <c r="Z3443">
        <v>1.564668E-3</v>
      </c>
      <c r="AA3443">
        <v>0.83857660000000001</v>
      </c>
      <c r="AB3443">
        <v>29</v>
      </c>
      <c r="AC3443">
        <v>-45.258600000000001</v>
      </c>
      <c r="AD3443">
        <v>-0.85049660000000005</v>
      </c>
      <c r="AE3443">
        <v>-40.108099999999901</v>
      </c>
      <c r="AF3443">
        <v>33.0368238563414</v>
      </c>
      <c r="AG3443">
        <v>-0.85049660000000005</v>
      </c>
      <c r="AH3443">
        <v>50.637165888655304</v>
      </c>
      <c r="AI3443">
        <v>90.805916322153294</v>
      </c>
      <c r="AJ3443">
        <v>56.878668408569602</v>
      </c>
      <c r="AK3443">
        <v>60.4671617013461</v>
      </c>
      <c r="AL3443">
        <v>80.066758748991404</v>
      </c>
      <c r="AM3443">
        <v>79.113522757741407</v>
      </c>
      <c r="AN3443">
        <v>0.99999999143143004</v>
      </c>
    </row>
    <row r="3444" spans="1:40" x14ac:dyDescent="0.25">
      <c r="A3444" t="str">
        <f>"20190303171045001"</f>
        <v>20190303171045001</v>
      </c>
      <c r="B3444" t="str">
        <f>"1551604244994426"</f>
        <v>1551604244994426</v>
      </c>
      <c r="C3444" t="s">
        <v>40</v>
      </c>
      <c r="D3444">
        <v>5.7690989999999998</v>
      </c>
      <c r="E3444">
        <v>0.65029409999999999</v>
      </c>
      <c r="F3444" t="s">
        <v>89</v>
      </c>
      <c r="G3444">
        <v>-234.2979</v>
      </c>
      <c r="H3444">
        <v>0.25449749999999999</v>
      </c>
      <c r="I3444">
        <v>119.3841</v>
      </c>
      <c r="J3444">
        <v>-188.46789999999999</v>
      </c>
      <c r="K3444">
        <v>1.1112340000000001</v>
      </c>
      <c r="L3444">
        <v>159.31020000000001</v>
      </c>
      <c r="M3444">
        <v>-0.2723429</v>
      </c>
      <c r="N3444">
        <v>-1.475813E-2</v>
      </c>
      <c r="O3444">
        <v>-0.96208720000000003</v>
      </c>
      <c r="P3444">
        <v>-0.438747</v>
      </c>
      <c r="Q3444">
        <v>0.1625933</v>
      </c>
      <c r="R3444">
        <v>-0.88377890000000003</v>
      </c>
      <c r="S3444">
        <v>-2.491241</v>
      </c>
      <c r="T3444">
        <v>-4.6514750000000001E-2</v>
      </c>
      <c r="U3444">
        <v>-2.1774439999999999</v>
      </c>
      <c r="V3444">
        <v>0.18562310000000001</v>
      </c>
      <c r="W3444">
        <v>0.17249639999999999</v>
      </c>
      <c r="X3444">
        <v>0.9673619</v>
      </c>
      <c r="Y3444">
        <v>0.54512260000000001</v>
      </c>
      <c r="Z3444">
        <v>1.6532210000000001E-3</v>
      </c>
      <c r="AA3444">
        <v>0.83835459999999995</v>
      </c>
      <c r="AB3444">
        <v>29</v>
      </c>
      <c r="AC3444">
        <v>-45.83</v>
      </c>
      <c r="AD3444">
        <v>-0.85673650000000001</v>
      </c>
      <c r="AE3444">
        <v>-39.926099999999998</v>
      </c>
      <c r="AF3444">
        <v>33.215881597068197</v>
      </c>
      <c r="AG3444">
        <v>-0.85673650000000001</v>
      </c>
      <c r="AH3444">
        <v>50.8892917364876</v>
      </c>
      <c r="AI3444">
        <v>90.807700976527101</v>
      </c>
      <c r="AJ3444">
        <v>56.867167274766402</v>
      </c>
      <c r="AK3444">
        <v>60.7762190428314</v>
      </c>
      <c r="AL3444">
        <v>80.067003083422307</v>
      </c>
      <c r="AM3444">
        <v>79.137780316318199</v>
      </c>
      <c r="AN3444">
        <v>0.99999999441909004</v>
      </c>
    </row>
    <row r="3445" spans="1:40" x14ac:dyDescent="0.25">
      <c r="A3445" t="str">
        <f>"20190303171045022"</f>
        <v>20190303171045022</v>
      </c>
      <c r="B3445" t="str">
        <f>"1551604245013946"</f>
        <v>1551604245013946</v>
      </c>
      <c r="C3445" t="s">
        <v>40</v>
      </c>
      <c r="D3445">
        <v>5.5534600000000003</v>
      </c>
      <c r="E3445">
        <v>0.65116719999999995</v>
      </c>
      <c r="F3445" t="s">
        <v>84</v>
      </c>
      <c r="G3445">
        <v>-207.18620000000001</v>
      </c>
      <c r="H3445" s="1">
        <v>-7.2148209999999897E-6</v>
      </c>
      <c r="I3445">
        <v>141.88460000000001</v>
      </c>
      <c r="J3445">
        <v>-188.55119999999999</v>
      </c>
      <c r="K3445">
        <v>1.111151</v>
      </c>
      <c r="L3445">
        <v>159.0591</v>
      </c>
      <c r="M3445">
        <v>-0.2834353</v>
      </c>
      <c r="N3445">
        <v>-1.4788040000000001E-2</v>
      </c>
      <c r="O3445">
        <v>-0.95887750000000005</v>
      </c>
      <c r="P3445">
        <v>-0.44857029999999998</v>
      </c>
      <c r="Q3445">
        <v>0.16368099999999999</v>
      </c>
      <c r="R3445">
        <v>-0.87863189999999902</v>
      </c>
      <c r="S3445">
        <v>-2.3964690000000002</v>
      </c>
      <c r="T3445">
        <v>-0.14227029999999999</v>
      </c>
      <c r="U3445">
        <v>-2.230972</v>
      </c>
      <c r="V3445">
        <v>0.18534970000000001</v>
      </c>
      <c r="W3445">
        <v>0.17358319999999999</v>
      </c>
      <c r="X3445">
        <v>0.96721990000000002</v>
      </c>
      <c r="Y3445">
        <v>0.5081966</v>
      </c>
      <c r="Z3445">
        <v>3.1966330000000001E-2</v>
      </c>
      <c r="AA3445">
        <v>0.86064769999999902</v>
      </c>
      <c r="AB3445">
        <v>29</v>
      </c>
      <c r="AC3445">
        <v>-18.635000000000002</v>
      </c>
      <c r="AD3445">
        <v>-1.111158214821</v>
      </c>
      <c r="AE3445">
        <v>-17.174499999999899</v>
      </c>
      <c r="AF3445">
        <v>12.9772937032442</v>
      </c>
      <c r="AG3445">
        <v>-1.111158214821</v>
      </c>
      <c r="AH3445">
        <v>21.7106950821561</v>
      </c>
      <c r="AI3445">
        <v>92.515413233562299</v>
      </c>
      <c r="AJ3445">
        <v>59.131661679896702</v>
      </c>
      <c r="AK3445">
        <v>25.317960134832799</v>
      </c>
      <c r="AL3445">
        <v>80.003780223069</v>
      </c>
      <c r="AM3445">
        <v>79.151844616786406</v>
      </c>
      <c r="AN3445">
        <v>0.99999998678416901</v>
      </c>
    </row>
    <row r="3446" spans="1:40" x14ac:dyDescent="0.25">
      <c r="A3446" t="str">
        <f>"20190303171045043"</f>
        <v>20190303171045043</v>
      </c>
      <c r="B3446" t="str">
        <f>"1551604245033973"</f>
        <v>1551604245033973</v>
      </c>
      <c r="C3446" t="s">
        <v>40</v>
      </c>
      <c r="D3446">
        <v>5.5885980000000002</v>
      </c>
      <c r="E3446">
        <v>0.65124819999999894</v>
      </c>
      <c r="F3446" t="s">
        <v>84</v>
      </c>
      <c r="G3446">
        <v>-207.3931</v>
      </c>
      <c r="H3446" s="1">
        <v>-7.1460099999999997E-6</v>
      </c>
      <c r="I3446">
        <v>141.97139999999999</v>
      </c>
      <c r="J3446">
        <v>-188.6463</v>
      </c>
      <c r="K3446">
        <v>1.1110770000000001</v>
      </c>
      <c r="L3446">
        <v>158.78399999999999</v>
      </c>
      <c r="M3446">
        <v>-0.29569479999999998</v>
      </c>
      <c r="N3446">
        <v>-1.481885E-2</v>
      </c>
      <c r="O3446">
        <v>-0.95516769999999995</v>
      </c>
      <c r="P3446">
        <v>-0.46006940000000002</v>
      </c>
      <c r="Q3446">
        <v>0.1646869</v>
      </c>
      <c r="R3446">
        <v>-0.87247619999999904</v>
      </c>
      <c r="S3446">
        <v>-2.427689</v>
      </c>
      <c r="T3446">
        <v>-0.1431675</v>
      </c>
      <c r="U3446">
        <v>-2.20166</v>
      </c>
      <c r="V3446">
        <v>0.18577479999999999</v>
      </c>
      <c r="W3446">
        <v>0.17457210000000001</v>
      </c>
      <c r="X3446">
        <v>0.96696040000000005</v>
      </c>
      <c r="Y3446">
        <v>0.50837889999999997</v>
      </c>
      <c r="Z3446">
        <v>3.2269890000000002E-2</v>
      </c>
      <c r="AA3446">
        <v>0.86052859999999998</v>
      </c>
      <c r="AB3446">
        <v>29</v>
      </c>
      <c r="AC3446">
        <v>-18.7468</v>
      </c>
      <c r="AD3446">
        <v>-1.1110841460100001</v>
      </c>
      <c r="AE3446">
        <v>-16.8126</v>
      </c>
      <c r="AF3446">
        <v>12.911221486464401</v>
      </c>
      <c r="AG3446">
        <v>-1.1110841460100001</v>
      </c>
      <c r="AH3446">
        <v>21.562573229913799</v>
      </c>
      <c r="AI3446">
        <v>92.531340869416795</v>
      </c>
      <c r="AJ3446">
        <v>59.087700331651398</v>
      </c>
      <c r="AK3446">
        <v>25.157080763623</v>
      </c>
      <c r="AL3446">
        <v>79.946242615325005</v>
      </c>
      <c r="AM3446">
        <v>79.124708445692306</v>
      </c>
      <c r="AN3446">
        <v>1.0000000547907999</v>
      </c>
    </row>
    <row r="3447" spans="1:40" x14ac:dyDescent="0.25">
      <c r="A3447" t="str">
        <f>"20190303171045065"</f>
        <v>20190303171045065</v>
      </c>
      <c r="B3447" t="str">
        <f>"1551604245054469"</f>
        <v>1551604245054469</v>
      </c>
      <c r="C3447" t="s">
        <v>40</v>
      </c>
      <c r="D3447">
        <v>5.5405259999999998</v>
      </c>
      <c r="E3447">
        <v>0.65081820000000001</v>
      </c>
      <c r="F3447" t="s">
        <v>84</v>
      </c>
      <c r="G3447">
        <v>-207.54949999999999</v>
      </c>
      <c r="H3447" s="1">
        <v>-7.1045189999999998E-6</v>
      </c>
      <c r="I3447">
        <v>142.0771</v>
      </c>
      <c r="J3447">
        <v>-188.7441</v>
      </c>
      <c r="K3447">
        <v>1.1110070000000001</v>
      </c>
      <c r="L3447">
        <v>158.51249999999999</v>
      </c>
      <c r="M3447">
        <v>-0.30788769999999999</v>
      </c>
      <c r="N3447">
        <v>-1.484654E-2</v>
      </c>
      <c r="O3447">
        <v>-0.95130680000000001</v>
      </c>
      <c r="P3447">
        <v>-0.47142139999999999</v>
      </c>
      <c r="Q3447">
        <v>0.1646715</v>
      </c>
      <c r="R3447">
        <v>-0.86639789999999905</v>
      </c>
      <c r="S3447">
        <v>-2.4560240000000002</v>
      </c>
      <c r="T3447">
        <v>-0.1443585</v>
      </c>
      <c r="U3447">
        <v>-2.1706539999999999</v>
      </c>
      <c r="V3447">
        <v>0.1860581</v>
      </c>
      <c r="W3447">
        <v>0.1745476</v>
      </c>
      <c r="X3447">
        <v>0.9669103</v>
      </c>
      <c r="Y3447">
        <v>0.50838249999999996</v>
      </c>
      <c r="Z3447">
        <v>3.2699069999999997E-2</v>
      </c>
      <c r="AA3447">
        <v>0.86051029999999995</v>
      </c>
      <c r="AB3447">
        <v>29</v>
      </c>
      <c r="AC3447">
        <v>-18.805399999999899</v>
      </c>
      <c r="AD3447">
        <v>-1.1110141045190001</v>
      </c>
      <c r="AE3447">
        <v>-16.435399999999898</v>
      </c>
      <c r="AF3447">
        <v>12.805521810451699</v>
      </c>
      <c r="AG3447">
        <v>-1.1110141045190001</v>
      </c>
      <c r="AH3447">
        <v>21.385103632958</v>
      </c>
      <c r="AI3447">
        <v>92.552129779422003</v>
      </c>
      <c r="AJ3447">
        <v>59.086585218802902</v>
      </c>
      <c r="AK3447">
        <v>24.950719399863999</v>
      </c>
      <c r="AL3447">
        <v>79.9476677419201</v>
      </c>
      <c r="AM3447">
        <v>79.107969523338099</v>
      </c>
      <c r="AN3447">
        <v>1.0000000047437201</v>
      </c>
    </row>
    <row r="3448" spans="1:40" x14ac:dyDescent="0.25">
      <c r="A3448" t="str">
        <f>"20190303171045077"</f>
        <v>20190303171045077</v>
      </c>
      <c r="B3448" t="str">
        <f>"1551604245064229"</f>
        <v>1551604245064229</v>
      </c>
      <c r="C3448" t="s">
        <v>40</v>
      </c>
      <c r="D3448">
        <v>5.5784989999999999</v>
      </c>
      <c r="E3448">
        <v>0.65055379999999996</v>
      </c>
      <c r="F3448" t="s">
        <v>84</v>
      </c>
      <c r="G3448">
        <v>-207.21629999999999</v>
      </c>
      <c r="H3448" s="1">
        <v>-7.3820389999999998E-6</v>
      </c>
      <c r="I3448">
        <v>142.5686</v>
      </c>
      <c r="J3448">
        <v>-188.79910000000001</v>
      </c>
      <c r="K3448">
        <v>1.110973</v>
      </c>
      <c r="L3448">
        <v>158.36369999999999</v>
      </c>
      <c r="M3448">
        <v>-0.3145908</v>
      </c>
      <c r="N3448">
        <v>-1.4860450000000001E-2</v>
      </c>
      <c r="O3448">
        <v>-0.94911120000000004</v>
      </c>
      <c r="P3448">
        <v>-0.47756029999999999</v>
      </c>
      <c r="Q3448">
        <v>0.1639389</v>
      </c>
      <c r="R3448">
        <v>-0.86316899999999996</v>
      </c>
      <c r="S3448">
        <v>-2.4807130000000002</v>
      </c>
      <c r="T3448">
        <v>-0.14920320000000001</v>
      </c>
      <c r="U3448">
        <v>-2.1411739999999999</v>
      </c>
      <c r="V3448">
        <v>0.18605279999999999</v>
      </c>
      <c r="W3448">
        <v>0.17381750000000001</v>
      </c>
      <c r="X3448">
        <v>0.96704279999999998</v>
      </c>
      <c r="Y3448">
        <v>0.51234990000000002</v>
      </c>
      <c r="Z3448">
        <v>3.4316109999999997E-2</v>
      </c>
      <c r="AA3448">
        <v>0.85809089999999999</v>
      </c>
      <c r="AB3448">
        <v>29</v>
      </c>
      <c r="AC3448">
        <v>-18.417199999999902</v>
      </c>
      <c r="AD3448">
        <v>-1.1109803820389901</v>
      </c>
      <c r="AE3448">
        <v>-15.7950999999999</v>
      </c>
      <c r="AF3448">
        <v>12.486177907577201</v>
      </c>
      <c r="AG3448">
        <v>-1.1109803820389901</v>
      </c>
      <c r="AH3448">
        <v>20.743986799632498</v>
      </c>
      <c r="AI3448">
        <v>92.627211656185807</v>
      </c>
      <c r="AJ3448">
        <v>58.955510246161502</v>
      </c>
      <c r="AK3448">
        <v>24.237407132205199</v>
      </c>
      <c r="AL3448">
        <v>79.990148455484203</v>
      </c>
      <c r="AM3448">
        <v>79.109729020935902</v>
      </c>
      <c r="AN3448">
        <v>0.99999997236296401</v>
      </c>
    </row>
    <row r="3449" spans="1:40" x14ac:dyDescent="0.25">
      <c r="A3449" t="str">
        <f>"20190303171045089"</f>
        <v>20190303171045089</v>
      </c>
      <c r="B3449" t="str">
        <f>"1551604245073989"</f>
        <v>1551604245073989</v>
      </c>
      <c r="C3449" t="s">
        <v>40</v>
      </c>
      <c r="D3449">
        <v>5.5718079999999999</v>
      </c>
      <c r="E3449">
        <v>0.65036549999999904</v>
      </c>
      <c r="F3449" t="s">
        <v>84</v>
      </c>
      <c r="G3449">
        <v>-206.9896</v>
      </c>
      <c r="H3449" s="1">
        <v>-7.5608809999999996E-6</v>
      </c>
      <c r="I3449">
        <v>142.86529999999999</v>
      </c>
      <c r="J3449">
        <v>-188.858</v>
      </c>
      <c r="K3449">
        <v>1.1109450000000001</v>
      </c>
      <c r="L3449">
        <v>158.20949999999999</v>
      </c>
      <c r="M3449">
        <v>-0.3215829</v>
      </c>
      <c r="N3449">
        <v>-1.487393E-2</v>
      </c>
      <c r="O3449">
        <v>-0.94676459999999996</v>
      </c>
      <c r="P3449">
        <v>-0.48400520000000002</v>
      </c>
      <c r="Q3449">
        <v>0.1631996</v>
      </c>
      <c r="R3449">
        <v>-0.85971219999999904</v>
      </c>
      <c r="S3449">
        <v>-2.4938349999999998</v>
      </c>
      <c r="T3449">
        <v>-0.15231</v>
      </c>
      <c r="U3449">
        <v>-2.1247560000000001</v>
      </c>
      <c r="V3449">
        <v>0.18610309999999999</v>
      </c>
      <c r="W3449">
        <v>0.1730807</v>
      </c>
      <c r="X3449">
        <v>0.96716530000000001</v>
      </c>
      <c r="Y3449">
        <v>0.51148769999999999</v>
      </c>
      <c r="Z3449">
        <v>3.532855E-2</v>
      </c>
      <c r="AA3449">
        <v>0.85856399999999999</v>
      </c>
      <c r="AB3449">
        <v>29</v>
      </c>
      <c r="AC3449">
        <v>-18.131599999999899</v>
      </c>
      <c r="AD3449">
        <v>-1.110952560881</v>
      </c>
      <c r="AE3449">
        <v>-15.344200000000001</v>
      </c>
      <c r="AF3449">
        <v>12.2065754295232</v>
      </c>
      <c r="AG3449">
        <v>-1.110952560881</v>
      </c>
      <c r="AH3449">
        <v>20.315967943242601</v>
      </c>
      <c r="AI3449">
        <v>92.683694516595693</v>
      </c>
      <c r="AJ3449">
        <v>59.001014617261902</v>
      </c>
      <c r="AK3449">
        <v>23.727057398253798</v>
      </c>
      <c r="AL3449">
        <v>80.033014032695505</v>
      </c>
      <c r="AM3449">
        <v>79.108201938152803</v>
      </c>
      <c r="AN3449">
        <v>1.0000000050330899</v>
      </c>
    </row>
    <row r="3450" spans="1:40" x14ac:dyDescent="0.25">
      <c r="A3450" t="str">
        <f>"20190303171045102"</f>
        <v>20190303171045102</v>
      </c>
      <c r="B3450" t="str">
        <f>"1551604245094486"</f>
        <v>1551604245094486</v>
      </c>
      <c r="C3450" t="s">
        <v>40</v>
      </c>
      <c r="D3450">
        <v>5.5343710000000002</v>
      </c>
      <c r="E3450">
        <v>0.64355479999999998</v>
      </c>
      <c r="F3450" t="s">
        <v>84</v>
      </c>
      <c r="G3450">
        <v>-206.91919999999999</v>
      </c>
      <c r="H3450" s="1">
        <v>-7.6389299999999994E-6</v>
      </c>
      <c r="I3450">
        <v>143.04259999999999</v>
      </c>
      <c r="J3450">
        <v>-188.91380000000001</v>
      </c>
      <c r="K3450">
        <v>1.1109209999999901</v>
      </c>
      <c r="L3450">
        <v>158.0658</v>
      </c>
      <c r="M3450">
        <v>-0.32810719999999999</v>
      </c>
      <c r="N3450">
        <v>-1.488575E-2</v>
      </c>
      <c r="O3450">
        <v>-0.94452320000000001</v>
      </c>
      <c r="P3450">
        <v>-0.49026140000000001</v>
      </c>
      <c r="Q3450">
        <v>0.1629052</v>
      </c>
      <c r="R3450">
        <v>-0.85621569999999902</v>
      </c>
      <c r="S3450">
        <v>-2.5085139999999999</v>
      </c>
      <c r="T3450">
        <v>-0.1543001</v>
      </c>
      <c r="U3450">
        <v>-2.1065369999999999</v>
      </c>
      <c r="V3450">
        <v>0.1864671</v>
      </c>
      <c r="W3450">
        <v>0.17277970000000001</v>
      </c>
      <c r="X3450">
        <v>0.96714900000000004</v>
      </c>
      <c r="Y3450">
        <v>0.51167010000000002</v>
      </c>
      <c r="Z3450">
        <v>3.5995590000000001E-2</v>
      </c>
      <c r="AA3450">
        <v>0.85842759999999996</v>
      </c>
      <c r="AB3450">
        <v>29</v>
      </c>
      <c r="AC3450">
        <v>-18.005399999999899</v>
      </c>
      <c r="AD3450">
        <v>-1.1109286389299999</v>
      </c>
      <c r="AE3450">
        <v>-15.023199999999999</v>
      </c>
      <c r="AF3450">
        <v>12.051587962231499</v>
      </c>
      <c r="AG3450">
        <v>-1.1109286389299999</v>
      </c>
      <c r="AH3450">
        <v>20.054679131953399</v>
      </c>
      <c r="AI3450">
        <v>92.718429546543106</v>
      </c>
      <c r="AJ3450">
        <v>58.996807245588599</v>
      </c>
      <c r="AK3450">
        <v>23.423601130863801</v>
      </c>
      <c r="AL3450">
        <v>80.0505237747915</v>
      </c>
      <c r="AM3450">
        <v>79.087230097471902</v>
      </c>
      <c r="AN3450">
        <v>0.99999999615775004</v>
      </c>
    </row>
    <row r="3451" spans="1:40" x14ac:dyDescent="0.25">
      <c r="A3451" t="str">
        <f>"20190303171045121"</f>
        <v>20190303171045121</v>
      </c>
      <c r="B3451" t="str">
        <f>"1551604245114005"</f>
        <v>1551604245114005</v>
      </c>
      <c r="C3451" t="s">
        <v>40</v>
      </c>
      <c r="D3451">
        <v>5.5612440000000003</v>
      </c>
      <c r="E3451">
        <v>0.64527959999999995</v>
      </c>
      <c r="F3451" t="s">
        <v>84</v>
      </c>
      <c r="G3451">
        <v>-206.74080000000001</v>
      </c>
      <c r="H3451" s="1">
        <v>-7.6657289999999995E-6</v>
      </c>
      <c r="I3451">
        <v>142.84450000000001</v>
      </c>
      <c r="J3451">
        <v>-189.0104</v>
      </c>
      <c r="K3451">
        <v>1.1109020000000001</v>
      </c>
      <c r="L3451">
        <v>157.82380000000001</v>
      </c>
      <c r="M3451">
        <v>-0.33913589999999999</v>
      </c>
      <c r="N3451">
        <v>-1.490382E-2</v>
      </c>
      <c r="O3451">
        <v>-0.94061950000000005</v>
      </c>
      <c r="P3451">
        <v>-0.50067129999999904</v>
      </c>
      <c r="Q3451">
        <v>0.1633115</v>
      </c>
      <c r="R3451">
        <v>-0.85009290000000004</v>
      </c>
      <c r="S3451">
        <v>-2.4769290000000002</v>
      </c>
      <c r="T3451">
        <v>-0.15435479999999999</v>
      </c>
      <c r="U3451">
        <v>-2.1148829999999998</v>
      </c>
      <c r="V3451">
        <v>0.1869999</v>
      </c>
      <c r="W3451">
        <v>0.173176</v>
      </c>
      <c r="X3451">
        <v>0.96697520000000003</v>
      </c>
      <c r="Y3451">
        <v>0.49448249999999999</v>
      </c>
      <c r="Z3451">
        <v>3.6113840000000001E-2</v>
      </c>
      <c r="AA3451">
        <v>0.86843709999999996</v>
      </c>
      <c r="AB3451">
        <v>29</v>
      </c>
      <c r="AC3451">
        <v>-17.730399999999999</v>
      </c>
      <c r="AD3451">
        <v>-1.1109096657290001</v>
      </c>
      <c r="AE3451">
        <v>-14.979299999999901</v>
      </c>
      <c r="AF3451">
        <v>11.572318958862001</v>
      </c>
      <c r="AG3451">
        <v>-1.1109096657290001</v>
      </c>
      <c r="AH3451">
        <v>20.0591166618951</v>
      </c>
      <c r="AI3451">
        <v>92.746439570838206</v>
      </c>
      <c r="AJ3451">
        <v>60.018892852590298</v>
      </c>
      <c r="AK3451">
        <v>23.1844958458571</v>
      </c>
      <c r="AL3451">
        <v>80.027469607929305</v>
      </c>
      <c r="AM3451">
        <v>79.054880981202302</v>
      </c>
      <c r="AN3451">
        <v>0.999999963495524</v>
      </c>
    </row>
    <row r="3452" spans="1:40" x14ac:dyDescent="0.25">
      <c r="A3452" t="str">
        <f>"20190303171045134"</f>
        <v>20190303171045134</v>
      </c>
      <c r="B3452" t="str">
        <f>"1551604245124272"</f>
        <v>1551604245124272</v>
      </c>
      <c r="C3452" t="s">
        <v>40</v>
      </c>
      <c r="D3452">
        <v>5.5343470000000003</v>
      </c>
      <c r="E3452">
        <v>0.64548739999999905</v>
      </c>
      <c r="F3452" t="s">
        <v>84</v>
      </c>
      <c r="G3452">
        <v>-206.51939999999999</v>
      </c>
      <c r="H3452" s="1">
        <v>-7.8976220000000006E-6</v>
      </c>
      <c r="I3452">
        <v>143.3511</v>
      </c>
      <c r="J3452">
        <v>-189.07130000000001</v>
      </c>
      <c r="K3452">
        <v>1.1108880000000001</v>
      </c>
      <c r="L3452">
        <v>157.67509999999999</v>
      </c>
      <c r="M3452">
        <v>-0.34592209999999901</v>
      </c>
      <c r="N3452">
        <v>-1.491378E-2</v>
      </c>
      <c r="O3452">
        <v>-0.93814509999999995</v>
      </c>
      <c r="P3452">
        <v>-0.5071175</v>
      </c>
      <c r="Q3452">
        <v>0.16393550000000001</v>
      </c>
      <c r="R3452">
        <v>-0.84614259999999997</v>
      </c>
      <c r="S3452">
        <v>-2.5146790000000001</v>
      </c>
      <c r="T3452">
        <v>-0.1595511</v>
      </c>
      <c r="U3452">
        <v>-2.0785979999999999</v>
      </c>
      <c r="V3452">
        <v>0.18742629999999999</v>
      </c>
      <c r="W3452">
        <v>0.17379120000000001</v>
      </c>
      <c r="X3452">
        <v>0.96678229999999998</v>
      </c>
      <c r="Y3452">
        <v>0.50200059999999902</v>
      </c>
      <c r="Z3452">
        <v>3.7792550000000001E-2</v>
      </c>
      <c r="AA3452">
        <v>0.86404110000000001</v>
      </c>
      <c r="AB3452">
        <v>29</v>
      </c>
      <c r="AC3452">
        <v>-17.448099999999901</v>
      </c>
      <c r="AD3452">
        <v>-1.11089589762199</v>
      </c>
      <c r="AE3452">
        <v>-14.3239999999999</v>
      </c>
      <c r="AF3452">
        <v>11.3875503112457</v>
      </c>
      <c r="AG3452">
        <v>-1.11089589762199</v>
      </c>
      <c r="AH3452">
        <v>19.428783409111901</v>
      </c>
      <c r="AI3452">
        <v>92.824061854016904</v>
      </c>
      <c r="AJ3452">
        <v>59.624685436622997</v>
      </c>
      <c r="AK3452">
        <v>22.547461421292802</v>
      </c>
      <c r="AL3452">
        <v>79.991678977253599</v>
      </c>
      <c r="AM3452">
        <v>79.028392892963694</v>
      </c>
      <c r="AN3452">
        <v>1.0000000073612001</v>
      </c>
    </row>
    <row r="3453" spans="1:40" x14ac:dyDescent="0.25">
      <c r="A3453" t="str">
        <f>"20190303171045145"</f>
        <v>20190303171045145</v>
      </c>
      <c r="B3453" t="str">
        <f>"1551604245134032"</f>
        <v>1551604245134032</v>
      </c>
      <c r="C3453" t="s">
        <v>40</v>
      </c>
      <c r="D3453">
        <v>5.5421950000000004</v>
      </c>
      <c r="E3453">
        <v>0.64548059999999996</v>
      </c>
      <c r="F3453" t="s">
        <v>84</v>
      </c>
      <c r="G3453">
        <v>-206.59809999999999</v>
      </c>
      <c r="H3453" s="1">
        <v>-7.8811600000000006E-6</v>
      </c>
      <c r="I3453">
        <v>143.42089999999999</v>
      </c>
      <c r="J3453">
        <v>-189.12899999999999</v>
      </c>
      <c r="K3453">
        <v>1.1108800000000001</v>
      </c>
      <c r="L3453">
        <v>157.53790000000001</v>
      </c>
      <c r="M3453">
        <v>-0.35220479999999998</v>
      </c>
      <c r="N3453">
        <v>-1.492186E-2</v>
      </c>
      <c r="O3453">
        <v>-0.93580419999999997</v>
      </c>
      <c r="P3453">
        <v>-0.51304359999999904</v>
      </c>
      <c r="Q3453">
        <v>0.16432550000000001</v>
      </c>
      <c r="R3453">
        <v>-0.84248659999999997</v>
      </c>
      <c r="S3453">
        <v>-2.5319060000000002</v>
      </c>
      <c r="T3453">
        <v>-0.1604787</v>
      </c>
      <c r="U3453">
        <v>-2.0591430000000002</v>
      </c>
      <c r="V3453">
        <v>0.18776899999999999</v>
      </c>
      <c r="W3453">
        <v>0.17417579999999999</v>
      </c>
      <c r="X3453">
        <v>0.96664660000000002</v>
      </c>
      <c r="Y3453">
        <v>0.50306790000000001</v>
      </c>
      <c r="Z3453">
        <v>3.8106229999999998E-2</v>
      </c>
      <c r="AA3453">
        <v>0.86340640000000002</v>
      </c>
      <c r="AB3453">
        <v>29</v>
      </c>
      <c r="AC3453">
        <v>-17.469099999999901</v>
      </c>
      <c r="AD3453">
        <v>-1.11088788115999</v>
      </c>
      <c r="AE3453">
        <v>-14.117000000000001</v>
      </c>
      <c r="AF3453">
        <v>11.3490829061067</v>
      </c>
      <c r="AG3453">
        <v>-1.11088788115999</v>
      </c>
      <c r="AH3453">
        <v>19.3183421806627</v>
      </c>
      <c r="AI3453">
        <v>92.838477739386803</v>
      </c>
      <c r="AJ3453">
        <v>59.566741282811897</v>
      </c>
      <c r="AK3453">
        <v>22.432879870925301</v>
      </c>
      <c r="AL3453">
        <v>79.969301944431507</v>
      </c>
      <c r="AM3453">
        <v>79.007314574462598</v>
      </c>
      <c r="AN3453">
        <v>1.0000000279790899</v>
      </c>
    </row>
    <row r="3454" spans="1:40" x14ac:dyDescent="0.25">
      <c r="A3454" t="str">
        <f>"20190303171045165"</f>
        <v>20190303171045165</v>
      </c>
      <c r="B3454" t="str">
        <f>"1551604245154528"</f>
        <v>1551604245154528</v>
      </c>
      <c r="C3454" t="s">
        <v>40</v>
      </c>
      <c r="D3454">
        <v>5.5135930000000002</v>
      </c>
      <c r="E3454">
        <v>0.64506180000000002</v>
      </c>
      <c r="F3454" t="s">
        <v>84</v>
      </c>
      <c r="G3454">
        <v>-206.75989999999999</v>
      </c>
      <c r="H3454" s="1">
        <v>-7.8044499999999995E-6</v>
      </c>
      <c r="I3454">
        <v>143.40199999999999</v>
      </c>
      <c r="J3454">
        <v>-189.2296</v>
      </c>
      <c r="K3454">
        <v>1.1108769999999999</v>
      </c>
      <c r="L3454">
        <v>157.3038</v>
      </c>
      <c r="M3454">
        <v>-0.36293259999999999</v>
      </c>
      <c r="N3454">
        <v>-1.493422E-2</v>
      </c>
      <c r="O3454">
        <v>-0.93169590000000002</v>
      </c>
      <c r="P3454">
        <v>-0.52275749999999999</v>
      </c>
      <c r="Q3454">
        <v>0.16475409999999999</v>
      </c>
      <c r="R3454">
        <v>-0.83640939999999997</v>
      </c>
      <c r="S3454">
        <v>-2.5463260000000001</v>
      </c>
      <c r="T3454">
        <v>-0.16043929999999901</v>
      </c>
      <c r="U3454">
        <v>-2.0415649999999999</v>
      </c>
      <c r="V3454">
        <v>0.1878929</v>
      </c>
      <c r="W3454">
        <v>0.17460909999999999</v>
      </c>
      <c r="X3454">
        <v>0.96654430000000002</v>
      </c>
      <c r="Y3454">
        <v>0.49915340000000002</v>
      </c>
      <c r="Z3454">
        <v>3.8069459999999999E-2</v>
      </c>
      <c r="AA3454">
        <v>0.86567700000000003</v>
      </c>
      <c r="AB3454">
        <v>29</v>
      </c>
      <c r="AC3454">
        <v>-17.530299999999901</v>
      </c>
      <c r="AD3454">
        <v>-1.1108848044499999</v>
      </c>
      <c r="AE3454">
        <v>-13.9017999999999</v>
      </c>
      <c r="AF3454">
        <v>11.260987311809</v>
      </c>
      <c r="AG3454">
        <v>-1.1108848044499999</v>
      </c>
      <c r="AH3454">
        <v>19.269213610166901</v>
      </c>
      <c r="AI3454">
        <v>92.849506826206294</v>
      </c>
      <c r="AJ3454">
        <v>59.6978543766757</v>
      </c>
      <c r="AK3454">
        <v>22.3460621461528</v>
      </c>
      <c r="AL3454">
        <v>79.944088861796104</v>
      </c>
      <c r="AM3454">
        <v>78.999102054546398</v>
      </c>
      <c r="AN3454">
        <v>0.99999998176785498</v>
      </c>
    </row>
    <row r="3455" spans="1:40" x14ac:dyDescent="0.25">
      <c r="A3455" t="str">
        <f>"20190303171045177"</f>
        <v>20190303171045177</v>
      </c>
      <c r="B3455" t="str">
        <f>"1551604245164288"</f>
        <v>1551604245164288</v>
      </c>
      <c r="C3455" t="s">
        <v>40</v>
      </c>
      <c r="D3455">
        <v>5.5544200000000004</v>
      </c>
      <c r="E3455">
        <v>0.64496290000000001</v>
      </c>
      <c r="F3455" t="s">
        <v>84</v>
      </c>
      <c r="G3455">
        <v>-207.02850000000001</v>
      </c>
      <c r="H3455" s="1">
        <v>-7.6686880000000005E-6</v>
      </c>
      <c r="I3455">
        <v>143.339</v>
      </c>
      <c r="J3455">
        <v>-189.29339999999999</v>
      </c>
      <c r="K3455">
        <v>1.1108720000000001</v>
      </c>
      <c r="L3455">
        <v>157.15809999999999</v>
      </c>
      <c r="M3455">
        <v>-0.3696101</v>
      </c>
      <c r="N3455">
        <v>-1.494112E-2</v>
      </c>
      <c r="O3455">
        <v>-0.92906699999999998</v>
      </c>
      <c r="P3455">
        <v>-0.52857169999999998</v>
      </c>
      <c r="Q3455">
        <v>0.1649148</v>
      </c>
      <c r="R3455">
        <v>-0.83271569999999995</v>
      </c>
      <c r="S3455">
        <v>-2.5669249999999999</v>
      </c>
      <c r="T3455">
        <v>-0.1602095</v>
      </c>
      <c r="U3455">
        <v>-2.0139770000000001</v>
      </c>
      <c r="V3455">
        <v>0.18770519999999999</v>
      </c>
      <c r="W3455">
        <v>0.17478050000000001</v>
      </c>
      <c r="X3455">
        <v>0.96654980000000001</v>
      </c>
      <c r="Y3455">
        <v>0.50206229999999996</v>
      </c>
      <c r="Z3455">
        <v>3.8074400000000001E-2</v>
      </c>
      <c r="AA3455">
        <v>0.86399289999999995</v>
      </c>
      <c r="AB3455">
        <v>29</v>
      </c>
      <c r="AC3455">
        <v>-17.735099999999999</v>
      </c>
      <c r="AD3455">
        <v>-1.11087966868799</v>
      </c>
      <c r="AE3455">
        <v>-13.819099999999899</v>
      </c>
      <c r="AF3455">
        <v>11.342993407134699</v>
      </c>
      <c r="AG3455">
        <v>-1.11087966868799</v>
      </c>
      <c r="AH3455">
        <v>19.348868149593699</v>
      </c>
      <c r="AI3455">
        <v>92.835519801947896</v>
      </c>
      <c r="AJ3455">
        <v>59.619654259554601</v>
      </c>
      <c r="AK3455">
        <v>22.456096093109501</v>
      </c>
      <c r="AL3455">
        <v>79.934115082800901</v>
      </c>
      <c r="AM3455">
        <v>79.009884962030796</v>
      </c>
      <c r="AN3455">
        <v>0.99999999058366495</v>
      </c>
    </row>
    <row r="3456" spans="1:40" x14ac:dyDescent="0.25">
      <c r="A3456" t="str">
        <f>"20190303171045201"</f>
        <v>20190303171045201</v>
      </c>
      <c r="B3456" t="str">
        <f>"1551604245194543"</f>
        <v>1551604245194543</v>
      </c>
      <c r="C3456" t="s">
        <v>40</v>
      </c>
      <c r="D3456">
        <v>5.4988590000000004</v>
      </c>
      <c r="E3456">
        <v>0.6372892</v>
      </c>
      <c r="F3456" t="s">
        <v>84</v>
      </c>
      <c r="G3456">
        <v>-207.03219999999999</v>
      </c>
      <c r="H3456" s="1">
        <v>-7.6921420000000003E-6</v>
      </c>
      <c r="I3456">
        <v>143.4341</v>
      </c>
      <c r="J3456">
        <v>-189.4195</v>
      </c>
      <c r="K3456">
        <v>1.1108750000000001</v>
      </c>
      <c r="L3456">
        <v>156.88059999999999</v>
      </c>
      <c r="M3456">
        <v>-0.38236330000000002</v>
      </c>
      <c r="N3456">
        <v>-1.495198E-2</v>
      </c>
      <c r="O3456">
        <v>-0.92389120000000002</v>
      </c>
      <c r="P3456">
        <v>-0.53967959999999904</v>
      </c>
      <c r="Q3456">
        <v>0.16459019999999999</v>
      </c>
      <c r="R3456">
        <v>-0.82562479999999905</v>
      </c>
      <c r="S3456">
        <v>-2.580673</v>
      </c>
      <c r="T3456">
        <v>-0.16161300000000001</v>
      </c>
      <c r="U3456">
        <v>-1.996597</v>
      </c>
      <c r="V3456">
        <v>0.18731390000000001</v>
      </c>
      <c r="W3456">
        <v>0.17448</v>
      </c>
      <c r="X3456">
        <v>0.96667999999999998</v>
      </c>
      <c r="Y3456">
        <v>0.49600509999999898</v>
      </c>
      <c r="Z3456">
        <v>3.8454580000000002E-2</v>
      </c>
      <c r="AA3456">
        <v>0.86746759999999901</v>
      </c>
      <c r="AB3456">
        <v>29</v>
      </c>
      <c r="AC3456">
        <v>-17.612699999999901</v>
      </c>
      <c r="AD3456">
        <v>-1.1108826921420001</v>
      </c>
      <c r="AE3456">
        <v>-13.446499999999901</v>
      </c>
      <c r="AF3456">
        <v>11.104105958287301</v>
      </c>
      <c r="AG3456">
        <v>-1.1108826921420001</v>
      </c>
      <c r="AH3456">
        <v>19.111659981188598</v>
      </c>
      <c r="AI3456">
        <v>92.877186888252197</v>
      </c>
      <c r="AJ3456">
        <v>59.842893338197499</v>
      </c>
      <c r="AK3456">
        <v>22.131217244542501</v>
      </c>
      <c r="AL3456">
        <v>79.951601198821606</v>
      </c>
      <c r="AM3456">
        <v>79.033680789018007</v>
      </c>
      <c r="AN3456">
        <v>0.99999999496660497</v>
      </c>
    </row>
    <row r="3457" spans="1:40" x14ac:dyDescent="0.25">
      <c r="A3457" t="str">
        <f>"20190303171045223"</f>
        <v>20190303171045223</v>
      </c>
      <c r="B3457" t="str">
        <f>"1551604245214064"</f>
        <v>1551604245214064</v>
      </c>
      <c r="C3457" t="s">
        <v>40</v>
      </c>
      <c r="D3457">
        <v>5.511673</v>
      </c>
      <c r="E3457">
        <v>0.63693219999999995</v>
      </c>
      <c r="F3457" t="s">
        <v>84</v>
      </c>
      <c r="G3457">
        <v>-206.5257</v>
      </c>
      <c r="H3457" s="1">
        <v>-7.9416160000000008E-6</v>
      </c>
      <c r="I3457">
        <v>143.5283</v>
      </c>
      <c r="J3457">
        <v>-189.5453</v>
      </c>
      <c r="K3457">
        <v>1.1108899999999999</v>
      </c>
      <c r="L3457">
        <v>156.613</v>
      </c>
      <c r="M3457">
        <v>-0.39467780000000002</v>
      </c>
      <c r="N3457">
        <v>-1.49605E-2</v>
      </c>
      <c r="O3457">
        <v>-0.91869789999999996</v>
      </c>
      <c r="P3457">
        <v>-0.55057849999999997</v>
      </c>
      <c r="Q3457">
        <v>0.16453970000000001</v>
      </c>
      <c r="R3457">
        <v>-0.81840709999999905</v>
      </c>
      <c r="S3457">
        <v>-2.55661</v>
      </c>
      <c r="T3457">
        <v>-0.166026799999999</v>
      </c>
      <c r="U3457">
        <v>-1.9955750000000001</v>
      </c>
      <c r="V3457">
        <v>0.1872007</v>
      </c>
      <c r="W3457">
        <v>0.1744453</v>
      </c>
      <c r="X3457">
        <v>0.96670820000000002</v>
      </c>
      <c r="Y3457">
        <v>0.48055500000000001</v>
      </c>
      <c r="Z3457">
        <v>3.9927499999999998E-2</v>
      </c>
      <c r="AA3457">
        <v>0.87605519999999903</v>
      </c>
      <c r="AB3457">
        <v>29</v>
      </c>
      <c r="AC3457">
        <v>-16.980399999999999</v>
      </c>
      <c r="AD3457">
        <v>-1.1108979416160001</v>
      </c>
      <c r="AE3457">
        <v>-13.0846999999999</v>
      </c>
      <c r="AF3457">
        <v>10.408831420716799</v>
      </c>
      <c r="AG3457">
        <v>-1.1108979416160001</v>
      </c>
      <c r="AH3457">
        <v>18.674616599939899</v>
      </c>
      <c r="AI3457">
        <v>92.974458240265193</v>
      </c>
      <c r="AJ3457">
        <v>60.865640559676301</v>
      </c>
      <c r="AK3457">
        <v>21.408390199553502</v>
      </c>
      <c r="AL3457">
        <v>79.953620423516199</v>
      </c>
      <c r="AM3457">
        <v>79.040459538699395</v>
      </c>
      <c r="AN3457">
        <v>1.00000000435991</v>
      </c>
    </row>
    <row r="3458" spans="1:40" x14ac:dyDescent="0.25">
      <c r="A3458" t="str">
        <f>"20190303171045244"</f>
        <v>20190303171045244</v>
      </c>
      <c r="B3458" t="str">
        <f>"1551604245234091"</f>
        <v>1551604245234091</v>
      </c>
      <c r="C3458" t="s">
        <v>40</v>
      </c>
      <c r="D3458">
        <v>5.3061339999999904</v>
      </c>
      <c r="E3458">
        <v>0.63718960000000002</v>
      </c>
      <c r="F3458" t="s">
        <v>84</v>
      </c>
      <c r="G3458">
        <v>-206.7106</v>
      </c>
      <c r="H3458" s="1">
        <v>-7.8671949999999995E-6</v>
      </c>
      <c r="I3458">
        <v>143.55690000000001</v>
      </c>
      <c r="J3458">
        <v>-189.66480000000001</v>
      </c>
      <c r="K3458">
        <v>1.1109039999999999</v>
      </c>
      <c r="L3458">
        <v>156.3672</v>
      </c>
      <c r="M3458">
        <v>-0.40599679999999999</v>
      </c>
      <c r="N3458">
        <v>-1.4966800000000001E-2</v>
      </c>
      <c r="O3458">
        <v>-0.91375200000000001</v>
      </c>
      <c r="P3458">
        <v>-0.56026659999999995</v>
      </c>
      <c r="Q3458">
        <v>0.16541620000000001</v>
      </c>
      <c r="R3458">
        <v>-0.8116274</v>
      </c>
      <c r="S3458">
        <v>-2.5808260000000001</v>
      </c>
      <c r="T3458">
        <v>-0.16702520000000001</v>
      </c>
      <c r="U3458">
        <v>-1.9629970000000001</v>
      </c>
      <c r="V3458">
        <v>0.18683630000000001</v>
      </c>
      <c r="W3458">
        <v>0.17534060000000001</v>
      </c>
      <c r="X3458">
        <v>0.9666167</v>
      </c>
      <c r="Y3458">
        <v>0.48067579999999999</v>
      </c>
      <c r="Z3458">
        <v>4.0261039999999998E-2</v>
      </c>
      <c r="AA3458">
        <v>0.87597359999999902</v>
      </c>
      <c r="AB3458">
        <v>29</v>
      </c>
      <c r="AC3458">
        <v>-17.0457999999999</v>
      </c>
      <c r="AD3458">
        <v>-1.110911867195</v>
      </c>
      <c r="AE3458">
        <v>-12.8102999999999</v>
      </c>
      <c r="AF3458">
        <v>10.3477668788043</v>
      </c>
      <c r="AG3458">
        <v>-1.110911867195</v>
      </c>
      <c r="AH3458">
        <v>18.577636216115302</v>
      </c>
      <c r="AI3458">
        <v>92.990473902408795</v>
      </c>
      <c r="AJ3458">
        <v>60.882137784526599</v>
      </c>
      <c r="AK3458">
        <v>21.294106507037899</v>
      </c>
      <c r="AL3458">
        <v>79.901520339716498</v>
      </c>
      <c r="AM3458">
        <v>79.060267505385994</v>
      </c>
      <c r="AN3458">
        <v>0.99999998686246905</v>
      </c>
    </row>
    <row r="3459" spans="1:40" x14ac:dyDescent="0.25">
      <c r="A3459" t="str">
        <f>"20190303171045257"</f>
        <v>20190303171045257</v>
      </c>
      <c r="B3459" t="str">
        <f>"1551604245243851"</f>
        <v>1551604245243851</v>
      </c>
      <c r="C3459" t="s">
        <v>40</v>
      </c>
      <c r="D3459">
        <v>5.2853640000000004</v>
      </c>
      <c r="E3459">
        <v>0.63670919999999998</v>
      </c>
      <c r="F3459" t="s">
        <v>42</v>
      </c>
      <c r="G3459">
        <v>-216.42660000000001</v>
      </c>
      <c r="H3459" s="1">
        <v>-2.2001159999999999E-6</v>
      </c>
      <c r="I3459">
        <v>136.6258</v>
      </c>
      <c r="J3459">
        <v>-189.7398</v>
      </c>
      <c r="K3459">
        <v>1.110914</v>
      </c>
      <c r="L3459">
        <v>156.21600000000001</v>
      </c>
      <c r="M3459">
        <v>-0.41295730000000003</v>
      </c>
      <c r="N3459">
        <v>-1.497011E-2</v>
      </c>
      <c r="O3459">
        <v>-0.91062750000000003</v>
      </c>
      <c r="P3459">
        <v>-0.56620239999999999</v>
      </c>
      <c r="Q3459">
        <v>0.16604289999999999</v>
      </c>
      <c r="R3459">
        <v>-0.80736929999999996</v>
      </c>
      <c r="S3459">
        <v>-2.6039279999999998</v>
      </c>
      <c r="T3459">
        <v>-0.1080914</v>
      </c>
      <c r="U3459">
        <v>-1.9208369999999999</v>
      </c>
      <c r="V3459">
        <v>0.18661240000000001</v>
      </c>
      <c r="W3459">
        <v>0.175979</v>
      </c>
      <c r="X3459">
        <v>0.96654399999999996</v>
      </c>
      <c r="Y3459">
        <v>0.48738029999999999</v>
      </c>
      <c r="Z3459">
        <v>2.1975769999999999E-2</v>
      </c>
      <c r="AA3459">
        <v>0.87291319999999994</v>
      </c>
      <c r="AB3459">
        <v>29</v>
      </c>
      <c r="AC3459">
        <v>-26.686800000000002</v>
      </c>
      <c r="AD3459">
        <v>-1.110916200116</v>
      </c>
      <c r="AE3459">
        <v>-19.590199999999999</v>
      </c>
      <c r="AF3459">
        <v>16.195395241593701</v>
      </c>
      <c r="AG3459">
        <v>-1.110916200116</v>
      </c>
      <c r="AH3459">
        <v>28.830648563224798</v>
      </c>
      <c r="AI3459">
        <v>91.924118460376206</v>
      </c>
      <c r="AJ3459">
        <v>60.675234949742702</v>
      </c>
      <c r="AK3459">
        <v>33.086723295172199</v>
      </c>
      <c r="AL3459">
        <v>79.864365629412504</v>
      </c>
      <c r="AM3459">
        <v>79.072259555420999</v>
      </c>
      <c r="AN3459">
        <v>1.0000000501053701</v>
      </c>
    </row>
    <row r="3460" spans="1:40" x14ac:dyDescent="0.25">
      <c r="A3460" t="str">
        <f>"20190303171045270"</f>
        <v>20190303171045270</v>
      </c>
      <c r="B3460" t="str">
        <f>"1551604245264346"</f>
        <v>1551604245264346</v>
      </c>
      <c r="C3460" t="s">
        <v>40</v>
      </c>
      <c r="D3460">
        <v>5.2976419999999997</v>
      </c>
      <c r="E3460">
        <v>0.63568999999999998</v>
      </c>
      <c r="F3460" t="s">
        <v>42</v>
      </c>
      <c r="G3460">
        <v>-216.0821</v>
      </c>
      <c r="H3460" s="1">
        <v>-2.2908940000000002E-6</v>
      </c>
      <c r="I3460">
        <v>137.03190000000001</v>
      </c>
      <c r="J3460">
        <v>-189.81880000000001</v>
      </c>
      <c r="K3460">
        <v>1.1109249999999999</v>
      </c>
      <c r="L3460">
        <v>156.06110000000001</v>
      </c>
      <c r="M3460">
        <v>-0.42010429999999999</v>
      </c>
      <c r="N3460">
        <v>-1.497281E-2</v>
      </c>
      <c r="O3460">
        <v>-0.90735239999999995</v>
      </c>
      <c r="P3460">
        <v>-0.57215199999999999</v>
      </c>
      <c r="Q3460">
        <v>0.16622600000000001</v>
      </c>
      <c r="R3460">
        <v>-0.80312609999999995</v>
      </c>
      <c r="S3460">
        <v>-2.6151119999999999</v>
      </c>
      <c r="T3460">
        <v>-0.1102853</v>
      </c>
      <c r="U3460">
        <v>-1.90448</v>
      </c>
      <c r="V3460">
        <v>0.18616949999999999</v>
      </c>
      <c r="W3460">
        <v>0.1761799</v>
      </c>
      <c r="X3460">
        <v>0.96659269999999997</v>
      </c>
      <c r="Y3460">
        <v>0.48584319999999998</v>
      </c>
      <c r="Z3460">
        <v>2.2679459999999999E-2</v>
      </c>
      <c r="AA3460">
        <v>0.87375170000000002</v>
      </c>
      <c r="AB3460">
        <v>28</v>
      </c>
      <c r="AC3460">
        <v>-26.263299999999902</v>
      </c>
      <c r="AD3460">
        <v>-1.110927290894</v>
      </c>
      <c r="AE3460">
        <v>-19.029199999999999</v>
      </c>
      <c r="AF3460">
        <v>15.8190329932065</v>
      </c>
      <c r="AG3460">
        <v>-1.110927290894</v>
      </c>
      <c r="AH3460">
        <v>28.2695170302928</v>
      </c>
      <c r="AI3460">
        <v>91.964111067645504</v>
      </c>
      <c r="AJ3460">
        <v>60.769532274278099</v>
      </c>
      <c r="AK3460">
        <v>32.413601426127101</v>
      </c>
      <c r="AL3460">
        <v>79.852671119198703</v>
      </c>
      <c r="AM3460">
        <v>79.098109009103695</v>
      </c>
      <c r="AN3460">
        <v>0.99999994379377299</v>
      </c>
    </row>
    <row r="3461" spans="1:40" x14ac:dyDescent="0.25">
      <c r="A3461" t="str">
        <f>"20190303171045290"</f>
        <v>20190303171045290</v>
      </c>
      <c r="B3461" t="str">
        <f>"1551604245274106"</f>
        <v>1551604245274106</v>
      </c>
      <c r="C3461" t="s">
        <v>40</v>
      </c>
      <c r="D3461">
        <v>5.292929</v>
      </c>
      <c r="E3461">
        <v>0.635320199999999</v>
      </c>
      <c r="F3461" t="s">
        <v>42</v>
      </c>
      <c r="G3461">
        <v>-215.4393</v>
      </c>
      <c r="H3461" s="1">
        <v>-2.494967E-6</v>
      </c>
      <c r="I3461">
        <v>137.59450000000001</v>
      </c>
      <c r="J3461">
        <v>-189.93340000000001</v>
      </c>
      <c r="K3461">
        <v>1.1109450000000001</v>
      </c>
      <c r="L3461">
        <v>155.8407</v>
      </c>
      <c r="M3461">
        <v>-0.43026950000000003</v>
      </c>
      <c r="N3461">
        <v>-1.4976039999999999E-2</v>
      </c>
      <c r="O3461">
        <v>-0.90257609999999999</v>
      </c>
      <c r="P3461">
        <v>-0.58057139999999996</v>
      </c>
      <c r="Q3461">
        <v>0.1668954</v>
      </c>
      <c r="R3461">
        <v>-0.79692109999999905</v>
      </c>
      <c r="S3461">
        <v>-2.6228030000000002</v>
      </c>
      <c r="T3461">
        <v>-0.11372690000000001</v>
      </c>
      <c r="U3461">
        <v>-1.890442</v>
      </c>
      <c r="V3461">
        <v>0.18555279999999999</v>
      </c>
      <c r="W3461">
        <v>0.17687410000000001</v>
      </c>
      <c r="X3461">
        <v>0.96658460000000002</v>
      </c>
      <c r="Y3461">
        <v>0.48028409999999999</v>
      </c>
      <c r="Z3461">
        <v>2.3741720000000001E-2</v>
      </c>
      <c r="AA3461">
        <v>0.87679159999999901</v>
      </c>
      <c r="AB3461">
        <v>28</v>
      </c>
      <c r="AC3461">
        <v>-25.5059</v>
      </c>
      <c r="AD3461">
        <v>-1.110947494967</v>
      </c>
      <c r="AE3461">
        <v>-18.246199999999899</v>
      </c>
      <c r="AF3461">
        <v>15.152919810897799</v>
      </c>
      <c r="AG3461">
        <v>-1.110947494967</v>
      </c>
      <c r="AH3461">
        <v>27.411676354891899</v>
      </c>
      <c r="AI3461">
        <v>92.031408212388797</v>
      </c>
      <c r="AJ3461">
        <v>61.0665905240676</v>
      </c>
      <c r="AK3461">
        <v>31.340791051238899</v>
      </c>
      <c r="AL3461">
        <v>79.8122627688184</v>
      </c>
      <c r="AM3461">
        <v>79.133272248488197</v>
      </c>
      <c r="AN3461">
        <v>1.0000000388979</v>
      </c>
    </row>
    <row r="3462" spans="1:40" x14ac:dyDescent="0.25">
      <c r="A3462" t="str">
        <f>"20190303171045312"</f>
        <v>20190303171045312</v>
      </c>
      <c r="B3462" t="str">
        <f>"1551604245304363"</f>
        <v>1551604245304363</v>
      </c>
      <c r="C3462" t="s">
        <v>40</v>
      </c>
      <c r="D3462">
        <v>5.2723779999999998</v>
      </c>
      <c r="E3462">
        <v>0.63409510000000002</v>
      </c>
      <c r="F3462" t="s">
        <v>42</v>
      </c>
      <c r="G3462">
        <v>-215.8622</v>
      </c>
      <c r="H3462" s="1">
        <v>-2.3054590000000001E-6</v>
      </c>
      <c r="I3462">
        <v>137.536</v>
      </c>
      <c r="J3462">
        <v>-190.0642</v>
      </c>
      <c r="K3462">
        <v>1.1109659999999999</v>
      </c>
      <c r="L3462">
        <v>155.59639999999999</v>
      </c>
      <c r="M3462">
        <v>-0.44154179999999998</v>
      </c>
      <c r="N3462">
        <v>-1.4978709999999999E-2</v>
      </c>
      <c r="O3462">
        <v>-0.89711580000000002</v>
      </c>
      <c r="P3462">
        <v>-0.59059169999999905</v>
      </c>
      <c r="Q3462">
        <v>0.1672583</v>
      </c>
      <c r="R3462">
        <v>-0.78944689999999995</v>
      </c>
      <c r="S3462">
        <v>-2.6408230000000001</v>
      </c>
      <c r="T3462">
        <v>-0.11314920000000001</v>
      </c>
      <c r="U3462">
        <v>-1.8643190000000001</v>
      </c>
      <c r="V3462">
        <v>0.18569089999999999</v>
      </c>
      <c r="W3462">
        <v>0.1772425</v>
      </c>
      <c r="X3462">
        <v>0.96649059999999998</v>
      </c>
      <c r="Y3462">
        <v>0.47790719999999998</v>
      </c>
      <c r="Z3462">
        <v>2.356743E-2</v>
      </c>
      <c r="AA3462">
        <v>0.87809409999999899</v>
      </c>
      <c r="AB3462">
        <v>28</v>
      </c>
      <c r="AC3462">
        <v>-25.797999999999998</v>
      </c>
      <c r="AD3462">
        <v>-1.1109683054589901</v>
      </c>
      <c r="AE3462">
        <v>-18.060399999999898</v>
      </c>
      <c r="AF3462">
        <v>15.152213878699101</v>
      </c>
      <c r="AG3462">
        <v>-1.1109683054589901</v>
      </c>
      <c r="AH3462">
        <v>27.561955051327601</v>
      </c>
      <c r="AI3462">
        <v>92.022975128282994</v>
      </c>
      <c r="AJ3462">
        <v>61.200158252086297</v>
      </c>
      <c r="AK3462">
        <v>31.471974870557101</v>
      </c>
      <c r="AL3462">
        <v>79.790816239493694</v>
      </c>
      <c r="AM3462">
        <v>79.124344882059304</v>
      </c>
      <c r="AN3462">
        <v>1.0000000470187</v>
      </c>
    </row>
    <row r="3463" spans="1:40" x14ac:dyDescent="0.25">
      <c r="A3463" t="str">
        <f>"20190303171045324"</f>
        <v>20190303171045324</v>
      </c>
      <c r="B3463" t="str">
        <f>"1551604245314123"</f>
        <v>1551604245314123</v>
      </c>
      <c r="C3463" t="s">
        <v>40</v>
      </c>
      <c r="D3463">
        <v>5.3003150000000003</v>
      </c>
      <c r="E3463">
        <v>0.63381309999999902</v>
      </c>
      <c r="F3463" t="s">
        <v>42</v>
      </c>
      <c r="G3463">
        <v>-215.8175</v>
      </c>
      <c r="H3463" s="1">
        <v>-2.2813789999999999E-6</v>
      </c>
      <c r="I3463">
        <v>137.79089999999999</v>
      </c>
      <c r="J3463">
        <v>-190.14570000000001</v>
      </c>
      <c r="K3463">
        <v>1.110978</v>
      </c>
      <c r="L3463">
        <v>155.44799999999901</v>
      </c>
      <c r="M3463">
        <v>-0.44840079999999999</v>
      </c>
      <c r="N3463">
        <v>-1.4979839999999999E-2</v>
      </c>
      <c r="O3463">
        <v>-0.89370699999999903</v>
      </c>
      <c r="P3463">
        <v>-0.59669530000000004</v>
      </c>
      <c r="Q3463">
        <v>0.16761379999999901</v>
      </c>
      <c r="R3463">
        <v>-0.78476800000000002</v>
      </c>
      <c r="S3463">
        <v>-2.6567539999999998</v>
      </c>
      <c r="T3463">
        <v>-0.1146095</v>
      </c>
      <c r="U3463">
        <v>-1.8368530000000001</v>
      </c>
      <c r="V3463">
        <v>0.18582000000000001</v>
      </c>
      <c r="W3463">
        <v>0.17759910000000001</v>
      </c>
      <c r="X3463">
        <v>0.96640029999999999</v>
      </c>
      <c r="Y3463">
        <v>0.47976289999999999</v>
      </c>
      <c r="Z3463">
        <v>2.409534E-2</v>
      </c>
      <c r="AA3463">
        <v>0.87706729999999999</v>
      </c>
      <c r="AB3463">
        <v>28</v>
      </c>
      <c r="AC3463">
        <v>-25.671799999999902</v>
      </c>
      <c r="AD3463">
        <v>-1.110980281379</v>
      </c>
      <c r="AE3463">
        <v>-17.6570999999999</v>
      </c>
      <c r="AF3463">
        <v>15.0082154691138</v>
      </c>
      <c r="AG3463">
        <v>-1.110980281379</v>
      </c>
      <c r="AH3463">
        <v>27.259935976837799</v>
      </c>
      <c r="AI3463">
        <v>92.044693625198605</v>
      </c>
      <c r="AJ3463">
        <v>61.1646022003452</v>
      </c>
      <c r="AK3463">
        <v>31.138158555288001</v>
      </c>
      <c r="AL3463">
        <v>79.770054978656205</v>
      </c>
      <c r="AM3463">
        <v>79.115971556461304</v>
      </c>
      <c r="AN3463">
        <v>1.00000002628044</v>
      </c>
    </row>
    <row r="3464" spans="1:40" x14ac:dyDescent="0.25">
      <c r="A3464" t="str">
        <f>"20190303171045338"</f>
        <v>20190303171045338</v>
      </c>
      <c r="B3464" t="str">
        <f>"1551604245323883"</f>
        <v>1551604245323883</v>
      </c>
      <c r="C3464" t="s">
        <v>40</v>
      </c>
      <c r="D3464">
        <v>5.3177690000000002</v>
      </c>
      <c r="E3464">
        <v>0.63387139999999997</v>
      </c>
      <c r="F3464" t="s">
        <v>42</v>
      </c>
      <c r="G3464">
        <v>-215.9366</v>
      </c>
      <c r="H3464" s="1">
        <v>-2.207981E-6</v>
      </c>
      <c r="I3464">
        <v>137.8871</v>
      </c>
      <c r="J3464">
        <v>-190.23099999999999</v>
      </c>
      <c r="K3464">
        <v>1.1109869999999999</v>
      </c>
      <c r="L3464">
        <v>155.29490000000001</v>
      </c>
      <c r="M3464">
        <v>-0.45546730000000002</v>
      </c>
      <c r="N3464">
        <v>-1.4980820000000001E-2</v>
      </c>
      <c r="O3464">
        <v>-0.89012649999999904</v>
      </c>
      <c r="P3464">
        <v>-0.60329500000000003</v>
      </c>
      <c r="Q3464">
        <v>0.16796510000000001</v>
      </c>
      <c r="R3464">
        <v>-0.77963009999999999</v>
      </c>
      <c r="S3464">
        <v>-2.6694789999999999</v>
      </c>
      <c r="T3464">
        <v>-0.1149917</v>
      </c>
      <c r="U3464">
        <v>-1.8176270000000001</v>
      </c>
      <c r="V3464">
        <v>0.1863563</v>
      </c>
      <c r="W3464">
        <v>0.17794119999999999</v>
      </c>
      <c r="X3464">
        <v>0.96623400000000004</v>
      </c>
      <c r="Y3464">
        <v>0.47906949999999998</v>
      </c>
      <c r="Z3464">
        <v>2.4225900000000002E-2</v>
      </c>
      <c r="AA3464">
        <v>0.87744259999999996</v>
      </c>
      <c r="AB3464">
        <v>28</v>
      </c>
      <c r="AC3464">
        <v>-25.7056</v>
      </c>
      <c r="AD3464">
        <v>-1.110989207981</v>
      </c>
      <c r="AE3464">
        <v>-17.407800000000002</v>
      </c>
      <c r="AF3464">
        <v>14.9351031425768</v>
      </c>
      <c r="AG3464">
        <v>-1.110989207981</v>
      </c>
      <c r="AH3464">
        <v>27.171459406558998</v>
      </c>
      <c r="AI3464">
        <v>92.052139864559905</v>
      </c>
      <c r="AJ3464">
        <v>61.2041019155714</v>
      </c>
      <c r="AK3464">
        <v>31.0254703297459</v>
      </c>
      <c r="AL3464">
        <v>79.750135964101304</v>
      </c>
      <c r="AM3464">
        <v>79.0834788811961</v>
      </c>
      <c r="AN3464">
        <v>0.99999994198156295</v>
      </c>
    </row>
    <row r="3465" spans="1:40" x14ac:dyDescent="0.25">
      <c r="A3465" t="str">
        <f>"20190303171045355"</f>
        <v>20190303171045355</v>
      </c>
      <c r="B3465" t="str">
        <f>"1551604245344379"</f>
        <v>1551604245344379</v>
      </c>
      <c r="C3465" t="s">
        <v>40</v>
      </c>
      <c r="D3465">
        <v>5.4134209999999996</v>
      </c>
      <c r="E3465">
        <v>0.65723980000000004</v>
      </c>
      <c r="F3465" t="s">
        <v>42</v>
      </c>
      <c r="G3465">
        <v>-216.18940000000001</v>
      </c>
      <c r="H3465" s="1">
        <v>-2.0783200000000002E-6</v>
      </c>
      <c r="I3465">
        <v>137.9444</v>
      </c>
      <c r="J3465">
        <v>-190.3389</v>
      </c>
      <c r="K3465">
        <v>1.111002</v>
      </c>
      <c r="L3465">
        <v>155.10570000000001</v>
      </c>
      <c r="M3465">
        <v>-0.46421669999999998</v>
      </c>
      <c r="N3465">
        <v>-1.498158E-2</v>
      </c>
      <c r="O3465">
        <v>-0.88559519999999903</v>
      </c>
      <c r="P3465">
        <v>-0.61127229999999999</v>
      </c>
      <c r="Q3465">
        <v>0.16849710000000001</v>
      </c>
      <c r="R3465">
        <v>-0.77327590000000002</v>
      </c>
      <c r="S3465">
        <v>-2.685257</v>
      </c>
      <c r="T3465">
        <v>-0.1149256</v>
      </c>
      <c r="U3465">
        <v>-1.794815</v>
      </c>
      <c r="V3465">
        <v>0.18682219999999999</v>
      </c>
      <c r="W3465">
        <v>0.17846619999999999</v>
      </c>
      <c r="X3465">
        <v>0.96604719999999999</v>
      </c>
      <c r="Y3465">
        <v>0.47795589999999999</v>
      </c>
      <c r="Z3465">
        <v>2.4204960000000001E-2</v>
      </c>
      <c r="AA3465">
        <v>0.87805029999999995</v>
      </c>
      <c r="AB3465">
        <v>28</v>
      </c>
      <c r="AC3465">
        <v>-25.8505</v>
      </c>
      <c r="AD3465">
        <v>-1.1110040783199999</v>
      </c>
      <c r="AE3465">
        <v>-17.161300000000001</v>
      </c>
      <c r="AF3465">
        <v>14.909074121162501</v>
      </c>
      <c r="AG3465">
        <v>-1.1110040783199999</v>
      </c>
      <c r="AH3465">
        <v>27.1664159594051</v>
      </c>
      <c r="AI3465">
        <v>92.053288899721494</v>
      </c>
      <c r="AJ3465">
        <v>61.2417848052525</v>
      </c>
      <c r="AK3465">
        <v>31.0085307180425</v>
      </c>
      <c r="AL3465">
        <v>79.719566512579206</v>
      </c>
      <c r="AM3465">
        <v>79.054780209545996</v>
      </c>
      <c r="AN3465">
        <v>0.99999995579155898</v>
      </c>
    </row>
    <row r="3466" spans="1:40" x14ac:dyDescent="0.25">
      <c r="A3466" t="str">
        <f>"20190303171045371"</f>
        <v>20190303171045371</v>
      </c>
      <c r="B3466" t="str">
        <f>"1551604245363899"</f>
        <v>1551604245363899</v>
      </c>
      <c r="C3466" t="s">
        <v>40</v>
      </c>
      <c r="D3466">
        <v>5.3891939999999998</v>
      </c>
      <c r="E3466">
        <v>0.66878000000000004</v>
      </c>
      <c r="F3466" t="s">
        <v>42</v>
      </c>
      <c r="G3466">
        <v>-219.47710000000001</v>
      </c>
      <c r="H3466" s="1">
        <v>-5.5213600000000001E-7</v>
      </c>
      <c r="I3466">
        <v>138.23660000000001</v>
      </c>
      <c r="J3466">
        <v>-190.4496</v>
      </c>
      <c r="K3466">
        <v>1.111022</v>
      </c>
      <c r="L3466">
        <v>154.91640000000001</v>
      </c>
      <c r="M3466">
        <v>-0.47297919999999999</v>
      </c>
      <c r="N3466">
        <v>-1.498185E-2</v>
      </c>
      <c r="O3466">
        <v>-0.88094640000000002</v>
      </c>
      <c r="P3466">
        <v>-0.61909979999999998</v>
      </c>
      <c r="Q3466">
        <v>0.16868459999999999</v>
      </c>
      <c r="R3466">
        <v>-0.76698199999999905</v>
      </c>
      <c r="S3466">
        <v>-2.850266</v>
      </c>
      <c r="T3466">
        <v>-0.10867739999999999</v>
      </c>
      <c r="U3466">
        <v>-1.6501159999999999</v>
      </c>
      <c r="V3466">
        <v>0.1870752</v>
      </c>
      <c r="W3466">
        <v>0.17865349999999999</v>
      </c>
      <c r="X3466">
        <v>0.96596369999999998</v>
      </c>
      <c r="Y3466">
        <v>0.52510639999999997</v>
      </c>
      <c r="Z3466">
        <v>2.2300460000000001E-2</v>
      </c>
      <c r="AA3466">
        <v>0.85074439999999996</v>
      </c>
      <c r="AB3466">
        <v>28</v>
      </c>
      <c r="AC3466">
        <v>-29.0275</v>
      </c>
      <c r="AD3466">
        <v>-1.111022552136</v>
      </c>
      <c r="AE3466">
        <v>-16.6798</v>
      </c>
      <c r="AF3466">
        <v>17.6650001653407</v>
      </c>
      <c r="AG3466">
        <v>-1.111022552136</v>
      </c>
      <c r="AH3466">
        <v>28.395326790773801</v>
      </c>
      <c r="AI3466">
        <v>91.902819297662205</v>
      </c>
      <c r="AJ3466">
        <v>58.113867825309498</v>
      </c>
      <c r="AK3466">
        <v>33.460143238002999</v>
      </c>
      <c r="AL3466">
        <v>79.708660571109505</v>
      </c>
      <c r="AM3466">
        <v>79.039392128947895</v>
      </c>
      <c r="AN3466">
        <v>1.0000000366174799</v>
      </c>
    </row>
    <row r="3467" spans="1:40" x14ac:dyDescent="0.25">
      <c r="A3467" t="str">
        <f>"20190303171045395"</f>
        <v>20190303171045395</v>
      </c>
      <c r="B3467" t="str">
        <f>"1551604245384394"</f>
        <v>1551604245384394</v>
      </c>
      <c r="C3467" t="s">
        <v>40</v>
      </c>
      <c r="D3467">
        <v>5.3647830000000001</v>
      </c>
      <c r="E3467">
        <v>0.67595399999999894</v>
      </c>
      <c r="F3467" t="s">
        <v>42</v>
      </c>
      <c r="G3467">
        <v>-237.66290000000001</v>
      </c>
      <c r="H3467" s="1">
        <v>-3.3647909999999999E-6</v>
      </c>
      <c r="I3467">
        <v>129.90690000000001</v>
      </c>
      <c r="J3467">
        <v>-190.59450000000001</v>
      </c>
      <c r="K3467">
        <v>1.111046</v>
      </c>
      <c r="L3467">
        <v>154.6746</v>
      </c>
      <c r="M3467">
        <v>-0.48417460000000001</v>
      </c>
      <c r="N3467">
        <v>-1.498177E-2</v>
      </c>
      <c r="O3467">
        <v>-0.87484340000000005</v>
      </c>
      <c r="P3467">
        <v>-0.62901409999999902</v>
      </c>
      <c r="Q3467">
        <v>0.16952879999999901</v>
      </c>
      <c r="R3467">
        <v>-0.75868440000000004</v>
      </c>
      <c r="S3467">
        <v>-2.937103</v>
      </c>
      <c r="T3467">
        <v>-6.9116120000000003E-2</v>
      </c>
      <c r="U3467">
        <v>-1.555817</v>
      </c>
      <c r="V3467">
        <v>0.187413</v>
      </c>
      <c r="W3467">
        <v>0.1794946</v>
      </c>
      <c r="X3467">
        <v>0.9657422</v>
      </c>
      <c r="Y3467">
        <v>0.54634189999999905</v>
      </c>
      <c r="Z3467">
        <v>1.023435E-2</v>
      </c>
      <c r="AA3467">
        <v>0.83749969999999996</v>
      </c>
      <c r="AB3467">
        <v>28</v>
      </c>
      <c r="AC3467">
        <v>-47.068399999999997</v>
      </c>
      <c r="AD3467">
        <v>-1.111049364791</v>
      </c>
      <c r="AE3467">
        <v>-24.767699999999898</v>
      </c>
      <c r="AF3467">
        <v>29.176125386174199</v>
      </c>
      <c r="AG3467">
        <v>-1.111049364791</v>
      </c>
      <c r="AH3467">
        <v>44.4427688491377</v>
      </c>
      <c r="AI3467">
        <v>91.197224239093998</v>
      </c>
      <c r="AJ3467">
        <v>56.715598703712899</v>
      </c>
      <c r="AK3467">
        <v>53.175562302797097</v>
      </c>
      <c r="AL3467">
        <v>79.659676614066498</v>
      </c>
      <c r="AM3467">
        <v>79.017624146927403</v>
      </c>
      <c r="AN3467">
        <v>0.99999997042949895</v>
      </c>
    </row>
    <row r="3468" spans="1:40" x14ac:dyDescent="0.25">
      <c r="A3468" t="str">
        <f>"20190303171045413"</f>
        <v>20190303171045413</v>
      </c>
      <c r="B3468" t="str">
        <f>"1551604245403915"</f>
        <v>1551604245403915</v>
      </c>
      <c r="C3468" t="s">
        <v>40</v>
      </c>
      <c r="D3468">
        <v>5.332497</v>
      </c>
      <c r="E3468">
        <v>0.67896219999999996</v>
      </c>
      <c r="F3468" t="s">
        <v>41</v>
      </c>
      <c r="G3468">
        <v>-276.4006</v>
      </c>
      <c r="H3468">
        <v>-0.05</v>
      </c>
      <c r="I3468">
        <v>112.4682</v>
      </c>
      <c r="J3468">
        <v>-190.72829999999999</v>
      </c>
      <c r="K3468">
        <v>1.111059</v>
      </c>
      <c r="L3468">
        <v>154.45740000000001</v>
      </c>
      <c r="M3468">
        <v>-0.49424400000000002</v>
      </c>
      <c r="N3468">
        <v>-1.498114E-2</v>
      </c>
      <c r="O3468">
        <v>-0.86919409999999897</v>
      </c>
      <c r="P3468">
        <v>-0.63788919999999905</v>
      </c>
      <c r="Q3468">
        <v>0.17032050000000001</v>
      </c>
      <c r="R3468">
        <v>-0.75105819999999901</v>
      </c>
      <c r="S3468">
        <v>-3.0003199999999999</v>
      </c>
      <c r="T3468">
        <v>-4.0597439999999999E-2</v>
      </c>
      <c r="U3468">
        <v>-1.4758</v>
      </c>
      <c r="V3468">
        <v>0.18771470000000001</v>
      </c>
      <c r="W3468">
        <v>0.1802841</v>
      </c>
      <c r="X3468">
        <v>0.96553659999999997</v>
      </c>
      <c r="Y3468">
        <v>0.56177480000000002</v>
      </c>
      <c r="Z3468">
        <v>1.65316799999999E-3</v>
      </c>
      <c r="AA3468">
        <v>0.82728849999999998</v>
      </c>
      <c r="AB3468">
        <v>28</v>
      </c>
      <c r="AC3468">
        <v>-85.672300000000007</v>
      </c>
      <c r="AD3468">
        <v>-1.1610590000000001</v>
      </c>
      <c r="AE3468">
        <v>-41.989199999999997</v>
      </c>
      <c r="AF3468">
        <v>53.711023241354198</v>
      </c>
      <c r="AG3468">
        <v>-1.1610590000000001</v>
      </c>
      <c r="AH3468">
        <v>78.836960678895295</v>
      </c>
      <c r="AI3468">
        <v>90.697318893075703</v>
      </c>
      <c r="AJ3468">
        <v>55.733692448065</v>
      </c>
      <c r="AK3468">
        <v>95.401721392857795</v>
      </c>
      <c r="AL3468">
        <v>79.613692219953904</v>
      </c>
      <c r="AM3468">
        <v>78.998090347284204</v>
      </c>
      <c r="AN3468">
        <v>1.00000004562422</v>
      </c>
    </row>
    <row r="3469" spans="1:40" x14ac:dyDescent="0.25">
      <c r="A3469" t="str">
        <f>"20190303171045438"</f>
        <v>20190303171045438</v>
      </c>
      <c r="B3469" t="str">
        <f>"1551604245434172"</f>
        <v>1551604245434172</v>
      </c>
      <c r="C3469" t="s">
        <v>40</v>
      </c>
      <c r="D3469">
        <v>5.3651229999999996</v>
      </c>
      <c r="E3469">
        <v>0.68076300000000001</v>
      </c>
      <c r="F3469" t="s">
        <v>90</v>
      </c>
      <c r="G3469">
        <v>-269.51749999999998</v>
      </c>
      <c r="H3469">
        <v>0.38954929999999999</v>
      </c>
      <c r="I3469">
        <v>117.52889999999999</v>
      </c>
      <c r="J3469">
        <v>-190.88730000000001</v>
      </c>
      <c r="K3469">
        <v>1.111084</v>
      </c>
      <c r="L3469">
        <v>154.20599999999999</v>
      </c>
      <c r="M3469">
        <v>-0.50590239999999997</v>
      </c>
      <c r="N3469">
        <v>-1.498003E-2</v>
      </c>
      <c r="O3469">
        <v>-0.86246080000000003</v>
      </c>
      <c r="P3469">
        <v>-0.64794879999999999</v>
      </c>
      <c r="Q3469">
        <v>0.17023070000000001</v>
      </c>
      <c r="R3469">
        <v>-0.74241780000000002</v>
      </c>
      <c r="S3469">
        <v>-3.0353850000000002</v>
      </c>
      <c r="T3469">
        <v>-2.779651E-2</v>
      </c>
      <c r="U3469">
        <v>-1.4226840000000001</v>
      </c>
      <c r="V3469">
        <v>0.1876989</v>
      </c>
      <c r="W3469">
        <v>0.18020330000000001</v>
      </c>
      <c r="X3469">
        <v>0.96555469999999999</v>
      </c>
      <c r="Y3469">
        <v>0.56621929999999998</v>
      </c>
      <c r="Z3469">
        <v>-2.11407E-3</v>
      </c>
      <c r="AA3469">
        <v>0.82425190000000004</v>
      </c>
      <c r="AB3469">
        <v>28</v>
      </c>
      <c r="AC3469">
        <v>-78.630199999999903</v>
      </c>
      <c r="AD3469">
        <v>-0.72153469999999997</v>
      </c>
      <c r="AE3469">
        <v>-36.677100000000003</v>
      </c>
      <c r="AF3469">
        <v>49.262546706234097</v>
      </c>
      <c r="AG3469">
        <v>-0.72153469999999997</v>
      </c>
      <c r="AH3469">
        <v>71.414833135857293</v>
      </c>
      <c r="AI3469">
        <v>90.476499484441902</v>
      </c>
      <c r="AJ3469">
        <v>55.401764951955002</v>
      </c>
      <c r="AK3469">
        <v>86.760575794133302</v>
      </c>
      <c r="AL3469">
        <v>79.618398246026103</v>
      </c>
      <c r="AM3469">
        <v>78.999194979016394</v>
      </c>
      <c r="AN3469">
        <v>0.99999999254209404</v>
      </c>
    </row>
    <row r="3470" spans="1:40" x14ac:dyDescent="0.25">
      <c r="A3470" t="str">
        <f>"20190303171045455"</f>
        <v>20190303171045455</v>
      </c>
      <c r="B3470" t="str">
        <f>"1551604245443931"</f>
        <v>1551604245443931</v>
      </c>
      <c r="C3470" t="s">
        <v>40</v>
      </c>
      <c r="D3470">
        <v>5.3769669999999996</v>
      </c>
      <c r="E3470">
        <v>0.68095530000000004</v>
      </c>
      <c r="F3470" t="s">
        <v>90</v>
      </c>
      <c r="G3470">
        <v>-272.87569999999999</v>
      </c>
      <c r="H3470">
        <v>0.51252819999999999</v>
      </c>
      <c r="I3470">
        <v>117.52889999999999</v>
      </c>
      <c r="J3470">
        <v>-191.02279999999999</v>
      </c>
      <c r="K3470">
        <v>1.1111089999999999</v>
      </c>
      <c r="L3470">
        <v>153.99780000000001</v>
      </c>
      <c r="M3470">
        <v>-0.51556820000000003</v>
      </c>
      <c r="N3470">
        <v>-1.4978770000000001E-2</v>
      </c>
      <c r="O3470">
        <v>-0.85671759999999997</v>
      </c>
      <c r="P3470">
        <v>-0.65582130000000005</v>
      </c>
      <c r="Q3470">
        <v>0.16997129999999999</v>
      </c>
      <c r="R3470">
        <v>-0.73553290000000005</v>
      </c>
      <c r="S3470">
        <v>-3.0648960000000001</v>
      </c>
      <c r="T3470">
        <v>-2.2375229999999999E-2</v>
      </c>
      <c r="U3470">
        <v>-1.3710629999999999</v>
      </c>
      <c r="V3470">
        <v>0.18708159999999999</v>
      </c>
      <c r="W3470">
        <v>0.17996789999999999</v>
      </c>
      <c r="X3470">
        <v>0.96571839999999998</v>
      </c>
      <c r="Y3470">
        <v>0.57148859999999901</v>
      </c>
      <c r="Z3470">
        <v>-3.6208239999999999E-3</v>
      </c>
      <c r="AA3470">
        <v>0.8206021</v>
      </c>
      <c r="AB3470">
        <v>28</v>
      </c>
      <c r="AC3470">
        <v>-81.852900000000005</v>
      </c>
      <c r="AD3470">
        <v>-0.59858080000000002</v>
      </c>
      <c r="AE3470">
        <v>-36.468899999999998</v>
      </c>
      <c r="AF3470">
        <v>51.326083686630199</v>
      </c>
      <c r="AG3470">
        <v>-0.59858080000000002</v>
      </c>
      <c r="AH3470">
        <v>73.449264727596798</v>
      </c>
      <c r="AI3470">
        <v>90.382740008310705</v>
      </c>
      <c r="AJ3470">
        <v>55.054287659089098</v>
      </c>
      <c r="AK3470">
        <v>89.607587037067802</v>
      </c>
      <c r="AL3470">
        <v>79.632109913050996</v>
      </c>
      <c r="AM3470">
        <v>79.036309525297696</v>
      </c>
      <c r="AN3470">
        <v>0.99999999909376402</v>
      </c>
    </row>
    <row r="3471" spans="1:40" x14ac:dyDescent="0.25">
      <c r="A3471" t="str">
        <f>"20190303171045482"</f>
        <v>20190303171045482</v>
      </c>
      <c r="B3471" t="str">
        <f>"1551604245474187"</f>
        <v>1551604245474187</v>
      </c>
      <c r="C3471" t="s">
        <v>40</v>
      </c>
      <c r="D3471">
        <v>5.2585129999999998</v>
      </c>
      <c r="E3471">
        <v>0.66594739999999997</v>
      </c>
      <c r="F3471" t="s">
        <v>90</v>
      </c>
      <c r="G3471">
        <v>-275.02350000000001</v>
      </c>
      <c r="H3471">
        <v>0.51320619999999995</v>
      </c>
      <c r="I3471">
        <v>117.52889999999999</v>
      </c>
      <c r="J3471">
        <v>-191.21279999999999</v>
      </c>
      <c r="K3471">
        <v>1.111137</v>
      </c>
      <c r="L3471">
        <v>153.715</v>
      </c>
      <c r="M3471">
        <v>-0.52872600000000003</v>
      </c>
      <c r="N3471">
        <v>-1.497632E-2</v>
      </c>
      <c r="O3471">
        <v>-0.84866030000000003</v>
      </c>
      <c r="P3471">
        <v>-0.66647650000000003</v>
      </c>
      <c r="Q3471">
        <v>0.16988789999999901</v>
      </c>
      <c r="R3471">
        <v>-0.72591110000000003</v>
      </c>
      <c r="S3471">
        <v>-3.0802610000000001</v>
      </c>
      <c r="T3471">
        <v>-2.192473E-2</v>
      </c>
      <c r="U3471">
        <v>-1.33729599999999</v>
      </c>
      <c r="V3471">
        <v>0.1862365</v>
      </c>
      <c r="W3471">
        <v>0.17991679999999999</v>
      </c>
      <c r="X3471">
        <v>0.96589119999999995</v>
      </c>
      <c r="Y3471">
        <v>0.5678877</v>
      </c>
      <c r="Z3471">
        <v>-3.6271070000000001E-3</v>
      </c>
      <c r="AA3471">
        <v>0.82309809999999906</v>
      </c>
      <c r="AB3471">
        <v>28</v>
      </c>
      <c r="AC3471">
        <v>-83.810699999999997</v>
      </c>
      <c r="AD3471">
        <v>-0.59793079999999998</v>
      </c>
      <c r="AE3471">
        <v>-36.186100000000003</v>
      </c>
      <c r="AF3471">
        <v>51.997888800450099</v>
      </c>
      <c r="AG3471">
        <v>-0.59793079999999998</v>
      </c>
      <c r="AH3471">
        <v>75.027807055278402</v>
      </c>
      <c r="AI3471">
        <v>90.375290783687603</v>
      </c>
      <c r="AJ3471">
        <v>55.276173982897603</v>
      </c>
      <c r="AK3471">
        <v>91.286963978816004</v>
      </c>
      <c r="AL3471">
        <v>79.635085791420593</v>
      </c>
      <c r="AM3471">
        <v>79.086549224132497</v>
      </c>
      <c r="AN3471">
        <v>0.99999994954596305</v>
      </c>
    </row>
    <row r="3472" spans="1:40" x14ac:dyDescent="0.25">
      <c r="A3472" t="str">
        <f>"20190303171045505"</f>
        <v>20190303171045505</v>
      </c>
      <c r="B3472" t="str">
        <f>"1551604245494683"</f>
        <v>1551604245494683</v>
      </c>
      <c r="C3472" t="s">
        <v>40</v>
      </c>
      <c r="D3472">
        <v>5.3757419999999998</v>
      </c>
      <c r="E3472">
        <v>0.66557429999999995</v>
      </c>
      <c r="F3472" t="s">
        <v>43</v>
      </c>
      <c r="G3472">
        <v>-192.01220000000001</v>
      </c>
      <c r="H3472">
        <v>1.1821189999999999</v>
      </c>
      <c r="I3472">
        <v>153.36150000000001</v>
      </c>
      <c r="J3472">
        <v>-191.37629999999999</v>
      </c>
      <c r="K3472">
        <v>1.1111610000000001</v>
      </c>
      <c r="L3472">
        <v>153.47839999999999</v>
      </c>
      <c r="M3472">
        <v>-0.53974029999999995</v>
      </c>
      <c r="N3472">
        <v>-1.497392E-2</v>
      </c>
      <c r="O3472">
        <v>-0.84169839999999996</v>
      </c>
      <c r="P3472">
        <v>-0.67550739999999998</v>
      </c>
      <c r="Q3472">
        <v>0.170908</v>
      </c>
      <c r="R3472">
        <v>-0.71727259999999904</v>
      </c>
      <c r="S3472">
        <v>-2.9924620000000002</v>
      </c>
      <c r="T3472">
        <v>0.26570880000000002</v>
      </c>
      <c r="U3472">
        <v>-1.3231200000000001</v>
      </c>
      <c r="V3472">
        <v>0.1858802</v>
      </c>
      <c r="W3472">
        <v>0.1809509</v>
      </c>
      <c r="X3472">
        <v>0.96576669999999998</v>
      </c>
      <c r="Y3472">
        <v>0.54741070000000003</v>
      </c>
      <c r="Z3472">
        <v>-9.1388170000000005E-2</v>
      </c>
      <c r="AA3472">
        <v>0.83185919999999902</v>
      </c>
      <c r="AB3472">
        <v>28</v>
      </c>
      <c r="AC3472">
        <v>-0.63590000000002</v>
      </c>
      <c r="AD3472">
        <v>7.0957999999999993E-2</v>
      </c>
      <c r="AE3472">
        <v>-0.116899999999986</v>
      </c>
      <c r="AF3472">
        <v>0.46657363919283701</v>
      </c>
      <c r="AG3472">
        <v>7.0957999999999993E-2</v>
      </c>
      <c r="AH3472">
        <v>0.43640856960688701</v>
      </c>
      <c r="AI3472">
        <v>83.6621610140797</v>
      </c>
      <c r="AJ3472">
        <v>43.086685794353002</v>
      </c>
      <c r="AK3472">
        <v>0.64278957535104497</v>
      </c>
      <c r="AL3472">
        <v>79.574848046272393</v>
      </c>
      <c r="AM3472">
        <v>79.105557767353901</v>
      </c>
      <c r="AN3472">
        <v>0.99999999789586902</v>
      </c>
    </row>
    <row r="3473" spans="1:40" x14ac:dyDescent="0.25">
      <c r="A3473" t="str">
        <f>"20190303171045524"</f>
        <v>20190303171045524</v>
      </c>
      <c r="B3473" t="str">
        <f>"1551604245514203"</f>
        <v>1551604245514203</v>
      </c>
      <c r="C3473" t="s">
        <v>40</v>
      </c>
      <c r="D3473">
        <v>5.3668180000000003</v>
      </c>
      <c r="E3473">
        <v>0.66496639999999996</v>
      </c>
      <c r="F3473" t="s">
        <v>90</v>
      </c>
      <c r="G3473">
        <v>-273.35270000000003</v>
      </c>
      <c r="H3473">
        <v>8.4085330000000003</v>
      </c>
      <c r="I3473">
        <v>118.3904</v>
      </c>
      <c r="J3473">
        <v>-191.5196</v>
      </c>
      <c r="K3473">
        <v>1.1111869999999999</v>
      </c>
      <c r="L3473">
        <v>153.2764</v>
      </c>
      <c r="M3473">
        <v>-0.54915190000000003</v>
      </c>
      <c r="N3473">
        <v>-1.497156E-2</v>
      </c>
      <c r="O3473">
        <v>-0.83558860000000001</v>
      </c>
      <c r="P3473">
        <v>-0.68347539999999996</v>
      </c>
      <c r="Q3473">
        <v>0.1716608</v>
      </c>
      <c r="R3473">
        <v>-0.70950290000000005</v>
      </c>
      <c r="S3473">
        <v>-3.0068359999999998</v>
      </c>
      <c r="T3473">
        <v>0.26766250000000003</v>
      </c>
      <c r="U3473">
        <v>-1.2870029999999999</v>
      </c>
      <c r="V3473">
        <v>0.18593709999999999</v>
      </c>
      <c r="W3473">
        <v>0.1817059</v>
      </c>
      <c r="X3473">
        <v>0.96561399999999997</v>
      </c>
      <c r="Y3473">
        <v>0.54788340000000002</v>
      </c>
      <c r="Z3473">
        <v>-9.1621530000000007E-2</v>
      </c>
      <c r="AA3473">
        <v>0.83152230000000005</v>
      </c>
      <c r="AB3473">
        <v>28</v>
      </c>
      <c r="AC3473">
        <v>-81.833100000000002</v>
      </c>
      <c r="AD3473">
        <v>7.2973460000000001</v>
      </c>
      <c r="AE3473">
        <v>-34.886000000000003</v>
      </c>
      <c r="AF3473">
        <v>48.897571044311697</v>
      </c>
      <c r="AG3473">
        <v>7.2973460000000001</v>
      </c>
      <c r="AH3473">
        <v>73.602171843219196</v>
      </c>
      <c r="AI3473">
        <v>85.279083875174706</v>
      </c>
      <c r="AJ3473">
        <v>56.401941556478697</v>
      </c>
      <c r="AK3473">
        <v>88.665119481766894</v>
      </c>
      <c r="AL3473">
        <v>79.530860747052699</v>
      </c>
      <c r="AM3473">
        <v>79.100620630779403</v>
      </c>
      <c r="AN3473">
        <v>1.0000000181236</v>
      </c>
    </row>
    <row r="3474" spans="1:40" x14ac:dyDescent="0.25">
      <c r="A3474" t="str">
        <f>"20190303171045545"</f>
        <v>20190303171045545</v>
      </c>
      <c r="B3474" t="str">
        <f>"1551604245534699"</f>
        <v>1551604245534699</v>
      </c>
      <c r="C3474" t="s">
        <v>40</v>
      </c>
      <c r="D3474">
        <v>5.2407130000000004</v>
      </c>
      <c r="E3474">
        <v>0.66342869999999998</v>
      </c>
      <c r="F3474" t="s">
        <v>90</v>
      </c>
      <c r="G3474">
        <v>-275.27199999999999</v>
      </c>
      <c r="H3474">
        <v>8.5175780000000003</v>
      </c>
      <c r="I3474">
        <v>118.3904</v>
      </c>
      <c r="J3474">
        <v>-191.67609999999999</v>
      </c>
      <c r="K3474">
        <v>1.1112109999999999</v>
      </c>
      <c r="L3474">
        <v>153.06110000000001</v>
      </c>
      <c r="M3474">
        <v>-0.55919149999999995</v>
      </c>
      <c r="N3474">
        <v>-1.4968769999999999E-2</v>
      </c>
      <c r="O3474">
        <v>-0.82890350000000002</v>
      </c>
      <c r="P3474">
        <v>-0.69224680000000005</v>
      </c>
      <c r="Q3474">
        <v>0.17163039999999999</v>
      </c>
      <c r="R3474">
        <v>-0.70095479999999999</v>
      </c>
      <c r="S3474">
        <v>-3.0175320000000001</v>
      </c>
      <c r="T3474">
        <v>0.26684639999999998</v>
      </c>
      <c r="U3474">
        <v>-1.256912</v>
      </c>
      <c r="V3474">
        <v>0.18628600000000001</v>
      </c>
      <c r="W3474">
        <v>0.18167220000000001</v>
      </c>
      <c r="X3474">
        <v>0.96555310000000005</v>
      </c>
      <c r="Y3474">
        <v>0.5459678</v>
      </c>
      <c r="Z3474">
        <v>-9.092865E-2</v>
      </c>
      <c r="AA3474">
        <v>0.83285730000000002</v>
      </c>
      <c r="AB3474">
        <v>28</v>
      </c>
      <c r="AC3474">
        <v>-83.5959</v>
      </c>
      <c r="AD3474">
        <v>7.4063669999999897</v>
      </c>
      <c r="AE3474">
        <v>-34.670699999999997</v>
      </c>
      <c r="AF3474">
        <v>49.578908197409397</v>
      </c>
      <c r="AG3474">
        <v>7.4063669999999897</v>
      </c>
      <c r="AH3474">
        <v>74.990983741383602</v>
      </c>
      <c r="AI3474">
        <v>85.290266126247502</v>
      </c>
      <c r="AJ3474">
        <v>56.5300498408807</v>
      </c>
      <c r="AK3474">
        <v>90.202938159941894</v>
      </c>
      <c r="AL3474">
        <v>79.532824373942603</v>
      </c>
      <c r="AM3474">
        <v>79.079987619793499</v>
      </c>
      <c r="AN3474">
        <v>1.0000000254842201</v>
      </c>
    </row>
    <row r="3475" spans="1:40" x14ac:dyDescent="0.25">
      <c r="A3475" t="str">
        <f>"20190303171045562"</f>
        <v>20190303171045562</v>
      </c>
      <c r="B3475" t="str">
        <f>"1551604245554219"</f>
        <v>1551604245554219</v>
      </c>
      <c r="C3475" t="s">
        <v>40</v>
      </c>
      <c r="D3475">
        <v>5.2540310000000003</v>
      </c>
      <c r="E3475">
        <v>0.66210550000000001</v>
      </c>
      <c r="F3475" t="s">
        <v>90</v>
      </c>
      <c r="G3475">
        <v>-277.06639999999999</v>
      </c>
      <c r="H3475">
        <v>8.6263559999999995</v>
      </c>
      <c r="I3475">
        <v>118.3905</v>
      </c>
      <c r="J3475">
        <v>-191.80539999999999</v>
      </c>
      <c r="K3475">
        <v>1.111227</v>
      </c>
      <c r="L3475">
        <v>152.88720000000001</v>
      </c>
      <c r="M3475">
        <v>-0.56730340000000001</v>
      </c>
      <c r="N3475">
        <v>-1.496636E-2</v>
      </c>
      <c r="O3475">
        <v>-0.82337309999999997</v>
      </c>
      <c r="P3475">
        <v>-0.69881700000000002</v>
      </c>
      <c r="Q3475">
        <v>0.17131489999999999</v>
      </c>
      <c r="R3475">
        <v>-0.69448319999999997</v>
      </c>
      <c r="S3475">
        <v>-3.0243229999999999</v>
      </c>
      <c r="T3475">
        <v>0.26616869999999998</v>
      </c>
      <c r="U3475">
        <v>-1.227951</v>
      </c>
      <c r="V3475">
        <v>0.1858379</v>
      </c>
      <c r="W3475">
        <v>0.18137439999999999</v>
      </c>
      <c r="X3475">
        <v>0.96569539999999998</v>
      </c>
      <c r="Y3475">
        <v>0.54527780000000003</v>
      </c>
      <c r="Z3475">
        <v>-9.0451420000000005E-2</v>
      </c>
      <c r="AA3475">
        <v>0.83336109999999897</v>
      </c>
      <c r="AB3475">
        <v>28</v>
      </c>
      <c r="AC3475">
        <v>-85.260999999999996</v>
      </c>
      <c r="AD3475">
        <v>7.5151289999999902</v>
      </c>
      <c r="AE3475">
        <v>-34.496699999999997</v>
      </c>
      <c r="AF3475">
        <v>50.301357393133102</v>
      </c>
      <c r="AG3475">
        <v>7.5151289999999902</v>
      </c>
      <c r="AH3475">
        <v>76.271886849194502</v>
      </c>
      <c r="AI3475">
        <v>85.297801287891602</v>
      </c>
      <c r="AJ3475">
        <v>56.595123610445597</v>
      </c>
      <c r="AK3475">
        <v>91.673902736900402</v>
      </c>
      <c r="AL3475">
        <v>79.5501750639459</v>
      </c>
      <c r="AM3475">
        <v>79.107192713709793</v>
      </c>
      <c r="AN3475">
        <v>1.0000000018164601</v>
      </c>
    </row>
    <row r="3476" spans="1:40" x14ac:dyDescent="0.25">
      <c r="A3476" t="str">
        <f>"20190303171045581"</f>
        <v>20190303171045581</v>
      </c>
      <c r="B3476" t="str">
        <f>"1551604245574716"</f>
        <v>1551604245574716</v>
      </c>
      <c r="C3476" t="s">
        <v>40</v>
      </c>
      <c r="D3476">
        <v>5.2214650000000002</v>
      </c>
      <c r="E3476">
        <v>0.66084719999999997</v>
      </c>
      <c r="F3476" t="s">
        <v>43</v>
      </c>
      <c r="G3476">
        <v>-192.61840000000001</v>
      </c>
      <c r="H3476">
        <v>1.181953</v>
      </c>
      <c r="I3476">
        <v>152.56309999999999</v>
      </c>
      <c r="J3476">
        <v>-191.95359999999999</v>
      </c>
      <c r="K3476">
        <v>1.111243</v>
      </c>
      <c r="L3476">
        <v>152.69220000000001</v>
      </c>
      <c r="M3476">
        <v>-0.57641069999999905</v>
      </c>
      <c r="N3476">
        <v>-1.496338E-2</v>
      </c>
      <c r="O3476">
        <v>-0.81702319999999995</v>
      </c>
      <c r="P3476">
        <v>-0.70654969999999995</v>
      </c>
      <c r="Q3476">
        <v>0.1708819</v>
      </c>
      <c r="R3476">
        <v>-0.68672219999999995</v>
      </c>
      <c r="S3476">
        <v>-3.028381</v>
      </c>
      <c r="T3476">
        <v>0.26345869999999999</v>
      </c>
      <c r="U3476">
        <v>-1.2075039999999999</v>
      </c>
      <c r="V3476">
        <v>0.18584829999999999</v>
      </c>
      <c r="W3476">
        <v>0.18094769999999999</v>
      </c>
      <c r="X3476">
        <v>0.96577349999999995</v>
      </c>
      <c r="Y3476">
        <v>0.5413154</v>
      </c>
      <c r="Z3476">
        <v>-8.9201639999999999E-2</v>
      </c>
      <c r="AA3476">
        <v>0.836074599999999</v>
      </c>
      <c r="AB3476">
        <v>28</v>
      </c>
      <c r="AC3476">
        <v>-0.66480000000001305</v>
      </c>
      <c r="AD3476">
        <v>7.0709999999999995E-2</v>
      </c>
      <c r="AE3476">
        <v>-0.129100000000022</v>
      </c>
      <c r="AF3476">
        <v>0.46373921244786398</v>
      </c>
      <c r="AG3476">
        <v>7.0709999999999995E-2</v>
      </c>
      <c r="AH3476">
        <v>0.48345957984126697</v>
      </c>
      <c r="AI3476">
        <v>83.974707323039695</v>
      </c>
      <c r="AJ3476">
        <v>46.192706979386003</v>
      </c>
      <c r="AK3476">
        <v>0.67363723665045405</v>
      </c>
      <c r="AL3476">
        <v>79.575035093488694</v>
      </c>
      <c r="AM3476">
        <v>79.107457558422198</v>
      </c>
      <c r="AN3476">
        <v>1.0000000570252101</v>
      </c>
    </row>
    <row r="3477" spans="1:40" x14ac:dyDescent="0.25">
      <c r="A3477" t="str">
        <f>"20190303171045603"</f>
        <v>20190303171045603</v>
      </c>
      <c r="B3477" t="str">
        <f>"1551604245594234"</f>
        <v>1551604245594234</v>
      </c>
      <c r="C3477" t="s">
        <v>40</v>
      </c>
      <c r="D3477">
        <v>5.2527179999999998</v>
      </c>
      <c r="E3477">
        <v>0.66028509999999996</v>
      </c>
      <c r="F3477" t="s">
        <v>43</v>
      </c>
      <c r="G3477">
        <v>-192.77189999999999</v>
      </c>
      <c r="H3477">
        <v>1.1820200000000001</v>
      </c>
      <c r="I3477">
        <v>152.374</v>
      </c>
      <c r="J3477">
        <v>-192.12809999999999</v>
      </c>
      <c r="K3477">
        <v>1.1112690000000001</v>
      </c>
      <c r="L3477">
        <v>152.46850000000001</v>
      </c>
      <c r="M3477">
        <v>-0.58687290000000003</v>
      </c>
      <c r="N3477">
        <v>-1.4959739999999999E-2</v>
      </c>
      <c r="O3477">
        <v>-0.80954079999999995</v>
      </c>
      <c r="P3477">
        <v>-0.71557269999999995</v>
      </c>
      <c r="Q3477">
        <v>0.17133970000000001</v>
      </c>
      <c r="R3477">
        <v>-0.67719879999999999</v>
      </c>
      <c r="S3477">
        <v>-3.0349270000000002</v>
      </c>
      <c r="T3477">
        <v>0.2625053</v>
      </c>
      <c r="U3477">
        <v>-1.180725</v>
      </c>
      <c r="V3477">
        <v>0.1862714</v>
      </c>
      <c r="W3477">
        <v>0.18139920000000001</v>
      </c>
      <c r="X3477">
        <v>0.9656072</v>
      </c>
      <c r="Y3477">
        <v>0.53757829999999995</v>
      </c>
      <c r="Z3477">
        <v>-8.8400279999999998E-2</v>
      </c>
      <c r="AA3477">
        <v>0.83856719999999896</v>
      </c>
      <c r="AB3477">
        <v>28</v>
      </c>
      <c r="AC3477">
        <v>-0.64379999999999804</v>
      </c>
      <c r="AD3477">
        <v>7.0750999999999994E-2</v>
      </c>
      <c r="AE3477">
        <v>-9.4500000000010603E-2</v>
      </c>
      <c r="AF3477">
        <v>0.46033278745008399</v>
      </c>
      <c r="AG3477">
        <v>7.0750999999999994E-2</v>
      </c>
      <c r="AH3477">
        <v>0.44907214031665899</v>
      </c>
      <c r="AI3477">
        <v>83.721779461301693</v>
      </c>
      <c r="AJ3477">
        <v>44.290575007598598</v>
      </c>
      <c r="AK3477">
        <v>0.64697586230952198</v>
      </c>
      <c r="AL3477">
        <v>79.548729976823793</v>
      </c>
      <c r="AM3477">
        <v>79.081419956713901</v>
      </c>
      <c r="AN3477">
        <v>0.99999998445521898</v>
      </c>
    </row>
    <row r="3478" spans="1:40" x14ac:dyDescent="0.25">
      <c r="A3478" t="str">
        <f>"20190303171045627"</f>
        <v>20190303171045627</v>
      </c>
      <c r="B3478" t="str">
        <f>"1551604245614732"</f>
        <v>1551604245614732</v>
      </c>
      <c r="C3478" t="s">
        <v>40</v>
      </c>
      <c r="D3478">
        <v>5.2477769999999904</v>
      </c>
      <c r="E3478">
        <v>0.65331859999999997</v>
      </c>
      <c r="F3478" t="s">
        <v>50</v>
      </c>
      <c r="G3478">
        <v>-321.45479999999998</v>
      </c>
      <c r="H3478">
        <v>12.257759999999999</v>
      </c>
      <c r="I3478">
        <v>103.92189999999999</v>
      </c>
      <c r="J3478">
        <v>-192.3117</v>
      </c>
      <c r="K3478">
        <v>1.1112959999999901</v>
      </c>
      <c r="L3478">
        <v>152.23929999999999</v>
      </c>
      <c r="M3478">
        <v>-0.59759819999999997</v>
      </c>
      <c r="N3478">
        <v>-1.4955649999999999E-2</v>
      </c>
      <c r="O3478">
        <v>-0.80165640000000005</v>
      </c>
      <c r="P3478">
        <v>-0.72480159999999905</v>
      </c>
      <c r="Q3478">
        <v>0.17207639999999999</v>
      </c>
      <c r="R3478">
        <v>-0.66712289999999996</v>
      </c>
      <c r="S3478">
        <v>-3.0470890000000002</v>
      </c>
      <c r="T3478">
        <v>0.26262459999999999</v>
      </c>
      <c r="U3478">
        <v>-1.1438140000000001</v>
      </c>
      <c r="V3478">
        <v>0.1867933</v>
      </c>
      <c r="W3478">
        <v>0.18212600000000001</v>
      </c>
      <c r="X3478">
        <v>0.96536960000000005</v>
      </c>
      <c r="Y3478">
        <v>0.53639930000000002</v>
      </c>
      <c r="Z3478">
        <v>-8.7902339999999995E-2</v>
      </c>
      <c r="AA3478">
        <v>0.83937410000000001</v>
      </c>
      <c r="AB3478">
        <v>28</v>
      </c>
      <c r="AC3478">
        <v>-129.14309999999901</v>
      </c>
      <c r="AD3478">
        <v>11.146464</v>
      </c>
      <c r="AE3478">
        <v>-48.3173999999999</v>
      </c>
      <c r="AF3478">
        <v>74.177603365086895</v>
      </c>
      <c r="AG3478">
        <v>11.146464</v>
      </c>
      <c r="AH3478">
        <v>115.16996980663799</v>
      </c>
      <c r="AI3478">
        <v>85.348284596305007</v>
      </c>
      <c r="AJ3478">
        <v>57.2156014534294</v>
      </c>
      <c r="AK3478">
        <v>137.44337905462501</v>
      </c>
      <c r="AL3478">
        <v>79.506382585392501</v>
      </c>
      <c r="AM3478">
        <v>79.048936750368796</v>
      </c>
      <c r="AN3478">
        <v>1.00000004070252</v>
      </c>
    </row>
    <row r="3479" spans="1:40" x14ac:dyDescent="0.25">
      <c r="A3479" t="str">
        <f>"20190303171045651"</f>
        <v>20190303171045651</v>
      </c>
      <c r="B3479" t="str">
        <f>"1551604245644011"</f>
        <v>1551604245644011</v>
      </c>
      <c r="C3479" t="s">
        <v>40</v>
      </c>
      <c r="D3479">
        <v>5.2398429999999996</v>
      </c>
      <c r="E3479">
        <v>0.65133180000000002</v>
      </c>
      <c r="F3479" t="s">
        <v>50</v>
      </c>
      <c r="G3479">
        <v>-321.45479999999998</v>
      </c>
      <c r="H3479">
        <v>12.02122</v>
      </c>
      <c r="I3479">
        <v>103.4111</v>
      </c>
      <c r="J3479">
        <v>-192.51130000000001</v>
      </c>
      <c r="K3479">
        <v>1.1113280000000001</v>
      </c>
      <c r="L3479">
        <v>151.99690000000001</v>
      </c>
      <c r="M3479">
        <v>-0.60894569999999903</v>
      </c>
      <c r="N3479">
        <v>-1.4950939999999999E-2</v>
      </c>
      <c r="O3479">
        <v>-0.79307099999999997</v>
      </c>
      <c r="P3479">
        <v>-0.73409930000000001</v>
      </c>
      <c r="Q3479">
        <v>0.17250789999999999</v>
      </c>
      <c r="R3479">
        <v>-0.65676429999999997</v>
      </c>
      <c r="S3479">
        <v>-3.0254970000000001</v>
      </c>
      <c r="T3479">
        <v>0.25559199999999999</v>
      </c>
      <c r="U3479">
        <v>-1.143921</v>
      </c>
      <c r="V3479">
        <v>0.1866805</v>
      </c>
      <c r="W3479">
        <v>0.18256720000000001</v>
      </c>
      <c r="X3479">
        <v>0.96530800000000005</v>
      </c>
      <c r="Y3479">
        <v>0.5225514</v>
      </c>
      <c r="Z3479">
        <v>-8.5343619999999995E-2</v>
      </c>
      <c r="AA3479">
        <v>0.84832569999999996</v>
      </c>
      <c r="AB3479">
        <v>28</v>
      </c>
      <c r="AC3479">
        <v>-128.94349999999901</v>
      </c>
      <c r="AD3479">
        <v>10.909891999999999</v>
      </c>
      <c r="AE3479">
        <v>-48.585799999999999</v>
      </c>
      <c r="AF3479">
        <v>72.230561228232602</v>
      </c>
      <c r="AG3479">
        <v>10.909891999999999</v>
      </c>
      <c r="AH3479">
        <v>116.335379713395</v>
      </c>
      <c r="AI3479">
        <v>85.444747574213295</v>
      </c>
      <c r="AJ3479">
        <v>58.164592105042701</v>
      </c>
      <c r="AK3479">
        <v>137.36884760329301</v>
      </c>
      <c r="AL3479">
        <v>79.4806718192647</v>
      </c>
      <c r="AM3479">
        <v>79.054708541223206</v>
      </c>
      <c r="AN3479">
        <v>0.99999996323004403</v>
      </c>
    </row>
    <row r="3480" spans="1:40" x14ac:dyDescent="0.25">
      <c r="A3480" t="str">
        <f>"20190303171045674"</f>
        <v>20190303171045674</v>
      </c>
      <c r="B3480" t="str">
        <f>"1551604245664508"</f>
        <v>1551604245664508</v>
      </c>
      <c r="C3480" t="s">
        <v>40</v>
      </c>
      <c r="D3480">
        <v>5.2330050000000004</v>
      </c>
      <c r="E3480">
        <v>0.64640559999999903</v>
      </c>
      <c r="F3480" t="s">
        <v>50</v>
      </c>
      <c r="G3480">
        <v>-321.45479999999998</v>
      </c>
      <c r="H3480">
        <v>12.044750000000001</v>
      </c>
      <c r="I3480">
        <v>104.6598</v>
      </c>
      <c r="J3480">
        <v>-192.7003</v>
      </c>
      <c r="K3480">
        <v>1.1113550000000001</v>
      </c>
      <c r="L3480">
        <v>151.77359999999999</v>
      </c>
      <c r="M3480">
        <v>-0.61940640000000002</v>
      </c>
      <c r="N3480">
        <v>-1.494593E-2</v>
      </c>
      <c r="O3480">
        <v>-0.78492830000000002</v>
      </c>
      <c r="P3480">
        <v>-0.74241899999999905</v>
      </c>
      <c r="Q3480">
        <v>0.17277919999999999</v>
      </c>
      <c r="R3480">
        <v>-0.64727270000000003</v>
      </c>
      <c r="S3480">
        <v>-3.0308069999999998</v>
      </c>
      <c r="T3480">
        <v>0.25698919999999997</v>
      </c>
      <c r="U3480">
        <v>-1.1126560000000001</v>
      </c>
      <c r="V3480">
        <v>0.1862366</v>
      </c>
      <c r="W3480">
        <v>0.18285650000000001</v>
      </c>
      <c r="X3480">
        <v>0.96533899999999995</v>
      </c>
      <c r="Y3480">
        <v>0.51942699999999997</v>
      </c>
      <c r="Z3480">
        <v>-8.5239399999999896E-2</v>
      </c>
      <c r="AA3480">
        <v>0.85025280000000003</v>
      </c>
      <c r="AB3480">
        <v>28</v>
      </c>
      <c r="AC3480">
        <v>-128.75449999999901</v>
      </c>
      <c r="AD3480">
        <v>10.9333949999999</v>
      </c>
      <c r="AE3480">
        <v>-47.113799999999898</v>
      </c>
      <c r="AF3480">
        <v>71.434213518567205</v>
      </c>
      <c r="AG3480">
        <v>10.9333949999999</v>
      </c>
      <c r="AH3480">
        <v>116.007619102905</v>
      </c>
      <c r="AI3480">
        <v>85.411700770700094</v>
      </c>
      <c r="AJ3480">
        <v>58.376412436125698</v>
      </c>
      <c r="AK3480">
        <v>136.67535870509701</v>
      </c>
      <c r="AL3480">
        <v>79.463812501480305</v>
      </c>
      <c r="AM3480">
        <v>79.08045074236</v>
      </c>
      <c r="AN3480">
        <v>0.99999997784640404</v>
      </c>
    </row>
    <row r="3481" spans="1:40" x14ac:dyDescent="0.25">
      <c r="A3481" t="str">
        <f>"20190303171045692"</f>
        <v>20190303171045692</v>
      </c>
      <c r="B3481" t="str">
        <f>"1551604245684027"</f>
        <v>1551604245684027</v>
      </c>
      <c r="C3481" t="s">
        <v>40</v>
      </c>
      <c r="D3481">
        <v>5.2358949999999904</v>
      </c>
      <c r="E3481">
        <v>0.64564969999999999</v>
      </c>
      <c r="F3481" t="s">
        <v>50</v>
      </c>
      <c r="G3481">
        <v>-321.45490000000001</v>
      </c>
      <c r="H3481">
        <v>12.05015</v>
      </c>
      <c r="I3481">
        <v>104.7032</v>
      </c>
      <c r="J3481">
        <v>-192.8552</v>
      </c>
      <c r="K3481">
        <v>1.111375</v>
      </c>
      <c r="L3481">
        <v>151.59520000000001</v>
      </c>
      <c r="M3481">
        <v>-0.62776369999999904</v>
      </c>
      <c r="N3481">
        <v>-1.494122E-2</v>
      </c>
      <c r="O3481">
        <v>-0.77826059999999997</v>
      </c>
      <c r="P3481">
        <v>-0.74953789999999998</v>
      </c>
      <c r="Q3481">
        <v>0.17241579999999901</v>
      </c>
      <c r="R3481">
        <v>-0.63911340000000005</v>
      </c>
      <c r="S3481">
        <v>-3.0189360000000001</v>
      </c>
      <c r="T3481">
        <v>0.2564845</v>
      </c>
      <c r="U3481">
        <v>-1.1036680000000001</v>
      </c>
      <c r="V3481">
        <v>0.1865194</v>
      </c>
      <c r="W3481">
        <v>0.18249270000000001</v>
      </c>
      <c r="X3481">
        <v>0.96535329999999997</v>
      </c>
      <c r="Y3481">
        <v>0.51145479999999999</v>
      </c>
      <c r="Z3481">
        <v>-8.4741040000000004E-2</v>
      </c>
      <c r="AA3481">
        <v>0.85512160000000004</v>
      </c>
      <c r="AB3481">
        <v>28</v>
      </c>
      <c r="AC3481">
        <v>-128.59970000000001</v>
      </c>
      <c r="AD3481">
        <v>10.938775</v>
      </c>
      <c r="AE3481">
        <v>-46.892000000000003</v>
      </c>
      <c r="AF3481">
        <v>70.206515269563795</v>
      </c>
      <c r="AG3481">
        <v>10.938775</v>
      </c>
      <c r="AH3481">
        <v>116.493550105048</v>
      </c>
      <c r="AI3481">
        <v>85.401933744543896</v>
      </c>
      <c r="AJ3481">
        <v>58.924126304146299</v>
      </c>
      <c r="AK3481">
        <v>136.45277131987299</v>
      </c>
      <c r="AL3481">
        <v>79.485014032158901</v>
      </c>
      <c r="AM3481">
        <v>79.064426992527203</v>
      </c>
      <c r="AN3481">
        <v>1.0000000329752601</v>
      </c>
    </row>
    <row r="3482" spans="1:40" x14ac:dyDescent="0.25">
      <c r="A3482" t="str">
        <f>"20190303171045715"</f>
        <v>20190303171045715</v>
      </c>
      <c r="B3482" t="str">
        <f>"1551604245704522"</f>
        <v>1551604245704522</v>
      </c>
      <c r="C3482" t="s">
        <v>40</v>
      </c>
      <c r="D3482">
        <v>5.2160129999999896</v>
      </c>
      <c r="E3482">
        <v>0.64488869999999998</v>
      </c>
      <c r="F3482" t="s">
        <v>50</v>
      </c>
      <c r="G3482">
        <v>-320.47219999999999</v>
      </c>
      <c r="H3482">
        <v>11.692119999999999</v>
      </c>
      <c r="I3482">
        <v>106.24469999999999</v>
      </c>
      <c r="J3482">
        <v>-193.03909999999999</v>
      </c>
      <c r="K3482">
        <v>1.111416</v>
      </c>
      <c r="L3482">
        <v>151.38820000000001</v>
      </c>
      <c r="M3482">
        <v>-0.63745640000000003</v>
      </c>
      <c r="N3482">
        <v>-1.4935149999999999E-2</v>
      </c>
      <c r="O3482">
        <v>-0.77034169999999902</v>
      </c>
      <c r="P3482">
        <v>-0.75793840000000001</v>
      </c>
      <c r="Q3482">
        <v>0.172547799999999</v>
      </c>
      <c r="R3482">
        <v>-0.62909219999999999</v>
      </c>
      <c r="S3482">
        <v>-3.027374</v>
      </c>
      <c r="T3482">
        <v>0.25100020000000001</v>
      </c>
      <c r="U3482">
        <v>-1.0758209999999999</v>
      </c>
      <c r="V3482">
        <v>0.18723719999999999</v>
      </c>
      <c r="W3482">
        <v>0.18261359999999999</v>
      </c>
      <c r="X3482">
        <v>0.96519140000000003</v>
      </c>
      <c r="Y3482">
        <v>0.50863130000000001</v>
      </c>
      <c r="Z3482">
        <v>-8.2523860000000004E-2</v>
      </c>
      <c r="AA3482">
        <v>0.85702040000000002</v>
      </c>
      <c r="AB3482">
        <v>28</v>
      </c>
      <c r="AC3482">
        <v>-127.4331</v>
      </c>
      <c r="AD3482">
        <v>10.580704000000001</v>
      </c>
      <c r="AE3482">
        <v>-45.143500000000003</v>
      </c>
      <c r="AF3482">
        <v>68.975268162635999</v>
      </c>
      <c r="AG3482">
        <v>10.580704000000001</v>
      </c>
      <c r="AH3482">
        <v>115.315570755069</v>
      </c>
      <c r="AI3482">
        <v>85.497642113264405</v>
      </c>
      <c r="AJ3482">
        <v>59.114517165711099</v>
      </c>
      <c r="AK3482">
        <v>134.78582927670999</v>
      </c>
      <c r="AL3482">
        <v>79.477967881888304</v>
      </c>
      <c r="AM3482">
        <v>79.021566445217204</v>
      </c>
      <c r="AN3482">
        <v>0.99999996730137897</v>
      </c>
    </row>
    <row r="3483" spans="1:40" x14ac:dyDescent="0.25">
      <c r="A3483" t="str">
        <f>"20190303171045735"</f>
        <v>20190303171045735</v>
      </c>
      <c r="B3483" t="str">
        <f>"1551604245724043"</f>
        <v>1551604245724043</v>
      </c>
      <c r="C3483" t="s">
        <v>40</v>
      </c>
      <c r="D3483">
        <v>5.2246030000000001</v>
      </c>
      <c r="E3483">
        <v>0.64349419999999902</v>
      </c>
      <c r="F3483" t="s">
        <v>46</v>
      </c>
      <c r="G3483">
        <v>-285.51260000000002</v>
      </c>
      <c r="H3483">
        <v>8.7385249999999992</v>
      </c>
      <c r="I3483">
        <v>119.7073</v>
      </c>
      <c r="J3483">
        <v>-193.21680000000001</v>
      </c>
      <c r="K3483">
        <v>1.1114569999999999</v>
      </c>
      <c r="L3483">
        <v>151.19290000000001</v>
      </c>
      <c r="M3483">
        <v>-0.64659630000000001</v>
      </c>
      <c r="N3483">
        <v>-1.492868E-2</v>
      </c>
      <c r="O3483">
        <v>-0.76268649999999905</v>
      </c>
      <c r="P3483">
        <v>-0.76584240000000003</v>
      </c>
      <c r="Q3483">
        <v>0.17319870000000001</v>
      </c>
      <c r="R3483">
        <v>-0.61926389999999998</v>
      </c>
      <c r="S3483">
        <v>-3.037369</v>
      </c>
      <c r="T3483">
        <v>0.25051869999999998</v>
      </c>
      <c r="U3483">
        <v>-1.0405879999999901</v>
      </c>
      <c r="V3483">
        <v>0.1880684</v>
      </c>
      <c r="W3483">
        <v>0.18324979999999999</v>
      </c>
      <c r="X3483">
        <v>0.96490920000000002</v>
      </c>
      <c r="Y3483">
        <v>0.50817679999999998</v>
      </c>
      <c r="Z3483">
        <v>-8.1866149999999999E-2</v>
      </c>
      <c r="AA3483">
        <v>0.85735309999999898</v>
      </c>
      <c r="AB3483">
        <v>28</v>
      </c>
      <c r="AC3483">
        <v>-92.2958</v>
      </c>
      <c r="AD3483">
        <v>7.6270679999999897</v>
      </c>
      <c r="AE3483">
        <v>-31.485600000000002</v>
      </c>
      <c r="AF3483">
        <v>49.7356214223175</v>
      </c>
      <c r="AG3483">
        <v>7.6270679999999897</v>
      </c>
      <c r="AH3483">
        <v>83.192188441240205</v>
      </c>
      <c r="AI3483">
        <v>85.500671084717098</v>
      </c>
      <c r="AJ3483">
        <v>59.127327602000399</v>
      </c>
      <c r="AK3483">
        <v>97.225225235962</v>
      </c>
      <c r="AL3483">
        <v>79.440890873745303</v>
      </c>
      <c r="AM3483">
        <v>78.970876200232595</v>
      </c>
      <c r="AN3483">
        <v>0.99999998826161896</v>
      </c>
    </row>
    <row r="3484" spans="1:40" x14ac:dyDescent="0.25">
      <c r="A3484" t="str">
        <f>"20190303171045759"</f>
        <v>20190303171045759</v>
      </c>
      <c r="B3484" t="str">
        <f>"1551604245744539"</f>
        <v>1551604245744539</v>
      </c>
      <c r="C3484" t="s">
        <v>40</v>
      </c>
      <c r="D3484">
        <v>5.4097269999999904</v>
      </c>
      <c r="E3484">
        <v>0.64943030000000002</v>
      </c>
      <c r="F3484" t="s">
        <v>46</v>
      </c>
      <c r="G3484">
        <v>-288.16090000000003</v>
      </c>
      <c r="H3484">
        <v>8.9407669999999992</v>
      </c>
      <c r="I3484">
        <v>119.6669</v>
      </c>
      <c r="J3484">
        <v>-193.41239999999999</v>
      </c>
      <c r="K3484">
        <v>1.111494</v>
      </c>
      <c r="L3484">
        <v>150.9836</v>
      </c>
      <c r="M3484">
        <v>-0.65639019999999904</v>
      </c>
      <c r="N3484">
        <v>-1.4921129999999999E-2</v>
      </c>
      <c r="O3484">
        <v>-0.754274</v>
      </c>
      <c r="P3484">
        <v>-0.77404649999999997</v>
      </c>
      <c r="Q3484">
        <v>0.17311309999999999</v>
      </c>
      <c r="R3484">
        <v>-0.6090023</v>
      </c>
      <c r="S3484">
        <v>-3.0433650000000001</v>
      </c>
      <c r="T3484">
        <v>0.25096289999999999</v>
      </c>
      <c r="U3484">
        <v>-1.0105440000000001</v>
      </c>
      <c r="V3484">
        <v>0.1884653</v>
      </c>
      <c r="W3484">
        <v>0.18316399999999999</v>
      </c>
      <c r="X3484">
        <v>0.96484809999999999</v>
      </c>
      <c r="Y3484">
        <v>0.50520739999999997</v>
      </c>
      <c r="Z3484">
        <v>-8.1391480000000002E-2</v>
      </c>
      <c r="AA3484">
        <v>0.859151199999999</v>
      </c>
      <c r="AB3484">
        <v>28</v>
      </c>
      <c r="AC3484">
        <v>-94.748500000000007</v>
      </c>
      <c r="AD3484">
        <v>7.8292729999999899</v>
      </c>
      <c r="AE3484">
        <v>-31.316700000000001</v>
      </c>
      <c r="AF3484">
        <v>50.604522335810501</v>
      </c>
      <c r="AG3484">
        <v>7.8292729999999899</v>
      </c>
      <c r="AH3484">
        <v>85.297854530931005</v>
      </c>
      <c r="AI3484">
        <v>85.486399055460197</v>
      </c>
      <c r="AJ3484">
        <v>59.3206828052924</v>
      </c>
      <c r="AK3484">
        <v>99.487884609755099</v>
      </c>
      <c r="AL3484">
        <v>79.445892022659805</v>
      </c>
      <c r="AM3484">
        <v>78.947490162929498</v>
      </c>
      <c r="AN3484">
        <v>1.0000000381368399</v>
      </c>
    </row>
    <row r="3485" spans="1:40" x14ac:dyDescent="0.25">
      <c r="A3485" t="str">
        <f>"20190303171045782"</f>
        <v>20190303171045782</v>
      </c>
      <c r="B3485" t="str">
        <f>"1551604245774795"</f>
        <v>1551604245774795</v>
      </c>
      <c r="C3485" t="s">
        <v>40</v>
      </c>
      <c r="D3485">
        <v>5.1989460000000003</v>
      </c>
      <c r="E3485">
        <v>0.63570280000000001</v>
      </c>
      <c r="F3485" t="s">
        <v>42</v>
      </c>
      <c r="G3485">
        <v>-239.5308</v>
      </c>
      <c r="H3485" s="1">
        <v>-1.004943E-6</v>
      </c>
      <c r="I3485">
        <v>136.387</v>
      </c>
      <c r="J3485">
        <v>-193.6268</v>
      </c>
      <c r="K3485">
        <v>1.1115389999999901</v>
      </c>
      <c r="L3485">
        <v>150.7602</v>
      </c>
      <c r="M3485">
        <v>-0.66683349999999997</v>
      </c>
      <c r="N3485">
        <v>-1.491226E-2</v>
      </c>
      <c r="O3485">
        <v>-0.74505749999999904</v>
      </c>
      <c r="P3485">
        <v>-0.78339609999999904</v>
      </c>
      <c r="Q3485">
        <v>0.17296889999999901</v>
      </c>
      <c r="R3485">
        <v>-0.59696949999999904</v>
      </c>
      <c r="S3485">
        <v>-3.1164860000000001</v>
      </c>
      <c r="T3485">
        <v>-7.5110079999999996E-2</v>
      </c>
      <c r="U3485">
        <v>-0.98637390000000003</v>
      </c>
      <c r="V3485">
        <v>0.189938</v>
      </c>
      <c r="W3485">
        <v>0.1829924</v>
      </c>
      <c r="X3485">
        <v>0.9645918</v>
      </c>
      <c r="Y3485">
        <v>0.50897040000000005</v>
      </c>
      <c r="Z3485">
        <v>1.291864E-2</v>
      </c>
      <c r="AA3485">
        <v>0.86068709999999904</v>
      </c>
      <c r="AB3485">
        <v>28</v>
      </c>
      <c r="AC3485">
        <v>-45.904000000000003</v>
      </c>
      <c r="AD3485">
        <v>-1.11154000494299</v>
      </c>
      <c r="AE3485">
        <v>-14.373199999999899</v>
      </c>
      <c r="AF3485">
        <v>24.606186714694299</v>
      </c>
      <c r="AG3485">
        <v>-1.11154000494299</v>
      </c>
      <c r="AH3485">
        <v>41.301726417731899</v>
      </c>
      <c r="AI3485">
        <v>91.324471087840394</v>
      </c>
      <c r="AJ3485">
        <v>59.2149290421413</v>
      </c>
      <c r="AK3485">
        <v>48.088798601193702</v>
      </c>
      <c r="AL3485">
        <v>79.455892620121006</v>
      </c>
      <c r="AM3485">
        <v>78.860389743282397</v>
      </c>
      <c r="AN3485">
        <v>1.0000000014644901</v>
      </c>
    </row>
    <row r="3486" spans="1:40" x14ac:dyDescent="0.25">
      <c r="A3486" t="str">
        <f>"20190303171045807"</f>
        <v>20190303171045807</v>
      </c>
      <c r="B3486" t="str">
        <f>"1551604245794315"</f>
        <v>1551604245794315</v>
      </c>
      <c r="C3486" t="s">
        <v>40</v>
      </c>
      <c r="D3486">
        <v>5.1550479999999999</v>
      </c>
      <c r="E3486">
        <v>0.63486799999999999</v>
      </c>
      <c r="F3486" t="s">
        <v>46</v>
      </c>
      <c r="G3486">
        <v>-290.1071</v>
      </c>
      <c r="H3486">
        <v>9.07362</v>
      </c>
      <c r="I3486">
        <v>119.8424</v>
      </c>
      <c r="J3486">
        <v>-193.83359999999999</v>
      </c>
      <c r="K3486">
        <v>1.111577</v>
      </c>
      <c r="L3486">
        <v>150.5505</v>
      </c>
      <c r="M3486">
        <v>-0.67662869999999997</v>
      </c>
      <c r="N3486">
        <v>-1.4903619999999999E-2</v>
      </c>
      <c r="O3486">
        <v>-0.73617359999999998</v>
      </c>
      <c r="P3486">
        <v>-0.79178570000000004</v>
      </c>
      <c r="Q3486">
        <v>0.17301279999999999</v>
      </c>
      <c r="R3486">
        <v>-0.58578319999999995</v>
      </c>
      <c r="S3486">
        <v>-3.0334469999999998</v>
      </c>
      <c r="T3486">
        <v>0.25033660000000002</v>
      </c>
      <c r="U3486">
        <v>-0.9720917</v>
      </c>
      <c r="V3486">
        <v>0.1908588</v>
      </c>
      <c r="W3486">
        <v>0.1830215</v>
      </c>
      <c r="X3486">
        <v>0.9644045</v>
      </c>
      <c r="Y3486">
        <v>0.49080849999999998</v>
      </c>
      <c r="Z3486">
        <v>-7.9964999999999994E-2</v>
      </c>
      <c r="AA3486">
        <v>0.86759019999999998</v>
      </c>
      <c r="AB3486">
        <v>28</v>
      </c>
      <c r="AC3486">
        <v>-96.273499999999999</v>
      </c>
      <c r="AD3486">
        <v>7.9620429999999898</v>
      </c>
      <c r="AE3486">
        <v>-30.708100000000002</v>
      </c>
      <c r="AF3486">
        <v>49.792474729421798</v>
      </c>
      <c r="AG3486">
        <v>7.9620429999999898</v>
      </c>
      <c r="AH3486">
        <v>87.216204790011602</v>
      </c>
      <c r="AI3486">
        <v>85.467047556654407</v>
      </c>
      <c r="AJ3486">
        <v>60.277585737082298</v>
      </c>
      <c r="AK3486">
        <v>100.743987643864</v>
      </c>
      <c r="AL3486">
        <v>79.454196605459799</v>
      </c>
      <c r="AM3486">
        <v>78.805627452218602</v>
      </c>
      <c r="AN3486">
        <v>0.99999999530996997</v>
      </c>
    </row>
    <row r="3487" spans="1:40" x14ac:dyDescent="0.25">
      <c r="A3487" t="str">
        <f>"20190303171045829"</f>
        <v>20190303171045829</v>
      </c>
      <c r="B3487" t="str">
        <f>"1551604245824571"</f>
        <v>1551604245824571</v>
      </c>
      <c r="C3487" t="s">
        <v>40</v>
      </c>
      <c r="D3487">
        <v>4.9934339999999997</v>
      </c>
      <c r="E3487">
        <v>0.63423109999999905</v>
      </c>
      <c r="F3487" t="s">
        <v>50</v>
      </c>
      <c r="G3487">
        <v>-324.52850000000001</v>
      </c>
      <c r="H3487">
        <v>11.973750000000001</v>
      </c>
      <c r="I3487">
        <v>110.4341</v>
      </c>
      <c r="J3487">
        <v>-194.03319999999999</v>
      </c>
      <c r="K3487">
        <v>1.111618</v>
      </c>
      <c r="L3487">
        <v>150.35299999999901</v>
      </c>
      <c r="M3487">
        <v>-0.68584160000000005</v>
      </c>
      <c r="N3487">
        <v>-1.4895520000000001E-2</v>
      </c>
      <c r="O3487">
        <v>-0.72759839999999998</v>
      </c>
      <c r="P3487">
        <v>-0.79907269999999997</v>
      </c>
      <c r="Q3487">
        <v>0.17302679999999901</v>
      </c>
      <c r="R3487">
        <v>-0.57579910000000001</v>
      </c>
      <c r="S3487">
        <v>-3.042694</v>
      </c>
      <c r="T3487">
        <v>0.25288119999999997</v>
      </c>
      <c r="U3487">
        <v>-0.93394469999999996</v>
      </c>
      <c r="V3487">
        <v>0.1908058</v>
      </c>
      <c r="W3487">
        <v>0.18304590000000001</v>
      </c>
      <c r="X3487">
        <v>0.9644104</v>
      </c>
      <c r="Y3487">
        <v>0.49048950000000002</v>
      </c>
      <c r="Z3487">
        <v>-8.0085610000000002E-2</v>
      </c>
      <c r="AA3487">
        <v>0.86775930000000001</v>
      </c>
      <c r="AB3487">
        <v>28</v>
      </c>
      <c r="AC3487">
        <v>-130.49529999999999</v>
      </c>
      <c r="AD3487">
        <v>10.862132000000001</v>
      </c>
      <c r="AE3487">
        <v>-39.918899999999901</v>
      </c>
      <c r="AF3487">
        <v>67.152173631154895</v>
      </c>
      <c r="AG3487">
        <v>10.862132000000001</v>
      </c>
      <c r="AH3487">
        <v>117.810777987406</v>
      </c>
      <c r="AI3487">
        <v>85.420323291161495</v>
      </c>
      <c r="AJ3487">
        <v>60.3168487431739</v>
      </c>
      <c r="AK3487">
        <v>136.039625642576</v>
      </c>
      <c r="AL3487">
        <v>79.452775012539504</v>
      </c>
      <c r="AM3487">
        <v>78.808724303973307</v>
      </c>
      <c r="AN3487">
        <v>1.0000000372243001</v>
      </c>
    </row>
    <row r="3488" spans="1:40" x14ac:dyDescent="0.25">
      <c r="A3488" t="str">
        <f>"20190303171045849"</f>
        <v>20190303171045849</v>
      </c>
      <c r="B3488" t="str">
        <f>"1551604245834331"</f>
        <v>1551604245834331</v>
      </c>
      <c r="C3488" t="s">
        <v>40</v>
      </c>
      <c r="D3488">
        <v>5.2715610000000002</v>
      </c>
      <c r="E3488">
        <v>0.63423109999999905</v>
      </c>
      <c r="F3488" t="s">
        <v>50</v>
      </c>
      <c r="G3488">
        <v>-325.7047</v>
      </c>
      <c r="H3488">
        <v>12.2789</v>
      </c>
      <c r="I3488">
        <v>111.5448</v>
      </c>
      <c r="J3488">
        <v>-194.22540000000001</v>
      </c>
      <c r="K3488">
        <v>1.111656</v>
      </c>
      <c r="L3488">
        <v>150.16759999999999</v>
      </c>
      <c r="M3488">
        <v>-0.6944901</v>
      </c>
      <c r="N3488">
        <v>-1.48877E-2</v>
      </c>
      <c r="O3488">
        <v>-0.71934830000000005</v>
      </c>
      <c r="P3488">
        <v>-0.80575989999999997</v>
      </c>
      <c r="Q3488">
        <v>0.17279040000000001</v>
      </c>
      <c r="R3488">
        <v>-0.56647579999999997</v>
      </c>
      <c r="S3488">
        <v>-3.0504609999999999</v>
      </c>
      <c r="T3488">
        <v>0.25871490000000003</v>
      </c>
      <c r="U3488">
        <v>-0.89907839999999895</v>
      </c>
      <c r="V3488">
        <v>0.19049769999999999</v>
      </c>
      <c r="W3488">
        <v>0.18282599999999999</v>
      </c>
      <c r="X3488">
        <v>0.96451299999999995</v>
      </c>
      <c r="Y3488">
        <v>0.4896722</v>
      </c>
      <c r="Z3488">
        <v>-8.1129880000000001E-2</v>
      </c>
      <c r="AA3488">
        <v>0.86812389999999995</v>
      </c>
      <c r="AB3488">
        <v>28</v>
      </c>
      <c r="AC3488">
        <v>-131.47929999999999</v>
      </c>
      <c r="AD3488">
        <v>11.167244</v>
      </c>
      <c r="AE3488">
        <v>-38.622799999999998</v>
      </c>
      <c r="AF3488">
        <v>67.3167175407672</v>
      </c>
      <c r="AG3488">
        <v>11.167244</v>
      </c>
      <c r="AH3488">
        <v>118.321741787429</v>
      </c>
      <c r="AI3488">
        <v>85.310342642783098</v>
      </c>
      <c r="AJ3488">
        <v>60.363179637319099</v>
      </c>
      <c r="AK3488">
        <v>136.588002323155</v>
      </c>
      <c r="AL3488">
        <v>79.465590474071504</v>
      </c>
      <c r="AM3488">
        <v>78.8274988370774</v>
      </c>
      <c r="AN3488">
        <v>1.0000000235751401</v>
      </c>
    </row>
    <row r="3489" spans="1:40" x14ac:dyDescent="0.25">
      <c r="A3489" t="str">
        <f>"20190303171045870"</f>
        <v>20190303171045870</v>
      </c>
      <c r="B3489" t="str">
        <f>"1551604245854828"</f>
        <v>1551604245854828</v>
      </c>
      <c r="C3489" t="s">
        <v>40</v>
      </c>
      <c r="D3489">
        <v>5.27616</v>
      </c>
      <c r="E3489">
        <v>0.63820980000000005</v>
      </c>
      <c r="F3489" t="s">
        <v>50</v>
      </c>
      <c r="G3489">
        <v>-326.9545</v>
      </c>
      <c r="H3489">
        <v>12.30626</v>
      </c>
      <c r="I3489">
        <v>112.7248</v>
      </c>
      <c r="J3489">
        <v>-194.4128</v>
      </c>
      <c r="K3489">
        <v>1.111694</v>
      </c>
      <c r="L3489">
        <v>149.99080000000001</v>
      </c>
      <c r="M3489">
        <v>-0.70272349999999995</v>
      </c>
      <c r="N3489">
        <v>-1.4879939999999999E-2</v>
      </c>
      <c r="O3489">
        <v>-0.71130749999999998</v>
      </c>
      <c r="P3489">
        <v>-0.81189089999999997</v>
      </c>
      <c r="Q3489">
        <v>0.1733835</v>
      </c>
      <c r="R3489">
        <v>-0.55746899999999999</v>
      </c>
      <c r="S3489">
        <v>-3.0608059999999999</v>
      </c>
      <c r="T3489">
        <v>0.25815379999999999</v>
      </c>
      <c r="U3489">
        <v>-0.86344909999999997</v>
      </c>
      <c r="V3489">
        <v>0.19004409999999999</v>
      </c>
      <c r="W3489">
        <v>0.18343680000000001</v>
      </c>
      <c r="X3489">
        <v>0.96448650000000002</v>
      </c>
      <c r="Y3489">
        <v>0.48983139999999997</v>
      </c>
      <c r="Z3489">
        <v>-8.0344269999999995E-2</v>
      </c>
      <c r="AA3489">
        <v>0.86810719999999997</v>
      </c>
      <c r="AB3489">
        <v>28</v>
      </c>
      <c r="AC3489">
        <v>-132.54169999999999</v>
      </c>
      <c r="AD3489">
        <v>11.194566</v>
      </c>
      <c r="AE3489">
        <v>-37.265999999999998</v>
      </c>
      <c r="AF3489">
        <v>67.650510671057802</v>
      </c>
      <c r="AG3489">
        <v>11.194566</v>
      </c>
      <c r="AH3489">
        <v>118.87511299968899</v>
      </c>
      <c r="AI3489">
        <v>85.321026051128399</v>
      </c>
      <c r="AJ3489">
        <v>60.356274884384803</v>
      </c>
      <c r="AK3489">
        <v>137.234115265382</v>
      </c>
      <c r="AL3489">
        <v>79.4299920886384</v>
      </c>
      <c r="AM3489">
        <v>78.853136493431805</v>
      </c>
      <c r="AN3489">
        <v>1.00000001411065</v>
      </c>
    </row>
    <row r="3490" spans="1:40" x14ac:dyDescent="0.25">
      <c r="A3490" t="str">
        <f>"20190303171045893"</f>
        <v>20190303171045893</v>
      </c>
      <c r="B3490" t="str">
        <f>"1551604245884107"</f>
        <v>1551604245884107</v>
      </c>
      <c r="C3490" t="s">
        <v>40</v>
      </c>
      <c r="D3490">
        <v>4.997852</v>
      </c>
      <c r="E3490">
        <v>0.63689910000000005</v>
      </c>
      <c r="F3490" t="s">
        <v>42</v>
      </c>
      <c r="G3490">
        <v>-232.6379</v>
      </c>
      <c r="H3490" s="1">
        <v>-3.166291E-6</v>
      </c>
      <c r="I3490">
        <v>139.47149999999999</v>
      </c>
      <c r="J3490">
        <v>-194.62899999999999</v>
      </c>
      <c r="K3490">
        <v>1.1117360000000001</v>
      </c>
      <c r="L3490">
        <v>149.79179999999999</v>
      </c>
      <c r="M3490">
        <v>-0.71199239999999997</v>
      </c>
      <c r="N3490">
        <v>-1.4871179999999999E-2</v>
      </c>
      <c r="O3490">
        <v>-0.70202959999999903</v>
      </c>
      <c r="P3490">
        <v>-0.81904809999999995</v>
      </c>
      <c r="Q3490">
        <v>0.17423910000000001</v>
      </c>
      <c r="R3490">
        <v>-0.54662659999999996</v>
      </c>
      <c r="S3490">
        <v>-3.1241460000000001</v>
      </c>
      <c r="T3490">
        <v>-9.0859060000000005E-2</v>
      </c>
      <c r="U3490">
        <v>-0.85974119999999998</v>
      </c>
      <c r="V3490">
        <v>0.19009210000000001</v>
      </c>
      <c r="W3490">
        <v>0.1842964</v>
      </c>
      <c r="X3490">
        <v>0.96431310000000003</v>
      </c>
      <c r="Y3490">
        <v>0.48771639999999999</v>
      </c>
      <c r="Z3490">
        <v>1.7198100000000001E-2</v>
      </c>
      <c r="AA3490">
        <v>0.87283269999999902</v>
      </c>
      <c r="AB3490">
        <v>28</v>
      </c>
      <c r="AC3490">
        <v>-38.008899999999898</v>
      </c>
      <c r="AD3490">
        <v>-1.1117391662909999</v>
      </c>
      <c r="AE3490">
        <v>-10.3203</v>
      </c>
      <c r="AF3490">
        <v>19.322141527835502</v>
      </c>
      <c r="AG3490">
        <v>-1.1117391662909999</v>
      </c>
      <c r="AH3490">
        <v>34.2836833113765</v>
      </c>
      <c r="AI3490">
        <v>91.6181699873094</v>
      </c>
      <c r="AJ3490">
        <v>60.594572727086103</v>
      </c>
      <c r="AK3490">
        <v>39.369430508839301</v>
      </c>
      <c r="AL3490">
        <v>79.3798858360108</v>
      </c>
      <c r="AM3490">
        <v>78.848436983219699</v>
      </c>
      <c r="AN3490">
        <v>0.99999996218348897</v>
      </c>
    </row>
    <row r="3491" spans="1:40" x14ac:dyDescent="0.25">
      <c r="A3491" t="str">
        <f>"20190303171045915"</f>
        <v>20190303171045915</v>
      </c>
      <c r="B3491" t="str">
        <f>"1551604245904603"</f>
        <v>1551604245904603</v>
      </c>
      <c r="C3491" t="s">
        <v>40</v>
      </c>
      <c r="D3491">
        <v>5.1101660000000004</v>
      </c>
      <c r="E3491">
        <v>0.63625069999999995</v>
      </c>
      <c r="F3491" t="s">
        <v>42</v>
      </c>
      <c r="G3491">
        <v>-232.20330000000001</v>
      </c>
      <c r="H3491" s="1">
        <v>-3.3885959999999999E-6</v>
      </c>
      <c r="I3491">
        <v>139.8475</v>
      </c>
      <c r="J3491">
        <v>-194.82990000000001</v>
      </c>
      <c r="K3491">
        <v>1.111774</v>
      </c>
      <c r="L3491">
        <v>149.61150000000001</v>
      </c>
      <c r="M3491">
        <v>-0.72039409999999904</v>
      </c>
      <c r="N3491">
        <v>-1.4863660000000001E-2</v>
      </c>
      <c r="O3491">
        <v>-0.69340590000000002</v>
      </c>
      <c r="P3491">
        <v>-0.82518019999999903</v>
      </c>
      <c r="Q3491">
        <v>0.17578559999999999</v>
      </c>
      <c r="R3491">
        <v>-0.53682149999999995</v>
      </c>
      <c r="S3491">
        <v>-3.1297000000000001</v>
      </c>
      <c r="T3491">
        <v>-9.2600699999999994E-2</v>
      </c>
      <c r="U3491">
        <v>-0.82829279999999905</v>
      </c>
      <c r="V3491">
        <v>0.1897731</v>
      </c>
      <c r="W3491">
        <v>0.18585360000000001</v>
      </c>
      <c r="X3491">
        <v>0.96407710000000002</v>
      </c>
      <c r="Y3491">
        <v>0.48576449999999999</v>
      </c>
      <c r="Z3491">
        <v>1.7640260000000001E-2</v>
      </c>
      <c r="AA3491">
        <v>0.87391169999999996</v>
      </c>
      <c r="AB3491">
        <v>28</v>
      </c>
      <c r="AC3491">
        <v>-37.373399999999997</v>
      </c>
      <c r="AD3491">
        <v>-1.1117773885959901</v>
      </c>
      <c r="AE3491">
        <v>-9.76400000000001</v>
      </c>
      <c r="AF3491">
        <v>18.867461326508302</v>
      </c>
      <c r="AG3491">
        <v>-1.1117773885959901</v>
      </c>
      <c r="AH3491">
        <v>33.669817301823997</v>
      </c>
      <c r="AI3491">
        <v>91.649985262964606</v>
      </c>
      <c r="AJ3491">
        <v>60.735159767434197</v>
      </c>
      <c r="AK3491">
        <v>38.611834235209301</v>
      </c>
      <c r="AL3491">
        <v>79.289097045047001</v>
      </c>
      <c r="AM3491">
        <v>78.864025652091499</v>
      </c>
      <c r="AN3491">
        <v>1.0000000224304799</v>
      </c>
    </row>
    <row r="3492" spans="1:40" x14ac:dyDescent="0.25">
      <c r="A3492" t="str">
        <f>"20190303171045937"</f>
        <v>20190303171045937</v>
      </c>
      <c r="B3492" t="str">
        <f>"1551604245924123"</f>
        <v>1551604245924123</v>
      </c>
      <c r="C3492" t="s">
        <v>40</v>
      </c>
      <c r="D3492">
        <v>5.1251939999999996</v>
      </c>
      <c r="E3492">
        <v>0.63570769999999999</v>
      </c>
      <c r="F3492" t="s">
        <v>42</v>
      </c>
      <c r="G3492">
        <v>-235.77959999999999</v>
      </c>
      <c r="H3492" s="1">
        <v>-1.863838E-6</v>
      </c>
      <c r="I3492">
        <v>139.21610000000001</v>
      </c>
      <c r="J3492">
        <v>-195.0324</v>
      </c>
      <c r="K3492">
        <v>1.11181</v>
      </c>
      <c r="L3492">
        <v>149.4342</v>
      </c>
      <c r="M3492">
        <v>-0.72865930000000001</v>
      </c>
      <c r="N3492">
        <v>-1.485655E-2</v>
      </c>
      <c r="O3492">
        <v>-0.68471559999999998</v>
      </c>
      <c r="P3492">
        <v>-0.83124900000000002</v>
      </c>
      <c r="Q3492">
        <v>0.17632600000000001</v>
      </c>
      <c r="R3492">
        <v>-0.52719519999999997</v>
      </c>
      <c r="S3492">
        <v>-3.135834</v>
      </c>
      <c r="T3492">
        <v>-8.5137370000000004E-2</v>
      </c>
      <c r="U3492">
        <v>-0.79605099999999995</v>
      </c>
      <c r="V3492">
        <v>0.1893348</v>
      </c>
      <c r="W3492">
        <v>0.18640970000000001</v>
      </c>
      <c r="X3492">
        <v>0.96405589999999997</v>
      </c>
      <c r="Y3492">
        <v>0.48417290000000002</v>
      </c>
      <c r="Z3492">
        <v>1.559075E-2</v>
      </c>
      <c r="AA3492">
        <v>0.87483349999999904</v>
      </c>
      <c r="AB3492">
        <v>28</v>
      </c>
      <c r="AC3492">
        <v>-40.7471999999999</v>
      </c>
      <c r="AD3492">
        <v>-1.1118118638379999</v>
      </c>
      <c r="AE3492">
        <v>-10.2180999999999</v>
      </c>
      <c r="AF3492">
        <v>20.442662862610899</v>
      </c>
      <c r="AG3492">
        <v>-1.1118118638379999</v>
      </c>
      <c r="AH3492">
        <v>36.665675425741803</v>
      </c>
      <c r="AI3492">
        <v>91.517105140036307</v>
      </c>
      <c r="AJ3492">
        <v>60.8584869438235</v>
      </c>
      <c r="AK3492">
        <v>41.994170368764202</v>
      </c>
      <c r="AL3492">
        <v>79.256668032220503</v>
      </c>
      <c r="AM3492">
        <v>78.888866366322404</v>
      </c>
      <c r="AN3492">
        <v>1.00000001053497</v>
      </c>
    </row>
    <row r="3493" spans="1:40" x14ac:dyDescent="0.25">
      <c r="A3493" t="str">
        <f>"20190303171045964"</f>
        <v>20190303171045964</v>
      </c>
      <c r="B3493" t="str">
        <f>"1551604245954379"</f>
        <v>1551604245954379</v>
      </c>
      <c r="C3493" t="s">
        <v>40</v>
      </c>
      <c r="D3493">
        <v>5.1138479999999999</v>
      </c>
      <c r="E3493">
        <v>0.63439209999999902</v>
      </c>
      <c r="F3493" t="s">
        <v>42</v>
      </c>
      <c r="G3493">
        <v>-238.23140000000001</v>
      </c>
      <c r="H3493" s="1">
        <v>-8.6112470000000003E-7</v>
      </c>
      <c r="I3493">
        <v>138.9393</v>
      </c>
      <c r="J3493">
        <v>-195.2919</v>
      </c>
      <c r="K3493">
        <v>1.1118429999999999</v>
      </c>
      <c r="L3493">
        <v>149.21360000000001</v>
      </c>
      <c r="M3493">
        <v>-0.73896580000000001</v>
      </c>
      <c r="N3493">
        <v>-1.4848159999999999E-2</v>
      </c>
      <c r="O3493">
        <v>-0.67357959999999995</v>
      </c>
      <c r="P3493">
        <v>-0.83895869999999995</v>
      </c>
      <c r="Q3493">
        <v>0.1759493</v>
      </c>
      <c r="R3493">
        <v>-0.51496640000000005</v>
      </c>
      <c r="S3493">
        <v>-3.1420590000000002</v>
      </c>
      <c r="T3493">
        <v>-8.0867049999999996E-2</v>
      </c>
      <c r="U3493">
        <v>-0.76333619999999902</v>
      </c>
      <c r="V3493">
        <v>0.18885179999999999</v>
      </c>
      <c r="W3493">
        <v>0.18605179999999999</v>
      </c>
      <c r="X3493">
        <v>0.96421970000000001</v>
      </c>
      <c r="Y3493">
        <v>0.47991089999999997</v>
      </c>
      <c r="Z3493">
        <v>1.4372269999999999E-2</v>
      </c>
      <c r="AA3493">
        <v>0.87719950000000002</v>
      </c>
      <c r="AB3493">
        <v>27</v>
      </c>
      <c r="AC3493">
        <v>-42.939500000000002</v>
      </c>
      <c r="AD3493">
        <v>-1.1118438611246999</v>
      </c>
      <c r="AE3493">
        <v>-10.2743</v>
      </c>
      <c r="AF3493">
        <v>21.319642478296299</v>
      </c>
      <c r="AG3493">
        <v>-1.1118438611246999</v>
      </c>
      <c r="AH3493">
        <v>38.631136426814003</v>
      </c>
      <c r="AI3493">
        <v>91.443456252764904</v>
      </c>
      <c r="AJ3493">
        <v>61.106696465892199</v>
      </c>
      <c r="AK3493">
        <v>44.1376036254917</v>
      </c>
      <c r="AL3493">
        <v>79.277538680799296</v>
      </c>
      <c r="AM3493">
        <v>78.918344803441201</v>
      </c>
      <c r="AN3493">
        <v>0.999999952257283</v>
      </c>
    </row>
    <row r="3494" spans="1:40" x14ac:dyDescent="0.25">
      <c r="A3494" t="str">
        <f>"20190303171045982"</f>
        <v>20190303171045982</v>
      </c>
      <c r="B3494" t="str">
        <f>"1551604245973899"</f>
        <v>1551604245973899</v>
      </c>
      <c r="C3494" t="s">
        <v>40</v>
      </c>
      <c r="D3494">
        <v>5.080171</v>
      </c>
      <c r="E3494">
        <v>0.63376869999999996</v>
      </c>
      <c r="F3494" t="s">
        <v>42</v>
      </c>
      <c r="G3494">
        <v>-240.5804</v>
      </c>
      <c r="H3494" s="1">
        <v>-4.1712169999999998E-6</v>
      </c>
      <c r="I3494">
        <v>138.78219999999999</v>
      </c>
      <c r="J3494">
        <v>-195.4717</v>
      </c>
      <c r="K3494">
        <v>1.111858</v>
      </c>
      <c r="L3494">
        <v>149.0643</v>
      </c>
      <c r="M3494">
        <v>-0.74594059999999995</v>
      </c>
      <c r="N3494">
        <v>-1.484273E-2</v>
      </c>
      <c r="O3494">
        <v>-0.66584690000000002</v>
      </c>
      <c r="P3494">
        <v>-0.84437260000000003</v>
      </c>
      <c r="Q3494">
        <v>0.17593979999999901</v>
      </c>
      <c r="R3494">
        <v>-0.50604369999999999</v>
      </c>
      <c r="S3494">
        <v>-3.147141</v>
      </c>
      <c r="T3494">
        <v>-7.7263239999999997E-2</v>
      </c>
      <c r="U3494">
        <v>-0.72488399999999997</v>
      </c>
      <c r="V3494">
        <v>0.1890242</v>
      </c>
      <c r="W3494">
        <v>0.18604100000000001</v>
      </c>
      <c r="X3494">
        <v>0.96418800000000005</v>
      </c>
      <c r="Y3494">
        <v>0.48126790000000003</v>
      </c>
      <c r="Z3494">
        <v>1.346167E-2</v>
      </c>
      <c r="AA3494">
        <v>0.87647019999999998</v>
      </c>
      <c r="AB3494">
        <v>27</v>
      </c>
      <c r="AC3494">
        <v>-45.108699999999999</v>
      </c>
      <c r="AD3494">
        <v>-1.111862171217</v>
      </c>
      <c r="AE3494">
        <v>-10.2821</v>
      </c>
      <c r="AF3494">
        <v>22.3552076734371</v>
      </c>
      <c r="AG3494">
        <v>-1.111862171217</v>
      </c>
      <c r="AH3494">
        <v>40.475804516894101</v>
      </c>
      <c r="AI3494">
        <v>91.377467544523398</v>
      </c>
      <c r="AJ3494">
        <v>61.087673162763203</v>
      </c>
      <c r="AK3494">
        <v>46.252376143287101</v>
      </c>
      <c r="AL3494">
        <v>79.278168452855596</v>
      </c>
      <c r="AM3494">
        <v>78.908123645731393</v>
      </c>
      <c r="AN3494">
        <v>0.99999995060531799</v>
      </c>
    </row>
    <row r="3495" spans="1:40" x14ac:dyDescent="0.25">
      <c r="A3495" t="str">
        <f>"20190303171046005"</f>
        <v>20190303171046005</v>
      </c>
      <c r="B3495" t="str">
        <f>"1551604245994396"</f>
        <v>1551604245994396</v>
      </c>
      <c r="C3495" t="s">
        <v>40</v>
      </c>
      <c r="D3495">
        <v>5.0858980000000003</v>
      </c>
      <c r="E3495">
        <v>0.63252619999999904</v>
      </c>
      <c r="F3495" t="s">
        <v>42</v>
      </c>
      <c r="G3495">
        <v>-243.1968</v>
      </c>
      <c r="H3495" s="1">
        <v>-3.0906859999999999E-6</v>
      </c>
      <c r="I3495">
        <v>138.54599999999999</v>
      </c>
      <c r="J3495">
        <v>-195.68979999999999</v>
      </c>
      <c r="K3495">
        <v>1.1118840000000001</v>
      </c>
      <c r="L3495">
        <v>148.8877</v>
      </c>
      <c r="M3495">
        <v>-0.75420919999999902</v>
      </c>
      <c r="N3495">
        <v>-1.4836530000000001E-2</v>
      </c>
      <c r="O3495">
        <v>-0.65646669999999996</v>
      </c>
      <c r="P3495">
        <v>-0.85087939999999995</v>
      </c>
      <c r="Q3495">
        <v>0.1765544</v>
      </c>
      <c r="R3495">
        <v>-0.49480629999999998</v>
      </c>
      <c r="S3495">
        <v>-3.1519010000000001</v>
      </c>
      <c r="T3495">
        <v>-7.3430540000000002E-2</v>
      </c>
      <c r="U3495">
        <v>-0.69465639999999995</v>
      </c>
      <c r="V3495">
        <v>0.18967010000000001</v>
      </c>
      <c r="W3495">
        <v>0.1866411</v>
      </c>
      <c r="X3495">
        <v>0.96394519999999995</v>
      </c>
      <c r="Y3495">
        <v>0.4786145</v>
      </c>
      <c r="Z3495">
        <v>1.241958E-2</v>
      </c>
      <c r="AA3495">
        <v>0.87793729999999903</v>
      </c>
      <c r="AB3495">
        <v>27</v>
      </c>
      <c r="AC3495">
        <v>-47.506999999999998</v>
      </c>
      <c r="AD3495">
        <v>-1.1118870906859999</v>
      </c>
      <c r="AE3495">
        <v>-10.341699999999999</v>
      </c>
      <c r="AF3495">
        <v>23.377304448066599</v>
      </c>
      <c r="AG3495">
        <v>-1.1118870906859999</v>
      </c>
      <c r="AH3495">
        <v>42.601605570745399</v>
      </c>
      <c r="AI3495">
        <v>91.310760098945707</v>
      </c>
      <c r="AJ3495">
        <v>61.244559234822198</v>
      </c>
      <c r="AK3495">
        <v>48.606907465558798</v>
      </c>
      <c r="AL3495">
        <v>79.243172813801095</v>
      </c>
      <c r="AM3495">
        <v>78.868433857672898</v>
      </c>
      <c r="AN3495">
        <v>0.99999999782312998</v>
      </c>
    </row>
    <row r="3496" spans="1:40" x14ac:dyDescent="0.25">
      <c r="A3496" t="str">
        <f>"20190303171046028"</f>
        <v>20190303171046028</v>
      </c>
      <c r="B3496" t="str">
        <f>"1551604246013915"</f>
        <v>1551604246013915</v>
      </c>
      <c r="C3496" t="s">
        <v>40</v>
      </c>
      <c r="D3496">
        <v>5.1090839999999904</v>
      </c>
      <c r="E3496">
        <v>0.63186679999999995</v>
      </c>
      <c r="F3496" t="s">
        <v>42</v>
      </c>
      <c r="G3496">
        <v>-245.4597</v>
      </c>
      <c r="H3496" s="1">
        <v>-2.136202E-6</v>
      </c>
      <c r="I3496">
        <v>138.45429999999999</v>
      </c>
      <c r="J3496">
        <v>-195.91130000000001</v>
      </c>
      <c r="K3496">
        <v>1.11191</v>
      </c>
      <c r="L3496">
        <v>148.71270000000001</v>
      </c>
      <c r="M3496">
        <v>-0.76240779999999997</v>
      </c>
      <c r="N3496">
        <v>-1.4830619999999999E-2</v>
      </c>
      <c r="O3496">
        <v>-0.64692689999999997</v>
      </c>
      <c r="P3496">
        <v>-0.8570605</v>
      </c>
      <c r="Q3496">
        <v>0.17778679999999999</v>
      </c>
      <c r="R3496">
        <v>-0.48356939999999998</v>
      </c>
      <c r="S3496">
        <v>-3.1556850000000001</v>
      </c>
      <c r="T3496">
        <v>-7.0499779999999998E-2</v>
      </c>
      <c r="U3496">
        <v>-0.66152949999999999</v>
      </c>
      <c r="V3496">
        <v>0.1900799</v>
      </c>
      <c r="W3496">
        <v>0.18786459999999999</v>
      </c>
      <c r="X3496">
        <v>0.96362669999999995</v>
      </c>
      <c r="Y3496">
        <v>0.47661340000000002</v>
      </c>
      <c r="Z3496">
        <v>1.164631E-2</v>
      </c>
      <c r="AA3496">
        <v>0.87903580000000003</v>
      </c>
      <c r="AB3496">
        <v>27</v>
      </c>
      <c r="AC3496">
        <v>-49.548400000000001</v>
      </c>
      <c r="AD3496">
        <v>-1.1119121362019999</v>
      </c>
      <c r="AE3496">
        <v>-10.2584</v>
      </c>
      <c r="AF3496">
        <v>24.224076188984402</v>
      </c>
      <c r="AG3496">
        <v>-1.1119121362019999</v>
      </c>
      <c r="AH3496">
        <v>44.395967594413698</v>
      </c>
      <c r="AI3496">
        <v>91.259473950303104</v>
      </c>
      <c r="AJ3496">
        <v>61.381490489703097</v>
      </c>
      <c r="AK3496">
        <v>50.5869959026288</v>
      </c>
      <c r="AL3496">
        <v>79.171808562472194</v>
      </c>
      <c r="AM3496">
        <v>78.841391144227799</v>
      </c>
      <c r="AN3496">
        <v>0.999999946635028</v>
      </c>
    </row>
    <row r="3497" spans="1:40" x14ac:dyDescent="0.25">
      <c r="A3497" t="str">
        <f>"20190303171046052"</f>
        <v>20190303171046052</v>
      </c>
      <c r="B3497" t="str">
        <f>"1551604246044171"</f>
        <v>1551604246044171</v>
      </c>
      <c r="C3497" t="s">
        <v>40</v>
      </c>
      <c r="D3497">
        <v>5.0752889999999997</v>
      </c>
      <c r="E3497">
        <v>0.61439339999999998</v>
      </c>
      <c r="F3497" t="s">
        <v>42</v>
      </c>
      <c r="G3497">
        <v>-248.26419999999999</v>
      </c>
      <c r="H3497" s="1">
        <v>-9.5018739999999995E-7</v>
      </c>
      <c r="I3497">
        <v>138.3578</v>
      </c>
      <c r="J3497">
        <v>-196.16059999999999</v>
      </c>
      <c r="K3497">
        <v>1.1119399999999999</v>
      </c>
      <c r="L3497">
        <v>148.52109999999999</v>
      </c>
      <c r="M3497">
        <v>-0.77140149999999996</v>
      </c>
      <c r="N3497">
        <v>-1.482431E-2</v>
      </c>
      <c r="O3497">
        <v>-0.63617619999999997</v>
      </c>
      <c r="P3497">
        <v>-0.863419099999999</v>
      </c>
      <c r="Q3497">
        <v>0.17854220000000001</v>
      </c>
      <c r="R3497">
        <v>-0.47183720000000001</v>
      </c>
      <c r="S3497">
        <v>-3.1614689999999999</v>
      </c>
      <c r="T3497">
        <v>-6.7145709999999997E-2</v>
      </c>
      <c r="U3497">
        <v>-0.62530520000000001</v>
      </c>
      <c r="V3497">
        <v>0.18961819999999999</v>
      </c>
      <c r="W3497">
        <v>0.188634</v>
      </c>
      <c r="X3497">
        <v>0.96356739999999996</v>
      </c>
      <c r="Y3497">
        <v>0.47429909999999997</v>
      </c>
      <c r="Z3497">
        <v>1.0761980000000001E-2</v>
      </c>
      <c r="AA3497">
        <v>0.88029799999999903</v>
      </c>
      <c r="AB3497">
        <v>27</v>
      </c>
      <c r="AC3497">
        <v>-52.1036</v>
      </c>
      <c r="AD3497">
        <v>-1.11194095018739</v>
      </c>
      <c r="AE3497">
        <v>-10.1632999999999</v>
      </c>
      <c r="AF3497">
        <v>25.298764501750899</v>
      </c>
      <c r="AG3497">
        <v>-1.11194095018739</v>
      </c>
      <c r="AH3497">
        <v>46.643103623507599</v>
      </c>
      <c r="AI3497">
        <v>91.2004796746088</v>
      </c>
      <c r="AJ3497">
        <v>61.525027572697098</v>
      </c>
      <c r="AK3497">
        <v>53.073939119166802</v>
      </c>
      <c r="AL3497">
        <v>79.126923172438595</v>
      </c>
      <c r="AM3497">
        <v>78.867149405542506</v>
      </c>
      <c r="AN3497">
        <v>0.99999999103499904</v>
      </c>
    </row>
    <row r="3498" spans="1:40" x14ac:dyDescent="0.25">
      <c r="A3498" t="str">
        <f>"20190303171046072"</f>
        <v>20190303171046072</v>
      </c>
      <c r="B3498" t="str">
        <f>"1551604246064667"</f>
        <v>1551604246064667</v>
      </c>
      <c r="C3498" t="s">
        <v>40</v>
      </c>
      <c r="D3498">
        <v>5.0798240000000003</v>
      </c>
      <c r="E3498">
        <v>0.61850909999999903</v>
      </c>
      <c r="F3498" t="s">
        <v>43</v>
      </c>
      <c r="G3498">
        <v>-196.8168</v>
      </c>
      <c r="H3498">
        <v>1.1782360000000001</v>
      </c>
      <c r="I3498">
        <v>148.38210000000001</v>
      </c>
      <c r="J3498">
        <v>-196.3536</v>
      </c>
      <c r="K3498">
        <v>1.1119570000000001</v>
      </c>
      <c r="L3498">
        <v>148.37649999999999</v>
      </c>
      <c r="M3498">
        <v>-0.77820059999999902</v>
      </c>
      <c r="N3498">
        <v>-1.4819570000000001E-2</v>
      </c>
      <c r="O3498">
        <v>-0.62784090000000004</v>
      </c>
      <c r="P3498">
        <v>-0.86813649999999998</v>
      </c>
      <c r="Q3498">
        <v>0.17831169999999999</v>
      </c>
      <c r="R3498">
        <v>-0.46318920000000002</v>
      </c>
      <c r="S3498">
        <v>-3.056854</v>
      </c>
      <c r="T3498">
        <v>0.3087993</v>
      </c>
      <c r="U3498">
        <v>-0.64747619999999995</v>
      </c>
      <c r="V3498">
        <v>0.188892</v>
      </c>
      <c r="W3498">
        <v>0.18842519999999999</v>
      </c>
      <c r="X3498">
        <v>0.96375089999999997</v>
      </c>
      <c r="Y3498">
        <v>0.44763799999999998</v>
      </c>
      <c r="Z3498">
        <v>-8.6546730000000002E-2</v>
      </c>
      <c r="AA3498">
        <v>0.89001679999999905</v>
      </c>
      <c r="AB3498">
        <v>27</v>
      </c>
      <c r="AC3498">
        <v>-0.4632</v>
      </c>
      <c r="AD3498">
        <v>6.6279000000000199E-2</v>
      </c>
      <c r="AE3498">
        <v>5.6000000000153696E-3</v>
      </c>
      <c r="AF3498">
        <v>0.28928414522667401</v>
      </c>
      <c r="AG3498">
        <v>6.6279000000000199E-2</v>
      </c>
      <c r="AH3498">
        <v>0.34982435691231401</v>
      </c>
      <c r="AI3498">
        <v>81.6930575044031</v>
      </c>
      <c r="AJ3498">
        <v>50.4112552220558</v>
      </c>
      <c r="AK3498">
        <v>0.45875407704961302</v>
      </c>
      <c r="AL3498">
        <v>79.139105304943101</v>
      </c>
      <c r="AM3498">
        <v>78.910786317835999</v>
      </c>
      <c r="AN3498">
        <v>1.00000002045492</v>
      </c>
    </row>
    <row r="3499" spans="1:40" x14ac:dyDescent="0.25">
      <c r="A3499" t="str">
        <f>"20190303171046094"</f>
        <v>20190303171046094</v>
      </c>
      <c r="B3499" t="str">
        <f>"1551604246084187"</f>
        <v>1551604246084187</v>
      </c>
      <c r="C3499" t="s">
        <v>40</v>
      </c>
      <c r="D3499">
        <v>4.9395220000000002</v>
      </c>
      <c r="E3499">
        <v>0.61795819999999901</v>
      </c>
      <c r="F3499" t="s">
        <v>42</v>
      </c>
      <c r="G3499">
        <v>-245.5335</v>
      </c>
      <c r="H3499" s="1">
        <v>-2.1449509999999999E-6</v>
      </c>
      <c r="I3499">
        <v>138.22630000000001</v>
      </c>
      <c r="J3499">
        <v>-196.57839999999999</v>
      </c>
      <c r="K3499">
        <v>1.1119840000000001</v>
      </c>
      <c r="L3499">
        <v>148.21209999999999</v>
      </c>
      <c r="M3499">
        <v>-0.78593849999999998</v>
      </c>
      <c r="N3499">
        <v>-1.4814269999999999E-2</v>
      </c>
      <c r="O3499">
        <v>-0.61812719999999999</v>
      </c>
      <c r="P3499">
        <v>-0.87389079999999997</v>
      </c>
      <c r="Q3499">
        <v>0.17786170000000001</v>
      </c>
      <c r="R3499">
        <v>-0.45241619999999999</v>
      </c>
      <c r="S3499">
        <v>-3.1259610000000002</v>
      </c>
      <c r="T3499">
        <v>-7.0678110000000002E-2</v>
      </c>
      <c r="U3499">
        <v>-0.64515690000000003</v>
      </c>
      <c r="V3499">
        <v>0.18887960000000001</v>
      </c>
      <c r="W3499">
        <v>0.1879807</v>
      </c>
      <c r="X3499">
        <v>0.96384009999999998</v>
      </c>
      <c r="Y3499">
        <v>0.44638369999999999</v>
      </c>
      <c r="Z3499">
        <v>1.137228E-2</v>
      </c>
      <c r="AA3499">
        <v>0.89476939999999905</v>
      </c>
      <c r="AB3499">
        <v>27</v>
      </c>
      <c r="AC3499">
        <v>-48.955100000000002</v>
      </c>
      <c r="AD3499">
        <v>-1.111986144951</v>
      </c>
      <c r="AE3499">
        <v>-9.9857999999999798</v>
      </c>
      <c r="AF3499">
        <v>22.403616388865601</v>
      </c>
      <c r="AG3499">
        <v>-1.111986144951</v>
      </c>
      <c r="AH3499">
        <v>44.630984755309399</v>
      </c>
      <c r="AI3499">
        <v>91.275602489165806</v>
      </c>
      <c r="AJ3499">
        <v>63.344515773515198</v>
      </c>
      <c r="AK3499">
        <v>49.950809209808298</v>
      </c>
      <c r="AL3499">
        <v>79.165036362710893</v>
      </c>
      <c r="AM3499">
        <v>78.912497011239907</v>
      </c>
      <c r="AN3499">
        <v>0.99999999261832995</v>
      </c>
    </row>
    <row r="3500" spans="1:40" x14ac:dyDescent="0.25">
      <c r="A3500" t="str">
        <f>"20190303171046115"</f>
        <v>20190303171046115</v>
      </c>
      <c r="B3500" t="str">
        <f>"1551604246104683"</f>
        <v>1551604246104683</v>
      </c>
      <c r="C3500" t="s">
        <v>40</v>
      </c>
      <c r="D3500">
        <v>4.9584029999999997</v>
      </c>
      <c r="E3500">
        <v>0.61730379999999996</v>
      </c>
      <c r="F3500" t="s">
        <v>42</v>
      </c>
      <c r="G3500">
        <v>-243.8948</v>
      </c>
      <c r="H3500" s="1">
        <v>-2.712299E-6</v>
      </c>
      <c r="I3500">
        <v>138.99109999999999</v>
      </c>
      <c r="J3500">
        <v>-196.7901</v>
      </c>
      <c r="K3500">
        <v>1.112009</v>
      </c>
      <c r="L3500">
        <v>148.06120000000001</v>
      </c>
      <c r="M3500">
        <v>-0.79305639999999999</v>
      </c>
      <c r="N3500">
        <v>-1.480939E-2</v>
      </c>
      <c r="O3500">
        <v>-0.60896810000000001</v>
      </c>
      <c r="P3500">
        <v>-0.87895249999999903</v>
      </c>
      <c r="Q3500">
        <v>0.17809059999999999</v>
      </c>
      <c r="R3500">
        <v>-0.44240980000000002</v>
      </c>
      <c r="S3500">
        <v>-3.1318969999999999</v>
      </c>
      <c r="T3500">
        <v>-7.3602909999999994E-2</v>
      </c>
      <c r="U3500">
        <v>-0.61033630000000005</v>
      </c>
      <c r="V3500">
        <v>0.1886699</v>
      </c>
      <c r="W3500">
        <v>0.1882182</v>
      </c>
      <c r="X3500">
        <v>0.96383479999999999</v>
      </c>
      <c r="Y3500">
        <v>0.44588800000000001</v>
      </c>
      <c r="Z3500">
        <v>1.2095399999999999E-2</v>
      </c>
      <c r="AA3500">
        <v>0.89500709999999895</v>
      </c>
      <c r="AB3500">
        <v>27</v>
      </c>
      <c r="AC3500">
        <v>-47.104700000000001</v>
      </c>
      <c r="AD3500">
        <v>-1.1120117122990001</v>
      </c>
      <c r="AE3500">
        <v>-9.0701000000000196</v>
      </c>
      <c r="AF3500">
        <v>21.482972411961899</v>
      </c>
      <c r="AG3500">
        <v>-1.1120117122990001</v>
      </c>
      <c r="AH3500">
        <v>42.861757131947002</v>
      </c>
      <c r="AI3500">
        <v>91.328672261463396</v>
      </c>
      <c r="AJ3500">
        <v>63.379266435286397</v>
      </c>
      <c r="AK3500">
        <v>47.9571151982625</v>
      </c>
      <c r="AL3500">
        <v>79.151181073702205</v>
      </c>
      <c r="AM3500">
        <v>78.924442779840902</v>
      </c>
      <c r="AN3500">
        <v>0.99999997183414402</v>
      </c>
    </row>
    <row r="3501" spans="1:40" x14ac:dyDescent="0.25">
      <c r="A3501" t="str">
        <f>"20190303171046138"</f>
        <v>20190303171046138</v>
      </c>
      <c r="B3501" t="str">
        <f>"1551604246134012"</f>
        <v>1551604246134012</v>
      </c>
      <c r="C3501" t="s">
        <v>40</v>
      </c>
      <c r="D3501">
        <v>4.9539559999999998</v>
      </c>
      <c r="E3501">
        <v>0.60673379999999999</v>
      </c>
      <c r="F3501" t="s">
        <v>42</v>
      </c>
      <c r="G3501">
        <v>-243.0341</v>
      </c>
      <c r="H3501" s="1">
        <v>-2.9882660000000002E-6</v>
      </c>
      <c r="I3501">
        <v>139.51689999999999</v>
      </c>
      <c r="J3501">
        <v>-197.02199999999999</v>
      </c>
      <c r="K3501">
        <v>1.112039</v>
      </c>
      <c r="L3501">
        <v>147.90029999999999</v>
      </c>
      <c r="M3501">
        <v>-0.80066630000000005</v>
      </c>
      <c r="N3501">
        <v>-1.480415E-2</v>
      </c>
      <c r="O3501">
        <v>-0.59892769999999995</v>
      </c>
      <c r="P3501">
        <v>-0.883907</v>
      </c>
      <c r="Q3501">
        <v>0.17884349999999999</v>
      </c>
      <c r="R3501">
        <v>-0.43211529999999998</v>
      </c>
      <c r="S3501">
        <v>-3.1367340000000001</v>
      </c>
      <c r="T3501">
        <v>-7.5427770000000005E-2</v>
      </c>
      <c r="U3501">
        <v>-0.5795593</v>
      </c>
      <c r="V3501">
        <v>0.1876958</v>
      </c>
      <c r="W3501">
        <v>0.1889969</v>
      </c>
      <c r="X3501">
        <v>0.96387270000000003</v>
      </c>
      <c r="Y3501">
        <v>0.4433357</v>
      </c>
      <c r="Z3501">
        <v>1.2492140000000001E-2</v>
      </c>
      <c r="AA3501">
        <v>0.89626859999999997</v>
      </c>
      <c r="AB3501">
        <v>27</v>
      </c>
      <c r="AC3501">
        <v>-46.012099999999897</v>
      </c>
      <c r="AD3501">
        <v>-1.112041988266</v>
      </c>
      <c r="AE3501">
        <v>-8.3833999999999893</v>
      </c>
      <c r="AF3501">
        <v>20.836119593703</v>
      </c>
      <c r="AG3501">
        <v>-1.112041988266</v>
      </c>
      <c r="AH3501">
        <v>41.8423192866736</v>
      </c>
      <c r="AI3501">
        <v>91.362836570538306</v>
      </c>
      <c r="AJ3501">
        <v>63.528182582769702</v>
      </c>
      <c r="AK3501">
        <v>46.756392080598999</v>
      </c>
      <c r="AL3501">
        <v>79.105750456374295</v>
      </c>
      <c r="AM3501">
        <v>78.980645143500794</v>
      </c>
      <c r="AN3501">
        <v>1.0000000616762601</v>
      </c>
    </row>
    <row r="3502" spans="1:40" x14ac:dyDescent="0.25">
      <c r="A3502" t="str">
        <f>"20190303171046162"</f>
        <v>20190303171046162</v>
      </c>
      <c r="B3502" t="str">
        <f>"1551604246154508"</f>
        <v>1551604246154508</v>
      </c>
      <c r="C3502" t="s">
        <v>40</v>
      </c>
      <c r="D3502">
        <v>5.0645199999999999</v>
      </c>
      <c r="E3502">
        <v>0.60626849999999999</v>
      </c>
      <c r="F3502" t="s">
        <v>43</v>
      </c>
      <c r="G3502">
        <v>-197.76130000000001</v>
      </c>
      <c r="H3502">
        <v>1.1803429999999999</v>
      </c>
      <c r="I3502">
        <v>147.76349999999999</v>
      </c>
      <c r="J3502">
        <v>-197.26060000000001</v>
      </c>
      <c r="K3502">
        <v>1.1120669999999999</v>
      </c>
      <c r="L3502">
        <v>147.73929999999999</v>
      </c>
      <c r="M3502">
        <v>-0.80829779999999996</v>
      </c>
      <c r="N3502">
        <v>-1.479893E-2</v>
      </c>
      <c r="O3502">
        <v>-0.588588</v>
      </c>
      <c r="P3502">
        <v>-0.88873029999999997</v>
      </c>
      <c r="Q3502">
        <v>0.18030489999999999</v>
      </c>
      <c r="R3502">
        <v>-0.42148439999999998</v>
      </c>
      <c r="S3502">
        <v>-3.0598299999999998</v>
      </c>
      <c r="T3502">
        <v>0.28266729999999901</v>
      </c>
      <c r="U3502">
        <v>-0.56660459999999901</v>
      </c>
      <c r="V3502">
        <v>0.18671389999999999</v>
      </c>
      <c r="W3502">
        <v>0.1904834</v>
      </c>
      <c r="X3502">
        <v>0.96377069999999998</v>
      </c>
      <c r="Y3502">
        <v>0.42722159999999898</v>
      </c>
      <c r="Z3502">
        <v>-7.5780630000000002E-2</v>
      </c>
      <c r="AA3502">
        <v>0.90096560000000003</v>
      </c>
      <c r="AB3502">
        <v>27</v>
      </c>
      <c r="AC3502">
        <v>-0.50069999999999404</v>
      </c>
      <c r="AD3502">
        <v>6.8276000000000003E-2</v>
      </c>
      <c r="AE3502">
        <v>2.42000000000075E-2</v>
      </c>
      <c r="AF3502">
        <v>0.30857679786380499</v>
      </c>
      <c r="AG3502">
        <v>6.8276000000000003E-2</v>
      </c>
      <c r="AH3502">
        <v>0.38340113056306302</v>
      </c>
      <c r="AI3502">
        <v>82.101836933005501</v>
      </c>
      <c r="AJ3502">
        <v>51.171477058208403</v>
      </c>
      <c r="AK3502">
        <v>0.496867869028492</v>
      </c>
      <c r="AL3502">
        <v>79.019003616930902</v>
      </c>
      <c r="AM3502">
        <v>79.035758665649695</v>
      </c>
      <c r="AN3502">
        <v>0.99999998415362901</v>
      </c>
    </row>
    <row r="3503" spans="1:40" x14ac:dyDescent="0.25">
      <c r="A3503" t="str">
        <f>"20190303171046185"</f>
        <v>20190303171046185</v>
      </c>
      <c r="B3503" t="str">
        <f>"1551604246174028"</f>
        <v>1551604246174028</v>
      </c>
      <c r="C3503" t="s">
        <v>40</v>
      </c>
      <c r="D3503">
        <v>5.0589050000000002</v>
      </c>
      <c r="E3503">
        <v>0.60579669999999997</v>
      </c>
      <c r="F3503" t="s">
        <v>43</v>
      </c>
      <c r="G3503">
        <v>-197.9939</v>
      </c>
      <c r="H3503">
        <v>1.179422</v>
      </c>
      <c r="I3503">
        <v>147.61160000000001</v>
      </c>
      <c r="J3503">
        <v>-197.50020000000001</v>
      </c>
      <c r="K3503">
        <v>1.112085</v>
      </c>
      <c r="L3503">
        <v>147.58189999999999</v>
      </c>
      <c r="M3503">
        <v>-0.81576519999999997</v>
      </c>
      <c r="N3503">
        <v>-1.4793809999999999E-2</v>
      </c>
      <c r="O3503">
        <v>-0.57819409999999904</v>
      </c>
      <c r="P3503">
        <v>-0.89361829999999998</v>
      </c>
      <c r="Q3503">
        <v>0.1811729</v>
      </c>
      <c r="R3503">
        <v>-0.41063719999999998</v>
      </c>
      <c r="S3503">
        <v>-3.0651860000000002</v>
      </c>
      <c r="T3503">
        <v>0.28153060000000002</v>
      </c>
      <c r="U3503">
        <v>-0.53410340000000001</v>
      </c>
      <c r="V3503">
        <v>0.18601380000000001</v>
      </c>
      <c r="W3503">
        <v>0.1913704</v>
      </c>
      <c r="X3503">
        <v>0.96373039999999999</v>
      </c>
      <c r="Y3503">
        <v>0.4252938</v>
      </c>
      <c r="Z3503">
        <v>-7.4477429999999997E-2</v>
      </c>
      <c r="AA3503">
        <v>0.90198579999999995</v>
      </c>
      <c r="AB3503">
        <v>27</v>
      </c>
      <c r="AC3503">
        <v>-0.49369999999998898</v>
      </c>
      <c r="AD3503">
        <v>6.7336999999999897E-2</v>
      </c>
      <c r="AE3503">
        <v>2.97000000000196E-2</v>
      </c>
      <c r="AF3503">
        <v>0.30408014362379099</v>
      </c>
      <c r="AG3503">
        <v>6.7336999999999897E-2</v>
      </c>
      <c r="AH3503">
        <v>0.37859549988497798</v>
      </c>
      <c r="AI3503">
        <v>82.105141634686703</v>
      </c>
      <c r="AJ3503">
        <v>51.229283517189103</v>
      </c>
      <c r="AK3503">
        <v>0.49023826640565499</v>
      </c>
      <c r="AL3503">
        <v>78.967230283991597</v>
      </c>
      <c r="AM3503">
        <v>79.0754333319681</v>
      </c>
      <c r="AN3503">
        <v>1.0000000238353799</v>
      </c>
    </row>
    <row r="3504" spans="1:40" x14ac:dyDescent="0.25">
      <c r="A3504" t="str">
        <f>"20190303171046205"</f>
        <v>20190303171046205</v>
      </c>
      <c r="B3504" t="str">
        <f>"1551604246194524"</f>
        <v>1551604246194524</v>
      </c>
      <c r="C3504" t="s">
        <v>40</v>
      </c>
      <c r="D3504">
        <v>5.0420800000000003</v>
      </c>
      <c r="E3504">
        <v>0.60587440000000004</v>
      </c>
      <c r="F3504" t="s">
        <v>42</v>
      </c>
      <c r="G3504">
        <v>-239.78550000000001</v>
      </c>
      <c r="H3504" s="1">
        <v>-2.0091310000000001E-7</v>
      </c>
      <c r="I3504">
        <v>140.09190000000001</v>
      </c>
      <c r="J3504">
        <v>-197.71459999999999</v>
      </c>
      <c r="K3504">
        <v>1.112104</v>
      </c>
      <c r="L3504">
        <v>147.44479999999999</v>
      </c>
      <c r="M3504">
        <v>-0.82228519999999905</v>
      </c>
      <c r="N3504">
        <v>-1.478931E-2</v>
      </c>
      <c r="O3504">
        <v>-0.56888349999999999</v>
      </c>
      <c r="P3504">
        <v>-0.89794309999999999</v>
      </c>
      <c r="Q3504">
        <v>0.18139440000000001</v>
      </c>
      <c r="R3504">
        <v>-0.40099170000000001</v>
      </c>
      <c r="S3504">
        <v>-3.1198429999999999</v>
      </c>
      <c r="T3504">
        <v>-8.2050559999999995E-2</v>
      </c>
      <c r="U3504">
        <v>-0.55261229999999995</v>
      </c>
      <c r="V3504">
        <v>0.18540490000000001</v>
      </c>
      <c r="W3504">
        <v>0.19161</v>
      </c>
      <c r="X3504">
        <v>0.96380010000000005</v>
      </c>
      <c r="Y3504">
        <v>0.41656399999999999</v>
      </c>
      <c r="Z3504">
        <v>1.361715E-2</v>
      </c>
      <c r="AA3504">
        <v>0.90900440000000005</v>
      </c>
      <c r="AB3504">
        <v>27</v>
      </c>
      <c r="AC3504">
        <v>-42.070900000000002</v>
      </c>
      <c r="AD3504">
        <v>-1.1121042009130999</v>
      </c>
      <c r="AE3504">
        <v>-7.3528999999999698</v>
      </c>
      <c r="AF3504">
        <v>17.8770939946711</v>
      </c>
      <c r="AG3504">
        <v>-1.1121042009130999</v>
      </c>
      <c r="AH3504">
        <v>38.755183363302699</v>
      </c>
      <c r="AI3504">
        <v>91.492618225120793</v>
      </c>
      <c r="AJ3504">
        <v>65.2369432504169</v>
      </c>
      <c r="AK3504">
        <v>42.694162399222797</v>
      </c>
      <c r="AL3504">
        <v>78.953243124721993</v>
      </c>
      <c r="AM3504">
        <v>79.111106305314706</v>
      </c>
      <c r="AN3504">
        <v>1.00000000090201</v>
      </c>
    </row>
    <row r="3505" spans="1:40" x14ac:dyDescent="0.25">
      <c r="A3505" t="str">
        <f>"20190303171046228"</f>
        <v>20190303171046228</v>
      </c>
      <c r="B3505" t="str">
        <f>"1551604246224780"</f>
        <v>1551604246224780</v>
      </c>
      <c r="C3505" t="s">
        <v>40</v>
      </c>
      <c r="D3505">
        <v>4.9457570000000004</v>
      </c>
      <c r="E3505">
        <v>0.60534569999999999</v>
      </c>
      <c r="F3505" t="s">
        <v>42</v>
      </c>
      <c r="G3505">
        <v>-238.96950000000001</v>
      </c>
      <c r="H3505" s="1">
        <v>-6.8576589999999898E-7</v>
      </c>
      <c r="I3505">
        <v>140.5986</v>
      </c>
      <c r="J3505">
        <v>-197.95529999999999</v>
      </c>
      <c r="K3505">
        <v>1.1121270000000001</v>
      </c>
      <c r="L3505">
        <v>147.29490000000001</v>
      </c>
      <c r="M3505">
        <v>-0.82942579999999999</v>
      </c>
      <c r="N3505">
        <v>-1.47844E-2</v>
      </c>
      <c r="O3505">
        <v>-0.558421099999999</v>
      </c>
      <c r="P3505">
        <v>-0.90272019999999997</v>
      </c>
      <c r="Q3505">
        <v>0.1809105</v>
      </c>
      <c r="R3505">
        <v>-0.390343</v>
      </c>
      <c r="S3505">
        <v>-3.1262970000000001</v>
      </c>
      <c r="T3505">
        <v>-8.4275249999999996E-2</v>
      </c>
      <c r="U3505">
        <v>-0.5187988</v>
      </c>
      <c r="V3505">
        <v>0.18462719999999999</v>
      </c>
      <c r="W3505">
        <v>0.1911504</v>
      </c>
      <c r="X3505">
        <v>0.96404060000000003</v>
      </c>
      <c r="Y3505">
        <v>0.41490860000000002</v>
      </c>
      <c r="Z3505">
        <v>1.404852E-2</v>
      </c>
      <c r="AA3505">
        <v>0.90975459999999997</v>
      </c>
      <c r="AB3505">
        <v>27</v>
      </c>
      <c r="AC3505">
        <v>-41.014200000000002</v>
      </c>
      <c r="AD3505">
        <v>-1.1121276857658999</v>
      </c>
      <c r="AE3505">
        <v>-6.6962999999999999</v>
      </c>
      <c r="AF3505">
        <v>17.338590915745101</v>
      </c>
      <c r="AG3505">
        <v>-1.1121276857658999</v>
      </c>
      <c r="AH3505">
        <v>37.7346962251859</v>
      </c>
      <c r="AI3505">
        <v>91.534043262245902</v>
      </c>
      <c r="AJ3505">
        <v>65.321848287626807</v>
      </c>
      <c r="AK3505">
        <v>41.542398367692499</v>
      </c>
      <c r="AL3505">
        <v>78.980071923106294</v>
      </c>
      <c r="AM3505">
        <v>79.158336911132906</v>
      </c>
      <c r="AN3505">
        <v>0.99999997842417898</v>
      </c>
    </row>
    <row r="3506" spans="1:40" x14ac:dyDescent="0.25">
      <c r="A3506" t="str">
        <f>"20190303171046251"</f>
        <v>20190303171046251</v>
      </c>
      <c r="B3506" t="str">
        <f>"1551604246244301"</f>
        <v>1551604246244301</v>
      </c>
      <c r="C3506" t="s">
        <v>40</v>
      </c>
      <c r="D3506">
        <v>4.9197280000000001</v>
      </c>
      <c r="E3506">
        <v>0.60480310000000004</v>
      </c>
      <c r="F3506" t="s">
        <v>42</v>
      </c>
      <c r="G3506">
        <v>-237.23349999999999</v>
      </c>
      <c r="H3506" s="1">
        <v>-1.5923030000000001E-6</v>
      </c>
      <c r="I3506">
        <v>141.20670000000001</v>
      </c>
      <c r="J3506">
        <v>-198.19759999999999</v>
      </c>
      <c r="K3506">
        <v>1.112144</v>
      </c>
      <c r="L3506">
        <v>147.1481</v>
      </c>
      <c r="M3506">
        <v>-0.83642899999999998</v>
      </c>
      <c r="N3506">
        <v>-1.477968E-2</v>
      </c>
      <c r="O3506">
        <v>-0.54787589999999997</v>
      </c>
      <c r="P3506">
        <v>-0.9072732</v>
      </c>
      <c r="Q3506">
        <v>0.18097460000000001</v>
      </c>
      <c r="R3506">
        <v>-0.37960969999999999</v>
      </c>
      <c r="S3506">
        <v>-3.1311800000000001</v>
      </c>
      <c r="T3506">
        <v>-8.8656659999999998E-2</v>
      </c>
      <c r="U3506">
        <v>-0.4853363</v>
      </c>
      <c r="V3506">
        <v>0.1838388</v>
      </c>
      <c r="W3506">
        <v>0.1912384</v>
      </c>
      <c r="X3506">
        <v>0.96417390000000003</v>
      </c>
      <c r="Y3506">
        <v>0.41307149999999998</v>
      </c>
      <c r="Z3506">
        <v>1.4962369999999999E-2</v>
      </c>
      <c r="AA3506">
        <v>0.91057569999999999</v>
      </c>
      <c r="AB3506">
        <v>27</v>
      </c>
      <c r="AC3506">
        <v>-39.035899999999998</v>
      </c>
      <c r="AD3506">
        <v>-1.1121455923029999</v>
      </c>
      <c r="AE3506">
        <v>-5.9413999999999803</v>
      </c>
      <c r="AF3506">
        <v>16.406048420304401</v>
      </c>
      <c r="AG3506">
        <v>-1.1121455923029999</v>
      </c>
      <c r="AH3506">
        <v>35.881367071948397</v>
      </c>
      <c r="AI3506">
        <v>91.614642807248501</v>
      </c>
      <c r="AJ3506">
        <v>65.428684487260298</v>
      </c>
      <c r="AK3506">
        <v>39.469833994327303</v>
      </c>
      <c r="AL3506">
        <v>78.974936151114903</v>
      </c>
      <c r="AM3506">
        <v>79.205000443428403</v>
      </c>
      <c r="AN3506">
        <v>1.0000000697306</v>
      </c>
    </row>
    <row r="3507" spans="1:40" x14ac:dyDescent="0.25">
      <c r="A3507" t="str">
        <f>"20190303171046273"</f>
        <v>20190303171046273</v>
      </c>
      <c r="B3507" t="str">
        <f>"1551604246264796"</f>
        <v>1551604246264796</v>
      </c>
      <c r="C3507" t="s">
        <v>40</v>
      </c>
      <c r="D3507">
        <v>4.9383900000000001</v>
      </c>
      <c r="E3507">
        <v>0.60421610000000003</v>
      </c>
      <c r="F3507" t="s">
        <v>42</v>
      </c>
      <c r="G3507">
        <v>-236.2628</v>
      </c>
      <c r="H3507" s="1">
        <v>-2.1298189999999998E-6</v>
      </c>
      <c r="I3507">
        <v>141.6618</v>
      </c>
      <c r="J3507">
        <v>-198.43260000000001</v>
      </c>
      <c r="K3507">
        <v>1.1121639999999999</v>
      </c>
      <c r="L3507">
        <v>147.00970000000001</v>
      </c>
      <c r="M3507">
        <v>-0.84304419999999902</v>
      </c>
      <c r="N3507">
        <v>-1.4775119999999999E-2</v>
      </c>
      <c r="O3507">
        <v>-0.53764119999999904</v>
      </c>
      <c r="P3507">
        <v>-0.91149630000000004</v>
      </c>
      <c r="Q3507">
        <v>0.18153440000000001</v>
      </c>
      <c r="R3507">
        <v>-0.3690793</v>
      </c>
      <c r="S3507">
        <v>-3.1358030000000001</v>
      </c>
      <c r="T3507">
        <v>-9.16183E-2</v>
      </c>
      <c r="U3507">
        <v>-0.45195010000000002</v>
      </c>
      <c r="V3507">
        <v>0.18319350000000001</v>
      </c>
      <c r="W3507">
        <v>0.19181590000000001</v>
      </c>
      <c r="X3507">
        <v>0.96418199999999998</v>
      </c>
      <c r="Y3507">
        <v>0.41164030000000001</v>
      </c>
      <c r="Z3507">
        <v>1.5534829999999999E-2</v>
      </c>
      <c r="AA3507">
        <v>0.91121399999999997</v>
      </c>
      <c r="AB3507">
        <v>27</v>
      </c>
      <c r="AC3507">
        <v>-37.830199999999898</v>
      </c>
      <c r="AD3507">
        <v>-1.112166129819</v>
      </c>
      <c r="AE3507">
        <v>-5.3479000000000099</v>
      </c>
      <c r="AF3507">
        <v>15.8188828539291</v>
      </c>
      <c r="AG3507">
        <v>-1.112166129819</v>
      </c>
      <c r="AH3507">
        <v>34.742140485176002</v>
      </c>
      <c r="AI3507">
        <v>91.668790929941594</v>
      </c>
      <c r="AJ3507">
        <v>65.519151855252701</v>
      </c>
      <c r="AK3507">
        <v>38.190185830110202</v>
      </c>
      <c r="AL3507">
        <v>78.941223663513</v>
      </c>
      <c r="AM3507">
        <v>79.242094853689807</v>
      </c>
      <c r="AN3507">
        <v>1.0000000635295201</v>
      </c>
    </row>
    <row r="3508" spans="1:40" x14ac:dyDescent="0.25">
      <c r="A3508" t="str">
        <f>"20190303171046296"</f>
        <v>20190303171046296</v>
      </c>
      <c r="B3508" t="str">
        <f>"1551604246284316"</f>
        <v>1551604246284316</v>
      </c>
      <c r="C3508" t="s">
        <v>40</v>
      </c>
      <c r="D3508">
        <v>4.937011</v>
      </c>
      <c r="E3508">
        <v>0.5941438</v>
      </c>
      <c r="F3508" t="s">
        <v>42</v>
      </c>
      <c r="G3508">
        <v>-236.6122</v>
      </c>
      <c r="H3508" s="1">
        <v>-2.042955E-6</v>
      </c>
      <c r="I3508">
        <v>141.89869999999999</v>
      </c>
      <c r="J3508">
        <v>-198.66659999999999</v>
      </c>
      <c r="K3508">
        <v>1.112187</v>
      </c>
      <c r="L3508">
        <v>146.87569999999999</v>
      </c>
      <c r="M3508">
        <v>-0.84946239999999995</v>
      </c>
      <c r="N3508">
        <v>-1.477066E-2</v>
      </c>
      <c r="O3508">
        <v>-0.52744250000000004</v>
      </c>
      <c r="P3508">
        <v>-0.91581959999999996</v>
      </c>
      <c r="Q3508">
        <v>0.18148329999999999</v>
      </c>
      <c r="R3508">
        <v>-0.35824319999999998</v>
      </c>
      <c r="S3508">
        <v>-3.1393589999999998</v>
      </c>
      <c r="T3508">
        <v>-9.1449020000000006E-2</v>
      </c>
      <c r="U3508">
        <v>-0.42025760000000001</v>
      </c>
      <c r="V3508">
        <v>0.183004</v>
      </c>
      <c r="W3508">
        <v>0.19177379999999999</v>
      </c>
      <c r="X3508">
        <v>0.96422629999999998</v>
      </c>
      <c r="Y3508">
        <v>0.40982990000000002</v>
      </c>
      <c r="Z3508">
        <v>1.538161E-2</v>
      </c>
      <c r="AA3508">
        <v>0.91203219999999996</v>
      </c>
      <c r="AB3508">
        <v>27</v>
      </c>
      <c r="AC3508">
        <v>-37.945599999999999</v>
      </c>
      <c r="AD3508">
        <v>-1.1121890429549901</v>
      </c>
      <c r="AE3508">
        <v>-4.9770000000000003</v>
      </c>
      <c r="AF3508">
        <v>15.774746473643001</v>
      </c>
      <c r="AG3508">
        <v>-1.1121890429549901</v>
      </c>
      <c r="AH3508">
        <v>34.8328245141888</v>
      </c>
      <c r="AI3508">
        <v>91.666019732104999</v>
      </c>
      <c r="AJ3508">
        <v>65.6356469897853</v>
      </c>
      <c r="AK3508">
        <v>38.254480187440201</v>
      </c>
      <c r="AL3508">
        <v>78.943680800163904</v>
      </c>
      <c r="AM3508">
        <v>79.253446046384298</v>
      </c>
      <c r="AN3508">
        <v>1.00000000599706</v>
      </c>
    </row>
    <row r="3509" spans="1:40" x14ac:dyDescent="0.25">
      <c r="A3509" t="str">
        <f>"20190303171046317"</f>
        <v>20190303171046317</v>
      </c>
      <c r="B3509" t="str">
        <f>"1551604246303836"</f>
        <v>1551604246303836</v>
      </c>
      <c r="C3509" t="s">
        <v>40</v>
      </c>
      <c r="D3509">
        <v>4.9003119999999996</v>
      </c>
      <c r="E3509">
        <v>0.5935819</v>
      </c>
      <c r="F3509" t="s">
        <v>91</v>
      </c>
      <c r="G3509">
        <v>-398.82569999999998</v>
      </c>
      <c r="H3509">
        <v>19.88184</v>
      </c>
      <c r="I3509">
        <v>120.1846</v>
      </c>
      <c r="J3509">
        <v>-198.89490000000001</v>
      </c>
      <c r="K3509">
        <v>1.1122080000000001</v>
      </c>
      <c r="L3509">
        <v>146.74870000000001</v>
      </c>
      <c r="M3509">
        <v>-0.85556699999999997</v>
      </c>
      <c r="N3509">
        <v>-1.4766369999999999E-2</v>
      </c>
      <c r="O3509">
        <v>-0.51748170000000004</v>
      </c>
      <c r="P3509">
        <v>-0.91964639999999997</v>
      </c>
      <c r="Q3509">
        <v>0.1810348</v>
      </c>
      <c r="R3509">
        <v>-0.3485356</v>
      </c>
      <c r="S3509">
        <v>-3.059326</v>
      </c>
      <c r="T3509">
        <v>0.28688409999999998</v>
      </c>
      <c r="U3509">
        <v>-0.40795900000000002</v>
      </c>
      <c r="V3509">
        <v>0.1819626</v>
      </c>
      <c r="W3509">
        <v>0.19135540000000001</v>
      </c>
      <c r="X3509">
        <v>0.96450650000000004</v>
      </c>
      <c r="Y3509">
        <v>0.39569189999999999</v>
      </c>
      <c r="Z3509">
        <v>-6.9369260000000002E-2</v>
      </c>
      <c r="AA3509">
        <v>0.91575969999999995</v>
      </c>
      <c r="AB3509">
        <v>27</v>
      </c>
      <c r="AC3509">
        <v>-199.9308</v>
      </c>
      <c r="AD3509">
        <v>18.769632000000001</v>
      </c>
      <c r="AE3509">
        <v>-26.5641</v>
      </c>
      <c r="AF3509">
        <v>80.048679849248899</v>
      </c>
      <c r="AG3509">
        <v>18.769632000000001</v>
      </c>
      <c r="AH3509">
        <v>183.233828116317</v>
      </c>
      <c r="AI3509">
        <v>84.637428629230996</v>
      </c>
      <c r="AJ3509">
        <v>66.401105780333793</v>
      </c>
      <c r="AK3509">
        <v>200.83507163138401</v>
      </c>
      <c r="AL3509">
        <v>78.968106001962894</v>
      </c>
      <c r="AM3509">
        <v>79.3162209939116</v>
      </c>
      <c r="AN3509">
        <v>1.00000003272508</v>
      </c>
    </row>
    <row r="3510" spans="1:40" x14ac:dyDescent="0.25">
      <c r="A3510" t="str">
        <f>"20190303171046339"</f>
        <v>20190303171046339</v>
      </c>
      <c r="B3510" t="str">
        <f>"1551604246334092"</f>
        <v>1551604246334092</v>
      </c>
      <c r="C3510" t="s">
        <v>40</v>
      </c>
      <c r="D3510">
        <v>4.9956630000000004</v>
      </c>
      <c r="E3510">
        <v>0.59426610000000002</v>
      </c>
      <c r="F3510" t="s">
        <v>43</v>
      </c>
      <c r="G3510">
        <v>-199.64789999999999</v>
      </c>
      <c r="H3510">
        <v>1.1826559999999999</v>
      </c>
      <c r="I3510">
        <v>146.65530000000001</v>
      </c>
      <c r="J3510">
        <v>-199.14099999999999</v>
      </c>
      <c r="K3510">
        <v>1.112231</v>
      </c>
      <c r="L3510">
        <v>146.61580000000001</v>
      </c>
      <c r="M3510">
        <v>-0.86197219999999997</v>
      </c>
      <c r="N3510">
        <v>-1.4761740000000001E-2</v>
      </c>
      <c r="O3510">
        <v>-0.50674079999999999</v>
      </c>
      <c r="P3510">
        <v>-0.92383939999999998</v>
      </c>
      <c r="Q3510">
        <v>0.18043409999999999</v>
      </c>
      <c r="R3510">
        <v>-0.33758660000000001</v>
      </c>
      <c r="S3510">
        <v>-3.0619200000000002</v>
      </c>
      <c r="T3510">
        <v>0.28644969999999997</v>
      </c>
      <c r="U3510">
        <v>-0.37948609999999999</v>
      </c>
      <c r="V3510">
        <v>0.18139259999999999</v>
      </c>
      <c r="W3510">
        <v>0.19077450000000001</v>
      </c>
      <c r="X3510">
        <v>0.9647289</v>
      </c>
      <c r="Y3510">
        <v>0.39277610000000002</v>
      </c>
      <c r="Z3510">
        <v>-6.8132650000000003E-2</v>
      </c>
      <c r="AA3510">
        <v>0.9171068</v>
      </c>
      <c r="AB3510">
        <v>27</v>
      </c>
      <c r="AC3510">
        <v>-0.50690000000000102</v>
      </c>
      <c r="AD3510">
        <v>7.0424999999999904E-2</v>
      </c>
      <c r="AE3510">
        <v>3.9500000000003803E-2</v>
      </c>
      <c r="AF3510">
        <v>0.28546952120944202</v>
      </c>
      <c r="AG3510">
        <v>7.0424999999999904E-2</v>
      </c>
      <c r="AH3510">
        <v>0.40911365928700899</v>
      </c>
      <c r="AI3510">
        <v>81.964635805440196</v>
      </c>
      <c r="AJ3510">
        <v>55.093606020877097</v>
      </c>
      <c r="AK3510">
        <v>0.50381198316411202</v>
      </c>
      <c r="AL3510">
        <v>79.002013623678593</v>
      </c>
      <c r="AM3510">
        <v>79.351320430729103</v>
      </c>
      <c r="AN3510">
        <v>1.0000000178401001</v>
      </c>
    </row>
    <row r="3511" spans="1:40" x14ac:dyDescent="0.25">
      <c r="A3511" t="str">
        <f>"20190303171046363"</f>
        <v>20190303171046363</v>
      </c>
      <c r="B3511" t="str">
        <f>"1551604246354588"</f>
        <v>1551604246354588</v>
      </c>
      <c r="C3511" t="s">
        <v>40</v>
      </c>
      <c r="D3511">
        <v>5.0057960000000001</v>
      </c>
      <c r="E3511">
        <v>0.59241739999999998</v>
      </c>
      <c r="F3511" t="s">
        <v>42</v>
      </c>
      <c r="G3511">
        <v>-227.0909</v>
      </c>
      <c r="H3511" s="1">
        <v>-2.1671430000000001E-6</v>
      </c>
      <c r="I3511">
        <v>143.13720000000001</v>
      </c>
      <c r="J3511">
        <v>-199.39920000000001</v>
      </c>
      <c r="K3511">
        <v>1.1122529999999999</v>
      </c>
      <c r="L3511">
        <v>146.48060000000001</v>
      </c>
      <c r="M3511">
        <v>-0.86850559999999999</v>
      </c>
      <c r="N3511">
        <v>-1.4757030000000001E-2</v>
      </c>
      <c r="O3511">
        <v>-0.49546000000000001</v>
      </c>
      <c r="P3511">
        <v>-0.92810309999999996</v>
      </c>
      <c r="Q3511">
        <v>0.18023249999999999</v>
      </c>
      <c r="R3511">
        <v>-0.32579350000000001</v>
      </c>
      <c r="S3511">
        <v>-3.1293329999999999</v>
      </c>
      <c r="T3511">
        <v>-0.12452829999999999</v>
      </c>
      <c r="U3511">
        <v>-0.38946530000000001</v>
      </c>
      <c r="V3511">
        <v>0.1811065</v>
      </c>
      <c r="W3511">
        <v>0.190584</v>
      </c>
      <c r="X3511">
        <v>0.96482029999999996</v>
      </c>
      <c r="Y3511">
        <v>0.38392290000000001</v>
      </c>
      <c r="Z3511">
        <v>2.1651529999999999E-2</v>
      </c>
      <c r="AA3511">
        <v>0.92311129999999997</v>
      </c>
      <c r="AB3511">
        <v>27</v>
      </c>
      <c r="AC3511">
        <v>-27.691700000000001</v>
      </c>
      <c r="AD3511">
        <v>-1.1122551671430001</v>
      </c>
      <c r="AE3511">
        <v>-3.3433999999999999</v>
      </c>
      <c r="AF3511">
        <v>10.800370379641899</v>
      </c>
      <c r="AG3511">
        <v>-1.1122551671430001</v>
      </c>
      <c r="AH3511">
        <v>25.668896312576699</v>
      </c>
      <c r="AI3511">
        <v>92.287147285602003</v>
      </c>
      <c r="AJ3511">
        <v>67.180730173888094</v>
      </c>
      <c r="AK3511">
        <v>27.870725677673001</v>
      </c>
      <c r="AL3511">
        <v>79.013132479386002</v>
      </c>
      <c r="AM3511">
        <v>79.368717015847494</v>
      </c>
      <c r="AN3511">
        <v>1.00000001834517</v>
      </c>
    </row>
    <row r="3512" spans="1:40" x14ac:dyDescent="0.25">
      <c r="A3512" t="str">
        <f>"20190303171046385"</f>
        <v>20190303171046385</v>
      </c>
      <c r="B3512" t="str">
        <f>"1551604246374108"</f>
        <v>1551604246374108</v>
      </c>
      <c r="C3512" t="s">
        <v>40</v>
      </c>
      <c r="D3512">
        <v>5.0190250000000001</v>
      </c>
      <c r="E3512">
        <v>0.59173799999999999</v>
      </c>
      <c r="F3512" t="s">
        <v>42</v>
      </c>
      <c r="G3512">
        <v>-226.59989999999999</v>
      </c>
      <c r="H3512" s="1">
        <v>-2.4259450000000001E-6</v>
      </c>
      <c r="I3512">
        <v>143.31819999999999</v>
      </c>
      <c r="J3512">
        <v>-199.6429</v>
      </c>
      <c r="K3512">
        <v>1.112266</v>
      </c>
      <c r="L3512">
        <v>146.35679999999999</v>
      </c>
      <c r="M3512">
        <v>-0.87450059999999996</v>
      </c>
      <c r="N3512">
        <v>-1.4752609999999999E-2</v>
      </c>
      <c r="O3512">
        <v>-0.48480020000000001</v>
      </c>
      <c r="P3512">
        <v>-0.93181259999999999</v>
      </c>
      <c r="Q3512">
        <v>0.18097050000000001</v>
      </c>
      <c r="R3512">
        <v>-0.31460349999999998</v>
      </c>
      <c r="S3512">
        <v>-3.1295320000000002</v>
      </c>
      <c r="T3512">
        <v>-0.12796879999999999</v>
      </c>
      <c r="U3512">
        <v>-0.3638306</v>
      </c>
      <c r="V3512">
        <v>0.1808514</v>
      </c>
      <c r="W3512">
        <v>0.1913301</v>
      </c>
      <c r="X3512">
        <v>0.96472049999999998</v>
      </c>
      <c r="Y3512">
        <v>0.38006180000000001</v>
      </c>
      <c r="Z3512">
        <v>2.2092239999999999E-2</v>
      </c>
      <c r="AA3512">
        <v>0.9246972</v>
      </c>
      <c r="AB3512">
        <v>27</v>
      </c>
      <c r="AC3512">
        <v>-26.956999999999901</v>
      </c>
      <c r="AD3512">
        <v>-1.112268425945</v>
      </c>
      <c r="AE3512">
        <v>-3.0386000000000002</v>
      </c>
      <c r="AF3512">
        <v>10.3951584602942</v>
      </c>
      <c r="AG3512">
        <v>-1.112268425945</v>
      </c>
      <c r="AH3512">
        <v>25.0077100660843</v>
      </c>
      <c r="AI3512">
        <v>92.351822255701606</v>
      </c>
      <c r="AJ3512">
        <v>67.428411820921596</v>
      </c>
      <c r="AK3512">
        <v>27.105018413853099</v>
      </c>
      <c r="AL3512">
        <v>78.969582949469995</v>
      </c>
      <c r="AM3512">
        <v>79.382277881675506</v>
      </c>
      <c r="AN3512">
        <v>1.0000000395841</v>
      </c>
    </row>
    <row r="3513" spans="1:40" x14ac:dyDescent="0.25">
      <c r="A3513" t="str">
        <f>"20190303171046406"</f>
        <v>20190303171046406</v>
      </c>
      <c r="B3513" t="str">
        <f>"1551604246394604"</f>
        <v>1551604246394604</v>
      </c>
      <c r="C3513" t="s">
        <v>40</v>
      </c>
      <c r="D3513">
        <v>4.8772640000000003</v>
      </c>
      <c r="E3513">
        <v>0.58241129999999997</v>
      </c>
      <c r="F3513" t="s">
        <v>42</v>
      </c>
      <c r="G3513">
        <v>-226.7893</v>
      </c>
      <c r="H3513" s="1">
        <v>-2.3873750000000002E-6</v>
      </c>
      <c r="I3513">
        <v>143.4786</v>
      </c>
      <c r="J3513">
        <v>-199.8623</v>
      </c>
      <c r="K3513">
        <v>1.1122860000000001</v>
      </c>
      <c r="L3513">
        <v>146.24850000000001</v>
      </c>
      <c r="M3513">
        <v>-0.87975569999999903</v>
      </c>
      <c r="N3513">
        <v>-1.474866E-2</v>
      </c>
      <c r="O3513">
        <v>-0.47519749999999999</v>
      </c>
      <c r="P3513">
        <v>-0.93498829999999999</v>
      </c>
      <c r="Q3513">
        <v>0.18156810000000001</v>
      </c>
      <c r="R3513">
        <v>-0.30468060000000002</v>
      </c>
      <c r="S3513">
        <v>-3.132339</v>
      </c>
      <c r="T3513">
        <v>-0.1283416</v>
      </c>
      <c r="U3513">
        <v>-0.33209229999999901</v>
      </c>
      <c r="V3513">
        <v>0.18049409999999999</v>
      </c>
      <c r="W3513">
        <v>0.191938</v>
      </c>
      <c r="X3513">
        <v>0.96466660000000004</v>
      </c>
      <c r="Y3513">
        <v>0.37928620000000002</v>
      </c>
      <c r="Z3513">
        <v>2.1964150000000002E-2</v>
      </c>
      <c r="AA3513">
        <v>0.92501869999999997</v>
      </c>
      <c r="AB3513">
        <v>27</v>
      </c>
      <c r="AC3513">
        <v>-26.9269999999999</v>
      </c>
      <c r="AD3513">
        <v>-1.112288387375</v>
      </c>
      <c r="AE3513">
        <v>-2.7698999999999998</v>
      </c>
      <c r="AF3513">
        <v>10.3424704338141</v>
      </c>
      <c r="AG3513">
        <v>-1.112288387375</v>
      </c>
      <c r="AH3513">
        <v>24.965994114207099</v>
      </c>
      <c r="AI3513">
        <v>92.356969475042405</v>
      </c>
      <c r="AJ3513">
        <v>67.497615958500901</v>
      </c>
      <c r="AK3513">
        <v>27.046344341548899</v>
      </c>
      <c r="AL3513">
        <v>78.934094491713196</v>
      </c>
      <c r="AM3513">
        <v>79.402200550716103</v>
      </c>
      <c r="AN3513">
        <v>0.99999998256718403</v>
      </c>
    </row>
    <row r="3514" spans="1:40" x14ac:dyDescent="0.25">
      <c r="A3514" t="str">
        <f>"20190303171046430"</f>
        <v>20190303171046430</v>
      </c>
      <c r="B3514" t="str">
        <f>"1551604246423884"</f>
        <v>1551604246423884</v>
      </c>
      <c r="C3514" t="s">
        <v>40</v>
      </c>
      <c r="D3514">
        <v>4.8716589999999904</v>
      </c>
      <c r="E3514">
        <v>0.57811610000000002</v>
      </c>
      <c r="F3514" t="s">
        <v>69</v>
      </c>
      <c r="G3514">
        <v>-451.3897</v>
      </c>
      <c r="H3514">
        <v>23.860230000000001</v>
      </c>
      <c r="I3514">
        <v>119.8177</v>
      </c>
      <c r="J3514">
        <v>-200.13489999999999</v>
      </c>
      <c r="K3514">
        <v>1.112314</v>
      </c>
      <c r="L3514">
        <v>146.11799999999999</v>
      </c>
      <c r="M3514">
        <v>-0.88610299999999997</v>
      </c>
      <c r="N3514">
        <v>-1.4743879999999999E-2</v>
      </c>
      <c r="O3514">
        <v>-0.46325430000000001</v>
      </c>
      <c r="P3514">
        <v>-0.93894480000000002</v>
      </c>
      <c r="Q3514">
        <v>0.18163650000000001</v>
      </c>
      <c r="R3514">
        <v>-0.29221780000000003</v>
      </c>
      <c r="S3514">
        <v>-3.0505680000000002</v>
      </c>
      <c r="T3514">
        <v>0.275891099999999</v>
      </c>
      <c r="U3514">
        <v>-0.32055660000000002</v>
      </c>
      <c r="V3514">
        <v>0.18026139999999999</v>
      </c>
      <c r="W3514">
        <v>0.19201660000000001</v>
      </c>
      <c r="X3514">
        <v>0.96469450000000001</v>
      </c>
      <c r="Y3514">
        <v>0.36453350000000001</v>
      </c>
      <c r="Z3514">
        <v>-6.0937779999999997E-2</v>
      </c>
      <c r="AA3514">
        <v>0.92919430000000003</v>
      </c>
      <c r="AB3514">
        <v>27</v>
      </c>
      <c r="AC3514">
        <v>-251.25479999999999</v>
      </c>
      <c r="AD3514">
        <v>22.747916</v>
      </c>
      <c r="AE3514">
        <v>-26.3003</v>
      </c>
      <c r="AF3514">
        <v>92.351391299695294</v>
      </c>
      <c r="AG3514">
        <v>22.747916</v>
      </c>
      <c r="AH3514">
        <v>232.957974470186</v>
      </c>
      <c r="AI3514">
        <v>84.813170033312602</v>
      </c>
      <c r="AJ3514">
        <v>68.375169436577096</v>
      </c>
      <c r="AK3514">
        <v>251.626042027816</v>
      </c>
      <c r="AL3514">
        <v>78.929506026156503</v>
      </c>
      <c r="AM3514">
        <v>79.415853916118294</v>
      </c>
      <c r="AN3514">
        <v>1.0000000126678801</v>
      </c>
    </row>
    <row r="3515" spans="1:40" x14ac:dyDescent="0.25">
      <c r="A3515" t="str">
        <f>"20190303171046454"</f>
        <v>20190303171046454</v>
      </c>
      <c r="B3515" t="str">
        <f>"1551604246444380"</f>
        <v>1551604246444380</v>
      </c>
      <c r="C3515" t="s">
        <v>40</v>
      </c>
      <c r="D3515">
        <v>4.8906460000000003</v>
      </c>
      <c r="E3515">
        <v>0.57823599999999997</v>
      </c>
      <c r="F3515" t="s">
        <v>69</v>
      </c>
      <c r="G3515">
        <v>-457.68799999999999</v>
      </c>
      <c r="H3515">
        <v>21.813040000000001</v>
      </c>
      <c r="I3515">
        <v>119.395</v>
      </c>
      <c r="J3515">
        <v>-200.39529999999999</v>
      </c>
      <c r="K3515">
        <v>1.1123339999999999</v>
      </c>
      <c r="L3515">
        <v>145.9975</v>
      </c>
      <c r="M3515">
        <v>-0.89198060000000001</v>
      </c>
      <c r="N3515">
        <v>-1.473929E-2</v>
      </c>
      <c r="O3515">
        <v>-0.4518336</v>
      </c>
      <c r="P3515">
        <v>-0.94268669999999999</v>
      </c>
      <c r="Q3515">
        <v>0.1815995</v>
      </c>
      <c r="R3515">
        <v>-0.27993469999999998</v>
      </c>
      <c r="S3515">
        <v>-3.049194</v>
      </c>
      <c r="T3515">
        <v>0.24507760000000001</v>
      </c>
      <c r="U3515">
        <v>-0.31637569999999998</v>
      </c>
      <c r="V3515">
        <v>0.18045710000000001</v>
      </c>
      <c r="W3515">
        <v>0.19197919999999999</v>
      </c>
      <c r="X3515">
        <v>0.96466540000000001</v>
      </c>
      <c r="Y3515">
        <v>0.35456280000000001</v>
      </c>
      <c r="Z3515">
        <v>-5.334332E-2</v>
      </c>
      <c r="AA3515">
        <v>0.93350929999999999</v>
      </c>
      <c r="AB3515">
        <v>27</v>
      </c>
      <c r="AC3515">
        <v>-257.29270000000002</v>
      </c>
      <c r="AD3515">
        <v>20.700706</v>
      </c>
      <c r="AE3515">
        <v>-26.602499999999999</v>
      </c>
      <c r="AF3515">
        <v>91.945731079932699</v>
      </c>
      <c r="AG3515">
        <v>20.700706</v>
      </c>
      <c r="AH3515">
        <v>240.00902980525299</v>
      </c>
      <c r="AI3515">
        <v>85.3952350601989</v>
      </c>
      <c r="AJ3515">
        <v>69.038523458934705</v>
      </c>
      <c r="AK3515">
        <v>257.85048202549598</v>
      </c>
      <c r="AL3515">
        <v>78.931689997687997</v>
      </c>
      <c r="AM3515">
        <v>79.404310943777304</v>
      </c>
      <c r="AN3515">
        <v>1.0000000560650999</v>
      </c>
    </row>
    <row r="3516" spans="1:40" x14ac:dyDescent="0.25">
      <c r="A3516" t="str">
        <f>"20190303171046474"</f>
        <v>20190303171046474</v>
      </c>
      <c r="B3516" t="str">
        <f>"1551604246463900"</f>
        <v>1551604246463900</v>
      </c>
      <c r="C3516" t="s">
        <v>40</v>
      </c>
      <c r="D3516">
        <v>4.9892139999999996</v>
      </c>
      <c r="E3516">
        <v>0.57811800000000002</v>
      </c>
      <c r="F3516" t="s">
        <v>62</v>
      </c>
      <c r="G3516">
        <v>0</v>
      </c>
      <c r="H3516">
        <v>0</v>
      </c>
      <c r="I3516">
        <v>0</v>
      </c>
      <c r="J3516">
        <v>-200.6258</v>
      </c>
      <c r="K3516">
        <v>1.1123559999999999</v>
      </c>
      <c r="L3516">
        <v>145.89429999999999</v>
      </c>
      <c r="M3516">
        <v>-0.89703349999999904</v>
      </c>
      <c r="N3516">
        <v>-1.473526E-2</v>
      </c>
      <c r="O3516">
        <v>-0.44171719999999998</v>
      </c>
      <c r="P3516">
        <v>-0.94597509999999996</v>
      </c>
      <c r="Q3516">
        <v>0.18207110000000001</v>
      </c>
      <c r="R3516">
        <v>-0.26829399999999998</v>
      </c>
      <c r="S3516">
        <v>-3.053528</v>
      </c>
      <c r="T3516">
        <v>0.24372940000000001</v>
      </c>
      <c r="U3516">
        <v>-0.27587889999999998</v>
      </c>
      <c r="V3516">
        <v>0.1814026</v>
      </c>
      <c r="W3516">
        <v>0.1924303</v>
      </c>
      <c r="X3516">
        <v>0.96439810000000004</v>
      </c>
      <c r="Y3516">
        <v>0.35646549999999999</v>
      </c>
      <c r="Z3516">
        <v>-5.2236570000000003E-2</v>
      </c>
      <c r="AA3516">
        <v>0.93284710000000004</v>
      </c>
      <c r="AB3516">
        <v>27</v>
      </c>
      <c r="AC3516">
        <v>-3.053528</v>
      </c>
      <c r="AD3516">
        <v>0.24372940000000001</v>
      </c>
      <c r="AE3516">
        <v>-0.27587889999999998</v>
      </c>
      <c r="AF3516">
        <v>1.0945257993287101</v>
      </c>
      <c r="AG3516">
        <v>0.24372940000000001</v>
      </c>
      <c r="AH3516">
        <v>2.8433192646481902</v>
      </c>
      <c r="AI3516">
        <v>85.426219309773401</v>
      </c>
      <c r="AJ3516">
        <v>68.945964076643307</v>
      </c>
      <c r="AK3516">
        <v>3.0564448607066499</v>
      </c>
      <c r="AL3516">
        <v>78.9053522883395</v>
      </c>
      <c r="AM3516">
        <v>79.347177573976495</v>
      </c>
      <c r="AN3516">
        <v>1.0000000094642301</v>
      </c>
    </row>
    <row r="3517" spans="1:40" x14ac:dyDescent="0.25">
      <c r="A3517" t="str">
        <f>"20190303171046496"</f>
        <v>20190303171046496</v>
      </c>
      <c r="B3517" t="str">
        <f>"1551604246484396"</f>
        <v>1551604246484396</v>
      </c>
      <c r="C3517" t="s">
        <v>40</v>
      </c>
      <c r="D3517">
        <v>4.9675260000000003</v>
      </c>
      <c r="E3517">
        <v>0.57664130000000002</v>
      </c>
      <c r="F3517" t="s">
        <v>62</v>
      </c>
      <c r="G3517">
        <v>0</v>
      </c>
      <c r="H3517">
        <v>0</v>
      </c>
      <c r="I3517">
        <v>0</v>
      </c>
      <c r="J3517">
        <v>-200.86250000000001</v>
      </c>
      <c r="K3517">
        <v>1.112371</v>
      </c>
      <c r="L3517">
        <v>145.79150000000001</v>
      </c>
      <c r="M3517">
        <v>-0.90207789999999999</v>
      </c>
      <c r="N3517">
        <v>-1.473112E-2</v>
      </c>
      <c r="O3517">
        <v>-0.43132199999999998</v>
      </c>
      <c r="P3517">
        <v>-0.94901539999999995</v>
      </c>
      <c r="Q3517">
        <v>0.1827416</v>
      </c>
      <c r="R3517">
        <v>-0.25685750000000002</v>
      </c>
      <c r="S3517">
        <v>-3.0564420000000001</v>
      </c>
      <c r="T3517">
        <v>0.2437685</v>
      </c>
      <c r="U3517">
        <v>-0.23966979999999999</v>
      </c>
      <c r="V3517">
        <v>0.1818496</v>
      </c>
      <c r="W3517">
        <v>0.1930915</v>
      </c>
      <c r="X3517">
        <v>0.96418170000000003</v>
      </c>
      <c r="Y3517">
        <v>0.35677340000000002</v>
      </c>
      <c r="Z3517">
        <v>-5.133795E-2</v>
      </c>
      <c r="AA3517">
        <v>0.93277929999999998</v>
      </c>
      <c r="AB3517">
        <v>27</v>
      </c>
      <c r="AC3517">
        <v>-3.0564420000000001</v>
      </c>
      <c r="AD3517">
        <v>0.2437685</v>
      </c>
      <c r="AE3517">
        <v>-0.23966979999999999</v>
      </c>
      <c r="AF3517">
        <v>1.09530471758106</v>
      </c>
      <c r="AG3517">
        <v>0.2437685</v>
      </c>
      <c r="AH3517">
        <v>2.84286094157684</v>
      </c>
      <c r="AI3517">
        <v>85.4252677395327</v>
      </c>
      <c r="AJ3517">
        <v>68.929196576897496</v>
      </c>
      <c r="AK3517">
        <v>3.0563006787766702</v>
      </c>
      <c r="AL3517">
        <v>78.866743893664804</v>
      </c>
      <c r="AM3517">
        <v>79.319189023927507</v>
      </c>
      <c r="AN3517">
        <v>0.999999977503649</v>
      </c>
    </row>
    <row r="3518" spans="1:40" x14ac:dyDescent="0.25">
      <c r="A3518" t="str">
        <f>"20190303171046520"</f>
        <v>20190303171046520</v>
      </c>
      <c r="B3518" t="str">
        <f>"1551604246514653"</f>
        <v>1551604246514653</v>
      </c>
      <c r="C3518" t="s">
        <v>40</v>
      </c>
      <c r="D3518">
        <v>4.9742490000000004</v>
      </c>
      <c r="E3518">
        <v>0.57536790000000004</v>
      </c>
      <c r="F3518" t="s">
        <v>42</v>
      </c>
      <c r="G3518">
        <v>-221.84350000000001</v>
      </c>
      <c r="H3518" s="1">
        <v>-4.4321110000000004E-6</v>
      </c>
      <c r="I3518">
        <v>144.03299999999999</v>
      </c>
      <c r="J3518">
        <v>-201.1266</v>
      </c>
      <c r="K3518">
        <v>1.1123989999999999</v>
      </c>
      <c r="L3518">
        <v>145.68090000000001</v>
      </c>
      <c r="M3518">
        <v>-0.90753470000000003</v>
      </c>
      <c r="N3518">
        <v>-1.472655E-2</v>
      </c>
      <c r="O3518">
        <v>-0.4197188</v>
      </c>
      <c r="P3518">
        <v>-0.95206800000000003</v>
      </c>
      <c r="Q3518">
        <v>0.18310360000000001</v>
      </c>
      <c r="R3518">
        <v>-0.24502989999999999</v>
      </c>
      <c r="S3518">
        <v>-3.122223</v>
      </c>
      <c r="T3518">
        <v>-0.16553499999999999</v>
      </c>
      <c r="U3518">
        <v>-0.26168819999999998</v>
      </c>
      <c r="V3518">
        <v>0.1814501</v>
      </c>
      <c r="W3518">
        <v>0.1934662</v>
      </c>
      <c r="X3518">
        <v>0.96418179999999998</v>
      </c>
      <c r="Y3518">
        <v>0.34161789999999997</v>
      </c>
      <c r="Z3518">
        <v>2.677626E-2</v>
      </c>
      <c r="AA3518">
        <v>0.9394574</v>
      </c>
      <c r="AB3518">
        <v>27</v>
      </c>
      <c r="AC3518">
        <v>-20.716899999999999</v>
      </c>
      <c r="AD3518">
        <v>-1.1124034321109999</v>
      </c>
      <c r="AE3518">
        <v>-1.6479000000000199</v>
      </c>
      <c r="AF3518">
        <v>7.1799557984081703</v>
      </c>
      <c r="AG3518">
        <v>-1.1124034321109999</v>
      </c>
      <c r="AH3518">
        <v>19.439379299761999</v>
      </c>
      <c r="AI3518">
        <v>93.072673819044496</v>
      </c>
      <c r="AJ3518">
        <v>69.728236336178995</v>
      </c>
      <c r="AK3518">
        <v>20.752799190058301</v>
      </c>
      <c r="AL3518">
        <v>78.844861989739798</v>
      </c>
      <c r="AM3518">
        <v>79.3421163542953</v>
      </c>
      <c r="AN3518">
        <v>0.99999992639184199</v>
      </c>
    </row>
    <row r="3519" spans="1:40" x14ac:dyDescent="0.25">
      <c r="A3519" t="str">
        <f>"20190303171046541"</f>
        <v>20190303171046541</v>
      </c>
      <c r="B3519" t="str">
        <f>"1551604246534172"</f>
        <v>1551604246534172</v>
      </c>
      <c r="C3519" t="s">
        <v>40</v>
      </c>
      <c r="D3519">
        <v>4.9839140000000004</v>
      </c>
      <c r="E3519">
        <v>0.5742218</v>
      </c>
      <c r="F3519" t="s">
        <v>42</v>
      </c>
      <c r="G3519">
        <v>-221.9135</v>
      </c>
      <c r="H3519" s="1">
        <v>-4.425938E-6</v>
      </c>
      <c r="I3519">
        <v>144.13239999999999</v>
      </c>
      <c r="J3519">
        <v>-201.3811</v>
      </c>
      <c r="K3519">
        <v>1.1124229999999999</v>
      </c>
      <c r="L3519">
        <v>145.578</v>
      </c>
      <c r="M3519">
        <v>-0.91262880000000002</v>
      </c>
      <c r="N3519">
        <v>-1.472219E-2</v>
      </c>
      <c r="O3519">
        <v>-0.40852440000000001</v>
      </c>
      <c r="P3519">
        <v>-0.954843</v>
      </c>
      <c r="Q3519">
        <v>0.1835059</v>
      </c>
      <c r="R3519">
        <v>-0.23366770000000001</v>
      </c>
      <c r="S3519">
        <v>-3.123291</v>
      </c>
      <c r="T3519">
        <v>-0.16714200000000001</v>
      </c>
      <c r="U3519">
        <v>-0.23266600000000001</v>
      </c>
      <c r="V3519">
        <v>0.18104690000000001</v>
      </c>
      <c r="W3519">
        <v>0.19388069999999999</v>
      </c>
      <c r="X3519">
        <v>0.96417439999999999</v>
      </c>
      <c r="Y3519">
        <v>0.33875349999999999</v>
      </c>
      <c r="Z3519">
        <v>2.661761E-2</v>
      </c>
      <c r="AA3519">
        <v>0.94049859999999996</v>
      </c>
      <c r="AB3519">
        <v>27</v>
      </c>
      <c r="AC3519">
        <v>-20.532399999999999</v>
      </c>
      <c r="AD3519">
        <v>-1.112427425938</v>
      </c>
      <c r="AE3519">
        <v>-1.44560000000001</v>
      </c>
      <c r="AF3519">
        <v>7.0488664411343596</v>
      </c>
      <c r="AG3519">
        <v>-1.112427425938</v>
      </c>
      <c r="AH3519">
        <v>19.274815256478199</v>
      </c>
      <c r="AI3519">
        <v>93.102578462091401</v>
      </c>
      <c r="AJ3519">
        <v>69.912359520762706</v>
      </c>
      <c r="AK3519">
        <v>20.553406434318699</v>
      </c>
      <c r="AL3519">
        <v>78.820655261697993</v>
      </c>
      <c r="AM3519">
        <v>79.365178677605499</v>
      </c>
      <c r="AN3519">
        <v>0.99999998972372905</v>
      </c>
    </row>
    <row r="3520" spans="1:40" x14ac:dyDescent="0.25">
      <c r="A3520" t="str">
        <f>"20190303171046564"</f>
        <v>20190303171046564</v>
      </c>
      <c r="B3520" t="str">
        <f>"1551604246554668"</f>
        <v>1551604246554668</v>
      </c>
      <c r="C3520" t="s">
        <v>40</v>
      </c>
      <c r="D3520">
        <v>4.9792949999999996</v>
      </c>
      <c r="E3520">
        <v>0.57348949999999999</v>
      </c>
      <c r="F3520" t="s">
        <v>42</v>
      </c>
      <c r="G3520">
        <v>-222.01339999999999</v>
      </c>
      <c r="H3520" s="1">
        <v>-4.4088540000000003E-6</v>
      </c>
      <c r="I3520">
        <v>144.2278</v>
      </c>
      <c r="J3520">
        <v>-201.63659999999999</v>
      </c>
      <c r="K3520">
        <v>1.1124400000000001</v>
      </c>
      <c r="L3520">
        <v>145.47839999999999</v>
      </c>
      <c r="M3520">
        <v>-0.9175799</v>
      </c>
      <c r="N3520">
        <v>-1.4717829999999999E-2</v>
      </c>
      <c r="O3520">
        <v>-0.39727879999999999</v>
      </c>
      <c r="P3520">
        <v>-0.95747819999999995</v>
      </c>
      <c r="Q3520">
        <v>0.18400630000000001</v>
      </c>
      <c r="R3520">
        <v>-0.2222095</v>
      </c>
      <c r="S3520">
        <v>-3.1242369999999999</v>
      </c>
      <c r="T3520">
        <v>-0.16844890000000001</v>
      </c>
      <c r="U3520">
        <v>-0.20445250000000001</v>
      </c>
      <c r="V3520">
        <v>0.18071470000000001</v>
      </c>
      <c r="W3520">
        <v>0.19439200000000001</v>
      </c>
      <c r="X3520">
        <v>0.96413380000000004</v>
      </c>
      <c r="Y3520">
        <v>0.33566220000000002</v>
      </c>
      <c r="Z3520">
        <v>2.6379030000000001E-2</v>
      </c>
      <c r="AA3520">
        <v>0.94161300000000003</v>
      </c>
      <c r="AB3520">
        <v>27</v>
      </c>
      <c r="AC3520">
        <v>-20.376799999999999</v>
      </c>
      <c r="AD3520">
        <v>-1.112444408854</v>
      </c>
      <c r="AE3520">
        <v>-1.2505999999999899</v>
      </c>
      <c r="AF3520">
        <v>6.9279270882003301</v>
      </c>
      <c r="AG3520">
        <v>-1.112444408854</v>
      </c>
      <c r="AH3520">
        <v>19.139428413960601</v>
      </c>
      <c r="AI3520">
        <v>93.128270905342802</v>
      </c>
      <c r="AJ3520">
        <v>70.101189137901798</v>
      </c>
      <c r="AK3520">
        <v>20.385078521196199</v>
      </c>
      <c r="AL3520">
        <v>78.790792087980805</v>
      </c>
      <c r="AM3520">
        <v>79.383811544636501</v>
      </c>
      <c r="AN3520">
        <v>1.0000000183812601</v>
      </c>
    </row>
    <row r="3521" spans="1:40" x14ac:dyDescent="0.25">
      <c r="A3521" t="str">
        <f>"20190303171046587"</f>
        <v>20190303171046587</v>
      </c>
      <c r="B3521" t="str">
        <f>"1551604246574188"</f>
        <v>1551604246574188</v>
      </c>
      <c r="C3521" t="s">
        <v>40</v>
      </c>
      <c r="D3521">
        <v>4.9717399999999996</v>
      </c>
      <c r="E3521">
        <v>0.57081719999999903</v>
      </c>
      <c r="F3521" t="s">
        <v>42</v>
      </c>
      <c r="G3521">
        <v>-222.09790000000001</v>
      </c>
      <c r="H3521" s="1">
        <v>-4.4000189999999997E-6</v>
      </c>
      <c r="I3521">
        <v>144.34010000000001</v>
      </c>
      <c r="J3521">
        <v>-201.89089999999999</v>
      </c>
      <c r="K3521">
        <v>1.112463</v>
      </c>
      <c r="L3521">
        <v>145.3827</v>
      </c>
      <c r="M3521">
        <v>-0.92235029999999996</v>
      </c>
      <c r="N3521">
        <v>-1.4713510000000001E-2</v>
      </c>
      <c r="O3521">
        <v>-0.38607439999999998</v>
      </c>
      <c r="P3521">
        <v>-0.95998070000000002</v>
      </c>
      <c r="Q3521">
        <v>0.1844229</v>
      </c>
      <c r="R3521">
        <v>-0.21077380000000001</v>
      </c>
      <c r="S3521">
        <v>-3.1255489999999999</v>
      </c>
      <c r="T3521">
        <v>-0.16993069999999999</v>
      </c>
      <c r="U3521">
        <v>-0.1738739</v>
      </c>
      <c r="V3521">
        <v>0.18044060000000001</v>
      </c>
      <c r="W3521">
        <v>0.19481760000000001</v>
      </c>
      <c r="X3521">
        <v>0.96409920000000005</v>
      </c>
      <c r="Y3521">
        <v>0.33339010000000002</v>
      </c>
      <c r="Z3521">
        <v>2.618287E-2</v>
      </c>
      <c r="AA3521">
        <v>0.94242530000000002</v>
      </c>
      <c r="AB3521">
        <v>27</v>
      </c>
      <c r="AC3521">
        <v>-20.207000000000001</v>
      </c>
      <c r="AD3521">
        <v>-1.112467400019</v>
      </c>
      <c r="AE3521">
        <v>-1.04259999999999</v>
      </c>
      <c r="AF3521">
        <v>6.81988795671458</v>
      </c>
      <c r="AG3521">
        <v>-1.112467400019</v>
      </c>
      <c r="AH3521">
        <v>18.985125825326001</v>
      </c>
      <c r="AI3521">
        <v>93.156471904621696</v>
      </c>
      <c r="AJ3521">
        <v>70.240560302640603</v>
      </c>
      <c r="AK3521">
        <v>20.2035506300676</v>
      </c>
      <c r="AL3521">
        <v>78.765931364882206</v>
      </c>
      <c r="AM3521">
        <v>79.399176686878903</v>
      </c>
      <c r="AN3521">
        <v>0.99999998741937901</v>
      </c>
    </row>
    <row r="3522" spans="1:40" x14ac:dyDescent="0.25">
      <c r="A3522" t="str">
        <f>"20190303171046610"</f>
        <v>20190303171046610</v>
      </c>
      <c r="B3522" t="str">
        <f>"1551604246604445"</f>
        <v>1551604246604445</v>
      </c>
      <c r="C3522" t="s">
        <v>40</v>
      </c>
      <c r="D3522">
        <v>4.9892839999999996</v>
      </c>
      <c r="E3522">
        <v>0.56869049999999999</v>
      </c>
      <c r="F3522" t="s">
        <v>42</v>
      </c>
      <c r="G3522">
        <v>-226.69569999999999</v>
      </c>
      <c r="H3522" s="1">
        <v>-2.6060729999999998E-6</v>
      </c>
      <c r="I3522">
        <v>144.14959999999999</v>
      </c>
      <c r="J3522">
        <v>-202.14320000000001</v>
      </c>
      <c r="K3522">
        <v>1.1124830000000001</v>
      </c>
      <c r="L3522">
        <v>145.2912</v>
      </c>
      <c r="M3522">
        <v>-0.92692929999999996</v>
      </c>
      <c r="N3522">
        <v>-1.470931E-2</v>
      </c>
      <c r="O3522">
        <v>-0.37494759999999999</v>
      </c>
      <c r="P3522">
        <v>-0.96221259999999997</v>
      </c>
      <c r="Q3522">
        <v>0.18481249999999999</v>
      </c>
      <c r="R3522">
        <v>-0.1999785</v>
      </c>
      <c r="S3522">
        <v>-3.1178889999999999</v>
      </c>
      <c r="T3522">
        <v>-0.13983380000000001</v>
      </c>
      <c r="U3522">
        <v>-0.1549835</v>
      </c>
      <c r="V3522">
        <v>0.17963699999999999</v>
      </c>
      <c r="W3522">
        <v>0.19522919999999999</v>
      </c>
      <c r="X3522">
        <v>0.96416599999999997</v>
      </c>
      <c r="Y3522">
        <v>0.32791619999999999</v>
      </c>
      <c r="Z3522">
        <v>2.0572730000000001E-2</v>
      </c>
      <c r="AA3522">
        <v>0.94448279999999996</v>
      </c>
      <c r="AB3522">
        <v>27</v>
      </c>
      <c r="AC3522">
        <v>-24.552499999999899</v>
      </c>
      <c r="AD3522">
        <v>-1.112485606073</v>
      </c>
      <c r="AE3522">
        <v>-1.1416000000000099</v>
      </c>
      <c r="AF3522">
        <v>8.1319408818807499</v>
      </c>
      <c r="AG3522">
        <v>-1.112485606073</v>
      </c>
      <c r="AH3522">
        <v>23.1415725775983</v>
      </c>
      <c r="AI3522">
        <v>92.596830723264006</v>
      </c>
      <c r="AJ3522">
        <v>70.638541800599299</v>
      </c>
      <c r="AK3522">
        <v>24.5539908791702</v>
      </c>
      <c r="AL3522">
        <v>78.741886690833098</v>
      </c>
      <c r="AM3522">
        <v>79.446039608350503</v>
      </c>
      <c r="AN3522">
        <v>0.99999998392881895</v>
      </c>
    </row>
    <row r="3523" spans="1:40" x14ac:dyDescent="0.25">
      <c r="A3523" t="str">
        <f>"20190303171046634"</f>
        <v>20190303171046634</v>
      </c>
      <c r="B3523" t="str">
        <f>"1551604246625916"</f>
        <v>1551604246625916</v>
      </c>
      <c r="C3523" t="s">
        <v>40</v>
      </c>
      <c r="D3523">
        <v>4.880395</v>
      </c>
      <c r="E3523">
        <v>0.56810019999999894</v>
      </c>
      <c r="F3523" t="s">
        <v>42</v>
      </c>
      <c r="G3523">
        <v>-225.1208</v>
      </c>
      <c r="H3523" s="1">
        <v>-3.315911E-6</v>
      </c>
      <c r="I3523">
        <v>144.2783</v>
      </c>
      <c r="J3523">
        <v>-202.42070000000001</v>
      </c>
      <c r="K3523">
        <v>1.1125130000000001</v>
      </c>
      <c r="L3523">
        <v>145.1944</v>
      </c>
      <c r="M3523">
        <v>-0.9317896</v>
      </c>
      <c r="N3523">
        <v>-1.4704719999999999E-2</v>
      </c>
      <c r="O3523">
        <v>-0.36270089999999999</v>
      </c>
      <c r="P3523">
        <v>-0.96450860000000005</v>
      </c>
      <c r="Q3523">
        <v>0.1858641</v>
      </c>
      <c r="R3523">
        <v>-0.187557</v>
      </c>
      <c r="S3523">
        <v>-3.1182249999999998</v>
      </c>
      <c r="T3523">
        <v>-0.15097260000000001</v>
      </c>
      <c r="U3523">
        <v>-0.1374512</v>
      </c>
      <c r="V3523">
        <v>0.1793006</v>
      </c>
      <c r="W3523">
        <v>0.19629060000000001</v>
      </c>
      <c r="X3523">
        <v>0.96401309999999996</v>
      </c>
      <c r="Y3523">
        <v>0.3206774</v>
      </c>
      <c r="Z3523">
        <v>2.187952E-2</v>
      </c>
      <c r="AA3523">
        <v>0.94693570000000005</v>
      </c>
      <c r="AB3523">
        <v>27</v>
      </c>
      <c r="AC3523">
        <v>-22.7000999999999</v>
      </c>
      <c r="AD3523">
        <v>-1.1125163159110001</v>
      </c>
      <c r="AE3523">
        <v>-0.91610000000000003</v>
      </c>
      <c r="AF3523">
        <v>7.3628758906472598</v>
      </c>
      <c r="AG3523">
        <v>-1.1125163159110001</v>
      </c>
      <c r="AH3523">
        <v>21.434909104910801</v>
      </c>
      <c r="AI3523">
        <v>92.810215495087306</v>
      </c>
      <c r="AJ3523">
        <v>71.042440199925807</v>
      </c>
      <c r="AK3523">
        <v>22.691517407833899</v>
      </c>
      <c r="AL3523">
        <v>78.679873063309202</v>
      </c>
      <c r="AM3523">
        <v>79.463727353898193</v>
      </c>
      <c r="AN3523">
        <v>0.99999998089016395</v>
      </c>
    </row>
    <row r="3524" spans="1:40" x14ac:dyDescent="0.25">
      <c r="A3524" t="str">
        <f>"20190303171046657"</f>
        <v>20190303171046657</v>
      </c>
      <c r="B3524" t="str">
        <f>"1551604246644461"</f>
        <v>1551604246644461</v>
      </c>
      <c r="C3524" t="s">
        <v>40</v>
      </c>
      <c r="D3524">
        <v>4.8764289999999999</v>
      </c>
      <c r="E3524">
        <v>0.55320669999999905</v>
      </c>
      <c r="F3524" t="s">
        <v>42</v>
      </c>
      <c r="G3524">
        <v>-225.48570000000001</v>
      </c>
      <c r="H3524" s="1">
        <v>-3.2020169999999998E-6</v>
      </c>
      <c r="I3524">
        <v>144.43860000000001</v>
      </c>
      <c r="J3524">
        <v>-202.68430000000001</v>
      </c>
      <c r="K3524">
        <v>1.1125449999999999</v>
      </c>
      <c r="L3524">
        <v>145.1063</v>
      </c>
      <c r="M3524">
        <v>-0.93623630000000002</v>
      </c>
      <c r="N3524">
        <v>-1.470014E-2</v>
      </c>
      <c r="O3524">
        <v>-0.35106379999999998</v>
      </c>
      <c r="P3524">
        <v>-0.96655080000000004</v>
      </c>
      <c r="Q3524">
        <v>0.1875878</v>
      </c>
      <c r="R3524">
        <v>-0.17490120000000001</v>
      </c>
      <c r="S3524">
        <v>-3.1195219999999999</v>
      </c>
      <c r="T3524">
        <v>-0.15046699999999999</v>
      </c>
      <c r="U3524">
        <v>-0.10221860000000001</v>
      </c>
      <c r="V3524">
        <v>0.1798341</v>
      </c>
      <c r="W3524">
        <v>0.19800209999999999</v>
      </c>
      <c r="X3524">
        <v>0.96356359999999996</v>
      </c>
      <c r="Y3524">
        <v>0.31958589999999998</v>
      </c>
      <c r="Z3524">
        <v>2.1419069999999998E-2</v>
      </c>
      <c r="AA3524">
        <v>0.94731520000000002</v>
      </c>
      <c r="AB3524">
        <v>27</v>
      </c>
      <c r="AC3524">
        <v>-22.801400000000001</v>
      </c>
      <c r="AD3524">
        <v>-1.1125482020170001</v>
      </c>
      <c r="AE3524">
        <v>-0.66769999999999596</v>
      </c>
      <c r="AF3524">
        <v>7.3629032899788998</v>
      </c>
      <c r="AG3524">
        <v>-1.1125482020170001</v>
      </c>
      <c r="AH3524">
        <v>21.533011826422101</v>
      </c>
      <c r="AI3524">
        <v>92.7988526068563</v>
      </c>
      <c r="AJ3524">
        <v>71.122615630211101</v>
      </c>
      <c r="AK3524">
        <v>22.784220563280801</v>
      </c>
      <c r="AL3524">
        <v>78.579848151401805</v>
      </c>
      <c r="AM3524">
        <v>79.428263910689495</v>
      </c>
      <c r="AN3524">
        <v>0.99999997318608902</v>
      </c>
    </row>
    <row r="3525" spans="1:40" x14ac:dyDescent="0.25">
      <c r="A3525" t="str">
        <f>"20190303171046678"</f>
        <v>20190303171046678</v>
      </c>
      <c r="B3525" t="str">
        <f>"1551604246663980"</f>
        <v>1551604246663980</v>
      </c>
      <c r="C3525" t="s">
        <v>40</v>
      </c>
      <c r="D3525">
        <v>4.8953129999999998</v>
      </c>
      <c r="E3525">
        <v>0.55228009999999905</v>
      </c>
      <c r="F3525" t="s">
        <v>62</v>
      </c>
      <c r="G3525">
        <v>0</v>
      </c>
      <c r="H3525">
        <v>0</v>
      </c>
      <c r="I3525">
        <v>0</v>
      </c>
      <c r="J3525">
        <v>-202.93090000000001</v>
      </c>
      <c r="K3525">
        <v>1.1125769999999999</v>
      </c>
      <c r="L3525">
        <v>145.0273</v>
      </c>
      <c r="M3525">
        <v>-0.94024379999999996</v>
      </c>
      <c r="N3525">
        <v>-1.4695049999999999E-2</v>
      </c>
      <c r="O3525">
        <v>-0.34018540000000003</v>
      </c>
      <c r="P3525">
        <v>-0.96847130000000003</v>
      </c>
      <c r="Q3525">
        <v>0.18837999999999999</v>
      </c>
      <c r="R3525">
        <v>-0.1630239</v>
      </c>
      <c r="S3525">
        <v>-3.035828</v>
      </c>
      <c r="T3525">
        <v>0.21793960000000001</v>
      </c>
      <c r="U3525">
        <v>-0.14212040000000001</v>
      </c>
      <c r="V3525">
        <v>0.1804443</v>
      </c>
      <c r="W3525">
        <v>0.19878299999999999</v>
      </c>
      <c r="X3525">
        <v>0.9632887</v>
      </c>
      <c r="Y3525">
        <v>0.29403689999999999</v>
      </c>
      <c r="Z3525">
        <v>-3.7400290000000003E-2</v>
      </c>
      <c r="AA3525">
        <v>0.95506199999999997</v>
      </c>
      <c r="AB3525">
        <v>26</v>
      </c>
      <c r="AC3525">
        <v>-3.035828</v>
      </c>
      <c r="AD3525">
        <v>0.21793960000000001</v>
      </c>
      <c r="AE3525">
        <v>-0.14212040000000001</v>
      </c>
      <c r="AF3525">
        <v>0.89461295646389405</v>
      </c>
      <c r="AG3525">
        <v>0.21793960000000001</v>
      </c>
      <c r="AH3525">
        <v>2.8882260887195299</v>
      </c>
      <c r="AI3525">
        <v>85.877284039844696</v>
      </c>
      <c r="AJ3525">
        <v>72.789905697410305</v>
      </c>
      <c r="AK3525">
        <v>3.0314484905208898</v>
      </c>
      <c r="AL3525">
        <v>78.534198477866198</v>
      </c>
      <c r="AM3525">
        <v>79.390247075957205</v>
      </c>
      <c r="AN3525">
        <v>0.99999997301958898</v>
      </c>
    </row>
    <row r="3526" spans="1:40" x14ac:dyDescent="0.25">
      <c r="A3526" t="str">
        <f>"20190303171046701"</f>
        <v>20190303171046701</v>
      </c>
      <c r="B3526" t="str">
        <f>"1551604246694236"</f>
        <v>1551604246694236</v>
      </c>
      <c r="C3526" t="s">
        <v>40</v>
      </c>
      <c r="D3526">
        <v>4.989865</v>
      </c>
      <c r="E3526">
        <v>0.54208489999999998</v>
      </c>
      <c r="F3526" t="s">
        <v>62</v>
      </c>
      <c r="G3526">
        <v>0</v>
      </c>
      <c r="H3526">
        <v>0</v>
      </c>
      <c r="I3526">
        <v>0</v>
      </c>
      <c r="J3526">
        <v>-203.18459999999999</v>
      </c>
      <c r="K3526">
        <v>1.1126069999999999</v>
      </c>
      <c r="L3526">
        <v>144.9494</v>
      </c>
      <c r="M3526">
        <v>-0.94421569999999999</v>
      </c>
      <c r="N3526">
        <v>-1.4688990000000001E-2</v>
      </c>
      <c r="O3526">
        <v>-0.32899980000000001</v>
      </c>
      <c r="P3526">
        <v>-0.97020430000000002</v>
      </c>
      <c r="Q3526">
        <v>0.18850910000000001</v>
      </c>
      <c r="R3526">
        <v>-0.1522105</v>
      </c>
      <c r="S3526">
        <v>-3.0366209999999998</v>
      </c>
      <c r="T3526">
        <v>0.21615960000000001</v>
      </c>
      <c r="U3526">
        <v>-0.11294559999999999</v>
      </c>
      <c r="V3526">
        <v>0.1797327</v>
      </c>
      <c r="W3526">
        <v>0.19893540000000001</v>
      </c>
      <c r="X3526">
        <v>0.96339030000000003</v>
      </c>
      <c r="Y3526">
        <v>0.29193799999999998</v>
      </c>
      <c r="Z3526">
        <v>-3.6138530000000002E-2</v>
      </c>
      <c r="AA3526">
        <v>0.95575429999999995</v>
      </c>
      <c r="AB3526">
        <v>26</v>
      </c>
      <c r="AC3526">
        <v>-3.0366209999999998</v>
      </c>
      <c r="AD3526">
        <v>0.21615960000000001</v>
      </c>
      <c r="AE3526">
        <v>-0.11294559999999999</v>
      </c>
      <c r="AF3526">
        <v>0.88800553471406296</v>
      </c>
      <c r="AG3526">
        <v>0.21615960000000001</v>
      </c>
      <c r="AH3526">
        <v>2.8900734572593798</v>
      </c>
      <c r="AI3526">
        <v>85.910595165449195</v>
      </c>
      <c r="AJ3526">
        <v>72.919872631046502</v>
      </c>
      <c r="AK3526">
        <v>3.0311389593204301</v>
      </c>
      <c r="AL3526">
        <v>78.525289008699701</v>
      </c>
      <c r="AM3526">
        <v>79.432232708937306</v>
      </c>
      <c r="AN3526">
        <v>1.0000000034782699</v>
      </c>
    </row>
    <row r="3527" spans="1:40" x14ac:dyDescent="0.25">
      <c r="A3527" t="str">
        <f>"20190303171046720"</f>
        <v>20190303171046720</v>
      </c>
      <c r="B3527" t="str">
        <f>"1551604246714733"</f>
        <v>1551604246714733</v>
      </c>
      <c r="C3527" t="s">
        <v>40</v>
      </c>
      <c r="D3527">
        <v>5.0080839999999904</v>
      </c>
      <c r="E3527">
        <v>0.54137769999999996</v>
      </c>
      <c r="F3527" t="s">
        <v>42</v>
      </c>
      <c r="G3527">
        <v>-224.9753</v>
      </c>
      <c r="H3527" s="1">
        <v>-3.1861319999999999E-6</v>
      </c>
      <c r="I3527">
        <v>143.55590000000001</v>
      </c>
      <c r="J3527">
        <v>-203.41550000000001</v>
      </c>
      <c r="K3527">
        <v>1.112641</v>
      </c>
      <c r="L3527">
        <v>144.88120000000001</v>
      </c>
      <c r="M3527">
        <v>-0.94769720000000002</v>
      </c>
      <c r="N3527">
        <v>-1.4682880000000001E-2</v>
      </c>
      <c r="O3527">
        <v>-0.31883299999999998</v>
      </c>
      <c r="P3527">
        <v>-0.97171580000000002</v>
      </c>
      <c r="Q3527">
        <v>0.1882286</v>
      </c>
      <c r="R3527">
        <v>-0.1426125</v>
      </c>
      <c r="S3527">
        <v>-3.0917659999999998</v>
      </c>
      <c r="T3527">
        <v>-0.15786240000000001</v>
      </c>
      <c r="U3527">
        <v>-0.1977081</v>
      </c>
      <c r="V3527">
        <v>0.17889539999999901</v>
      </c>
      <c r="W3527">
        <v>0.198683</v>
      </c>
      <c r="X3527">
        <v>0.96359819999999996</v>
      </c>
      <c r="Y3527">
        <v>0.25710939999999999</v>
      </c>
      <c r="Z3527">
        <v>1.968787E-2</v>
      </c>
      <c r="AA3527">
        <v>0.96618179999999998</v>
      </c>
      <c r="AB3527">
        <v>26</v>
      </c>
      <c r="AC3527">
        <v>-21.559799999999999</v>
      </c>
      <c r="AD3527">
        <v>-1.112644186132</v>
      </c>
      <c r="AE3527">
        <v>-1.3252999999999899</v>
      </c>
      <c r="AF3527">
        <v>5.6037298134941702</v>
      </c>
      <c r="AG3527">
        <v>-1.112644186132</v>
      </c>
      <c r="AH3527">
        <v>20.8017661158555</v>
      </c>
      <c r="AI3527">
        <v>92.956516532045598</v>
      </c>
      <c r="AJ3527">
        <v>74.923154378498296</v>
      </c>
      <c r="AK3527">
        <v>21.572047618302999</v>
      </c>
      <c r="AL3527">
        <v>78.540044919394205</v>
      </c>
      <c r="AM3527">
        <v>79.4825811324923</v>
      </c>
      <c r="AN3527">
        <v>0.99999999483669899</v>
      </c>
    </row>
    <row r="3528" spans="1:40" x14ac:dyDescent="0.25">
      <c r="A3528" t="str">
        <f>"20190303171046744"</f>
        <v>20190303171046744</v>
      </c>
      <c r="B3528" t="str">
        <f>"1551604246734252"</f>
        <v>1551604246734252</v>
      </c>
      <c r="C3528" t="s">
        <v>40</v>
      </c>
      <c r="D3528">
        <v>5.012067</v>
      </c>
      <c r="E3528">
        <v>0.54029939999999999</v>
      </c>
      <c r="F3528" t="s">
        <v>42</v>
      </c>
      <c r="G3528">
        <v>-227.76740000000001</v>
      </c>
      <c r="H3528" s="1">
        <v>-1.9833460000000001E-6</v>
      </c>
      <c r="I3528">
        <v>143.53710000000001</v>
      </c>
      <c r="J3528">
        <v>-203.68950000000001</v>
      </c>
      <c r="K3528">
        <v>1.1126830000000001</v>
      </c>
      <c r="L3528">
        <v>144.8038</v>
      </c>
      <c r="M3528">
        <v>-0.95166079999999997</v>
      </c>
      <c r="N3528">
        <v>-1.4674009999999999E-2</v>
      </c>
      <c r="O3528">
        <v>-0.30680039999999997</v>
      </c>
      <c r="P3528">
        <v>-0.97338380000000002</v>
      </c>
      <c r="Q3528">
        <v>0.1884354</v>
      </c>
      <c r="R3528">
        <v>-0.13044629999999999</v>
      </c>
      <c r="S3528">
        <v>-3.0896150000000002</v>
      </c>
      <c r="T3528">
        <v>-0.14116509999999999</v>
      </c>
      <c r="U3528">
        <v>-0.170517</v>
      </c>
      <c r="V3528">
        <v>0.1787089</v>
      </c>
      <c r="W3528">
        <v>0.19890550000000001</v>
      </c>
      <c r="X3528">
        <v>0.96358690000000002</v>
      </c>
      <c r="Y3528">
        <v>0.25343520000000003</v>
      </c>
      <c r="Z3528">
        <v>1.687953E-2</v>
      </c>
      <c r="AA3528">
        <v>0.96720510000000004</v>
      </c>
      <c r="AB3528">
        <v>26</v>
      </c>
      <c r="AC3528">
        <v>-24.0779</v>
      </c>
      <c r="AD3528">
        <v>-1.112684983346</v>
      </c>
      <c r="AE3528">
        <v>-1.26669999999998</v>
      </c>
      <c r="AF3528">
        <v>6.1691678511472503</v>
      </c>
      <c r="AG3528">
        <v>-1.112684983346</v>
      </c>
      <c r="AH3528">
        <v>23.255599693604498</v>
      </c>
      <c r="AI3528">
        <v>92.647833546925895</v>
      </c>
      <c r="AJ3528">
        <v>75.142962544161094</v>
      </c>
      <c r="AK3528">
        <v>24.085672441453099</v>
      </c>
      <c r="AL3528">
        <v>78.527036945806799</v>
      </c>
      <c r="AM3528">
        <v>79.493180887242701</v>
      </c>
      <c r="AN3528">
        <v>0.99999999136053497</v>
      </c>
    </row>
    <row r="3529" spans="1:40" x14ac:dyDescent="0.25">
      <c r="A3529" t="str">
        <f>"20190303171046766"</f>
        <v>20190303171046766</v>
      </c>
      <c r="B3529" t="str">
        <f>"1551604246754748"</f>
        <v>1551604246754748</v>
      </c>
      <c r="C3529" t="s">
        <v>40</v>
      </c>
      <c r="D3529">
        <v>4.8784609999999997</v>
      </c>
      <c r="E3529">
        <v>0.5396531</v>
      </c>
      <c r="F3529" t="s">
        <v>42</v>
      </c>
      <c r="G3529">
        <v>-228.07900000000001</v>
      </c>
      <c r="H3529" s="1">
        <v>-1.8895249999999999E-6</v>
      </c>
      <c r="I3529">
        <v>143.68700000000001</v>
      </c>
      <c r="J3529">
        <v>-203.9545</v>
      </c>
      <c r="K3529">
        <v>1.112744</v>
      </c>
      <c r="L3529">
        <v>144.73240000000001</v>
      </c>
      <c r="M3529">
        <v>-0.95531909999999998</v>
      </c>
      <c r="N3529">
        <v>-1.466314E-2</v>
      </c>
      <c r="O3529">
        <v>-0.29521259999999999</v>
      </c>
      <c r="P3529">
        <v>-0.97483059999999999</v>
      </c>
      <c r="Q3529">
        <v>0.18865699999999999</v>
      </c>
      <c r="R3529">
        <v>-0.1188039</v>
      </c>
      <c r="S3529">
        <v>-3.090363</v>
      </c>
      <c r="T3529">
        <v>-0.140987</v>
      </c>
      <c r="U3529">
        <v>-0.14151</v>
      </c>
      <c r="V3529">
        <v>0.17847750000000001</v>
      </c>
      <c r="W3529">
        <v>0.19914609999999999</v>
      </c>
      <c r="X3529">
        <v>0.96358010000000005</v>
      </c>
      <c r="Y3529">
        <v>0.2507568</v>
      </c>
      <c r="Z3529">
        <v>1.6450889999999999E-2</v>
      </c>
      <c r="AA3529">
        <v>0.9679103</v>
      </c>
      <c r="AB3529">
        <v>26</v>
      </c>
      <c r="AC3529">
        <v>-24.124500000000001</v>
      </c>
      <c r="AD3529">
        <v>-1.112745889525</v>
      </c>
      <c r="AE3529">
        <v>-1.0454000000000001</v>
      </c>
      <c r="AF3529">
        <v>6.1108473046905596</v>
      </c>
      <c r="AG3529">
        <v>-1.112745889525</v>
      </c>
      <c r="AH3529">
        <v>23.308225278869699</v>
      </c>
      <c r="AI3529">
        <v>92.644026249274901</v>
      </c>
      <c r="AJ3529">
        <v>75.309087533239605</v>
      </c>
      <c r="AK3529">
        <v>24.121650520775699</v>
      </c>
      <c r="AL3529">
        <v>78.512970243454703</v>
      </c>
      <c r="AM3529">
        <v>79.506410783304801</v>
      </c>
      <c r="AN3529">
        <v>0.99999999813373497</v>
      </c>
    </row>
    <row r="3530" spans="1:40" x14ac:dyDescent="0.25">
      <c r="A3530" t="str">
        <f>"20190303171046787"</f>
        <v>20190303171046787</v>
      </c>
      <c r="B3530" t="str">
        <f>"1551604246774269"</f>
        <v>1551604246774269</v>
      </c>
      <c r="C3530" t="s">
        <v>40</v>
      </c>
      <c r="D3530">
        <v>4.9042440000000003</v>
      </c>
      <c r="E3530">
        <v>0.53895859999999995</v>
      </c>
      <c r="F3530" t="s">
        <v>42</v>
      </c>
      <c r="G3530">
        <v>-229.00540000000001</v>
      </c>
      <c r="H3530" s="1">
        <v>-1.53113E-6</v>
      </c>
      <c r="I3530">
        <v>143.83359999999999</v>
      </c>
      <c r="J3530">
        <v>-204.19380000000001</v>
      </c>
      <c r="K3530">
        <v>1.1128089999999999</v>
      </c>
      <c r="L3530">
        <v>144.67080000000001</v>
      </c>
      <c r="M3530">
        <v>-0.95847020000000005</v>
      </c>
      <c r="N3530">
        <v>-1.465082E-2</v>
      </c>
      <c r="O3530">
        <v>-0.28481640000000003</v>
      </c>
      <c r="P3530">
        <v>-0.97592939999999995</v>
      </c>
      <c r="Q3530">
        <v>0.18889639999999999</v>
      </c>
      <c r="R3530">
        <v>-0.108996</v>
      </c>
      <c r="S3530">
        <v>-3.0905149999999999</v>
      </c>
      <c r="T3530">
        <v>-0.13727890000000001</v>
      </c>
      <c r="U3530">
        <v>-0.11087039999999999</v>
      </c>
      <c r="V3530">
        <v>0.17765400000000001</v>
      </c>
      <c r="W3530">
        <v>0.1994213</v>
      </c>
      <c r="X3530">
        <v>0.96367539999999996</v>
      </c>
      <c r="Y3530">
        <v>0.2498532</v>
      </c>
      <c r="Z3530">
        <v>1.5648329999999998E-2</v>
      </c>
      <c r="AA3530">
        <v>0.9681573</v>
      </c>
      <c r="AB3530">
        <v>26</v>
      </c>
      <c r="AC3530">
        <v>-24.811599999999999</v>
      </c>
      <c r="AD3530">
        <v>-1.1128105311299901</v>
      </c>
      <c r="AE3530">
        <v>-0.83720000000002404</v>
      </c>
      <c r="AF3530">
        <v>6.2524284469949496</v>
      </c>
      <c r="AG3530">
        <v>-1.1128105311299901</v>
      </c>
      <c r="AH3530">
        <v>23.974033597639401</v>
      </c>
      <c r="AI3530">
        <v>92.571709747934705</v>
      </c>
      <c r="AJ3530">
        <v>75.382856821389296</v>
      </c>
      <c r="AK3530">
        <v>24.800917235129202</v>
      </c>
      <c r="AL3530">
        <v>78.496880158124895</v>
      </c>
      <c r="AM3530">
        <v>79.554770557927696</v>
      </c>
      <c r="AN3530">
        <v>1.0000000375874201</v>
      </c>
    </row>
    <row r="3531" spans="1:40" x14ac:dyDescent="0.25">
      <c r="A3531" t="str">
        <f>"20190303171046812"</f>
        <v>20190303171046812</v>
      </c>
      <c r="B3531" t="str">
        <f>"1551604246804524"</f>
        <v>1551604246804524</v>
      </c>
      <c r="C3531" t="s">
        <v>40</v>
      </c>
      <c r="D3531">
        <v>4.9997989999999897</v>
      </c>
      <c r="E3531">
        <v>0.5368655</v>
      </c>
      <c r="F3531" t="s">
        <v>42</v>
      </c>
      <c r="G3531">
        <v>-229.51300000000001</v>
      </c>
      <c r="H3531" s="1">
        <v>-1.349501E-6</v>
      </c>
      <c r="I3531">
        <v>143.96950000000001</v>
      </c>
      <c r="J3531">
        <v>-204.4828</v>
      </c>
      <c r="K3531">
        <v>1.112914</v>
      </c>
      <c r="L3531">
        <v>144.59979999999999</v>
      </c>
      <c r="M3531">
        <v>-0.96208079999999996</v>
      </c>
      <c r="N3531">
        <v>-1.463209E-2</v>
      </c>
      <c r="O3531">
        <v>-0.27237230000000001</v>
      </c>
      <c r="P3531">
        <v>-0.97710629999999998</v>
      </c>
      <c r="Q3531">
        <v>0.18902849999999999</v>
      </c>
      <c r="R3531">
        <v>-9.7632109999999994E-2</v>
      </c>
      <c r="S3531">
        <v>-3.0907290000000001</v>
      </c>
      <c r="T3531">
        <v>-0.1358414</v>
      </c>
      <c r="U3531">
        <v>-8.560181E-2</v>
      </c>
      <c r="V3531">
        <v>0.17632059999999999</v>
      </c>
      <c r="W3531">
        <v>0.1996097</v>
      </c>
      <c r="X3531">
        <v>0.96388130000000005</v>
      </c>
      <c r="Y3531">
        <v>0.24523329999999999</v>
      </c>
      <c r="Z3531">
        <v>1.499202E-2</v>
      </c>
      <c r="AA3531">
        <v>0.96934819999999999</v>
      </c>
      <c r="AB3531">
        <v>26</v>
      </c>
      <c r="AC3531">
        <v>-25.030200000000001</v>
      </c>
      <c r="AD3531">
        <v>-1.112915349501</v>
      </c>
      <c r="AE3531">
        <v>-0.63029999999997699</v>
      </c>
      <c r="AF3531">
        <v>6.19954946142696</v>
      </c>
      <c r="AG3531">
        <v>-1.112915349501</v>
      </c>
      <c r="AH3531">
        <v>24.2075181987645</v>
      </c>
      <c r="AI3531">
        <v>92.550075768521396</v>
      </c>
      <c r="AJ3531">
        <v>75.6352774084407</v>
      </c>
      <c r="AK3531">
        <v>25.013534964961401</v>
      </c>
      <c r="AL3531">
        <v>78.485864571301207</v>
      </c>
      <c r="AM3531">
        <v>79.633628506178894</v>
      </c>
      <c r="AN3531">
        <v>1.0000000734040599</v>
      </c>
    </row>
    <row r="3532" spans="1:40" x14ac:dyDescent="0.25">
      <c r="A3532" t="str">
        <f>"20190303171046846"</f>
        <v>20190303171046846</v>
      </c>
      <c r="B3532" t="str">
        <f>"1551604246834310"</f>
        <v>1551604246834310</v>
      </c>
      <c r="C3532" t="s">
        <v>40</v>
      </c>
      <c r="D3532">
        <v>5.0494110000000001</v>
      </c>
      <c r="E3532">
        <v>0.53530869999999997</v>
      </c>
      <c r="F3532" t="s">
        <v>42</v>
      </c>
      <c r="G3532">
        <v>-230.494</v>
      </c>
      <c r="H3532" s="1">
        <v>-4.8945170000000002E-6</v>
      </c>
      <c r="I3532">
        <v>144.05080000000001</v>
      </c>
      <c r="J3532">
        <v>-204.86850000000001</v>
      </c>
      <c r="K3532">
        <v>1.1131059999999999</v>
      </c>
      <c r="L3532">
        <v>144.5112</v>
      </c>
      <c r="M3532">
        <v>-0.96655340000000001</v>
      </c>
      <c r="N3532">
        <v>-1.4598389999999999E-2</v>
      </c>
      <c r="O3532">
        <v>-0.25604949999999999</v>
      </c>
      <c r="P3532">
        <v>-0.97850680000000001</v>
      </c>
      <c r="Q3532">
        <v>0.18923390000000001</v>
      </c>
      <c r="R3532">
        <v>-8.1943730000000006E-2</v>
      </c>
      <c r="S3532">
        <v>-3.08934</v>
      </c>
      <c r="T3532">
        <v>-0.13218099999999999</v>
      </c>
      <c r="U3532">
        <v>-6.5200809999999998E-2</v>
      </c>
      <c r="V3532">
        <v>0.17536889999999999</v>
      </c>
      <c r="W3532">
        <v>0.19988249999999999</v>
      </c>
      <c r="X3532">
        <v>0.96399829999999997</v>
      </c>
      <c r="Y3532">
        <v>0.23523839999999999</v>
      </c>
      <c r="Z3532">
        <v>1.3826150000000001E-2</v>
      </c>
      <c r="AA3532">
        <v>0.97183940000000002</v>
      </c>
      <c r="AB3532">
        <v>26</v>
      </c>
      <c r="AC3532">
        <v>-25.625499999999999</v>
      </c>
      <c r="AD3532">
        <v>-1.1131108945169901</v>
      </c>
      <c r="AE3532">
        <v>-0.46039999999999198</v>
      </c>
      <c r="AF3532">
        <v>6.1055309575330998</v>
      </c>
      <c r="AG3532">
        <v>-1.1131108945169901</v>
      </c>
      <c r="AH3532">
        <v>24.842094758339801</v>
      </c>
      <c r="AI3532">
        <v>92.491513090713795</v>
      </c>
      <c r="AJ3532">
        <v>76.191892898141305</v>
      </c>
      <c r="AK3532">
        <v>25.605589157823001</v>
      </c>
      <c r="AL3532">
        <v>78.469911886922702</v>
      </c>
      <c r="AM3532">
        <v>79.689602680495398</v>
      </c>
      <c r="AN3532">
        <v>0.99999999364817405</v>
      </c>
    </row>
    <row r="3533" spans="1:40" x14ac:dyDescent="0.25">
      <c r="A3533" t="str">
        <f>"20190303171046869"</f>
        <v>20190303171046869</v>
      </c>
      <c r="B3533" t="str">
        <f>"1551604246854806"</f>
        <v>1551604246854806</v>
      </c>
      <c r="C3533" t="s">
        <v>40</v>
      </c>
      <c r="D3533">
        <v>5.0053710000000002</v>
      </c>
      <c r="E3533">
        <v>0.53350410000000004</v>
      </c>
      <c r="F3533" t="s">
        <v>42</v>
      </c>
      <c r="G3533">
        <v>-230.49459999999999</v>
      </c>
      <c r="H3533" s="1">
        <v>-4.9335420000000002E-6</v>
      </c>
      <c r="I3533">
        <v>144.27189999999999</v>
      </c>
      <c r="J3533">
        <v>-205.14179999999999</v>
      </c>
      <c r="K3533">
        <v>1.1132660000000001</v>
      </c>
      <c r="L3533">
        <v>144.4522</v>
      </c>
      <c r="M3533">
        <v>-0.96948880000000004</v>
      </c>
      <c r="N3533">
        <v>-1.456997E-2</v>
      </c>
      <c r="O3533">
        <v>-0.24470259999999999</v>
      </c>
      <c r="P3533">
        <v>-0.97914089999999998</v>
      </c>
      <c r="Q3533">
        <v>0.19021660000000001</v>
      </c>
      <c r="R3533">
        <v>-7.1421009999999993E-2</v>
      </c>
      <c r="S3533">
        <v>-3.089432</v>
      </c>
      <c r="T3533">
        <v>-0.1341947</v>
      </c>
      <c r="U3533">
        <v>-2.8839110000000001E-2</v>
      </c>
      <c r="V3533">
        <v>0.174324799999999</v>
      </c>
      <c r="W3533">
        <v>0.2009234</v>
      </c>
      <c r="X3533">
        <v>0.96397129999999998</v>
      </c>
      <c r="Y3533">
        <v>0.23527410000000001</v>
      </c>
      <c r="Z3533">
        <v>1.376835E-2</v>
      </c>
      <c r="AA3533">
        <v>0.97183160000000002</v>
      </c>
      <c r="AB3533">
        <v>26</v>
      </c>
      <c r="AC3533">
        <v>-25.352799999999998</v>
      </c>
      <c r="AD3533">
        <v>-1.1132709335419999</v>
      </c>
      <c r="AE3533">
        <v>-0.180300000000016</v>
      </c>
      <c r="AF3533">
        <v>6.0181332279990301</v>
      </c>
      <c r="AG3533">
        <v>-1.1132709335419999</v>
      </c>
      <c r="AH3533">
        <v>24.578597488977099</v>
      </c>
      <c r="AI3533">
        <v>92.519087084706698</v>
      </c>
      <c r="AJ3533">
        <v>76.241667351691802</v>
      </c>
      <c r="AK3533">
        <v>25.3291285725855</v>
      </c>
      <c r="AL3533">
        <v>78.409037955053506</v>
      </c>
      <c r="AM3533">
        <v>79.749401840523802</v>
      </c>
      <c r="AN3533">
        <v>1.0000000078931399</v>
      </c>
    </row>
    <row r="3534" spans="1:40" x14ac:dyDescent="0.25">
      <c r="A3534" t="str">
        <f>"20190303171046887"</f>
        <v>20190303171046887</v>
      </c>
      <c r="B3534" t="str">
        <f>"1551604246874326"</f>
        <v>1551604246874326</v>
      </c>
      <c r="C3534" t="s">
        <v>40</v>
      </c>
      <c r="D3534">
        <v>4.9723040000000003</v>
      </c>
      <c r="E3534">
        <v>0.53202280000000002</v>
      </c>
      <c r="F3534" t="s">
        <v>42</v>
      </c>
      <c r="G3534">
        <v>-231.61240000000001</v>
      </c>
      <c r="H3534" s="1">
        <v>-4.5685350000000003E-6</v>
      </c>
      <c r="I3534">
        <v>144.3587</v>
      </c>
      <c r="J3534">
        <v>-205.36449999999999</v>
      </c>
      <c r="K3534">
        <v>1.1134120000000001</v>
      </c>
      <c r="L3534">
        <v>144.40649999999999</v>
      </c>
      <c r="M3534">
        <v>-0.97173969999999998</v>
      </c>
      <c r="N3534">
        <v>-1.454544E-2</v>
      </c>
      <c r="O3534">
        <v>-0.23560690000000001</v>
      </c>
      <c r="P3534">
        <v>-0.9795933</v>
      </c>
      <c r="Q3534">
        <v>0.19033359999999999</v>
      </c>
      <c r="R3534">
        <v>-6.4580600000000002E-2</v>
      </c>
      <c r="S3534">
        <v>-3.0883479999999999</v>
      </c>
      <c r="T3534">
        <v>-0.12988640000000001</v>
      </c>
      <c r="U3534">
        <v>-1.0910029999999999E-2</v>
      </c>
      <c r="V3534">
        <v>0.171948499999999</v>
      </c>
      <c r="W3534">
        <v>0.20112279999999999</v>
      </c>
      <c r="X3534">
        <v>0.9643564</v>
      </c>
      <c r="Y3534">
        <v>0.23183619999999999</v>
      </c>
      <c r="Z3534">
        <v>1.2941869999999999E-2</v>
      </c>
      <c r="AA3534">
        <v>0.9726688</v>
      </c>
      <c r="AB3534">
        <v>26</v>
      </c>
      <c r="AC3534">
        <v>-26.247900000000001</v>
      </c>
      <c r="AD3534">
        <v>-1.1134165685349999</v>
      </c>
      <c r="AE3534">
        <v>-4.7799999999995103E-2</v>
      </c>
      <c r="AF3534">
        <v>6.1273603849181502</v>
      </c>
      <c r="AG3534">
        <v>-1.1134165685349999</v>
      </c>
      <c r="AH3534">
        <v>25.474247331727401</v>
      </c>
      <c r="AI3534">
        <v>92.433349939028503</v>
      </c>
      <c r="AJ3534">
        <v>76.475472920890098</v>
      </c>
      <c r="AK3534">
        <v>26.224445062951698</v>
      </c>
      <c r="AL3534">
        <v>78.397374613259501</v>
      </c>
      <c r="AM3534">
        <v>79.890184020298904</v>
      </c>
      <c r="AN3534">
        <v>0.99999996677652403</v>
      </c>
    </row>
    <row r="3535" spans="1:40" x14ac:dyDescent="0.25">
      <c r="A3535" t="str">
        <f>"20190303171046912"</f>
        <v>20190303171046912</v>
      </c>
      <c r="B3535" t="str">
        <f>"1551604246904582"</f>
        <v>1551604246904582</v>
      </c>
      <c r="C3535" t="s">
        <v>40</v>
      </c>
      <c r="D3535">
        <v>4.9886160000000004</v>
      </c>
      <c r="E3535">
        <v>0.52957369999999904</v>
      </c>
      <c r="F3535" t="s">
        <v>42</v>
      </c>
      <c r="G3535">
        <v>-238.4299</v>
      </c>
      <c r="H3535" s="1">
        <v>-1.9337819999999999E-6</v>
      </c>
      <c r="I3535">
        <v>144.41909999999999</v>
      </c>
      <c r="J3535">
        <v>-205.6481</v>
      </c>
      <c r="K3535">
        <v>1.1135999999999999</v>
      </c>
      <c r="L3535">
        <v>144.3511</v>
      </c>
      <c r="M3535">
        <v>-0.97442379999999995</v>
      </c>
      <c r="N3535">
        <v>-1.4511909999999999E-2</v>
      </c>
      <c r="O3535">
        <v>-0.2242489</v>
      </c>
      <c r="P3535">
        <v>-0.98013799999999995</v>
      </c>
      <c r="Q3535">
        <v>0.19043589999999999</v>
      </c>
      <c r="R3535">
        <v>-5.5348630000000003E-2</v>
      </c>
      <c r="S3535">
        <v>-3.082748</v>
      </c>
      <c r="T3535">
        <v>-0.1038057</v>
      </c>
      <c r="U3535">
        <v>1.1749270000000001E-3</v>
      </c>
      <c r="V3535">
        <v>0.1696771</v>
      </c>
      <c r="W3535">
        <v>0.20131660000000001</v>
      </c>
      <c r="X3535">
        <v>0.96471830000000003</v>
      </c>
      <c r="Y3535">
        <v>0.22442309999999999</v>
      </c>
      <c r="Z3535">
        <v>9.6320940000000008E-3</v>
      </c>
      <c r="AA3535">
        <v>0.97444419999999998</v>
      </c>
      <c r="AB3535">
        <v>26</v>
      </c>
      <c r="AC3535">
        <v>-32.781799999999997</v>
      </c>
      <c r="AD3535">
        <v>-1.113601933782</v>
      </c>
      <c r="AE3535">
        <v>6.7999999999983601E-2</v>
      </c>
      <c r="AF3535">
        <v>7.4097743113801799</v>
      </c>
      <c r="AG3535">
        <v>-1.113601933782</v>
      </c>
      <c r="AH3535">
        <v>31.894675854932601</v>
      </c>
      <c r="AI3535">
        <v>91.947836027104103</v>
      </c>
      <c r="AJ3535">
        <v>76.921046451815997</v>
      </c>
      <c r="AK3535">
        <v>32.763015925029499</v>
      </c>
      <c r="AL3535">
        <v>78.386039751676904</v>
      </c>
      <c r="AM3535">
        <v>80.0246988889335</v>
      </c>
      <c r="AN3535">
        <v>1.00000004502742</v>
      </c>
    </row>
    <row r="3536" spans="1:40" x14ac:dyDescent="0.25">
      <c r="A3536" t="str">
        <f>"20190303171046934"</f>
        <v>20190303171046934</v>
      </c>
      <c r="B3536" t="str">
        <f>"1551604246924102"</f>
        <v>1551604246924102</v>
      </c>
      <c r="C3536" t="s">
        <v>40</v>
      </c>
      <c r="D3536">
        <v>5.1338239999999997</v>
      </c>
      <c r="E3536">
        <v>0.5279085</v>
      </c>
      <c r="F3536" t="s">
        <v>42</v>
      </c>
      <c r="G3536">
        <v>-245.85919999999999</v>
      </c>
      <c r="H3536" s="1">
        <v>-3.0625520000000001E-6</v>
      </c>
      <c r="I3536">
        <v>144.51650000000001</v>
      </c>
      <c r="J3536">
        <v>-205.9102</v>
      </c>
      <c r="K3536">
        <v>1.113793</v>
      </c>
      <c r="L3536">
        <v>144.30260000000001</v>
      </c>
      <c r="M3536">
        <v>-0.97672550000000002</v>
      </c>
      <c r="N3536">
        <v>-1.4476370000000001E-2</v>
      </c>
      <c r="O3536">
        <v>-0.2140041</v>
      </c>
      <c r="P3536">
        <v>-0.98046109999999997</v>
      </c>
      <c r="Q3536">
        <v>0.19098799999999999</v>
      </c>
      <c r="R3536">
        <v>-4.7112979999999999E-2</v>
      </c>
      <c r="S3536">
        <v>-3.0780639999999999</v>
      </c>
      <c r="T3536">
        <v>-8.5243700000000006E-2</v>
      </c>
      <c r="U3536">
        <v>1.266479E-2</v>
      </c>
      <c r="V3536">
        <v>0.16753870000000001</v>
      </c>
      <c r="W3536">
        <v>0.20195370000000001</v>
      </c>
      <c r="X3536">
        <v>0.96495880000000001</v>
      </c>
      <c r="Y3536">
        <v>0.21789939999999999</v>
      </c>
      <c r="Z3536">
        <v>7.3700909999999996E-3</v>
      </c>
      <c r="AA3536">
        <v>0.97594340000000002</v>
      </c>
      <c r="AB3536">
        <v>26</v>
      </c>
      <c r="AC3536">
        <v>-39.948999999999899</v>
      </c>
      <c r="AD3536">
        <v>-1.113796062552</v>
      </c>
      <c r="AE3536">
        <v>0.21389999999999501</v>
      </c>
      <c r="AF3536">
        <v>8.7522859985552106</v>
      </c>
      <c r="AG3536">
        <v>-1.113796062552</v>
      </c>
      <c r="AH3536">
        <v>38.947241885465203</v>
      </c>
      <c r="AI3536">
        <v>91.598236170885599</v>
      </c>
      <c r="AJ3536">
        <v>77.3348006616975</v>
      </c>
      <c r="AK3536">
        <v>39.934079460460801</v>
      </c>
      <c r="AL3536">
        <v>78.348770600396506</v>
      </c>
      <c r="AM3536">
        <v>80.150343934815197</v>
      </c>
      <c r="AN3536">
        <v>0.99999999931940997</v>
      </c>
    </row>
    <row r="3537" spans="1:40" x14ac:dyDescent="0.25">
      <c r="A3537" t="str">
        <f>"20190303171046958"</f>
        <v>20190303171046958</v>
      </c>
      <c r="B3537" t="str">
        <f>"1551604246944129"</f>
        <v>1551604246944129</v>
      </c>
      <c r="C3537" t="s">
        <v>40</v>
      </c>
      <c r="D3537">
        <v>5.1962349999999997</v>
      </c>
      <c r="E3537">
        <v>0.52631399999999995</v>
      </c>
      <c r="F3537" t="s">
        <v>42</v>
      </c>
      <c r="G3537">
        <v>-257.07420000000002</v>
      </c>
      <c r="H3537" s="1">
        <v>-2.6067299999999999E-6</v>
      </c>
      <c r="I3537">
        <v>144.76220000000001</v>
      </c>
      <c r="J3537">
        <v>-206.1825</v>
      </c>
      <c r="K3537">
        <v>1.1140139999999901</v>
      </c>
      <c r="L3537">
        <v>144.2551</v>
      </c>
      <c r="M3537">
        <v>-0.97893719999999995</v>
      </c>
      <c r="N3537">
        <v>-1.443579E-2</v>
      </c>
      <c r="O3537">
        <v>-0.2036509</v>
      </c>
      <c r="P3537">
        <v>-0.9806376</v>
      </c>
      <c r="Q3537">
        <v>0.19217690000000001</v>
      </c>
      <c r="R3537">
        <v>-3.7661119999999999E-2</v>
      </c>
      <c r="S3537">
        <v>-3.0741420000000002</v>
      </c>
      <c r="T3537">
        <v>-6.6921469999999997E-2</v>
      </c>
      <c r="U3537">
        <v>2.7618409999999999E-2</v>
      </c>
      <c r="V3537">
        <v>0.16648669999999999</v>
      </c>
      <c r="W3537">
        <v>0.203207</v>
      </c>
      <c r="X3537">
        <v>0.96487780000000001</v>
      </c>
      <c r="Y3537">
        <v>0.212371</v>
      </c>
      <c r="Z3537">
        <v>5.3000310000000002E-3</v>
      </c>
      <c r="AA3537">
        <v>0.97717480000000001</v>
      </c>
      <c r="AB3537">
        <v>26</v>
      </c>
      <c r="AC3537">
        <v>-50.8917</v>
      </c>
      <c r="AD3537">
        <v>-1.1140166067299999</v>
      </c>
      <c r="AE3537">
        <v>0.50710000000000799</v>
      </c>
      <c r="AF3537">
        <v>10.856489114409399</v>
      </c>
      <c r="AG3537">
        <v>-1.1140166067299999</v>
      </c>
      <c r="AH3537">
        <v>49.6978735972585</v>
      </c>
      <c r="AI3537">
        <v>91.254539668589999</v>
      </c>
      <c r="AJ3537">
        <v>77.677330050074005</v>
      </c>
      <c r="AK3537">
        <v>50.882050164870897</v>
      </c>
      <c r="AL3537">
        <v>78.2754418141364</v>
      </c>
      <c r="AM3537">
        <v>80.210185291948605</v>
      </c>
      <c r="AN3537">
        <v>1.0000000375293601</v>
      </c>
    </row>
    <row r="3538" spans="1:40" x14ac:dyDescent="0.25">
      <c r="A3538" t="str">
        <f>"20190303171046977"</f>
        <v>20190303171046977</v>
      </c>
      <c r="B3538" t="str">
        <f>"1551604246964625"</f>
        <v>1551604246964625</v>
      </c>
      <c r="C3538" t="s">
        <v>40</v>
      </c>
      <c r="D3538">
        <v>5.2452389999999998</v>
      </c>
      <c r="E3538">
        <v>0.52475090000000002</v>
      </c>
      <c r="F3538" t="s">
        <v>42</v>
      </c>
      <c r="G3538">
        <v>-275.32209999999998</v>
      </c>
      <c r="H3538" s="1">
        <v>-3.4677989999999998E-6</v>
      </c>
      <c r="I3538">
        <v>145.26990000000001</v>
      </c>
      <c r="J3538">
        <v>-206.4067</v>
      </c>
      <c r="K3538">
        <v>1.1142080000000001</v>
      </c>
      <c r="L3538">
        <v>144.21789999999999</v>
      </c>
      <c r="M3538">
        <v>-0.98062640000000001</v>
      </c>
      <c r="N3538">
        <v>-1.44005E-2</v>
      </c>
      <c r="O3538">
        <v>-0.1953577</v>
      </c>
      <c r="P3538">
        <v>-0.98080780000000001</v>
      </c>
      <c r="Q3538">
        <v>0.19260430000000001</v>
      </c>
      <c r="R3538">
        <v>-3.032922E-2</v>
      </c>
      <c r="S3538">
        <v>-3.0706630000000001</v>
      </c>
      <c r="T3538">
        <v>-4.9476390000000002E-2</v>
      </c>
      <c r="U3538">
        <v>4.5074459999999997E-2</v>
      </c>
      <c r="V3538">
        <v>0.1654255</v>
      </c>
      <c r="W3538">
        <v>0.2036953</v>
      </c>
      <c r="X3538">
        <v>0.96495730000000002</v>
      </c>
      <c r="Y3538">
        <v>0.2097002</v>
      </c>
      <c r="Z3538">
        <v>3.506711E-3</v>
      </c>
      <c r="AA3538">
        <v>0.97775939999999995</v>
      </c>
      <c r="AB3538">
        <v>26</v>
      </c>
      <c r="AC3538">
        <v>-68.915399999999906</v>
      </c>
      <c r="AD3538">
        <v>-1.114211467799</v>
      </c>
      <c r="AE3538">
        <v>1.05200000000002</v>
      </c>
      <c r="AF3538">
        <v>14.4924877116812</v>
      </c>
      <c r="AG3538">
        <v>-1.114211467799</v>
      </c>
      <c r="AH3538">
        <v>67.364121753965094</v>
      </c>
      <c r="AI3538">
        <v>90.926401000437195</v>
      </c>
      <c r="AJ3538">
        <v>77.858639564838299</v>
      </c>
      <c r="AK3538">
        <v>68.914429308753995</v>
      </c>
      <c r="AL3538">
        <v>78.246865965595603</v>
      </c>
      <c r="AM3538">
        <v>80.272176385373399</v>
      </c>
      <c r="AN3538">
        <v>0.99999998105781396</v>
      </c>
    </row>
    <row r="3539" spans="1:40" x14ac:dyDescent="0.25">
      <c r="A3539" t="str">
        <f>"20190303171047000"</f>
        <v>20190303171047000</v>
      </c>
      <c r="B3539" t="str">
        <f>"1551604246993905"</f>
        <v>1551604246993905</v>
      </c>
      <c r="C3539" t="s">
        <v>40</v>
      </c>
      <c r="D3539">
        <v>5.2439309999999999</v>
      </c>
      <c r="E3539">
        <v>0.52266970000000001</v>
      </c>
      <c r="F3539" t="s">
        <v>42</v>
      </c>
      <c r="G3539">
        <v>-270.52350000000001</v>
      </c>
      <c r="H3539" s="1">
        <v>-5.116666E-6</v>
      </c>
      <c r="I3539">
        <v>145.3597</v>
      </c>
      <c r="J3539">
        <v>-206.6825</v>
      </c>
      <c r="K3539">
        <v>1.11443</v>
      </c>
      <c r="L3539">
        <v>144.1747</v>
      </c>
      <c r="M3539">
        <v>-0.98255519999999996</v>
      </c>
      <c r="N3539">
        <v>-1.4356570000000001E-2</v>
      </c>
      <c r="O3539">
        <v>-0.18541640000000001</v>
      </c>
      <c r="P3539">
        <v>-0.98114009999999996</v>
      </c>
      <c r="Q3539">
        <v>0.1920423</v>
      </c>
      <c r="R3539">
        <v>-2.1996189999999999E-2</v>
      </c>
      <c r="S3539">
        <v>-3.0708769999999999</v>
      </c>
      <c r="T3539">
        <v>-5.336523E-2</v>
      </c>
      <c r="U3539">
        <v>5.46875E-2</v>
      </c>
      <c r="V3539">
        <v>0.16374530000000001</v>
      </c>
      <c r="W3539">
        <v>0.20321210000000001</v>
      </c>
      <c r="X3539">
        <v>0.96534569999999997</v>
      </c>
      <c r="Y3539">
        <v>0.20284669999999999</v>
      </c>
      <c r="Z3539">
        <v>3.75523E-3</v>
      </c>
      <c r="AA3539">
        <v>0.9792033</v>
      </c>
      <c r="AB3539">
        <v>26</v>
      </c>
      <c r="AC3539">
        <v>-63.841000000000001</v>
      </c>
      <c r="AD3539">
        <v>-1.114435116666</v>
      </c>
      <c r="AE3539">
        <v>1.1850000000000001</v>
      </c>
      <c r="AF3539">
        <v>12.998876172043801</v>
      </c>
      <c r="AG3539">
        <v>-1.114435116666</v>
      </c>
      <c r="AH3539">
        <v>62.494991219560802</v>
      </c>
      <c r="AI3539">
        <v>91.000209771342796</v>
      </c>
      <c r="AJ3539">
        <v>78.250088490133706</v>
      </c>
      <c r="AK3539">
        <v>63.8422796812455</v>
      </c>
      <c r="AL3539">
        <v>78.275142940756297</v>
      </c>
      <c r="AM3539">
        <v>80.372922875377199</v>
      </c>
      <c r="AN3539">
        <v>1.0000000006834899</v>
      </c>
    </row>
    <row r="3540" spans="1:40" x14ac:dyDescent="0.25">
      <c r="A3540" t="str">
        <f>"20190303171047022"</f>
        <v>20190303171047022</v>
      </c>
      <c r="B3540" t="str">
        <f>"1551604247014401"</f>
        <v>1551604247014401</v>
      </c>
      <c r="C3540" t="s">
        <v>40</v>
      </c>
      <c r="D3540">
        <v>5.1850430000000003</v>
      </c>
      <c r="E3540">
        <v>0.52129009999999998</v>
      </c>
      <c r="F3540" t="s">
        <v>42</v>
      </c>
      <c r="G3540">
        <v>-262.59980000000002</v>
      </c>
      <c r="H3540" s="1">
        <v>-4.4074380000000001E-6</v>
      </c>
      <c r="I3540">
        <v>145.34460000000001</v>
      </c>
      <c r="J3540">
        <v>-206.94399999999999</v>
      </c>
      <c r="K3540">
        <v>1.11463</v>
      </c>
      <c r="L3540">
        <v>144.1361</v>
      </c>
      <c r="M3540">
        <v>-0.98424259999999997</v>
      </c>
      <c r="N3540">
        <v>-1.4316789999999999E-2</v>
      </c>
      <c r="O3540">
        <v>-0.17624289999999901</v>
      </c>
      <c r="P3540">
        <v>-0.9813461</v>
      </c>
      <c r="Q3540">
        <v>0.1917121</v>
      </c>
      <c r="R3540">
        <v>-1.4360929999999999E-2</v>
      </c>
      <c r="S3540">
        <v>-3.0710600000000001</v>
      </c>
      <c r="T3540">
        <v>-6.1206459999999997E-2</v>
      </c>
      <c r="U3540">
        <v>6.4254759999999994E-2</v>
      </c>
      <c r="V3540">
        <v>0.16215370000000001</v>
      </c>
      <c r="W3540">
        <v>0.20295250000000001</v>
      </c>
      <c r="X3540">
        <v>0.96566890000000005</v>
      </c>
      <c r="Y3540">
        <v>0.19674359999999999</v>
      </c>
      <c r="Z3540">
        <v>4.336744E-3</v>
      </c>
      <c r="AA3540">
        <v>0.98044540000000002</v>
      </c>
      <c r="AB3540">
        <v>26</v>
      </c>
      <c r="AC3540">
        <v>-55.655799999999999</v>
      </c>
      <c r="AD3540">
        <v>-1.1146344074379999</v>
      </c>
      <c r="AE3540">
        <v>1.2085000000000099</v>
      </c>
      <c r="AF3540">
        <v>10.995116004827601</v>
      </c>
      <c r="AG3540">
        <v>-1.1146344074379999</v>
      </c>
      <c r="AH3540">
        <v>54.549543019764201</v>
      </c>
      <c r="AI3540">
        <v>91.147514788389003</v>
      </c>
      <c r="AJ3540">
        <v>78.604038554505394</v>
      </c>
      <c r="AK3540">
        <v>55.657772408595001</v>
      </c>
      <c r="AL3540">
        <v>78.290333249160497</v>
      </c>
      <c r="AM3540">
        <v>80.467904183354904</v>
      </c>
      <c r="AN3540">
        <v>0.99999998205357399</v>
      </c>
    </row>
    <row r="3541" spans="1:40" x14ac:dyDescent="0.25">
      <c r="A3541" t="str">
        <f>"20190303171047049"</f>
        <v>20190303171047049</v>
      </c>
      <c r="B3541" t="str">
        <f>"1551604247034428"</f>
        <v>1551604247034428</v>
      </c>
      <c r="C3541" t="s">
        <v>40</v>
      </c>
      <c r="D3541">
        <v>5.2457510000000003</v>
      </c>
      <c r="E3541">
        <v>0.51999169999999995</v>
      </c>
      <c r="F3541" t="s">
        <v>42</v>
      </c>
      <c r="G3541">
        <v>-259.32380000000001</v>
      </c>
      <c r="H3541" s="1">
        <v>-1.8290340000000001E-6</v>
      </c>
      <c r="I3541">
        <v>145.46639999999999</v>
      </c>
      <c r="J3541">
        <v>-207.22309999999999</v>
      </c>
      <c r="K3541">
        <v>1.1148499999999999</v>
      </c>
      <c r="L3541">
        <v>144.09719999999999</v>
      </c>
      <c r="M3541">
        <v>-0.98589439999999995</v>
      </c>
      <c r="N3541">
        <v>-1.4273370000000001E-2</v>
      </c>
      <c r="O3541">
        <v>-0.1667592</v>
      </c>
      <c r="P3541">
        <v>-0.98139390000000004</v>
      </c>
      <c r="Q3541">
        <v>0.1919187</v>
      </c>
      <c r="R3541">
        <v>-5.7750040000000002E-3</v>
      </c>
      <c r="S3541">
        <v>-3.0709379999999999</v>
      </c>
      <c r="T3541">
        <v>-6.5349099999999993E-2</v>
      </c>
      <c r="U3541">
        <v>7.8002929999999998E-2</v>
      </c>
      <c r="V3541">
        <v>0.1611909</v>
      </c>
      <c r="W3541">
        <v>0.2032177</v>
      </c>
      <c r="X3541">
        <v>0.96577429999999997</v>
      </c>
      <c r="Y3541">
        <v>0.19168279999999999</v>
      </c>
      <c r="Z3541">
        <v>4.5574709999999996E-3</v>
      </c>
      <c r="AA3541">
        <v>0.98144629999999999</v>
      </c>
      <c r="AB3541">
        <v>26</v>
      </c>
      <c r="AC3541">
        <v>-52.100700000000003</v>
      </c>
      <c r="AD3541">
        <v>-1.1148518290339999</v>
      </c>
      <c r="AE3541">
        <v>1.3692</v>
      </c>
      <c r="AF3541">
        <v>10.034588291973201</v>
      </c>
      <c r="AG3541">
        <v>-1.1148518290339999</v>
      </c>
      <c r="AH3541">
        <v>51.119278191233697</v>
      </c>
      <c r="AI3541">
        <v>91.225966750394406</v>
      </c>
      <c r="AJ3541">
        <v>78.894188564374204</v>
      </c>
      <c r="AK3541">
        <v>52.1067794013682</v>
      </c>
      <c r="AL3541">
        <v>78.274814872251397</v>
      </c>
      <c r="AM3541">
        <v>80.524487665068605</v>
      </c>
      <c r="AN3541">
        <v>0.99999996918829404</v>
      </c>
    </row>
    <row r="3542" spans="1:40" x14ac:dyDescent="0.25">
      <c r="A3542" t="str">
        <f>"20190303171047071"</f>
        <v>20190303171047071</v>
      </c>
      <c r="B3542" t="str">
        <f>"1551604247053948"</f>
        <v>1551604247053948</v>
      </c>
      <c r="C3542" t="s">
        <v>40</v>
      </c>
      <c r="D3542">
        <v>5.0693929999999998</v>
      </c>
      <c r="E3542">
        <v>0.51873570000000002</v>
      </c>
      <c r="F3542" t="s">
        <v>42</v>
      </c>
      <c r="G3542">
        <v>-258.12740000000002</v>
      </c>
      <c r="H3542" s="1">
        <v>-2.393192E-6</v>
      </c>
      <c r="I3542">
        <v>145.65790000000001</v>
      </c>
      <c r="J3542">
        <v>-207.50739999999999</v>
      </c>
      <c r="K3542">
        <v>1.115103</v>
      </c>
      <c r="L3542">
        <v>144.06010000000001</v>
      </c>
      <c r="M3542">
        <v>-0.98742410000000003</v>
      </c>
      <c r="N3542">
        <v>-1.4225430000000001E-2</v>
      </c>
      <c r="O3542">
        <v>-0.1574526</v>
      </c>
      <c r="P3542">
        <v>-0.98119069999999997</v>
      </c>
      <c r="Q3542">
        <v>0.1930066</v>
      </c>
      <c r="R3542">
        <v>3.6574400000000001E-3</v>
      </c>
      <c r="S3542">
        <v>-3.0706020000000001</v>
      </c>
      <c r="T3542">
        <v>-6.7249059999999999E-2</v>
      </c>
      <c r="U3542">
        <v>9.4146729999999998E-2</v>
      </c>
      <c r="V3542">
        <v>0.161224799999999</v>
      </c>
      <c r="W3542">
        <v>0.2043498</v>
      </c>
      <c r="X3542">
        <v>0.96552969999999905</v>
      </c>
      <c r="Y3542">
        <v>0.1875801</v>
      </c>
      <c r="Z3542">
        <v>4.5816059999999898E-3</v>
      </c>
      <c r="AA3542">
        <v>0.98223859999999996</v>
      </c>
      <c r="AB3542">
        <v>26</v>
      </c>
      <c r="AC3542">
        <v>-50.62</v>
      </c>
      <c r="AD3542">
        <v>-1.1151053931920001</v>
      </c>
      <c r="AE3542">
        <v>1.5978000000000001</v>
      </c>
      <c r="AF3542">
        <v>9.5442958888238003</v>
      </c>
      <c r="AG3542">
        <v>-1.1151053931920001</v>
      </c>
      <c r="AH3542">
        <v>49.7127616215327</v>
      </c>
      <c r="AI3542">
        <v>91.261944990032603</v>
      </c>
      <c r="AJ3542">
        <v>79.132090846116697</v>
      </c>
      <c r="AK3542">
        <v>50.632950853082697</v>
      </c>
      <c r="AL3542">
        <v>78.208559659090696</v>
      </c>
      <c r="AM3542">
        <v>80.520173644325993</v>
      </c>
      <c r="AN3542">
        <v>0.99999993923858299</v>
      </c>
    </row>
    <row r="3543" spans="1:40" x14ac:dyDescent="0.25">
      <c r="A3543" t="str">
        <f>"20190303171047091"</f>
        <v>20190303171047091</v>
      </c>
      <c r="B3543" t="str">
        <f>"1551604247084204"</f>
        <v>1551604247084204</v>
      </c>
      <c r="C3543" t="s">
        <v>40</v>
      </c>
      <c r="D3543">
        <v>5.0790649999999999</v>
      </c>
      <c r="E3543">
        <v>0.51668080000000005</v>
      </c>
      <c r="F3543" t="s">
        <v>42</v>
      </c>
      <c r="G3543">
        <v>-258.72050000000002</v>
      </c>
      <c r="H3543" s="1">
        <v>-2.2150349999999999E-6</v>
      </c>
      <c r="I3543">
        <v>145.94450000000001</v>
      </c>
      <c r="J3543">
        <v>-207.733</v>
      </c>
      <c r="K3543">
        <v>1.1153310000000001</v>
      </c>
      <c r="L3543">
        <v>144.03219999999999</v>
      </c>
      <c r="M3543">
        <v>-0.98852960000000001</v>
      </c>
      <c r="N3543">
        <v>-1.418467E-2</v>
      </c>
      <c r="O3543">
        <v>-0.15036050000000001</v>
      </c>
      <c r="P3543">
        <v>-0.9812071</v>
      </c>
      <c r="Q3543">
        <v>0.1927074</v>
      </c>
      <c r="R3543">
        <v>9.8205259999999996E-3</v>
      </c>
      <c r="S3543">
        <v>-3.0702210000000001</v>
      </c>
      <c r="T3543">
        <v>-6.685054E-2</v>
      </c>
      <c r="U3543">
        <v>0.1129761</v>
      </c>
      <c r="V3543">
        <v>0.16024869999999999</v>
      </c>
      <c r="W3543">
        <v>0.20411399999999999</v>
      </c>
      <c r="X3543">
        <v>0.96574210000000005</v>
      </c>
      <c r="Y3543">
        <v>0.1865513</v>
      </c>
      <c r="Z3543">
        <v>4.482509E-3</v>
      </c>
      <c r="AA3543">
        <v>0.98243499999999995</v>
      </c>
      <c r="AB3543">
        <v>26</v>
      </c>
      <c r="AC3543">
        <v>-50.987499999999997</v>
      </c>
      <c r="AD3543">
        <v>-1.1153332150349999</v>
      </c>
      <c r="AE3543">
        <v>1.9123000000000101</v>
      </c>
      <c r="AF3543">
        <v>9.5532667031136196</v>
      </c>
      <c r="AG3543">
        <v>-1.1153332150349999</v>
      </c>
      <c r="AH3543">
        <v>50.096217307798703</v>
      </c>
      <c r="AI3543">
        <v>91.252842736233305</v>
      </c>
      <c r="AJ3543">
        <v>79.203418682476496</v>
      </c>
      <c r="AK3543">
        <v>51.011173887997998</v>
      </c>
      <c r="AL3543">
        <v>78.222361473875694</v>
      </c>
      <c r="AM3543">
        <v>80.578570068469901</v>
      </c>
      <c r="AN3543">
        <v>0.99999998728005002</v>
      </c>
    </row>
    <row r="3544" spans="1:40" x14ac:dyDescent="0.25">
      <c r="A3544" t="str">
        <f>"20190303171047113"</f>
        <v>20190303171047113</v>
      </c>
      <c r="B3544" t="str">
        <f>"1551604247104700"</f>
        <v>1551604247104700</v>
      </c>
      <c r="C3544" t="s">
        <v>40</v>
      </c>
      <c r="D3544">
        <v>5.0197629999999904</v>
      </c>
      <c r="E3544">
        <v>0.51536599999999999</v>
      </c>
      <c r="F3544" t="s">
        <v>42</v>
      </c>
      <c r="G3544">
        <v>-256.34870000000001</v>
      </c>
      <c r="H3544" s="1">
        <v>-3.2133210000000002E-6</v>
      </c>
      <c r="I3544">
        <v>145.8723</v>
      </c>
      <c r="J3544">
        <v>-208.00239999999999</v>
      </c>
      <c r="K3544">
        <v>1.115634</v>
      </c>
      <c r="L3544">
        <v>144.00069999999999</v>
      </c>
      <c r="M3544">
        <v>-0.98973060000000002</v>
      </c>
      <c r="N3544">
        <v>-1.4134239999999999E-2</v>
      </c>
      <c r="O3544">
        <v>-0.14224529999999999</v>
      </c>
      <c r="P3544">
        <v>-0.98124109999999998</v>
      </c>
      <c r="Q3544">
        <v>0.1921002</v>
      </c>
      <c r="R3544">
        <v>1.6236939999999998E-2</v>
      </c>
      <c r="S3544">
        <v>-3.0701290000000001</v>
      </c>
      <c r="T3544">
        <v>-7.0434570000000002E-2</v>
      </c>
      <c r="U3544">
        <v>0.11621090000000001</v>
      </c>
      <c r="V3544">
        <v>0.15849460000000001</v>
      </c>
      <c r="W3544">
        <v>0.20360329999999999</v>
      </c>
      <c r="X3544">
        <v>0.96613930000000003</v>
      </c>
      <c r="Y3544">
        <v>0.1795166</v>
      </c>
      <c r="Z3544">
        <v>4.5697159999999997E-3</v>
      </c>
      <c r="AA3544">
        <v>0.98374430000000002</v>
      </c>
      <c r="AB3544">
        <v>26</v>
      </c>
      <c r="AC3544">
        <v>-48.346299999999999</v>
      </c>
      <c r="AD3544">
        <v>-1.115637213321</v>
      </c>
      <c r="AE3544">
        <v>1.8715999999999999</v>
      </c>
      <c r="AF3544">
        <v>8.7256456734219796</v>
      </c>
      <c r="AG3544">
        <v>-1.115637213321</v>
      </c>
      <c r="AH3544">
        <v>47.563046674793704</v>
      </c>
      <c r="AI3544">
        <v>91.321633434051094</v>
      </c>
      <c r="AJ3544">
        <v>79.604436548780697</v>
      </c>
      <c r="AK3544">
        <v>48.369669709420798</v>
      </c>
      <c r="AL3544">
        <v>78.252250166085005</v>
      </c>
      <c r="AM3544">
        <v>80.683643244615496</v>
      </c>
      <c r="AN3544">
        <v>0.99999999450226995</v>
      </c>
    </row>
    <row r="3545" spans="1:40" x14ac:dyDescent="0.25">
      <c r="A3545" t="str">
        <f>"20190303171047135"</f>
        <v>20190303171047135</v>
      </c>
      <c r="B3545" t="str">
        <f>"1551604247124220"</f>
        <v>1551604247124220</v>
      </c>
      <c r="C3545" t="s">
        <v>40</v>
      </c>
      <c r="D3545">
        <v>5.1091680000000004</v>
      </c>
      <c r="E3545">
        <v>0.5142099</v>
      </c>
      <c r="F3545" t="s">
        <v>42</v>
      </c>
      <c r="G3545">
        <v>-254.09649999999999</v>
      </c>
      <c r="H3545" s="1">
        <v>-3.9971960000000003E-6</v>
      </c>
      <c r="I3545">
        <v>145.9032</v>
      </c>
      <c r="J3545">
        <v>-208.25710000000001</v>
      </c>
      <c r="K3545">
        <v>1.1159410000000001</v>
      </c>
      <c r="L3545">
        <v>143.9725</v>
      </c>
      <c r="M3545">
        <v>-0.99074969999999996</v>
      </c>
      <c r="N3545">
        <v>-1.4085169999999999E-2</v>
      </c>
      <c r="O3545">
        <v>-0.13497020000000001</v>
      </c>
      <c r="P3545">
        <v>-0.98113640000000002</v>
      </c>
      <c r="Q3545">
        <v>0.19197610000000001</v>
      </c>
      <c r="R3545">
        <v>2.273741E-2</v>
      </c>
      <c r="S3545">
        <v>-3.0697939999999999</v>
      </c>
      <c r="T3545">
        <v>-7.429993E-2</v>
      </c>
      <c r="U3545">
        <v>0.12670899999999999</v>
      </c>
      <c r="V3545">
        <v>0.157642</v>
      </c>
      <c r="W3545">
        <v>0.2035632</v>
      </c>
      <c r="X3545">
        <v>0.96628729999999996</v>
      </c>
      <c r="Y3545">
        <v>0.17564440000000001</v>
      </c>
      <c r="Z3545">
        <v>4.7186279999999999E-3</v>
      </c>
      <c r="AA3545">
        <v>0.98444240000000005</v>
      </c>
      <c r="AB3545">
        <v>26</v>
      </c>
      <c r="AC3545">
        <v>-45.839399999999898</v>
      </c>
      <c r="AD3545">
        <v>-1.115944997196</v>
      </c>
      <c r="AE3545">
        <v>1.9307000000000001</v>
      </c>
      <c r="AF3545">
        <v>8.0958061553678</v>
      </c>
      <c r="AG3545">
        <v>-1.115944997196</v>
      </c>
      <c r="AH3545">
        <v>45.1325565373415</v>
      </c>
      <c r="AI3545">
        <v>91.394160440994796</v>
      </c>
      <c r="AJ3545">
        <v>79.830526893658401</v>
      </c>
      <c r="AK3545">
        <v>45.866491801078297</v>
      </c>
      <c r="AL3545">
        <v>78.254597668765399</v>
      </c>
      <c r="AM3545">
        <v>80.734282314180405</v>
      </c>
      <c r="AN3545">
        <v>1.0000000613497599</v>
      </c>
    </row>
    <row r="3546" spans="1:40" x14ac:dyDescent="0.25">
      <c r="A3546" t="str">
        <f>"20190303171047158"</f>
        <v>20190303171047158</v>
      </c>
      <c r="B3546" t="str">
        <f>"1551604247144716"</f>
        <v>1551604247144716</v>
      </c>
      <c r="C3546" t="s">
        <v>40</v>
      </c>
      <c r="D3546">
        <v>5.081658</v>
      </c>
      <c r="E3546">
        <v>0.51302490000000001</v>
      </c>
      <c r="F3546" t="s">
        <v>42</v>
      </c>
      <c r="G3546">
        <v>-253.07140000000001</v>
      </c>
      <c r="H3546" s="1">
        <v>-4.3591910000000001E-6</v>
      </c>
      <c r="I3546">
        <v>145.97749999999999</v>
      </c>
      <c r="J3546">
        <v>-208.51849999999999</v>
      </c>
      <c r="K3546">
        <v>1.1162799999999999</v>
      </c>
      <c r="L3546">
        <v>143.9452</v>
      </c>
      <c r="M3546">
        <v>-0.99168089999999998</v>
      </c>
      <c r="N3546">
        <v>-1.4034090000000001E-2</v>
      </c>
      <c r="O3546">
        <v>-0.1279536</v>
      </c>
      <c r="P3546">
        <v>-0.98095480000000002</v>
      </c>
      <c r="Q3546">
        <v>0.19191749999999999</v>
      </c>
      <c r="R3546">
        <v>2.992527E-2</v>
      </c>
      <c r="S3546">
        <v>-3.069458</v>
      </c>
      <c r="T3546">
        <v>-7.6434370000000001E-2</v>
      </c>
      <c r="U3546">
        <v>0.13732910000000001</v>
      </c>
      <c r="V3546">
        <v>0.15771479999999999</v>
      </c>
      <c r="W3546">
        <v>0.2035814</v>
      </c>
      <c r="X3546">
        <v>0.96627149999999995</v>
      </c>
      <c r="Y3546">
        <v>0.17207610000000001</v>
      </c>
      <c r="Z3546">
        <v>4.73217E-3</v>
      </c>
      <c r="AA3546">
        <v>0.98507230000000001</v>
      </c>
      <c r="AB3546">
        <v>26</v>
      </c>
      <c r="AC3546">
        <v>-44.552900000000001</v>
      </c>
      <c r="AD3546">
        <v>-1.1162843591910001</v>
      </c>
      <c r="AE3546">
        <v>2.03229999999999</v>
      </c>
      <c r="AF3546">
        <v>7.7120253863644299</v>
      </c>
      <c r="AG3546">
        <v>-1.1162843591910001</v>
      </c>
      <c r="AH3546">
        <v>43.899042865776501</v>
      </c>
      <c r="AI3546">
        <v>91.434667749388595</v>
      </c>
      <c r="AJ3546">
        <v>80.036156093381095</v>
      </c>
      <c r="AK3546">
        <v>44.585282222520298</v>
      </c>
      <c r="AL3546">
        <v>78.253531591286702</v>
      </c>
      <c r="AM3546">
        <v>80.729928670329201</v>
      </c>
      <c r="AN3546">
        <v>0.99999997813862396</v>
      </c>
    </row>
    <row r="3547" spans="1:40" x14ac:dyDescent="0.25">
      <c r="A3547" t="str">
        <f>"20190303171047179"</f>
        <v>20190303171047179</v>
      </c>
      <c r="B3547" t="str">
        <f>"1551604247173996"</f>
        <v>1551604247173996</v>
      </c>
      <c r="C3547" t="s">
        <v>40</v>
      </c>
      <c r="D3547">
        <v>5.1415559999999996</v>
      </c>
      <c r="E3547">
        <v>0.51149709999999904</v>
      </c>
      <c r="F3547" t="s">
        <v>42</v>
      </c>
      <c r="G3547">
        <v>-252.64570000000001</v>
      </c>
      <c r="H3547" s="1">
        <v>-4.5247379999999998E-6</v>
      </c>
      <c r="I3547">
        <v>146.09389999999999</v>
      </c>
      <c r="J3547">
        <v>-208.76900000000001</v>
      </c>
      <c r="K3547">
        <v>1.1166199999999999</v>
      </c>
      <c r="L3547">
        <v>143.92019999999999</v>
      </c>
      <c r="M3547">
        <v>-0.99247030000000003</v>
      </c>
      <c r="N3547">
        <v>-1.398507E-2</v>
      </c>
      <c r="O3547">
        <v>-0.121685</v>
      </c>
      <c r="P3547">
        <v>-0.98089079999999995</v>
      </c>
      <c r="Q3547">
        <v>0.1912587</v>
      </c>
      <c r="R3547">
        <v>3.5682190000000003E-2</v>
      </c>
      <c r="S3547">
        <v>-3.0688780000000002</v>
      </c>
      <c r="T3547">
        <v>-7.7633499999999994E-2</v>
      </c>
      <c r="U3547">
        <v>0.14944460000000001</v>
      </c>
      <c r="V3547">
        <v>0.1571226</v>
      </c>
      <c r="W3547">
        <v>0.20300989999999999</v>
      </c>
      <c r="X3547">
        <v>0.96648820000000002</v>
      </c>
      <c r="Y3547">
        <v>0.1697388</v>
      </c>
      <c r="Z3547">
        <v>4.7031449999999997E-3</v>
      </c>
      <c r="AA3547">
        <v>0.98547790000000002</v>
      </c>
      <c r="AB3547">
        <v>26</v>
      </c>
      <c r="AC3547">
        <v>-43.8767</v>
      </c>
      <c r="AD3547">
        <v>-1.116624524738</v>
      </c>
      <c r="AE3547">
        <v>2.17369999999999</v>
      </c>
      <c r="AF3547">
        <v>7.4923610696782799</v>
      </c>
      <c r="AG3547">
        <v>-1.116624524738</v>
      </c>
      <c r="AH3547">
        <v>43.2580976709936</v>
      </c>
      <c r="AI3547">
        <v>91.456969344929504</v>
      </c>
      <c r="AJ3547">
        <v>80.173777516156505</v>
      </c>
      <c r="AK3547">
        <v>43.916344780057699</v>
      </c>
      <c r="AL3547">
        <v>78.286974597039602</v>
      </c>
      <c r="AM3547">
        <v>80.766170854750797</v>
      </c>
      <c r="AN3547">
        <v>0.99999998583400496</v>
      </c>
    </row>
    <row r="3548" spans="1:40" x14ac:dyDescent="0.25">
      <c r="A3548" t="str">
        <f>"20190303171047203"</f>
        <v>20190303171047203</v>
      </c>
      <c r="B3548" t="str">
        <f>"1551604247194493"</f>
        <v>1551604247194493</v>
      </c>
      <c r="C3548" t="s">
        <v>40</v>
      </c>
      <c r="D3548">
        <v>4.8984129999999997</v>
      </c>
      <c r="E3548">
        <v>0.5104339</v>
      </c>
      <c r="F3548" t="s">
        <v>42</v>
      </c>
      <c r="G3548">
        <v>-249.71250000000001</v>
      </c>
      <c r="H3548" s="1">
        <v>-1.7974689999999999E-6</v>
      </c>
      <c r="I3548">
        <v>145.97470000000001</v>
      </c>
      <c r="J3548">
        <v>-209.04679999999999</v>
      </c>
      <c r="K3548">
        <v>1.116949</v>
      </c>
      <c r="L3548">
        <v>143.89400000000001</v>
      </c>
      <c r="M3548">
        <v>-0.99324829999999997</v>
      </c>
      <c r="N3548">
        <v>-1.3932679999999999E-2</v>
      </c>
      <c r="O3548">
        <v>-0.115167699999999</v>
      </c>
      <c r="P3548">
        <v>-0.98085049999999996</v>
      </c>
      <c r="Q3548">
        <v>0.19047610000000001</v>
      </c>
      <c r="R3548">
        <v>4.0635820000000003E-2</v>
      </c>
      <c r="S3548">
        <v>-3.0691679999999999</v>
      </c>
      <c r="T3548">
        <v>-8.3703040000000006E-2</v>
      </c>
      <c r="U3548">
        <v>0.15400700000000001</v>
      </c>
      <c r="V3548">
        <v>0.1555009</v>
      </c>
      <c r="W3548">
        <v>0.202324</v>
      </c>
      <c r="X3548">
        <v>0.96689429999999998</v>
      </c>
      <c r="Y3548">
        <v>0.16471379999999999</v>
      </c>
      <c r="Z3548">
        <v>4.9230919999999996E-3</v>
      </c>
      <c r="AA3548">
        <v>0.98632909999999996</v>
      </c>
      <c r="AB3548">
        <v>26</v>
      </c>
      <c r="AC3548">
        <v>-40.665700000000001</v>
      </c>
      <c r="AD3548">
        <v>-1.1169507974690001</v>
      </c>
      <c r="AE3548">
        <v>2.0807000000000002</v>
      </c>
      <c r="AF3548">
        <v>6.7456067371233503</v>
      </c>
      <c r="AG3548">
        <v>-1.1169507974690001</v>
      </c>
      <c r="AH3548">
        <v>40.1252154380512</v>
      </c>
      <c r="AI3548">
        <v>91.572455224695801</v>
      </c>
      <c r="AJ3548">
        <v>80.457017113143806</v>
      </c>
      <c r="AK3548">
        <v>40.703607988554403</v>
      </c>
      <c r="AL3548">
        <v>78.327107471682794</v>
      </c>
      <c r="AM3548">
        <v>80.863632709677404</v>
      </c>
      <c r="AN3548">
        <v>1.0000000591246401</v>
      </c>
    </row>
    <row r="3549" spans="1:40" x14ac:dyDescent="0.25">
      <c r="A3549" t="str">
        <f>"20190303171047224"</f>
        <v>20190303171047224</v>
      </c>
      <c r="B3549" t="str">
        <f>"1551604247214012"</f>
        <v>1551604247214012</v>
      </c>
      <c r="C3549" t="s">
        <v>40</v>
      </c>
      <c r="D3549">
        <v>5.1231369999999998</v>
      </c>
      <c r="E3549">
        <v>0.50987899999999997</v>
      </c>
      <c r="F3549" t="s">
        <v>42</v>
      </c>
      <c r="G3549">
        <v>-248.28819999999999</v>
      </c>
      <c r="H3549" s="1">
        <v>-2.4059339999999998E-6</v>
      </c>
      <c r="I3549">
        <v>145.96510000000001</v>
      </c>
      <c r="J3549">
        <v>-209.2921</v>
      </c>
      <c r="K3549">
        <v>1.117221</v>
      </c>
      <c r="L3549">
        <v>143.87190000000001</v>
      </c>
      <c r="M3549">
        <v>-0.9938572</v>
      </c>
      <c r="N3549">
        <v>-1.388878E-2</v>
      </c>
      <c r="O3549">
        <v>-0.1097952</v>
      </c>
      <c r="P3549">
        <v>-0.98077389999999998</v>
      </c>
      <c r="Q3549">
        <v>0.1900202</v>
      </c>
      <c r="R3549">
        <v>4.4438869999999998E-2</v>
      </c>
      <c r="S3549">
        <v>-3.0688019999999998</v>
      </c>
      <c r="T3549">
        <v>-8.7349179999999998E-2</v>
      </c>
      <c r="U3549">
        <v>0.161972</v>
      </c>
      <c r="V3549">
        <v>0.15388729999999901</v>
      </c>
      <c r="W3549">
        <v>0.20194809999999999</v>
      </c>
      <c r="X3549">
        <v>0.9672309</v>
      </c>
      <c r="Y3549">
        <v>0.161932399999999</v>
      </c>
      <c r="Z3549">
        <v>5.0231260000000002E-3</v>
      </c>
      <c r="AA3549">
        <v>0.98678900000000003</v>
      </c>
      <c r="AB3549">
        <v>26</v>
      </c>
      <c r="AC3549">
        <v>-38.996099999999899</v>
      </c>
      <c r="AD3549">
        <v>-1.117223405934</v>
      </c>
      <c r="AE3549">
        <v>2.0931999999999902</v>
      </c>
      <c r="AF3549">
        <v>6.3573370078854401</v>
      </c>
      <c r="AG3549">
        <v>-1.117223405934</v>
      </c>
      <c r="AH3549">
        <v>38.4989383322511</v>
      </c>
      <c r="AI3549">
        <v>91.640036053965403</v>
      </c>
      <c r="AJ3549">
        <v>80.623353406899895</v>
      </c>
      <c r="AK3549">
        <v>39.036293044820098</v>
      </c>
      <c r="AL3549">
        <v>78.349097920215399</v>
      </c>
      <c r="AM3549">
        <v>80.9599592782332</v>
      </c>
      <c r="AN3549">
        <v>0.99999997505485405</v>
      </c>
    </row>
    <row r="3550" spans="1:40" x14ac:dyDescent="0.25">
      <c r="A3550" t="str">
        <f>"20190303171047249"</f>
        <v>20190303171047249</v>
      </c>
      <c r="B3550" t="str">
        <f>"1551604247234508"</f>
        <v>1551604247234508</v>
      </c>
      <c r="C3550" t="s">
        <v>40</v>
      </c>
      <c r="D3550">
        <v>5.1504479999999999</v>
      </c>
      <c r="E3550">
        <v>0.50870029999999999</v>
      </c>
      <c r="F3550" t="s">
        <v>42</v>
      </c>
      <c r="G3550">
        <v>-247.56809999999999</v>
      </c>
      <c r="H3550" s="1">
        <v>-2.7188550000000002E-6</v>
      </c>
      <c r="I3550">
        <v>145.98009999999999</v>
      </c>
      <c r="J3550">
        <v>-209.5797</v>
      </c>
      <c r="K3550">
        <v>1.1175580000000001</v>
      </c>
      <c r="L3550">
        <v>143.84710000000001</v>
      </c>
      <c r="M3550">
        <v>-0.99447960000000002</v>
      </c>
      <c r="N3550">
        <v>-1.3837220000000001E-2</v>
      </c>
      <c r="O3550">
        <v>-0.1040131</v>
      </c>
      <c r="P3550">
        <v>-0.98057179999999999</v>
      </c>
      <c r="Q3550">
        <v>0.18972639999999999</v>
      </c>
      <c r="R3550">
        <v>4.982603E-2</v>
      </c>
      <c r="S3550">
        <v>-3.0685120000000001</v>
      </c>
      <c r="T3550">
        <v>-8.9565629999999993E-2</v>
      </c>
      <c r="U3550">
        <v>0.16902159999999999</v>
      </c>
      <c r="V3550">
        <v>0.1534124</v>
      </c>
      <c r="W3550">
        <v>0.2017342</v>
      </c>
      <c r="X3550">
        <v>0.96735099999999996</v>
      </c>
      <c r="Y3550">
        <v>0.15845509999999999</v>
      </c>
      <c r="Z3550">
        <v>4.9999229999999999E-3</v>
      </c>
      <c r="AA3550">
        <v>0.9873535</v>
      </c>
      <c r="AB3550">
        <v>26</v>
      </c>
      <c r="AC3550">
        <v>-37.988399999999899</v>
      </c>
      <c r="AD3550">
        <v>-1.1175607188550001</v>
      </c>
      <c r="AE3550">
        <v>2.13299999999998</v>
      </c>
      <c r="AF3550">
        <v>6.06786315887984</v>
      </c>
      <c r="AG3550">
        <v>-1.1175607188550001</v>
      </c>
      <c r="AH3550">
        <v>37.528050909908302</v>
      </c>
      <c r="AI3550">
        <v>91.683870523424403</v>
      </c>
      <c r="AJ3550">
        <v>80.815405666000203</v>
      </c>
      <c r="AK3550">
        <v>38.031861778933298</v>
      </c>
      <c r="AL3550">
        <v>78.3616113774345</v>
      </c>
      <c r="AM3550">
        <v>80.988499045123007</v>
      </c>
      <c r="AN3550">
        <v>1.0000000045622</v>
      </c>
    </row>
    <row r="3551" spans="1:40" x14ac:dyDescent="0.25">
      <c r="A3551" t="str">
        <f>"20190303171047292"</f>
        <v>20190303171047292</v>
      </c>
      <c r="B3551" t="str">
        <f>"1551604247284285"</f>
        <v>1551604247284285</v>
      </c>
      <c r="C3551" t="s">
        <v>40</v>
      </c>
      <c r="D3551">
        <v>5.0271499999999998</v>
      </c>
      <c r="E3551">
        <v>0.50709589999999904</v>
      </c>
      <c r="F3551" t="s">
        <v>42</v>
      </c>
      <c r="G3551">
        <v>-247.34899999999999</v>
      </c>
      <c r="H3551" s="1">
        <v>-2.8178069999999999E-6</v>
      </c>
      <c r="I3551">
        <v>145.99879999999999</v>
      </c>
      <c r="J3551">
        <v>-210.0761</v>
      </c>
      <c r="K3551">
        <v>1.118252</v>
      </c>
      <c r="L3551">
        <v>143.80680000000001</v>
      </c>
      <c r="M3551">
        <v>-0.995336</v>
      </c>
      <c r="N3551">
        <v>-1.374763E-2</v>
      </c>
      <c r="O3551">
        <v>-9.5484559999999996E-2</v>
      </c>
      <c r="P3551">
        <v>-0.98124310000000003</v>
      </c>
      <c r="Q3551">
        <v>0.18510470000000001</v>
      </c>
      <c r="R3551">
        <v>5.3837929999999999E-2</v>
      </c>
      <c r="S3551">
        <v>-3.0681150000000001</v>
      </c>
      <c r="T3551">
        <v>-9.0782879999999996E-2</v>
      </c>
      <c r="U3551">
        <v>0.17478940000000001</v>
      </c>
      <c r="V3551">
        <v>0.1487675</v>
      </c>
      <c r="W3551">
        <v>0.19734299999999999</v>
      </c>
      <c r="X3551">
        <v>0.96898090000000003</v>
      </c>
      <c r="Y3551">
        <v>0.1518475</v>
      </c>
      <c r="Z3551">
        <v>4.7981539999999998E-3</v>
      </c>
      <c r="AA3551">
        <v>0.9883923</v>
      </c>
      <c r="AB3551">
        <v>26</v>
      </c>
      <c r="AC3551">
        <v>-37.2729</v>
      </c>
      <c r="AD3551">
        <v>-1.118254817807</v>
      </c>
      <c r="AE3551">
        <v>2.1919999999999802</v>
      </c>
      <c r="AF3551">
        <v>5.7361600174347904</v>
      </c>
      <c r="AG3551">
        <v>-1.118254817807</v>
      </c>
      <c r="AH3551">
        <v>36.860178785155298</v>
      </c>
      <c r="AI3551">
        <v>91.717037812196693</v>
      </c>
      <c r="AJ3551">
        <v>81.154612194867596</v>
      </c>
      <c r="AK3551">
        <v>37.320594926351099</v>
      </c>
      <c r="AL3551">
        <v>78.618372334746297</v>
      </c>
      <c r="AM3551">
        <v>81.271541979048806</v>
      </c>
      <c r="AN3551">
        <v>1.0000000066350301</v>
      </c>
    </row>
    <row r="3552" spans="1:40" x14ac:dyDescent="0.25">
      <c r="A3552" t="str">
        <f>"20190303171047314"</f>
        <v>20190303171047314</v>
      </c>
      <c r="B3552" t="str">
        <f>"1551604247303804"</f>
        <v>1551604247303804</v>
      </c>
      <c r="C3552" t="s">
        <v>40</v>
      </c>
      <c r="D3552">
        <v>4.9444169999999996</v>
      </c>
      <c r="E3552">
        <v>0.47428779999999998</v>
      </c>
      <c r="F3552" t="s">
        <v>42</v>
      </c>
      <c r="G3552">
        <v>-242.3648</v>
      </c>
      <c r="H3552" s="1">
        <v>-4.5395320000000004E-6</v>
      </c>
      <c r="I3552">
        <v>145.63849999999999</v>
      </c>
      <c r="J3552">
        <v>-210.3321</v>
      </c>
      <c r="K3552">
        <v>1.118663</v>
      </c>
      <c r="L3552">
        <v>143.7867</v>
      </c>
      <c r="M3552">
        <v>-0.99567660000000002</v>
      </c>
      <c r="N3552">
        <v>-1.370419E-2</v>
      </c>
      <c r="O3552">
        <v>-9.1872239999999994E-2</v>
      </c>
      <c r="P3552">
        <v>-0.98127319999999996</v>
      </c>
      <c r="Q3552">
        <v>0.18469849999999999</v>
      </c>
      <c r="R3552">
        <v>5.467524E-2</v>
      </c>
      <c r="S3552">
        <v>-3.067825</v>
      </c>
      <c r="T3552">
        <v>-0.1062483</v>
      </c>
      <c r="U3552">
        <v>0.17404169999999999</v>
      </c>
      <c r="V3552">
        <v>0.14586789999999999</v>
      </c>
      <c r="W3552">
        <v>0.1970742</v>
      </c>
      <c r="X3552">
        <v>0.96947629999999996</v>
      </c>
      <c r="Y3552">
        <v>0.1479905</v>
      </c>
      <c r="Z3552">
        <v>5.4938359999999898E-3</v>
      </c>
      <c r="AA3552">
        <v>0.98897349999999995</v>
      </c>
      <c r="AB3552">
        <v>26</v>
      </c>
      <c r="AC3552">
        <v>-32.032699999999998</v>
      </c>
      <c r="AD3552">
        <v>-1.118667539532</v>
      </c>
      <c r="AE3552">
        <v>1.8517999999999899</v>
      </c>
      <c r="AF3552">
        <v>4.7813470109845397</v>
      </c>
      <c r="AG3552">
        <v>-1.118667539532</v>
      </c>
      <c r="AH3552">
        <v>31.688538546076298</v>
      </c>
      <c r="AI3552">
        <v>91.999203078370101</v>
      </c>
      <c r="AJ3552">
        <v>81.419611204745806</v>
      </c>
      <c r="AK3552">
        <v>32.066745570600297</v>
      </c>
      <c r="AL3552">
        <v>78.634081765897506</v>
      </c>
      <c r="AM3552">
        <v>81.4434313757979</v>
      </c>
      <c r="AN3552">
        <v>0.999999990408869</v>
      </c>
    </row>
    <row r="3553" spans="1:40" x14ac:dyDescent="0.25">
      <c r="A3553" t="str">
        <f>"20190303171047339"</f>
        <v>20190303171047339</v>
      </c>
      <c r="B3553" t="str">
        <f>"1551604247334060"</f>
        <v>1551604247334060</v>
      </c>
      <c r="C3553" t="s">
        <v>40</v>
      </c>
      <c r="D3553">
        <v>5.166067</v>
      </c>
      <c r="E3553">
        <v>0.47428219999999999</v>
      </c>
      <c r="F3553" t="s">
        <v>42</v>
      </c>
      <c r="G3553">
        <v>-235.9402</v>
      </c>
      <c r="H3553" s="1">
        <v>-2.642735E-6</v>
      </c>
      <c r="I3553">
        <v>143.0693</v>
      </c>
      <c r="J3553">
        <v>-210.60300000000001</v>
      </c>
      <c r="K3553">
        <v>1.1191519999999999</v>
      </c>
      <c r="L3553">
        <v>143.76570000000001</v>
      </c>
      <c r="M3553">
        <v>-0.99596419999999997</v>
      </c>
      <c r="N3553">
        <v>-1.3661360000000001E-2</v>
      </c>
      <c r="O3553">
        <v>-8.8706590000000002E-2</v>
      </c>
      <c r="P3553">
        <v>-0.98077239999999999</v>
      </c>
      <c r="Q3553">
        <v>0.18600320000000001</v>
      </c>
      <c r="R3553">
        <v>5.9062919999999998E-2</v>
      </c>
      <c r="S3553">
        <v>-3.0874480000000002</v>
      </c>
      <c r="T3553">
        <v>-0.1348724</v>
      </c>
      <c r="U3553">
        <v>-8.6486820000000006E-2</v>
      </c>
      <c r="V3553">
        <v>0.14687839999999999</v>
      </c>
      <c r="W3553">
        <v>0.19849510000000001</v>
      </c>
      <c r="X3553">
        <v>0.96903379999999995</v>
      </c>
      <c r="Y3553">
        <v>6.0673499999999998E-2</v>
      </c>
      <c r="Z3553">
        <v>4.393732E-3</v>
      </c>
      <c r="AA3553">
        <v>0.99814800000000004</v>
      </c>
      <c r="AB3553">
        <v>26</v>
      </c>
      <c r="AC3553">
        <v>-25.337199999999999</v>
      </c>
      <c r="AD3553">
        <v>-1.1191546427349901</v>
      </c>
      <c r="AE3553">
        <v>-0.69640000000001101</v>
      </c>
      <c r="AF3553">
        <v>1.5511080693900099</v>
      </c>
      <c r="AG3553">
        <v>-1.1191546427349901</v>
      </c>
      <c r="AH3553">
        <v>25.249852134597301</v>
      </c>
      <c r="AI3553">
        <v>92.533103303227094</v>
      </c>
      <c r="AJ3553">
        <v>86.484715786372703</v>
      </c>
      <c r="AK3553">
        <v>25.322193352399601</v>
      </c>
      <c r="AL3553">
        <v>78.551030072630496</v>
      </c>
      <c r="AM3553">
        <v>81.381167248387996</v>
      </c>
      <c r="AN3553">
        <v>1.0000000373264999</v>
      </c>
    </row>
    <row r="3554" spans="1:40" x14ac:dyDescent="0.25">
      <c r="A3554" t="str">
        <f>"20190303171047359"</f>
        <v>20190303171047359</v>
      </c>
      <c r="B3554" t="str">
        <f>"1551604247354556"</f>
        <v>1551604247354556</v>
      </c>
      <c r="C3554" t="s">
        <v>40</v>
      </c>
      <c r="D3554">
        <v>5.1672229999999999</v>
      </c>
      <c r="E3554">
        <v>0.47394779999999997</v>
      </c>
      <c r="F3554" t="s">
        <v>42</v>
      </c>
      <c r="G3554">
        <v>-237.32730000000001</v>
      </c>
      <c r="H3554" s="1">
        <v>-2.0563870000000002E-6</v>
      </c>
      <c r="I3554">
        <v>143.10210000000001</v>
      </c>
      <c r="J3554">
        <v>-210.84700000000001</v>
      </c>
      <c r="K3554">
        <v>1.119597</v>
      </c>
      <c r="L3554">
        <v>143.74690000000001</v>
      </c>
      <c r="M3554">
        <v>-0.99615989999999999</v>
      </c>
      <c r="N3554">
        <v>-1.362591E-2</v>
      </c>
      <c r="O3554">
        <v>-8.6487430000000004E-2</v>
      </c>
      <c r="P3554">
        <v>-0.98048040000000003</v>
      </c>
      <c r="Q3554">
        <v>0.1864567</v>
      </c>
      <c r="R3554">
        <v>6.2389769999999997E-2</v>
      </c>
      <c r="S3554">
        <v>-3.0879669999999999</v>
      </c>
      <c r="T3554">
        <v>-0.1293173</v>
      </c>
      <c r="U3554">
        <v>-7.6675419999999994E-2</v>
      </c>
      <c r="V3554">
        <v>0.1477928</v>
      </c>
      <c r="W3554">
        <v>0.19906199999999999</v>
      </c>
      <c r="X3554">
        <v>0.96877840000000004</v>
      </c>
      <c r="Y3554">
        <v>6.1633269999999997E-2</v>
      </c>
      <c r="Z3554">
        <v>4.145976E-3</v>
      </c>
      <c r="AA3554">
        <v>0.99809029999999999</v>
      </c>
      <c r="AB3554">
        <v>26</v>
      </c>
      <c r="AC3554">
        <v>-26.4803</v>
      </c>
      <c r="AD3554">
        <v>-1.119599056387</v>
      </c>
      <c r="AE3554">
        <v>-0.64480000000000304</v>
      </c>
      <c r="AF3554">
        <v>1.64510284819005</v>
      </c>
      <c r="AG3554">
        <v>-1.119599056387</v>
      </c>
      <c r="AH3554">
        <v>26.3896834032046</v>
      </c>
      <c r="AI3554">
        <v>92.424651867797806</v>
      </c>
      <c r="AJ3554">
        <v>86.432862285032996</v>
      </c>
      <c r="AK3554">
        <v>26.464603823778599</v>
      </c>
      <c r="AL3554">
        <v>78.517887170040396</v>
      </c>
      <c r="AM3554">
        <v>81.326072040444799</v>
      </c>
      <c r="AN3554">
        <v>0.99999998994119998</v>
      </c>
    </row>
    <row r="3555" spans="1:40" x14ac:dyDescent="0.25">
      <c r="A3555" t="str">
        <f>"20190303171047380"</f>
        <v>20190303171047380</v>
      </c>
      <c r="B3555" t="str">
        <f>"1551604247374077"</f>
        <v>1551604247374077</v>
      </c>
      <c r="C3555" t="s">
        <v>40</v>
      </c>
      <c r="D3555">
        <v>5.1646029999999996</v>
      </c>
      <c r="E3555">
        <v>0.47336600000000001</v>
      </c>
      <c r="F3555" t="s">
        <v>42</v>
      </c>
      <c r="G3555">
        <v>-239.0094</v>
      </c>
      <c r="H3555" s="1">
        <v>-1.3362429999999999E-6</v>
      </c>
      <c r="I3555">
        <v>143.10759999999999</v>
      </c>
      <c r="J3555">
        <v>-211.096</v>
      </c>
      <c r="K3555">
        <v>1.1199870000000001</v>
      </c>
      <c r="L3555">
        <v>143.7277</v>
      </c>
      <c r="M3555">
        <v>-0.99631159999999996</v>
      </c>
      <c r="N3555">
        <v>-1.359311E-2</v>
      </c>
      <c r="O3555">
        <v>-8.4726469999999998E-2</v>
      </c>
      <c r="P3555">
        <v>-0.98100699999999996</v>
      </c>
      <c r="Q3555">
        <v>0.18374119999999999</v>
      </c>
      <c r="R3555">
        <v>6.2165890000000001E-2</v>
      </c>
      <c r="S3555">
        <v>-3.0875089999999998</v>
      </c>
      <c r="T3555">
        <v>-0.1227443</v>
      </c>
      <c r="U3555">
        <v>-7.0083619999999999E-2</v>
      </c>
      <c r="V3555">
        <v>0.14569699999999999</v>
      </c>
      <c r="W3555">
        <v>0.19647390000000001</v>
      </c>
      <c r="X3555">
        <v>0.96962389999999998</v>
      </c>
      <c r="Y3555">
        <v>6.2006369999999998E-2</v>
      </c>
      <c r="Z3555">
        <v>3.8637089999999999E-3</v>
      </c>
      <c r="AA3555">
        <v>0.99806830000000002</v>
      </c>
      <c r="AB3555">
        <v>26</v>
      </c>
      <c r="AC3555">
        <v>-27.913399999999999</v>
      </c>
      <c r="AD3555">
        <v>-1.1199883362430001</v>
      </c>
      <c r="AE3555">
        <v>-0.62010000000000698</v>
      </c>
      <c r="AF3555">
        <v>1.7445451561165799</v>
      </c>
      <c r="AG3555">
        <v>-1.1199883362430001</v>
      </c>
      <c r="AH3555">
        <v>27.8207886364467</v>
      </c>
      <c r="AI3555">
        <v>92.300811253497201</v>
      </c>
      <c r="AJ3555">
        <v>86.411878443621603</v>
      </c>
      <c r="AK3555">
        <v>27.897922718885201</v>
      </c>
      <c r="AL3555">
        <v>78.669163067049396</v>
      </c>
      <c r="AM3555">
        <v>81.454589987393206</v>
      </c>
      <c r="AN3555">
        <v>1.0000000583207</v>
      </c>
    </row>
    <row r="3556" spans="1:40" x14ac:dyDescent="0.25">
      <c r="A3556" t="str">
        <f>"20190303171047405"</f>
        <v>20190303171047405</v>
      </c>
      <c r="B3556" t="str">
        <f>"1551604247394572"</f>
        <v>1551604247394572</v>
      </c>
      <c r="C3556" t="s">
        <v>40</v>
      </c>
      <c r="D3556">
        <v>5.1765949999999998</v>
      </c>
      <c r="E3556">
        <v>0.47298449999999997</v>
      </c>
      <c r="F3556" t="s">
        <v>42</v>
      </c>
      <c r="G3556">
        <v>-238.13069999999999</v>
      </c>
      <c r="H3556" s="1">
        <v>-1.7042459999999999E-6</v>
      </c>
      <c r="I3556">
        <v>143.07399999999899</v>
      </c>
      <c r="J3556">
        <v>-211.38159999999999</v>
      </c>
      <c r="K3556">
        <v>1.120377</v>
      </c>
      <c r="L3556">
        <v>143.7055</v>
      </c>
      <c r="M3556">
        <v>-0.99642989999999998</v>
      </c>
      <c r="N3556">
        <v>-1.355804E-2</v>
      </c>
      <c r="O3556">
        <v>-8.3327579999999998E-2</v>
      </c>
      <c r="P3556">
        <v>-0.98159640000000004</v>
      </c>
      <c r="Q3556">
        <v>0.18096309999999999</v>
      </c>
      <c r="R3556">
        <v>6.0996450000000001E-2</v>
      </c>
      <c r="S3556">
        <v>-3.0867610000000001</v>
      </c>
      <c r="T3556">
        <v>-0.12787760000000001</v>
      </c>
      <c r="U3556">
        <v>-7.4630740000000001E-2</v>
      </c>
      <c r="V3556">
        <v>0.14301820000000001</v>
      </c>
      <c r="W3556">
        <v>0.19382170000000001</v>
      </c>
      <c r="X3556">
        <v>0.97055599999999997</v>
      </c>
      <c r="Y3556">
        <v>5.9124940000000001E-2</v>
      </c>
      <c r="Z3556">
        <v>3.9407449999999998E-3</v>
      </c>
      <c r="AA3556">
        <v>0.99824279999999999</v>
      </c>
      <c r="AB3556">
        <v>26</v>
      </c>
      <c r="AC3556">
        <v>-26.749099999999999</v>
      </c>
      <c r="AD3556">
        <v>-1.1203787042460001</v>
      </c>
      <c r="AE3556">
        <v>-0.63150000000001605</v>
      </c>
      <c r="AF3556">
        <v>1.59703928178738</v>
      </c>
      <c r="AG3556">
        <v>-1.1203787042460001</v>
      </c>
      <c r="AH3556">
        <v>26.661933519332901</v>
      </c>
      <c r="AI3556">
        <v>92.401947960933995</v>
      </c>
      <c r="AJ3556">
        <v>86.572101257799901</v>
      </c>
      <c r="AK3556">
        <v>26.7332093452662</v>
      </c>
      <c r="AL3556">
        <v>78.824101227197005</v>
      </c>
      <c r="AM3556">
        <v>81.617393172904102</v>
      </c>
      <c r="AN3556">
        <v>1.0000000030290599</v>
      </c>
    </row>
    <row r="3557" spans="1:40" x14ac:dyDescent="0.25">
      <c r="A3557" t="str">
        <f>"20190303171047425"</f>
        <v>20190303171047425</v>
      </c>
      <c r="B3557" t="str">
        <f>"1551604247414093"</f>
        <v>1551604247414093</v>
      </c>
      <c r="C3557" t="s">
        <v>40</v>
      </c>
      <c r="D3557">
        <v>5.1587990000000001</v>
      </c>
      <c r="E3557">
        <v>0.47280460000000002</v>
      </c>
      <c r="F3557" t="s">
        <v>42</v>
      </c>
      <c r="G3557">
        <v>-237.23390000000001</v>
      </c>
      <c r="H3557" s="1">
        <v>-2.0793830000000001E-6</v>
      </c>
      <c r="I3557">
        <v>143.03790000000001</v>
      </c>
      <c r="J3557">
        <v>-211.6129</v>
      </c>
      <c r="K3557">
        <v>1.120681</v>
      </c>
      <c r="L3557">
        <v>143.6874</v>
      </c>
      <c r="M3557">
        <v>-0.99648590000000004</v>
      </c>
      <c r="N3557">
        <v>-1.353208E-2</v>
      </c>
      <c r="O3557">
        <v>-8.2661810000000002E-2</v>
      </c>
      <c r="P3557">
        <v>-0.98181309999999999</v>
      </c>
      <c r="Q3557">
        <v>0.1796468</v>
      </c>
      <c r="R3557">
        <v>6.1401860000000003E-2</v>
      </c>
      <c r="S3557">
        <v>-3.0858460000000001</v>
      </c>
      <c r="T3557">
        <v>-0.133733399999999</v>
      </c>
      <c r="U3557">
        <v>-7.9681399999999999E-2</v>
      </c>
      <c r="V3557">
        <v>0.14264260000000001</v>
      </c>
      <c r="W3557">
        <v>0.19259129999999999</v>
      </c>
      <c r="X3557">
        <v>0.9708561</v>
      </c>
      <c r="Y3557">
        <v>5.6810810000000003E-2</v>
      </c>
      <c r="Z3557">
        <v>4.0716670000000002E-3</v>
      </c>
      <c r="AA3557">
        <v>0.99837670000000001</v>
      </c>
      <c r="AB3557">
        <v>26</v>
      </c>
      <c r="AC3557">
        <v>-25.620999999999999</v>
      </c>
      <c r="AD3557">
        <v>-1.120683079383</v>
      </c>
      <c r="AE3557">
        <v>-0.64949999999998898</v>
      </c>
      <c r="AF3557">
        <v>1.4679882986908299</v>
      </c>
      <c r="AG3557">
        <v>-1.120683079383</v>
      </c>
      <c r="AH3557">
        <v>25.538164113358</v>
      </c>
      <c r="AI3557">
        <v>92.508544653680204</v>
      </c>
      <c r="AJ3557">
        <v>86.710136304076698</v>
      </c>
      <c r="AK3557">
        <v>25.604857868973198</v>
      </c>
      <c r="AL3557">
        <v>78.895951089652996</v>
      </c>
      <c r="AM3557">
        <v>81.641644218479598</v>
      </c>
      <c r="AN3557">
        <v>0.99999994353882804</v>
      </c>
    </row>
    <row r="3558" spans="1:40" x14ac:dyDescent="0.25">
      <c r="A3558" t="str">
        <f>"20190303171047449"</f>
        <v>20190303171047449</v>
      </c>
      <c r="B3558" t="str">
        <f>"1551604247434588"</f>
        <v>1551604247434588</v>
      </c>
      <c r="C3558" t="s">
        <v>40</v>
      </c>
      <c r="D3558">
        <v>5.169035</v>
      </c>
      <c r="E3558">
        <v>0.47226990000000002</v>
      </c>
      <c r="F3558" t="s">
        <v>42</v>
      </c>
      <c r="G3558">
        <v>-237.119</v>
      </c>
      <c r="H3558" s="1">
        <v>-2.1209260000000002E-6</v>
      </c>
      <c r="I3558">
        <v>143.00880000000001</v>
      </c>
      <c r="J3558">
        <v>-211.88059999999999</v>
      </c>
      <c r="K3558">
        <v>1.1210420000000001</v>
      </c>
      <c r="L3558">
        <v>143.666</v>
      </c>
      <c r="M3558">
        <v>-0.99650810000000001</v>
      </c>
      <c r="N3558">
        <v>-1.350603E-2</v>
      </c>
      <c r="O3558">
        <v>-8.2399230000000004E-2</v>
      </c>
      <c r="P3558">
        <v>-0.98175380000000001</v>
      </c>
      <c r="Q3558">
        <v>0.1798382</v>
      </c>
      <c r="R3558">
        <v>6.1789719999999999E-2</v>
      </c>
      <c r="S3558">
        <v>-3.0855410000000001</v>
      </c>
      <c r="T3558">
        <v>-0.1355721</v>
      </c>
      <c r="U3558">
        <v>-8.2077029999999995E-2</v>
      </c>
      <c r="V3558">
        <v>0.14259869999999999</v>
      </c>
      <c r="W3558">
        <v>0.19288179999999999</v>
      </c>
      <c r="X3558">
        <v>0.97080489999999997</v>
      </c>
      <c r="Y3558">
        <v>5.5768720000000001E-2</v>
      </c>
      <c r="Z3558">
        <v>4.1016680000000002E-3</v>
      </c>
      <c r="AA3558">
        <v>0.99843530000000003</v>
      </c>
      <c r="AB3558">
        <v>26</v>
      </c>
      <c r="AC3558">
        <v>-25.238399999999999</v>
      </c>
      <c r="AD3558">
        <v>-1.121044120926</v>
      </c>
      <c r="AE3558">
        <v>-0.65719999999998802</v>
      </c>
      <c r="AF3558">
        <v>1.42204549113389</v>
      </c>
      <c r="AG3558">
        <v>-1.121044120926</v>
      </c>
      <c r="AH3558">
        <v>25.157115637482299</v>
      </c>
      <c r="AI3558">
        <v>92.547448731630794</v>
      </c>
      <c r="AJ3558">
        <v>86.764708960254495</v>
      </c>
      <c r="AK3558">
        <v>25.222200944754501</v>
      </c>
      <c r="AL3558">
        <v>78.878988879941105</v>
      </c>
      <c r="AM3558">
        <v>81.643745818844096</v>
      </c>
      <c r="AN3558">
        <v>0.99999996593846896</v>
      </c>
    </row>
    <row r="3559" spans="1:40" x14ac:dyDescent="0.25">
      <c r="A3559" t="str">
        <f>"20190303171047471"</f>
        <v>20190303171047471</v>
      </c>
      <c r="B3559" t="str">
        <f>"1551604247463868"</f>
        <v>1551604247463868</v>
      </c>
      <c r="C3559" t="s">
        <v>40</v>
      </c>
      <c r="D3559">
        <v>5.1648750000000003</v>
      </c>
      <c r="E3559">
        <v>0.47164139999999999</v>
      </c>
      <c r="F3559" t="s">
        <v>42</v>
      </c>
      <c r="G3559">
        <v>-238.2296</v>
      </c>
      <c r="H3559" s="1">
        <v>-1.623785E-6</v>
      </c>
      <c r="I3559">
        <v>142.93109999999999</v>
      </c>
      <c r="J3559">
        <v>-212.1293</v>
      </c>
      <c r="K3559">
        <v>1.1213869999999999</v>
      </c>
      <c r="L3559">
        <v>143.6456</v>
      </c>
      <c r="M3559">
        <v>-0.99648990000000004</v>
      </c>
      <c r="N3559">
        <v>-1.3486110000000001E-2</v>
      </c>
      <c r="O3559">
        <v>-8.262121E-2</v>
      </c>
      <c r="P3559">
        <v>-0.98211020000000004</v>
      </c>
      <c r="Q3559">
        <v>0.17863280000000001</v>
      </c>
      <c r="R3559">
        <v>5.9582679999999999E-2</v>
      </c>
      <c r="S3559">
        <v>-3.0852360000000001</v>
      </c>
      <c r="T3559">
        <v>-0.131264299999999</v>
      </c>
      <c r="U3559">
        <v>-8.6044309999999999E-2</v>
      </c>
      <c r="V3559">
        <v>0.1404822</v>
      </c>
      <c r="W3559">
        <v>0.1917845</v>
      </c>
      <c r="X3559">
        <v>0.97133080000000005</v>
      </c>
      <c r="Y3559">
        <v>5.4713930000000001E-2</v>
      </c>
      <c r="Z3559">
        <v>3.9263270000000003E-3</v>
      </c>
      <c r="AA3559">
        <v>0.99849429999999995</v>
      </c>
      <c r="AB3559">
        <v>26</v>
      </c>
      <c r="AC3559">
        <v>-26.100300000000001</v>
      </c>
      <c r="AD3559">
        <v>-1.1213886237849999</v>
      </c>
      <c r="AE3559">
        <v>-0.71450000000001501</v>
      </c>
      <c r="AF3559">
        <v>1.4419177948447599</v>
      </c>
      <c r="AG3559">
        <v>-1.1213886237849999</v>
      </c>
      <c r="AH3559">
        <v>26.022086007253801</v>
      </c>
      <c r="AI3559">
        <v>92.463787001399993</v>
      </c>
      <c r="AJ3559">
        <v>86.828409352778394</v>
      </c>
      <c r="AK3559">
        <v>26.086118905302101</v>
      </c>
      <c r="AL3559">
        <v>78.943056442712702</v>
      </c>
      <c r="AM3559">
        <v>81.770456124218995</v>
      </c>
      <c r="AN3559">
        <v>1.00000003299286</v>
      </c>
    </row>
    <row r="3560" spans="1:40" x14ac:dyDescent="0.25">
      <c r="A3560" t="str">
        <f>"20190303171047504"</f>
        <v>20190303171047504</v>
      </c>
      <c r="B3560" t="str">
        <f>"1551604247494124"</f>
        <v>1551604247494124</v>
      </c>
      <c r="C3560" t="s">
        <v>40</v>
      </c>
      <c r="D3560">
        <v>5.1800230000000003</v>
      </c>
      <c r="E3560">
        <v>0.47115400000000002</v>
      </c>
      <c r="F3560" t="s">
        <v>42</v>
      </c>
      <c r="G3560">
        <v>-238.85069999999999</v>
      </c>
      <c r="H3560" s="1">
        <v>-1.324532E-6</v>
      </c>
      <c r="I3560">
        <v>142.80779999999999</v>
      </c>
      <c r="J3560">
        <v>-212.5128</v>
      </c>
      <c r="K3560">
        <v>1.1219159999999999</v>
      </c>
      <c r="L3560">
        <v>143.613</v>
      </c>
      <c r="M3560">
        <v>-0.99638850000000001</v>
      </c>
      <c r="N3560">
        <v>-1.3463279999999999E-2</v>
      </c>
      <c r="O3560">
        <v>-8.3837659999999994E-2</v>
      </c>
      <c r="P3560">
        <v>-0.98250660000000001</v>
      </c>
      <c r="Q3560">
        <v>0.17781369999999999</v>
      </c>
      <c r="R3560">
        <v>5.5344450000000003E-2</v>
      </c>
      <c r="S3560">
        <v>-3.0840610000000002</v>
      </c>
      <c r="T3560">
        <v>-0.12942519999999999</v>
      </c>
      <c r="U3560">
        <v>-9.6694950000000002E-2</v>
      </c>
      <c r="V3560">
        <v>0.13723099999999999</v>
      </c>
      <c r="W3560">
        <v>0.1911303</v>
      </c>
      <c r="X3560">
        <v>0.97192429999999996</v>
      </c>
      <c r="Y3560">
        <v>5.2481930000000003E-2</v>
      </c>
      <c r="Z3560">
        <v>3.8361850000000002E-3</v>
      </c>
      <c r="AA3560">
        <v>0.99861449999999996</v>
      </c>
      <c r="AB3560">
        <v>26</v>
      </c>
      <c r="AC3560">
        <v>-26.337899999999902</v>
      </c>
      <c r="AD3560">
        <v>-1.121917324532</v>
      </c>
      <c r="AE3560">
        <v>-0.80520000000001302</v>
      </c>
      <c r="AF3560">
        <v>1.4033991677262101</v>
      </c>
      <c r="AG3560">
        <v>-1.121917324532</v>
      </c>
      <c r="AH3560">
        <v>26.265057131429501</v>
      </c>
      <c r="AI3560">
        <v>92.442434290369306</v>
      </c>
      <c r="AJ3560">
        <v>86.941470283397294</v>
      </c>
      <c r="AK3560">
        <v>26.326440204180901</v>
      </c>
      <c r="AL3560">
        <v>78.9812453510783</v>
      </c>
      <c r="AM3560">
        <v>81.963239800361407</v>
      </c>
      <c r="AN3560">
        <v>0.99999999193478994</v>
      </c>
    </row>
    <row r="3561" spans="1:40" x14ac:dyDescent="0.25">
      <c r="A3561" t="str">
        <f>"20190303171047528"</f>
        <v>20190303171047528</v>
      </c>
      <c r="B3561" t="str">
        <f>"1551604247514620"</f>
        <v>1551604247514620</v>
      </c>
      <c r="C3561" t="s">
        <v>40</v>
      </c>
      <c r="D3561">
        <v>5.1732399999999998</v>
      </c>
      <c r="E3561">
        <v>0.47086109999999998</v>
      </c>
      <c r="F3561" t="s">
        <v>42</v>
      </c>
      <c r="G3561">
        <v>-238.83260000000001</v>
      </c>
      <c r="H3561" s="1">
        <v>-1.2908960000000001E-6</v>
      </c>
      <c r="I3561">
        <v>142.65209999999999</v>
      </c>
      <c r="J3561">
        <v>-212.77430000000001</v>
      </c>
      <c r="K3561">
        <v>1.1222430000000001</v>
      </c>
      <c r="L3561">
        <v>143.5898</v>
      </c>
      <c r="M3561">
        <v>-0.99627239999999995</v>
      </c>
      <c r="N3561">
        <v>-1.345184E-2</v>
      </c>
      <c r="O3561">
        <v>-8.5208329999999999E-2</v>
      </c>
      <c r="P3561">
        <v>-0.98263009999999995</v>
      </c>
      <c r="Q3561">
        <v>0.17759949999999999</v>
      </c>
      <c r="R3561">
        <v>5.381917E-2</v>
      </c>
      <c r="S3561">
        <v>-3.083542</v>
      </c>
      <c r="T3561">
        <v>-0.13144040000000001</v>
      </c>
      <c r="U3561">
        <v>-0.11257929999999999</v>
      </c>
      <c r="V3561">
        <v>0.13691220000000001</v>
      </c>
      <c r="W3561">
        <v>0.19101280000000001</v>
      </c>
      <c r="X3561">
        <v>0.97199239999999998</v>
      </c>
      <c r="Y3561">
        <v>4.8712480000000002E-2</v>
      </c>
      <c r="Z3561">
        <v>3.8428999999999998E-3</v>
      </c>
      <c r="AA3561">
        <v>0.99880550000000001</v>
      </c>
      <c r="AB3561">
        <v>26</v>
      </c>
      <c r="AC3561">
        <v>-26.058299999999999</v>
      </c>
      <c r="AD3561">
        <v>-1.122244290896</v>
      </c>
      <c r="AE3561">
        <v>-0.93770000000000597</v>
      </c>
      <c r="AF3561">
        <v>1.28391766011082</v>
      </c>
      <c r="AG3561">
        <v>-1.122244290896</v>
      </c>
      <c r="AH3561">
        <v>25.995267888003699</v>
      </c>
      <c r="AI3561">
        <v>92.468980962072493</v>
      </c>
      <c r="AJ3561">
        <v>87.172434078109902</v>
      </c>
      <c r="AK3561">
        <v>26.051138734716901</v>
      </c>
      <c r="AL3561">
        <v>78.9881044250873</v>
      </c>
      <c r="AM3561">
        <v>81.982221303920696</v>
      </c>
      <c r="AN3561">
        <v>1.0000000329652099</v>
      </c>
    </row>
    <row r="3562" spans="1:40" x14ac:dyDescent="0.25">
      <c r="A3562" t="str">
        <f>"20190303171047547"</f>
        <v>20190303171047547</v>
      </c>
      <c r="B3562" t="str">
        <f>"1551604247534140"</f>
        <v>1551604247534140</v>
      </c>
      <c r="C3562" t="s">
        <v>40</v>
      </c>
      <c r="D3562">
        <v>5.1889919999999998</v>
      </c>
      <c r="E3562">
        <v>0.47060039999999997</v>
      </c>
      <c r="F3562" t="s">
        <v>42</v>
      </c>
      <c r="G3562">
        <v>-238.9915</v>
      </c>
      <c r="H3562" s="1">
        <v>-1.198835E-6</v>
      </c>
      <c r="I3562">
        <v>142.56229999999999</v>
      </c>
      <c r="J3562">
        <v>-212.99760000000001</v>
      </c>
      <c r="K3562">
        <v>1.1224620000000001</v>
      </c>
      <c r="L3562">
        <v>143.5693</v>
      </c>
      <c r="M3562">
        <v>-0.99614650000000005</v>
      </c>
      <c r="N3562">
        <v>-1.344305E-2</v>
      </c>
      <c r="O3562">
        <v>-8.6669360000000001E-2</v>
      </c>
      <c r="P3562">
        <v>-0.98303110000000005</v>
      </c>
      <c r="Q3562">
        <v>0.17626700000000001</v>
      </c>
      <c r="R3562">
        <v>5.0794249999999999E-2</v>
      </c>
      <c r="S3562">
        <v>-3.0835110000000001</v>
      </c>
      <c r="T3562">
        <v>-0.13199169999999999</v>
      </c>
      <c r="U3562">
        <v>-0.1208496</v>
      </c>
      <c r="V3562">
        <v>0.1352622</v>
      </c>
      <c r="W3562">
        <v>0.18974840000000001</v>
      </c>
      <c r="X3562">
        <v>0.97247090000000003</v>
      </c>
      <c r="Y3562">
        <v>4.750182E-2</v>
      </c>
      <c r="Z3562">
        <v>3.8712519999999999E-3</v>
      </c>
      <c r="AA3562">
        <v>0.99886359999999996</v>
      </c>
      <c r="AB3562">
        <v>26</v>
      </c>
      <c r="AC3562">
        <v>-25.9939</v>
      </c>
      <c r="AD3562">
        <v>-1.122463198835</v>
      </c>
      <c r="AE3562">
        <v>-1.0069999999999999</v>
      </c>
      <c r="AF3562">
        <v>1.24754523171048</v>
      </c>
      <c r="AG3562">
        <v>-1.122463198835</v>
      </c>
      <c r="AH3562">
        <v>25.935066798886201</v>
      </c>
      <c r="AI3562">
        <v>92.475341849344701</v>
      </c>
      <c r="AJ3562">
        <v>87.246044417861498</v>
      </c>
      <c r="AK3562">
        <v>25.9893051580951</v>
      </c>
      <c r="AL3562">
        <v>79.061898351617401</v>
      </c>
      <c r="AM3562">
        <v>82.081462198048001</v>
      </c>
      <c r="AN3562">
        <v>0.99999998469910401</v>
      </c>
    </row>
    <row r="3563" spans="1:40" x14ac:dyDescent="0.25">
      <c r="A3563" t="str">
        <f>"20190303171047569"</f>
        <v>20190303171047569</v>
      </c>
      <c r="B3563" t="str">
        <f>"1551604247564396"</f>
        <v>1551604247564396</v>
      </c>
      <c r="C3563" t="s">
        <v>40</v>
      </c>
      <c r="D3563">
        <v>5.2510209999999997</v>
      </c>
      <c r="E3563">
        <v>0.47028619999999999</v>
      </c>
      <c r="F3563" t="s">
        <v>42</v>
      </c>
      <c r="G3563">
        <v>-238.51679999999999</v>
      </c>
      <c r="H3563" s="1">
        <v>-1.37905E-6</v>
      </c>
      <c r="I3563">
        <v>142.4742</v>
      </c>
      <c r="J3563">
        <v>-213.24629999999999</v>
      </c>
      <c r="K3563">
        <v>1.1226590000000001</v>
      </c>
      <c r="L3563">
        <v>143.54570000000001</v>
      </c>
      <c r="M3563">
        <v>-0.99597970000000002</v>
      </c>
      <c r="N3563">
        <v>-1.3433860000000001E-2</v>
      </c>
      <c r="O3563">
        <v>-8.8566389999999995E-2</v>
      </c>
      <c r="P3563">
        <v>-0.98348860000000005</v>
      </c>
      <c r="Q3563">
        <v>0.17500779999999999</v>
      </c>
      <c r="R3563">
        <v>4.60717E-2</v>
      </c>
      <c r="S3563">
        <v>-3.0829469999999999</v>
      </c>
      <c r="T3563">
        <v>-0.135603799999999</v>
      </c>
      <c r="U3563">
        <v>-0.13229369999999999</v>
      </c>
      <c r="V3563">
        <v>0.13236870000000001</v>
      </c>
      <c r="W3563">
        <v>0.18854360000000001</v>
      </c>
      <c r="X3563">
        <v>0.97310319999999995</v>
      </c>
      <c r="Y3563">
        <v>4.5690920000000003E-2</v>
      </c>
      <c r="Z3563">
        <v>4.006786E-3</v>
      </c>
      <c r="AA3563">
        <v>0.99894760000000005</v>
      </c>
      <c r="AB3563">
        <v>26</v>
      </c>
      <c r="AC3563">
        <v>-25.270499999999998</v>
      </c>
      <c r="AD3563">
        <v>-1.12266037905</v>
      </c>
      <c r="AE3563">
        <v>-1.0715000000000101</v>
      </c>
      <c r="AF3563">
        <v>1.16872784553673</v>
      </c>
      <c r="AG3563">
        <v>-1.12266037905</v>
      </c>
      <c r="AH3563">
        <v>25.216404476178699</v>
      </c>
      <c r="AI3563">
        <v>92.546453937180004</v>
      </c>
      <c r="AJ3563">
        <v>87.346358946826001</v>
      </c>
      <c r="AK3563">
        <v>25.268425867272899</v>
      </c>
      <c r="AL3563">
        <v>79.132197446970295</v>
      </c>
      <c r="AM3563">
        <v>82.253747962037707</v>
      </c>
      <c r="AN3563">
        <v>0.99999999984544397</v>
      </c>
    </row>
    <row r="3564" spans="1:40" x14ac:dyDescent="0.25">
      <c r="A3564" t="str">
        <f>"20190303171047593"</f>
        <v>20190303171047593</v>
      </c>
      <c r="B3564" t="str">
        <f>"1551604247583917"</f>
        <v>1551604247583917</v>
      </c>
      <c r="C3564" t="s">
        <v>40</v>
      </c>
      <c r="D3564">
        <v>5.1964889999999997</v>
      </c>
      <c r="E3564">
        <v>0.47021829999999998</v>
      </c>
      <c r="F3564" t="s">
        <v>42</v>
      </c>
      <c r="G3564">
        <v>-238.4753</v>
      </c>
      <c r="H3564" s="1">
        <v>-1.359281E-6</v>
      </c>
      <c r="I3564">
        <v>142.3331</v>
      </c>
      <c r="J3564">
        <v>-213.52170000000001</v>
      </c>
      <c r="K3564">
        <v>1.1228199999999999</v>
      </c>
      <c r="L3564">
        <v>143.5188</v>
      </c>
      <c r="M3564">
        <v>-0.99576900000000002</v>
      </c>
      <c r="N3564">
        <v>-1.341843E-2</v>
      </c>
      <c r="O3564">
        <v>-9.0908569999999994E-2</v>
      </c>
      <c r="P3564">
        <v>-0.98371229999999998</v>
      </c>
      <c r="Q3564">
        <v>0.175125799999999</v>
      </c>
      <c r="R3564">
        <v>4.0512960000000001E-2</v>
      </c>
      <c r="S3564">
        <v>-3.0817109999999999</v>
      </c>
      <c r="T3564">
        <v>-0.13713229999999901</v>
      </c>
      <c r="U3564">
        <v>-0.1481171</v>
      </c>
      <c r="V3564">
        <v>0.1290752</v>
      </c>
      <c r="W3564">
        <v>0.18869069999999999</v>
      </c>
      <c r="X3564">
        <v>0.97351710000000002</v>
      </c>
      <c r="Y3564">
        <v>4.2904299999999999E-2</v>
      </c>
      <c r="Z3564">
        <v>4.0556699999999999E-3</v>
      </c>
      <c r="AA3564">
        <v>0.99907089999999998</v>
      </c>
      <c r="AB3564">
        <v>25</v>
      </c>
      <c r="AC3564">
        <v>-24.953599999999899</v>
      </c>
      <c r="AD3564">
        <v>-1.1228213592809999</v>
      </c>
      <c r="AE3564">
        <v>-1.18569999999999</v>
      </c>
      <c r="AF3564">
        <v>1.0857172881745401</v>
      </c>
      <c r="AG3564">
        <v>-1.1228213592809999</v>
      </c>
      <c r="AH3564">
        <v>24.907738149367098</v>
      </c>
      <c r="AI3564">
        <v>92.578656186935902</v>
      </c>
      <c r="AJ3564">
        <v>87.504082304324299</v>
      </c>
      <c r="AK3564">
        <v>24.956661025708801</v>
      </c>
      <c r="AL3564">
        <v>79.123615917916993</v>
      </c>
      <c r="AM3564">
        <v>82.447405149883593</v>
      </c>
      <c r="AN3564">
        <v>1.0000000657569601</v>
      </c>
    </row>
    <row r="3565" spans="1:40" x14ac:dyDescent="0.25">
      <c r="A3565" t="str">
        <f>"20190303171047617"</f>
        <v>20190303171047617</v>
      </c>
      <c r="B3565" t="str">
        <f>"1551604247604412"</f>
        <v>1551604247604412</v>
      </c>
      <c r="C3565" t="s">
        <v>40</v>
      </c>
      <c r="D3565">
        <v>5.2013689999999997</v>
      </c>
      <c r="E3565">
        <v>0.47012140000000002</v>
      </c>
      <c r="F3565" t="s">
        <v>42</v>
      </c>
      <c r="G3565">
        <v>-238.77109999999999</v>
      </c>
      <c r="H3565" s="1">
        <v>-1.187737E-6</v>
      </c>
      <c r="I3565">
        <v>142.1652</v>
      </c>
      <c r="J3565">
        <v>-213.7775</v>
      </c>
      <c r="K3565">
        <v>1.1229150000000001</v>
      </c>
      <c r="L3565">
        <v>143.49299999999999</v>
      </c>
      <c r="M3565">
        <v>-0.99555579999999999</v>
      </c>
      <c r="N3565">
        <v>-1.338811E-2</v>
      </c>
      <c r="O3565">
        <v>-9.3218739999999994E-2</v>
      </c>
      <c r="P3565">
        <v>-0.98360199999999998</v>
      </c>
      <c r="Q3565">
        <v>0.17667289999999999</v>
      </c>
      <c r="R3565">
        <v>3.6249419999999997E-2</v>
      </c>
      <c r="S3565">
        <v>-3.0808719999999998</v>
      </c>
      <c r="T3565">
        <v>-0.1370044</v>
      </c>
      <c r="U3565">
        <v>-0.16516110000000001</v>
      </c>
      <c r="V3565">
        <v>0.12703689999999901</v>
      </c>
      <c r="W3565">
        <v>0.19022829999999999</v>
      </c>
      <c r="X3565">
        <v>0.97348590000000002</v>
      </c>
      <c r="Y3565">
        <v>3.9699390000000001E-2</v>
      </c>
      <c r="Z3565">
        <v>4.0321239999999998E-3</v>
      </c>
      <c r="AA3565">
        <v>0.99920359999999997</v>
      </c>
      <c r="AB3565">
        <v>25</v>
      </c>
      <c r="AC3565">
        <v>-24.993599999999901</v>
      </c>
      <c r="AD3565">
        <v>-1.122916187737</v>
      </c>
      <c r="AE3565">
        <v>-1.3277999999999901</v>
      </c>
      <c r="AF3565">
        <v>1.0060380805318301</v>
      </c>
      <c r="AG3565">
        <v>-1.122916187737</v>
      </c>
      <c r="AH3565">
        <v>24.9582990916828</v>
      </c>
      <c r="AI3565">
        <v>92.574009510115104</v>
      </c>
      <c r="AJ3565">
        <v>87.6917278079749</v>
      </c>
      <c r="AK3565">
        <v>25.003794650693699</v>
      </c>
      <c r="AL3565">
        <v>79.033892053834293</v>
      </c>
      <c r="AM3565">
        <v>82.565092075956798</v>
      </c>
      <c r="AN3565">
        <v>0.99999998879065399</v>
      </c>
    </row>
    <row r="3566" spans="1:40" x14ac:dyDescent="0.25">
      <c r="A3566" t="str">
        <f>"20190303171047640"</f>
        <v>20190303171047640</v>
      </c>
      <c r="B3566" t="str">
        <f>"1551604247634670"</f>
        <v>1551604247634670</v>
      </c>
      <c r="C3566" t="s">
        <v>40</v>
      </c>
      <c r="D3566">
        <v>5.2060829999999996</v>
      </c>
      <c r="E3566">
        <v>0.470084</v>
      </c>
      <c r="F3566" t="s">
        <v>42</v>
      </c>
      <c r="G3566">
        <v>-239.87780000000001</v>
      </c>
      <c r="H3566" s="1">
        <v>-6.6308379999999899E-7</v>
      </c>
      <c r="I3566">
        <v>141.9778</v>
      </c>
      <c r="J3566">
        <v>-214.0367</v>
      </c>
      <c r="K3566">
        <v>1.12296</v>
      </c>
      <c r="L3566">
        <v>143.46600000000001</v>
      </c>
      <c r="M3566">
        <v>-0.99532929999999997</v>
      </c>
      <c r="N3566">
        <v>-1.333987E-2</v>
      </c>
      <c r="O3566">
        <v>-9.5611450000000001E-2</v>
      </c>
      <c r="P3566">
        <v>-0.9831607</v>
      </c>
      <c r="Q3566">
        <v>0.17973430000000001</v>
      </c>
      <c r="R3566">
        <v>3.3023549999999999E-2</v>
      </c>
      <c r="S3566">
        <v>-3.0804140000000002</v>
      </c>
      <c r="T3566">
        <v>-0.13252849999999999</v>
      </c>
      <c r="U3566">
        <v>-0.1788177</v>
      </c>
      <c r="V3566">
        <v>0.12609989999999999</v>
      </c>
      <c r="W3566">
        <v>0.193244</v>
      </c>
      <c r="X3566">
        <v>0.97301360000000003</v>
      </c>
      <c r="Y3566">
        <v>3.768531E-2</v>
      </c>
      <c r="Z3566">
        <v>3.8855449999999998E-3</v>
      </c>
      <c r="AA3566">
        <v>0.99928209999999995</v>
      </c>
      <c r="AB3566">
        <v>25</v>
      </c>
      <c r="AC3566">
        <v>-25.841100000000001</v>
      </c>
      <c r="AD3566">
        <v>-1.1229606630838</v>
      </c>
      <c r="AE3566">
        <v>-1.4882</v>
      </c>
      <c r="AF3566">
        <v>0.98768503218876802</v>
      </c>
      <c r="AG3566">
        <v>-1.1229606630838</v>
      </c>
      <c r="AH3566">
        <v>25.8164034722816</v>
      </c>
      <c r="AI3566">
        <v>92.488860488902105</v>
      </c>
      <c r="AJ3566">
        <v>87.809044230940501</v>
      </c>
      <c r="AK3566">
        <v>25.859683884712801</v>
      </c>
      <c r="AL3566">
        <v>78.857838218131903</v>
      </c>
      <c r="AM3566">
        <v>82.615780646797802</v>
      </c>
      <c r="AN3566">
        <v>0.99999994705048301</v>
      </c>
    </row>
    <row r="3567" spans="1:40" x14ac:dyDescent="0.25">
      <c r="A3567" t="str">
        <f>"20190303171047663"</f>
        <v>20190303171047663</v>
      </c>
      <c r="B3567" t="str">
        <f>"1551604247654188"</f>
        <v>1551604247654188</v>
      </c>
      <c r="C3567" t="s">
        <v>40</v>
      </c>
      <c r="D3567">
        <v>5.2136100000000001</v>
      </c>
      <c r="E3567">
        <v>0.47008109999999997</v>
      </c>
      <c r="F3567" t="s">
        <v>42</v>
      </c>
      <c r="G3567">
        <v>-242.38990000000001</v>
      </c>
      <c r="H3567" s="1">
        <v>-3.8094010000000001E-6</v>
      </c>
      <c r="I3567">
        <v>141.72980000000001</v>
      </c>
      <c r="J3567">
        <v>-214.29419999999999</v>
      </c>
      <c r="K3567">
        <v>1.122967</v>
      </c>
      <c r="L3567">
        <v>143.43860000000001</v>
      </c>
      <c r="M3567">
        <v>-0.99509919999999996</v>
      </c>
      <c r="N3567">
        <v>-1.3289779999999999E-2</v>
      </c>
      <c r="O3567">
        <v>-9.7984509999999997E-2</v>
      </c>
      <c r="P3567">
        <v>-0.98287100000000005</v>
      </c>
      <c r="Q3567">
        <v>0.1819028</v>
      </c>
      <c r="R3567">
        <v>2.9603460000000002E-2</v>
      </c>
      <c r="S3567">
        <v>-3.0800169999999998</v>
      </c>
      <c r="T3567">
        <v>-0.1219882</v>
      </c>
      <c r="U3567">
        <v>-0.18859860000000001</v>
      </c>
      <c r="V3567">
        <v>0.12498529999999999</v>
      </c>
      <c r="W3567">
        <v>0.19535540000000001</v>
      </c>
      <c r="X3567">
        <v>0.97273580000000004</v>
      </c>
      <c r="Y3567">
        <v>3.6913620000000001E-2</v>
      </c>
      <c r="Z3567">
        <v>3.5405380000000002E-3</v>
      </c>
      <c r="AA3567">
        <v>0.99931219999999998</v>
      </c>
      <c r="AB3567">
        <v>25</v>
      </c>
      <c r="AC3567">
        <v>-28.095700000000001</v>
      </c>
      <c r="AD3567">
        <v>-1.122970809401</v>
      </c>
      <c r="AE3567">
        <v>-1.7087999999999901</v>
      </c>
      <c r="AF3567">
        <v>1.0509380946751099</v>
      </c>
      <c r="AG3567">
        <v>-1.122970809401</v>
      </c>
      <c r="AH3567">
        <v>28.083229284024</v>
      </c>
      <c r="AI3567">
        <v>92.288280056899296</v>
      </c>
      <c r="AJ3567">
        <v>87.856862123139194</v>
      </c>
      <c r="AK3567">
        <v>28.1253142442296</v>
      </c>
      <c r="AL3567">
        <v>78.734514152740303</v>
      </c>
      <c r="AM3567">
        <v>82.678271277883994</v>
      </c>
      <c r="AN3567">
        <v>0.999999997063445</v>
      </c>
    </row>
    <row r="3568" spans="1:40" x14ac:dyDescent="0.25">
      <c r="A3568" t="str">
        <f>"20190303171047685"</f>
        <v>20190303171047685</v>
      </c>
      <c r="B3568" t="str">
        <f>"1551604247674684"</f>
        <v>1551604247674684</v>
      </c>
      <c r="C3568" t="s">
        <v>40</v>
      </c>
      <c r="D3568">
        <v>5.2192499999999997</v>
      </c>
      <c r="E3568">
        <v>0.4701457</v>
      </c>
      <c r="F3568" t="s">
        <v>42</v>
      </c>
      <c r="G3568">
        <v>-244.1534</v>
      </c>
      <c r="H3568" s="1">
        <v>-2.9954889999999999E-6</v>
      </c>
      <c r="I3568">
        <v>141.51419999999999</v>
      </c>
      <c r="J3568">
        <v>-214.54849999999999</v>
      </c>
      <c r="K3568">
        <v>1.122938</v>
      </c>
      <c r="L3568">
        <v>143.4109</v>
      </c>
      <c r="M3568">
        <v>-0.99486870000000005</v>
      </c>
      <c r="N3568">
        <v>-1.3228800000000001E-2</v>
      </c>
      <c r="O3568">
        <v>-0.1003062</v>
      </c>
      <c r="P3568">
        <v>-0.98279649999999996</v>
      </c>
      <c r="Q3568">
        <v>0.18274879999999999</v>
      </c>
      <c r="R3568">
        <v>2.671956E-2</v>
      </c>
      <c r="S3568">
        <v>-3.0797270000000001</v>
      </c>
      <c r="T3568">
        <v>-0.1158251</v>
      </c>
      <c r="U3568">
        <v>-0.1984863</v>
      </c>
      <c r="V3568">
        <v>0.1243913</v>
      </c>
      <c r="W3568">
        <v>0.19613159999999999</v>
      </c>
      <c r="X3568">
        <v>0.97265570000000001</v>
      </c>
      <c r="Y3568">
        <v>3.6052149999999998E-2</v>
      </c>
      <c r="Z3568">
        <v>3.3471410000000001E-3</v>
      </c>
      <c r="AA3568">
        <v>0.99934429999999996</v>
      </c>
      <c r="AB3568">
        <v>25</v>
      </c>
      <c r="AC3568">
        <v>-29.604900000000001</v>
      </c>
      <c r="AD3568">
        <v>-1.1229409954889999</v>
      </c>
      <c r="AE3568">
        <v>-1.8967000000000001</v>
      </c>
      <c r="AF3568">
        <v>1.08113313472017</v>
      </c>
      <c r="AG3568">
        <v>-1.1229409954889999</v>
      </c>
      <c r="AH3568">
        <v>29.6034143857194</v>
      </c>
      <c r="AI3568">
        <v>92.170903118832896</v>
      </c>
      <c r="AJ3568">
        <v>87.908455846699795</v>
      </c>
      <c r="AK3568">
        <v>29.644425928443201</v>
      </c>
      <c r="AL3568">
        <v>78.689163394318101</v>
      </c>
      <c r="AM3568">
        <v>82.712099622513605</v>
      </c>
      <c r="AN3568">
        <v>0.99999995538836906</v>
      </c>
    </row>
    <row r="3569" spans="1:40" x14ac:dyDescent="0.25">
      <c r="A3569" t="str">
        <f>"20190303171047707"</f>
        <v>20190303171047707</v>
      </c>
      <c r="B3569" t="str">
        <f>"1551604247694204"</f>
        <v>1551604247694204</v>
      </c>
      <c r="C3569" t="s">
        <v>40</v>
      </c>
      <c r="D3569">
        <v>5.2301390000000003</v>
      </c>
      <c r="E3569">
        <v>0.47023389999999998</v>
      </c>
      <c r="F3569" t="s">
        <v>42</v>
      </c>
      <c r="G3569">
        <v>-245.2277</v>
      </c>
      <c r="H3569" s="1">
        <v>-2.4915959999999999E-6</v>
      </c>
      <c r="I3569">
        <v>141.35249999999999</v>
      </c>
      <c r="J3569">
        <v>-214.7961</v>
      </c>
      <c r="K3569">
        <v>1.1228880000000001</v>
      </c>
      <c r="L3569">
        <v>143.38339999999999</v>
      </c>
      <c r="M3569">
        <v>-0.99464300000000005</v>
      </c>
      <c r="N3569">
        <v>-1.315041E-2</v>
      </c>
      <c r="O3569">
        <v>-0.10252989999999999</v>
      </c>
      <c r="P3569">
        <v>-0.98274079999999997</v>
      </c>
      <c r="Q3569">
        <v>0.18330869999999999</v>
      </c>
      <c r="R3569">
        <v>2.4862370000000002E-2</v>
      </c>
      <c r="S3569">
        <v>-3.0790860000000002</v>
      </c>
      <c r="T3569">
        <v>-0.112703</v>
      </c>
      <c r="U3569">
        <v>-0.20658869999999999</v>
      </c>
      <c r="V3569">
        <v>0.1247313</v>
      </c>
      <c r="W3569">
        <v>0.1966048</v>
      </c>
      <c r="X3569">
        <v>0.97251670000000001</v>
      </c>
      <c r="Y3569">
        <v>3.565782E-2</v>
      </c>
      <c r="Z3569">
        <v>3.2762109999999998E-3</v>
      </c>
      <c r="AA3569">
        <v>0.99935870000000004</v>
      </c>
      <c r="AB3569">
        <v>25</v>
      </c>
      <c r="AC3569">
        <v>-30.4316</v>
      </c>
      <c r="AD3569">
        <v>-1.1228904915960001</v>
      </c>
      <c r="AE3569">
        <v>-2.0308999999999999</v>
      </c>
      <c r="AF3569">
        <v>1.09873424703315</v>
      </c>
      <c r="AG3569">
        <v>-1.1228904915960001</v>
      </c>
      <c r="AH3569">
        <v>30.438182738002499</v>
      </c>
      <c r="AI3569">
        <v>92.111358166722098</v>
      </c>
      <c r="AJ3569">
        <v>87.932678362340695</v>
      </c>
      <c r="AK3569">
        <v>30.4786986007237</v>
      </c>
      <c r="AL3569">
        <v>78.661513627951905</v>
      </c>
      <c r="AM3569">
        <v>82.691361395892898</v>
      </c>
      <c r="AN3569">
        <v>1.0000000381808001</v>
      </c>
    </row>
    <row r="3570" spans="1:40" x14ac:dyDescent="0.25">
      <c r="A3570" t="str">
        <f>"20190303171047728"</f>
        <v>20190303171047728</v>
      </c>
      <c r="B3570" t="str">
        <f>"1551604247714700"</f>
        <v>1551604247714700</v>
      </c>
      <c r="C3570" t="s">
        <v>40</v>
      </c>
      <c r="D3570">
        <v>5.2371949999999998</v>
      </c>
      <c r="E3570">
        <v>0.47039629999999999</v>
      </c>
      <c r="F3570" t="s">
        <v>42</v>
      </c>
      <c r="G3570">
        <v>-246.08099999999999</v>
      </c>
      <c r="H3570" s="1">
        <v>-2.093877E-6</v>
      </c>
      <c r="I3570">
        <v>141.23349999999999</v>
      </c>
      <c r="J3570">
        <v>-215.03280000000001</v>
      </c>
      <c r="K3570">
        <v>1.1228320000000001</v>
      </c>
      <c r="L3570">
        <v>143.35659999999999</v>
      </c>
      <c r="M3570">
        <v>-0.99442799999999998</v>
      </c>
      <c r="N3570">
        <v>-1.3059350000000001E-2</v>
      </c>
      <c r="O3570">
        <v>-0.1046067</v>
      </c>
      <c r="P3570">
        <v>-0.9827167</v>
      </c>
      <c r="Q3570">
        <v>0.1837384</v>
      </c>
      <c r="R3570">
        <v>2.2550810000000001E-2</v>
      </c>
      <c r="S3570">
        <v>-3.0786440000000002</v>
      </c>
      <c r="T3570">
        <v>-0.1105001</v>
      </c>
      <c r="U3570">
        <v>-0.2115631</v>
      </c>
      <c r="V3570">
        <v>0.1244823</v>
      </c>
      <c r="W3570">
        <v>0.19693260000000001</v>
      </c>
      <c r="X3570">
        <v>0.97248230000000002</v>
      </c>
      <c r="Y3570">
        <v>3.6129340000000003E-2</v>
      </c>
      <c r="Z3570">
        <v>3.2567949999999998E-3</v>
      </c>
      <c r="AA3570">
        <v>0.99934179999999995</v>
      </c>
      <c r="AB3570">
        <v>25</v>
      </c>
      <c r="AC3570">
        <v>-31.048199999999898</v>
      </c>
      <c r="AD3570">
        <v>-1.1228340938770001</v>
      </c>
      <c r="AE3570">
        <v>-2.1230999999999902</v>
      </c>
      <c r="AF3570">
        <v>1.13519873896365</v>
      </c>
      <c r="AG3570">
        <v>-1.1228340938770001</v>
      </c>
      <c r="AH3570">
        <v>31.0595074487515</v>
      </c>
      <c r="AI3570">
        <v>92.069021220165595</v>
      </c>
      <c r="AJ3570">
        <v>87.906819417871006</v>
      </c>
      <c r="AK3570">
        <v>31.100521467305999</v>
      </c>
      <c r="AL3570">
        <v>78.642357796699201</v>
      </c>
      <c r="AM3570">
        <v>82.705539036089405</v>
      </c>
      <c r="AN3570">
        <v>1.00000005788466</v>
      </c>
    </row>
    <row r="3571" spans="1:40" x14ac:dyDescent="0.25">
      <c r="A3571" t="str">
        <f>"20190303171047748"</f>
        <v>20190303171047748</v>
      </c>
      <c r="B3571" t="str">
        <f>"1551604247734220"</f>
        <v>1551604247734220</v>
      </c>
      <c r="C3571" t="s">
        <v>40</v>
      </c>
      <c r="D3571">
        <v>5.2388690000000002</v>
      </c>
      <c r="E3571">
        <v>0.47045389999999998</v>
      </c>
      <c r="F3571" t="s">
        <v>42</v>
      </c>
      <c r="G3571">
        <v>-246.79040000000001</v>
      </c>
      <c r="H3571" s="1">
        <v>-1.7544249999999999E-6</v>
      </c>
      <c r="I3571">
        <v>141.10159999999999</v>
      </c>
      <c r="J3571">
        <v>-215.2595</v>
      </c>
      <c r="K3571">
        <v>1.1227670000000001</v>
      </c>
      <c r="L3571">
        <v>143.3305</v>
      </c>
      <c r="M3571">
        <v>-0.994224</v>
      </c>
      <c r="N3571">
        <v>-1.295931E-2</v>
      </c>
      <c r="O3571">
        <v>-0.106541</v>
      </c>
      <c r="P3571">
        <v>-0.98286839999999998</v>
      </c>
      <c r="Q3571">
        <v>0.1830358</v>
      </c>
      <c r="R3571">
        <v>2.1636570000000001E-2</v>
      </c>
      <c r="S3571">
        <v>-3.078125</v>
      </c>
      <c r="T3571">
        <v>-0.10883130000000001</v>
      </c>
      <c r="U3571">
        <v>-0.21856690000000001</v>
      </c>
      <c r="V3571">
        <v>0.12550929999999999</v>
      </c>
      <c r="W3571">
        <v>0.19612370000000001</v>
      </c>
      <c r="X3571">
        <v>0.97251370000000004</v>
      </c>
      <c r="Y3571">
        <v>3.5800690000000003E-2</v>
      </c>
      <c r="Z3571">
        <v>3.2343319999999999E-3</v>
      </c>
      <c r="AA3571">
        <v>0.99935370000000001</v>
      </c>
      <c r="AB3571">
        <v>25</v>
      </c>
      <c r="AC3571">
        <v>-31.530899999999999</v>
      </c>
      <c r="AD3571">
        <v>-1.122768754425</v>
      </c>
      <c r="AE3571">
        <v>-2.2288999999999999</v>
      </c>
      <c r="AF3571">
        <v>1.1419628234284001</v>
      </c>
      <c r="AG3571">
        <v>-1.122768754425</v>
      </c>
      <c r="AH3571">
        <v>31.549090556709899</v>
      </c>
      <c r="AI3571">
        <v>92.036848771254597</v>
      </c>
      <c r="AJ3571">
        <v>87.927005292206701</v>
      </c>
      <c r="AK3571">
        <v>31.589710408952602</v>
      </c>
      <c r="AL3571">
        <v>78.6896254315146</v>
      </c>
      <c r="AM3571">
        <v>82.646249465343899</v>
      </c>
      <c r="AN3571">
        <v>0.99999999338793499</v>
      </c>
    </row>
    <row r="3572" spans="1:40" x14ac:dyDescent="0.25">
      <c r="A3572" t="str">
        <f>"20190303171047771"</f>
        <v>20190303171047771</v>
      </c>
      <c r="B3572" t="str">
        <f>"1551604247764477"</f>
        <v>1551604247764477</v>
      </c>
      <c r="C3572" t="s">
        <v>40</v>
      </c>
      <c r="D3572">
        <v>5.2426579999999996</v>
      </c>
      <c r="E3572">
        <v>0.47071869999999999</v>
      </c>
      <c r="F3572" t="s">
        <v>42</v>
      </c>
      <c r="G3572">
        <v>-246.73249999999999</v>
      </c>
      <c r="H3572" s="1">
        <v>-1.7712129999999901E-6</v>
      </c>
      <c r="I3572">
        <v>141.07130000000001</v>
      </c>
      <c r="J3572">
        <v>-215.511</v>
      </c>
      <c r="K3572">
        <v>1.1226860000000001</v>
      </c>
      <c r="L3572">
        <v>143.30109999999999</v>
      </c>
      <c r="M3572">
        <v>-0.99400100000000002</v>
      </c>
      <c r="N3572">
        <v>-1.2834689999999999E-2</v>
      </c>
      <c r="O3572">
        <v>-0.1086164</v>
      </c>
      <c r="P3572">
        <v>-0.98291859999999998</v>
      </c>
      <c r="Q3572">
        <v>0.18295320000000001</v>
      </c>
      <c r="R3572">
        <v>1.998221E-2</v>
      </c>
      <c r="S3572">
        <v>-3.077591</v>
      </c>
      <c r="T3572">
        <v>-0.1097901</v>
      </c>
      <c r="U3572">
        <v>-0.22091669999999999</v>
      </c>
      <c r="V3572">
        <v>0.12593360000000001</v>
      </c>
      <c r="W3572">
        <v>0.19590299999999999</v>
      </c>
      <c r="X3572">
        <v>0.97250340000000002</v>
      </c>
      <c r="Y3572">
        <v>3.7112300000000001E-2</v>
      </c>
      <c r="Z3572">
        <v>3.3631070000000002E-3</v>
      </c>
      <c r="AA3572">
        <v>0.99930540000000001</v>
      </c>
      <c r="AB3572">
        <v>25</v>
      </c>
      <c r="AC3572">
        <v>-31.221499999999899</v>
      </c>
      <c r="AD3572">
        <v>-1.1226877712129999</v>
      </c>
      <c r="AE3572">
        <v>-2.22979999999998</v>
      </c>
      <c r="AF3572">
        <v>1.17333067225822</v>
      </c>
      <c r="AG3572">
        <v>-1.1226877712129999</v>
      </c>
      <c r="AH3572">
        <v>31.2387798409491</v>
      </c>
      <c r="AI3572">
        <v>92.056813074755695</v>
      </c>
      <c r="AJ3572">
        <v>87.848977811334393</v>
      </c>
      <c r="AK3572">
        <v>31.280960641408999</v>
      </c>
      <c r="AL3572">
        <v>78.702521526416305</v>
      </c>
      <c r="AM3572">
        <v>82.621585381377002</v>
      </c>
      <c r="AN3572">
        <v>1.0000000600147501</v>
      </c>
    </row>
    <row r="3573" spans="1:40" x14ac:dyDescent="0.25">
      <c r="A3573" t="str">
        <f>"20190303171047793"</f>
        <v>20190303171047793</v>
      </c>
      <c r="B3573" t="str">
        <f>"1551604247783997"</f>
        <v>1551604247783997</v>
      </c>
      <c r="C3573" t="s">
        <v>40</v>
      </c>
      <c r="D3573">
        <v>4.9555110000000004</v>
      </c>
      <c r="E3573">
        <v>0.4707961</v>
      </c>
      <c r="F3573" t="s">
        <v>42</v>
      </c>
      <c r="G3573">
        <v>-247.07839999999999</v>
      </c>
      <c r="H3573" s="1">
        <v>-1.60739E-6</v>
      </c>
      <c r="I3573">
        <v>141.01320000000001</v>
      </c>
      <c r="J3573">
        <v>-215.76900000000001</v>
      </c>
      <c r="K3573">
        <v>1.1225969999999901</v>
      </c>
      <c r="L3573">
        <v>143.2705</v>
      </c>
      <c r="M3573">
        <v>-0.99377749999999998</v>
      </c>
      <c r="N3573">
        <v>-1.269152E-2</v>
      </c>
      <c r="O3573">
        <v>-0.1106593</v>
      </c>
      <c r="P3573">
        <v>-0.98284769999999999</v>
      </c>
      <c r="Q3573">
        <v>0.18349779999999999</v>
      </c>
      <c r="R3573">
        <v>1.842303E-2</v>
      </c>
      <c r="S3573">
        <v>-3.0770420000000001</v>
      </c>
      <c r="T3573">
        <v>-0.1094344</v>
      </c>
      <c r="U3573">
        <v>-0.22300719999999999</v>
      </c>
      <c r="V3573">
        <v>0.12641269999999999</v>
      </c>
      <c r="W3573">
        <v>0.1962855</v>
      </c>
      <c r="X3573">
        <v>0.97236409999999995</v>
      </c>
      <c r="Y3573">
        <v>3.8476469999999999E-2</v>
      </c>
      <c r="Z3573">
        <v>3.4409559999999998E-3</v>
      </c>
      <c r="AA3573">
        <v>0.99925359999999996</v>
      </c>
      <c r="AB3573">
        <v>25</v>
      </c>
      <c r="AC3573">
        <v>-31.309399999999901</v>
      </c>
      <c r="AD3573">
        <v>-1.1225986073899901</v>
      </c>
      <c r="AE3573">
        <v>-2.2572999999999799</v>
      </c>
      <c r="AF3573">
        <v>1.2199603027803501</v>
      </c>
      <c r="AG3573">
        <v>-1.1225986073899901</v>
      </c>
      <c r="AH3573">
        <v>31.326825569350898</v>
      </c>
      <c r="AI3573">
        <v>92.050766245754801</v>
      </c>
      <c r="AJ3573">
        <v>87.769857867118006</v>
      </c>
      <c r="AK3573">
        <v>31.370663541375901</v>
      </c>
      <c r="AL3573">
        <v>78.680171925995396</v>
      </c>
      <c r="AM3573">
        <v>82.592776881266005</v>
      </c>
      <c r="AN3573">
        <v>1.00000005560017</v>
      </c>
    </row>
    <row r="3574" spans="1:40" x14ac:dyDescent="0.25">
      <c r="A3574" t="str">
        <f>"20190303171047820"</f>
        <v>20190303171047820</v>
      </c>
      <c r="B3574" t="str">
        <f>"1551604247814253"</f>
        <v>1551604247814253</v>
      </c>
      <c r="C3574" t="s">
        <v>40</v>
      </c>
      <c r="D3574">
        <v>5.243512</v>
      </c>
      <c r="E3574">
        <v>0.47095989999999999</v>
      </c>
      <c r="F3574" t="s">
        <v>42</v>
      </c>
      <c r="G3574">
        <v>-247.6388</v>
      </c>
      <c r="H3574" s="1">
        <v>-1.344552E-6</v>
      </c>
      <c r="I3574">
        <v>140.9289</v>
      </c>
      <c r="J3574">
        <v>-216.0514</v>
      </c>
      <c r="K3574">
        <v>1.122485</v>
      </c>
      <c r="L3574">
        <v>143.23650000000001</v>
      </c>
      <c r="M3574">
        <v>-0.99354200000000004</v>
      </c>
      <c r="N3574">
        <v>-1.251853E-2</v>
      </c>
      <c r="O3574">
        <v>-0.11277230000000001</v>
      </c>
      <c r="P3574">
        <v>-0.98266260000000005</v>
      </c>
      <c r="Q3574">
        <v>0.18457409999999999</v>
      </c>
      <c r="R3574">
        <v>1.7516540000000001E-2</v>
      </c>
      <c r="S3574">
        <v>-3.0768279999999999</v>
      </c>
      <c r="T3574">
        <v>-0.1083798</v>
      </c>
      <c r="U3574">
        <v>-0.22605900000000001</v>
      </c>
      <c r="V3574">
        <v>0.127605</v>
      </c>
      <c r="W3574">
        <v>0.19716439999999999</v>
      </c>
      <c r="X3574">
        <v>0.97203050000000002</v>
      </c>
      <c r="Y3574">
        <v>3.9609900000000003E-2</v>
      </c>
      <c r="Z3574">
        <v>3.4868450000000001E-3</v>
      </c>
      <c r="AA3574">
        <v>0.99920920000000002</v>
      </c>
      <c r="AB3574">
        <v>25</v>
      </c>
      <c r="AC3574">
        <v>-31.587399999999999</v>
      </c>
      <c r="AD3574">
        <v>-1.1224863445519999</v>
      </c>
      <c r="AE3574">
        <v>-2.3075999999999999</v>
      </c>
      <c r="AF3574">
        <v>1.2679929868694599</v>
      </c>
      <c r="AG3574">
        <v>-1.1224863445519999</v>
      </c>
      <c r="AH3574">
        <v>31.606420852861799</v>
      </c>
      <c r="AI3574">
        <v>92.032342844680201</v>
      </c>
      <c r="AJ3574">
        <v>87.702627951077403</v>
      </c>
      <c r="AK3574">
        <v>31.651755416353701</v>
      </c>
      <c r="AL3574">
        <v>78.628811114037006</v>
      </c>
      <c r="AM3574">
        <v>82.521163278118493</v>
      </c>
      <c r="AN3574">
        <v>1.0000000647913001</v>
      </c>
    </row>
    <row r="3575" spans="1:40" x14ac:dyDescent="0.25">
      <c r="A3575" t="str">
        <f>"20190303171047837"</f>
        <v>20190303171047837</v>
      </c>
      <c r="B3575" t="str">
        <f>"1551604247834748"</f>
        <v>1551604247834748</v>
      </c>
      <c r="C3575" t="s">
        <v>40</v>
      </c>
      <c r="D3575">
        <v>5.0012509999999999</v>
      </c>
      <c r="E3575">
        <v>0.47632269999999999</v>
      </c>
      <c r="F3575" t="s">
        <v>42</v>
      </c>
      <c r="G3575">
        <v>-248.7954</v>
      </c>
      <c r="H3575" s="1">
        <v>-8.1995549999999897E-7</v>
      </c>
      <c r="I3575">
        <v>140.82220000000001</v>
      </c>
      <c r="J3575">
        <v>-216.2663</v>
      </c>
      <c r="K3575">
        <v>1.122387</v>
      </c>
      <c r="L3575">
        <v>143.21029999999999</v>
      </c>
      <c r="M3575">
        <v>-0.99337089999999995</v>
      </c>
      <c r="N3575">
        <v>-1.236773E-2</v>
      </c>
      <c r="O3575">
        <v>-0.11428629999999999</v>
      </c>
      <c r="P3575">
        <v>-0.9824832</v>
      </c>
      <c r="Q3575">
        <v>0.18566079999999999</v>
      </c>
      <c r="R3575">
        <v>1.603007E-2</v>
      </c>
      <c r="S3575">
        <v>-3.0767820000000001</v>
      </c>
      <c r="T3575">
        <v>-0.1054741</v>
      </c>
      <c r="U3575">
        <v>-0.22685240000000001</v>
      </c>
      <c r="V3575">
        <v>0.12762660000000001</v>
      </c>
      <c r="W3575">
        <v>0.1980778</v>
      </c>
      <c r="X3575">
        <v>0.97184190000000004</v>
      </c>
      <c r="Y3575">
        <v>4.0877259999999999E-2</v>
      </c>
      <c r="Z3575">
        <v>3.4383999999999999E-3</v>
      </c>
      <c r="AA3575">
        <v>0.99915830000000005</v>
      </c>
      <c r="AB3575">
        <v>25</v>
      </c>
      <c r="AC3575">
        <v>-32.5291</v>
      </c>
      <c r="AD3575">
        <v>-1.1223878199555</v>
      </c>
      <c r="AE3575">
        <v>-2.3880999999999801</v>
      </c>
      <c r="AF3575">
        <v>1.3438729478908999</v>
      </c>
      <c r="AG3575">
        <v>-1.1223878199555</v>
      </c>
      <c r="AH3575">
        <v>32.5503353784448</v>
      </c>
      <c r="AI3575">
        <v>91.973188378177198</v>
      </c>
      <c r="AJ3575">
        <v>87.635829455609297</v>
      </c>
      <c r="AK3575">
        <v>32.597393794100903</v>
      </c>
      <c r="AL3575">
        <v>78.575423776727703</v>
      </c>
      <c r="AM3575">
        <v>82.518476475395801</v>
      </c>
      <c r="AN3575">
        <v>1.000000021238</v>
      </c>
    </row>
    <row r="3576" spans="1:40" x14ac:dyDescent="0.25">
      <c r="A3576" t="str">
        <f>"20190303171047862"</f>
        <v>20190303171047862</v>
      </c>
      <c r="B3576" t="str">
        <f>"1551604247854268"</f>
        <v>1551604247854268</v>
      </c>
      <c r="C3576" t="s">
        <v>40</v>
      </c>
      <c r="D3576">
        <v>5.0736929999999996</v>
      </c>
      <c r="E3576">
        <v>0.47647669999999998</v>
      </c>
      <c r="F3576" t="s">
        <v>62</v>
      </c>
      <c r="G3576">
        <v>0</v>
      </c>
      <c r="H3576">
        <v>0</v>
      </c>
      <c r="I3576">
        <v>0</v>
      </c>
      <c r="J3576">
        <v>-216.5299</v>
      </c>
      <c r="K3576">
        <v>1.1222780000000001</v>
      </c>
      <c r="L3576">
        <v>143.17779999999999</v>
      </c>
      <c r="M3576">
        <v>-0.99317029999999995</v>
      </c>
      <c r="N3576">
        <v>-1.2180989999999999E-2</v>
      </c>
      <c r="O3576">
        <v>-0.1160368</v>
      </c>
      <c r="P3576">
        <v>-0.98242960000000001</v>
      </c>
      <c r="Q3576">
        <v>0.18615590000000001</v>
      </c>
      <c r="R3576">
        <v>1.335539E-2</v>
      </c>
      <c r="S3576">
        <v>-2.9974059999999998</v>
      </c>
      <c r="T3576">
        <v>0.31041729999999901</v>
      </c>
      <c r="U3576">
        <v>-0.15884400000000001</v>
      </c>
      <c r="V3576">
        <v>0.12672120000000001</v>
      </c>
      <c r="W3576">
        <v>0.19836190000000001</v>
      </c>
      <c r="X3576">
        <v>0.97190240000000006</v>
      </c>
      <c r="Y3576">
        <v>6.2258460000000002E-2</v>
      </c>
      <c r="Z3576">
        <v>-1.61914999999999E-2</v>
      </c>
      <c r="AA3576">
        <v>0.9979287</v>
      </c>
      <c r="AB3576">
        <v>25</v>
      </c>
      <c r="AC3576">
        <v>-2.9974059999999998</v>
      </c>
      <c r="AD3576">
        <v>0.31041729999999901</v>
      </c>
      <c r="AE3576">
        <v>-0.15884400000000001</v>
      </c>
      <c r="AF3576">
        <v>0.18805310618764101</v>
      </c>
      <c r="AG3576">
        <v>0.31041729999999901</v>
      </c>
      <c r="AH3576">
        <v>2.9638894307413501</v>
      </c>
      <c r="AI3576">
        <v>84.032945264529303</v>
      </c>
      <c r="AJ3576">
        <v>86.369558977550497</v>
      </c>
      <c r="AK3576">
        <v>2.9860280354588702</v>
      </c>
      <c r="AL3576">
        <v>78.558816161666002</v>
      </c>
      <c r="AM3576">
        <v>82.571413731291301</v>
      </c>
      <c r="AN3576">
        <v>0.99999999051340505</v>
      </c>
    </row>
    <row r="3577" spans="1:40" x14ac:dyDescent="0.25">
      <c r="A3577" t="str">
        <f>"20190303171047885"</f>
        <v>20190303171047885</v>
      </c>
      <c r="B3577" t="str">
        <f>"1551604247874765"</f>
        <v>1551604247874765</v>
      </c>
      <c r="C3577" t="s">
        <v>40</v>
      </c>
      <c r="D3577">
        <v>5.2615769999999999</v>
      </c>
      <c r="E3577">
        <v>0.4771183</v>
      </c>
      <c r="F3577" t="s">
        <v>62</v>
      </c>
      <c r="G3577">
        <v>0</v>
      </c>
      <c r="H3577">
        <v>0</v>
      </c>
      <c r="I3577">
        <v>0</v>
      </c>
      <c r="J3577">
        <v>-216.79910000000001</v>
      </c>
      <c r="K3577">
        <v>1.122179</v>
      </c>
      <c r="L3577">
        <v>143.14439999999999</v>
      </c>
      <c r="M3577">
        <v>-0.99297619999999998</v>
      </c>
      <c r="N3577">
        <v>-1.1977959999999999E-2</v>
      </c>
      <c r="O3577">
        <v>-0.1177068</v>
      </c>
      <c r="P3577">
        <v>-0.98224889999999998</v>
      </c>
      <c r="Q3577">
        <v>0.18736990000000001</v>
      </c>
      <c r="R3577">
        <v>8.9301650000000003E-3</v>
      </c>
      <c r="S3577">
        <v>-2.9952999999999999</v>
      </c>
      <c r="T3577">
        <v>0.31974629999999998</v>
      </c>
      <c r="U3577">
        <v>-0.16491700000000001</v>
      </c>
      <c r="V3577">
        <v>0.1239798</v>
      </c>
      <c r="W3577">
        <v>0.199348</v>
      </c>
      <c r="X3577">
        <v>0.97205419999999998</v>
      </c>
      <c r="Y3577">
        <v>6.1812590000000001E-2</v>
      </c>
      <c r="Z3577">
        <v>-1.681216E-2</v>
      </c>
      <c r="AA3577">
        <v>0.99794609999999995</v>
      </c>
      <c r="AB3577">
        <v>25</v>
      </c>
      <c r="AC3577">
        <v>-2.9952999999999999</v>
      </c>
      <c r="AD3577">
        <v>0.31974629999999998</v>
      </c>
      <c r="AE3577">
        <v>-0.16491700000000001</v>
      </c>
      <c r="AF3577">
        <v>0.18670095270647399</v>
      </c>
      <c r="AG3577">
        <v>0.31974629999999998</v>
      </c>
      <c r="AH3577">
        <v>2.9602566756291702</v>
      </c>
      <c r="AI3577">
        <v>83.847340069740895</v>
      </c>
      <c r="AJ3577">
        <v>86.391182223423499</v>
      </c>
      <c r="AK3577">
        <v>2.9833227327448602</v>
      </c>
      <c r="AL3577">
        <v>78.501165459171403</v>
      </c>
      <c r="AM3577">
        <v>82.731503970459102</v>
      </c>
      <c r="AN3577">
        <v>0.99999999182484001</v>
      </c>
    </row>
    <row r="3578" spans="1:40" x14ac:dyDescent="0.25">
      <c r="A3578" t="str">
        <f>"20190303171047917"</f>
        <v>20190303171047917</v>
      </c>
      <c r="B3578" t="str">
        <f>"1551604247904045"</f>
        <v>1551604247904045</v>
      </c>
      <c r="C3578" t="s">
        <v>40</v>
      </c>
      <c r="D3578">
        <v>5.2804339999999996</v>
      </c>
      <c r="E3578">
        <v>0.47838969999999997</v>
      </c>
      <c r="F3578" t="s">
        <v>62</v>
      </c>
      <c r="G3578">
        <v>0</v>
      </c>
      <c r="H3578">
        <v>0</v>
      </c>
      <c r="I3578">
        <v>0</v>
      </c>
      <c r="J3578">
        <v>-217.15710000000001</v>
      </c>
      <c r="K3578">
        <v>1.122039</v>
      </c>
      <c r="L3578">
        <v>143.0994</v>
      </c>
      <c r="M3578">
        <v>-0.99273599999999995</v>
      </c>
      <c r="N3578">
        <v>-1.1678310000000001E-2</v>
      </c>
      <c r="O3578">
        <v>-0.1197447</v>
      </c>
      <c r="P3578">
        <v>-0.98183580000000004</v>
      </c>
      <c r="Q3578">
        <v>0.1896456</v>
      </c>
      <c r="R3578">
        <v>5.7728780000000004E-3</v>
      </c>
      <c r="S3578">
        <v>-2.9939119999999999</v>
      </c>
      <c r="T3578">
        <v>0.32427800000000001</v>
      </c>
      <c r="U3578">
        <v>-0.17260739999999999</v>
      </c>
      <c r="V3578">
        <v>0.1228397</v>
      </c>
      <c r="W3578">
        <v>0.20129559999999999</v>
      </c>
      <c r="X3578">
        <v>0.97179760000000004</v>
      </c>
      <c r="Y3578">
        <v>6.1240610000000001E-2</v>
      </c>
      <c r="Z3578">
        <v>-1.7228770000000001E-2</v>
      </c>
      <c r="AA3578">
        <v>0.99797429999999998</v>
      </c>
      <c r="AB3578">
        <v>25</v>
      </c>
      <c r="AC3578">
        <v>-2.9939119999999999</v>
      </c>
      <c r="AD3578">
        <v>0.32427800000000001</v>
      </c>
      <c r="AE3578">
        <v>-0.17260739999999999</v>
      </c>
      <c r="AF3578">
        <v>0.18500111593480201</v>
      </c>
      <c r="AG3578">
        <v>0.32427800000000001</v>
      </c>
      <c r="AH3578">
        <v>2.9584449517630902</v>
      </c>
      <c r="AI3578">
        <v>83.756824319274301</v>
      </c>
      <c r="AJ3578">
        <v>86.421769150122103</v>
      </c>
      <c r="AK3578">
        <v>2.9819084772664701</v>
      </c>
      <c r="AL3578">
        <v>78.387268084653101</v>
      </c>
      <c r="AM3578">
        <v>82.795757103794003</v>
      </c>
      <c r="AN3578">
        <v>1.0000000429206</v>
      </c>
    </row>
    <row r="3579" spans="1:40" x14ac:dyDescent="0.25">
      <c r="A3579" t="str">
        <f>"20190303171047938"</f>
        <v>20190303171047938</v>
      </c>
      <c r="B3579" t="str">
        <f>"1551604247924541"</f>
        <v>1551604247924541</v>
      </c>
      <c r="C3579" t="s">
        <v>40</v>
      </c>
      <c r="D3579">
        <v>5.1925559999999997</v>
      </c>
      <c r="E3579">
        <v>0.47945719999999997</v>
      </c>
      <c r="F3579" t="s">
        <v>84</v>
      </c>
      <c r="G3579">
        <v>-289.71230000000003</v>
      </c>
      <c r="H3579" s="1">
        <v>-8.3375169999999992E-6</v>
      </c>
      <c r="I3579">
        <v>138.3623</v>
      </c>
      <c r="J3579">
        <v>-217.39670000000001</v>
      </c>
      <c r="K3579">
        <v>1.1219399999999999</v>
      </c>
      <c r="L3579">
        <v>143.06899999999999</v>
      </c>
      <c r="M3579">
        <v>-0.99258970000000002</v>
      </c>
      <c r="N3579">
        <v>-1.145286E-2</v>
      </c>
      <c r="O3579">
        <v>-0.1209739</v>
      </c>
      <c r="P3579">
        <v>-0.98160709999999995</v>
      </c>
      <c r="Q3579">
        <v>0.1908649</v>
      </c>
      <c r="R3579">
        <v>4.2866110000000001E-3</v>
      </c>
      <c r="S3579">
        <v>-3.0658259999999999</v>
      </c>
      <c r="T3579">
        <v>-4.7412160000000002E-2</v>
      </c>
      <c r="U3579">
        <v>-0.2001648</v>
      </c>
      <c r="V3579">
        <v>0.12257469999999999</v>
      </c>
      <c r="W3579">
        <v>0.2022717</v>
      </c>
      <c r="X3579">
        <v>0.9716283</v>
      </c>
      <c r="Y3579">
        <v>5.6040550000000001E-2</v>
      </c>
      <c r="Z3579">
        <v>1.229611E-3</v>
      </c>
      <c r="AA3579">
        <v>0.99842770000000003</v>
      </c>
      <c r="AB3579">
        <v>26</v>
      </c>
      <c r="AC3579">
        <v>-72.315600000000003</v>
      </c>
      <c r="AD3579">
        <v>-1.1219483375169901</v>
      </c>
      <c r="AE3579">
        <v>-4.7066999999999801</v>
      </c>
      <c r="AF3579">
        <v>4.07576835160953</v>
      </c>
      <c r="AG3579">
        <v>-1.1219483375169901</v>
      </c>
      <c r="AH3579">
        <v>72.336508827110904</v>
      </c>
      <c r="AI3579">
        <v>90.887186548673498</v>
      </c>
      <c r="AJ3579">
        <v>86.775104655230905</v>
      </c>
      <c r="AK3579">
        <v>72.459927994876793</v>
      </c>
      <c r="AL3579">
        <v>78.330166316524995</v>
      </c>
      <c r="AM3579">
        <v>82.809896419914594</v>
      </c>
      <c r="AN3579">
        <v>0.999999975530934</v>
      </c>
    </row>
    <row r="3580" spans="1:40" x14ac:dyDescent="0.25">
      <c r="A3580" t="str">
        <f>"20190303171047960"</f>
        <v>20190303171047960</v>
      </c>
      <c r="B3580" t="str">
        <f>"1551604247954796"</f>
        <v>1551604247954796</v>
      </c>
      <c r="C3580" t="s">
        <v>40</v>
      </c>
      <c r="D3580">
        <v>5.2510669999999999</v>
      </c>
      <c r="E3580">
        <v>0.47987160000000001</v>
      </c>
      <c r="F3580" t="s">
        <v>62</v>
      </c>
      <c r="G3580">
        <v>0</v>
      </c>
      <c r="H3580">
        <v>0</v>
      </c>
      <c r="I3580">
        <v>0</v>
      </c>
      <c r="J3580">
        <v>-217.6574</v>
      </c>
      <c r="K3580">
        <v>1.121842</v>
      </c>
      <c r="L3580">
        <v>143.03569999999999</v>
      </c>
      <c r="M3580">
        <v>-0.99244019999999999</v>
      </c>
      <c r="N3580">
        <v>-1.1214139999999999E-2</v>
      </c>
      <c r="O3580">
        <v>-0.1222167</v>
      </c>
      <c r="P3580">
        <v>-0.98163679999999998</v>
      </c>
      <c r="Q3580">
        <v>0.19074769999999999</v>
      </c>
      <c r="R3580">
        <v>2.1897050000000001E-3</v>
      </c>
      <c r="S3580">
        <v>-2.9904329999999999</v>
      </c>
      <c r="T3580">
        <v>0.34208250000000001</v>
      </c>
      <c r="U3580">
        <v>-0.16810610000000001</v>
      </c>
      <c r="V3580">
        <v>0.1217519</v>
      </c>
      <c r="W3580">
        <v>0.20190089999999999</v>
      </c>
      <c r="X3580">
        <v>0.97180889999999998</v>
      </c>
      <c r="Y3580">
        <v>6.4992690000000006E-2</v>
      </c>
      <c r="Z3580">
        <v>-1.8591110000000001E-2</v>
      </c>
      <c r="AA3580">
        <v>0.99771259999999995</v>
      </c>
      <c r="AB3580">
        <v>26</v>
      </c>
      <c r="AC3580">
        <v>-2.9904329999999999</v>
      </c>
      <c r="AD3580">
        <v>0.34208250000000001</v>
      </c>
      <c r="AE3580">
        <v>-0.16810610000000001</v>
      </c>
      <c r="AF3580">
        <v>0.196100067193931</v>
      </c>
      <c r="AG3580">
        <v>0.34208250000000001</v>
      </c>
      <c r="AH3580">
        <v>2.9500769627356802</v>
      </c>
      <c r="AI3580">
        <v>83.400121222393906</v>
      </c>
      <c r="AJ3580">
        <v>86.196980201981404</v>
      </c>
      <c r="AK3580">
        <v>2.9763114351867599</v>
      </c>
      <c r="AL3580">
        <v>78.351859670933806</v>
      </c>
      <c r="AM3580">
        <v>82.858974519460304</v>
      </c>
      <c r="AN3580">
        <v>1.0000000183468101</v>
      </c>
    </row>
    <row r="3581" spans="1:40" x14ac:dyDescent="0.25">
      <c r="A3581" t="str">
        <f>"20190303171047983"</f>
        <v>20190303171047983</v>
      </c>
      <c r="B3581" t="str">
        <f>"1551604247974317"</f>
        <v>1551604247974317</v>
      </c>
      <c r="C3581" t="s">
        <v>40</v>
      </c>
      <c r="D3581">
        <v>5.1143070000000002</v>
      </c>
      <c r="E3581">
        <v>0.48059079999999899</v>
      </c>
      <c r="F3581" t="s">
        <v>62</v>
      </c>
      <c r="G3581">
        <v>0</v>
      </c>
      <c r="H3581">
        <v>0</v>
      </c>
      <c r="I3581">
        <v>0</v>
      </c>
      <c r="J3581">
        <v>-217.91370000000001</v>
      </c>
      <c r="K3581">
        <v>1.121731</v>
      </c>
      <c r="L3581">
        <v>143.00280000000001</v>
      </c>
      <c r="M3581">
        <v>-0.99230529999999995</v>
      </c>
      <c r="N3581">
        <v>-1.097246E-2</v>
      </c>
      <c r="O3581">
        <v>-0.1233278</v>
      </c>
      <c r="P3581">
        <v>-0.98168310000000003</v>
      </c>
      <c r="Q3581">
        <v>0.1905202</v>
      </c>
      <c r="R3581">
        <v>6.6160830000000005E-4</v>
      </c>
      <c r="S3581">
        <v>-2.9876559999999999</v>
      </c>
      <c r="T3581">
        <v>0.35434890000000002</v>
      </c>
      <c r="U3581">
        <v>-0.1699677</v>
      </c>
      <c r="V3581">
        <v>0.1213687</v>
      </c>
      <c r="W3581">
        <v>0.2014166</v>
      </c>
      <c r="X3581">
        <v>0.97195730000000002</v>
      </c>
      <c r="Y3581">
        <v>6.5334840000000005E-2</v>
      </c>
      <c r="Z3581">
        <v>-1.9372569999999999E-2</v>
      </c>
      <c r="AA3581">
        <v>0.99767530000000004</v>
      </c>
      <c r="AB3581">
        <v>26</v>
      </c>
      <c r="AC3581">
        <v>-2.9876559999999999</v>
      </c>
      <c r="AD3581">
        <v>0.35434890000000002</v>
      </c>
      <c r="AE3581">
        <v>-0.1699677</v>
      </c>
      <c r="AF3581">
        <v>0.197050265047607</v>
      </c>
      <c r="AG3581">
        <v>0.35434890000000002</v>
      </c>
      <c r="AH3581">
        <v>2.94452153106569</v>
      </c>
      <c r="AI3581">
        <v>83.153092659270101</v>
      </c>
      <c r="AJ3581">
        <v>86.171418831951698</v>
      </c>
      <c r="AK3581">
        <v>2.97230533370917</v>
      </c>
      <c r="AL3581">
        <v>78.380189830724603</v>
      </c>
      <c r="AM3581">
        <v>82.882294877964995</v>
      </c>
      <c r="AN3581">
        <v>1.00000000055927</v>
      </c>
    </row>
    <row r="3582" spans="1:40" x14ac:dyDescent="0.25">
      <c r="A3582" t="str">
        <f>"20190303171048027"</f>
        <v>20190303171048027</v>
      </c>
      <c r="B3582" t="str">
        <f>"1551604248014333"</f>
        <v>1551604248014333</v>
      </c>
      <c r="C3582" t="s">
        <v>40</v>
      </c>
      <c r="D3582">
        <v>5.008794</v>
      </c>
      <c r="E3582">
        <v>0.48097109999999899</v>
      </c>
      <c r="F3582" t="s">
        <v>62</v>
      </c>
      <c r="G3582">
        <v>0</v>
      </c>
      <c r="H3582">
        <v>0</v>
      </c>
      <c r="I3582">
        <v>0</v>
      </c>
      <c r="J3582">
        <v>-218.42009999999999</v>
      </c>
      <c r="K3582">
        <v>1.121475</v>
      </c>
      <c r="L3582">
        <v>142.9374</v>
      </c>
      <c r="M3582">
        <v>-0.99208739999999995</v>
      </c>
      <c r="N3582">
        <v>-1.045803E-2</v>
      </c>
      <c r="O3582">
        <v>-0.12511410000000001</v>
      </c>
      <c r="P3582">
        <v>-0.98143190000000002</v>
      </c>
      <c r="Q3582">
        <v>0.1918001</v>
      </c>
      <c r="R3582">
        <v>-2.0962120000000001E-3</v>
      </c>
      <c r="S3582">
        <v>-2.9902799999999998</v>
      </c>
      <c r="T3582">
        <v>0.33904390000000001</v>
      </c>
      <c r="U3582">
        <v>-0.16958619999999999</v>
      </c>
      <c r="V3582">
        <v>0.12044240000000001</v>
      </c>
      <c r="W3582">
        <v>0.2021405</v>
      </c>
      <c r="X3582">
        <v>0.97192219999999996</v>
      </c>
      <c r="Y3582">
        <v>6.7405129999999994E-2</v>
      </c>
      <c r="Z3582">
        <v>-1.8847599999999999E-2</v>
      </c>
      <c r="AA3582">
        <v>0.99754759999999998</v>
      </c>
      <c r="AB3582">
        <v>26</v>
      </c>
      <c r="AC3582">
        <v>-2.9902799999999998</v>
      </c>
      <c r="AD3582">
        <v>0.33904390000000001</v>
      </c>
      <c r="AE3582">
        <v>-0.16958619999999999</v>
      </c>
      <c r="AF3582">
        <v>0.20328809880589199</v>
      </c>
      <c r="AG3582">
        <v>0.33904390000000001</v>
      </c>
      <c r="AH3582">
        <v>2.95019509366431</v>
      </c>
      <c r="AI3582">
        <v>83.4595582904347</v>
      </c>
      <c r="AJ3582">
        <v>86.058169927302302</v>
      </c>
      <c r="AK3582">
        <v>2.9765631032995601</v>
      </c>
      <c r="AL3582">
        <v>78.337841875860207</v>
      </c>
      <c r="AM3582">
        <v>82.935814614720499</v>
      </c>
      <c r="AN3582">
        <v>0.99999995815542397</v>
      </c>
    </row>
    <row r="3583" spans="1:40" x14ac:dyDescent="0.25">
      <c r="A3583" t="str">
        <f>"20190303171048050"</f>
        <v>20190303171048050</v>
      </c>
      <c r="B3583" t="str">
        <f>"1551604248033853"</f>
        <v>1551604248033853</v>
      </c>
      <c r="C3583" t="s">
        <v>40</v>
      </c>
      <c r="D3583">
        <v>5.3125650000000002</v>
      </c>
      <c r="E3583">
        <v>0.48454370000000002</v>
      </c>
      <c r="F3583" t="s">
        <v>62</v>
      </c>
      <c r="G3583">
        <v>0</v>
      </c>
      <c r="H3583">
        <v>0</v>
      </c>
      <c r="I3583">
        <v>0</v>
      </c>
      <c r="J3583">
        <v>-218.67429999999999</v>
      </c>
      <c r="K3583">
        <v>1.1213310000000001</v>
      </c>
      <c r="L3583">
        <v>142.90450000000001</v>
      </c>
      <c r="M3583">
        <v>-0.99200770000000005</v>
      </c>
      <c r="N3583">
        <v>-1.019541E-2</v>
      </c>
      <c r="O3583">
        <v>-0.1257645</v>
      </c>
      <c r="P3583">
        <v>-0.98124239999999996</v>
      </c>
      <c r="Q3583">
        <v>0.1927442</v>
      </c>
      <c r="R3583">
        <v>-3.6334689999999998E-3</v>
      </c>
      <c r="S3583">
        <v>-2.990631</v>
      </c>
      <c r="T3583">
        <v>0.33635310000000002</v>
      </c>
      <c r="U3583">
        <v>-0.1753082</v>
      </c>
      <c r="V3583">
        <v>0.11958870000000001</v>
      </c>
      <c r="W3583">
        <v>0.2027928</v>
      </c>
      <c r="X3583">
        <v>0.97189179999999997</v>
      </c>
      <c r="Y3583">
        <v>6.6188869999999997E-2</v>
      </c>
      <c r="Z3583">
        <v>-1.869618E-2</v>
      </c>
      <c r="AA3583">
        <v>0.99763199999999996</v>
      </c>
      <c r="AB3583">
        <v>26</v>
      </c>
      <c r="AC3583">
        <v>-2.990631</v>
      </c>
      <c r="AD3583">
        <v>0.33635310000000002</v>
      </c>
      <c r="AE3583">
        <v>-0.1753082</v>
      </c>
      <c r="AF3583">
        <v>0.19970122232992099</v>
      </c>
      <c r="AG3583">
        <v>0.33635310000000002</v>
      </c>
      <c r="AH3583">
        <v>2.9517227197470799</v>
      </c>
      <c r="AI3583">
        <v>83.5138045901368</v>
      </c>
      <c r="AJ3583">
        <v>86.129505322638593</v>
      </c>
      <c r="AK3583">
        <v>2.97752934500246</v>
      </c>
      <c r="AL3583">
        <v>78.299678198585696</v>
      </c>
      <c r="AM3583">
        <v>82.985167998334802</v>
      </c>
      <c r="AN3583">
        <v>1.0000000239033799</v>
      </c>
    </row>
    <row r="3584" spans="1:40" x14ac:dyDescent="0.25">
      <c r="A3584" t="str">
        <f>"20190303171048074"</f>
        <v>20190303171048074</v>
      </c>
      <c r="B3584" t="str">
        <f>"1551604248064410"</f>
        <v>1551604248064410</v>
      </c>
      <c r="C3584" t="s">
        <v>40</v>
      </c>
      <c r="D3584">
        <v>5.3361960000000002</v>
      </c>
      <c r="E3584">
        <v>0.48509590000000002</v>
      </c>
      <c r="F3584" t="s">
        <v>42</v>
      </c>
      <c r="G3584">
        <v>-268.69600000000003</v>
      </c>
      <c r="H3584" s="1">
        <v>-6.4186800000000001E-7</v>
      </c>
      <c r="I3584">
        <v>139.99250000000001</v>
      </c>
      <c r="J3584">
        <v>-218.95189999999999</v>
      </c>
      <c r="K3584">
        <v>1.1211530000000001</v>
      </c>
      <c r="L3584">
        <v>142.86859999999999</v>
      </c>
      <c r="M3584">
        <v>-0.9919481</v>
      </c>
      <c r="N3584">
        <v>-9.9101850000000002E-3</v>
      </c>
      <c r="O3584">
        <v>-0.12625790000000001</v>
      </c>
      <c r="P3584">
        <v>-0.98092400000000002</v>
      </c>
      <c r="Q3584">
        <v>0.19432430000000001</v>
      </c>
      <c r="R3584">
        <v>-5.1548829999999999E-3</v>
      </c>
      <c r="S3584">
        <v>-3.0702060000000002</v>
      </c>
      <c r="T3584">
        <v>-6.8824650000000001E-2</v>
      </c>
      <c r="U3584">
        <v>-0.1787262</v>
      </c>
      <c r="V3584">
        <v>0.11859509999999999</v>
      </c>
      <c r="W3584">
        <v>0.20405010000000001</v>
      </c>
      <c r="X3584">
        <v>0.97175040000000001</v>
      </c>
      <c r="Y3584">
        <v>6.8366739999999995E-2</v>
      </c>
      <c r="Z3584">
        <v>2.6701720000000002E-3</v>
      </c>
      <c r="AA3584">
        <v>0.99765669999999995</v>
      </c>
      <c r="AB3584">
        <v>26</v>
      </c>
      <c r="AC3584">
        <v>-49.744099999999897</v>
      </c>
      <c r="AD3584">
        <v>-1.1211536418679999</v>
      </c>
      <c r="AE3584">
        <v>-2.8760999999999801</v>
      </c>
      <c r="AF3584">
        <v>3.4260769029284499</v>
      </c>
      <c r="AG3584">
        <v>-1.1211536418679999</v>
      </c>
      <c r="AH3584">
        <v>49.683974981882002</v>
      </c>
      <c r="AI3584">
        <v>91.289638426453607</v>
      </c>
      <c r="AJ3584">
        <v>86.055277609945307</v>
      </c>
      <c r="AK3584">
        <v>49.814579777749103</v>
      </c>
      <c r="AL3584">
        <v>78.226102020510993</v>
      </c>
      <c r="AM3584">
        <v>83.041874613667602</v>
      </c>
      <c r="AN3584">
        <v>1.0000000404770799</v>
      </c>
    </row>
    <row r="3585" spans="1:40" x14ac:dyDescent="0.25">
      <c r="A3585" t="str">
        <f>"20190303171048097"</f>
        <v>20190303171048097</v>
      </c>
      <c r="B3585" t="str">
        <f>"1551604248074171"</f>
        <v>1551604248074171</v>
      </c>
      <c r="C3585" t="s">
        <v>40</v>
      </c>
      <c r="D3585">
        <v>5.3575379999999999</v>
      </c>
      <c r="E3585">
        <v>0.4851471</v>
      </c>
      <c r="F3585" t="s">
        <v>42</v>
      </c>
      <c r="G3585">
        <v>-274.1746</v>
      </c>
      <c r="H3585" s="1">
        <v>-2.492895E-6</v>
      </c>
      <c r="I3585">
        <v>139.65940000000001</v>
      </c>
      <c r="J3585">
        <v>-219.21340000000001</v>
      </c>
      <c r="K3585">
        <v>1.1209899999999999</v>
      </c>
      <c r="L3585">
        <v>142.8349</v>
      </c>
      <c r="M3585">
        <v>-0.99191759999999995</v>
      </c>
      <c r="N3585">
        <v>-9.6476270000000006E-3</v>
      </c>
      <c r="O3585">
        <v>-0.12651560000000001</v>
      </c>
      <c r="P3585">
        <v>-0.98074019999999995</v>
      </c>
      <c r="Q3585">
        <v>0.19523090000000001</v>
      </c>
      <c r="R3585">
        <v>-5.7712429999999997E-3</v>
      </c>
      <c r="S3585">
        <v>-3.0697329999999998</v>
      </c>
      <c r="T3585">
        <v>-6.2323089999999998E-2</v>
      </c>
      <c r="U3585">
        <v>-0.17839050000000001</v>
      </c>
      <c r="V3585">
        <v>0.11828320000000001</v>
      </c>
      <c r="W3585">
        <v>0.20465920000000001</v>
      </c>
      <c r="X3585">
        <v>0.97166030000000003</v>
      </c>
      <c r="Y3585">
        <v>6.8731959999999995E-2</v>
      </c>
      <c r="Z3585">
        <v>2.3644680000000002E-3</v>
      </c>
      <c r="AA3585">
        <v>0.99763239999999997</v>
      </c>
      <c r="AB3585">
        <v>26</v>
      </c>
      <c r="AC3585">
        <v>-54.961199999999899</v>
      </c>
      <c r="AD3585">
        <v>-1.1209924928949999</v>
      </c>
      <c r="AE3585">
        <v>-3.1754999999999902</v>
      </c>
      <c r="AF3585">
        <v>3.8022158066512701</v>
      </c>
      <c r="AG3585">
        <v>-1.1209924928949999</v>
      </c>
      <c r="AH3585">
        <v>54.8985316242224</v>
      </c>
      <c r="AI3585">
        <v>91.166985405280997</v>
      </c>
      <c r="AJ3585">
        <v>86.038080041114497</v>
      </c>
      <c r="AK3585">
        <v>55.041459316638999</v>
      </c>
      <c r="AL3585">
        <v>78.190450579208303</v>
      </c>
      <c r="AM3585">
        <v>83.059358233210602</v>
      </c>
      <c r="AN3585">
        <v>1.0000000210714799</v>
      </c>
    </row>
    <row r="3586" spans="1:40" x14ac:dyDescent="0.25">
      <c r="A3586" t="str">
        <f>"20190303171048117"</f>
        <v>20190303171048117</v>
      </c>
      <c r="B3586" t="str">
        <f>"1551604248104427"</f>
        <v>1551604248104427</v>
      </c>
      <c r="C3586" t="s">
        <v>40</v>
      </c>
      <c r="D3586">
        <v>5.1677150000000003</v>
      </c>
      <c r="E3586">
        <v>0.48559980000000003</v>
      </c>
      <c r="F3586" t="s">
        <v>42</v>
      </c>
      <c r="G3586">
        <v>-272.3775</v>
      </c>
      <c r="H3586" s="1">
        <v>-3.278951E-6</v>
      </c>
      <c r="I3586">
        <v>139.71619999999999</v>
      </c>
      <c r="J3586">
        <v>-219.44970000000001</v>
      </c>
      <c r="K3586">
        <v>1.120857</v>
      </c>
      <c r="L3586">
        <v>142.80459999999999</v>
      </c>
      <c r="M3586">
        <v>-0.99191220000000002</v>
      </c>
      <c r="N3586">
        <v>-9.4272590000000003E-3</v>
      </c>
      <c r="O3586">
        <v>-0.12657539999999901</v>
      </c>
      <c r="P3586">
        <v>-0.9804522</v>
      </c>
      <c r="Q3586">
        <v>0.19667109999999999</v>
      </c>
      <c r="R3586">
        <v>-5.8409849999999999E-3</v>
      </c>
      <c r="S3586">
        <v>-3.0707239999999998</v>
      </c>
      <c r="T3586">
        <v>-6.4747810000000003E-2</v>
      </c>
      <c r="U3586">
        <v>-0.18012999999999901</v>
      </c>
      <c r="V3586">
        <v>0.118295899999999</v>
      </c>
      <c r="W3586">
        <v>0.20584740000000001</v>
      </c>
      <c r="X3586">
        <v>0.97140769999999999</v>
      </c>
      <c r="Y3586">
        <v>6.8244760000000002E-2</v>
      </c>
      <c r="Z3586">
        <v>2.5035690000000002E-3</v>
      </c>
      <c r="AA3586">
        <v>0.99766549999999998</v>
      </c>
      <c r="AB3586">
        <v>26</v>
      </c>
      <c r="AC3586">
        <v>-52.927799999999898</v>
      </c>
      <c r="AD3586">
        <v>-1.120860278951</v>
      </c>
      <c r="AE3586">
        <v>-3.0884</v>
      </c>
      <c r="AF3586">
        <v>3.6344729368784598</v>
      </c>
      <c r="AG3586">
        <v>-1.120860278951</v>
      </c>
      <c r="AH3586">
        <v>52.869366006086203</v>
      </c>
      <c r="AI3586">
        <v>91.211661992624101</v>
      </c>
      <c r="AJ3586">
        <v>86.067422975168199</v>
      </c>
      <c r="AK3586">
        <v>53.0059957285903</v>
      </c>
      <c r="AL3586">
        <v>78.120890419721704</v>
      </c>
      <c r="AM3586">
        <v>83.056832905557499</v>
      </c>
      <c r="AN3586">
        <v>0.99999999583142896</v>
      </c>
    </row>
    <row r="3587" spans="1:40" x14ac:dyDescent="0.25">
      <c r="A3587" t="str">
        <f>"20190303171048139"</f>
        <v>20190303171048139</v>
      </c>
      <c r="B3587" t="str">
        <f>"1551604248123947"</f>
        <v>1551604248123947</v>
      </c>
      <c r="C3587" t="s">
        <v>40</v>
      </c>
      <c r="D3587">
        <v>5.3020659999999999</v>
      </c>
      <c r="E3587">
        <v>0.48743160000000002</v>
      </c>
      <c r="F3587" t="s">
        <v>42</v>
      </c>
      <c r="G3587">
        <v>-272.8408</v>
      </c>
      <c r="H3587" s="1">
        <v>-3.0841109999999999E-6</v>
      </c>
      <c r="I3587">
        <v>139.73089999999999</v>
      </c>
      <c r="J3587">
        <v>-219.70580000000001</v>
      </c>
      <c r="K3587">
        <v>1.120741</v>
      </c>
      <c r="L3587">
        <v>142.77189999999999</v>
      </c>
      <c r="M3587">
        <v>-0.99192480000000005</v>
      </c>
      <c r="N3587">
        <v>-9.2106670000000005E-3</v>
      </c>
      <c r="O3587">
        <v>-0.1264933</v>
      </c>
      <c r="P3587">
        <v>-0.97990980000000005</v>
      </c>
      <c r="Q3587">
        <v>0.1993711</v>
      </c>
      <c r="R3587">
        <v>-5.2807280000000002E-3</v>
      </c>
      <c r="S3587">
        <v>-3.071701</v>
      </c>
      <c r="T3587">
        <v>-6.4485429999999996E-2</v>
      </c>
      <c r="U3587">
        <v>-0.17683409999999999</v>
      </c>
      <c r="V3587">
        <v>0.11875620000000001</v>
      </c>
      <c r="W3587">
        <v>0.20830080000000001</v>
      </c>
      <c r="X3587">
        <v>0.97082840000000004</v>
      </c>
      <c r="Y3587">
        <v>6.9247169999999997E-2</v>
      </c>
      <c r="Z3587">
        <v>2.5232029999999999E-3</v>
      </c>
      <c r="AA3587">
        <v>0.99759629999999999</v>
      </c>
      <c r="AB3587">
        <v>26</v>
      </c>
      <c r="AC3587">
        <v>-53.134999999999899</v>
      </c>
      <c r="AD3587">
        <v>-1.1207440841109999</v>
      </c>
      <c r="AE3587">
        <v>-3.0409999999999902</v>
      </c>
      <c r="AF3587">
        <v>3.70329279295016</v>
      </c>
      <c r="AG3587">
        <v>-1.1207440841109999</v>
      </c>
      <c r="AH3587">
        <v>53.0693043468263</v>
      </c>
      <c r="AI3587">
        <v>91.206887001580398</v>
      </c>
      <c r="AJ3587">
        <v>86.008245437333699</v>
      </c>
      <c r="AK3587">
        <v>53.210163584304702</v>
      </c>
      <c r="AL3587">
        <v>77.977206901059503</v>
      </c>
      <c r="AM3587">
        <v>83.025963600627506</v>
      </c>
      <c r="AN3587">
        <v>1.0000000202828101</v>
      </c>
    </row>
    <row r="3588" spans="1:40" x14ac:dyDescent="0.25">
      <c r="A3588" t="str">
        <f>"20190303171048163"</f>
        <v>20190303171048163</v>
      </c>
      <c r="B3588" t="str">
        <f>"1551604248154203"</f>
        <v>1551604248154203</v>
      </c>
      <c r="C3588" t="s">
        <v>40</v>
      </c>
      <c r="D3588">
        <v>5.4196109999999997</v>
      </c>
      <c r="E3588">
        <v>0.48715510000000001</v>
      </c>
      <c r="F3588" t="s">
        <v>62</v>
      </c>
      <c r="G3588">
        <v>0</v>
      </c>
      <c r="H3588">
        <v>0</v>
      </c>
      <c r="I3588">
        <v>0</v>
      </c>
      <c r="J3588">
        <v>-219.99459999999999</v>
      </c>
      <c r="K3588">
        <v>1.1206259999999999</v>
      </c>
      <c r="L3588">
        <v>142.7353</v>
      </c>
      <c r="M3588">
        <v>-0.99195940000000005</v>
      </c>
      <c r="N3588">
        <v>-8.985201E-3</v>
      </c>
      <c r="O3588">
        <v>-0.12623799999999999</v>
      </c>
      <c r="P3588">
        <v>-0.97962839999999995</v>
      </c>
      <c r="Q3588">
        <v>0.20077539999999999</v>
      </c>
      <c r="R3588">
        <v>-4.2036479999999999E-3</v>
      </c>
      <c r="S3588">
        <v>-2.991714</v>
      </c>
      <c r="T3588">
        <v>0.33948210000000001</v>
      </c>
      <c r="U3588">
        <v>-0.13414000000000001</v>
      </c>
      <c r="V3588">
        <v>0.119588899999999</v>
      </c>
      <c r="W3588">
        <v>0.20945349999999999</v>
      </c>
      <c r="X3588">
        <v>0.97047810000000001</v>
      </c>
      <c r="Y3588">
        <v>8.0272750000000004E-2</v>
      </c>
      <c r="Z3588">
        <v>-1.9541650000000001E-2</v>
      </c>
      <c r="AA3588">
        <v>0.99658139999999995</v>
      </c>
      <c r="AB3588">
        <v>26</v>
      </c>
      <c r="AC3588">
        <v>-2.991714</v>
      </c>
      <c r="AD3588">
        <v>0.33948210000000001</v>
      </c>
      <c r="AE3588">
        <v>-0.13414000000000001</v>
      </c>
      <c r="AF3588">
        <v>0.24151283551541999</v>
      </c>
      <c r="AG3588">
        <v>0.33948210000000001</v>
      </c>
      <c r="AH3588">
        <v>2.9468440124760402</v>
      </c>
      <c r="AI3588">
        <v>83.450154078827595</v>
      </c>
      <c r="AJ3588">
        <v>85.314713469102898</v>
      </c>
      <c r="AK3588">
        <v>2.9761495560211699</v>
      </c>
      <c r="AL3588">
        <v>77.909672219545399</v>
      </c>
      <c r="AM3588">
        <v>82.975039857098395</v>
      </c>
      <c r="AN3588">
        <v>1.00000000812253</v>
      </c>
    </row>
    <row r="3589" spans="1:40" x14ac:dyDescent="0.25">
      <c r="A3589" t="str">
        <f>"20190303171048185"</f>
        <v>20190303171048185</v>
      </c>
      <c r="B3589" t="str">
        <f>"1551604248174699"</f>
        <v>1551604248174699</v>
      </c>
      <c r="C3589" t="s">
        <v>40</v>
      </c>
      <c r="D3589">
        <v>5.3111680000000003</v>
      </c>
      <c r="E3589">
        <v>0.48738169999999997</v>
      </c>
      <c r="F3589" t="s">
        <v>42</v>
      </c>
      <c r="G3589">
        <v>-267.18040000000002</v>
      </c>
      <c r="H3589" s="1">
        <v>-1.361966E-6</v>
      </c>
      <c r="I3589">
        <v>140.25530000000001</v>
      </c>
      <c r="J3589">
        <v>-220.2424</v>
      </c>
      <c r="K3589">
        <v>1.1205290000000001</v>
      </c>
      <c r="L3589">
        <v>142.70400000000001</v>
      </c>
      <c r="M3589">
        <v>-0.99200370000000004</v>
      </c>
      <c r="N3589">
        <v>-8.809552E-3</v>
      </c>
      <c r="O3589">
        <v>-0.1259004</v>
      </c>
      <c r="P3589">
        <v>-0.97948630000000003</v>
      </c>
      <c r="Q3589">
        <v>0.20147970000000001</v>
      </c>
      <c r="R3589">
        <v>-3.5329910000000001E-3</v>
      </c>
      <c r="S3589">
        <v>-3.0766909999999998</v>
      </c>
      <c r="T3589">
        <v>-7.3069099999999998E-2</v>
      </c>
      <c r="U3589">
        <v>-0.16169739999999999</v>
      </c>
      <c r="V3589">
        <v>0.119944</v>
      </c>
      <c r="W3589">
        <v>0.20996400000000001</v>
      </c>
      <c r="X3589">
        <v>0.97032390000000002</v>
      </c>
      <c r="Y3589">
        <v>7.362407E-2</v>
      </c>
      <c r="Z3589">
        <v>3.0658299999999999E-3</v>
      </c>
      <c r="AA3589">
        <v>0.99728139999999998</v>
      </c>
      <c r="AB3589">
        <v>26</v>
      </c>
      <c r="AC3589">
        <v>-46.938000000000002</v>
      </c>
      <c r="AD3589">
        <v>-1.1205303619660001</v>
      </c>
      <c r="AE3589">
        <v>-2.4487000000000001</v>
      </c>
      <c r="AF3589">
        <v>3.4785517771237102</v>
      </c>
      <c r="AG3589">
        <v>-1.1205303619660001</v>
      </c>
      <c r="AH3589">
        <v>46.846159030047801</v>
      </c>
      <c r="AI3589">
        <v>91.366456811806003</v>
      </c>
      <c r="AJ3589">
        <v>85.7533074892727</v>
      </c>
      <c r="AK3589">
        <v>46.9884935556221</v>
      </c>
      <c r="AL3589">
        <v>77.879756917300099</v>
      </c>
      <c r="AM3589">
        <v>82.953281306292496</v>
      </c>
      <c r="AN3589">
        <v>0.99999995767160399</v>
      </c>
    </row>
    <row r="3590" spans="1:40" x14ac:dyDescent="0.25">
      <c r="A3590" t="str">
        <f>"20190303171048229"</f>
        <v>20190303171048229</v>
      </c>
      <c r="B3590" t="str">
        <f>"1551604248214715"</f>
        <v>1551604248214715</v>
      </c>
      <c r="C3590" t="s">
        <v>40</v>
      </c>
      <c r="D3590">
        <v>5.1574759999999999</v>
      </c>
      <c r="E3590">
        <v>0.48993229999999999</v>
      </c>
      <c r="F3590" t="s">
        <v>42</v>
      </c>
      <c r="G3590">
        <v>-267.43669999999997</v>
      </c>
      <c r="H3590" s="1">
        <v>-1.261083E-6</v>
      </c>
      <c r="I3590">
        <v>140.2894</v>
      </c>
      <c r="J3590">
        <v>-220.7636</v>
      </c>
      <c r="K3590">
        <v>1.120352</v>
      </c>
      <c r="L3590">
        <v>142.63890000000001</v>
      </c>
      <c r="M3590">
        <v>-0.99213439999999997</v>
      </c>
      <c r="N3590">
        <v>-8.500311E-3</v>
      </c>
      <c r="O3590">
        <v>-0.12488879999999999</v>
      </c>
      <c r="P3590">
        <v>-0.97928479999999996</v>
      </c>
      <c r="Q3590">
        <v>0.20248630000000001</v>
      </c>
      <c r="R3590">
        <v>6.6675529999999999E-4</v>
      </c>
      <c r="S3590">
        <v>-3.077286</v>
      </c>
      <c r="T3590">
        <v>-7.3063729999999993E-2</v>
      </c>
      <c r="U3590">
        <v>-0.1574402</v>
      </c>
      <c r="V3590">
        <v>0.1231718</v>
      </c>
      <c r="W3590">
        <v>0.210618</v>
      </c>
      <c r="X3590">
        <v>0.96977769999999996</v>
      </c>
      <c r="Y3590">
        <v>7.3992589999999997E-2</v>
      </c>
      <c r="Z3590">
        <v>3.0833829999999999E-3</v>
      </c>
      <c r="AA3590">
        <v>0.99725399999999997</v>
      </c>
      <c r="AB3590">
        <v>26</v>
      </c>
      <c r="AC3590">
        <v>-46.673099999999899</v>
      </c>
      <c r="AD3590">
        <v>-1.120353261083</v>
      </c>
      <c r="AE3590">
        <v>-2.3494999999999999</v>
      </c>
      <c r="AF3590">
        <v>3.4960444756598399</v>
      </c>
      <c r="AG3590">
        <v>-1.120353261083</v>
      </c>
      <c r="AH3590">
        <v>46.574326260550698</v>
      </c>
      <c r="AI3590">
        <v>91.374129485419701</v>
      </c>
      <c r="AJ3590">
        <v>85.707213421301901</v>
      </c>
      <c r="AK3590">
        <v>46.7187904919384</v>
      </c>
      <c r="AL3590">
        <v>77.841429061113402</v>
      </c>
      <c r="AM3590">
        <v>82.761599650013906</v>
      </c>
      <c r="AN3590">
        <v>1.0000000108282601</v>
      </c>
    </row>
    <row r="3591" spans="1:40" x14ac:dyDescent="0.25">
      <c r="A3591" t="str">
        <f>"20190303171048253"</f>
        <v>20190303171048253</v>
      </c>
      <c r="B3591" t="str">
        <f>"1551604248243995"</f>
        <v>1551604248243995</v>
      </c>
      <c r="C3591" t="s">
        <v>40</v>
      </c>
      <c r="D3591">
        <v>5.1879150000000003</v>
      </c>
      <c r="E3591">
        <v>0.48704629999999999</v>
      </c>
      <c r="F3591" t="s">
        <v>62</v>
      </c>
      <c r="G3591">
        <v>0</v>
      </c>
      <c r="H3591">
        <v>0</v>
      </c>
      <c r="I3591">
        <v>0</v>
      </c>
      <c r="J3591">
        <v>-221.04640000000001</v>
      </c>
      <c r="K3591">
        <v>1.120261</v>
      </c>
      <c r="L3591">
        <v>142.60390000000001</v>
      </c>
      <c r="M3591">
        <v>-0.99222109999999997</v>
      </c>
      <c r="N3591">
        <v>-8.357448E-3</v>
      </c>
      <c r="O3591">
        <v>-0.1242081</v>
      </c>
      <c r="P3591">
        <v>-0.97943309999999995</v>
      </c>
      <c r="Q3591">
        <v>0.20175100000000001</v>
      </c>
      <c r="R3591">
        <v>2.7467099999999999E-3</v>
      </c>
      <c r="S3591">
        <v>-3.004807</v>
      </c>
      <c r="T3591">
        <v>0.28408679999999997</v>
      </c>
      <c r="U3591">
        <v>-0.1006317</v>
      </c>
      <c r="V3591">
        <v>0.12462479999999999</v>
      </c>
      <c r="W3591">
        <v>0.2097202</v>
      </c>
      <c r="X3591">
        <v>0.96978660000000005</v>
      </c>
      <c r="Y3591">
        <v>8.9913259999999995E-2</v>
      </c>
      <c r="Z3591">
        <v>-1.6585860000000001E-2</v>
      </c>
      <c r="AA3591">
        <v>0.99581149999999996</v>
      </c>
      <c r="AB3591">
        <v>27</v>
      </c>
      <c r="AC3591">
        <v>-3.004807</v>
      </c>
      <c r="AD3591">
        <v>0.28408679999999997</v>
      </c>
      <c r="AE3591">
        <v>-0.1006317</v>
      </c>
      <c r="AF3591">
        <v>0.27096268071456397</v>
      </c>
      <c r="AG3591">
        <v>0.28408679999999997</v>
      </c>
      <c r="AH3591">
        <v>2.9675405222495401</v>
      </c>
      <c r="AI3591">
        <v>84.5541768030306</v>
      </c>
      <c r="AJ3591">
        <v>84.782855752364895</v>
      </c>
      <c r="AK3591">
        <v>2.99339653829347</v>
      </c>
      <c r="AL3591">
        <v>77.894043949515293</v>
      </c>
      <c r="AM3591">
        <v>82.677199635186994</v>
      </c>
      <c r="AN3591">
        <v>0.99999997630131898</v>
      </c>
    </row>
    <row r="3592" spans="1:40" x14ac:dyDescent="0.25">
      <c r="A3592" t="str">
        <f>"20190303171048275"</f>
        <v>20190303171048275</v>
      </c>
      <c r="B3592" t="str">
        <f>"1551604248264491"</f>
        <v>1551604248264491</v>
      </c>
      <c r="C3592" t="s">
        <v>40</v>
      </c>
      <c r="D3592">
        <v>5.3689080000000002</v>
      </c>
      <c r="E3592">
        <v>0.50064560000000002</v>
      </c>
      <c r="F3592" t="s">
        <v>42</v>
      </c>
      <c r="G3592">
        <v>-255.91050000000001</v>
      </c>
      <c r="H3592" s="1">
        <v>-2.0971849999999998E-6</v>
      </c>
      <c r="I3592">
        <v>140.97110000000001</v>
      </c>
      <c r="J3592">
        <v>-221.30969999999999</v>
      </c>
      <c r="K3592">
        <v>1.120187</v>
      </c>
      <c r="L3592">
        <v>142.57169999999999</v>
      </c>
      <c r="M3592">
        <v>-0.99230890000000005</v>
      </c>
      <c r="N3592">
        <v>-8.2321110000000003E-3</v>
      </c>
      <c r="O3592">
        <v>-0.12351280000000001</v>
      </c>
      <c r="P3592">
        <v>-0.97966180000000003</v>
      </c>
      <c r="Q3592">
        <v>0.2006203</v>
      </c>
      <c r="R3592">
        <v>3.7952760000000002E-3</v>
      </c>
      <c r="S3592">
        <v>-3.0838009999999998</v>
      </c>
      <c r="T3592">
        <v>-9.9089620000000003E-2</v>
      </c>
      <c r="U3592">
        <v>-0.14442439999999901</v>
      </c>
      <c r="V3592">
        <v>0.1250396</v>
      </c>
      <c r="W3592">
        <v>0.20845179999999999</v>
      </c>
      <c r="X3592">
        <v>0.97000660000000005</v>
      </c>
      <c r="Y3592">
        <v>7.6873460000000005E-2</v>
      </c>
      <c r="Z3592">
        <v>4.4871080000000001E-3</v>
      </c>
      <c r="AA3592">
        <v>0.99703070000000005</v>
      </c>
      <c r="AB3592">
        <v>27</v>
      </c>
      <c r="AC3592">
        <v>-34.6008</v>
      </c>
      <c r="AD3592">
        <v>-1.1201890971849999</v>
      </c>
      <c r="AE3592">
        <v>-1.60059999999998</v>
      </c>
      <c r="AF3592">
        <v>2.68263716390305</v>
      </c>
      <c r="AG3592">
        <v>-1.1201890971849999</v>
      </c>
      <c r="AH3592">
        <v>34.497464012926599</v>
      </c>
      <c r="AI3592">
        <v>91.854240167990795</v>
      </c>
      <c r="AJ3592">
        <v>85.553438819016904</v>
      </c>
      <c r="AK3592">
        <v>34.619739876113599</v>
      </c>
      <c r="AL3592">
        <v>77.968359949653504</v>
      </c>
      <c r="AM3592">
        <v>82.6547404510858</v>
      </c>
      <c r="AN3592">
        <v>0.99999992926747705</v>
      </c>
    </row>
    <row r="3593" spans="1:40" x14ac:dyDescent="0.25">
      <c r="A3593" t="str">
        <f>"20190303171048300"</f>
        <v>20190303171048300</v>
      </c>
      <c r="B3593" t="str">
        <f>"1551604248294747"</f>
        <v>1551604248294747</v>
      </c>
      <c r="C3593" t="s">
        <v>40</v>
      </c>
      <c r="D3593">
        <v>5.2937969999999996</v>
      </c>
      <c r="E3593">
        <v>0.53104949999999995</v>
      </c>
      <c r="F3593" t="s">
        <v>68</v>
      </c>
      <c r="G3593">
        <v>-485.6087</v>
      </c>
      <c r="H3593" s="1">
        <v>-7.8107339999999993E-6</v>
      </c>
      <c r="I3593">
        <v>140.2901</v>
      </c>
      <c r="J3593">
        <v>-221.60120000000001</v>
      </c>
      <c r="K3593">
        <v>1.1201289999999999</v>
      </c>
      <c r="L3593">
        <v>142.53620000000001</v>
      </c>
      <c r="M3593">
        <v>-0.99241159999999995</v>
      </c>
      <c r="N3593">
        <v>-8.0938599999999996E-3</v>
      </c>
      <c r="O3593">
        <v>-0.1226944</v>
      </c>
      <c r="P3593">
        <v>-0.97967119999999996</v>
      </c>
      <c r="Q3593">
        <v>0.2005477</v>
      </c>
      <c r="R3593">
        <v>4.9975109999999996E-3</v>
      </c>
      <c r="S3593">
        <v>-3.0650330000000001</v>
      </c>
      <c r="T3593">
        <v>-1.2990710000000001E-2</v>
      </c>
      <c r="U3593">
        <v>-2.6458740000000001E-2</v>
      </c>
      <c r="V3593">
        <v>0.12545229999999999</v>
      </c>
      <c r="W3593">
        <v>0.20823220000000001</v>
      </c>
      <c r="X3593">
        <v>0.97000059999999999</v>
      </c>
      <c r="Y3593">
        <v>0.11412310000000001</v>
      </c>
      <c r="Z3593">
        <v>2.275806E-4</v>
      </c>
      <c r="AA3593">
        <v>0.99346659999999998</v>
      </c>
      <c r="AB3593">
        <v>27</v>
      </c>
      <c r="AC3593">
        <v>-264.00749999999999</v>
      </c>
      <c r="AD3593">
        <v>-1.120136810734</v>
      </c>
      <c r="AE3593">
        <v>-2.24610000000001</v>
      </c>
      <c r="AF3593">
        <v>30.163628043050199</v>
      </c>
      <c r="AG3593">
        <v>-1.120136810734</v>
      </c>
      <c r="AH3593">
        <v>262.283532116571</v>
      </c>
      <c r="AI3593">
        <v>90.243089909541993</v>
      </c>
      <c r="AJ3593">
        <v>83.439583290287203</v>
      </c>
      <c r="AK3593">
        <v>264.01467834712997</v>
      </c>
      <c r="AL3593">
        <v>77.981225828991199</v>
      </c>
      <c r="AM3593">
        <v>82.630717990575505</v>
      </c>
      <c r="AN3593">
        <v>1.00000004634624</v>
      </c>
    </row>
    <row r="3594" spans="1:40" x14ac:dyDescent="0.25">
      <c r="A3594" t="str">
        <f>"20190303171048319"</f>
        <v>20190303171048319</v>
      </c>
      <c r="B3594" t="str">
        <f>"1551604248304508"</f>
        <v>1551604248304508</v>
      </c>
      <c r="C3594" t="s">
        <v>40</v>
      </c>
      <c r="D3594">
        <v>5.26417</v>
      </c>
      <c r="E3594">
        <v>0.53270569999999995</v>
      </c>
      <c r="F3594" t="s">
        <v>67</v>
      </c>
      <c r="G3594">
        <v>-459.875</v>
      </c>
      <c r="H3594">
        <v>30.475010000000001</v>
      </c>
      <c r="I3594">
        <v>162.22819999999999</v>
      </c>
      <c r="J3594">
        <v>-221.83269999999999</v>
      </c>
      <c r="K3594">
        <v>1.1201000000000001</v>
      </c>
      <c r="L3594">
        <v>142.50829999999999</v>
      </c>
      <c r="M3594">
        <v>-0.99249520000000002</v>
      </c>
      <c r="N3594">
        <v>-7.9827890000000006E-3</v>
      </c>
      <c r="O3594">
        <v>-0.1220241</v>
      </c>
      <c r="P3594">
        <v>-0.97951509999999997</v>
      </c>
      <c r="Q3594">
        <v>0.20127300000000001</v>
      </c>
      <c r="R3594">
        <v>6.3178310000000003E-3</v>
      </c>
      <c r="S3594">
        <v>-2.985687</v>
      </c>
      <c r="T3594">
        <v>0.36783100000000002</v>
      </c>
      <c r="U3594">
        <v>0.24674989999999999</v>
      </c>
      <c r="V3594">
        <v>0.12609699999999999</v>
      </c>
      <c r="W3594">
        <v>0.20884169999999999</v>
      </c>
      <c r="X3594">
        <v>0.96978589999999998</v>
      </c>
      <c r="Y3594">
        <v>0.2009097</v>
      </c>
      <c r="Z3594">
        <v>-2.741356E-2</v>
      </c>
      <c r="AA3594">
        <v>0.97922609999999999</v>
      </c>
      <c r="AB3594">
        <v>27</v>
      </c>
      <c r="AC3594">
        <v>-238.04230000000001</v>
      </c>
      <c r="AD3594">
        <v>29.35491</v>
      </c>
      <c r="AE3594">
        <v>19.719899999999999</v>
      </c>
      <c r="AF3594">
        <v>47.896924639492298</v>
      </c>
      <c r="AG3594">
        <v>29.35491</v>
      </c>
      <c r="AH3594">
        <v>230.37740227663801</v>
      </c>
      <c r="AI3594">
        <v>82.888904231270899</v>
      </c>
      <c r="AJ3594">
        <v>78.255159802538302</v>
      </c>
      <c r="AK3594">
        <v>237.12775799294599</v>
      </c>
      <c r="AL3594">
        <v>77.945518458457101</v>
      </c>
      <c r="AM3594">
        <v>82.591645104218799</v>
      </c>
      <c r="AN3594">
        <v>1.00000000045335</v>
      </c>
    </row>
    <row r="3595" spans="1:40" x14ac:dyDescent="0.25">
      <c r="A3595" t="str">
        <f>"20190303171048340"</f>
        <v>20190303171048340</v>
      </c>
      <c r="B3595" t="str">
        <f>"1551604248334763"</f>
        <v>1551604248334763</v>
      </c>
      <c r="C3595" t="s">
        <v>40</v>
      </c>
      <c r="D3595">
        <v>5.1918040000000003</v>
      </c>
      <c r="E3595">
        <v>0.53250469999999905</v>
      </c>
      <c r="F3595" t="s">
        <v>42</v>
      </c>
      <c r="G3595">
        <v>-249.29650000000001</v>
      </c>
      <c r="H3595" s="1">
        <v>-1.592069E-6</v>
      </c>
      <c r="I3595">
        <v>144.53190000000001</v>
      </c>
      <c r="J3595">
        <v>-222.0942</v>
      </c>
      <c r="K3595">
        <v>1.1200730000000001</v>
      </c>
      <c r="L3595">
        <v>142.477</v>
      </c>
      <c r="M3595">
        <v>-0.99258999999999997</v>
      </c>
      <c r="N3595">
        <v>-7.8641909999999995E-3</v>
      </c>
      <c r="O3595">
        <v>-0.121258199999999</v>
      </c>
      <c r="P3595">
        <v>-0.97938769999999997</v>
      </c>
      <c r="Q3595">
        <v>0.20184859999999999</v>
      </c>
      <c r="R3595">
        <v>7.5494859999999898E-3</v>
      </c>
      <c r="S3595">
        <v>-3.0871580000000001</v>
      </c>
      <c r="T3595">
        <v>-0.1259091</v>
      </c>
      <c r="U3595">
        <v>0.22747800000000001</v>
      </c>
      <c r="V3595">
        <v>0.1265588</v>
      </c>
      <c r="W3595">
        <v>0.20929780000000001</v>
      </c>
      <c r="X3595">
        <v>0.96962740000000003</v>
      </c>
      <c r="Y3595">
        <v>0.1936213</v>
      </c>
      <c r="Z3595">
        <v>8.684598E-3</v>
      </c>
      <c r="AA3595">
        <v>0.98103790000000002</v>
      </c>
      <c r="AB3595">
        <v>27</v>
      </c>
      <c r="AC3595">
        <v>-27.202300000000001</v>
      </c>
      <c r="AD3595">
        <v>-1.1200745920689901</v>
      </c>
      <c r="AE3595">
        <v>2.0548999999999999</v>
      </c>
      <c r="AF3595">
        <v>5.3293550532738703</v>
      </c>
      <c r="AG3595">
        <v>-1.1200745920689901</v>
      </c>
      <c r="AH3595">
        <v>26.7073568614747</v>
      </c>
      <c r="AI3595">
        <v>92.355131478610005</v>
      </c>
      <c r="AJ3595">
        <v>78.715063320573606</v>
      </c>
      <c r="AK3595">
        <v>27.256916606649</v>
      </c>
      <c r="AL3595">
        <v>77.918795246948704</v>
      </c>
      <c r="AM3595">
        <v>82.563615016616197</v>
      </c>
      <c r="AN3595">
        <v>0.99999999688651997</v>
      </c>
    </row>
    <row r="3596" spans="1:40" x14ac:dyDescent="0.25">
      <c r="A3596" t="str">
        <f>"20190303171048364"</f>
        <v>20190303171048364</v>
      </c>
      <c r="B3596" t="str">
        <f>"1551604248354283"</f>
        <v>1551604248354283</v>
      </c>
      <c r="C3596" t="s">
        <v>40</v>
      </c>
      <c r="D3596">
        <v>5.2657780000000001</v>
      </c>
      <c r="E3596">
        <v>0.53241260000000001</v>
      </c>
      <c r="F3596" t="s">
        <v>42</v>
      </c>
      <c r="G3596">
        <v>-255.7371</v>
      </c>
      <c r="H3596" s="1">
        <v>-3.2395710000000001E-6</v>
      </c>
      <c r="I3596">
        <v>144.98490000000001</v>
      </c>
      <c r="J3596">
        <v>-222.37200000000001</v>
      </c>
      <c r="K3596">
        <v>1.1200540000000001</v>
      </c>
      <c r="L3596">
        <v>142.44390000000001</v>
      </c>
      <c r="M3596">
        <v>-0.99268999999999996</v>
      </c>
      <c r="N3596">
        <v>-7.7377959999999999E-3</v>
      </c>
      <c r="O3596">
        <v>-0.1204457</v>
      </c>
      <c r="P3596">
        <v>-0.97964079999999998</v>
      </c>
      <c r="Q3596">
        <v>0.20060230000000001</v>
      </c>
      <c r="R3596">
        <v>7.9308279999999991E-3</v>
      </c>
      <c r="S3596">
        <v>-3.082535</v>
      </c>
      <c r="T3596">
        <v>-0.1026273</v>
      </c>
      <c r="U3596">
        <v>0.22979740000000001</v>
      </c>
      <c r="V3596">
        <v>0.126170899999999</v>
      </c>
      <c r="W3596">
        <v>0.20793139999999999</v>
      </c>
      <c r="X3596">
        <v>0.9699719</v>
      </c>
      <c r="Y3596">
        <v>0.1937458</v>
      </c>
      <c r="Z3596">
        <v>7.0401020000000003E-3</v>
      </c>
      <c r="AA3596">
        <v>0.98102650000000002</v>
      </c>
      <c r="AB3596">
        <v>27</v>
      </c>
      <c r="AC3596">
        <v>-33.365099999999899</v>
      </c>
      <c r="AD3596">
        <v>-1.120057239571</v>
      </c>
      <c r="AE3596">
        <v>2.5409999999999902</v>
      </c>
      <c r="AF3596">
        <v>6.5339815296398198</v>
      </c>
      <c r="AG3596">
        <v>-1.120057239571</v>
      </c>
      <c r="AH3596">
        <v>32.779396249404698</v>
      </c>
      <c r="AI3596">
        <v>91.919280512565706</v>
      </c>
      <c r="AJ3596">
        <v>78.726875590598198</v>
      </c>
      <c r="AK3596">
        <v>33.443030085879997</v>
      </c>
      <c r="AL3596">
        <v>77.998845820285197</v>
      </c>
      <c r="AM3596">
        <v>82.5887572912834</v>
      </c>
      <c r="AN3596">
        <v>1.00000002495118</v>
      </c>
    </row>
    <row r="3597" spans="1:40" x14ac:dyDescent="0.25">
      <c r="A3597" t="str">
        <f>"20190303171048386"</f>
        <v>20190303171048386</v>
      </c>
      <c r="B3597" t="str">
        <f>"1551604248374779"</f>
        <v>1551604248374779</v>
      </c>
      <c r="C3597" t="s">
        <v>40</v>
      </c>
      <c r="D3597">
        <v>5.2598279999999997</v>
      </c>
      <c r="E3597">
        <v>0.53251179999999998</v>
      </c>
      <c r="F3597" t="s">
        <v>42</v>
      </c>
      <c r="G3597">
        <v>-253.9135</v>
      </c>
      <c r="H3597" s="1">
        <v>-3.8649549999999997E-6</v>
      </c>
      <c r="I3597">
        <v>144.80680000000001</v>
      </c>
      <c r="J3597">
        <v>-222.6491</v>
      </c>
      <c r="K3597">
        <v>1.1200289999999999</v>
      </c>
      <c r="L3597">
        <v>142.4111</v>
      </c>
      <c r="M3597">
        <v>-0.992788</v>
      </c>
      <c r="N3597">
        <v>-7.6048640000000002E-3</v>
      </c>
      <c r="O3597">
        <v>-0.1196436</v>
      </c>
      <c r="P3597">
        <v>-0.9798306</v>
      </c>
      <c r="Q3597">
        <v>0.19970360000000001</v>
      </c>
      <c r="R3597">
        <v>7.1459770000000004E-3</v>
      </c>
      <c r="S3597">
        <v>-3.0828859999999998</v>
      </c>
      <c r="T3597">
        <v>-0.10947510000000001</v>
      </c>
      <c r="U3597">
        <v>0.230957</v>
      </c>
      <c r="V3597">
        <v>0.1246269</v>
      </c>
      <c r="W3597">
        <v>0.2069098</v>
      </c>
      <c r="X3597">
        <v>0.97038979999999997</v>
      </c>
      <c r="Y3597">
        <v>0.19328890000000001</v>
      </c>
      <c r="Z3597">
        <v>7.4917509999999996E-3</v>
      </c>
      <c r="AA3597">
        <v>0.98111329999999997</v>
      </c>
      <c r="AB3597">
        <v>27</v>
      </c>
      <c r="AC3597">
        <v>-31.264399999999899</v>
      </c>
      <c r="AD3597">
        <v>-1.120032864955</v>
      </c>
      <c r="AE3597">
        <v>2.3957000000000002</v>
      </c>
      <c r="AF3597">
        <v>6.1113856356788103</v>
      </c>
      <c r="AG3597">
        <v>-1.120032864955</v>
      </c>
      <c r="AH3597">
        <v>30.7139853786672</v>
      </c>
      <c r="AI3597">
        <v>92.048333620983399</v>
      </c>
      <c r="AJ3597">
        <v>78.746421720928893</v>
      </c>
      <c r="AK3597">
        <v>31.336119827565501</v>
      </c>
      <c r="AL3597">
        <v>78.058679535275601</v>
      </c>
      <c r="AM3597">
        <v>82.681580188411203</v>
      </c>
      <c r="AN3597">
        <v>0.999999946741843</v>
      </c>
    </row>
    <row r="3598" spans="1:40" x14ac:dyDescent="0.25">
      <c r="A3598" t="str">
        <f>"20190303171048407"</f>
        <v>20190303171048407</v>
      </c>
      <c r="B3598" t="str">
        <f>"1551604248394299"</f>
        <v>1551604248394299</v>
      </c>
      <c r="C3598" t="s">
        <v>40</v>
      </c>
      <c r="D3598">
        <v>5.1535449999999896</v>
      </c>
      <c r="E3598">
        <v>0.53250249999999999</v>
      </c>
      <c r="F3598" t="s">
        <v>42</v>
      </c>
      <c r="G3598">
        <v>-250.39089999999999</v>
      </c>
      <c r="H3598" s="1">
        <v>-5.0051819999999999E-6</v>
      </c>
      <c r="I3598">
        <v>144.4768</v>
      </c>
      <c r="J3598">
        <v>-222.905</v>
      </c>
      <c r="K3598">
        <v>1.1200110000000001</v>
      </c>
      <c r="L3598">
        <v>142.381</v>
      </c>
      <c r="M3598">
        <v>-0.9928766</v>
      </c>
      <c r="N3598">
        <v>-7.4769049999999998E-3</v>
      </c>
      <c r="O3598">
        <v>-0.1189129</v>
      </c>
      <c r="P3598">
        <v>-0.97977110000000001</v>
      </c>
      <c r="Q3598">
        <v>0.19999990000000001</v>
      </c>
      <c r="R3598">
        <v>7.006488E-3</v>
      </c>
      <c r="S3598">
        <v>-3.085464</v>
      </c>
      <c r="T3598">
        <v>-0.1245714</v>
      </c>
      <c r="U3598">
        <v>0.2297516</v>
      </c>
      <c r="V3598">
        <v>0.12376529999999999</v>
      </c>
      <c r="W3598">
        <v>0.2070843</v>
      </c>
      <c r="X3598">
        <v>0.97046290000000002</v>
      </c>
      <c r="Y3598">
        <v>0.1920693</v>
      </c>
      <c r="Z3598">
        <v>8.4906749999999996E-3</v>
      </c>
      <c r="AA3598">
        <v>0.98134460000000001</v>
      </c>
      <c r="AB3598">
        <v>27</v>
      </c>
      <c r="AC3598">
        <v>-27.485899999999901</v>
      </c>
      <c r="AD3598">
        <v>-1.1200160051819901</v>
      </c>
      <c r="AE3598">
        <v>2.0957999999999899</v>
      </c>
      <c r="AF3598">
        <v>5.3406314062929399</v>
      </c>
      <c r="AG3598">
        <v>-1.1200160051819901</v>
      </c>
      <c r="AH3598">
        <v>26.997075026449501</v>
      </c>
      <c r="AI3598">
        <v>92.330530612663793</v>
      </c>
      <c r="AJ3598">
        <v>78.810075473362403</v>
      </c>
      <c r="AK3598">
        <v>27.543036137170699</v>
      </c>
      <c r="AL3598">
        <v>78.048460712000207</v>
      </c>
      <c r="AM3598">
        <v>82.732174327076294</v>
      </c>
      <c r="AN3598">
        <v>0.99999999853349497</v>
      </c>
    </row>
    <row r="3599" spans="1:40" x14ac:dyDescent="0.25">
      <c r="A3599" t="str">
        <f>"20190303171048430"</f>
        <v>20190303171048430</v>
      </c>
      <c r="B3599" t="str">
        <f>"1551604248424555"</f>
        <v>1551604248424555</v>
      </c>
      <c r="C3599" t="s">
        <v>40</v>
      </c>
      <c r="D3599">
        <v>5.2342389999999996</v>
      </c>
      <c r="E3599">
        <v>0.53149150000000001</v>
      </c>
      <c r="F3599" t="s">
        <v>42</v>
      </c>
      <c r="G3599">
        <v>-252.23920000000001</v>
      </c>
      <c r="H3599" s="1">
        <v>-4.3927229999999999E-6</v>
      </c>
      <c r="I3599">
        <v>144.56989999999999</v>
      </c>
      <c r="J3599">
        <v>-223.17779999999999</v>
      </c>
      <c r="K3599">
        <v>1.11999</v>
      </c>
      <c r="L3599">
        <v>142.3492</v>
      </c>
      <c r="M3599">
        <v>-0.99296949999999995</v>
      </c>
      <c r="N3599">
        <v>-7.3360580000000003E-3</v>
      </c>
      <c r="O3599">
        <v>-0.1181436</v>
      </c>
      <c r="P3599">
        <v>-0.97946330000000004</v>
      </c>
      <c r="Q3599">
        <v>0.20150460000000001</v>
      </c>
      <c r="R3599">
        <v>6.9062809999999898E-3</v>
      </c>
      <c r="S3599">
        <v>-3.0843509999999998</v>
      </c>
      <c r="T3599">
        <v>-0.11776449999999999</v>
      </c>
      <c r="U3599">
        <v>0.2301636</v>
      </c>
      <c r="V3599">
        <v>0.12287770000000001</v>
      </c>
      <c r="W3599">
        <v>0.20845179999999999</v>
      </c>
      <c r="X3599">
        <v>0.97028289999999995</v>
      </c>
      <c r="Y3599">
        <v>0.19149260000000001</v>
      </c>
      <c r="Z3599">
        <v>7.9872039999999995E-3</v>
      </c>
      <c r="AA3599">
        <v>0.98146149999999999</v>
      </c>
      <c r="AB3599">
        <v>27</v>
      </c>
      <c r="AC3599">
        <v>-29.061399999999999</v>
      </c>
      <c r="AD3599">
        <v>-1.1199943927230001</v>
      </c>
      <c r="AE3599">
        <v>2.2206999999999901</v>
      </c>
      <c r="AF3599">
        <v>5.6303431745847696</v>
      </c>
      <c r="AG3599">
        <v>-1.1199943927230001</v>
      </c>
      <c r="AH3599">
        <v>28.553327041957399</v>
      </c>
      <c r="AI3599">
        <v>92.203861249012107</v>
      </c>
      <c r="AJ3599">
        <v>78.845128424546601</v>
      </c>
      <c r="AK3599">
        <v>29.124691189234898</v>
      </c>
      <c r="AL3599">
        <v>77.968360740835095</v>
      </c>
      <c r="AM3599">
        <v>82.782420547817694</v>
      </c>
      <c r="AN3599">
        <v>0.99999999405647</v>
      </c>
    </row>
    <row r="3600" spans="1:40" x14ac:dyDescent="0.25">
      <c r="A3600" t="str">
        <f>"20190303171048452"</f>
        <v>20190303171048452</v>
      </c>
      <c r="B3600" t="str">
        <f>"1551604248444077"</f>
        <v>1551604248444077</v>
      </c>
      <c r="C3600" t="s">
        <v>40</v>
      </c>
      <c r="D3600">
        <v>5.2548170000000001</v>
      </c>
      <c r="E3600">
        <v>0.53165220000000002</v>
      </c>
      <c r="F3600" t="s">
        <v>42</v>
      </c>
      <c r="G3600">
        <v>-259.5446</v>
      </c>
      <c r="H3600" s="1">
        <v>-1.6040269999999999E-6</v>
      </c>
      <c r="I3600">
        <v>144.9768</v>
      </c>
      <c r="J3600">
        <v>-223.45939999999999</v>
      </c>
      <c r="K3600">
        <v>1.1199589999999999</v>
      </c>
      <c r="L3600">
        <v>142.31649999999999</v>
      </c>
      <c r="M3600">
        <v>-0.99306380000000005</v>
      </c>
      <c r="N3600">
        <v>-7.1895809999999996E-3</v>
      </c>
      <c r="O3600">
        <v>-0.1173573</v>
      </c>
      <c r="P3600">
        <v>-0.97933829999999999</v>
      </c>
      <c r="Q3600">
        <v>0.20211170000000001</v>
      </c>
      <c r="R3600">
        <v>6.9042569999999996E-3</v>
      </c>
      <c r="S3600">
        <v>-3.0808559999999998</v>
      </c>
      <c r="T3600">
        <v>-9.4881649999999998E-2</v>
      </c>
      <c r="U3600">
        <v>0.22261049999999999</v>
      </c>
      <c r="V3600">
        <v>0.1220919</v>
      </c>
      <c r="W3600">
        <v>0.2089182</v>
      </c>
      <c r="X3600">
        <v>0.97028179999999997</v>
      </c>
      <c r="Y3600">
        <v>0.18848300000000001</v>
      </c>
      <c r="Z3600">
        <v>6.3397610000000002E-3</v>
      </c>
      <c r="AA3600">
        <v>0.98205600000000004</v>
      </c>
      <c r="AB3600">
        <v>27</v>
      </c>
      <c r="AC3600">
        <v>-36.0852</v>
      </c>
      <c r="AD3600">
        <v>-1.11996060402699</v>
      </c>
      <c r="AE3600">
        <v>2.6602999999999999</v>
      </c>
      <c r="AF3600">
        <v>6.8703043624964</v>
      </c>
      <c r="AG3600">
        <v>-1.11996060402699</v>
      </c>
      <c r="AH3600">
        <v>35.489614679649101</v>
      </c>
      <c r="AI3600">
        <v>91.774582656319396</v>
      </c>
      <c r="AJ3600">
        <v>79.043841740434203</v>
      </c>
      <c r="AK3600">
        <v>36.165842225750502</v>
      </c>
      <c r="AL3600">
        <v>77.941036567387002</v>
      </c>
      <c r="AM3600">
        <v>82.828086611461899</v>
      </c>
      <c r="AN3600">
        <v>1.0000000088740399</v>
      </c>
    </row>
    <row r="3601" spans="1:40" x14ac:dyDescent="0.25">
      <c r="A3601" t="str">
        <f>"20190303171048477"</f>
        <v>20190303171048477</v>
      </c>
      <c r="B3601" t="str">
        <f>"1551604248464571"</f>
        <v>1551604248464571</v>
      </c>
      <c r="C3601" t="s">
        <v>40</v>
      </c>
      <c r="D3601">
        <v>5.1219989999999997</v>
      </c>
      <c r="E3601">
        <v>0.53230599999999995</v>
      </c>
      <c r="F3601" t="s">
        <v>42</v>
      </c>
      <c r="G3601">
        <v>-259.2432</v>
      </c>
      <c r="H3601" s="1">
        <v>-1.7154999999999999E-6</v>
      </c>
      <c r="I3601">
        <v>144.90989999999999</v>
      </c>
      <c r="J3601">
        <v>-223.74889999999999</v>
      </c>
      <c r="K3601">
        <v>1.119929</v>
      </c>
      <c r="L3601">
        <v>142.28319999999999</v>
      </c>
      <c r="M3601">
        <v>-0.99315969999999998</v>
      </c>
      <c r="N3601">
        <v>-7.0375589999999997E-3</v>
      </c>
      <c r="O3601">
        <v>-0.1165529</v>
      </c>
      <c r="P3601">
        <v>-0.97959779999999996</v>
      </c>
      <c r="Q3601">
        <v>0.20085439999999999</v>
      </c>
      <c r="R3601">
        <v>6.7698810000000002E-3</v>
      </c>
      <c r="S3601">
        <v>-3.0816189999999999</v>
      </c>
      <c r="T3601">
        <v>-9.6448420000000007E-2</v>
      </c>
      <c r="U3601">
        <v>0.22334290000000001</v>
      </c>
      <c r="V3601">
        <v>0.1211996</v>
      </c>
      <c r="W3601">
        <v>0.20751720000000001</v>
      </c>
      <c r="X3601">
        <v>0.97069419999999995</v>
      </c>
      <c r="Y3601">
        <v>0.18789800000000001</v>
      </c>
      <c r="Z3601">
        <v>6.4183460000000001E-3</v>
      </c>
      <c r="AA3601">
        <v>0.98216749999999997</v>
      </c>
      <c r="AB3601">
        <v>28</v>
      </c>
      <c r="AC3601">
        <v>-35.494300000000003</v>
      </c>
      <c r="AD3601">
        <v>-1.1199307155</v>
      </c>
      <c r="AE3601">
        <v>2.6267</v>
      </c>
      <c r="AF3601">
        <v>6.7391895518815703</v>
      </c>
      <c r="AG3601">
        <v>-1.1199307155</v>
      </c>
      <c r="AH3601">
        <v>34.911651932279398</v>
      </c>
      <c r="AI3601">
        <v>91.804078563506906</v>
      </c>
      <c r="AJ3601">
        <v>79.074263081788601</v>
      </c>
      <c r="AK3601">
        <v>35.573787558599101</v>
      </c>
      <c r="AL3601">
        <v>78.023106390527403</v>
      </c>
      <c r="AM3601">
        <v>82.882956055766797</v>
      </c>
      <c r="AN3601">
        <v>0.99999998062481898</v>
      </c>
    </row>
    <row r="3602" spans="1:40" x14ac:dyDescent="0.25">
      <c r="A3602" t="str">
        <f>"20190303171048500"</f>
        <v>20190303171048500</v>
      </c>
      <c r="B3602" t="str">
        <f>"1551604248494827"</f>
        <v>1551604248494827</v>
      </c>
      <c r="C3602" t="s">
        <v>40</v>
      </c>
      <c r="D3602">
        <v>5.2088559999999999</v>
      </c>
      <c r="E3602">
        <v>0.53198590000000001</v>
      </c>
      <c r="F3602" t="s">
        <v>42</v>
      </c>
      <c r="G3602">
        <v>-255.4657</v>
      </c>
      <c r="H3602" s="1">
        <v>-3.26067E-6</v>
      </c>
      <c r="I3602">
        <v>144.6266</v>
      </c>
      <c r="J3602">
        <v>-224.0369</v>
      </c>
      <c r="K3602">
        <v>1.1198980000000001</v>
      </c>
      <c r="L3602">
        <v>142.25030000000001</v>
      </c>
      <c r="M3602">
        <v>-0.99325399999999997</v>
      </c>
      <c r="N3602">
        <v>-6.8881510000000003E-3</v>
      </c>
      <c r="O3602">
        <v>-0.1157548</v>
      </c>
      <c r="P3602">
        <v>-0.97984380000000004</v>
      </c>
      <c r="Q3602">
        <v>0.19965869999999999</v>
      </c>
      <c r="R3602">
        <v>6.5489669999999897E-3</v>
      </c>
      <c r="S3602">
        <v>-3.083221</v>
      </c>
      <c r="T3602">
        <v>-0.10886989999999901</v>
      </c>
      <c r="U3602">
        <v>0.22781370000000001</v>
      </c>
      <c r="V3602">
        <v>0.120226</v>
      </c>
      <c r="W3602">
        <v>0.20618010000000001</v>
      </c>
      <c r="X3602">
        <v>0.97110019999999997</v>
      </c>
      <c r="Y3602">
        <v>0.18844849999999999</v>
      </c>
      <c r="Z3602">
        <v>7.2531549999999998E-3</v>
      </c>
      <c r="AA3602">
        <v>0.98205629999999999</v>
      </c>
      <c r="AB3602">
        <v>28</v>
      </c>
      <c r="AC3602">
        <v>-31.428799999999899</v>
      </c>
      <c r="AD3602">
        <v>-1.1199012606700001</v>
      </c>
      <c r="AE3602">
        <v>2.3762999999999801</v>
      </c>
      <c r="AF3602">
        <v>5.9908824231067896</v>
      </c>
      <c r="AG3602">
        <v>-1.1199012606700001</v>
      </c>
      <c r="AH3602">
        <v>30.9034299623716</v>
      </c>
      <c r="AI3602">
        <v>92.037518462881295</v>
      </c>
      <c r="AJ3602">
        <v>79.028829910263497</v>
      </c>
      <c r="AK3602">
        <v>31.498679884724499</v>
      </c>
      <c r="AL3602">
        <v>78.101411040088493</v>
      </c>
      <c r="AM3602">
        <v>82.942470244272101</v>
      </c>
      <c r="AN3602">
        <v>1.0000000615760201</v>
      </c>
    </row>
    <row r="3603" spans="1:40" x14ac:dyDescent="0.25">
      <c r="A3603" t="str">
        <f>"20190303171048520"</f>
        <v>20190303171048520</v>
      </c>
      <c r="B3603" t="str">
        <f>"1551604248514347"</f>
        <v>1551604248514347</v>
      </c>
      <c r="C3603" t="s">
        <v>40</v>
      </c>
      <c r="D3603">
        <v>5.0782299999999996</v>
      </c>
      <c r="E3603">
        <v>0.53211529999999996</v>
      </c>
      <c r="F3603" t="s">
        <v>42</v>
      </c>
      <c r="G3603">
        <v>-255.82249999999999</v>
      </c>
      <c r="H3603" s="1">
        <v>-3.0929480000000001E-6</v>
      </c>
      <c r="I3603">
        <v>144.57159999999999</v>
      </c>
      <c r="J3603">
        <v>-224.28399999999999</v>
      </c>
      <c r="K3603">
        <v>1.119869</v>
      </c>
      <c r="L3603">
        <v>142.22219999999999</v>
      </c>
      <c r="M3603">
        <v>-0.99333439999999995</v>
      </c>
      <c r="N3603">
        <v>-6.7685009999999997E-3</v>
      </c>
      <c r="O3603">
        <v>-0.11507050000000001</v>
      </c>
      <c r="P3603">
        <v>-0.97987429999999998</v>
      </c>
      <c r="Q3603">
        <v>0.1994821</v>
      </c>
      <c r="R3603">
        <v>7.32868199999999E-3</v>
      </c>
      <c r="S3603">
        <v>-3.0823360000000002</v>
      </c>
      <c r="T3603">
        <v>-0.1085999</v>
      </c>
      <c r="U3603">
        <v>0.2251129</v>
      </c>
      <c r="V3603">
        <v>0.1203341</v>
      </c>
      <c r="W3603">
        <v>0.2058866</v>
      </c>
      <c r="X3603">
        <v>0.97114900000000004</v>
      </c>
      <c r="Y3603">
        <v>0.18693870000000001</v>
      </c>
      <c r="Z3603">
        <v>7.1885650000000001E-3</v>
      </c>
      <c r="AA3603">
        <v>0.98234529999999998</v>
      </c>
      <c r="AB3603">
        <v>28</v>
      </c>
      <c r="AC3603">
        <v>-31.5384999999999</v>
      </c>
      <c r="AD3603">
        <v>-1.1198720929479999</v>
      </c>
      <c r="AE3603">
        <v>2.3494000000000002</v>
      </c>
      <c r="AF3603">
        <v>5.9555591339470899</v>
      </c>
      <c r="AG3603">
        <v>-1.1198720929479999</v>
      </c>
      <c r="AH3603">
        <v>31.019743077639799</v>
      </c>
      <c r="AI3603">
        <v>92.030535974587806</v>
      </c>
      <c r="AJ3603">
        <v>79.131887121473497</v>
      </c>
      <c r="AK3603">
        <v>31.606126917186302</v>
      </c>
      <c r="AL3603">
        <v>78.118595119522794</v>
      </c>
      <c r="AM3603">
        <v>82.936539984558394</v>
      </c>
      <c r="AN3603">
        <v>0.99999998394168399</v>
      </c>
    </row>
    <row r="3604" spans="1:40" x14ac:dyDescent="0.25">
      <c r="A3604" t="str">
        <f>"20190303171048542"</f>
        <v>20190303171048542</v>
      </c>
      <c r="B3604" t="str">
        <f>"1551604248534843"</f>
        <v>1551604248534843</v>
      </c>
      <c r="C3604" t="s">
        <v>40</v>
      </c>
      <c r="D3604">
        <v>5.1769610000000004</v>
      </c>
      <c r="E3604">
        <v>0.53207299999999902</v>
      </c>
      <c r="F3604" t="s">
        <v>42</v>
      </c>
      <c r="G3604">
        <v>-256.1223</v>
      </c>
      <c r="H3604" s="1">
        <v>-2.9686369999999998E-6</v>
      </c>
      <c r="I3604">
        <v>144.58760000000001</v>
      </c>
      <c r="J3604">
        <v>-224.57140000000001</v>
      </c>
      <c r="K3604">
        <v>1.1198459999999999</v>
      </c>
      <c r="L3604">
        <v>142.18969999999999</v>
      </c>
      <c r="M3604">
        <v>-0.99342699999999995</v>
      </c>
      <c r="N3604">
        <v>-6.6426549999999999E-3</v>
      </c>
      <c r="O3604">
        <v>-0.1142746</v>
      </c>
      <c r="P3604">
        <v>-0.97966070000000005</v>
      </c>
      <c r="Q3604">
        <v>0.200457</v>
      </c>
      <c r="R3604">
        <v>9.0391940000000004E-3</v>
      </c>
      <c r="S3604">
        <v>-3.081985</v>
      </c>
      <c r="T3604">
        <v>-0.1084054</v>
      </c>
      <c r="U3604">
        <v>0.22898859999999999</v>
      </c>
      <c r="V3604">
        <v>0.1212317</v>
      </c>
      <c r="W3604">
        <v>0.2067358</v>
      </c>
      <c r="X3604">
        <v>0.97085699999999997</v>
      </c>
      <c r="Y3604">
        <v>0.187389</v>
      </c>
      <c r="Z3604">
        <v>7.1655950000000003E-3</v>
      </c>
      <c r="AA3604">
        <v>0.98225960000000001</v>
      </c>
      <c r="AB3604">
        <v>28</v>
      </c>
      <c r="AC3604">
        <v>-31.550899999999899</v>
      </c>
      <c r="AD3604">
        <v>-1.1198489686369999</v>
      </c>
      <c r="AE3604">
        <v>2.3979000000000199</v>
      </c>
      <c r="AF3604">
        <v>5.9802466052042096</v>
      </c>
      <c r="AG3604">
        <v>-1.1198489686369999</v>
      </c>
      <c r="AH3604">
        <v>31.031313971412899</v>
      </c>
      <c r="AI3604">
        <v>92.029465257924599</v>
      </c>
      <c r="AJ3604">
        <v>79.091886356597797</v>
      </c>
      <c r="AK3604">
        <v>31.622141893996002</v>
      </c>
      <c r="AL3604">
        <v>78.068870755709298</v>
      </c>
      <c r="AM3604">
        <v>82.882271930214699</v>
      </c>
      <c r="AN3604">
        <v>1.0000000652677601</v>
      </c>
    </row>
    <row r="3605" spans="1:40" x14ac:dyDescent="0.25">
      <c r="A3605" t="str">
        <f>"20190303171048564"</f>
        <v>20190303171048564</v>
      </c>
      <c r="B3605" t="str">
        <f>"1551604248555340"</f>
        <v>1551604248555340</v>
      </c>
      <c r="C3605" t="s">
        <v>40</v>
      </c>
      <c r="D3605">
        <v>5.196447</v>
      </c>
      <c r="E3605">
        <v>0.53177790000000003</v>
      </c>
      <c r="F3605" t="s">
        <v>42</v>
      </c>
      <c r="G3605">
        <v>-258.8349</v>
      </c>
      <c r="H3605" s="1">
        <v>-1.859894E-6</v>
      </c>
      <c r="I3605">
        <v>144.79429999999999</v>
      </c>
      <c r="J3605">
        <v>-224.84559999999999</v>
      </c>
      <c r="K3605">
        <v>1.1198239999999999</v>
      </c>
      <c r="L3605">
        <v>142.15899999999999</v>
      </c>
      <c r="M3605">
        <v>-0.99351489999999998</v>
      </c>
      <c r="N3605">
        <v>-6.5340229999999999E-3</v>
      </c>
      <c r="O3605">
        <v>-0.11351559999999999</v>
      </c>
      <c r="P3605">
        <v>-0.97959339999999995</v>
      </c>
      <c r="Q3605">
        <v>0.20071910000000001</v>
      </c>
      <c r="R3605">
        <v>1.044748E-2</v>
      </c>
      <c r="S3605">
        <v>-3.0807190000000002</v>
      </c>
      <c r="T3605">
        <v>-0.10068829999999999</v>
      </c>
      <c r="U3605">
        <v>0.23419190000000001</v>
      </c>
      <c r="V3605">
        <v>0.1218823</v>
      </c>
      <c r="W3605">
        <v>0.2068893</v>
      </c>
      <c r="X3605">
        <v>0.97074280000000002</v>
      </c>
      <c r="Y3605">
        <v>0.1883426</v>
      </c>
      <c r="Z3605">
        <v>6.6498310000000001E-3</v>
      </c>
      <c r="AA3605">
        <v>0.98208090000000003</v>
      </c>
      <c r="AB3605">
        <v>28</v>
      </c>
      <c r="AC3605">
        <v>-33.9893</v>
      </c>
      <c r="AD3605">
        <v>-1.1198258598940001</v>
      </c>
      <c r="AE3605">
        <v>2.6353</v>
      </c>
      <c r="AF3605">
        <v>6.46968208888139</v>
      </c>
      <c r="AG3605">
        <v>-1.1198258598940001</v>
      </c>
      <c r="AH3605">
        <v>33.434362079473303</v>
      </c>
      <c r="AI3605">
        <v>91.883394653940798</v>
      </c>
      <c r="AJ3605">
        <v>79.048389914118502</v>
      </c>
      <c r="AK3605">
        <v>34.0729711640913</v>
      </c>
      <c r="AL3605">
        <v>78.059881092278303</v>
      </c>
      <c r="AM3605">
        <v>82.843635890365803</v>
      </c>
      <c r="AN3605">
        <v>1.0000000306298</v>
      </c>
    </row>
    <row r="3606" spans="1:40" x14ac:dyDescent="0.25">
      <c r="A3606" t="str">
        <f>"20190303171048586"</f>
        <v>20190303171048586</v>
      </c>
      <c r="B3606" t="str">
        <f>"1551604248574859"</f>
        <v>1551604248574859</v>
      </c>
      <c r="C3606" t="s">
        <v>40</v>
      </c>
      <c r="D3606">
        <v>5.1857220000000002</v>
      </c>
      <c r="E3606">
        <v>0.53165839999999998</v>
      </c>
      <c r="F3606" t="s">
        <v>42</v>
      </c>
      <c r="G3606">
        <v>-257.86079999999998</v>
      </c>
      <c r="H3606" s="1">
        <v>-2.247084E-6</v>
      </c>
      <c r="I3606">
        <v>144.6789</v>
      </c>
      <c r="J3606">
        <v>-225.12350000000001</v>
      </c>
      <c r="K3606">
        <v>1.119807</v>
      </c>
      <c r="L3606">
        <v>142.12799999999999</v>
      </c>
      <c r="M3606">
        <v>-0.99360289999999996</v>
      </c>
      <c r="N3606">
        <v>-6.4349439999999997E-3</v>
      </c>
      <c r="O3606">
        <v>-0.11274670000000001</v>
      </c>
      <c r="P3606">
        <v>-0.97988050000000004</v>
      </c>
      <c r="Q3606">
        <v>0.19921630000000001</v>
      </c>
      <c r="R3606">
        <v>1.21426E-2</v>
      </c>
      <c r="S3606">
        <v>-3.0814210000000002</v>
      </c>
      <c r="T3606">
        <v>-0.1045175</v>
      </c>
      <c r="U3606">
        <v>0.23519899999999999</v>
      </c>
      <c r="V3606">
        <v>0.1228461</v>
      </c>
      <c r="W3606">
        <v>0.20528930000000001</v>
      </c>
      <c r="X3606">
        <v>0.97096090000000002</v>
      </c>
      <c r="Y3606">
        <v>0.18787319999999999</v>
      </c>
      <c r="Z3606">
        <v>6.877106E-3</v>
      </c>
      <c r="AA3606">
        <v>0.98216919999999996</v>
      </c>
      <c r="AB3606">
        <v>28</v>
      </c>
      <c r="AC3606">
        <v>-32.737299999999898</v>
      </c>
      <c r="AD3606">
        <v>-1.119809247084</v>
      </c>
      <c r="AE3606">
        <v>2.5509000000000102</v>
      </c>
      <c r="AF3606">
        <v>6.2185012229055099</v>
      </c>
      <c r="AG3606">
        <v>-1.119809247084</v>
      </c>
      <c r="AH3606">
        <v>32.203486882868397</v>
      </c>
      <c r="AI3606">
        <v>91.9554445392735</v>
      </c>
      <c r="AJ3606">
        <v>79.070688906949997</v>
      </c>
      <c r="AK3606">
        <v>32.817499868579397</v>
      </c>
      <c r="AL3606">
        <v>78.153564665773104</v>
      </c>
      <c r="AM3606">
        <v>82.789242636622603</v>
      </c>
      <c r="AN3606">
        <v>0.99999996515425404</v>
      </c>
    </row>
    <row r="3607" spans="1:40" x14ac:dyDescent="0.25">
      <c r="A3607" t="str">
        <f>"20190303171048609"</f>
        <v>20190303171048609</v>
      </c>
      <c r="B3607" t="str">
        <f>"1551604248594379"</f>
        <v>1551604248594379</v>
      </c>
      <c r="C3607" t="s">
        <v>40</v>
      </c>
      <c r="D3607">
        <v>5.3538329999999998</v>
      </c>
      <c r="E3607">
        <v>0.53167500000000001</v>
      </c>
      <c r="F3607" t="s">
        <v>42</v>
      </c>
      <c r="G3607">
        <v>-256.22829999999999</v>
      </c>
      <c r="H3607" s="1">
        <v>-2.90946E-6</v>
      </c>
      <c r="I3607">
        <v>144.53620000000001</v>
      </c>
      <c r="J3607">
        <v>-225.40170000000001</v>
      </c>
      <c r="K3607">
        <v>1.119783</v>
      </c>
      <c r="L3607">
        <v>142.09729999999999</v>
      </c>
      <c r="M3607">
        <v>-0.99369059999999998</v>
      </c>
      <c r="N3607">
        <v>-6.3438419999999997E-3</v>
      </c>
      <c r="O3607">
        <v>-0.11197650000000001</v>
      </c>
      <c r="P3607">
        <v>-0.98019089999999998</v>
      </c>
      <c r="Q3607">
        <v>0.1976031</v>
      </c>
      <c r="R3607">
        <v>1.339344E-2</v>
      </c>
      <c r="S3607">
        <v>-3.0811920000000002</v>
      </c>
      <c r="T3607">
        <v>-0.11092689999999999</v>
      </c>
      <c r="U3607">
        <v>0.23855589999999999</v>
      </c>
      <c r="V3607">
        <v>0.1233699</v>
      </c>
      <c r="W3607">
        <v>0.20358699999999999</v>
      </c>
      <c r="X3607">
        <v>0.97125289999999997</v>
      </c>
      <c r="Y3607">
        <v>0.18815970000000001</v>
      </c>
      <c r="Z3607">
        <v>7.2913169999999899E-3</v>
      </c>
      <c r="AA3607">
        <v>0.98211139999999997</v>
      </c>
      <c r="AB3607">
        <v>28</v>
      </c>
      <c r="AC3607">
        <v>-30.8265999999999</v>
      </c>
      <c r="AD3607">
        <v>-1.11978590946</v>
      </c>
      <c r="AE3607">
        <v>2.4389000000000101</v>
      </c>
      <c r="AF3607">
        <v>5.8677904865450703</v>
      </c>
      <c r="AG3607">
        <v>-1.11978590946</v>
      </c>
      <c r="AH3607">
        <v>30.319855192155099</v>
      </c>
      <c r="AI3607">
        <v>92.076614676673302</v>
      </c>
      <c r="AJ3607">
        <v>79.046973021020307</v>
      </c>
      <c r="AK3607">
        <v>30.902726490558599</v>
      </c>
      <c r="AL3607">
        <v>78.253204099640797</v>
      </c>
      <c r="AM3607">
        <v>82.760976467786904</v>
      </c>
      <c r="AN3607">
        <v>0.99999999727670996</v>
      </c>
    </row>
    <row r="3608" spans="1:40" x14ac:dyDescent="0.25">
      <c r="A3608" t="str">
        <f>"20190303171048631"</f>
        <v>20190303171048631</v>
      </c>
      <c r="B3608" t="str">
        <f>"1551604248624636"</f>
        <v>1551604248624636</v>
      </c>
      <c r="C3608" t="s">
        <v>40</v>
      </c>
      <c r="D3608">
        <v>5.099596</v>
      </c>
      <c r="E3608">
        <v>0.53177299999999905</v>
      </c>
      <c r="F3608" t="s">
        <v>42</v>
      </c>
      <c r="G3608">
        <v>-254.9734</v>
      </c>
      <c r="H3608" s="1">
        <v>-3.419383E-6</v>
      </c>
      <c r="I3608">
        <v>144.42930000000001</v>
      </c>
      <c r="J3608">
        <v>-225.6952</v>
      </c>
      <c r="K3608">
        <v>1.119761</v>
      </c>
      <c r="L3608">
        <v>142.065</v>
      </c>
      <c r="M3608">
        <v>-0.99378230000000001</v>
      </c>
      <c r="N3608">
        <v>-6.2545730000000003E-3</v>
      </c>
      <c r="O3608">
        <v>-0.1111646</v>
      </c>
      <c r="P3608">
        <v>-0.98033110000000001</v>
      </c>
      <c r="Q3608">
        <v>0.1968307</v>
      </c>
      <c r="R3608">
        <v>1.4447740000000001E-2</v>
      </c>
      <c r="S3608">
        <v>-3.0808409999999999</v>
      </c>
      <c r="T3608">
        <v>-0.1166621</v>
      </c>
      <c r="U3608">
        <v>0.24296570000000001</v>
      </c>
      <c r="V3608">
        <v>0.12363929999999999</v>
      </c>
      <c r="W3608">
        <v>0.20272699999999999</v>
      </c>
      <c r="X3608">
        <v>0.97139850000000005</v>
      </c>
      <c r="Y3608">
        <v>0.18874270000000001</v>
      </c>
      <c r="Z3608">
        <v>7.6633530000000004E-3</v>
      </c>
      <c r="AA3608">
        <v>0.98199669999999895</v>
      </c>
      <c r="AB3608">
        <v>28</v>
      </c>
      <c r="AC3608">
        <v>-29.278199999999998</v>
      </c>
      <c r="AD3608">
        <v>-1.1197644193830001</v>
      </c>
      <c r="AE3608">
        <v>2.3643000000000098</v>
      </c>
      <c r="AF3608">
        <v>5.5962758384128799</v>
      </c>
      <c r="AG3608">
        <v>-1.1197644193830001</v>
      </c>
      <c r="AH3608">
        <v>28.792053031606901</v>
      </c>
      <c r="AI3608">
        <v>92.1863179423449</v>
      </c>
      <c r="AJ3608">
        <v>79.000637256680207</v>
      </c>
      <c r="AK3608">
        <v>29.352248523569401</v>
      </c>
      <c r="AL3608">
        <v>78.303527704139</v>
      </c>
      <c r="AM3608">
        <v>82.746412808702203</v>
      </c>
      <c r="AN3608">
        <v>0.999999979417869</v>
      </c>
    </row>
    <row r="3609" spans="1:40" x14ac:dyDescent="0.25">
      <c r="A3609" t="str">
        <f>"20190303171048653"</f>
        <v>20190303171048653</v>
      </c>
      <c r="B3609" t="str">
        <f>"1551604248644155"</f>
        <v>1551604248644155</v>
      </c>
      <c r="C3609" t="s">
        <v>40</v>
      </c>
      <c r="D3609">
        <v>4.9895269999999998</v>
      </c>
      <c r="E3609">
        <v>0.53062159999999903</v>
      </c>
      <c r="F3609" t="s">
        <v>42</v>
      </c>
      <c r="G3609">
        <v>-254.9785</v>
      </c>
      <c r="H3609" s="1">
        <v>-3.4129680000000002E-6</v>
      </c>
      <c r="I3609">
        <v>144.4136</v>
      </c>
      <c r="J3609">
        <v>-225.98509999999999</v>
      </c>
      <c r="K3609">
        <v>1.1197429999999999</v>
      </c>
      <c r="L3609">
        <v>142.0334</v>
      </c>
      <c r="M3609">
        <v>-0.99387219999999998</v>
      </c>
      <c r="N3609">
        <v>-6.1759359999999999E-3</v>
      </c>
      <c r="O3609">
        <v>-0.1103625</v>
      </c>
      <c r="P3609">
        <v>-0.98023300000000002</v>
      </c>
      <c r="Q3609">
        <v>0.19717170000000001</v>
      </c>
      <c r="R3609">
        <v>1.633035E-2</v>
      </c>
      <c r="S3609">
        <v>-3.0802149999999999</v>
      </c>
      <c r="T3609">
        <v>-0.11778429999999999</v>
      </c>
      <c r="U3609">
        <v>0.2470398</v>
      </c>
      <c r="V3609">
        <v>0.1247171</v>
      </c>
      <c r="W3609">
        <v>0.202988</v>
      </c>
      <c r="X3609">
        <v>0.97120620000000002</v>
      </c>
      <c r="Y3609">
        <v>0.18925210000000001</v>
      </c>
      <c r="Z3609">
        <v>7.7263549999999999E-3</v>
      </c>
      <c r="AA3609">
        <v>0.9818981</v>
      </c>
      <c r="AB3609">
        <v>28</v>
      </c>
      <c r="AC3609">
        <v>-28.993400000000001</v>
      </c>
      <c r="AD3609">
        <v>-1.1197464129679999</v>
      </c>
      <c r="AE3609">
        <v>2.3801999999999999</v>
      </c>
      <c r="AF3609">
        <v>5.5572714126330496</v>
      </c>
      <c r="AG3609">
        <v>-1.1197464129679999</v>
      </c>
      <c r="AH3609">
        <v>28.511352615081599</v>
      </c>
      <c r="AI3609">
        <v>92.207560395261098</v>
      </c>
      <c r="AJ3609">
        <v>78.970519366251494</v>
      </c>
      <c r="AK3609">
        <v>29.069474118472499</v>
      </c>
      <c r="AL3609">
        <v>78.288256022844706</v>
      </c>
      <c r="AM3609">
        <v>82.6824304365134</v>
      </c>
      <c r="AN3609">
        <v>0.99999998304742399</v>
      </c>
    </row>
    <row r="3610" spans="1:40" x14ac:dyDescent="0.25">
      <c r="A3610" t="str">
        <f>"20190303171048680"</f>
        <v>20190303171048680</v>
      </c>
      <c r="B3610" t="str">
        <f>"1551604248674411"</f>
        <v>1551604248674411</v>
      </c>
      <c r="C3610" t="s">
        <v>40</v>
      </c>
      <c r="D3610">
        <v>4.9931239999999999</v>
      </c>
      <c r="E3610">
        <v>0.53044720000000001</v>
      </c>
      <c r="F3610" t="s">
        <v>67</v>
      </c>
      <c r="G3610">
        <v>-459.875</v>
      </c>
      <c r="H3610">
        <v>25.829830000000001</v>
      </c>
      <c r="I3610">
        <v>163.4598</v>
      </c>
      <c r="J3610">
        <v>-226.30199999999999</v>
      </c>
      <c r="K3610">
        <v>1.1197299999999999</v>
      </c>
      <c r="L3610">
        <v>141.9992</v>
      </c>
      <c r="M3610">
        <v>-0.99396960000000001</v>
      </c>
      <c r="N3610">
        <v>-6.1015949999999996E-3</v>
      </c>
      <c r="O3610">
        <v>-0.1094864</v>
      </c>
      <c r="P3610">
        <v>-0.98023360000000004</v>
      </c>
      <c r="Q3610">
        <v>0.19701109999999999</v>
      </c>
      <c r="R3610">
        <v>1.8132180000000001E-2</v>
      </c>
      <c r="S3610">
        <v>-2.99234</v>
      </c>
      <c r="T3610">
        <v>0.31613590000000003</v>
      </c>
      <c r="U3610">
        <v>0.27412409999999998</v>
      </c>
      <c r="V3610">
        <v>0.12565309999999999</v>
      </c>
      <c r="W3610">
        <v>0.20275170000000001</v>
      </c>
      <c r="X3610">
        <v>0.97113490000000002</v>
      </c>
      <c r="Y3610">
        <v>0.1980024</v>
      </c>
      <c r="Z3610">
        <v>-2.197472E-2</v>
      </c>
      <c r="AA3610">
        <v>0.97995520000000003</v>
      </c>
      <c r="AB3610">
        <v>29</v>
      </c>
      <c r="AC3610">
        <v>-233.57300000000001</v>
      </c>
      <c r="AD3610">
        <v>24.710100000000001</v>
      </c>
      <c r="AE3610">
        <v>21.460599999999999</v>
      </c>
      <c r="AF3610">
        <v>46.3902735622667</v>
      </c>
      <c r="AG3610">
        <v>24.710100000000001</v>
      </c>
      <c r="AH3610">
        <v>227.296504024238</v>
      </c>
      <c r="AI3610">
        <v>83.919939037407403</v>
      </c>
      <c r="AJ3610">
        <v>78.4645972354093</v>
      </c>
      <c r="AK3610">
        <v>233.29455043963699</v>
      </c>
      <c r="AL3610">
        <v>78.302082417224398</v>
      </c>
      <c r="AM3610">
        <v>82.627578776511498</v>
      </c>
      <c r="AN3610">
        <v>0.99999997369525395</v>
      </c>
    </row>
    <row r="3611" spans="1:40" x14ac:dyDescent="0.25">
      <c r="A3611" t="str">
        <f>"20190303171048700"</f>
        <v>20190303171048700</v>
      </c>
      <c r="B3611" t="str">
        <f>"1551604248693933"</f>
        <v>1551604248693933</v>
      </c>
      <c r="C3611" t="s">
        <v>40</v>
      </c>
      <c r="D3611">
        <v>4.9711089999999896</v>
      </c>
      <c r="E3611">
        <v>0.53245679999999995</v>
      </c>
      <c r="F3611" t="s">
        <v>67</v>
      </c>
      <c r="G3611">
        <v>-459.875</v>
      </c>
      <c r="H3611">
        <v>26.388919999999999</v>
      </c>
      <c r="I3611">
        <v>163.7672</v>
      </c>
      <c r="J3611">
        <v>-226.5703</v>
      </c>
      <c r="K3611">
        <v>1.1197170000000001</v>
      </c>
      <c r="L3611">
        <v>141.97040000000001</v>
      </c>
      <c r="M3611">
        <v>-0.99405129999999997</v>
      </c>
      <c r="N3611">
        <v>-6.0464569999999999E-3</v>
      </c>
      <c r="O3611">
        <v>-0.10874549999999999</v>
      </c>
      <c r="P3611">
        <v>-0.98032989999999998</v>
      </c>
      <c r="Q3611">
        <v>0.1964458</v>
      </c>
      <c r="R3611">
        <v>1.904703E-2</v>
      </c>
      <c r="S3611">
        <v>-2.9903409999999999</v>
      </c>
      <c r="T3611">
        <v>0.3235114</v>
      </c>
      <c r="U3611">
        <v>0.2786865</v>
      </c>
      <c r="V3611">
        <v>0.125849499999999</v>
      </c>
      <c r="W3611">
        <v>0.20213159999999999</v>
      </c>
      <c r="X3611">
        <v>0.97123870000000001</v>
      </c>
      <c r="Y3611">
        <v>0.19873260000000001</v>
      </c>
      <c r="Z3611">
        <v>-2.2448889999999999E-2</v>
      </c>
      <c r="AA3611">
        <v>0.97979660000000002</v>
      </c>
      <c r="AB3611">
        <v>29</v>
      </c>
      <c r="AC3611">
        <v>-233.3047</v>
      </c>
      <c r="AD3611">
        <v>25.269203000000001</v>
      </c>
      <c r="AE3611">
        <v>21.796799999999902</v>
      </c>
      <c r="AF3611">
        <v>46.498080027842398</v>
      </c>
      <c r="AG3611">
        <v>25.269203000000001</v>
      </c>
      <c r="AH3611">
        <v>226.91184157816701</v>
      </c>
      <c r="AI3611">
        <v>83.773973958556297</v>
      </c>
      <c r="AJ3611">
        <v>78.419440954655698</v>
      </c>
      <c r="AK3611">
        <v>233.00126161659699</v>
      </c>
      <c r="AL3611">
        <v>78.338362417166707</v>
      </c>
      <c r="AM3611">
        <v>82.6169629309681</v>
      </c>
      <c r="AN3611">
        <v>0.99999994637324796</v>
      </c>
    </row>
    <row r="3612" spans="1:40" x14ac:dyDescent="0.25">
      <c r="A3612" t="str">
        <f>"20190303171048722"</f>
        <v>20190303171048722</v>
      </c>
      <c r="B3612" t="str">
        <f>"1551604248714428"</f>
        <v>1551604248714428</v>
      </c>
      <c r="C3612" t="s">
        <v>40</v>
      </c>
      <c r="D3612">
        <v>5.0600489999999896</v>
      </c>
      <c r="E3612">
        <v>0.53898279999999998</v>
      </c>
      <c r="F3612" t="s">
        <v>67</v>
      </c>
      <c r="G3612">
        <v>-459.875</v>
      </c>
      <c r="H3612">
        <v>26.03397</v>
      </c>
      <c r="I3612">
        <v>165.21039999999999</v>
      </c>
      <c r="J3612">
        <v>-226.85329999999999</v>
      </c>
      <c r="K3612">
        <v>1.119694</v>
      </c>
      <c r="L3612">
        <v>141.9402</v>
      </c>
      <c r="M3612">
        <v>-0.99413669999999998</v>
      </c>
      <c r="N3612">
        <v>-5.9951479999999996E-3</v>
      </c>
      <c r="O3612">
        <v>-0.1079643</v>
      </c>
      <c r="P3612">
        <v>-0.98058350000000005</v>
      </c>
      <c r="Q3612">
        <v>0.1951098</v>
      </c>
      <c r="R3612">
        <v>1.9710640000000001E-2</v>
      </c>
      <c r="S3612">
        <v>-2.9904169999999999</v>
      </c>
      <c r="T3612">
        <v>0.31934210000000002</v>
      </c>
      <c r="U3612">
        <v>0.29788209999999998</v>
      </c>
      <c r="V3612">
        <v>0.12577260000000001</v>
      </c>
      <c r="W3612">
        <v>0.2007458</v>
      </c>
      <c r="X3612">
        <v>0.97153610000000001</v>
      </c>
      <c r="Y3612">
        <v>0.20421130000000001</v>
      </c>
      <c r="Z3612">
        <v>-2.234179E-2</v>
      </c>
      <c r="AA3612">
        <v>0.97867179999999998</v>
      </c>
      <c r="AB3612">
        <v>29</v>
      </c>
      <c r="AC3612">
        <v>-233.02170000000001</v>
      </c>
      <c r="AD3612">
        <v>24.914276000000001</v>
      </c>
      <c r="AE3612">
        <v>23.2701999999999</v>
      </c>
      <c r="AF3612">
        <v>47.7521626728849</v>
      </c>
      <c r="AG3612">
        <v>24.914276000000001</v>
      </c>
      <c r="AH3612">
        <v>226.58258329406399</v>
      </c>
      <c r="AI3612">
        <v>83.858983528311796</v>
      </c>
      <c r="AJ3612">
        <v>78.099098543213103</v>
      </c>
      <c r="AK3612">
        <v>232.89623706868599</v>
      </c>
      <c r="AL3612">
        <v>78.419425331956305</v>
      </c>
      <c r="AM3612">
        <v>82.623658387736498</v>
      </c>
      <c r="AN3612">
        <v>1.0000000083658001</v>
      </c>
    </row>
    <row r="3613" spans="1:40" x14ac:dyDescent="0.25">
      <c r="A3613" t="str">
        <f>"20190303171048742"</f>
        <v>20190303171048742</v>
      </c>
      <c r="B3613" t="str">
        <f>"1551604248734924"</f>
        <v>1551604248734924</v>
      </c>
      <c r="C3613" t="s">
        <v>40</v>
      </c>
      <c r="D3613">
        <v>5.0258330000000004</v>
      </c>
      <c r="E3613">
        <v>0.53921140000000001</v>
      </c>
      <c r="F3613" t="s">
        <v>42</v>
      </c>
      <c r="G3613">
        <v>-261.21260000000001</v>
      </c>
      <c r="H3613" s="1">
        <v>-4.917189E-6</v>
      </c>
      <c r="I3613">
        <v>145.55709999999999</v>
      </c>
      <c r="J3613">
        <v>-227.12379999999999</v>
      </c>
      <c r="K3613">
        <v>1.119677</v>
      </c>
      <c r="L3613">
        <v>141.91159999999999</v>
      </c>
      <c r="M3613">
        <v>-0.99421780000000004</v>
      </c>
      <c r="N3613">
        <v>-5.9520299999999996E-3</v>
      </c>
      <c r="O3613">
        <v>-0.10721799999999999</v>
      </c>
      <c r="P3613">
        <v>-0.98062499999999997</v>
      </c>
      <c r="Q3613">
        <v>0.19481019999999999</v>
      </c>
      <c r="R3613">
        <v>2.0589610000000001E-2</v>
      </c>
      <c r="S3613">
        <v>-3.0728610000000001</v>
      </c>
      <c r="T3613">
        <v>-0.1001382</v>
      </c>
      <c r="U3613">
        <v>0.32347110000000001</v>
      </c>
      <c r="V3613">
        <v>0.12592219999999901</v>
      </c>
      <c r="W3613">
        <v>0.20040289999999999</v>
      </c>
      <c r="X3613">
        <v>0.97158750000000005</v>
      </c>
      <c r="Y3613">
        <v>0.21054709999999999</v>
      </c>
      <c r="Z3613">
        <v>6.8958630000000003E-3</v>
      </c>
      <c r="AA3613">
        <v>0.97755939999999997</v>
      </c>
      <c r="AB3613">
        <v>29</v>
      </c>
      <c r="AC3613">
        <v>-34.088799999999999</v>
      </c>
      <c r="AD3613">
        <v>-1.119681917189</v>
      </c>
      <c r="AE3613">
        <v>3.64549999999999</v>
      </c>
      <c r="AF3613">
        <v>7.2717258286261304</v>
      </c>
      <c r="AG3613">
        <v>-1.119681917189</v>
      </c>
      <c r="AH3613">
        <v>33.465722613759802</v>
      </c>
      <c r="AI3613">
        <v>91.872598242727094</v>
      </c>
      <c r="AJ3613">
        <v>77.740835865327</v>
      </c>
      <c r="AK3613">
        <v>34.264942349046798</v>
      </c>
      <c r="AL3613">
        <v>78.439479448155595</v>
      </c>
      <c r="AM3613">
        <v>82.615367784886502</v>
      </c>
      <c r="AN3613">
        <v>0.99999999646875004</v>
      </c>
    </row>
    <row r="3614" spans="1:40" x14ac:dyDescent="0.25">
      <c r="A3614" t="str">
        <f>"20190303171048764"</f>
        <v>20190303171048764</v>
      </c>
      <c r="B3614" t="str">
        <f>"1551604248753975"</f>
        <v>1551604248753975</v>
      </c>
      <c r="C3614" t="s">
        <v>40</v>
      </c>
      <c r="D3614">
        <v>4.9278890000000004</v>
      </c>
      <c r="E3614">
        <v>0.53927860000000005</v>
      </c>
      <c r="F3614" t="s">
        <v>42</v>
      </c>
      <c r="G3614">
        <v>-261.92649999999998</v>
      </c>
      <c r="H3614" s="1">
        <v>-4.68659299999999E-6</v>
      </c>
      <c r="I3614">
        <v>145.6267</v>
      </c>
      <c r="J3614">
        <v>-227.41499999999999</v>
      </c>
      <c r="K3614">
        <v>1.119664</v>
      </c>
      <c r="L3614">
        <v>141.881</v>
      </c>
      <c r="M3614">
        <v>-0.99430430000000003</v>
      </c>
      <c r="N3614">
        <v>-5.9115449999999998E-3</v>
      </c>
      <c r="O3614">
        <v>-0.106415</v>
      </c>
      <c r="P3614">
        <v>-0.98044869999999995</v>
      </c>
      <c r="Q3614">
        <v>0.1956434</v>
      </c>
      <c r="R3614">
        <v>2.1077889999999998E-2</v>
      </c>
      <c r="S3614">
        <v>-3.0720369999999999</v>
      </c>
      <c r="T3614">
        <v>-9.883451E-2</v>
      </c>
      <c r="U3614">
        <v>0.32794190000000001</v>
      </c>
      <c r="V3614">
        <v>0.12560679999999999</v>
      </c>
      <c r="W3614">
        <v>0.20119519999999999</v>
      </c>
      <c r="X3614">
        <v>0.97146460000000001</v>
      </c>
      <c r="Y3614">
        <v>0.21119589999999999</v>
      </c>
      <c r="Z3614">
        <v>6.7989030000000002E-3</v>
      </c>
      <c r="AA3614">
        <v>0.97742010000000001</v>
      </c>
      <c r="AB3614">
        <v>29</v>
      </c>
      <c r="AC3614">
        <v>-34.511499999999899</v>
      </c>
      <c r="AD3614">
        <v>-1.1196686865929999</v>
      </c>
      <c r="AE3614">
        <v>3.7456999999999998</v>
      </c>
      <c r="AF3614">
        <v>7.3893483643937996</v>
      </c>
      <c r="AG3614">
        <v>-1.1196686865929999</v>
      </c>
      <c r="AH3614">
        <v>33.881676799361102</v>
      </c>
      <c r="AI3614">
        <v>91.8492943672601</v>
      </c>
      <c r="AJ3614">
        <v>77.696855133179994</v>
      </c>
      <c r="AK3614">
        <v>34.696169096234101</v>
      </c>
      <c r="AL3614">
        <v>78.393140494127294</v>
      </c>
      <c r="AM3614">
        <v>82.632739149494796</v>
      </c>
      <c r="AN3614">
        <v>1.00000002288121</v>
      </c>
    </row>
    <row r="3615" spans="1:40" x14ac:dyDescent="0.25">
      <c r="A3615" t="str">
        <f>"20190303171048788"</f>
        <v>20190303171048788</v>
      </c>
      <c r="B3615" t="str">
        <f>"1551604248774471"</f>
        <v>1551604248774471</v>
      </c>
      <c r="C3615" t="s">
        <v>40</v>
      </c>
      <c r="D3615">
        <v>4.8677400000000004</v>
      </c>
      <c r="E3615">
        <v>0.53893819999999903</v>
      </c>
      <c r="F3615" t="s">
        <v>42</v>
      </c>
      <c r="G3615">
        <v>-262.92559999999997</v>
      </c>
      <c r="H3615" s="1">
        <v>-4.3582519999999998E-6</v>
      </c>
      <c r="I3615">
        <v>145.69229999999999</v>
      </c>
      <c r="J3615">
        <v>-227.71709999999999</v>
      </c>
      <c r="K3615">
        <v>1.119658</v>
      </c>
      <c r="L3615">
        <v>141.84950000000001</v>
      </c>
      <c r="M3615">
        <v>-0.99439319999999998</v>
      </c>
      <c r="N3615">
        <v>-5.8752179999999998E-3</v>
      </c>
      <c r="O3615">
        <v>-0.1055825</v>
      </c>
      <c r="P3615">
        <v>-0.98042770000000001</v>
      </c>
      <c r="Q3615">
        <v>0.19573940000000001</v>
      </c>
      <c r="R3615">
        <v>2.1157990000000002E-2</v>
      </c>
      <c r="S3615">
        <v>-3.0720519999999998</v>
      </c>
      <c r="T3615">
        <v>-9.6863630000000006E-2</v>
      </c>
      <c r="U3615">
        <v>0.3297272</v>
      </c>
      <c r="V3615">
        <v>0.12487230000000001</v>
      </c>
      <c r="W3615">
        <v>0.20125589999999999</v>
      </c>
      <c r="X3615">
        <v>0.97154669999999999</v>
      </c>
      <c r="Y3615">
        <v>0.21094540000000001</v>
      </c>
      <c r="Z3615">
        <v>6.6372740000000003E-3</v>
      </c>
      <c r="AA3615">
        <v>0.97747530000000005</v>
      </c>
      <c r="AB3615">
        <v>29</v>
      </c>
      <c r="AC3615">
        <v>-35.208499999999901</v>
      </c>
      <c r="AD3615">
        <v>-1.119662358252</v>
      </c>
      <c r="AE3615">
        <v>3.84279999999998</v>
      </c>
      <c r="AF3615">
        <v>7.5312589981108404</v>
      </c>
      <c r="AG3615">
        <v>-1.119662358252</v>
      </c>
      <c r="AH3615">
        <v>34.571407088019697</v>
      </c>
      <c r="AI3615">
        <v>91.812506746182393</v>
      </c>
      <c r="AJ3615">
        <v>77.710326407173099</v>
      </c>
      <c r="AK3615">
        <v>35.399939179872703</v>
      </c>
      <c r="AL3615">
        <v>78.389589856840104</v>
      </c>
      <c r="AM3615">
        <v>82.675963089564405</v>
      </c>
      <c r="AN3615">
        <v>1.00000000943649</v>
      </c>
    </row>
    <row r="3616" spans="1:40" x14ac:dyDescent="0.25">
      <c r="A3616" t="str">
        <f>"20190303171048808"</f>
        <v>20190303171048808</v>
      </c>
      <c r="B3616" t="str">
        <f>"1551604248804727"</f>
        <v>1551604248804727</v>
      </c>
      <c r="C3616" t="s">
        <v>40</v>
      </c>
      <c r="D3616">
        <v>5.0444849999999999</v>
      </c>
      <c r="E3616">
        <v>0.53768509999999903</v>
      </c>
      <c r="F3616" t="s">
        <v>42</v>
      </c>
      <c r="G3616">
        <v>-263.50009999999997</v>
      </c>
      <c r="H3616" s="1">
        <v>-4.1578780000000003E-6</v>
      </c>
      <c r="I3616">
        <v>145.66489999999999</v>
      </c>
      <c r="J3616">
        <v>-227.98830000000001</v>
      </c>
      <c r="K3616">
        <v>1.119645</v>
      </c>
      <c r="L3616">
        <v>141.82149999999999</v>
      </c>
      <c r="M3616">
        <v>-0.99447240000000003</v>
      </c>
      <c r="N3616">
        <v>-5.8470220000000003E-3</v>
      </c>
      <c r="O3616">
        <v>-0.1048357</v>
      </c>
      <c r="P3616">
        <v>-0.98039160000000003</v>
      </c>
      <c r="Q3616">
        <v>0.1959573</v>
      </c>
      <c r="R3616">
        <v>2.0813149999999999E-2</v>
      </c>
      <c r="S3616">
        <v>-3.0720209999999999</v>
      </c>
      <c r="T3616">
        <v>-9.6124890000000004E-2</v>
      </c>
      <c r="U3616">
        <v>0.32756039999999997</v>
      </c>
      <c r="V3616">
        <v>0.12379759999999999</v>
      </c>
      <c r="W3616">
        <v>0.2014474</v>
      </c>
      <c r="X3616">
        <v>0.97164450000000002</v>
      </c>
      <c r="Y3616">
        <v>0.209534</v>
      </c>
      <c r="Z3616">
        <v>6.5418530000000003E-3</v>
      </c>
      <c r="AA3616">
        <v>0.97777950000000002</v>
      </c>
      <c r="AB3616">
        <v>29</v>
      </c>
      <c r="AC3616">
        <v>-35.511799999999901</v>
      </c>
      <c r="AD3616">
        <v>-1.1196491578779999</v>
      </c>
      <c r="AE3616">
        <v>3.8433999999999999</v>
      </c>
      <c r="AF3616">
        <v>7.5377820056586398</v>
      </c>
      <c r="AG3616">
        <v>-1.1196491578779999</v>
      </c>
      <c r="AH3616">
        <v>34.878904329071602</v>
      </c>
      <c r="AI3616">
        <v>91.797161845470498</v>
      </c>
      <c r="AJ3616">
        <v>77.8051852768007</v>
      </c>
      <c r="AK3616">
        <v>35.7016769773928</v>
      </c>
      <c r="AL3616">
        <v>78.378387802725996</v>
      </c>
      <c r="AM3616">
        <v>82.739044027576298</v>
      </c>
      <c r="AN3616">
        <v>0.99999996755638398</v>
      </c>
    </row>
    <row r="3617" spans="1:40" x14ac:dyDescent="0.25">
      <c r="A3617" t="str">
        <f>"20190303171048832"</f>
        <v>20190303171048832</v>
      </c>
      <c r="B3617" t="str">
        <f>"1551604248824248"</f>
        <v>1551604248824248</v>
      </c>
      <c r="C3617" t="s">
        <v>40</v>
      </c>
      <c r="D3617">
        <v>5.140263</v>
      </c>
      <c r="E3617">
        <v>0.50102349999999996</v>
      </c>
      <c r="F3617" t="s">
        <v>42</v>
      </c>
      <c r="G3617">
        <v>-261.34160000000003</v>
      </c>
      <c r="H3617" s="1">
        <v>-4.8192770000000002E-6</v>
      </c>
      <c r="I3617">
        <v>145.2525</v>
      </c>
      <c r="J3617">
        <v>-228.29249999999999</v>
      </c>
      <c r="K3617">
        <v>1.119631</v>
      </c>
      <c r="L3617">
        <v>141.7902</v>
      </c>
      <c r="M3617">
        <v>-0.99456040000000001</v>
      </c>
      <c r="N3617">
        <v>-5.8197300000000004E-3</v>
      </c>
      <c r="O3617">
        <v>-0.10399890000000001</v>
      </c>
      <c r="P3617">
        <v>-0.98037229999999997</v>
      </c>
      <c r="Q3617">
        <v>0.19605130000000001</v>
      </c>
      <c r="R3617">
        <v>2.08308E-2</v>
      </c>
      <c r="S3617">
        <v>-3.0739290000000001</v>
      </c>
      <c r="T3617">
        <v>-0.1031903</v>
      </c>
      <c r="U3617">
        <v>0.31622309999999998</v>
      </c>
      <c r="V3617">
        <v>0.1229971</v>
      </c>
      <c r="W3617">
        <v>0.2015151</v>
      </c>
      <c r="X3617">
        <v>0.97173209999999999</v>
      </c>
      <c r="Y3617">
        <v>0.2050582</v>
      </c>
      <c r="Z3617">
        <v>6.90772E-3</v>
      </c>
      <c r="AA3617">
        <v>0.97872539999999997</v>
      </c>
      <c r="AB3617">
        <v>29</v>
      </c>
      <c r="AC3617">
        <v>-33.049100000000003</v>
      </c>
      <c r="AD3617">
        <v>-1.119635819277</v>
      </c>
      <c r="AE3617">
        <v>3.4622999999999902</v>
      </c>
      <c r="AF3617">
        <v>6.87285049404412</v>
      </c>
      <c r="AG3617">
        <v>-1.119635819277</v>
      </c>
      <c r="AH3617">
        <v>32.472935691359702</v>
      </c>
      <c r="AI3617">
        <v>91.931957903665904</v>
      </c>
      <c r="AJ3617">
        <v>78.049784257430005</v>
      </c>
      <c r="AK3617">
        <v>33.211160935692597</v>
      </c>
      <c r="AL3617">
        <v>78.374427436575701</v>
      </c>
      <c r="AM3617">
        <v>82.786142059493699</v>
      </c>
      <c r="AN3617">
        <v>0.99999994815341298</v>
      </c>
    </row>
    <row r="3618" spans="1:40" x14ac:dyDescent="0.25">
      <c r="A3618" t="str">
        <f>"20190303171048855"</f>
        <v>20190303171048855</v>
      </c>
      <c r="B3618" t="str">
        <f>"1551604248844273"</f>
        <v>1551604248844273</v>
      </c>
      <c r="C3618" t="s">
        <v>40</v>
      </c>
      <c r="D3618">
        <v>5.030729</v>
      </c>
      <c r="E3618">
        <v>0.49270619999999998</v>
      </c>
      <c r="F3618" t="s">
        <v>84</v>
      </c>
      <c r="G3618">
        <v>-285.57380000000001</v>
      </c>
      <c r="H3618" s="1">
        <v>-7.0606209999999997E-6</v>
      </c>
      <c r="I3618">
        <v>142.27709999999999</v>
      </c>
      <c r="J3618">
        <v>-228.59469999999999</v>
      </c>
      <c r="K3618">
        <v>1.119626</v>
      </c>
      <c r="L3618">
        <v>141.7595</v>
      </c>
      <c r="M3618">
        <v>-0.99464719999999995</v>
      </c>
      <c r="N3618">
        <v>-5.7964519999999997E-3</v>
      </c>
      <c r="O3618">
        <v>-0.10316839999999999</v>
      </c>
      <c r="P3618">
        <v>-0.98025759999999995</v>
      </c>
      <c r="Q3618">
        <v>0.19659599999999999</v>
      </c>
      <c r="R3618">
        <v>2.110749E-2</v>
      </c>
      <c r="S3618">
        <v>-3.0715330000000001</v>
      </c>
      <c r="T3618">
        <v>-6.0037140000000003E-2</v>
      </c>
      <c r="U3618">
        <v>2.6107789999999999E-2</v>
      </c>
      <c r="V3618">
        <v>0.1224514</v>
      </c>
      <c r="W3618">
        <v>0.2020364</v>
      </c>
      <c r="X3618">
        <v>0.97169289999999997</v>
      </c>
      <c r="Y3618">
        <v>0.1115834</v>
      </c>
      <c r="Z3618">
        <v>2.8289970000000002E-3</v>
      </c>
      <c r="AA3618">
        <v>0.99375100000000005</v>
      </c>
      <c r="AB3618">
        <v>30</v>
      </c>
      <c r="AC3618">
        <v>-56.979100000000003</v>
      </c>
      <c r="AD3618">
        <v>-1.1196330606209901</v>
      </c>
      <c r="AE3618">
        <v>0.51759999999998696</v>
      </c>
      <c r="AF3618">
        <v>6.3909107508459497</v>
      </c>
      <c r="AG3618">
        <v>-1.1196330606209901</v>
      </c>
      <c r="AH3618">
        <v>56.599790646123097</v>
      </c>
      <c r="AI3618">
        <v>91.126098967352505</v>
      </c>
      <c r="AJ3618">
        <v>83.557788366604697</v>
      </c>
      <c r="AK3618">
        <v>56.970462694282801</v>
      </c>
      <c r="AL3618">
        <v>78.343933369867997</v>
      </c>
      <c r="AM3618">
        <v>82.817526035963198</v>
      </c>
      <c r="AN3618">
        <v>1.0000000720986599</v>
      </c>
    </row>
    <row r="3619" spans="1:40" x14ac:dyDescent="0.25">
      <c r="A3619" t="str">
        <f>"20190303171048879"</f>
        <v>20190303171048879</v>
      </c>
      <c r="B3619" t="str">
        <f>"1551604248864769"</f>
        <v>1551604248864769</v>
      </c>
      <c r="C3619" t="s">
        <v>40</v>
      </c>
      <c r="D3619">
        <v>4.9772429999999996</v>
      </c>
      <c r="E3619">
        <v>0.49045240000000001</v>
      </c>
      <c r="F3619" t="s">
        <v>42</v>
      </c>
      <c r="G3619">
        <v>-278.2801</v>
      </c>
      <c r="H3619" s="1">
        <v>-1.118615E-6</v>
      </c>
      <c r="I3619">
        <v>141.11369999999999</v>
      </c>
      <c r="J3619">
        <v>-228.91069999999999</v>
      </c>
      <c r="K3619">
        <v>1.119613</v>
      </c>
      <c r="L3619">
        <v>141.7276</v>
      </c>
      <c r="M3619">
        <v>-0.99473690000000003</v>
      </c>
      <c r="N3619">
        <v>-5.775929E-3</v>
      </c>
      <c r="O3619">
        <v>-0.1022998</v>
      </c>
      <c r="P3619">
        <v>-0.98011420000000005</v>
      </c>
      <c r="Q3619">
        <v>0.19722519999999999</v>
      </c>
      <c r="R3619">
        <v>2.1879010000000001E-2</v>
      </c>
      <c r="S3619">
        <v>-3.0751650000000001</v>
      </c>
      <c r="T3619">
        <v>-6.9296839999999998E-2</v>
      </c>
      <c r="U3619">
        <v>-3.9962770000000002E-2</v>
      </c>
      <c r="V3619">
        <v>0.12235799999999999</v>
      </c>
      <c r="W3619">
        <v>0.2026434</v>
      </c>
      <c r="X3619">
        <v>0.97157819999999995</v>
      </c>
      <c r="Y3619">
        <v>8.932408E-2</v>
      </c>
      <c r="Z3619">
        <v>2.9740589999999998E-3</v>
      </c>
      <c r="AA3619">
        <v>0.99599819999999994</v>
      </c>
      <c r="AB3619">
        <v>30</v>
      </c>
      <c r="AC3619">
        <v>-49.369399999999999</v>
      </c>
      <c r="AD3619">
        <v>-1.1196141186149999</v>
      </c>
      <c r="AE3619">
        <v>-0.613900000000001</v>
      </c>
      <c r="AF3619">
        <v>4.4376026485547104</v>
      </c>
      <c r="AG3619">
        <v>-1.1196141186149999</v>
      </c>
      <c r="AH3619">
        <v>49.147910161376402</v>
      </c>
      <c r="AI3619">
        <v>91.299715631379499</v>
      </c>
      <c r="AJ3619">
        <v>84.840709843022495</v>
      </c>
      <c r="AK3619">
        <v>49.360540174027498</v>
      </c>
      <c r="AL3619">
        <v>78.308419559491</v>
      </c>
      <c r="AM3619">
        <v>82.822108877314804</v>
      </c>
      <c r="AN3619">
        <v>1.00000001322139</v>
      </c>
    </row>
    <row r="3620" spans="1:40" x14ac:dyDescent="0.25">
      <c r="A3620" t="str">
        <f>"20190303171048901"</f>
        <v>20190303171048901</v>
      </c>
      <c r="B3620" t="str">
        <f>"1551604248894049"</f>
        <v>1551604248894049</v>
      </c>
      <c r="C3620" t="s">
        <v>40</v>
      </c>
      <c r="D3620">
        <v>5.0821160000000001</v>
      </c>
      <c r="E3620">
        <v>0.48787819999999998</v>
      </c>
      <c r="F3620" t="s">
        <v>84</v>
      </c>
      <c r="G3620">
        <v>-281.28550000000001</v>
      </c>
      <c r="H3620" s="1">
        <v>-4.5633760000000004E-6</v>
      </c>
      <c r="I3620">
        <v>140.7775</v>
      </c>
      <c r="J3620">
        <v>-229.2106</v>
      </c>
      <c r="K3620">
        <v>1.1196010000000001</v>
      </c>
      <c r="L3620">
        <v>141.69759999999999</v>
      </c>
      <c r="M3620">
        <v>-0.99482130000000002</v>
      </c>
      <c r="N3620">
        <v>-5.7597259999999997E-3</v>
      </c>
      <c r="O3620">
        <v>-0.1014761</v>
      </c>
      <c r="P3620">
        <v>-0.98021159999999996</v>
      </c>
      <c r="Q3620">
        <v>0.19663050000000001</v>
      </c>
      <c r="R3620">
        <v>2.28469E-2</v>
      </c>
      <c r="S3620">
        <v>-3.075348</v>
      </c>
      <c r="T3620">
        <v>-6.574178E-2</v>
      </c>
      <c r="U3620">
        <v>-5.5786130000000003E-2</v>
      </c>
      <c r="V3620">
        <v>0.12252680000000001</v>
      </c>
      <c r="W3620">
        <v>0.20203209999999999</v>
      </c>
      <c r="X3620">
        <v>0.9716842</v>
      </c>
      <c r="Y3620">
        <v>8.3381510000000006E-2</v>
      </c>
      <c r="Z3620">
        <v>2.7114859999999999E-3</v>
      </c>
      <c r="AA3620">
        <v>0.99651400000000001</v>
      </c>
      <c r="AB3620">
        <v>30</v>
      </c>
      <c r="AC3620">
        <v>-52.0749</v>
      </c>
      <c r="AD3620">
        <v>-1.119605563376</v>
      </c>
      <c r="AE3620">
        <v>-0.92009999999999004</v>
      </c>
      <c r="AF3620">
        <v>4.3670771363016403</v>
      </c>
      <c r="AG3620">
        <v>-1.119605563376</v>
      </c>
      <c r="AH3620">
        <v>51.875477200284401</v>
      </c>
      <c r="AI3620">
        <v>91.232040979324296</v>
      </c>
      <c r="AJ3620">
        <v>85.187967067174498</v>
      </c>
      <c r="AK3620">
        <v>52.0710093438679</v>
      </c>
      <c r="AL3620">
        <v>78.344183903805998</v>
      </c>
      <c r="AM3620">
        <v>82.813085950552605</v>
      </c>
      <c r="AN3620">
        <v>0.99999998533914403</v>
      </c>
    </row>
    <row r="3621" spans="1:40" x14ac:dyDescent="0.25">
      <c r="A3621" t="str">
        <f>"20190303171048922"</f>
        <v>20190303171048922</v>
      </c>
      <c r="B3621" t="str">
        <f>"1551604248914545"</f>
        <v>1551604248914545</v>
      </c>
      <c r="C3621" t="s">
        <v>40</v>
      </c>
      <c r="D3621">
        <v>4.6747230000000002</v>
      </c>
      <c r="E3621">
        <v>0.48739329999999997</v>
      </c>
      <c r="F3621" t="s">
        <v>84</v>
      </c>
      <c r="G3621">
        <v>-281.68490000000003</v>
      </c>
      <c r="H3621" s="1">
        <v>-4.6343879999999997E-6</v>
      </c>
      <c r="I3621">
        <v>140.44970000000001</v>
      </c>
      <c r="J3621">
        <v>-229.49029999999999</v>
      </c>
      <c r="K3621">
        <v>1.1195870000000001</v>
      </c>
      <c r="L3621">
        <v>141.66980000000001</v>
      </c>
      <c r="M3621">
        <v>-0.99489950000000005</v>
      </c>
      <c r="N3621">
        <v>-5.7470119999999897E-3</v>
      </c>
      <c r="O3621">
        <v>-0.10070850000000001</v>
      </c>
      <c r="P3621">
        <v>-0.98040159999999998</v>
      </c>
      <c r="Q3621">
        <v>0.19564690000000001</v>
      </c>
      <c r="R3621">
        <v>2.313929E-2</v>
      </c>
      <c r="S3621">
        <v>-3.0754090000000001</v>
      </c>
      <c r="T3621">
        <v>-6.5617800000000004E-2</v>
      </c>
      <c r="U3621">
        <v>-7.313538E-2</v>
      </c>
      <c r="V3621">
        <v>0.1220866</v>
      </c>
      <c r="W3621">
        <v>0.20103689999999999</v>
      </c>
      <c r="X3621">
        <v>0.97194599999999998</v>
      </c>
      <c r="Y3621">
        <v>7.699425E-2</v>
      </c>
      <c r="Z3621">
        <v>2.607743E-3</v>
      </c>
      <c r="AA3621">
        <v>0.99702809999999997</v>
      </c>
      <c r="AB3621">
        <v>30</v>
      </c>
      <c r="AC3621">
        <v>-52.194600000000001</v>
      </c>
      <c r="AD3621">
        <v>-1.1195916343879999</v>
      </c>
      <c r="AE3621">
        <v>-1.2201</v>
      </c>
      <c r="AF3621">
        <v>4.0407710478343004</v>
      </c>
      <c r="AG3621">
        <v>-1.1195916343879999</v>
      </c>
      <c r="AH3621">
        <v>52.028183130857499</v>
      </c>
      <c r="AI3621">
        <v>91.229054466978596</v>
      </c>
      <c r="AJ3621">
        <v>85.559035628716003</v>
      </c>
      <c r="AK3621">
        <v>52.196869216331798</v>
      </c>
      <c r="AL3621">
        <v>78.402399334102199</v>
      </c>
      <c r="AM3621">
        <v>82.840546645782297</v>
      </c>
      <c r="AN3621">
        <v>0.99999999998858402</v>
      </c>
    </row>
    <row r="3622" spans="1:40" x14ac:dyDescent="0.25">
      <c r="A3622" t="str">
        <f>"20190303171048955"</f>
        <v>20190303171048955</v>
      </c>
      <c r="B3622" t="str">
        <f>"1551604248944330"</f>
        <v>1551604248944330</v>
      </c>
      <c r="C3622" t="s">
        <v>40</v>
      </c>
      <c r="D3622">
        <v>4.9633760000000002</v>
      </c>
      <c r="E3622">
        <v>0.48661179999999898</v>
      </c>
      <c r="F3622" t="s">
        <v>42</v>
      </c>
      <c r="G3622">
        <v>-279.71469999999999</v>
      </c>
      <c r="H3622" s="1">
        <v>-3.2247639999999998E-7</v>
      </c>
      <c r="I3622">
        <v>140.43450000000001</v>
      </c>
      <c r="J3622">
        <v>-229.9342</v>
      </c>
      <c r="K3622">
        <v>1.1195710000000001</v>
      </c>
      <c r="L3622">
        <v>141.62610000000001</v>
      </c>
      <c r="M3622">
        <v>-0.99502210000000002</v>
      </c>
      <c r="N3622">
        <v>-5.7307840000000001E-3</v>
      </c>
      <c r="O3622">
        <v>-9.9490620000000002E-2</v>
      </c>
      <c r="P3622">
        <v>-0.98038210000000003</v>
      </c>
      <c r="Q3622">
        <v>0.19566310000000001</v>
      </c>
      <c r="R3622">
        <v>2.3810729999999999E-2</v>
      </c>
      <c r="S3622">
        <v>-3.0754389999999998</v>
      </c>
      <c r="T3622">
        <v>-6.8556899999999907E-2</v>
      </c>
      <c r="U3622">
        <v>-7.5637819999999995E-2</v>
      </c>
      <c r="V3622">
        <v>0.1215648</v>
      </c>
      <c r="W3622">
        <v>0.2010363</v>
      </c>
      <c r="X3622">
        <v>0.97201150000000003</v>
      </c>
      <c r="Y3622">
        <v>7.4960520000000003E-2</v>
      </c>
      <c r="Z3622">
        <v>2.6929950000000001E-3</v>
      </c>
      <c r="AA3622">
        <v>0.99718280000000004</v>
      </c>
      <c r="AB3622">
        <v>30</v>
      </c>
      <c r="AC3622">
        <v>-49.780499999999897</v>
      </c>
      <c r="AD3622">
        <v>-1.1195713224763999</v>
      </c>
      <c r="AE3622">
        <v>-1.19159999999999</v>
      </c>
      <c r="AF3622">
        <v>3.7651825823972498</v>
      </c>
      <c r="AG3622">
        <v>-1.1195713224763999</v>
      </c>
      <c r="AH3622">
        <v>49.626973619859797</v>
      </c>
      <c r="AI3622">
        <v>91.2886560180619</v>
      </c>
      <c r="AJ3622">
        <v>85.661299653254503</v>
      </c>
      <c r="AK3622">
        <v>49.7821910977325</v>
      </c>
      <c r="AL3622">
        <v>78.402434138042395</v>
      </c>
      <c r="AM3622">
        <v>82.871306202035598</v>
      </c>
      <c r="AN3622">
        <v>0.99999997532448903</v>
      </c>
    </row>
    <row r="3623" spans="1:40" x14ac:dyDescent="0.25">
      <c r="A3623" t="str">
        <f>"20190303171048978"</f>
        <v>20190303171048978</v>
      </c>
      <c r="B3623" t="str">
        <f>"1551604248964826"</f>
        <v>1551604248964826</v>
      </c>
      <c r="C3623" t="s">
        <v>40</v>
      </c>
      <c r="D3623">
        <v>4.9641679999999999</v>
      </c>
      <c r="E3623">
        <v>0.48630430000000002</v>
      </c>
      <c r="F3623" t="s">
        <v>42</v>
      </c>
      <c r="G3623">
        <v>-279.6028</v>
      </c>
      <c r="H3623" s="1">
        <v>-3.4775340000000003E-7</v>
      </c>
      <c r="I3623">
        <v>140.3492</v>
      </c>
      <c r="J3623">
        <v>-230.2373</v>
      </c>
      <c r="K3623">
        <v>1.119561</v>
      </c>
      <c r="L3623">
        <v>141.5967</v>
      </c>
      <c r="M3623">
        <v>-0.99510480000000001</v>
      </c>
      <c r="N3623">
        <v>-5.7220459999999997E-3</v>
      </c>
      <c r="O3623">
        <v>-9.866018E-2</v>
      </c>
      <c r="P3623">
        <v>-0.98028329999999997</v>
      </c>
      <c r="Q3623">
        <v>0.19606680000000001</v>
      </c>
      <c r="R3623">
        <v>2.455127E-2</v>
      </c>
      <c r="S3623">
        <v>-3.07579</v>
      </c>
      <c r="T3623">
        <v>-6.9330929999999999E-2</v>
      </c>
      <c r="U3623">
        <v>-7.9071039999999995E-2</v>
      </c>
      <c r="V3623">
        <v>0.1214828</v>
      </c>
      <c r="W3623">
        <v>0.2014301</v>
      </c>
      <c r="X3623">
        <v>0.97194020000000003</v>
      </c>
      <c r="Y3623">
        <v>7.3018440000000004E-2</v>
      </c>
      <c r="Z3623">
        <v>2.6862320000000002E-3</v>
      </c>
      <c r="AA3623">
        <v>0.99732699999999996</v>
      </c>
      <c r="AB3623">
        <v>30</v>
      </c>
      <c r="AC3623">
        <v>-49.365499999999997</v>
      </c>
      <c r="AD3623">
        <v>-1.1195613477533899</v>
      </c>
      <c r="AE3623">
        <v>-1.2475000000000001</v>
      </c>
      <c r="AF3623">
        <v>3.6272106208460002</v>
      </c>
      <c r="AG3623">
        <v>-1.1195613477533899</v>
      </c>
      <c r="AH3623">
        <v>49.2224266556671</v>
      </c>
      <c r="AI3623">
        <v>91.299442493824301</v>
      </c>
      <c r="AJ3623">
        <v>85.785479978266594</v>
      </c>
      <c r="AK3623">
        <v>49.368586777138802</v>
      </c>
      <c r="AL3623">
        <v>78.379399605611198</v>
      </c>
      <c r="AM3623">
        <v>82.875548119777704</v>
      </c>
      <c r="AN3623">
        <v>0.99999995412894405</v>
      </c>
    </row>
    <row r="3624" spans="1:40" x14ac:dyDescent="0.25">
      <c r="A3624" t="str">
        <f>"20190303171048998"</f>
        <v>20190303171048998</v>
      </c>
      <c r="B3624" t="str">
        <f>"1551604248984347"</f>
        <v>1551604248984347</v>
      </c>
      <c r="C3624" t="s">
        <v>40</v>
      </c>
      <c r="D3624">
        <v>4.9652710000000004</v>
      </c>
      <c r="E3624">
        <v>0.48604330000000001</v>
      </c>
      <c r="F3624" t="s">
        <v>84</v>
      </c>
      <c r="G3624">
        <v>-282.20890000000003</v>
      </c>
      <c r="H3624" s="1">
        <v>-4.7998140000000002E-6</v>
      </c>
      <c r="I3624">
        <v>140.24270000000001</v>
      </c>
      <c r="J3624">
        <v>-230.52549999999999</v>
      </c>
      <c r="K3624">
        <v>1.119548</v>
      </c>
      <c r="L3624">
        <v>141.56880000000001</v>
      </c>
      <c r="M3624">
        <v>-0.99518280000000003</v>
      </c>
      <c r="N3624">
        <v>-5.7154060000000001E-3</v>
      </c>
      <c r="O3624">
        <v>-9.7871100000000003E-2</v>
      </c>
      <c r="P3624">
        <v>-0.98032370000000002</v>
      </c>
      <c r="Q3624">
        <v>0.1957168</v>
      </c>
      <c r="R3624">
        <v>2.5699650000000001E-2</v>
      </c>
      <c r="S3624">
        <v>-3.0755919999999999</v>
      </c>
      <c r="T3624">
        <v>-6.6254019999999997E-2</v>
      </c>
      <c r="U3624">
        <v>-8.0123899999999998E-2</v>
      </c>
      <c r="V3624">
        <v>0.1218596</v>
      </c>
      <c r="W3624">
        <v>0.2010719</v>
      </c>
      <c r="X3624">
        <v>0.97196729999999998</v>
      </c>
      <c r="Y3624">
        <v>7.1888579999999994E-2</v>
      </c>
      <c r="Z3624">
        <v>2.524021E-3</v>
      </c>
      <c r="AA3624">
        <v>0.99740949999999995</v>
      </c>
      <c r="AB3624">
        <v>30</v>
      </c>
      <c r="AC3624">
        <v>-51.683399999999999</v>
      </c>
      <c r="AD3624">
        <v>-1.119552799814</v>
      </c>
      <c r="AE3624">
        <v>-1.3260999999999901</v>
      </c>
      <c r="AF3624">
        <v>3.7369076241050498</v>
      </c>
      <c r="AG3624">
        <v>-1.119552799814</v>
      </c>
      <c r="AH3624">
        <v>51.540885356915297</v>
      </c>
      <c r="AI3624">
        <v>91.241106060731198</v>
      </c>
      <c r="AJ3624">
        <v>85.853097264297702</v>
      </c>
      <c r="AK3624">
        <v>51.688303710195001</v>
      </c>
      <c r="AL3624">
        <v>78.400352786950194</v>
      </c>
      <c r="AM3624">
        <v>82.853875706258293</v>
      </c>
      <c r="AN3624">
        <v>1.0000000516755201</v>
      </c>
    </row>
    <row r="3625" spans="1:40" x14ac:dyDescent="0.25">
      <c r="A3625" t="str">
        <f>"20190303171049021"</f>
        <v>20190303171049021</v>
      </c>
      <c r="B3625" t="str">
        <f>"1551604249014603"</f>
        <v>1551604249014603</v>
      </c>
      <c r="C3625" t="s">
        <v>40</v>
      </c>
      <c r="D3625">
        <v>4.960432</v>
      </c>
      <c r="E3625">
        <v>0.48564800000000002</v>
      </c>
      <c r="F3625" t="s">
        <v>84</v>
      </c>
      <c r="G3625">
        <v>-282.00170000000003</v>
      </c>
      <c r="H3625" s="1">
        <v>-4.7079719999999997E-6</v>
      </c>
      <c r="I3625">
        <v>140.24289999999999</v>
      </c>
      <c r="J3625">
        <v>-230.84200000000001</v>
      </c>
      <c r="K3625">
        <v>1.1195299999999999</v>
      </c>
      <c r="L3625">
        <v>141.5386</v>
      </c>
      <c r="M3625">
        <v>-0.99526769999999998</v>
      </c>
      <c r="N3625">
        <v>-5.7083739999999996E-3</v>
      </c>
      <c r="O3625">
        <v>-9.700454E-2</v>
      </c>
      <c r="P3625">
        <v>-0.98049929999999996</v>
      </c>
      <c r="Q3625">
        <v>0.1947653</v>
      </c>
      <c r="R3625">
        <v>2.6224460000000002E-2</v>
      </c>
      <c r="S3625">
        <v>-3.0756679999999998</v>
      </c>
      <c r="T3625">
        <v>-6.689262E-2</v>
      </c>
      <c r="U3625">
        <v>-7.9223630000000003E-2</v>
      </c>
      <c r="V3625">
        <v>0.12155249999999999</v>
      </c>
      <c r="W3625">
        <v>0.20011370000000001</v>
      </c>
      <c r="X3625">
        <v>0.97220340000000005</v>
      </c>
      <c r="Y3625">
        <v>7.131208E-2</v>
      </c>
      <c r="Z3625">
        <v>2.5304339999999998E-3</v>
      </c>
      <c r="AA3625">
        <v>0.99745079999999997</v>
      </c>
      <c r="AB3625">
        <v>30</v>
      </c>
      <c r="AC3625">
        <v>-51.159700000000001</v>
      </c>
      <c r="AD3625">
        <v>-1.1195347079719999</v>
      </c>
      <c r="AE3625">
        <v>-1.2957000000000101</v>
      </c>
      <c r="AF3625">
        <v>3.67145714433902</v>
      </c>
      <c r="AG3625">
        <v>-1.1195347079719999</v>
      </c>
      <c r="AH3625">
        <v>51.019694505001702</v>
      </c>
      <c r="AI3625">
        <v>91.253809110524401</v>
      </c>
      <c r="AJ3625">
        <v>85.884001016645598</v>
      </c>
      <c r="AK3625">
        <v>51.163875761212402</v>
      </c>
      <c r="AL3625">
        <v>78.456391755702796</v>
      </c>
      <c r="AM3625">
        <v>82.873412568237597</v>
      </c>
      <c r="AN3625">
        <v>0.99999997707774901</v>
      </c>
    </row>
    <row r="3626" spans="1:40" x14ac:dyDescent="0.25">
      <c r="A3626" t="str">
        <f>"20190303171049044"</f>
        <v>20190303171049044</v>
      </c>
      <c r="B3626" t="str">
        <f>"1551604249034122"</f>
        <v>1551604249034122</v>
      </c>
      <c r="C3626" t="s">
        <v>40</v>
      </c>
      <c r="D3626">
        <v>5.0201379999999904</v>
      </c>
      <c r="E3626">
        <v>0.48552650000000003</v>
      </c>
      <c r="F3626" t="s">
        <v>84</v>
      </c>
      <c r="G3626">
        <v>-281.0376</v>
      </c>
      <c r="H3626" s="1">
        <v>-4.2745350000000002E-6</v>
      </c>
      <c r="I3626">
        <v>140.22470000000001</v>
      </c>
      <c r="J3626">
        <v>-231.1514</v>
      </c>
      <c r="K3626">
        <v>1.1195120000000001</v>
      </c>
      <c r="L3626">
        <v>141.5093</v>
      </c>
      <c r="M3626">
        <v>-0.99535039999999997</v>
      </c>
      <c r="N3626">
        <v>-5.6978180000000003E-3</v>
      </c>
      <c r="O3626">
        <v>-9.6152390000000004E-2</v>
      </c>
      <c r="P3626">
        <v>-0.98058820000000002</v>
      </c>
      <c r="Q3626">
        <v>0.19421040000000001</v>
      </c>
      <c r="R3626">
        <v>2.700644E-2</v>
      </c>
      <c r="S3626">
        <v>-3.0754239999999999</v>
      </c>
      <c r="T3626">
        <v>-6.8592550000000002E-2</v>
      </c>
      <c r="U3626">
        <v>-8.0505370000000007E-2</v>
      </c>
      <c r="V3626">
        <v>0.12150850000000001</v>
      </c>
      <c r="W3626">
        <v>0.19954749999999999</v>
      </c>
      <c r="X3626">
        <v>0.97232529999999995</v>
      </c>
      <c r="Y3626">
        <v>7.0039229999999994E-2</v>
      </c>
      <c r="Z3626">
        <v>2.5726350000000002E-3</v>
      </c>
      <c r="AA3626">
        <v>0.99754089999999995</v>
      </c>
      <c r="AB3626">
        <v>31</v>
      </c>
      <c r="AC3626">
        <v>-49.886200000000002</v>
      </c>
      <c r="AD3626">
        <v>-1.119516274535</v>
      </c>
      <c r="AE3626">
        <v>-1.28459999999998</v>
      </c>
      <c r="AF3626">
        <v>3.5163373383919798</v>
      </c>
      <c r="AG3626">
        <v>-1.119516274535</v>
      </c>
      <c r="AH3626">
        <v>49.753530296793201</v>
      </c>
      <c r="AI3626">
        <v>91.285802547373805</v>
      </c>
      <c r="AJ3626">
        <v>85.957335259998899</v>
      </c>
      <c r="AK3626">
        <v>49.890196651849699</v>
      </c>
      <c r="AL3626">
        <v>78.489500735725102</v>
      </c>
      <c r="AM3626">
        <v>82.876849726682394</v>
      </c>
      <c r="AN3626">
        <v>1.0000000046742901</v>
      </c>
    </row>
    <row r="3627" spans="1:40" x14ac:dyDescent="0.25">
      <c r="A3627" t="str">
        <f>"20190303171049067"</f>
        <v>20190303171049067</v>
      </c>
      <c r="B3627" t="str">
        <f>"1551604249054618"</f>
        <v>1551604249054618</v>
      </c>
      <c r="C3627" t="s">
        <v>40</v>
      </c>
      <c r="D3627">
        <v>5.0159849999999997</v>
      </c>
      <c r="E3627">
        <v>0.48539139999999997</v>
      </c>
      <c r="F3627" t="s">
        <v>84</v>
      </c>
      <c r="G3627">
        <v>-280.8091</v>
      </c>
      <c r="H3627" s="1">
        <v>-4.1793459999999999E-6</v>
      </c>
      <c r="I3627">
        <v>140.24359999999999</v>
      </c>
      <c r="J3627">
        <v>-231.4579</v>
      </c>
      <c r="K3627">
        <v>1.1194930000000001</v>
      </c>
      <c r="L3627">
        <v>141.48050000000001</v>
      </c>
      <c r="M3627">
        <v>-0.99543300000000001</v>
      </c>
      <c r="N3627">
        <v>-5.6871559999999996E-3</v>
      </c>
      <c r="O3627">
        <v>-9.5294130000000005E-2</v>
      </c>
      <c r="P3627">
        <v>-0.98043369999999996</v>
      </c>
      <c r="Q3627">
        <v>0.19481180000000001</v>
      </c>
      <c r="R3627">
        <v>2.825215E-2</v>
      </c>
      <c r="S3627">
        <v>-3.075272</v>
      </c>
      <c r="T3627">
        <v>-6.9330929999999999E-2</v>
      </c>
      <c r="U3627">
        <v>-7.8384399999999896E-2</v>
      </c>
      <c r="V3627">
        <v>0.1219017</v>
      </c>
      <c r="W3627">
        <v>0.2001329</v>
      </c>
      <c r="X3627">
        <v>0.97215569999999896</v>
      </c>
      <c r="Y3627">
        <v>6.9864709999999997E-2</v>
      </c>
      <c r="Z3627">
        <v>2.5880920000000002E-3</v>
      </c>
      <c r="AA3627">
        <v>0.99755309999999997</v>
      </c>
      <c r="AB3627">
        <v>31</v>
      </c>
      <c r="AC3627">
        <v>-49.351199999999999</v>
      </c>
      <c r="AD3627">
        <v>-1.119497179346</v>
      </c>
      <c r="AE3627">
        <v>-1.2369000000000201</v>
      </c>
      <c r="AF3627">
        <v>3.4699000248312499</v>
      </c>
      <c r="AG3627">
        <v>-1.119497179346</v>
      </c>
      <c r="AH3627">
        <v>49.2191633530865</v>
      </c>
      <c r="AI3627">
        <v>91.2997515135866</v>
      </c>
      <c r="AJ3627">
        <v>85.967378920404698</v>
      </c>
      <c r="AK3627">
        <v>49.354022341595403</v>
      </c>
      <c r="AL3627">
        <v>78.455268688469701</v>
      </c>
      <c r="AM3627">
        <v>82.852803439897301</v>
      </c>
      <c r="AN3627">
        <v>0.99999995358389304</v>
      </c>
    </row>
    <row r="3628" spans="1:40" x14ac:dyDescent="0.25">
      <c r="A3628" t="str">
        <f>"20190303171049089"</f>
        <v>20190303171049089</v>
      </c>
      <c r="B3628" t="str">
        <f>"1551604249084875"</f>
        <v>1551604249084875</v>
      </c>
      <c r="C3628" t="s">
        <v>40</v>
      </c>
      <c r="D3628">
        <v>4.8841219999999996</v>
      </c>
      <c r="E3628">
        <v>0.48520809999999998</v>
      </c>
      <c r="F3628" t="s">
        <v>84</v>
      </c>
      <c r="G3628">
        <v>-283.1336</v>
      </c>
      <c r="H3628" s="1">
        <v>-5.1972290000000001E-6</v>
      </c>
      <c r="I3628">
        <v>140.20359999999999</v>
      </c>
      <c r="J3628">
        <v>-231.7638</v>
      </c>
      <c r="K3628">
        <v>1.119472</v>
      </c>
      <c r="L3628">
        <v>141.4521</v>
      </c>
      <c r="M3628">
        <v>-0.9955174</v>
      </c>
      <c r="N3628">
        <v>-5.6780279999999999E-3</v>
      </c>
      <c r="O3628">
        <v>-9.4407930000000001E-2</v>
      </c>
      <c r="P3628">
        <v>-0.98018260000000001</v>
      </c>
      <c r="Q3628">
        <v>0.1958328</v>
      </c>
      <c r="R3628">
        <v>2.9860979999999999E-2</v>
      </c>
      <c r="S3628">
        <v>-3.0752869999999999</v>
      </c>
      <c r="T3628">
        <v>-6.6622730000000005E-2</v>
      </c>
      <c r="U3628">
        <v>-7.5988769999999997E-2</v>
      </c>
      <c r="V3628">
        <v>0.1226265</v>
      </c>
      <c r="W3628">
        <v>0.20113490000000001</v>
      </c>
      <c r="X3628">
        <v>0.97185770000000005</v>
      </c>
      <c r="Y3628">
        <v>6.9756399999999996E-2</v>
      </c>
      <c r="Z3628">
        <v>2.4586199999999999E-3</v>
      </c>
      <c r="AA3628">
        <v>0.99756100000000003</v>
      </c>
      <c r="AB3628">
        <v>31</v>
      </c>
      <c r="AC3628">
        <v>-51.369799999999998</v>
      </c>
      <c r="AD3628">
        <v>-1.1194771972290001</v>
      </c>
      <c r="AE3628">
        <v>-1.2484999999999999</v>
      </c>
      <c r="AF3628">
        <v>3.6051600388055198</v>
      </c>
      <c r="AG3628">
        <v>-1.1194771972290001</v>
      </c>
      <c r="AH3628">
        <v>51.233907232798799</v>
      </c>
      <c r="AI3628">
        <v>91.248645339290604</v>
      </c>
      <c r="AJ3628">
        <v>85.974920728157599</v>
      </c>
      <c r="AK3628">
        <v>51.372791032214202</v>
      </c>
      <c r="AL3628">
        <v>78.396666647905604</v>
      </c>
      <c r="AM3628">
        <v>82.808569810032907</v>
      </c>
      <c r="AN3628">
        <v>0.99999994777477297</v>
      </c>
    </row>
    <row r="3629" spans="1:40" x14ac:dyDescent="0.25">
      <c r="A3629" t="str">
        <f>"20190303171049113"</f>
        <v>20190303171049113</v>
      </c>
      <c r="B3629" t="str">
        <f>"1551604249104394"</f>
        <v>1551604249104394</v>
      </c>
      <c r="C3629" t="s">
        <v>40</v>
      </c>
      <c r="D3629">
        <v>5.0181930000000001</v>
      </c>
      <c r="E3629">
        <v>0.48507840000000002</v>
      </c>
      <c r="F3629" t="s">
        <v>84</v>
      </c>
      <c r="G3629">
        <v>-287.10120000000001</v>
      </c>
      <c r="H3629" s="1">
        <v>-7.321351E-6</v>
      </c>
      <c r="I3629">
        <v>140.14429999999999</v>
      </c>
      <c r="J3629">
        <v>-232.09520000000001</v>
      </c>
      <c r="K3629">
        <v>1.119435</v>
      </c>
      <c r="L3629">
        <v>141.42160000000001</v>
      </c>
      <c r="M3629">
        <v>-0.99561270000000002</v>
      </c>
      <c r="N3629">
        <v>-5.6696469999999999E-3</v>
      </c>
      <c r="O3629">
        <v>-9.3398170000000003E-2</v>
      </c>
      <c r="P3629">
        <v>-0.98012699999999997</v>
      </c>
      <c r="Q3629">
        <v>0.19601959999999999</v>
      </c>
      <c r="R3629">
        <v>3.0457540000000002E-2</v>
      </c>
      <c r="S3629">
        <v>-3.0753330000000001</v>
      </c>
      <c r="T3629">
        <v>-6.2214140000000001E-2</v>
      </c>
      <c r="U3629">
        <v>-7.2677610000000004E-2</v>
      </c>
      <c r="V3629">
        <v>0.122248</v>
      </c>
      <c r="W3629">
        <v>0.20130310000000001</v>
      </c>
      <c r="X3629">
        <v>0.97187060000000003</v>
      </c>
      <c r="Y3629">
        <v>6.9822910000000002E-2</v>
      </c>
      <c r="Z3629">
        <v>2.260331E-3</v>
      </c>
      <c r="AA3629">
        <v>0.99755689999999997</v>
      </c>
      <c r="AB3629">
        <v>31</v>
      </c>
      <c r="AC3629">
        <v>-55.006</v>
      </c>
      <c r="AD3629">
        <v>-1.1194423213510001</v>
      </c>
      <c r="AE3629">
        <v>-1.2773000000000201</v>
      </c>
      <c r="AF3629">
        <v>3.8642261477068498</v>
      </c>
      <c r="AG3629">
        <v>-1.1194423213510001</v>
      </c>
      <c r="AH3629">
        <v>54.862141233455503</v>
      </c>
      <c r="AI3629">
        <v>91.166049551474899</v>
      </c>
      <c r="AJ3629">
        <v>85.971014008544302</v>
      </c>
      <c r="AK3629">
        <v>55.009453147173502</v>
      </c>
      <c r="AL3629">
        <v>78.386828731834996</v>
      </c>
      <c r="AM3629">
        <v>82.830629781273799</v>
      </c>
      <c r="AN3629">
        <v>0.99999998735898399</v>
      </c>
    </row>
    <row r="3630" spans="1:40" x14ac:dyDescent="0.25">
      <c r="A3630" t="str">
        <f>"20190303171049136"</f>
        <v>20190303171049136</v>
      </c>
      <c r="B3630" t="str">
        <f>"1551604249124891"</f>
        <v>1551604249124891</v>
      </c>
      <c r="C3630" t="s">
        <v>40</v>
      </c>
      <c r="D3630">
        <v>4.9070739999999997</v>
      </c>
      <c r="E3630">
        <v>0.48502990000000001</v>
      </c>
      <c r="F3630" t="s">
        <v>84</v>
      </c>
      <c r="G3630">
        <v>-288.55169999999998</v>
      </c>
      <c r="H3630" s="1">
        <v>-8.2148499999999998E-6</v>
      </c>
      <c r="I3630">
        <v>140.11510000000001</v>
      </c>
      <c r="J3630">
        <v>-232.41390000000001</v>
      </c>
      <c r="K3630">
        <v>1.119383</v>
      </c>
      <c r="L3630">
        <v>141.39269999999999</v>
      </c>
      <c r="M3630">
        <v>-0.99570979999999998</v>
      </c>
      <c r="N3630">
        <v>-5.663118E-3</v>
      </c>
      <c r="O3630">
        <v>-9.2358430000000005E-2</v>
      </c>
      <c r="P3630">
        <v>-0.98007849999999996</v>
      </c>
      <c r="Q3630">
        <v>0.19636529999999999</v>
      </c>
      <c r="R3630">
        <v>2.978275E-2</v>
      </c>
      <c r="S3630">
        <v>-3.0752410000000001</v>
      </c>
      <c r="T3630">
        <v>-6.0977219999999999E-2</v>
      </c>
      <c r="U3630">
        <v>-7.1166989999999999E-2</v>
      </c>
      <c r="V3630">
        <v>0.1205823</v>
      </c>
      <c r="W3630">
        <v>0.20163049999999999</v>
      </c>
      <c r="X3630">
        <v>0.97201090000000001</v>
      </c>
      <c r="Y3630">
        <v>6.9271650000000004E-2</v>
      </c>
      <c r="Z3630">
        <v>2.187629E-3</v>
      </c>
      <c r="AA3630">
        <v>0.99759540000000002</v>
      </c>
      <c r="AB3630">
        <v>31</v>
      </c>
      <c r="AC3630">
        <v>-56.137799999999899</v>
      </c>
      <c r="AD3630">
        <v>-1.11939121485</v>
      </c>
      <c r="AE3630">
        <v>-1.2775999999999701</v>
      </c>
      <c r="AF3630">
        <v>3.9111883612522198</v>
      </c>
      <c r="AG3630">
        <v>-1.11939121485</v>
      </c>
      <c r="AH3630">
        <v>55.993596740155297</v>
      </c>
      <c r="AI3630">
        <v>91.142488103867095</v>
      </c>
      <c r="AJ3630">
        <v>86.004343327943005</v>
      </c>
      <c r="AK3630">
        <v>56.141190822676798</v>
      </c>
      <c r="AL3630">
        <v>78.367678372578894</v>
      </c>
      <c r="AM3630">
        <v>82.928331090437496</v>
      </c>
      <c r="AN3630">
        <v>1.0000000696611699</v>
      </c>
    </row>
    <row r="3631" spans="1:40" x14ac:dyDescent="0.25">
      <c r="A3631" t="str">
        <f>"20190303171049158"</f>
        <v>20190303171049158</v>
      </c>
      <c r="B3631" t="str">
        <f>"1551604249144410"</f>
        <v>1551604249144410</v>
      </c>
      <c r="C3631" t="s">
        <v>40</v>
      </c>
      <c r="D3631">
        <v>5.0197079999999996</v>
      </c>
      <c r="E3631">
        <v>0.48487000000000002</v>
      </c>
      <c r="F3631" t="s">
        <v>84</v>
      </c>
      <c r="G3631">
        <v>-289.94490000000002</v>
      </c>
      <c r="H3631" s="1">
        <v>-9.0354100000000006E-6</v>
      </c>
      <c r="I3631">
        <v>140.03020000000001</v>
      </c>
      <c r="J3631">
        <v>-232.71180000000001</v>
      </c>
      <c r="K3631">
        <v>1.1193120000000001</v>
      </c>
      <c r="L3631">
        <v>141.36600000000001</v>
      </c>
      <c r="M3631">
        <v>-0.99580749999999996</v>
      </c>
      <c r="N3631">
        <v>-5.6584560000000001E-3</v>
      </c>
      <c r="O3631">
        <v>-9.1300300000000001E-2</v>
      </c>
      <c r="P3631">
        <v>-0.97996680000000003</v>
      </c>
      <c r="Q3631">
        <v>0.19694980000000001</v>
      </c>
      <c r="R3631">
        <v>2.9599830000000001E-2</v>
      </c>
      <c r="S3631">
        <v>-3.0751949999999999</v>
      </c>
      <c r="T3631">
        <v>-5.9834600000000002E-2</v>
      </c>
      <c r="U3631">
        <v>-7.2830199999999998E-2</v>
      </c>
      <c r="V3631">
        <v>0.1193891</v>
      </c>
      <c r="W3631">
        <v>0.20219419999999999</v>
      </c>
      <c r="X3631">
        <v>0.97204100000000004</v>
      </c>
      <c r="Y3631">
        <v>6.7673419999999998E-2</v>
      </c>
      <c r="Z3631">
        <v>2.106222E-3</v>
      </c>
      <c r="AA3631">
        <v>0.99770530000000002</v>
      </c>
      <c r="AB3631">
        <v>31</v>
      </c>
      <c r="AC3631">
        <v>-57.2331</v>
      </c>
      <c r="AD3631">
        <v>-1.1193210354100001</v>
      </c>
      <c r="AE3631">
        <v>-1.3358000000000001</v>
      </c>
      <c r="AF3631">
        <v>3.8937727391432899</v>
      </c>
      <c r="AG3631">
        <v>-1.1193210354100001</v>
      </c>
      <c r="AH3631">
        <v>57.0941880409448</v>
      </c>
      <c r="AI3631">
        <v>91.120527159359398</v>
      </c>
      <c r="AJ3631">
        <v>86.098520166354703</v>
      </c>
      <c r="AK3631">
        <v>57.2377554921502</v>
      </c>
      <c r="AL3631">
        <v>78.334700463277102</v>
      </c>
      <c r="AM3631">
        <v>82.997824036127795</v>
      </c>
      <c r="AN3631">
        <v>0.99999997869672397</v>
      </c>
    </row>
    <row r="3632" spans="1:40" x14ac:dyDescent="0.25">
      <c r="A3632" t="str">
        <f>"20190303171049178"</f>
        <v>20190303171049178</v>
      </c>
      <c r="B3632" t="str">
        <f>"1551604249164907"</f>
        <v>1551604249164907</v>
      </c>
      <c r="C3632" t="s">
        <v>40</v>
      </c>
      <c r="D3632">
        <v>5.0188360000000003</v>
      </c>
      <c r="E3632">
        <v>0.4847186</v>
      </c>
      <c r="F3632" t="s">
        <v>84</v>
      </c>
      <c r="G3632">
        <v>-292.48250000000002</v>
      </c>
      <c r="H3632" s="1">
        <v>-8.7892789999999999E-6</v>
      </c>
      <c r="I3632">
        <v>139.9282</v>
      </c>
      <c r="J3632">
        <v>-233.00309999999999</v>
      </c>
      <c r="K3632">
        <v>1.119235</v>
      </c>
      <c r="L3632">
        <v>141.34039999999999</v>
      </c>
      <c r="M3632">
        <v>-0.99591019999999997</v>
      </c>
      <c r="N3632">
        <v>-5.6552669999999899E-3</v>
      </c>
      <c r="O3632">
        <v>-9.0173719999999999E-2</v>
      </c>
      <c r="P3632">
        <v>-0.97973129999999997</v>
      </c>
      <c r="Q3632">
        <v>0.1980199</v>
      </c>
      <c r="R3632">
        <v>3.0252439999999998E-2</v>
      </c>
      <c r="S3632">
        <v>-3.0751339999999998</v>
      </c>
      <c r="T3632">
        <v>-5.7587859999999998E-2</v>
      </c>
      <c r="U3632">
        <v>-7.3974609999999996E-2</v>
      </c>
      <c r="V3632">
        <v>0.1189563</v>
      </c>
      <c r="W3632">
        <v>0.20323920000000001</v>
      </c>
      <c r="X3632">
        <v>0.97187610000000002</v>
      </c>
      <c r="Y3632">
        <v>6.6175540000000005E-2</v>
      </c>
      <c r="Z3632">
        <v>1.9822500000000001E-3</v>
      </c>
      <c r="AA3632">
        <v>0.99780599999999997</v>
      </c>
      <c r="AB3632">
        <v>31</v>
      </c>
      <c r="AC3632">
        <v>-59.479399999999998</v>
      </c>
      <c r="AD3632">
        <v>-1.1192437892789999</v>
      </c>
      <c r="AE3632">
        <v>-1.4121999999999799</v>
      </c>
      <c r="AF3632">
        <v>3.95571694899576</v>
      </c>
      <c r="AG3632">
        <v>-1.1192437892789999</v>
      </c>
      <c r="AH3632">
        <v>59.343420466327302</v>
      </c>
      <c r="AI3632">
        <v>91.078104301638902</v>
      </c>
      <c r="AJ3632">
        <v>86.186416429833102</v>
      </c>
      <c r="AK3632">
        <v>59.485644956440701</v>
      </c>
      <c r="AL3632">
        <v>78.273556692988905</v>
      </c>
      <c r="AM3632">
        <v>83.021784998353795</v>
      </c>
      <c r="AN3632">
        <v>0.99999996373876898</v>
      </c>
    </row>
    <row r="3633" spans="1:40" x14ac:dyDescent="0.25">
      <c r="A3633" t="str">
        <f>"20190303171049201"</f>
        <v>20190303171049201</v>
      </c>
      <c r="B3633" t="str">
        <f>"1551604249194186"</f>
        <v>1551604249194186</v>
      </c>
      <c r="C3633" t="s">
        <v>40</v>
      </c>
      <c r="D3633">
        <v>4.8506210000000003</v>
      </c>
      <c r="E3633">
        <v>0.48431150000000001</v>
      </c>
      <c r="F3633" t="s">
        <v>84</v>
      </c>
      <c r="G3633">
        <v>-296.81439999999998</v>
      </c>
      <c r="H3633" s="1">
        <v>-8.3809559999999995E-6</v>
      </c>
      <c r="I3633">
        <v>139.8228</v>
      </c>
      <c r="J3633">
        <v>-233.3312</v>
      </c>
      <c r="K3633">
        <v>1.1191489999999999</v>
      </c>
      <c r="L3633">
        <v>141.31200000000001</v>
      </c>
      <c r="M3633">
        <v>-0.99603249999999999</v>
      </c>
      <c r="N3633">
        <v>-5.6529900000000001E-3</v>
      </c>
      <c r="O3633">
        <v>-8.8811109999999999E-2</v>
      </c>
      <c r="P3633">
        <v>-0.97960930000000002</v>
      </c>
      <c r="Q3633">
        <v>0.19840360000000001</v>
      </c>
      <c r="R3633">
        <v>3.1648160000000002E-2</v>
      </c>
      <c r="S3633">
        <v>-3.0752109999999999</v>
      </c>
      <c r="T3633">
        <v>-5.393887E-2</v>
      </c>
      <c r="U3633">
        <v>-7.313538E-2</v>
      </c>
      <c r="V3633">
        <v>0.1190464</v>
      </c>
      <c r="W3633">
        <v>0.20359630000000001</v>
      </c>
      <c r="X3633">
        <v>0.97179040000000005</v>
      </c>
      <c r="Y3633">
        <v>6.5086420000000006E-2</v>
      </c>
      <c r="Z3633">
        <v>1.8075529999999999E-3</v>
      </c>
      <c r="AA3633">
        <v>0.99787800000000004</v>
      </c>
      <c r="AB3633">
        <v>31</v>
      </c>
      <c r="AC3633">
        <v>-63.483199999999897</v>
      </c>
      <c r="AD3633">
        <v>-1.119157380956</v>
      </c>
      <c r="AE3633">
        <v>-1.4892000000000101</v>
      </c>
      <c r="AF3633">
        <v>4.1534978671871299</v>
      </c>
      <c r="AG3633">
        <v>-1.119157380956</v>
      </c>
      <c r="AH3633">
        <v>63.344920826650402</v>
      </c>
      <c r="AI3633">
        <v>91.0100093994063</v>
      </c>
      <c r="AJ3633">
        <v>86.248511788205406</v>
      </c>
      <c r="AK3633">
        <v>63.490810770620001</v>
      </c>
      <c r="AL3633">
        <v>78.252660360647894</v>
      </c>
      <c r="AM3633">
        <v>83.015941950677302</v>
      </c>
      <c r="AN3633">
        <v>1.0000000401294</v>
      </c>
    </row>
    <row r="3634" spans="1:40" x14ac:dyDescent="0.25">
      <c r="A3634" t="str">
        <f>"20190303171049223"</f>
        <v>20190303171049223</v>
      </c>
      <c r="B3634" t="str">
        <f>"1551604249214683"</f>
        <v>1551604249214683</v>
      </c>
      <c r="C3634" t="s">
        <v>40</v>
      </c>
      <c r="D3634">
        <v>5.0782239999999996</v>
      </c>
      <c r="E3634">
        <v>0.48413929999999999</v>
      </c>
      <c r="F3634" t="s">
        <v>84</v>
      </c>
      <c r="G3634">
        <v>-299.24239999999998</v>
      </c>
      <c r="H3634" s="1">
        <v>-8.1522940000000001E-6</v>
      </c>
      <c r="I3634">
        <v>139.7645</v>
      </c>
      <c r="J3634">
        <v>-233.64590000000001</v>
      </c>
      <c r="K3634">
        <v>1.1190659999999999</v>
      </c>
      <c r="L3634">
        <v>141.28530000000001</v>
      </c>
      <c r="M3634">
        <v>-0.99615589999999998</v>
      </c>
      <c r="N3634">
        <v>-5.6516960000000003E-3</v>
      </c>
      <c r="O3634">
        <v>-8.7416110000000005E-2</v>
      </c>
      <c r="P3634">
        <v>-0.97965380000000002</v>
      </c>
      <c r="Q3634">
        <v>0.19796240000000001</v>
      </c>
      <c r="R3634">
        <v>3.3005069999999997E-2</v>
      </c>
      <c r="S3634">
        <v>-3.075348</v>
      </c>
      <c r="T3634">
        <v>-5.2218680000000003E-2</v>
      </c>
      <c r="U3634">
        <v>-7.2204589999999999E-2</v>
      </c>
      <c r="V3634">
        <v>0.1190755</v>
      </c>
      <c r="W3634">
        <v>0.20313229999999999</v>
      </c>
      <c r="X3634">
        <v>0.97188390000000002</v>
      </c>
      <c r="Y3634">
        <v>6.3993389999999997E-2</v>
      </c>
      <c r="Z3634">
        <v>1.7116900000000001E-3</v>
      </c>
      <c r="AA3634">
        <v>0.99794879999999997</v>
      </c>
      <c r="AB3634">
        <v>32</v>
      </c>
      <c r="AC3634">
        <v>-65.596499999999907</v>
      </c>
      <c r="AD3634">
        <v>-1.119074152294</v>
      </c>
      <c r="AE3634">
        <v>-1.5207999999999999</v>
      </c>
      <c r="AF3634">
        <v>4.21807717252522</v>
      </c>
      <c r="AG3634">
        <v>-1.119074152294</v>
      </c>
      <c r="AH3634">
        <v>65.459284355772496</v>
      </c>
      <c r="AI3634">
        <v>90.977390977768593</v>
      </c>
      <c r="AJ3634">
        <v>86.3130616524506</v>
      </c>
      <c r="AK3634">
        <v>65.604591381713405</v>
      </c>
      <c r="AL3634">
        <v>78.279812654815103</v>
      </c>
      <c r="AM3634">
        <v>83.014917040361496</v>
      </c>
      <c r="AN3634">
        <v>1.00000001054137</v>
      </c>
    </row>
    <row r="3635" spans="1:40" x14ac:dyDescent="0.25">
      <c r="A3635" t="str">
        <f>"20190303171049246"</f>
        <v>20190303171049246</v>
      </c>
      <c r="B3635" t="str">
        <f>"1551604249234203"</f>
        <v>1551604249234203</v>
      </c>
      <c r="C3635" t="s">
        <v>40</v>
      </c>
      <c r="D3635">
        <v>4.8019720000000001</v>
      </c>
      <c r="E3635">
        <v>0.48401699999999998</v>
      </c>
      <c r="F3635" t="s">
        <v>84</v>
      </c>
      <c r="G3635">
        <v>-297.5462</v>
      </c>
      <c r="H3635" s="1">
        <v>-8.3226039999999998E-6</v>
      </c>
      <c r="I3635">
        <v>139.84530000000001</v>
      </c>
      <c r="J3635">
        <v>-233.976</v>
      </c>
      <c r="K3635">
        <v>1.118984</v>
      </c>
      <c r="L3635">
        <v>141.2578</v>
      </c>
      <c r="M3635">
        <v>-0.99629120000000004</v>
      </c>
      <c r="N3635">
        <v>-5.651489E-3</v>
      </c>
      <c r="O3635">
        <v>-8.5861160000000006E-2</v>
      </c>
      <c r="P3635">
        <v>-0.97969030000000001</v>
      </c>
      <c r="Q3635">
        <v>0.19745480000000001</v>
      </c>
      <c r="R3635">
        <v>3.4913609999999998E-2</v>
      </c>
      <c r="S3635">
        <v>-3.0755159999999999</v>
      </c>
      <c r="T3635">
        <v>-5.3860900000000003E-2</v>
      </c>
      <c r="U3635">
        <v>-6.9305420000000006E-2</v>
      </c>
      <c r="V3635">
        <v>0.11949700000000001</v>
      </c>
      <c r="W3635">
        <v>0.2026019</v>
      </c>
      <c r="X3635">
        <v>0.97194290000000005</v>
      </c>
      <c r="Y3635">
        <v>6.3376230000000006E-2</v>
      </c>
      <c r="Z3635">
        <v>1.7498450000000001E-3</v>
      </c>
      <c r="AA3635">
        <v>0.99798819999999999</v>
      </c>
      <c r="AB3635">
        <v>32</v>
      </c>
      <c r="AC3635">
        <v>-63.5702</v>
      </c>
      <c r="AD3635">
        <v>-1.1189923226039999</v>
      </c>
      <c r="AE3635">
        <v>-1.4124999999999901</v>
      </c>
      <c r="AF3635">
        <v>4.0497598286319301</v>
      </c>
      <c r="AG3635">
        <v>-1.1189923226039999</v>
      </c>
      <c r="AH3635">
        <v>63.437069642663502</v>
      </c>
      <c r="AI3635">
        <v>91.008506272538895</v>
      </c>
      <c r="AJ3635">
        <v>86.347250843875997</v>
      </c>
      <c r="AK3635">
        <v>63.576052907803202</v>
      </c>
      <c r="AL3635">
        <v>78.310847922658098</v>
      </c>
      <c r="AM3635">
        <v>82.9908582649675</v>
      </c>
      <c r="AN3635">
        <v>1.0000000318765001</v>
      </c>
    </row>
    <row r="3636" spans="1:40" x14ac:dyDescent="0.25">
      <c r="A3636" t="str">
        <f>"20190303171049268"</f>
        <v>20190303171049268</v>
      </c>
      <c r="B3636" t="str">
        <f>"1551604249254699"</f>
        <v>1551604249254699</v>
      </c>
      <c r="C3636" t="s">
        <v>40</v>
      </c>
      <c r="D3636">
        <v>4.8856539999999997</v>
      </c>
      <c r="E3636">
        <v>0.4839348</v>
      </c>
      <c r="F3636" t="s">
        <v>84</v>
      </c>
      <c r="G3636">
        <v>-296.28769999999997</v>
      </c>
      <c r="H3636" s="1">
        <v>-8.461609E-6</v>
      </c>
      <c r="I3636">
        <v>139.95320000000001</v>
      </c>
      <c r="J3636">
        <v>-234.27709999999999</v>
      </c>
      <c r="K3636">
        <v>1.1189119999999999</v>
      </c>
      <c r="L3636">
        <v>141.23330000000001</v>
      </c>
      <c r="M3636">
        <v>-0.99641849999999998</v>
      </c>
      <c r="N3636">
        <v>-5.6522389999999999E-3</v>
      </c>
      <c r="O3636">
        <v>-8.4370870000000001E-2</v>
      </c>
      <c r="P3636">
        <v>-0.97972550000000003</v>
      </c>
      <c r="Q3636">
        <v>0.19679089999999999</v>
      </c>
      <c r="R3636">
        <v>3.7569190000000002E-2</v>
      </c>
      <c r="S3636">
        <v>-3.0756070000000002</v>
      </c>
      <c r="T3636">
        <v>-5.523169E-2</v>
      </c>
      <c r="U3636">
        <v>-6.4392089999999999E-2</v>
      </c>
      <c r="V3636">
        <v>0.1207206</v>
      </c>
      <c r="W3636">
        <v>0.20191629999999999</v>
      </c>
      <c r="X3636">
        <v>0.97193430000000003</v>
      </c>
      <c r="Y3636">
        <v>6.3476759999999993E-2</v>
      </c>
      <c r="Z3636">
        <v>1.7850959999999999E-3</v>
      </c>
      <c r="AA3636">
        <v>0.99798169999999997</v>
      </c>
      <c r="AB3636">
        <v>32</v>
      </c>
      <c r="AC3636">
        <v>-62.010599999999897</v>
      </c>
      <c r="AD3636">
        <v>-1.118920461609</v>
      </c>
      <c r="AE3636">
        <v>-1.2801</v>
      </c>
      <c r="AF3636">
        <v>3.9551485220925402</v>
      </c>
      <c r="AG3636">
        <v>-1.118920461609</v>
      </c>
      <c r="AH3636">
        <v>61.877356313719801</v>
      </c>
      <c r="AI3636">
        <v>91.033850110178903</v>
      </c>
      <c r="AJ3636">
        <v>86.342677452067306</v>
      </c>
      <c r="AK3636">
        <v>62.013727570645699</v>
      </c>
      <c r="AL3636">
        <v>78.350958184069697</v>
      </c>
      <c r="AM3636">
        <v>82.919750306401795</v>
      </c>
      <c r="AN3636">
        <v>0.99999996949326897</v>
      </c>
    </row>
    <row r="3637" spans="1:40" x14ac:dyDescent="0.25">
      <c r="A3637" t="str">
        <f>"20190303171049291"</f>
        <v>20190303171049291</v>
      </c>
      <c r="B3637" t="str">
        <f>"1551604249284955"</f>
        <v>1551604249284955</v>
      </c>
      <c r="C3637" t="s">
        <v>40</v>
      </c>
      <c r="D3637">
        <v>5.019844</v>
      </c>
      <c r="E3637">
        <v>0.48363990000000001</v>
      </c>
      <c r="F3637" t="s">
        <v>84</v>
      </c>
      <c r="G3637">
        <v>-294.40390000000002</v>
      </c>
      <c r="H3637" s="1">
        <v>-8.6692029999999998E-6</v>
      </c>
      <c r="I3637">
        <v>140.1129</v>
      </c>
      <c r="J3637">
        <v>-234.61760000000001</v>
      </c>
      <c r="K3637">
        <v>1.1188290000000001</v>
      </c>
      <c r="L3637">
        <v>141.20609999999999</v>
      </c>
      <c r="M3637">
        <v>-0.99656540000000005</v>
      </c>
      <c r="N3637">
        <v>-5.653941E-3</v>
      </c>
      <c r="O3637">
        <v>-8.2616640000000005E-2</v>
      </c>
      <c r="P3637">
        <v>-0.97955890000000001</v>
      </c>
      <c r="Q3637">
        <v>0.19685240000000001</v>
      </c>
      <c r="R3637">
        <v>4.1394019999999997E-2</v>
      </c>
      <c r="S3637">
        <v>-3.07579</v>
      </c>
      <c r="T3637">
        <v>-5.7238459999999998E-2</v>
      </c>
      <c r="U3637">
        <v>-5.7312009999999997E-2</v>
      </c>
      <c r="V3637">
        <v>0.12283959999999999</v>
      </c>
      <c r="W3637">
        <v>0.20195080000000001</v>
      </c>
      <c r="X3637">
        <v>0.97166160000000001</v>
      </c>
      <c r="Y3637">
        <v>6.4015950000000002E-2</v>
      </c>
      <c r="Z3637">
        <v>1.844582E-3</v>
      </c>
      <c r="AA3637">
        <v>0.99794720000000003</v>
      </c>
      <c r="AB3637">
        <v>32</v>
      </c>
      <c r="AC3637">
        <v>-59.786299999999997</v>
      </c>
      <c r="AD3637">
        <v>-1.118837669203</v>
      </c>
      <c r="AE3637">
        <v>-1.09319999999999</v>
      </c>
      <c r="AF3637">
        <v>3.8486119462334498</v>
      </c>
      <c r="AG3637">
        <v>-1.118837669203</v>
      </c>
      <c r="AH3637">
        <v>59.651342471794599</v>
      </c>
      <c r="AI3637">
        <v>91.072301104925799</v>
      </c>
      <c r="AJ3637">
        <v>86.308481784448603</v>
      </c>
      <c r="AK3637">
        <v>59.785836703437099</v>
      </c>
      <c r="AL3637">
        <v>78.348940012935103</v>
      </c>
      <c r="AM3637">
        <v>82.794765152254897</v>
      </c>
      <c r="AN3637">
        <v>0.99999997893167902</v>
      </c>
    </row>
    <row r="3638" spans="1:40" x14ac:dyDescent="0.25">
      <c r="A3638" t="str">
        <f>"20190303171049314"</f>
        <v>20190303171049314</v>
      </c>
      <c r="B3638" t="str">
        <f>"1551604249304474"</f>
        <v>1551604249304474</v>
      </c>
      <c r="C3638" t="s">
        <v>40</v>
      </c>
      <c r="D3638">
        <v>5.0358799999999997</v>
      </c>
      <c r="E3638">
        <v>0.48343069999999999</v>
      </c>
      <c r="F3638" t="s">
        <v>84</v>
      </c>
      <c r="G3638">
        <v>-295.2645</v>
      </c>
      <c r="H3638" s="1">
        <v>-8.6273899999999906E-6</v>
      </c>
      <c r="I3638">
        <v>140.24100000000001</v>
      </c>
      <c r="J3638">
        <v>-234.94309999999999</v>
      </c>
      <c r="K3638">
        <v>1.11876</v>
      </c>
      <c r="L3638">
        <v>141.1807</v>
      </c>
      <c r="M3638">
        <v>-0.99670729999999996</v>
      </c>
      <c r="N3638">
        <v>-5.6562339999999996E-3</v>
      </c>
      <c r="O3638">
        <v>-8.0886420000000001E-2</v>
      </c>
      <c r="P3638">
        <v>-0.979603</v>
      </c>
      <c r="Q3638">
        <v>0.1959043</v>
      </c>
      <c r="R3638">
        <v>4.4716079999999998E-2</v>
      </c>
      <c r="S3638">
        <v>-3.0760649999999998</v>
      </c>
      <c r="T3638">
        <v>-5.6748510000000002E-2</v>
      </c>
      <c r="U3638">
        <v>-4.8950199999999902E-2</v>
      </c>
      <c r="V3638">
        <v>0.12449109999999999</v>
      </c>
      <c r="W3638">
        <v>0.20098170000000001</v>
      </c>
      <c r="X3638">
        <v>0.97165239999999997</v>
      </c>
      <c r="Y3638">
        <v>6.4997360000000004E-2</v>
      </c>
      <c r="Z3638">
        <v>1.815945E-3</v>
      </c>
      <c r="AA3638">
        <v>0.99788379999999999</v>
      </c>
      <c r="AB3638">
        <v>32</v>
      </c>
      <c r="AC3638">
        <v>-60.321399999999997</v>
      </c>
      <c r="AD3638">
        <v>-1.1187686273899999</v>
      </c>
      <c r="AE3638">
        <v>-0.93969999999998699</v>
      </c>
      <c r="AF3638">
        <v>3.94128381220201</v>
      </c>
      <c r="AG3638">
        <v>-1.1187686273899999</v>
      </c>
      <c r="AH3638">
        <v>60.179054663623603</v>
      </c>
      <c r="AI3638">
        <v>91.062767646685103</v>
      </c>
      <c r="AJ3638">
        <v>86.252900766667196</v>
      </c>
      <c r="AK3638">
        <v>60.318355262203198</v>
      </c>
      <c r="AL3638">
        <v>78.405628336655198</v>
      </c>
      <c r="AM3638">
        <v>82.6988654056603</v>
      </c>
      <c r="AN3638">
        <v>1.0000000320699201</v>
      </c>
    </row>
    <row r="3639" spans="1:40" x14ac:dyDescent="0.25">
      <c r="A3639" t="str">
        <f>"20190303171049336"</f>
        <v>20190303171049336</v>
      </c>
      <c r="B3639" t="str">
        <f>"1551604249323995"</f>
        <v>1551604249323995</v>
      </c>
      <c r="C3639" t="s">
        <v>40</v>
      </c>
      <c r="D3639">
        <v>5.0371410000000001</v>
      </c>
      <c r="E3639">
        <v>0.48318100000000003</v>
      </c>
      <c r="F3639" t="s">
        <v>84</v>
      </c>
      <c r="G3639">
        <v>-292.55799999999999</v>
      </c>
      <c r="H3639" s="1">
        <v>-8.9069820000000004E-6</v>
      </c>
      <c r="I3639">
        <v>140.3997</v>
      </c>
      <c r="J3639">
        <v>-235.26480000000001</v>
      </c>
      <c r="K3639">
        <v>1.118698</v>
      </c>
      <c r="L3639">
        <v>141.15629999999999</v>
      </c>
      <c r="M3639">
        <v>-0.9968475</v>
      </c>
      <c r="N3639">
        <v>-5.6590240000000003E-3</v>
      </c>
      <c r="O3639">
        <v>-7.9140619999999995E-2</v>
      </c>
      <c r="P3639">
        <v>-0.97983229999999999</v>
      </c>
      <c r="Q3639">
        <v>0.1941881</v>
      </c>
      <c r="R3639">
        <v>4.7115049999999999E-2</v>
      </c>
      <c r="S3639">
        <v>-3.0762939999999999</v>
      </c>
      <c r="T3639">
        <v>-5.9735660000000003E-2</v>
      </c>
      <c r="U3639">
        <v>-4.170227E-2</v>
      </c>
      <c r="V3639">
        <v>0.12521499999999999</v>
      </c>
      <c r="W3639">
        <v>0.19925219999999999</v>
      </c>
      <c r="X3639">
        <v>0.97191550000000004</v>
      </c>
      <c r="Y3639">
        <v>6.5598939999999994E-2</v>
      </c>
      <c r="Z3639">
        <v>1.909364E-3</v>
      </c>
      <c r="AA3639">
        <v>0.99784419999999996</v>
      </c>
      <c r="AB3639">
        <v>32</v>
      </c>
      <c r="AC3639">
        <v>-57.293199999999899</v>
      </c>
      <c r="AD3639">
        <v>-1.1187069069819999</v>
      </c>
      <c r="AE3639">
        <v>-0.75659999999999095</v>
      </c>
      <c r="AF3639">
        <v>3.7786242956970102</v>
      </c>
      <c r="AG3639">
        <v>-1.1187069069819999</v>
      </c>
      <c r="AH3639">
        <v>57.151584653722701</v>
      </c>
      <c r="AI3639">
        <v>91.118943893429105</v>
      </c>
      <c r="AJ3639">
        <v>86.217347438012993</v>
      </c>
      <c r="AK3639">
        <v>57.287285981650399</v>
      </c>
      <c r="AL3639">
        <v>78.506766712598207</v>
      </c>
      <c r="AM3639">
        <v>82.658838403329199</v>
      </c>
      <c r="AN3639">
        <v>0.99999998728504502</v>
      </c>
    </row>
    <row r="3640" spans="1:40" x14ac:dyDescent="0.25">
      <c r="A3640" t="str">
        <f>"20190303171049378"</f>
        <v>20190303171049378</v>
      </c>
      <c r="B3640" t="str">
        <f>"1551604249364012"</f>
        <v>1551604249364012</v>
      </c>
      <c r="C3640" t="s">
        <v>40</v>
      </c>
      <c r="D3640">
        <v>4.8575470000000003</v>
      </c>
      <c r="E3640">
        <v>0.48288180000000003</v>
      </c>
      <c r="F3640" t="s">
        <v>84</v>
      </c>
      <c r="G3640">
        <v>-287.63510000000002</v>
      </c>
      <c r="H3640" s="1">
        <v>-7.7794989999999996E-6</v>
      </c>
      <c r="I3640">
        <v>140.53309999999999</v>
      </c>
      <c r="J3640">
        <v>-235.88040000000001</v>
      </c>
      <c r="K3640">
        <v>1.1186130000000001</v>
      </c>
      <c r="L3640">
        <v>141.11109999999999</v>
      </c>
      <c r="M3640">
        <v>-0.99711170000000005</v>
      </c>
      <c r="N3640">
        <v>-5.6657019999999999E-3</v>
      </c>
      <c r="O3640">
        <v>-7.5738849999999996E-2</v>
      </c>
      <c r="P3640">
        <v>-0.97975310000000004</v>
      </c>
      <c r="Q3640">
        <v>0.19365270000000001</v>
      </c>
      <c r="R3640">
        <v>5.0819780000000002E-2</v>
      </c>
      <c r="S3640">
        <v>-3.0765380000000002</v>
      </c>
      <c r="T3640">
        <v>-6.5719369999999999E-2</v>
      </c>
      <c r="U3640">
        <v>-3.6605829999999999E-2</v>
      </c>
      <c r="V3640">
        <v>0.12561359999999999</v>
      </c>
      <c r="W3640">
        <v>0.19870119999999999</v>
      </c>
      <c r="X3640">
        <v>0.97197690000000003</v>
      </c>
      <c r="Y3640">
        <v>6.3843620000000004E-2</v>
      </c>
      <c r="Z3640">
        <v>2.049571E-3</v>
      </c>
      <c r="AA3640">
        <v>0.99795780000000001</v>
      </c>
      <c r="AB3640">
        <v>32</v>
      </c>
      <c r="AC3640">
        <v>-51.7547</v>
      </c>
      <c r="AD3640">
        <v>-1.118620779499</v>
      </c>
      <c r="AE3640">
        <v>-0.57800000000000296</v>
      </c>
      <c r="AF3640">
        <v>3.3420031441922098</v>
      </c>
      <c r="AG3640">
        <v>-1.118620779499</v>
      </c>
      <c r="AH3640">
        <v>51.625702886826701</v>
      </c>
      <c r="AI3640">
        <v>91.238693276769396</v>
      </c>
      <c r="AJ3640">
        <v>86.296111123935205</v>
      </c>
      <c r="AK3640">
        <v>51.745854868028097</v>
      </c>
      <c r="AL3640">
        <v>78.538981200086596</v>
      </c>
      <c r="AM3640">
        <v>82.636185326928995</v>
      </c>
      <c r="AN3640">
        <v>1.00000001876</v>
      </c>
    </row>
    <row r="3641" spans="1:40" x14ac:dyDescent="0.25">
      <c r="A3641" t="str">
        <f>"20190303171049402"</f>
        <v>20190303171049402</v>
      </c>
      <c r="B3641" t="str">
        <f>"1551604249394266"</f>
        <v>1551604249394266</v>
      </c>
      <c r="C3641" t="s">
        <v>40</v>
      </c>
      <c r="D3641">
        <v>4.9827849999999998</v>
      </c>
      <c r="E3641">
        <v>0.48263919999999999</v>
      </c>
      <c r="F3641" t="s">
        <v>84</v>
      </c>
      <c r="G3641">
        <v>-285.97359999999998</v>
      </c>
      <c r="H3641" s="1">
        <v>-6.7896709999999901E-6</v>
      </c>
      <c r="I3641">
        <v>140.67070000000001</v>
      </c>
      <c r="J3641">
        <v>-236.2201</v>
      </c>
      <c r="K3641">
        <v>1.118581</v>
      </c>
      <c r="L3641">
        <v>141.08709999999999</v>
      </c>
      <c r="M3641">
        <v>-0.99725339999999996</v>
      </c>
      <c r="N3641">
        <v>-5.6701640000000001E-3</v>
      </c>
      <c r="O3641">
        <v>-7.3849100000000001E-2</v>
      </c>
      <c r="P3641">
        <v>-0.97965860000000005</v>
      </c>
      <c r="Q3641">
        <v>0.19365370000000001</v>
      </c>
      <c r="R3641">
        <v>5.2606479999999997E-2</v>
      </c>
      <c r="S3641">
        <v>-3.076981</v>
      </c>
      <c r="T3641">
        <v>-6.8711399999999895E-2</v>
      </c>
      <c r="U3641">
        <v>-2.7053830000000001E-2</v>
      </c>
      <c r="V3641">
        <v>0.12555669999999999</v>
      </c>
      <c r="W3641">
        <v>0.19869890000000001</v>
      </c>
      <c r="X3641">
        <v>0.97198470000000003</v>
      </c>
      <c r="Y3641">
        <v>6.5048930000000005E-2</v>
      </c>
      <c r="Z3641">
        <v>2.1392429999999999E-3</v>
      </c>
      <c r="AA3641">
        <v>0.99787979999999998</v>
      </c>
      <c r="AB3641">
        <v>33</v>
      </c>
      <c r="AC3641">
        <v>-49.753499999999903</v>
      </c>
      <c r="AD3641">
        <v>-1.1185877896709999</v>
      </c>
      <c r="AE3641">
        <v>-0.41639999999998101</v>
      </c>
      <c r="AF3641">
        <v>3.2574005784312501</v>
      </c>
      <c r="AG3641">
        <v>-1.1185877896709999</v>
      </c>
      <c r="AH3641">
        <v>49.6233101612981</v>
      </c>
      <c r="AI3641">
        <v>91.288546465441996</v>
      </c>
      <c r="AJ3641">
        <v>86.244347090014998</v>
      </c>
      <c r="AK3641">
        <v>49.742685980312302</v>
      </c>
      <c r="AL3641">
        <v>78.5391154134267</v>
      </c>
      <c r="AM3641">
        <v>82.639542793931298</v>
      </c>
      <c r="AN3641">
        <v>0.99999999740509504</v>
      </c>
    </row>
    <row r="3642" spans="1:40" x14ac:dyDescent="0.25">
      <c r="A3642" t="str">
        <f>"20190303171049424"</f>
        <v>20190303171049424</v>
      </c>
      <c r="B3642" t="str">
        <f>"1551604249414763"</f>
        <v>1551604249414763</v>
      </c>
      <c r="C3642" t="s">
        <v>40</v>
      </c>
      <c r="D3642">
        <v>5.0908980000000001</v>
      </c>
      <c r="E3642">
        <v>0.48249199999999998</v>
      </c>
      <c r="F3642" t="s">
        <v>84</v>
      </c>
      <c r="G3642">
        <v>-286.55360000000002</v>
      </c>
      <c r="H3642" s="1">
        <v>-7.1530069999999999E-6</v>
      </c>
      <c r="I3642">
        <v>140.67750000000001</v>
      </c>
      <c r="J3642">
        <v>-236.54220000000001</v>
      </c>
      <c r="K3642">
        <v>1.118557</v>
      </c>
      <c r="L3642">
        <v>141.06489999999999</v>
      </c>
      <c r="M3642">
        <v>-0.99738450000000001</v>
      </c>
      <c r="N3642">
        <v>-5.6748120000000004E-3</v>
      </c>
      <c r="O3642">
        <v>-7.2055809999999998E-2</v>
      </c>
      <c r="P3642">
        <v>-0.97974709999999998</v>
      </c>
      <c r="Q3642">
        <v>0.193076</v>
      </c>
      <c r="R3642">
        <v>5.3079710000000002E-2</v>
      </c>
      <c r="S3642">
        <v>-3.0771329999999999</v>
      </c>
      <c r="T3642">
        <v>-6.8384650000000005E-2</v>
      </c>
      <c r="U3642">
        <v>-2.503967E-2</v>
      </c>
      <c r="V3642">
        <v>0.124292899999999</v>
      </c>
      <c r="W3642">
        <v>0.19812550000000001</v>
      </c>
      <c r="X3642">
        <v>0.97226420000000002</v>
      </c>
      <c r="Y3642">
        <v>6.3909019999999997E-2</v>
      </c>
      <c r="Z3642">
        <v>2.0822000000000002E-3</v>
      </c>
      <c r="AA3642">
        <v>0.99795350000000005</v>
      </c>
      <c r="AB3642">
        <v>33</v>
      </c>
      <c r="AC3642">
        <v>-50.011400000000002</v>
      </c>
      <c r="AD3642">
        <v>-1.1185641530069901</v>
      </c>
      <c r="AE3642">
        <v>-0.38739999999998498</v>
      </c>
      <c r="AF3642">
        <v>3.2156683206230401</v>
      </c>
      <c r="AG3642">
        <v>-1.1185641530069901</v>
      </c>
      <c r="AH3642">
        <v>49.884358177503501</v>
      </c>
      <c r="AI3642">
        <v>91.281876554782798</v>
      </c>
      <c r="AJ3642">
        <v>86.311676427704995</v>
      </c>
      <c r="AK3642">
        <v>50.000408991268301</v>
      </c>
      <c r="AL3642">
        <v>78.572635919127293</v>
      </c>
      <c r="AM3642">
        <v>82.714902007085001</v>
      </c>
      <c r="AN3642">
        <v>1.00000005667114</v>
      </c>
    </row>
    <row r="3643" spans="1:40" x14ac:dyDescent="0.25">
      <c r="A3643" t="str">
        <f>"20190303171049446"</f>
        <v>20190303171049446</v>
      </c>
      <c r="B3643" t="str">
        <f>"1551604249444043"</f>
        <v>1551604249444043</v>
      </c>
      <c r="C3643" t="s">
        <v>40</v>
      </c>
      <c r="D3643">
        <v>4.8756380000000004</v>
      </c>
      <c r="E3643">
        <v>0.48215930000000001</v>
      </c>
      <c r="F3643" t="s">
        <v>84</v>
      </c>
      <c r="G3643">
        <v>-285.86930000000001</v>
      </c>
      <c r="H3643" s="1">
        <v>-6.7215750000000001E-6</v>
      </c>
      <c r="I3643">
        <v>140.66079999999999</v>
      </c>
      <c r="J3643">
        <v>-236.8794</v>
      </c>
      <c r="K3643">
        <v>1.118533</v>
      </c>
      <c r="L3643">
        <v>141.04230000000001</v>
      </c>
      <c r="M3643">
        <v>-0.99751820000000002</v>
      </c>
      <c r="N3643">
        <v>-5.6800840000000002E-3</v>
      </c>
      <c r="O3643">
        <v>-7.0179900000000003E-2</v>
      </c>
      <c r="P3643">
        <v>-0.97982539999999996</v>
      </c>
      <c r="Q3643">
        <v>0.19248199999999999</v>
      </c>
      <c r="R3643">
        <v>5.3782339999999998E-2</v>
      </c>
      <c r="S3643">
        <v>-3.0771329999999999</v>
      </c>
      <c r="T3643">
        <v>-6.9778439999999997E-2</v>
      </c>
      <c r="U3643">
        <v>-2.5207520000000001E-2</v>
      </c>
      <c r="V3643">
        <v>0.1231751</v>
      </c>
      <c r="W3643">
        <v>0.19753699999999999</v>
      </c>
      <c r="X3643">
        <v>0.97252609999999995</v>
      </c>
      <c r="Y3643">
        <v>6.1977240000000003E-2</v>
      </c>
      <c r="Z3643">
        <v>2.0699030000000001E-3</v>
      </c>
      <c r="AA3643">
        <v>0.99807539999999995</v>
      </c>
      <c r="AB3643">
        <v>33</v>
      </c>
      <c r="AC3643">
        <v>-48.989899999999999</v>
      </c>
      <c r="AD3643">
        <v>-1.1185397215749999</v>
      </c>
      <c r="AE3643">
        <v>-0.38150000000001599</v>
      </c>
      <c r="AF3643">
        <v>3.0560093432305799</v>
      </c>
      <c r="AG3643">
        <v>-1.1185397215749999</v>
      </c>
      <c r="AH3643">
        <v>48.870403559945203</v>
      </c>
      <c r="AI3643">
        <v>91.308594605506599</v>
      </c>
      <c r="AJ3643">
        <v>86.421786432420106</v>
      </c>
      <c r="AK3643">
        <v>48.978634814851297</v>
      </c>
      <c r="AL3643">
        <v>78.6070336005493</v>
      </c>
      <c r="AM3643">
        <v>82.781648273578597</v>
      </c>
      <c r="AN3643">
        <v>0.99999999340511003</v>
      </c>
    </row>
    <row r="3644" spans="1:40" x14ac:dyDescent="0.25">
      <c r="A3644" t="str">
        <f>"20190303171049468"</f>
        <v>20190303171049468</v>
      </c>
      <c r="B3644" t="str">
        <f>"1551604249464539"</f>
        <v>1551604249464539</v>
      </c>
      <c r="C3644" t="s">
        <v>40</v>
      </c>
      <c r="D3644">
        <v>4.508769</v>
      </c>
      <c r="E3644">
        <v>0.47309499999999999</v>
      </c>
      <c r="F3644" t="s">
        <v>84</v>
      </c>
      <c r="G3644">
        <v>-283.9837</v>
      </c>
      <c r="H3644" s="1">
        <v>-5.7227079999999997E-6</v>
      </c>
      <c r="I3644">
        <v>140.66249999999999</v>
      </c>
      <c r="J3644">
        <v>-237.19309999999999</v>
      </c>
      <c r="K3644">
        <v>1.11852</v>
      </c>
      <c r="L3644">
        <v>141.02180000000001</v>
      </c>
      <c r="M3644">
        <v>-0.99763939999999995</v>
      </c>
      <c r="N3644">
        <v>-5.6853819999999897E-3</v>
      </c>
      <c r="O3644">
        <v>-6.8436209999999997E-2</v>
      </c>
      <c r="P3644">
        <v>-0.97967769999999998</v>
      </c>
      <c r="Q3644">
        <v>0.1930819</v>
      </c>
      <c r="R3644">
        <v>5.4325539999999999E-2</v>
      </c>
      <c r="S3644">
        <v>-3.077499</v>
      </c>
      <c r="T3644">
        <v>-7.3078270000000001E-2</v>
      </c>
      <c r="U3644">
        <v>-2.4810789999999999E-2</v>
      </c>
      <c r="V3644">
        <v>0.1220154</v>
      </c>
      <c r="W3644">
        <v>0.19814229999999999</v>
      </c>
      <c r="X3644">
        <v>0.97254910000000006</v>
      </c>
      <c r="Y3644">
        <v>6.0360039999999997E-2</v>
      </c>
      <c r="Z3644">
        <v>2.122629E-3</v>
      </c>
      <c r="AA3644">
        <v>0.99817440000000002</v>
      </c>
      <c r="AB3644">
        <v>33</v>
      </c>
      <c r="AC3644">
        <v>-46.790599999999998</v>
      </c>
      <c r="AD3644">
        <v>-1.1185257227079899</v>
      </c>
      <c r="AE3644">
        <v>-0.35930000000001799</v>
      </c>
      <c r="AF3644">
        <v>2.8421411194600701</v>
      </c>
      <c r="AG3644">
        <v>-1.1185257227079899</v>
      </c>
      <c r="AH3644">
        <v>46.678812347452002</v>
      </c>
      <c r="AI3644">
        <v>91.370132241464404</v>
      </c>
      <c r="AJ3644">
        <v>86.515723164090801</v>
      </c>
      <c r="AK3644">
        <v>46.778631746812799</v>
      </c>
      <c r="AL3644">
        <v>78.571652534438797</v>
      </c>
      <c r="AM3644">
        <v>82.849069926267504</v>
      </c>
      <c r="AN3644">
        <v>0.99999994039862805</v>
      </c>
    </row>
    <row r="3645" spans="1:40" x14ac:dyDescent="0.25">
      <c r="A3645" t="str">
        <f>"20190303171049489"</f>
        <v>20190303171049489</v>
      </c>
      <c r="B3645" t="str">
        <f>"1551604249484060"</f>
        <v>1551604249484060</v>
      </c>
      <c r="C3645" t="s">
        <v>40</v>
      </c>
      <c r="D3645">
        <v>5.1287880000000001</v>
      </c>
      <c r="E3645">
        <v>0.48794870000000001</v>
      </c>
      <c r="F3645" t="s">
        <v>43</v>
      </c>
      <c r="G3645">
        <v>-238.02029999999999</v>
      </c>
      <c r="H3645">
        <v>0.99591980000000002</v>
      </c>
      <c r="I3645">
        <v>140.99029999999999</v>
      </c>
      <c r="J3645">
        <v>-237.51509999999999</v>
      </c>
      <c r="K3645">
        <v>1.1185</v>
      </c>
      <c r="L3645">
        <v>141.00139999999999</v>
      </c>
      <c r="M3645">
        <v>-0.99776089999999995</v>
      </c>
      <c r="N3645">
        <v>-5.6912639999999997E-3</v>
      </c>
      <c r="O3645">
        <v>-6.6640179999999993E-2</v>
      </c>
      <c r="P3645">
        <v>-0.97926530000000001</v>
      </c>
      <c r="Q3645">
        <v>0.1946705</v>
      </c>
      <c r="R3645">
        <v>5.6062899999999999E-2</v>
      </c>
      <c r="S3645">
        <v>-3.1612849999999999</v>
      </c>
      <c r="T3645">
        <v>-0.4684489</v>
      </c>
      <c r="U3645">
        <v>-0.1215363</v>
      </c>
      <c r="V3645">
        <v>0.1219836</v>
      </c>
      <c r="W3645">
        <v>0.1997292</v>
      </c>
      <c r="X3645">
        <v>0.97222850000000005</v>
      </c>
      <c r="Y3645">
        <v>2.728123E-2</v>
      </c>
      <c r="Z3645">
        <v>1.1519349999999999E-2</v>
      </c>
      <c r="AA3645">
        <v>0.99956140000000004</v>
      </c>
      <c r="AB3645">
        <v>33</v>
      </c>
      <c r="AC3645">
        <v>-0.50520000000000198</v>
      </c>
      <c r="AD3645">
        <v>-0.1225802</v>
      </c>
      <c r="AE3645">
        <v>-1.1099999999999E-2</v>
      </c>
      <c r="AF3645">
        <v>2.1336316970889498E-2</v>
      </c>
      <c r="AG3645">
        <v>-0.1225802</v>
      </c>
      <c r="AH3645">
        <v>0.47676193853520599</v>
      </c>
      <c r="AI3645">
        <v>104.405183040781</v>
      </c>
      <c r="AJ3645">
        <v>87.437576978079306</v>
      </c>
      <c r="AK3645">
        <v>0.49273024048638397</v>
      </c>
      <c r="AL3645">
        <v>78.478876210711803</v>
      </c>
      <c r="AM3645">
        <v>82.848581273173295</v>
      </c>
      <c r="AN3645">
        <v>1.0000000041069199</v>
      </c>
    </row>
    <row r="3646" spans="1:40" x14ac:dyDescent="0.25">
      <c r="A3646" t="str">
        <f>"20190303171049514"</f>
        <v>20190303171049514</v>
      </c>
      <c r="B3646" t="str">
        <f>"1551604249504555"</f>
        <v>1551604249504555</v>
      </c>
      <c r="C3646" t="s">
        <v>40</v>
      </c>
      <c r="D3646">
        <v>5.0704739999999999</v>
      </c>
      <c r="E3646">
        <v>0.48458570000000001</v>
      </c>
      <c r="F3646" t="s">
        <v>62</v>
      </c>
      <c r="G3646">
        <v>0</v>
      </c>
      <c r="H3646">
        <v>0</v>
      </c>
      <c r="I3646">
        <v>0</v>
      </c>
      <c r="J3646">
        <v>-237.8749</v>
      </c>
      <c r="K3646">
        <v>1.118484</v>
      </c>
      <c r="L3646">
        <v>140.97919999999999</v>
      </c>
      <c r="M3646">
        <v>-0.99789410000000001</v>
      </c>
      <c r="N3646">
        <v>-5.6982949999999999E-3</v>
      </c>
      <c r="O3646">
        <v>-6.4613820000000002E-2</v>
      </c>
      <c r="P3646">
        <v>-0.97891410000000001</v>
      </c>
      <c r="Q3646">
        <v>0.19580710000000001</v>
      </c>
      <c r="R3646">
        <v>5.819647E-2</v>
      </c>
      <c r="S3646">
        <v>-3.0559690000000002</v>
      </c>
      <c r="T3646">
        <v>2.8055429999999999E-2</v>
      </c>
      <c r="U3646">
        <v>3.463745E-2</v>
      </c>
      <c r="V3646">
        <v>0.1221315</v>
      </c>
      <c r="W3646">
        <v>0.2008626</v>
      </c>
      <c r="X3646">
        <v>0.97197639999999996</v>
      </c>
      <c r="Y3646">
        <v>7.5912320000000005E-2</v>
      </c>
      <c r="Z3646">
        <v>-1.093372E-3</v>
      </c>
      <c r="AA3646">
        <v>0.9971139</v>
      </c>
      <c r="AB3646">
        <v>33</v>
      </c>
      <c r="AC3646">
        <v>-3.0559690000000002</v>
      </c>
      <c r="AD3646">
        <v>2.8055429999999999E-2</v>
      </c>
      <c r="AE3646">
        <v>3.463745E-2</v>
      </c>
      <c r="AF3646">
        <v>0.23200654748008701</v>
      </c>
      <c r="AG3646">
        <v>2.8055429999999999E-2</v>
      </c>
      <c r="AH3646">
        <v>3.0470879915903901</v>
      </c>
      <c r="AI3646">
        <v>89.473998335155201</v>
      </c>
      <c r="AJ3646">
        <v>85.645876684650403</v>
      </c>
      <c r="AK3646">
        <v>3.0560365465289299</v>
      </c>
      <c r="AL3646">
        <v>78.412593998795103</v>
      </c>
      <c r="AM3646">
        <v>82.838162616873404</v>
      </c>
      <c r="AN3646">
        <v>1.0000000047639801</v>
      </c>
    </row>
    <row r="3647" spans="1:40" x14ac:dyDescent="0.25">
      <c r="A3647" t="str">
        <f>"20190303171049537"</f>
        <v>20190303171049537</v>
      </c>
      <c r="B3647" t="str">
        <f>"1551604249534811"</f>
        <v>1551604249534811</v>
      </c>
      <c r="C3647" t="s">
        <v>40</v>
      </c>
      <c r="D3647">
        <v>5.1110709999999999</v>
      </c>
      <c r="E3647">
        <v>0.48186099999999998</v>
      </c>
      <c r="F3647" t="s">
        <v>84</v>
      </c>
      <c r="G3647">
        <v>-307.42230000000001</v>
      </c>
      <c r="H3647" s="1">
        <v>-9.5850890000000007E-6</v>
      </c>
      <c r="I3647">
        <v>141.17189999999999</v>
      </c>
      <c r="J3647">
        <v>-238.22149999999999</v>
      </c>
      <c r="K3647">
        <v>1.1184499999999999</v>
      </c>
      <c r="L3647">
        <v>140.95859999999999</v>
      </c>
      <c r="M3647">
        <v>-0.99802049999999998</v>
      </c>
      <c r="N3647">
        <v>-5.7055419999999897E-3</v>
      </c>
      <c r="O3647">
        <v>-6.2629299999999999E-2</v>
      </c>
      <c r="P3647">
        <v>-0.97864280000000003</v>
      </c>
      <c r="Q3647">
        <v>0.19656390000000001</v>
      </c>
      <c r="R3647">
        <v>6.0172700000000003E-2</v>
      </c>
      <c r="S3647">
        <v>-3.0740050000000001</v>
      </c>
      <c r="T3647">
        <v>-4.9437639999999998E-2</v>
      </c>
      <c r="U3647">
        <v>8.5144039999999997E-3</v>
      </c>
      <c r="V3647">
        <v>0.122172</v>
      </c>
      <c r="W3647">
        <v>0.2016146</v>
      </c>
      <c r="X3647">
        <v>0.9718156</v>
      </c>
      <c r="Y3647">
        <v>6.5379640000000003E-2</v>
      </c>
      <c r="Z3647">
        <v>1.3614359999999999E-3</v>
      </c>
      <c r="AA3647">
        <v>0.99785950000000001</v>
      </c>
      <c r="AB3647">
        <v>33</v>
      </c>
      <c r="AC3647">
        <v>-69.200800000000001</v>
      </c>
      <c r="AD3647">
        <v>-1.118459585089</v>
      </c>
      <c r="AE3647">
        <v>0.21330000000000299</v>
      </c>
      <c r="AF3647">
        <v>4.5457622056603997</v>
      </c>
      <c r="AG3647">
        <v>-1.118459585089</v>
      </c>
      <c r="AH3647">
        <v>69.033552275758197</v>
      </c>
      <c r="AI3647">
        <v>90.926201226816602</v>
      </c>
      <c r="AJ3647">
        <v>86.232592526078705</v>
      </c>
      <c r="AK3647">
        <v>69.192096699577803</v>
      </c>
      <c r="AL3647">
        <v>78.368607684122395</v>
      </c>
      <c r="AM3647">
        <v>82.8346392630813</v>
      </c>
      <c r="AN3647">
        <v>1.00000000246026</v>
      </c>
    </row>
    <row r="3648" spans="1:40" x14ac:dyDescent="0.25">
      <c r="A3648" t="str">
        <f>"20190303171049558"</f>
        <v>20190303171049558</v>
      </c>
      <c r="B3648" t="str">
        <f>"1551604249554331"</f>
        <v>1551604249554331</v>
      </c>
      <c r="C3648" t="s">
        <v>40</v>
      </c>
      <c r="D3648">
        <v>5.100714</v>
      </c>
      <c r="E3648">
        <v>0.48147960000000001</v>
      </c>
      <c r="F3648" t="s">
        <v>84</v>
      </c>
      <c r="G3648">
        <v>-313.85860000000002</v>
      </c>
      <c r="H3648" s="1">
        <v>-8.3278940000000006E-6</v>
      </c>
      <c r="I3648">
        <v>140.7901</v>
      </c>
      <c r="J3648">
        <v>-238.529</v>
      </c>
      <c r="K3648">
        <v>1.1184050000000001</v>
      </c>
      <c r="L3648">
        <v>140.9409</v>
      </c>
      <c r="M3648">
        <v>-0.99813189999999996</v>
      </c>
      <c r="N3648">
        <v>-5.7125539999999999E-3</v>
      </c>
      <c r="O3648">
        <v>-6.0829540000000001E-2</v>
      </c>
      <c r="P3648">
        <v>-0.97866850000000005</v>
      </c>
      <c r="Q3648">
        <v>0.196184</v>
      </c>
      <c r="R3648">
        <v>6.0992060000000001E-2</v>
      </c>
      <c r="S3648">
        <v>-3.075027</v>
      </c>
      <c r="T3648">
        <v>-4.5470950000000003E-2</v>
      </c>
      <c r="U3648">
        <v>-6.8511960000000004E-3</v>
      </c>
      <c r="V3648">
        <v>0.1212549</v>
      </c>
      <c r="W3648">
        <v>0.20123440000000001</v>
      </c>
      <c r="X3648">
        <v>0.97200920000000002</v>
      </c>
      <c r="Y3648">
        <v>5.8595120000000001E-2</v>
      </c>
      <c r="Z3648">
        <v>1.151947E-3</v>
      </c>
      <c r="AA3648">
        <v>0.99828119999999998</v>
      </c>
      <c r="AB3648">
        <v>33</v>
      </c>
      <c r="AC3648">
        <v>-75.329599999999999</v>
      </c>
      <c r="AD3648">
        <v>-1.1184133278939901</v>
      </c>
      <c r="AE3648">
        <v>-0.15080000000000299</v>
      </c>
      <c r="AF3648">
        <v>4.4308419006105204</v>
      </c>
      <c r="AG3648">
        <v>-1.1184133278939901</v>
      </c>
      <c r="AH3648">
        <v>75.182698455429005</v>
      </c>
      <c r="AI3648">
        <v>90.850789721069006</v>
      </c>
      <c r="AJ3648">
        <v>86.627212908580006</v>
      </c>
      <c r="AK3648">
        <v>75.321453486773507</v>
      </c>
      <c r="AL3648">
        <v>78.390846859783807</v>
      </c>
      <c r="AM3648">
        <v>82.889276165750402</v>
      </c>
      <c r="AN3648">
        <v>0.99999995970100397</v>
      </c>
    </row>
    <row r="3649" spans="1:40" x14ac:dyDescent="0.25">
      <c r="A3649" t="str">
        <f>"20190303171049580"</f>
        <v>20190303171049580</v>
      </c>
      <c r="B3649" t="str">
        <f>"1551604249574827"</f>
        <v>1551604249574827</v>
      </c>
      <c r="C3649" t="s">
        <v>40</v>
      </c>
      <c r="D3649">
        <v>5.1408269999999998</v>
      </c>
      <c r="E3649">
        <v>0.48129640000000001</v>
      </c>
      <c r="F3649" t="s">
        <v>84</v>
      </c>
      <c r="G3649">
        <v>-295.48009999999999</v>
      </c>
      <c r="H3649" s="1">
        <v>-8.7558750000000003E-6</v>
      </c>
      <c r="I3649">
        <v>140.80009999999999</v>
      </c>
      <c r="J3649">
        <v>-238.87280000000001</v>
      </c>
      <c r="K3649">
        <v>1.118357</v>
      </c>
      <c r="L3649">
        <v>140.92189999999999</v>
      </c>
      <c r="M3649">
        <v>-0.99825489999999995</v>
      </c>
      <c r="N3649">
        <v>-5.7204609999999996E-3</v>
      </c>
      <c r="O3649">
        <v>-5.8776700000000001E-2</v>
      </c>
      <c r="P3649">
        <v>-0.97868719999999998</v>
      </c>
      <c r="Q3649">
        <v>0.1955375</v>
      </c>
      <c r="R3649">
        <v>6.2743750000000001E-2</v>
      </c>
      <c r="S3649">
        <v>-3.0779570000000001</v>
      </c>
      <c r="T3649">
        <v>-6.0445310000000002E-2</v>
      </c>
      <c r="U3649">
        <v>-7.6141359999999996E-3</v>
      </c>
      <c r="V3649">
        <v>0.1210233</v>
      </c>
      <c r="W3649">
        <v>0.2005837</v>
      </c>
      <c r="X3649">
        <v>0.97217260000000005</v>
      </c>
      <c r="Y3649">
        <v>5.6288310000000001E-2</v>
      </c>
      <c r="Z3649">
        <v>1.5309340000000001E-3</v>
      </c>
      <c r="AA3649">
        <v>0.99841340000000001</v>
      </c>
      <c r="AB3649">
        <v>33</v>
      </c>
      <c r="AC3649">
        <v>-56.607299999999903</v>
      </c>
      <c r="AD3649">
        <v>-1.118365755875</v>
      </c>
      <c r="AE3649">
        <v>-0.121800000000007</v>
      </c>
      <c r="AF3649">
        <v>3.2044041188506598</v>
      </c>
      <c r="AG3649">
        <v>-1.118365755875</v>
      </c>
      <c r="AH3649">
        <v>56.494539759629099</v>
      </c>
      <c r="AI3649">
        <v>91.132259539720195</v>
      </c>
      <c r="AJ3649">
        <v>86.753627539134499</v>
      </c>
      <c r="AK3649">
        <v>56.596395383214499</v>
      </c>
      <c r="AL3649">
        <v>78.428905853831196</v>
      </c>
      <c r="AM3649">
        <v>82.903899925071002</v>
      </c>
      <c r="AN3649">
        <v>1.0000000120196699</v>
      </c>
    </row>
    <row r="3650" spans="1:40" x14ac:dyDescent="0.25">
      <c r="A3650" t="str">
        <f>"20190303171049603"</f>
        <v>20190303171049603</v>
      </c>
      <c r="B3650" t="str">
        <f>"1551604249594347"</f>
        <v>1551604249594347</v>
      </c>
      <c r="C3650" t="s">
        <v>40</v>
      </c>
      <c r="D3650">
        <v>5.0923259999999999</v>
      </c>
      <c r="E3650">
        <v>0.4810527</v>
      </c>
      <c r="F3650" t="s">
        <v>84</v>
      </c>
      <c r="G3650">
        <v>-290.68259999999998</v>
      </c>
      <c r="H3650" s="1">
        <v>-9.1998900000000008E-6</v>
      </c>
      <c r="I3650">
        <v>140.8657</v>
      </c>
      <c r="J3650">
        <v>-239.21420000000001</v>
      </c>
      <c r="K3650">
        <v>1.1183000000000001</v>
      </c>
      <c r="L3650">
        <v>140.90379999999999</v>
      </c>
      <c r="M3650">
        <v>-0.99837560000000003</v>
      </c>
      <c r="N3650">
        <v>-5.7284669999999897E-3</v>
      </c>
      <c r="O3650">
        <v>-5.6688450000000001E-2</v>
      </c>
      <c r="P3650">
        <v>-0.97853460000000003</v>
      </c>
      <c r="Q3650">
        <v>0.1956995</v>
      </c>
      <c r="R3650">
        <v>6.4592499999999997E-2</v>
      </c>
      <c r="S3650">
        <v>-3.0788419999999999</v>
      </c>
      <c r="T3650">
        <v>-6.6459770000000001E-2</v>
      </c>
      <c r="U3650">
        <v>-3.3416750000000001E-3</v>
      </c>
      <c r="V3650">
        <v>0.1208491</v>
      </c>
      <c r="W3650">
        <v>0.20073969999999999</v>
      </c>
      <c r="X3650">
        <v>0.97216210000000003</v>
      </c>
      <c r="Y3650">
        <v>5.5582220000000002E-2</v>
      </c>
      <c r="Z3650">
        <v>1.657237E-3</v>
      </c>
      <c r="AA3650">
        <v>0.99845269999999997</v>
      </c>
      <c r="AB3650">
        <v>34</v>
      </c>
      <c r="AC3650">
        <v>-51.468399999999903</v>
      </c>
      <c r="AD3650">
        <v>-1.1183091998899899</v>
      </c>
      <c r="AE3650">
        <v>-3.8099999999985798E-2</v>
      </c>
      <c r="AF3650">
        <v>2.8783137436093198</v>
      </c>
      <c r="AG3650">
        <v>-1.1183091998899899</v>
      </c>
      <c r="AH3650">
        <v>51.363542512137101</v>
      </c>
      <c r="AI3650">
        <v>91.245318196939095</v>
      </c>
      <c r="AJ3650">
        <v>86.792609694712198</v>
      </c>
      <c r="AK3650">
        <v>51.456280519187601</v>
      </c>
      <c r="AL3650">
        <v>78.419782474670001</v>
      </c>
      <c r="AM3650">
        <v>82.913934334643699</v>
      </c>
      <c r="AN3650">
        <v>1.00000004040165</v>
      </c>
    </row>
    <row r="3651" spans="1:40" x14ac:dyDescent="0.25">
      <c r="A3651" t="str">
        <f>"20190303171049626"</f>
        <v>20190303171049626</v>
      </c>
      <c r="B3651" t="str">
        <f>"1551604249614843"</f>
        <v>1551604249614843</v>
      </c>
      <c r="C3651" t="s">
        <v>40</v>
      </c>
      <c r="D3651">
        <v>5.1596479999999998</v>
      </c>
      <c r="E3651">
        <v>0.48103899999999999</v>
      </c>
      <c r="F3651" t="s">
        <v>84</v>
      </c>
      <c r="G3651">
        <v>-288.2946</v>
      </c>
      <c r="H3651" s="1">
        <v>-8.3077660000000006E-6</v>
      </c>
      <c r="I3651">
        <v>140.89670000000001</v>
      </c>
      <c r="J3651">
        <v>-239.56450000000001</v>
      </c>
      <c r="K3651">
        <v>1.118236</v>
      </c>
      <c r="L3651">
        <v>140.88589999999999</v>
      </c>
      <c r="M3651">
        <v>-0.99849810000000006</v>
      </c>
      <c r="N3651">
        <v>-5.7416569999999998E-3</v>
      </c>
      <c r="O3651">
        <v>-5.4486840000000002E-2</v>
      </c>
      <c r="P3651">
        <v>-0.9782748</v>
      </c>
      <c r="Q3651">
        <v>0.19607289999999999</v>
      </c>
      <c r="R3651">
        <v>6.7336240000000006E-2</v>
      </c>
      <c r="S3651">
        <v>-3.079895</v>
      </c>
      <c r="T3651">
        <v>-7.0176119999999995E-2</v>
      </c>
      <c r="U3651">
        <v>-4.4250490000000001E-4</v>
      </c>
      <c r="V3651">
        <v>0.12145690000000001</v>
      </c>
      <c r="W3651">
        <v>0.20110639999999999</v>
      </c>
      <c r="X3651">
        <v>0.9720105</v>
      </c>
      <c r="Y3651">
        <v>5.4318709999999999E-2</v>
      </c>
      <c r="Z3651">
        <v>1.7026560000000001E-3</v>
      </c>
      <c r="AA3651">
        <v>0.99852220000000003</v>
      </c>
      <c r="AB3651">
        <v>34</v>
      </c>
      <c r="AC3651">
        <v>-48.730099999999901</v>
      </c>
      <c r="AD3651">
        <v>-1.118244307766</v>
      </c>
      <c r="AE3651">
        <v>1.08000000000174E-2</v>
      </c>
      <c r="AF3651">
        <v>2.66457341090352</v>
      </c>
      <c r="AG3651">
        <v>-1.118244307766</v>
      </c>
      <c r="AH3651">
        <v>48.631510819854199</v>
      </c>
      <c r="AI3651">
        <v>91.315268314286399</v>
      </c>
      <c r="AJ3651">
        <v>86.863837687648797</v>
      </c>
      <c r="AK3651">
        <v>48.717289194038102</v>
      </c>
      <c r="AL3651">
        <v>78.398334106276394</v>
      </c>
      <c r="AM3651">
        <v>82.8775613130191</v>
      </c>
      <c r="AN3651">
        <v>0.99999998739440998</v>
      </c>
    </row>
    <row r="3652" spans="1:40" x14ac:dyDescent="0.25">
      <c r="A3652" t="str">
        <f>"20190303171049648"</f>
        <v>20190303171049648</v>
      </c>
      <c r="B3652" t="str">
        <f>"1551604249644123"</f>
        <v>1551604249644123</v>
      </c>
      <c r="C3652" t="s">
        <v>40</v>
      </c>
      <c r="D3652">
        <v>5.1680900000000003</v>
      </c>
      <c r="E3652">
        <v>0.48113289999999997</v>
      </c>
      <c r="F3652" t="s">
        <v>84</v>
      </c>
      <c r="G3652">
        <v>-287.06119999999999</v>
      </c>
      <c r="H3652" s="1">
        <v>-7.57267799999999E-6</v>
      </c>
      <c r="I3652">
        <v>140.99809999999999</v>
      </c>
      <c r="J3652">
        <v>-239.8871</v>
      </c>
      <c r="K3652">
        <v>1.1181829999999999</v>
      </c>
      <c r="L3652">
        <v>140.87020000000001</v>
      </c>
      <c r="M3652">
        <v>-0.99860939999999998</v>
      </c>
      <c r="N3652">
        <v>-5.7621410000000001E-3</v>
      </c>
      <c r="O3652">
        <v>-5.2402659999999997E-2</v>
      </c>
      <c r="P3652">
        <v>-0.97819440000000002</v>
      </c>
      <c r="Q3652">
        <v>0.19562740000000001</v>
      </c>
      <c r="R3652">
        <v>6.9755280000000003E-2</v>
      </c>
      <c r="S3652">
        <v>-3.0806580000000001</v>
      </c>
      <c r="T3652">
        <v>-7.2529789999999997E-2</v>
      </c>
      <c r="U3652">
        <v>7.27844199999999E-3</v>
      </c>
      <c r="V3652">
        <v>0.121861999999999</v>
      </c>
      <c r="W3652">
        <v>0.20066320000000001</v>
      </c>
      <c r="X3652">
        <v>0.97205140000000001</v>
      </c>
      <c r="Y3652">
        <v>5.4735600000000002E-2</v>
      </c>
      <c r="Z3652">
        <v>1.733121E-3</v>
      </c>
      <c r="AA3652">
        <v>0.99849940000000004</v>
      </c>
      <c r="AB3652">
        <v>34</v>
      </c>
      <c r="AC3652">
        <v>-47.174099999999903</v>
      </c>
      <c r="AD3652">
        <v>-1.1181905726779999</v>
      </c>
      <c r="AE3652">
        <v>0.127899999999982</v>
      </c>
      <c r="AF3652">
        <v>2.5983537704709998</v>
      </c>
      <c r="AG3652">
        <v>-1.1181905726779999</v>
      </c>
      <c r="AH3652">
        <v>47.076130178083197</v>
      </c>
      <c r="AI3652">
        <v>91.358613018526995</v>
      </c>
      <c r="AJ3652">
        <v>86.8407810969737</v>
      </c>
      <c r="AK3652">
        <v>47.161041390295601</v>
      </c>
      <c r="AL3652">
        <v>78.424256113654494</v>
      </c>
      <c r="AM3652">
        <v>82.854348309267294</v>
      </c>
      <c r="AN3652">
        <v>0.9999999955601</v>
      </c>
    </row>
    <row r="3653" spans="1:40" x14ac:dyDescent="0.25">
      <c r="A3653" t="str">
        <f>"20190303171049670"</f>
        <v>20190303171049670</v>
      </c>
      <c r="B3653" t="str">
        <f>"1551604249664619"</f>
        <v>1551604249664619</v>
      </c>
      <c r="C3653" t="s">
        <v>40</v>
      </c>
      <c r="D3653">
        <v>5.1647089999999896</v>
      </c>
      <c r="E3653">
        <v>0.48121710000000001</v>
      </c>
      <c r="F3653" t="s">
        <v>84</v>
      </c>
      <c r="G3653">
        <v>-284.14060000000001</v>
      </c>
      <c r="H3653" s="1">
        <v>-5.9298950000000003E-6</v>
      </c>
      <c r="I3653">
        <v>141.08779999999999</v>
      </c>
      <c r="J3653">
        <v>-240.23070000000001</v>
      </c>
      <c r="K3653">
        <v>1.1181239999999999</v>
      </c>
      <c r="L3653">
        <v>140.85419999999999</v>
      </c>
      <c r="M3653">
        <v>-0.998726</v>
      </c>
      <c r="N3653">
        <v>-5.7896479999999997E-3</v>
      </c>
      <c r="O3653">
        <v>-5.0127629999999999E-2</v>
      </c>
      <c r="P3653">
        <v>-0.97816769999999997</v>
      </c>
      <c r="Q3653">
        <v>0.19476499999999999</v>
      </c>
      <c r="R3653">
        <v>7.2489159999999997E-2</v>
      </c>
      <c r="S3653">
        <v>-3.0813600000000001</v>
      </c>
      <c r="T3653">
        <v>-7.7859159999999997E-2</v>
      </c>
      <c r="U3653">
        <v>1.5151980000000001E-2</v>
      </c>
      <c r="V3653">
        <v>0.12239899999999999</v>
      </c>
      <c r="W3653">
        <v>0.1998077</v>
      </c>
      <c r="X3653">
        <v>0.97216020000000003</v>
      </c>
      <c r="Y3653">
        <v>5.5007849999999997E-2</v>
      </c>
      <c r="Z3653">
        <v>1.829897E-3</v>
      </c>
      <c r="AA3653">
        <v>0.99848429999999999</v>
      </c>
      <c r="AB3653">
        <v>34</v>
      </c>
      <c r="AC3653">
        <v>-43.909899999999901</v>
      </c>
      <c r="AD3653">
        <v>-1.11812992989499</v>
      </c>
      <c r="AE3653">
        <v>0.23359999999999501</v>
      </c>
      <c r="AF3653">
        <v>2.4328650247461399</v>
      </c>
      <c r="AG3653">
        <v>-1.11812992989499</v>
      </c>
      <c r="AH3653">
        <v>43.814575833870499</v>
      </c>
      <c r="AI3653">
        <v>91.459600010302495</v>
      </c>
      <c r="AJ3653">
        <v>86.821836065966806</v>
      </c>
      <c r="AK3653">
        <v>43.896310804790303</v>
      </c>
      <c r="AL3653">
        <v>78.474286425291396</v>
      </c>
      <c r="AM3653">
        <v>82.8239825567032</v>
      </c>
      <c r="AN3653">
        <v>1.0000000433221601</v>
      </c>
    </row>
    <row r="3654" spans="1:40" x14ac:dyDescent="0.25">
      <c r="A3654" t="str">
        <f>"20190303171049692"</f>
        <v>20190303171049692</v>
      </c>
      <c r="B3654" t="str">
        <f>"1551604249684139"</f>
        <v>1551604249684139</v>
      </c>
      <c r="C3654" t="s">
        <v>40</v>
      </c>
      <c r="D3654">
        <v>5.1180659999999998</v>
      </c>
      <c r="E3654">
        <v>0.48087000000000002</v>
      </c>
      <c r="F3654" t="s">
        <v>84</v>
      </c>
      <c r="G3654">
        <v>-281.40100000000001</v>
      </c>
      <c r="H3654" s="1">
        <v>-4.7450539999999997E-6</v>
      </c>
      <c r="I3654">
        <v>141.1808</v>
      </c>
      <c r="J3654">
        <v>-240.5694</v>
      </c>
      <c r="K3654">
        <v>1.118066</v>
      </c>
      <c r="L3654">
        <v>140.83920000000001</v>
      </c>
      <c r="M3654">
        <v>-0.99883809999999995</v>
      </c>
      <c r="N3654">
        <v>-5.8196910000000001E-3</v>
      </c>
      <c r="O3654">
        <v>-4.7840090000000002E-2</v>
      </c>
      <c r="P3654">
        <v>-0.97800480000000001</v>
      </c>
      <c r="Q3654">
        <v>0.19429979999999999</v>
      </c>
      <c r="R3654">
        <v>7.5859460000000004E-2</v>
      </c>
      <c r="S3654">
        <v>-3.081833</v>
      </c>
      <c r="T3654">
        <v>-8.3698510000000004E-2</v>
      </c>
      <c r="U3654">
        <v>2.444458E-2</v>
      </c>
      <c r="V3654">
        <v>0.1235532</v>
      </c>
      <c r="W3654">
        <v>0.19934930000000001</v>
      </c>
      <c r="X3654">
        <v>0.97210819999999998</v>
      </c>
      <c r="Y3654">
        <v>5.5726070000000003E-2</v>
      </c>
      <c r="Z3654">
        <v>1.9390309999999999E-3</v>
      </c>
      <c r="AA3654">
        <v>0.9984442</v>
      </c>
      <c r="AB3654">
        <v>34</v>
      </c>
      <c r="AC3654">
        <v>-40.831600000000002</v>
      </c>
      <c r="AD3654">
        <v>-1.1180707450539999</v>
      </c>
      <c r="AE3654">
        <v>0.34159999999999902</v>
      </c>
      <c r="AF3654">
        <v>2.2929101605298801</v>
      </c>
      <c r="AG3654">
        <v>-1.1180707450539999</v>
      </c>
      <c r="AH3654">
        <v>40.737960880067803</v>
      </c>
      <c r="AI3654">
        <v>91.569629474316102</v>
      </c>
      <c r="AJ3654">
        <v>86.778542486557697</v>
      </c>
      <c r="AK3654">
        <v>40.817753194671802</v>
      </c>
      <c r="AL3654">
        <v>78.501088898281907</v>
      </c>
      <c r="AM3654">
        <v>82.756646022815104</v>
      </c>
      <c r="AN3654">
        <v>0.999999944573983</v>
      </c>
    </row>
    <row r="3655" spans="1:40" x14ac:dyDescent="0.25">
      <c r="A3655" t="str">
        <f>"20190303171049716"</f>
        <v>20190303171049716</v>
      </c>
      <c r="B3655" t="str">
        <f>"1551604249704635"</f>
        <v>1551604249704635</v>
      </c>
      <c r="C3655" t="s">
        <v>40</v>
      </c>
      <c r="D3655">
        <v>5.1950789999999998</v>
      </c>
      <c r="E3655">
        <v>0.48033910000000002</v>
      </c>
      <c r="F3655" t="s">
        <v>84</v>
      </c>
      <c r="G3655">
        <v>-280.26429999999999</v>
      </c>
      <c r="H3655" s="1">
        <v>-4.2630599999999996E-6</v>
      </c>
      <c r="I3655">
        <v>141.249</v>
      </c>
      <c r="J3655">
        <v>-240.934</v>
      </c>
      <c r="K3655">
        <v>1.1180209999999999</v>
      </c>
      <c r="L3655">
        <v>140.82399999999899</v>
      </c>
      <c r="M3655">
        <v>-0.99895440000000002</v>
      </c>
      <c r="N3655">
        <v>-5.851808E-3</v>
      </c>
      <c r="O3655">
        <v>-4.5340489999999997E-2</v>
      </c>
      <c r="P3655">
        <v>-0.97758310000000004</v>
      </c>
      <c r="Q3655">
        <v>0.19473289999999999</v>
      </c>
      <c r="R3655">
        <v>8.0066520000000002E-2</v>
      </c>
      <c r="S3655">
        <v>-3.0822600000000002</v>
      </c>
      <c r="T3655">
        <v>-8.6816669999999999E-2</v>
      </c>
      <c r="U3655">
        <v>3.1814580000000002E-2</v>
      </c>
      <c r="V3655">
        <v>0.1253281</v>
      </c>
      <c r="W3655">
        <v>0.19978770000000001</v>
      </c>
      <c r="X3655">
        <v>0.97179099999999996</v>
      </c>
      <c r="Y3655">
        <v>5.5611609999999999E-2</v>
      </c>
      <c r="Z3655">
        <v>1.9569909999999999E-3</v>
      </c>
      <c r="AA3655">
        <v>0.99845059999999997</v>
      </c>
      <c r="AB3655">
        <v>34</v>
      </c>
      <c r="AC3655">
        <v>-39.330299999999902</v>
      </c>
      <c r="AD3655">
        <v>-1.1180252630599901</v>
      </c>
      <c r="AE3655">
        <v>0.42500000000001098</v>
      </c>
      <c r="AF3655">
        <v>2.2060661636621202</v>
      </c>
      <c r="AG3655">
        <v>-1.1180252630599901</v>
      </c>
      <c r="AH3655">
        <v>39.2388769053426</v>
      </c>
      <c r="AI3655">
        <v>91.629503430434795</v>
      </c>
      <c r="AJ3655">
        <v>86.782136311894604</v>
      </c>
      <c r="AK3655">
        <v>39.3167415893016</v>
      </c>
      <c r="AL3655">
        <v>78.475455446618895</v>
      </c>
      <c r="AM3655">
        <v>82.651348898832197</v>
      </c>
      <c r="AN3655">
        <v>1.0000000027009499</v>
      </c>
    </row>
    <row r="3656" spans="1:40" x14ac:dyDescent="0.25">
      <c r="A3656" t="str">
        <f>"20190303171049759"</f>
        <v>20190303171049759</v>
      </c>
      <c r="B3656" t="str">
        <f>"1551604249754411"</f>
        <v>1551604249754411</v>
      </c>
      <c r="C3656" t="s">
        <v>40</v>
      </c>
      <c r="D3656">
        <v>5.1788740000000004</v>
      </c>
      <c r="E3656">
        <v>0.47945290000000002</v>
      </c>
      <c r="F3656" t="s">
        <v>84</v>
      </c>
      <c r="G3656">
        <v>-280.7047</v>
      </c>
      <c r="H3656" s="1">
        <v>-4.4861610000000003E-6</v>
      </c>
      <c r="I3656">
        <v>141.3349</v>
      </c>
      <c r="J3656">
        <v>-241.59530000000001</v>
      </c>
      <c r="K3656">
        <v>1.1179460000000001</v>
      </c>
      <c r="L3656">
        <v>140.7989</v>
      </c>
      <c r="M3656">
        <v>-0.99915220000000005</v>
      </c>
      <c r="N3656">
        <v>-5.9175259999999898E-3</v>
      </c>
      <c r="O3656">
        <v>-4.0745190000000001E-2</v>
      </c>
      <c r="P3656">
        <v>-0.97735689999999997</v>
      </c>
      <c r="Q3656">
        <v>0.19348589999999999</v>
      </c>
      <c r="R3656">
        <v>8.5657819999999996E-2</v>
      </c>
      <c r="S3656">
        <v>-3.0828090000000001</v>
      </c>
      <c r="T3656">
        <v>-8.6663130000000005E-2</v>
      </c>
      <c r="U3656">
        <v>3.9596560000000003E-2</v>
      </c>
      <c r="V3656">
        <v>0.12645529999999999</v>
      </c>
      <c r="W3656">
        <v>0.1985788</v>
      </c>
      <c r="X3656">
        <v>0.9718928</v>
      </c>
      <c r="Y3656">
        <v>5.3539490000000002E-2</v>
      </c>
      <c r="Z3656">
        <v>1.814703E-3</v>
      </c>
      <c r="AA3656">
        <v>0.99856409999999995</v>
      </c>
      <c r="AB3656">
        <v>34</v>
      </c>
      <c r="AC3656">
        <v>-39.109400000000001</v>
      </c>
      <c r="AD3656">
        <v>-1.1179504861609999</v>
      </c>
      <c r="AE3656">
        <v>0.53600000000000103</v>
      </c>
      <c r="AF3656">
        <v>2.1273644910688598</v>
      </c>
      <c r="AG3656">
        <v>-1.1179504861609999</v>
      </c>
      <c r="AH3656">
        <v>39.023201020875099</v>
      </c>
      <c r="AI3656">
        <v>91.638549264507702</v>
      </c>
      <c r="AJ3656">
        <v>86.879587780711901</v>
      </c>
      <c r="AK3656">
        <v>39.097131747520699</v>
      </c>
      <c r="AL3656">
        <v>78.546137143914095</v>
      </c>
      <c r="AM3656">
        <v>82.586755220315595</v>
      </c>
      <c r="AN3656">
        <v>1.0000000486996801</v>
      </c>
    </row>
    <row r="3657" spans="1:40" x14ac:dyDescent="0.25">
      <c r="A3657" t="str">
        <f>"20190303171049781"</f>
        <v>20190303171049781</v>
      </c>
      <c r="B3657" t="str">
        <f>"1551604249773931"</f>
        <v>1551604249773931</v>
      </c>
      <c r="C3657" t="s">
        <v>40</v>
      </c>
      <c r="D3657">
        <v>5.2182380000000004</v>
      </c>
      <c r="E3657">
        <v>0.47908089999999998</v>
      </c>
      <c r="F3657" t="s">
        <v>42</v>
      </c>
      <c r="G3657">
        <v>-277.13499999999999</v>
      </c>
      <c r="H3657" s="1">
        <v>-1.677898E-6</v>
      </c>
      <c r="I3657">
        <v>141.36940000000001</v>
      </c>
      <c r="J3657">
        <v>-241.94110000000001</v>
      </c>
      <c r="K3657">
        <v>1.1179220000000001</v>
      </c>
      <c r="L3657">
        <v>140.78700000000001</v>
      </c>
      <c r="M3657">
        <v>-0.99924760000000001</v>
      </c>
      <c r="N3657">
        <v>-5.9518459999999898E-3</v>
      </c>
      <c r="O3657">
        <v>-3.8329290000000002E-2</v>
      </c>
      <c r="P3657">
        <v>-0.97726829999999998</v>
      </c>
      <c r="Q3657">
        <v>0.19291030000000001</v>
      </c>
      <c r="R3657">
        <v>8.7935390000000002E-2</v>
      </c>
      <c r="S3657">
        <v>-3.0843660000000002</v>
      </c>
      <c r="T3657">
        <v>-9.7022890000000001E-2</v>
      </c>
      <c r="U3657">
        <v>4.951477E-2</v>
      </c>
      <c r="V3657">
        <v>0.12638450000000001</v>
      </c>
      <c r="W3657">
        <v>0.19803009999999999</v>
      </c>
      <c r="X3657">
        <v>0.97201389999999999</v>
      </c>
      <c r="Y3657">
        <v>5.4320239999999999E-2</v>
      </c>
      <c r="Z3657">
        <v>1.9929040000000002E-3</v>
      </c>
      <c r="AA3657">
        <v>0.99852160000000001</v>
      </c>
      <c r="AB3657">
        <v>35</v>
      </c>
      <c r="AC3657">
        <v>-35.1938999999999</v>
      </c>
      <c r="AD3657">
        <v>-1.117923677898</v>
      </c>
      <c r="AE3657">
        <v>0.58240000000000602</v>
      </c>
      <c r="AF3657">
        <v>1.9290070616544199</v>
      </c>
      <c r="AG3657">
        <v>-1.117923677898</v>
      </c>
      <c r="AH3657">
        <v>35.1102974766671</v>
      </c>
      <c r="AI3657">
        <v>91.820956357560306</v>
      </c>
      <c r="AJ3657">
        <v>86.855254305289506</v>
      </c>
      <c r="AK3657">
        <v>35.181014915627102</v>
      </c>
      <c r="AL3657">
        <v>78.578211679632801</v>
      </c>
      <c r="AM3657">
        <v>82.591772457302696</v>
      </c>
      <c r="AN3657">
        <v>0.999999992069734</v>
      </c>
    </row>
    <row r="3658" spans="1:40" x14ac:dyDescent="0.25">
      <c r="A3658" t="str">
        <f>"20190303171049804"</f>
        <v>20190303171049804</v>
      </c>
      <c r="B3658" t="str">
        <f>"1551604249794427"</f>
        <v>1551604249794427</v>
      </c>
      <c r="C3658" t="s">
        <v>40</v>
      </c>
      <c r="D3658">
        <v>5.2003149999999998</v>
      </c>
      <c r="E3658">
        <v>0.4788734</v>
      </c>
      <c r="F3658" t="s">
        <v>42</v>
      </c>
      <c r="G3658">
        <v>-275.96940000000001</v>
      </c>
      <c r="H3658" s="1">
        <v>-2.1808579999999998E-6</v>
      </c>
      <c r="I3658">
        <v>141.38040000000001</v>
      </c>
      <c r="J3658">
        <v>-242.30410000000001</v>
      </c>
      <c r="K3658">
        <v>1.1178999999999999</v>
      </c>
      <c r="L3658">
        <v>140.77529999999999</v>
      </c>
      <c r="M3658">
        <v>-0.99934129999999999</v>
      </c>
      <c r="N3658">
        <v>-5.9907869999999896E-3</v>
      </c>
      <c r="O3658">
        <v>-3.579156E-2</v>
      </c>
      <c r="P3658">
        <v>-0.97701519999999997</v>
      </c>
      <c r="Q3658">
        <v>0.192935</v>
      </c>
      <c r="R3658">
        <v>9.0649980000000005E-2</v>
      </c>
      <c r="S3658">
        <v>-3.084946</v>
      </c>
      <c r="T3658">
        <v>-0.1013491</v>
      </c>
      <c r="U3658">
        <v>5.3802490000000001E-2</v>
      </c>
      <c r="V3658">
        <v>0.1266283</v>
      </c>
      <c r="W3658">
        <v>0.19808339999999999</v>
      </c>
      <c r="X3658">
        <v>0.97197129999999998</v>
      </c>
      <c r="Y3658">
        <v>5.3166459999999999E-2</v>
      </c>
      <c r="Z3658">
        <v>1.9933249999999998E-3</v>
      </c>
      <c r="AA3658">
        <v>0.99858369999999996</v>
      </c>
      <c r="AB3658">
        <v>35</v>
      </c>
      <c r="AC3658">
        <v>-33.665300000000002</v>
      </c>
      <c r="AD3658">
        <v>-1.1179021808580001</v>
      </c>
      <c r="AE3658">
        <v>0.60510000000002095</v>
      </c>
      <c r="AF3658">
        <v>1.80767492506211</v>
      </c>
      <c r="AG3658">
        <v>-1.1179021808580001</v>
      </c>
      <c r="AH3658">
        <v>33.585050208423503</v>
      </c>
      <c r="AI3658">
        <v>91.903673291860699</v>
      </c>
      <c r="AJ3658">
        <v>86.919096425968405</v>
      </c>
      <c r="AK3658">
        <v>33.6522360538344</v>
      </c>
      <c r="AL3658">
        <v>78.575096001645505</v>
      </c>
      <c r="AM3658">
        <v>82.577319247698796</v>
      </c>
      <c r="AN3658">
        <v>0.99999998387006905</v>
      </c>
    </row>
    <row r="3659" spans="1:40" x14ac:dyDescent="0.25">
      <c r="A3659" t="str">
        <f>"20190303171049848"</f>
        <v>20190303171049848</v>
      </c>
      <c r="B3659" t="str">
        <f>"1551604249834443"</f>
        <v>1551604249834443</v>
      </c>
      <c r="C3659" t="s">
        <v>40</v>
      </c>
      <c r="D3659">
        <v>5.2338779999999998</v>
      </c>
      <c r="E3659">
        <v>0.4782672</v>
      </c>
      <c r="F3659" t="s">
        <v>42</v>
      </c>
      <c r="G3659">
        <v>-276.25490000000002</v>
      </c>
      <c r="H3659" s="1">
        <v>-2.0727949999999999E-6</v>
      </c>
      <c r="I3659">
        <v>141.43450000000001</v>
      </c>
      <c r="J3659">
        <v>-242.9787</v>
      </c>
      <c r="K3659">
        <v>1.117864</v>
      </c>
      <c r="L3659">
        <v>140.7561</v>
      </c>
      <c r="M3659">
        <v>-0.99949860000000001</v>
      </c>
      <c r="N3659">
        <v>-6.0606330000000002E-3</v>
      </c>
      <c r="O3659">
        <v>-3.1082789999999999E-2</v>
      </c>
      <c r="P3659">
        <v>-0.97696430000000001</v>
      </c>
      <c r="Q3659">
        <v>0.19231760000000001</v>
      </c>
      <c r="R3659">
        <v>9.2492069999999996E-2</v>
      </c>
      <c r="S3659">
        <v>-3.085083</v>
      </c>
      <c r="T3659">
        <v>-0.1015832</v>
      </c>
      <c r="U3659">
        <v>5.9906010000000003E-2</v>
      </c>
      <c r="V3659">
        <v>0.12389749999999999</v>
      </c>
      <c r="W3659">
        <v>0.19753979999999999</v>
      </c>
      <c r="X3659">
        <v>0.97243380000000001</v>
      </c>
      <c r="Y3659">
        <v>5.0438839999999999E-2</v>
      </c>
      <c r="Z3659">
        <v>1.81773E-3</v>
      </c>
      <c r="AA3659">
        <v>0.99872550000000004</v>
      </c>
      <c r="AB3659">
        <v>35</v>
      </c>
      <c r="AC3659">
        <v>-33.276200000000003</v>
      </c>
      <c r="AD3659">
        <v>-1.1178660727949901</v>
      </c>
      <c r="AE3659">
        <v>0.67840000000001</v>
      </c>
      <c r="AF3659">
        <v>1.7104786404410499</v>
      </c>
      <c r="AG3659">
        <v>-1.1178660727949901</v>
      </c>
      <c r="AH3659">
        <v>33.201580524191499</v>
      </c>
      <c r="AI3659">
        <v>91.925814668162204</v>
      </c>
      <c r="AJ3659">
        <v>87.050843972787007</v>
      </c>
      <c r="AK3659">
        <v>33.264400055321701</v>
      </c>
      <c r="AL3659">
        <v>78.606870361305994</v>
      </c>
      <c r="AM3659">
        <v>82.739082584459297</v>
      </c>
      <c r="AN3659">
        <v>1.00000002923636</v>
      </c>
    </row>
    <row r="3660" spans="1:40" x14ac:dyDescent="0.25">
      <c r="A3660" t="str">
        <f>"20190303171049869"</f>
        <v>20190303171049869</v>
      </c>
      <c r="B3660" t="str">
        <f>"1551604249864699"</f>
        <v>1551604249864699</v>
      </c>
      <c r="C3660" t="s">
        <v>40</v>
      </c>
      <c r="D3660">
        <v>5.2661429999999996</v>
      </c>
      <c r="E3660">
        <v>0.47764770000000001</v>
      </c>
      <c r="F3660" t="s">
        <v>42</v>
      </c>
      <c r="G3660">
        <v>-275.53410000000002</v>
      </c>
      <c r="H3660" s="1">
        <v>-2.3735760000000002E-6</v>
      </c>
      <c r="I3660">
        <v>141.40289999999999</v>
      </c>
      <c r="J3660">
        <v>-243.3219</v>
      </c>
      <c r="K3660">
        <v>1.1178459999999999</v>
      </c>
      <c r="L3660">
        <v>140.74760000000001</v>
      </c>
      <c r="M3660">
        <v>-0.99956970000000001</v>
      </c>
      <c r="N3660">
        <v>-6.0926549999999998E-3</v>
      </c>
      <c r="O3660">
        <v>-2.8691689999999999E-2</v>
      </c>
      <c r="P3660">
        <v>-0.97697529999999999</v>
      </c>
      <c r="Q3660">
        <v>0.19214870000000001</v>
      </c>
      <c r="R3660">
        <v>9.2726160000000002E-2</v>
      </c>
      <c r="S3660">
        <v>-3.0857999999999999</v>
      </c>
      <c r="T3660">
        <v>-0.1059585</v>
      </c>
      <c r="U3660">
        <v>6.1309809999999999E-2</v>
      </c>
      <c r="V3660">
        <v>0.1218103</v>
      </c>
      <c r="W3660">
        <v>0.1974099</v>
      </c>
      <c r="X3660">
        <v>0.97272380000000003</v>
      </c>
      <c r="Y3660">
        <v>4.8497749999999999E-2</v>
      </c>
      <c r="Z3660">
        <v>1.7901480000000001E-3</v>
      </c>
      <c r="AA3660">
        <v>0.99882170000000003</v>
      </c>
      <c r="AB3660">
        <v>35</v>
      </c>
      <c r="AC3660">
        <v>-32.212200000000003</v>
      </c>
      <c r="AD3660">
        <v>-1.1178483735760001</v>
      </c>
      <c r="AE3660">
        <v>0.65529999999998201</v>
      </c>
      <c r="AF3660">
        <v>1.57737105722353</v>
      </c>
      <c r="AG3660">
        <v>-1.1178483735760001</v>
      </c>
      <c r="AH3660">
        <v>32.141444941550901</v>
      </c>
      <c r="AI3660">
        <v>91.989496517741898</v>
      </c>
      <c r="AJ3660">
        <v>87.190410906277194</v>
      </c>
      <c r="AK3660">
        <v>32.199536757059498</v>
      </c>
      <c r="AL3660">
        <v>78.614462303317595</v>
      </c>
      <c r="AM3660">
        <v>82.862234986279006</v>
      </c>
      <c r="AN3660">
        <v>1.0000000044452699</v>
      </c>
    </row>
    <row r="3661" spans="1:40" x14ac:dyDescent="0.25">
      <c r="A3661" t="str">
        <f>"20190303171049893"</f>
        <v>20190303171049893</v>
      </c>
      <c r="B3661" t="str">
        <f>"1551604249884219"</f>
        <v>1551604249884219</v>
      </c>
      <c r="C3661" t="s">
        <v>40</v>
      </c>
      <c r="D3661">
        <v>5.3229889999999997</v>
      </c>
      <c r="E3661">
        <v>0.4773365</v>
      </c>
      <c r="F3661" t="s">
        <v>42</v>
      </c>
      <c r="G3661">
        <v>-274.76859999999999</v>
      </c>
      <c r="H3661" s="1">
        <v>-2.6844990000000001E-6</v>
      </c>
      <c r="I3661">
        <v>141.33709999999999</v>
      </c>
      <c r="J3661">
        <v>-243.68719999999999</v>
      </c>
      <c r="K3661">
        <v>1.1178269999999999</v>
      </c>
      <c r="L3661">
        <v>140.73929999999999</v>
      </c>
      <c r="M3661">
        <v>-0.99963930000000001</v>
      </c>
      <c r="N3661">
        <v>-6.1244339999999998E-3</v>
      </c>
      <c r="O3661">
        <v>-2.6149789999999999E-2</v>
      </c>
      <c r="P3661">
        <v>-0.97666980000000003</v>
      </c>
      <c r="Q3661">
        <v>0.19300690000000001</v>
      </c>
      <c r="R3661">
        <v>9.4150659999999997E-2</v>
      </c>
      <c r="S3661">
        <v>-3.086792</v>
      </c>
      <c r="T3661">
        <v>-0.1097279</v>
      </c>
      <c r="U3661">
        <v>5.7876589999999999E-2</v>
      </c>
      <c r="V3661">
        <v>0.12076290000000001</v>
      </c>
      <c r="W3661">
        <v>0.19829930000000001</v>
      </c>
      <c r="X3661">
        <v>0.97267349999999997</v>
      </c>
      <c r="Y3661">
        <v>4.4841230000000003E-2</v>
      </c>
      <c r="Z3661">
        <v>1.7031150000000001E-3</v>
      </c>
      <c r="AA3661">
        <v>0.99899269999999996</v>
      </c>
      <c r="AB3661">
        <v>35</v>
      </c>
      <c r="AC3661">
        <v>-31.081399999999999</v>
      </c>
      <c r="AD3661">
        <v>-1.1178296844990001</v>
      </c>
      <c r="AE3661">
        <v>0.59780000000000599</v>
      </c>
      <c r="AF3661">
        <v>1.4085616396420999</v>
      </c>
      <c r="AG3661">
        <v>-1.1178296844990001</v>
      </c>
      <c r="AH3661">
        <v>31.0150366279859</v>
      </c>
      <c r="AI3661">
        <v>92.062011095254704</v>
      </c>
      <c r="AJ3661">
        <v>87.399673566446296</v>
      </c>
      <c r="AK3661">
        <v>31.067122269877601</v>
      </c>
      <c r="AL3661">
        <v>78.562475843253296</v>
      </c>
      <c r="AM3661">
        <v>82.922622626631394</v>
      </c>
      <c r="AN3661">
        <v>1.0000000139995699</v>
      </c>
    </row>
    <row r="3662" spans="1:40" x14ac:dyDescent="0.25">
      <c r="A3662" t="str">
        <f>"20190303171049918"</f>
        <v>20190303171049918</v>
      </c>
      <c r="B3662" t="str">
        <f>"1551604249904714"</f>
        <v>1551604249904714</v>
      </c>
      <c r="C3662" t="s">
        <v>40</v>
      </c>
      <c r="D3662">
        <v>5.260707</v>
      </c>
      <c r="E3662">
        <v>0.47703689999999999</v>
      </c>
      <c r="F3662" t="s">
        <v>42</v>
      </c>
      <c r="G3662">
        <v>-275.43669999999997</v>
      </c>
      <c r="H3662" s="1">
        <v>-2.401816E-6</v>
      </c>
      <c r="I3662">
        <v>141.352</v>
      </c>
      <c r="J3662">
        <v>-244.07570000000001</v>
      </c>
      <c r="K3662">
        <v>1.117812</v>
      </c>
      <c r="L3662">
        <v>140.73159999999999</v>
      </c>
      <c r="M3662">
        <v>-0.99970610000000004</v>
      </c>
      <c r="N3662">
        <v>-6.1555400000000001E-3</v>
      </c>
      <c r="O3662">
        <v>-2.3449109999999999E-2</v>
      </c>
      <c r="P3662">
        <v>-0.97630760000000005</v>
      </c>
      <c r="Q3662">
        <v>0.1935395</v>
      </c>
      <c r="R3662">
        <v>9.6779180000000006E-2</v>
      </c>
      <c r="S3662">
        <v>-3.0873870000000001</v>
      </c>
      <c r="T3662">
        <v>-0.1087</v>
      </c>
      <c r="U3662">
        <v>5.9585569999999997E-2</v>
      </c>
      <c r="V3662">
        <v>0.12076249999999999</v>
      </c>
      <c r="W3662">
        <v>0.19885639999999999</v>
      </c>
      <c r="X3662">
        <v>0.97255979999999997</v>
      </c>
      <c r="Y3662">
        <v>4.2694999999999997E-2</v>
      </c>
      <c r="Z3662">
        <v>1.5637159999999999E-3</v>
      </c>
      <c r="AA3662">
        <v>0.9990869</v>
      </c>
      <c r="AB3662">
        <v>35</v>
      </c>
      <c r="AC3662">
        <v>-31.360999999999901</v>
      </c>
      <c r="AD3662">
        <v>-1.1178144018159999</v>
      </c>
      <c r="AE3662">
        <v>0.62040000000001705</v>
      </c>
      <c r="AF3662">
        <v>1.3539114487405199</v>
      </c>
      <c r="AG3662">
        <v>-1.1178144018159999</v>
      </c>
      <c r="AH3662">
        <v>31.298081016294201</v>
      </c>
      <c r="AI3662">
        <v>92.043546113642293</v>
      </c>
      <c r="AJ3662">
        <v>87.523008577825095</v>
      </c>
      <c r="AK3662">
        <v>31.347287929746901</v>
      </c>
      <c r="AL3662">
        <v>78.529907692700604</v>
      </c>
      <c r="AM3662">
        <v>82.921826824052701</v>
      </c>
      <c r="AN3662">
        <v>1.0000000069016199</v>
      </c>
    </row>
    <row r="3663" spans="1:40" x14ac:dyDescent="0.25">
      <c r="A3663" t="str">
        <f>"20190303171049939"</f>
        <v>20190303171049939</v>
      </c>
      <c r="B3663" t="str">
        <f>"1551604249933995"</f>
        <v>1551604249933995</v>
      </c>
      <c r="C3663" t="s">
        <v>40</v>
      </c>
      <c r="D3663">
        <v>5.2696899999999998</v>
      </c>
      <c r="E3663">
        <v>0.47666140000000001</v>
      </c>
      <c r="F3663" t="s">
        <v>42</v>
      </c>
      <c r="G3663">
        <v>-276.12569999999999</v>
      </c>
      <c r="H3663" s="1">
        <v>-2.11822E-6</v>
      </c>
      <c r="I3663">
        <v>141.39699999999999</v>
      </c>
      <c r="J3663">
        <v>-244.4297</v>
      </c>
      <c r="K3663">
        <v>1.117796</v>
      </c>
      <c r="L3663">
        <v>140.72550000000001</v>
      </c>
      <c r="M3663">
        <v>-0.99976069999999995</v>
      </c>
      <c r="N3663">
        <v>-6.1813010000000002E-3</v>
      </c>
      <c r="O3663">
        <v>-2.0989339999999999E-2</v>
      </c>
      <c r="P3663">
        <v>-0.97609939999999995</v>
      </c>
      <c r="Q3663">
        <v>0.19328149999999999</v>
      </c>
      <c r="R3663">
        <v>9.9360149999999994E-2</v>
      </c>
      <c r="S3663">
        <v>-3.087799</v>
      </c>
      <c r="T3663">
        <v>-0.10769380000000001</v>
      </c>
      <c r="U3663">
        <v>6.4117430000000003E-2</v>
      </c>
      <c r="V3663">
        <v>0.12094779999999999</v>
      </c>
      <c r="W3663">
        <v>0.1986185</v>
      </c>
      <c r="X3663">
        <v>0.97258540000000004</v>
      </c>
      <c r="Y3663">
        <v>4.1702459999999997E-2</v>
      </c>
      <c r="Z3663">
        <v>1.4579339999999999E-3</v>
      </c>
      <c r="AA3663">
        <v>0.99912900000000004</v>
      </c>
      <c r="AB3663">
        <v>35</v>
      </c>
      <c r="AC3663">
        <v>-31.696000000000002</v>
      </c>
      <c r="AD3663">
        <v>-1.1177981182200001</v>
      </c>
      <c r="AE3663">
        <v>0.67150000000000798</v>
      </c>
      <c r="AF3663">
        <v>1.33498323850718</v>
      </c>
      <c r="AG3663">
        <v>-1.1177981182200001</v>
      </c>
      <c r="AH3663">
        <v>31.635594744912201</v>
      </c>
      <c r="AI3663">
        <v>92.021824013406402</v>
      </c>
      <c r="AJ3663">
        <v>87.583622114243397</v>
      </c>
      <c r="AK3663">
        <v>31.683473732286799</v>
      </c>
      <c r="AL3663">
        <v>78.543815933790796</v>
      </c>
      <c r="AM3663">
        <v>82.911261066051907</v>
      </c>
      <c r="AN3663">
        <v>1.00000001958012</v>
      </c>
    </row>
    <row r="3664" spans="1:40" x14ac:dyDescent="0.25">
      <c r="A3664" t="str">
        <f>"20190303171049960"</f>
        <v>20190303171049960</v>
      </c>
      <c r="B3664" t="str">
        <f>"1551604249944731"</f>
        <v>1551604249944731</v>
      </c>
      <c r="C3664" t="s">
        <v>40</v>
      </c>
      <c r="D3664">
        <v>5.2456670000000001</v>
      </c>
      <c r="E3664">
        <v>0.47653210000000001</v>
      </c>
      <c r="F3664" t="s">
        <v>42</v>
      </c>
      <c r="G3664">
        <v>-276.08319999999998</v>
      </c>
      <c r="H3664" s="1">
        <v>-2.146066E-6</v>
      </c>
      <c r="I3664">
        <v>141.4332</v>
      </c>
      <c r="J3664">
        <v>-244.7466</v>
      </c>
      <c r="K3664">
        <v>1.117777</v>
      </c>
      <c r="L3664">
        <v>140.72069999999999</v>
      </c>
      <c r="M3664">
        <v>-0.99980429999999998</v>
      </c>
      <c r="N3664">
        <v>-6.2033000000000001E-3</v>
      </c>
      <c r="O3664">
        <v>-1.8789219999999999E-2</v>
      </c>
      <c r="P3664">
        <v>-0.97619370000000005</v>
      </c>
      <c r="Q3664">
        <v>0.19187360000000001</v>
      </c>
      <c r="R3664">
        <v>0.10114670000000001</v>
      </c>
      <c r="S3664">
        <v>-3.0880130000000001</v>
      </c>
      <c r="T3664">
        <v>-0.1090488</v>
      </c>
      <c r="U3664">
        <v>6.904602E-2</v>
      </c>
      <c r="V3664">
        <v>0.1205909</v>
      </c>
      <c r="W3664">
        <v>0.1972322</v>
      </c>
      <c r="X3664">
        <v>0.97291179999999999</v>
      </c>
      <c r="Y3664">
        <v>4.109666E-2</v>
      </c>
      <c r="Z3664">
        <v>1.3995699999999999E-3</v>
      </c>
      <c r="AA3664">
        <v>0.99915419999999999</v>
      </c>
      <c r="AB3664">
        <v>35</v>
      </c>
      <c r="AC3664">
        <v>-31.336599999999901</v>
      </c>
      <c r="AD3664">
        <v>-1.117779146066</v>
      </c>
      <c r="AE3664">
        <v>0.71250000000000502</v>
      </c>
      <c r="AF3664">
        <v>1.29952317017316</v>
      </c>
      <c r="AG3664">
        <v>-1.117779146066</v>
      </c>
      <c r="AH3664">
        <v>31.2779042380321</v>
      </c>
      <c r="AI3664">
        <v>92.044946771519406</v>
      </c>
      <c r="AJ3664">
        <v>87.6208637909034</v>
      </c>
      <c r="AK3664">
        <v>31.324838135459</v>
      </c>
      <c r="AL3664">
        <v>78.624848345865203</v>
      </c>
      <c r="AM3664">
        <v>82.934314328554706</v>
      </c>
      <c r="AN3664">
        <v>1.0000000382294401</v>
      </c>
    </row>
    <row r="3665" spans="1:40" x14ac:dyDescent="0.25">
      <c r="A3665" t="str">
        <f>"20190303171049994"</f>
        <v>20190303171049994</v>
      </c>
      <c r="B3665" t="str">
        <f>"1551604249984747"</f>
        <v>1551604249984747</v>
      </c>
      <c r="C3665" t="s">
        <v>40</v>
      </c>
      <c r="D3665">
        <v>5.2599090000000004</v>
      </c>
      <c r="E3665">
        <v>0.47602080000000002</v>
      </c>
      <c r="F3665" t="s">
        <v>42</v>
      </c>
      <c r="G3665">
        <v>-275.01920000000001</v>
      </c>
      <c r="H3665" s="1">
        <v>-2.6051810000000002E-6</v>
      </c>
      <c r="I3665">
        <v>141.44319999999999</v>
      </c>
      <c r="J3665">
        <v>-245.3006</v>
      </c>
      <c r="K3665">
        <v>1.1177459999999999</v>
      </c>
      <c r="L3665">
        <v>140.7141</v>
      </c>
      <c r="M3665">
        <v>-0.9998688</v>
      </c>
      <c r="N3665">
        <v>-6.2466379999999997E-3</v>
      </c>
      <c r="O3665">
        <v>-1.494591E-2</v>
      </c>
      <c r="P3665">
        <v>-0.97602520000000004</v>
      </c>
      <c r="Q3665">
        <v>0.19029090000000001</v>
      </c>
      <c r="R3665">
        <v>0.1056607</v>
      </c>
      <c r="S3665">
        <v>-3.0879210000000001</v>
      </c>
      <c r="T3665">
        <v>-0.1140177</v>
      </c>
      <c r="U3665">
        <v>7.369995E-2</v>
      </c>
      <c r="V3665">
        <v>0.1213577</v>
      </c>
      <c r="W3665">
        <v>0.19568269999999999</v>
      </c>
      <c r="X3665">
        <v>0.97312929999999997</v>
      </c>
      <c r="Y3665">
        <v>3.8761759999999999E-2</v>
      </c>
      <c r="Z3665">
        <v>1.294683E-3</v>
      </c>
      <c r="AA3665">
        <v>0.99924769999999896</v>
      </c>
      <c r="AB3665">
        <v>35</v>
      </c>
      <c r="AC3665">
        <v>-29.718599999999999</v>
      </c>
      <c r="AD3665">
        <v>-1.1177486051809999</v>
      </c>
      <c r="AE3665">
        <v>0.72909999999998798</v>
      </c>
      <c r="AF3665">
        <v>1.1715424829104699</v>
      </c>
      <c r="AG3665">
        <v>-1.1177486051809999</v>
      </c>
      <c r="AH3665">
        <v>29.662448077475698</v>
      </c>
      <c r="AI3665">
        <v>92.156334823231006</v>
      </c>
      <c r="AJ3665">
        <v>87.738232213799705</v>
      </c>
      <c r="AK3665">
        <v>29.706610370127802</v>
      </c>
      <c r="AL3665">
        <v>78.715392478702498</v>
      </c>
      <c r="AM3665">
        <v>82.891417143643906</v>
      </c>
      <c r="AN3665">
        <v>1.0000000224735299</v>
      </c>
    </row>
    <row r="3666" spans="1:40" x14ac:dyDescent="0.25">
      <c r="A3666" t="str">
        <f>"20190303171050015"</f>
        <v>20190303171050015</v>
      </c>
      <c r="B3666" t="str">
        <f>"1551604250004267"</f>
        <v>1551604250004267</v>
      </c>
      <c r="C3666" t="s">
        <v>40</v>
      </c>
      <c r="D3666">
        <v>5.2579279999999997</v>
      </c>
      <c r="E3666">
        <v>0.47574660000000002</v>
      </c>
      <c r="F3666" t="s">
        <v>42</v>
      </c>
      <c r="G3666">
        <v>-274.07400000000001</v>
      </c>
      <c r="H3666" s="1">
        <v>-3.0244459999999998E-6</v>
      </c>
      <c r="I3666">
        <v>141.495</v>
      </c>
      <c r="J3666">
        <v>-245.65600000000001</v>
      </c>
      <c r="K3666">
        <v>1.1177269999999999</v>
      </c>
      <c r="L3666">
        <v>140.71090000000001</v>
      </c>
      <c r="M3666">
        <v>-0.99990239999999997</v>
      </c>
      <c r="N3666">
        <v>-6.2738890000000004E-3</v>
      </c>
      <c r="O3666">
        <v>-1.248198E-2</v>
      </c>
      <c r="P3666">
        <v>-0.97577199999999997</v>
      </c>
      <c r="Q3666">
        <v>0.1901719</v>
      </c>
      <c r="R3666">
        <v>0.1081845</v>
      </c>
      <c r="S3666">
        <v>-3.088028</v>
      </c>
      <c r="T3666">
        <v>-0.11995939999999999</v>
      </c>
      <c r="U3666">
        <v>8.381653E-2</v>
      </c>
      <c r="V3666">
        <v>0.1214827</v>
      </c>
      <c r="W3666">
        <v>0.1955855</v>
      </c>
      <c r="X3666">
        <v>0.97313320000000003</v>
      </c>
      <c r="Y3666">
        <v>3.9566669999999998E-2</v>
      </c>
      <c r="Z3666">
        <v>1.2986320000000001E-3</v>
      </c>
      <c r="AA3666">
        <v>0.99921610000000005</v>
      </c>
      <c r="AB3666">
        <v>36</v>
      </c>
      <c r="AC3666">
        <v>-28.417999999999999</v>
      </c>
      <c r="AD3666">
        <v>-1.117730024446</v>
      </c>
      <c r="AE3666">
        <v>0.78409999999999502</v>
      </c>
      <c r="AF3666">
        <v>1.1370012192643</v>
      </c>
      <c r="AG3666">
        <v>-1.117730024446</v>
      </c>
      <c r="AH3666">
        <v>28.362156228727802</v>
      </c>
      <c r="AI3666">
        <v>92.255003842622202</v>
      </c>
      <c r="AJ3666">
        <v>87.704317477151605</v>
      </c>
      <c r="AK3666">
        <v>28.406935739761199</v>
      </c>
      <c r="AL3666">
        <v>78.721070871440503</v>
      </c>
      <c r="AM3666">
        <v>82.884198457589704</v>
      </c>
      <c r="AN3666">
        <v>0.99999997957588904</v>
      </c>
    </row>
    <row r="3667" spans="1:40" x14ac:dyDescent="0.25">
      <c r="A3667" t="str">
        <f>"20190303171050037"</f>
        <v>20190303171050037</v>
      </c>
      <c r="B3667" t="str">
        <f>"1551604250024763"</f>
        <v>1551604250024763</v>
      </c>
      <c r="C3667" t="s">
        <v>40</v>
      </c>
      <c r="D3667">
        <v>5.2446299999999999</v>
      </c>
      <c r="E3667">
        <v>0.47551139999999997</v>
      </c>
      <c r="F3667" t="s">
        <v>42</v>
      </c>
      <c r="G3667">
        <v>-274.18729999999999</v>
      </c>
      <c r="H3667" s="1">
        <v>-2.9863219999999999E-6</v>
      </c>
      <c r="I3667">
        <v>141.53440000000001</v>
      </c>
      <c r="J3667">
        <v>-245.9879</v>
      </c>
      <c r="K3667">
        <v>1.117713</v>
      </c>
      <c r="L3667">
        <v>140.70869999999999</v>
      </c>
      <c r="M3667">
        <v>-0.99992840000000005</v>
      </c>
      <c r="N3667">
        <v>-6.2973300000000003E-3</v>
      </c>
      <c r="O3667">
        <v>-1.018255E-2</v>
      </c>
      <c r="P3667">
        <v>-0.97553840000000003</v>
      </c>
      <c r="Q3667">
        <v>0.1904431</v>
      </c>
      <c r="R3667">
        <v>0.10980230000000001</v>
      </c>
      <c r="S3667">
        <v>-3.0881810000000001</v>
      </c>
      <c r="T3667">
        <v>-0.1209813</v>
      </c>
      <c r="U3667">
        <v>8.9141849999999995E-2</v>
      </c>
      <c r="V3667">
        <v>0.1208645</v>
      </c>
      <c r="W3667">
        <v>0.1958801</v>
      </c>
      <c r="X3667">
        <v>0.97315099999999999</v>
      </c>
      <c r="Y3667">
        <v>3.8990299999999999E-2</v>
      </c>
      <c r="Z3667">
        <v>1.220725E-3</v>
      </c>
      <c r="AA3667">
        <v>0.99923879999999998</v>
      </c>
      <c r="AB3667">
        <v>36</v>
      </c>
      <c r="AC3667">
        <v>-28.199400000000001</v>
      </c>
      <c r="AD3667">
        <v>-1.1177159863220001</v>
      </c>
      <c r="AE3667">
        <v>0.82570000000001098</v>
      </c>
      <c r="AF3667">
        <v>1.1110606551378299</v>
      </c>
      <c r="AG3667">
        <v>-1.1177159863220001</v>
      </c>
      <c r="AH3667">
        <v>28.145350907039798</v>
      </c>
      <c r="AI3667">
        <v>92.2723828792288</v>
      </c>
      <c r="AJ3667">
        <v>87.739376214653802</v>
      </c>
      <c r="AK3667">
        <v>28.189439910822699</v>
      </c>
      <c r="AL3667">
        <v>78.703859463707701</v>
      </c>
      <c r="AM3667">
        <v>82.920169059049201</v>
      </c>
      <c r="AN3667">
        <v>1.0000000548686201</v>
      </c>
    </row>
    <row r="3668" spans="1:40" x14ac:dyDescent="0.25">
      <c r="A3668" t="str">
        <f>"20190303171050059"</f>
        <v>20190303171050059</v>
      </c>
      <c r="B3668" t="str">
        <f>"1551604250054044"</f>
        <v>1551604250054044</v>
      </c>
      <c r="C3668" t="s">
        <v>40</v>
      </c>
      <c r="D3668">
        <v>5.3702550000000002</v>
      </c>
      <c r="E3668">
        <v>0.47520040000000002</v>
      </c>
      <c r="F3668" t="s">
        <v>42</v>
      </c>
      <c r="G3668">
        <v>-274.58280000000002</v>
      </c>
      <c r="H3668" s="1">
        <v>-2.8250749999999998E-6</v>
      </c>
      <c r="I3668">
        <v>141.5659</v>
      </c>
      <c r="J3668">
        <v>-246.35759999999999</v>
      </c>
      <c r="K3668">
        <v>1.117704</v>
      </c>
      <c r="L3668">
        <v>140.7072</v>
      </c>
      <c r="M3668">
        <v>-0.99995109999999998</v>
      </c>
      <c r="N3668">
        <v>-6.3218509999999999E-3</v>
      </c>
      <c r="O3668">
        <v>-7.621938E-3</v>
      </c>
      <c r="P3668">
        <v>-0.97542390000000001</v>
      </c>
      <c r="Q3668">
        <v>0.1904478</v>
      </c>
      <c r="R3668">
        <v>0.11080619999999999</v>
      </c>
      <c r="S3668">
        <v>-3.0883790000000002</v>
      </c>
      <c r="T3668">
        <v>-0.1207186</v>
      </c>
      <c r="U3668">
        <v>9.2590329999999998E-2</v>
      </c>
      <c r="V3668">
        <v>0.119378399999999</v>
      </c>
      <c r="W3668">
        <v>0.1959147</v>
      </c>
      <c r="X3668">
        <v>0.97332739999999995</v>
      </c>
      <c r="Y3668">
        <v>3.7547200000000003E-2</v>
      </c>
      <c r="Z3668">
        <v>1.101737E-3</v>
      </c>
      <c r="AA3668">
        <v>0.99929420000000002</v>
      </c>
      <c r="AB3668">
        <v>36</v>
      </c>
      <c r="AC3668">
        <v>-28.225200000000001</v>
      </c>
      <c r="AD3668">
        <v>-1.117706825075</v>
      </c>
      <c r="AE3668">
        <v>0.85869999999999802</v>
      </c>
      <c r="AF3668">
        <v>1.07213036740359</v>
      </c>
      <c r="AG3668">
        <v>-1.117706825075</v>
      </c>
      <c r="AH3668">
        <v>28.1736958789228</v>
      </c>
      <c r="AI3668">
        <v>92.270205265447203</v>
      </c>
      <c r="AJ3668">
        <v>87.820700593616806</v>
      </c>
      <c r="AK3668">
        <v>28.216234184411601</v>
      </c>
      <c r="AL3668">
        <v>78.701837230000393</v>
      </c>
      <c r="AM3668">
        <v>83.007607312861694</v>
      </c>
      <c r="AN3668">
        <v>0.99999999982670496</v>
      </c>
    </row>
    <row r="3669" spans="1:40" x14ac:dyDescent="0.25">
      <c r="A3669" t="str">
        <f>"20190303171050082"</f>
        <v>20190303171050082</v>
      </c>
      <c r="B3669" t="str">
        <f>"1551604250074540"</f>
        <v>1551604250074540</v>
      </c>
      <c r="C3669" t="s">
        <v>40</v>
      </c>
      <c r="D3669">
        <v>5.3176930000000002</v>
      </c>
      <c r="E3669">
        <v>0.44306299999999998</v>
      </c>
      <c r="F3669" t="s">
        <v>42</v>
      </c>
      <c r="G3669">
        <v>-274.85950000000003</v>
      </c>
      <c r="H3669" s="1">
        <v>-2.7068040000000002E-6</v>
      </c>
      <c r="I3669">
        <v>141.5676</v>
      </c>
      <c r="J3669">
        <v>-246.72739999999999</v>
      </c>
      <c r="K3669">
        <v>1.117686</v>
      </c>
      <c r="L3669">
        <v>140.70660000000001</v>
      </c>
      <c r="M3669">
        <v>-0.99996700000000005</v>
      </c>
      <c r="N3669">
        <v>-6.3447829999999997E-3</v>
      </c>
      <c r="O3669">
        <v>-5.0623969999999997E-3</v>
      </c>
      <c r="P3669">
        <v>-0.97529589999999999</v>
      </c>
      <c r="Q3669">
        <v>0.18992780000000001</v>
      </c>
      <c r="R3669">
        <v>0.112807199999999</v>
      </c>
      <c r="S3669">
        <v>-3.0886230000000001</v>
      </c>
      <c r="T3669">
        <v>-0.12112100000000001</v>
      </c>
      <c r="U3669">
        <v>9.3246460000000003E-2</v>
      </c>
      <c r="V3669">
        <v>0.1188872</v>
      </c>
      <c r="W3669">
        <v>0.1954167</v>
      </c>
      <c r="X3669">
        <v>0.97348760000000001</v>
      </c>
      <c r="Y3669">
        <v>3.5202219999999999E-2</v>
      </c>
      <c r="Z3669">
        <v>9.6786389999999999E-4</v>
      </c>
      <c r="AA3669">
        <v>0.99937980000000004</v>
      </c>
      <c r="AB3669">
        <v>36</v>
      </c>
      <c r="AC3669">
        <v>-28.132100000000001</v>
      </c>
      <c r="AD3669">
        <v>-1.117688706804</v>
      </c>
      <c r="AE3669">
        <v>0.86099999999999</v>
      </c>
      <c r="AF3669">
        <v>1.00182782091253</v>
      </c>
      <c r="AG3669">
        <v>-1.117688706804</v>
      </c>
      <c r="AH3669">
        <v>28.083093740183799</v>
      </c>
      <c r="AI3669">
        <v>92.277684254289994</v>
      </c>
      <c r="AJ3669">
        <v>87.956914024338005</v>
      </c>
      <c r="AK3669">
        <v>28.123176226166599</v>
      </c>
      <c r="AL3669">
        <v>78.7309327048049</v>
      </c>
      <c r="AM3669">
        <v>83.037230201068397</v>
      </c>
      <c r="AN3669">
        <v>0.99999998015824398</v>
      </c>
    </row>
    <row r="3670" spans="1:40" x14ac:dyDescent="0.25">
      <c r="A3670" t="str">
        <f>"20190303171050106"</f>
        <v>20190303171050106</v>
      </c>
      <c r="B3670" t="str">
        <f>"1551604250094060"</f>
        <v>1551604250094060</v>
      </c>
      <c r="C3670" t="s">
        <v>40</v>
      </c>
      <c r="D3670">
        <v>5.2460769999999997</v>
      </c>
      <c r="E3670">
        <v>0.39989540000000001</v>
      </c>
      <c r="F3670" t="s">
        <v>84</v>
      </c>
      <c r="G3670">
        <v>-287.82350000000002</v>
      </c>
      <c r="H3670" s="1">
        <v>-7.2702009999999997E-6</v>
      </c>
      <c r="I3670">
        <v>138.67269999999999</v>
      </c>
      <c r="J3670">
        <v>-247.1105</v>
      </c>
      <c r="K3670">
        <v>1.1176779999999999</v>
      </c>
      <c r="L3670">
        <v>140.70699999999999</v>
      </c>
      <c r="M3670">
        <v>-0.99997689999999995</v>
      </c>
      <c r="N3670">
        <v>-6.3669130000000001E-3</v>
      </c>
      <c r="O3670">
        <v>-2.413091E-3</v>
      </c>
      <c r="P3670">
        <v>-0.97508980000000001</v>
      </c>
      <c r="Q3670">
        <v>0.18972169999999999</v>
      </c>
      <c r="R3670">
        <v>0.1149163</v>
      </c>
      <c r="S3670">
        <v>-3.1102289999999999</v>
      </c>
      <c r="T3670">
        <v>-8.4589120000000004E-2</v>
      </c>
      <c r="U3670">
        <v>-0.1539307</v>
      </c>
      <c r="V3670">
        <v>0.1184182</v>
      </c>
      <c r="W3670">
        <v>0.19523190000000001</v>
      </c>
      <c r="X3670">
        <v>0.9735819</v>
      </c>
      <c r="Y3670">
        <v>-4.7000010000000002E-2</v>
      </c>
      <c r="Z3670">
        <v>-7.3814899999999903E-4</v>
      </c>
      <c r="AA3670">
        <v>0.99889459999999997</v>
      </c>
      <c r="AB3670">
        <v>36</v>
      </c>
      <c r="AC3670">
        <v>-40.713000000000001</v>
      </c>
      <c r="AD3670">
        <v>-1.1176852702010001</v>
      </c>
      <c r="AE3670">
        <v>-2.0343</v>
      </c>
      <c r="AF3670">
        <v>-1.9345935337423099</v>
      </c>
      <c r="AG3670">
        <v>-1.1176852702010001</v>
      </c>
      <c r="AH3670">
        <v>40.687202744994998</v>
      </c>
      <c r="AI3670">
        <v>91.571755516781494</v>
      </c>
      <c r="AJ3670">
        <v>92.722247238001799</v>
      </c>
      <c r="AK3670">
        <v>40.748501073246302</v>
      </c>
      <c r="AL3670">
        <v>78.741729601527894</v>
      </c>
      <c r="AM3670">
        <v>83.065094918232504</v>
      </c>
      <c r="AN3670">
        <v>1.0000000404382201</v>
      </c>
    </row>
    <row r="3671" spans="1:40" x14ac:dyDescent="0.25">
      <c r="A3671" t="str">
        <f>"20190303171050130"</f>
        <v>20190303171050130</v>
      </c>
      <c r="B3671" t="str">
        <f>"1551604250124315"</f>
        <v>1551604250124315</v>
      </c>
      <c r="C3671" t="s">
        <v>40</v>
      </c>
      <c r="D3671">
        <v>5.2192850000000002</v>
      </c>
      <c r="E3671">
        <v>0.39043240000000001</v>
      </c>
      <c r="F3671" t="s">
        <v>91</v>
      </c>
      <c r="G3671">
        <v>-383.89710000000002</v>
      </c>
      <c r="H3671">
        <v>3.6371549999999999</v>
      </c>
      <c r="I3671">
        <v>119.61879999999999</v>
      </c>
      <c r="J3671">
        <v>-247.47710000000001</v>
      </c>
      <c r="K3671">
        <v>1.1176740000000001</v>
      </c>
      <c r="L3671">
        <v>140.70830000000001</v>
      </c>
      <c r="M3671">
        <v>-0.99997959999999997</v>
      </c>
      <c r="N3671">
        <v>-6.3865730000000004E-3</v>
      </c>
      <c r="O3671">
        <v>1.207011E-4</v>
      </c>
      <c r="P3671">
        <v>-0.97445420000000005</v>
      </c>
      <c r="Q3671">
        <v>0.19113379999999999</v>
      </c>
      <c r="R3671">
        <v>0.1179273</v>
      </c>
      <c r="S3671">
        <v>-3.1221619999999999</v>
      </c>
      <c r="T3671">
        <v>5.7507280000000001E-2</v>
      </c>
      <c r="U3671">
        <v>-0.4813385</v>
      </c>
      <c r="V3671">
        <v>0.1189732</v>
      </c>
      <c r="W3671">
        <v>0.19665440000000001</v>
      </c>
      <c r="X3671">
        <v>0.97322790000000003</v>
      </c>
      <c r="Y3671">
        <v>-0.1524711</v>
      </c>
      <c r="Z3671">
        <v>9.0902699999999997E-4</v>
      </c>
      <c r="AA3671">
        <v>0.98830750000000001</v>
      </c>
      <c r="AB3671">
        <v>36</v>
      </c>
      <c r="AC3671">
        <v>-136.41999999999999</v>
      </c>
      <c r="AD3671">
        <v>2.5194809999999999</v>
      </c>
      <c r="AE3671">
        <v>-21.089500000000001</v>
      </c>
      <c r="AF3671">
        <v>-21.098937613251699</v>
      </c>
      <c r="AG3671">
        <v>2.5194809999999999</v>
      </c>
      <c r="AH3671">
        <v>136.37202430795799</v>
      </c>
      <c r="AI3671">
        <v>88.954019582103001</v>
      </c>
      <c r="AJ3671">
        <v>98.794843501179201</v>
      </c>
      <c r="AK3671">
        <v>138.01754224288899</v>
      </c>
      <c r="AL3671">
        <v>78.658615428056294</v>
      </c>
      <c r="AM3671">
        <v>83.030401984178098</v>
      </c>
      <c r="AN3671">
        <v>1.0000000603479999</v>
      </c>
    </row>
    <row r="3672" spans="1:40" x14ac:dyDescent="0.25">
      <c r="A3672" t="str">
        <f>"20190303171050150"</f>
        <v>20190303171050150</v>
      </c>
      <c r="B3672" t="str">
        <f>"1551604250144811"</f>
        <v>1551604250144811</v>
      </c>
      <c r="C3672" t="s">
        <v>40</v>
      </c>
      <c r="D3672">
        <v>5.1524289999999997</v>
      </c>
      <c r="E3672">
        <v>0.39288129999999999</v>
      </c>
      <c r="F3672" t="s">
        <v>50</v>
      </c>
      <c r="G3672">
        <v>-368.61149999999998</v>
      </c>
      <c r="H3672">
        <v>4.8367809999999896</v>
      </c>
      <c r="I3672">
        <v>119.6104</v>
      </c>
      <c r="J3672">
        <v>-247.82929999999999</v>
      </c>
      <c r="K3672">
        <v>1.117669</v>
      </c>
      <c r="L3672">
        <v>140.71039999999999</v>
      </c>
      <c r="M3672">
        <v>-0.99997619999999998</v>
      </c>
      <c r="N3672">
        <v>-6.4041489999999996E-3</v>
      </c>
      <c r="O3672">
        <v>2.5537619999999998E-3</v>
      </c>
      <c r="P3672">
        <v>-0.97373089999999995</v>
      </c>
      <c r="Q3672">
        <v>0.19296830000000001</v>
      </c>
      <c r="R3672">
        <v>0.120879</v>
      </c>
      <c r="S3672">
        <v>-3.1257169999999999</v>
      </c>
      <c r="T3672">
        <v>9.5967049999999998E-2</v>
      </c>
      <c r="U3672">
        <v>-0.54440310000000003</v>
      </c>
      <c r="V3672">
        <v>0.1195722</v>
      </c>
      <c r="W3672">
        <v>0.19849610000000001</v>
      </c>
      <c r="X3672">
        <v>0.97278050000000005</v>
      </c>
      <c r="Y3672">
        <v>-0.174037</v>
      </c>
      <c r="Z3672">
        <v>2.1835930000000002E-3</v>
      </c>
      <c r="AA3672">
        <v>0.98473670000000002</v>
      </c>
      <c r="AB3672">
        <v>36</v>
      </c>
      <c r="AC3672">
        <v>-120.7822</v>
      </c>
      <c r="AD3672">
        <v>3.7191119999999902</v>
      </c>
      <c r="AE3672">
        <v>-21.099999999999898</v>
      </c>
      <c r="AF3672">
        <v>-21.3887075895584</v>
      </c>
      <c r="AG3672">
        <v>3.7191119999999902</v>
      </c>
      <c r="AH3672">
        <v>120.616945608332</v>
      </c>
      <c r="AI3672">
        <v>88.261009824990296</v>
      </c>
      <c r="AJ3672">
        <v>100.05559026826199</v>
      </c>
      <c r="AK3672">
        <v>122.555114843501</v>
      </c>
      <c r="AL3672">
        <v>78.550971841379905</v>
      </c>
      <c r="AM3672">
        <v>82.992470120187505</v>
      </c>
      <c r="AN3672">
        <v>1.0000000569541401</v>
      </c>
    </row>
    <row r="3673" spans="1:40" x14ac:dyDescent="0.25">
      <c r="A3673" t="str">
        <f>"20190303171050172"</f>
        <v>20190303171050172</v>
      </c>
      <c r="B3673" t="str">
        <f>"1551604250164332"</f>
        <v>1551604250164332</v>
      </c>
      <c r="C3673" t="s">
        <v>40</v>
      </c>
      <c r="D3673">
        <v>5.2508559999999997</v>
      </c>
      <c r="E3673">
        <v>0.39280300000000001</v>
      </c>
      <c r="F3673" t="s">
        <v>91</v>
      </c>
      <c r="G3673">
        <v>-373.74630000000002</v>
      </c>
      <c r="H3673">
        <v>15.47401</v>
      </c>
      <c r="I3673">
        <v>120.1861</v>
      </c>
      <c r="J3673">
        <v>-248.18430000000001</v>
      </c>
      <c r="K3673">
        <v>1.117664</v>
      </c>
      <c r="L3673">
        <v>140.71340000000001</v>
      </c>
      <c r="M3673">
        <v>-0.99996689999999999</v>
      </c>
      <c r="N3673">
        <v>-6.4207250000000004E-3</v>
      </c>
      <c r="O3673">
        <v>5.0044659999999999E-3</v>
      </c>
      <c r="P3673">
        <v>-0.97329840000000001</v>
      </c>
      <c r="Q3673">
        <v>0.1934351</v>
      </c>
      <c r="R3673">
        <v>0.1235851</v>
      </c>
      <c r="S3673">
        <v>-3.0736849999999998</v>
      </c>
      <c r="T3673">
        <v>0.35044399999999998</v>
      </c>
      <c r="U3673">
        <v>-0.50100710000000004</v>
      </c>
      <c r="V3673">
        <v>0.11990149999999999</v>
      </c>
      <c r="W3673">
        <v>0.1989727</v>
      </c>
      <c r="X3673">
        <v>0.97264249999999997</v>
      </c>
      <c r="Y3673">
        <v>-0.16479759999999999</v>
      </c>
      <c r="Z3673">
        <v>9.3663140000000006E-3</v>
      </c>
      <c r="AA3673">
        <v>0.98628289999999996</v>
      </c>
      <c r="AB3673">
        <v>36</v>
      </c>
      <c r="AC3673">
        <v>-125.562</v>
      </c>
      <c r="AD3673">
        <v>14.356345999999901</v>
      </c>
      <c r="AE3673">
        <v>-20.5273</v>
      </c>
      <c r="AF3673">
        <v>-20.889449994899</v>
      </c>
      <c r="AG3673">
        <v>14.356345999999901</v>
      </c>
      <c r="AH3673">
        <v>123.88038021654</v>
      </c>
      <c r="AI3673">
        <v>83.480777547948094</v>
      </c>
      <c r="AJ3673">
        <v>99.571513468350204</v>
      </c>
      <c r="AK3673">
        <v>126.446915320839</v>
      </c>
      <c r="AL3673">
        <v>78.523107878873702</v>
      </c>
      <c r="AM3673">
        <v>82.972377168850997</v>
      </c>
      <c r="AN3673">
        <v>0.99999996892689402</v>
      </c>
    </row>
    <row r="3674" spans="1:40" x14ac:dyDescent="0.25">
      <c r="A3674" t="str">
        <f>"20190303171050194"</f>
        <v>20190303171050194</v>
      </c>
      <c r="B3674" t="str">
        <f>"1551604250184827"</f>
        <v>1551604250184827</v>
      </c>
      <c r="C3674" t="s">
        <v>40</v>
      </c>
      <c r="D3674">
        <v>5.1915969999999998</v>
      </c>
      <c r="E3674">
        <v>0.39274029999999999</v>
      </c>
      <c r="F3674" t="s">
        <v>91</v>
      </c>
      <c r="G3674">
        <v>-379.80450000000002</v>
      </c>
      <c r="H3674">
        <v>16.174499999999998</v>
      </c>
      <c r="I3674">
        <v>119.6147</v>
      </c>
      <c r="J3674">
        <v>-248.55189999999999</v>
      </c>
      <c r="K3674">
        <v>1.1176549999999901</v>
      </c>
      <c r="L3674">
        <v>140.7174</v>
      </c>
      <c r="M3674">
        <v>-0.99995100000000003</v>
      </c>
      <c r="N3674">
        <v>-6.4367769999999899E-3</v>
      </c>
      <c r="O3674">
        <v>7.5353969999999897E-3</v>
      </c>
      <c r="P3674">
        <v>-0.97302100000000002</v>
      </c>
      <c r="Q3674">
        <v>0.19312460000000001</v>
      </c>
      <c r="R3674">
        <v>0.12622800000000001</v>
      </c>
      <c r="S3674">
        <v>-3.0749819999999999</v>
      </c>
      <c r="T3674">
        <v>0.35176590000000002</v>
      </c>
      <c r="U3674">
        <v>-0.49291990000000002</v>
      </c>
      <c r="V3674">
        <v>0.1200843</v>
      </c>
      <c r="W3674">
        <v>0.19867370000000001</v>
      </c>
      <c r="X3674">
        <v>0.97268109999999997</v>
      </c>
      <c r="Y3674">
        <v>-0.16467499999999999</v>
      </c>
      <c r="Z3674">
        <v>9.6965230000000003E-3</v>
      </c>
      <c r="AA3674">
        <v>0.98630019999999996</v>
      </c>
      <c r="AB3674">
        <v>36</v>
      </c>
      <c r="AC3674">
        <v>-131.2526</v>
      </c>
      <c r="AD3674">
        <v>15.056844999999999</v>
      </c>
      <c r="AE3674">
        <v>-21.102699999999999</v>
      </c>
      <c r="AF3674">
        <v>-21.811359541819801</v>
      </c>
      <c r="AG3674">
        <v>15.056844999999999</v>
      </c>
      <c r="AH3674">
        <v>129.429495674115</v>
      </c>
      <c r="AI3674">
        <v>83.455924091373006</v>
      </c>
      <c r="AJ3674">
        <v>99.565566636599698</v>
      </c>
      <c r="AK3674">
        <v>132.11524642096501</v>
      </c>
      <c r="AL3674">
        <v>78.540588671460497</v>
      </c>
      <c r="AM3674">
        <v>82.962046844745998</v>
      </c>
      <c r="AN3674">
        <v>1.0000000002376901</v>
      </c>
    </row>
    <row r="3675" spans="1:40" x14ac:dyDescent="0.25">
      <c r="A3675" t="str">
        <f>"20190303171050217"</f>
        <v>20190303171050217</v>
      </c>
      <c r="B3675" t="str">
        <f>"1551604250204348"</f>
        <v>1551604250204348</v>
      </c>
      <c r="C3675" t="s">
        <v>40</v>
      </c>
      <c r="D3675">
        <v>5.0325860000000002</v>
      </c>
      <c r="E3675">
        <v>0.38368669999999999</v>
      </c>
      <c r="F3675" t="s">
        <v>91</v>
      </c>
      <c r="G3675">
        <v>-382.34500000000003</v>
      </c>
      <c r="H3675">
        <v>16.359929999999999</v>
      </c>
      <c r="I3675">
        <v>119.6146</v>
      </c>
      <c r="J3675">
        <v>-248.91120000000001</v>
      </c>
      <c r="K3675">
        <v>1.1176429999999999</v>
      </c>
      <c r="L3675">
        <v>140.72219999999999</v>
      </c>
      <c r="M3675">
        <v>-0.99992919999999996</v>
      </c>
      <c r="N3675">
        <v>-6.4511809999999899E-3</v>
      </c>
      <c r="O3675">
        <v>9.9985549999999992E-3</v>
      </c>
      <c r="P3675">
        <v>-0.97283509999999995</v>
      </c>
      <c r="Q3675">
        <v>0.19247600000000001</v>
      </c>
      <c r="R3675">
        <v>0.128627399999999</v>
      </c>
      <c r="S3675">
        <v>-3.076584</v>
      </c>
      <c r="T3675">
        <v>0.35049750000000002</v>
      </c>
      <c r="U3675">
        <v>-0.48526000000000002</v>
      </c>
      <c r="V3675">
        <v>0.1200855</v>
      </c>
      <c r="W3675">
        <v>0.19803850000000001</v>
      </c>
      <c r="X3675">
        <v>0.97281050000000002</v>
      </c>
      <c r="Y3675">
        <v>-0.16461999999999999</v>
      </c>
      <c r="Z3675">
        <v>9.9467459999999994E-3</v>
      </c>
      <c r="AA3675">
        <v>0.98630689999999999</v>
      </c>
      <c r="AB3675">
        <v>37</v>
      </c>
      <c r="AC3675">
        <v>-133.43379999999999</v>
      </c>
      <c r="AD3675">
        <v>15.242286999999999</v>
      </c>
      <c r="AE3675">
        <v>-21.107599999999898</v>
      </c>
      <c r="AF3675">
        <v>-22.158634248612199</v>
      </c>
      <c r="AG3675">
        <v>15.242286999999999</v>
      </c>
      <c r="AH3675">
        <v>131.54153158493801</v>
      </c>
      <c r="AI3675">
        <v>83.4814006535304</v>
      </c>
      <c r="AJ3675">
        <v>99.561905499045693</v>
      </c>
      <c r="AK3675">
        <v>134.26282775387</v>
      </c>
      <c r="AL3675">
        <v>78.577721015446997</v>
      </c>
      <c r="AM3675">
        <v>82.962904007245797</v>
      </c>
      <c r="AN3675">
        <v>1.00000002185137</v>
      </c>
    </row>
    <row r="3676" spans="1:40" x14ac:dyDescent="0.25">
      <c r="A3676" t="str">
        <f>"20190303171050239"</f>
        <v>20190303171050239</v>
      </c>
      <c r="B3676" t="str">
        <f>"1551604250224844"</f>
        <v>1551604250224844</v>
      </c>
      <c r="C3676" t="s">
        <v>40</v>
      </c>
      <c r="D3676">
        <v>5.0180300000000004</v>
      </c>
      <c r="E3676">
        <v>0.38116689999999998</v>
      </c>
      <c r="F3676" t="s">
        <v>50</v>
      </c>
      <c r="G3676">
        <v>-368.61149999999998</v>
      </c>
      <c r="H3676">
        <v>4.1670569999999998</v>
      </c>
      <c r="I3676">
        <v>119.1983</v>
      </c>
      <c r="J3676">
        <v>-249.2715</v>
      </c>
      <c r="K3676">
        <v>1.1176379999999999</v>
      </c>
      <c r="L3676">
        <v>140.72790000000001</v>
      </c>
      <c r="M3676">
        <v>-0.9999017</v>
      </c>
      <c r="N3676">
        <v>-6.4646340000000004E-3</v>
      </c>
      <c r="O3676">
        <v>1.244925E-2</v>
      </c>
      <c r="P3676">
        <v>-0.97263129999999998</v>
      </c>
      <c r="Q3676">
        <v>0.19158040000000001</v>
      </c>
      <c r="R3676">
        <v>0.131473799999999</v>
      </c>
      <c r="S3676">
        <v>-3.1426539999999998</v>
      </c>
      <c r="T3676">
        <v>8.0060720000000002E-2</v>
      </c>
      <c r="U3676">
        <v>-0.56509399999999999</v>
      </c>
      <c r="V3676">
        <v>0.1205418</v>
      </c>
      <c r="W3676">
        <v>0.1971532</v>
      </c>
      <c r="X3676">
        <v>0.97293379999999996</v>
      </c>
      <c r="Y3676">
        <v>-0.189165</v>
      </c>
      <c r="Z3676">
        <v>2.1680710000000001E-3</v>
      </c>
      <c r="AA3676">
        <v>0.98194300000000001</v>
      </c>
      <c r="AB3676">
        <v>37</v>
      </c>
      <c r="AC3676">
        <v>-119.33999999999899</v>
      </c>
      <c r="AD3676">
        <v>3.0494189999999999</v>
      </c>
      <c r="AE3676">
        <v>-21.529599999999999</v>
      </c>
      <c r="AF3676">
        <v>-22.999112573354399</v>
      </c>
      <c r="AG3676">
        <v>3.0494189999999999</v>
      </c>
      <c r="AH3676">
        <v>118.987477534608</v>
      </c>
      <c r="AI3676">
        <v>88.558608801356797</v>
      </c>
      <c r="AJ3676">
        <v>100.939802726149</v>
      </c>
      <c r="AK3676">
        <v>121.228206063805</v>
      </c>
      <c r="AL3676">
        <v>78.629464288705094</v>
      </c>
      <c r="AM3676">
        <v>82.937320236552594</v>
      </c>
      <c r="AN3676">
        <v>0.99999994449995799</v>
      </c>
    </row>
    <row r="3677" spans="1:40" x14ac:dyDescent="0.25">
      <c r="A3677" t="str">
        <f>"20190303171050261"</f>
        <v>20190303171050261</v>
      </c>
      <c r="B3677" t="str">
        <f>"1551604250254787"</f>
        <v>1551604250254787</v>
      </c>
      <c r="C3677" t="s">
        <v>40</v>
      </c>
      <c r="D3677">
        <v>4.9591760000000003</v>
      </c>
      <c r="E3677">
        <v>0.38010650000000001</v>
      </c>
      <c r="F3677" t="s">
        <v>50</v>
      </c>
      <c r="G3677">
        <v>-368.61149999999998</v>
      </c>
      <c r="H3677">
        <v>16.410350000000001</v>
      </c>
      <c r="I3677">
        <v>119.1157</v>
      </c>
      <c r="J3677">
        <v>-249.6601</v>
      </c>
      <c r="K3677">
        <v>1.1176379999999999</v>
      </c>
      <c r="L3677">
        <v>140.73500000000001</v>
      </c>
      <c r="M3677">
        <v>-0.99986549999999996</v>
      </c>
      <c r="N3677">
        <v>-6.4783810000000001E-3</v>
      </c>
      <c r="O3677">
        <v>1.5067560000000001E-2</v>
      </c>
      <c r="P3677">
        <v>-0.9724585</v>
      </c>
      <c r="Q3677">
        <v>0.1909875</v>
      </c>
      <c r="R3677">
        <v>0.13359740000000001</v>
      </c>
      <c r="S3677">
        <v>-3.0820470000000002</v>
      </c>
      <c r="T3677">
        <v>0.39494620000000003</v>
      </c>
      <c r="U3677">
        <v>-0.55815119999999996</v>
      </c>
      <c r="V3677">
        <v>0.1201115</v>
      </c>
      <c r="W3677">
        <v>0.19657859999999999</v>
      </c>
      <c r="X3677">
        <v>0.9731033</v>
      </c>
      <c r="Y3677">
        <v>-0.19143589999999999</v>
      </c>
      <c r="Z3677">
        <v>1.349556E-2</v>
      </c>
      <c r="AA3677">
        <v>0.98141239999999996</v>
      </c>
      <c r="AB3677">
        <v>37</v>
      </c>
      <c r="AC3677">
        <v>-118.951399999999</v>
      </c>
      <c r="AD3677">
        <v>15.292712</v>
      </c>
      <c r="AE3677">
        <v>-21.619299999999999</v>
      </c>
      <c r="AF3677">
        <v>-23.040545376727</v>
      </c>
      <c r="AG3677">
        <v>15.292712</v>
      </c>
      <c r="AH3677">
        <v>116.74424875403901</v>
      </c>
      <c r="AI3677">
        <v>82.676811627941603</v>
      </c>
      <c r="AJ3677">
        <v>101.164368747438</v>
      </c>
      <c r="AK3677">
        <v>119.97480314098</v>
      </c>
      <c r="AL3677">
        <v>78.663043933909407</v>
      </c>
      <c r="AM3677">
        <v>82.963492302865902</v>
      </c>
      <c r="AN3677">
        <v>0.99999997544054897</v>
      </c>
    </row>
    <row r="3678" spans="1:40" x14ac:dyDescent="0.25">
      <c r="A3678" t="str">
        <f>"20190303171050284"</f>
        <v>20190303171050284</v>
      </c>
      <c r="B3678" t="str">
        <f>"1551604250275282"</f>
        <v>1551604250275282</v>
      </c>
      <c r="C3678" t="s">
        <v>40</v>
      </c>
      <c r="D3678">
        <v>4.9459910000000002</v>
      </c>
      <c r="E3678">
        <v>0.37972929999999999</v>
      </c>
      <c r="F3678" t="s">
        <v>50</v>
      </c>
      <c r="G3678">
        <v>-368.61149999999998</v>
      </c>
      <c r="H3678">
        <v>16.903870000000001</v>
      </c>
      <c r="I3678">
        <v>119.1681</v>
      </c>
      <c r="J3678">
        <v>-250.0359</v>
      </c>
      <c r="K3678">
        <v>1.1176379999999999</v>
      </c>
      <c r="L3678">
        <v>140.74279999999999</v>
      </c>
      <c r="M3678">
        <v>-0.9998245</v>
      </c>
      <c r="N3678">
        <v>-6.4909989999999999E-3</v>
      </c>
      <c r="O3678">
        <v>1.757732E-2</v>
      </c>
      <c r="P3678">
        <v>-0.97200730000000002</v>
      </c>
      <c r="Q3678">
        <v>0.19125020000000001</v>
      </c>
      <c r="R3678">
        <v>0.13647519999999999</v>
      </c>
      <c r="S3678">
        <v>-3.0814059999999999</v>
      </c>
      <c r="T3678">
        <v>0.40893849999999998</v>
      </c>
      <c r="U3678">
        <v>-0.55868530000000005</v>
      </c>
      <c r="V3678">
        <v>0.1205498</v>
      </c>
      <c r="W3678">
        <v>0.19685169999999999</v>
      </c>
      <c r="X3678">
        <v>0.97299389999999997</v>
      </c>
      <c r="Y3678">
        <v>-0.19393920000000001</v>
      </c>
      <c r="Z3678">
        <v>1.4490940000000001E-2</v>
      </c>
      <c r="AA3678">
        <v>0.98090650000000001</v>
      </c>
      <c r="AB3678">
        <v>37</v>
      </c>
      <c r="AC3678">
        <v>-118.575599999999</v>
      </c>
      <c r="AD3678">
        <v>15.786232</v>
      </c>
      <c r="AE3678">
        <v>-21.5747</v>
      </c>
      <c r="AF3678">
        <v>-23.256655409685699</v>
      </c>
      <c r="AG3678">
        <v>15.786232</v>
      </c>
      <c r="AH3678">
        <v>116.184755254103</v>
      </c>
      <c r="AI3678">
        <v>82.411234886947895</v>
      </c>
      <c r="AJ3678">
        <v>101.319275515699</v>
      </c>
      <c r="AK3678">
        <v>119.53649858958801</v>
      </c>
      <c r="AL3678">
        <v>78.647084763668701</v>
      </c>
      <c r="AM3678">
        <v>82.937288112655807</v>
      </c>
      <c r="AN3678">
        <v>0.99999998775506904</v>
      </c>
    </row>
    <row r="3679" spans="1:40" x14ac:dyDescent="0.25">
      <c r="A3679" t="str">
        <f>"20190303171050306"</f>
        <v>20190303171050306</v>
      </c>
      <c r="B3679" t="str">
        <f>"1551604250294802"</f>
        <v>1551604250294802</v>
      </c>
      <c r="C3679" t="s">
        <v>40</v>
      </c>
      <c r="D3679">
        <v>4.9495809999999896</v>
      </c>
      <c r="E3679">
        <v>0.37918220000000002</v>
      </c>
      <c r="F3679" t="s">
        <v>50</v>
      </c>
      <c r="G3679">
        <v>-368.61149999999998</v>
      </c>
      <c r="H3679">
        <v>17.17991</v>
      </c>
      <c r="I3679">
        <v>119.4967</v>
      </c>
      <c r="J3679">
        <v>-250.3947</v>
      </c>
      <c r="K3679">
        <v>1.1176429999999999</v>
      </c>
      <c r="L3679">
        <v>140.75110000000001</v>
      </c>
      <c r="M3679">
        <v>-0.99977990000000005</v>
      </c>
      <c r="N3679">
        <v>-6.502519E-3</v>
      </c>
      <c r="O3679">
        <v>1.9950160000000002E-2</v>
      </c>
      <c r="P3679">
        <v>-0.97162879999999996</v>
      </c>
      <c r="Q3679">
        <v>0.19131619999999999</v>
      </c>
      <c r="R3679">
        <v>0.13905379999999901</v>
      </c>
      <c r="S3679">
        <v>-3.081772</v>
      </c>
      <c r="T3679">
        <v>0.41745759999999998</v>
      </c>
      <c r="U3679">
        <v>-0.55218509999999998</v>
      </c>
      <c r="V3679">
        <v>0.12082039999999999</v>
      </c>
      <c r="W3679">
        <v>0.1969283</v>
      </c>
      <c r="X3679">
        <v>0.9729449</v>
      </c>
      <c r="Y3679">
        <v>-0.19414310000000001</v>
      </c>
      <c r="Z3679">
        <v>1.5146990000000001E-2</v>
      </c>
      <c r="AA3679">
        <v>0.98085630000000001</v>
      </c>
      <c r="AB3679">
        <v>37</v>
      </c>
      <c r="AC3679">
        <v>-118.216799999999</v>
      </c>
      <c r="AD3679">
        <v>16.062266999999999</v>
      </c>
      <c r="AE3679">
        <v>-21.2544</v>
      </c>
      <c r="AF3679">
        <v>-23.1938886342631</v>
      </c>
      <c r="AG3679">
        <v>16.062266999999999</v>
      </c>
      <c r="AH3679">
        <v>115.700174603787</v>
      </c>
      <c r="AI3679">
        <v>82.248621788936603</v>
      </c>
      <c r="AJ3679">
        <v>101.33557330127699</v>
      </c>
      <c r="AK3679">
        <v>119.090231734197</v>
      </c>
      <c r="AL3679">
        <v>78.642609015048393</v>
      </c>
      <c r="AM3679">
        <v>82.921242107191503</v>
      </c>
      <c r="AN3679">
        <v>1.0000000514165199</v>
      </c>
    </row>
    <row r="3680" spans="1:40" x14ac:dyDescent="0.25">
      <c r="A3680" t="str">
        <f>"20190303171050330"</f>
        <v>20190303171050330</v>
      </c>
      <c r="B3680" t="str">
        <f>"1551604250325059"</f>
        <v>1551604250325059</v>
      </c>
      <c r="C3680" t="s">
        <v>40</v>
      </c>
      <c r="D3680">
        <v>4.9651129999999997</v>
      </c>
      <c r="E3680">
        <v>0.37863390000000002</v>
      </c>
      <c r="F3680" t="s">
        <v>50</v>
      </c>
      <c r="G3680">
        <v>-368.61149999999998</v>
      </c>
      <c r="H3680">
        <v>17.356289999999898</v>
      </c>
      <c r="I3680">
        <v>119.7253</v>
      </c>
      <c r="J3680">
        <v>-250.8004</v>
      </c>
      <c r="K3680">
        <v>1.1176549999999901</v>
      </c>
      <c r="L3680">
        <v>140.76150000000001</v>
      </c>
      <c r="M3680">
        <v>-0.99972329999999998</v>
      </c>
      <c r="N3680">
        <v>-6.5149469999999897E-3</v>
      </c>
      <c r="O3680">
        <v>2.2600889999999998E-2</v>
      </c>
      <c r="P3680">
        <v>-0.97136800000000001</v>
      </c>
      <c r="Q3680">
        <v>0.1909815</v>
      </c>
      <c r="R3680">
        <v>0.14131579999999999</v>
      </c>
      <c r="S3680">
        <v>-3.0826720000000001</v>
      </c>
      <c r="T3680">
        <v>0.42344609999999999</v>
      </c>
      <c r="U3680">
        <v>-0.54827879999999996</v>
      </c>
      <c r="V3680">
        <v>0.1204983</v>
      </c>
      <c r="W3680">
        <v>0.19661139999999999</v>
      </c>
      <c r="X3680">
        <v>0.97304889999999999</v>
      </c>
      <c r="Y3680">
        <v>-0.19539809999999999</v>
      </c>
      <c r="Z3680">
        <v>1.5823719999999999E-2</v>
      </c>
      <c r="AA3680">
        <v>0.98059640000000003</v>
      </c>
      <c r="AB3680">
        <v>37</v>
      </c>
      <c r="AC3680">
        <v>-117.811099999999</v>
      </c>
      <c r="AD3680">
        <v>16.238634999999999</v>
      </c>
      <c r="AE3680">
        <v>-21.036200000000001</v>
      </c>
      <c r="AF3680">
        <v>-23.265165368803999</v>
      </c>
      <c r="AG3680">
        <v>16.238634999999999</v>
      </c>
      <c r="AH3680">
        <v>115.184800330008</v>
      </c>
      <c r="AI3680">
        <v>82.132218957710705</v>
      </c>
      <c r="AJ3680">
        <v>101.419039794612</v>
      </c>
      <c r="AK3680">
        <v>118.627565992752</v>
      </c>
      <c r="AL3680">
        <v>78.661127766323105</v>
      </c>
      <c r="AM3680">
        <v>82.940669929742796</v>
      </c>
      <c r="AN3680">
        <v>1.00000002235202</v>
      </c>
    </row>
    <row r="3681" spans="1:40" x14ac:dyDescent="0.25">
      <c r="A3681" t="str">
        <f>"20190303171050352"</f>
        <v>20190303171050352</v>
      </c>
      <c r="B3681" t="str">
        <f>"1551604250344579"</f>
        <v>1551604250344579</v>
      </c>
      <c r="C3681" t="s">
        <v>40</v>
      </c>
      <c r="D3681">
        <v>4.950609</v>
      </c>
      <c r="E3681">
        <v>0.37808960000000003</v>
      </c>
      <c r="F3681" t="s">
        <v>50</v>
      </c>
      <c r="G3681">
        <v>-369.46080000000001</v>
      </c>
      <c r="H3681">
        <v>17.560079999999999</v>
      </c>
      <c r="I3681">
        <v>119.77460000000001</v>
      </c>
      <c r="J3681">
        <v>-251.1678</v>
      </c>
      <c r="K3681">
        <v>1.1176630000000001</v>
      </c>
      <c r="L3681">
        <v>140.77170000000001</v>
      </c>
      <c r="M3681">
        <v>-0.99966710000000003</v>
      </c>
      <c r="N3681">
        <v>-6.5255769999999899E-3</v>
      </c>
      <c r="O3681">
        <v>2.496663E-2</v>
      </c>
      <c r="P3681">
        <v>-0.97112410000000005</v>
      </c>
      <c r="Q3681">
        <v>0.19065090000000001</v>
      </c>
      <c r="R3681">
        <v>0.14342389999999999</v>
      </c>
      <c r="S3681">
        <v>-3.083771</v>
      </c>
      <c r="T3681">
        <v>0.42730940000000001</v>
      </c>
      <c r="U3681">
        <v>-0.54541019999999996</v>
      </c>
      <c r="V3681">
        <v>0.1202983</v>
      </c>
      <c r="W3681">
        <v>0.19629579999999999</v>
      </c>
      <c r="X3681">
        <v>0.97313740000000004</v>
      </c>
      <c r="Y3681">
        <v>-0.19670299999999999</v>
      </c>
      <c r="Z3681">
        <v>1.63903E-2</v>
      </c>
      <c r="AA3681">
        <v>0.98032609999999998</v>
      </c>
      <c r="AB3681">
        <v>37</v>
      </c>
      <c r="AC3681">
        <v>-118.292999999999</v>
      </c>
      <c r="AD3681">
        <v>16.442416999999999</v>
      </c>
      <c r="AE3681">
        <v>-20.9971</v>
      </c>
      <c r="AF3681">
        <v>-23.503765680917301</v>
      </c>
      <c r="AG3681">
        <v>16.442416999999999</v>
      </c>
      <c r="AH3681">
        <v>115.567294122275</v>
      </c>
      <c r="AI3681">
        <v>82.062900078102501</v>
      </c>
      <c r="AJ3681">
        <v>101.495874273122</v>
      </c>
      <c r="AK3681">
        <v>119.07384074065</v>
      </c>
      <c r="AL3681">
        <v>78.679570129126205</v>
      </c>
      <c r="AM3681">
        <v>82.952903394639605</v>
      </c>
      <c r="AN3681">
        <v>1.00000006067964</v>
      </c>
    </row>
    <row r="3682" spans="1:40" x14ac:dyDescent="0.25">
      <c r="A3682" t="str">
        <f>"20190303171050373"</f>
        <v>20190303171050373</v>
      </c>
      <c r="B3682" t="str">
        <f>"1551604250364609"</f>
        <v>1551604250364609</v>
      </c>
      <c r="C3682" t="s">
        <v>40</v>
      </c>
      <c r="D3682">
        <v>5.1279500000000002</v>
      </c>
      <c r="E3682">
        <v>0.40387489999999998</v>
      </c>
      <c r="F3682" t="s">
        <v>50</v>
      </c>
      <c r="G3682">
        <v>-370.4984</v>
      </c>
      <c r="H3682">
        <v>17.715319999999998</v>
      </c>
      <c r="I3682">
        <v>119.7747</v>
      </c>
      <c r="J3682">
        <v>-251.53229999999999</v>
      </c>
      <c r="K3682">
        <v>1.1176820000000001</v>
      </c>
      <c r="L3682">
        <v>140.78270000000001</v>
      </c>
      <c r="M3682">
        <v>-0.99960680000000002</v>
      </c>
      <c r="N3682">
        <v>-6.535379E-3</v>
      </c>
      <c r="O3682">
        <v>2.7271400000000001E-2</v>
      </c>
      <c r="P3682">
        <v>-0.9708968</v>
      </c>
      <c r="Q3682">
        <v>0.19071869999999999</v>
      </c>
      <c r="R3682">
        <v>0.14486559999999901</v>
      </c>
      <c r="S3682">
        <v>-3.0851139999999999</v>
      </c>
      <c r="T3682">
        <v>0.42910769999999998</v>
      </c>
      <c r="U3682">
        <v>-0.54284670000000002</v>
      </c>
      <c r="V3682">
        <v>0.1194904</v>
      </c>
      <c r="W3682">
        <v>0.19638410000000001</v>
      </c>
      <c r="X3682">
        <v>0.97321899999999995</v>
      </c>
      <c r="Y3682">
        <v>-0.198048</v>
      </c>
      <c r="Z3682">
        <v>1.6873679999999999E-2</v>
      </c>
      <c r="AA3682">
        <v>0.98004709999999995</v>
      </c>
      <c r="AB3682">
        <v>37</v>
      </c>
      <c r="AC3682">
        <v>-118.9661</v>
      </c>
      <c r="AD3682">
        <v>16.597638</v>
      </c>
      <c r="AE3682">
        <v>-21.007999999999999</v>
      </c>
      <c r="AF3682">
        <v>-23.795463710849699</v>
      </c>
      <c r="AG3682">
        <v>16.597638</v>
      </c>
      <c r="AH3682">
        <v>116.15635223413</v>
      </c>
      <c r="AI3682">
        <v>82.031323989601603</v>
      </c>
      <c r="AJ3682">
        <v>101.57727349295401</v>
      </c>
      <c r="AK3682">
        <v>119.724700228201</v>
      </c>
      <c r="AL3682">
        <v>78.674409170411394</v>
      </c>
      <c r="AM3682">
        <v>83.000340308356996</v>
      </c>
      <c r="AN3682">
        <v>0.99999994619298305</v>
      </c>
    </row>
    <row r="3683" spans="1:40" x14ac:dyDescent="0.25">
      <c r="A3683" t="str">
        <f>"20190303171050396"</f>
        <v>20190303171050396</v>
      </c>
      <c r="B3683" t="str">
        <f>"1551604250384129"</f>
        <v>1551604250384129</v>
      </c>
      <c r="C3683" t="s">
        <v>40</v>
      </c>
      <c r="D3683">
        <v>5.0670909999999996</v>
      </c>
      <c r="E3683">
        <v>0.44492150000000003</v>
      </c>
      <c r="F3683" t="s">
        <v>69</v>
      </c>
      <c r="G3683">
        <v>-442.61989999999997</v>
      </c>
      <c r="H3683">
        <v>26.338789999999999</v>
      </c>
      <c r="I3683">
        <v>119.8177</v>
      </c>
      <c r="J3683">
        <v>-251.90350000000001</v>
      </c>
      <c r="K3683">
        <v>1.1177109999999999</v>
      </c>
      <c r="L3683">
        <v>140.79480000000001</v>
      </c>
      <c r="M3683">
        <v>-0.99954149999999997</v>
      </c>
      <c r="N3683">
        <v>-6.5446649999999999E-3</v>
      </c>
      <c r="O3683">
        <v>2.9564710000000001E-2</v>
      </c>
      <c r="P3683">
        <v>-0.97044839999999999</v>
      </c>
      <c r="Q3683">
        <v>0.1915008</v>
      </c>
      <c r="R3683">
        <v>0.14682490000000001</v>
      </c>
      <c r="S3683">
        <v>-3.0606840000000002</v>
      </c>
      <c r="T3683">
        <v>0.40397110000000003</v>
      </c>
      <c r="U3683">
        <v>-0.33580019999999999</v>
      </c>
      <c r="V3683">
        <v>0.11921710000000001</v>
      </c>
      <c r="W3683">
        <v>0.1971841</v>
      </c>
      <c r="X3683">
        <v>0.97309080000000003</v>
      </c>
      <c r="Y3683">
        <v>-0.13700590000000001</v>
      </c>
      <c r="Z3683">
        <v>1.2591359999999999E-2</v>
      </c>
      <c r="AA3683">
        <v>0.99049019999999999</v>
      </c>
      <c r="AB3683">
        <v>37</v>
      </c>
      <c r="AC3683">
        <v>-190.71639999999999</v>
      </c>
      <c r="AD3683">
        <v>25.221079</v>
      </c>
      <c r="AE3683">
        <v>-20.9771</v>
      </c>
      <c r="AF3683">
        <v>-26.154589726149499</v>
      </c>
      <c r="AG3683">
        <v>25.221079</v>
      </c>
      <c r="AH3683">
        <v>186.78529528517601</v>
      </c>
      <c r="AI3683">
        <v>82.383447985308905</v>
      </c>
      <c r="AJ3683">
        <v>97.971008856880999</v>
      </c>
      <c r="AK3683">
        <v>190.28639448063001</v>
      </c>
      <c r="AL3683">
        <v>78.627658987928001</v>
      </c>
      <c r="AM3683">
        <v>83.015280744620895</v>
      </c>
      <c r="AN3683">
        <v>0.99999999563493003</v>
      </c>
    </row>
    <row r="3684" spans="1:40" x14ac:dyDescent="0.25">
      <c r="A3684" t="str">
        <f>"20190303171050418"</f>
        <v>20190303171050418</v>
      </c>
      <c r="B3684" t="str">
        <f>"1551604250414384"</f>
        <v>1551604250414384</v>
      </c>
      <c r="C3684" t="s">
        <v>40</v>
      </c>
      <c r="D3684">
        <v>5.0202269999999896</v>
      </c>
      <c r="E3684">
        <v>0.4465305</v>
      </c>
      <c r="F3684" t="s">
        <v>62</v>
      </c>
      <c r="G3684">
        <v>0</v>
      </c>
      <c r="H3684">
        <v>0</v>
      </c>
      <c r="I3684">
        <v>0</v>
      </c>
      <c r="J3684">
        <v>-252.27189999999999</v>
      </c>
      <c r="K3684">
        <v>1.117748</v>
      </c>
      <c r="L3684">
        <v>140.8075</v>
      </c>
      <c r="M3684">
        <v>-0.99947379999999997</v>
      </c>
      <c r="N3684">
        <v>-6.553311E-3</v>
      </c>
      <c r="O3684">
        <v>3.1770859999999998E-2</v>
      </c>
      <c r="P3684">
        <v>-0.9699082</v>
      </c>
      <c r="Q3684">
        <v>0.1918696</v>
      </c>
      <c r="R3684">
        <v>0.14988099999999999</v>
      </c>
      <c r="S3684">
        <v>-3.0176850000000002</v>
      </c>
      <c r="T3684">
        <v>0.3784981</v>
      </c>
      <c r="U3684">
        <v>-6.546021E-3</v>
      </c>
      <c r="V3684">
        <v>0.1201208</v>
      </c>
      <c r="W3684">
        <v>0.1975664</v>
      </c>
      <c r="X3684">
        <v>0.97290209999999999</v>
      </c>
      <c r="Y3684">
        <v>-3.3415979999999998E-2</v>
      </c>
      <c r="Z3684">
        <v>6.1538110000000004E-3</v>
      </c>
      <c r="AA3684">
        <v>0.99942260000000005</v>
      </c>
      <c r="AB3684">
        <v>37</v>
      </c>
      <c r="AC3684">
        <v>-3.0176850000000002</v>
      </c>
      <c r="AD3684">
        <v>0.3784981</v>
      </c>
      <c r="AE3684">
        <v>-6.546021E-3</v>
      </c>
      <c r="AF3684">
        <v>-0.10083293225851001</v>
      </c>
      <c r="AG3684">
        <v>0.3784981</v>
      </c>
      <c r="AH3684">
        <v>2.9692421355340799</v>
      </c>
      <c r="AI3684">
        <v>82.739656247122994</v>
      </c>
      <c r="AJ3684">
        <v>91.944968408030604</v>
      </c>
      <c r="AK3684">
        <v>2.99496693660589</v>
      </c>
      <c r="AL3684">
        <v>78.605315230599004</v>
      </c>
      <c r="AM3684">
        <v>82.961512248285999</v>
      </c>
      <c r="AN3684">
        <v>0.99999999259300498</v>
      </c>
    </row>
    <row r="3685" spans="1:40" x14ac:dyDescent="0.25">
      <c r="A3685" t="str">
        <f>"20190303171050440"</f>
        <v>20190303171050440</v>
      </c>
      <c r="B3685" t="str">
        <f>"1551604250434880"</f>
        <v>1551604250434880</v>
      </c>
      <c r="C3685" t="s">
        <v>40</v>
      </c>
      <c r="D3685">
        <v>5.059196</v>
      </c>
      <c r="E3685">
        <v>0.4463801</v>
      </c>
      <c r="F3685" t="s">
        <v>62</v>
      </c>
      <c r="G3685">
        <v>0</v>
      </c>
      <c r="H3685">
        <v>0</v>
      </c>
      <c r="I3685">
        <v>0</v>
      </c>
      <c r="J3685">
        <v>-252.6645</v>
      </c>
      <c r="K3685">
        <v>1.1177950000000001</v>
      </c>
      <c r="L3685">
        <v>140.822</v>
      </c>
      <c r="M3685">
        <v>-0.99939909999999998</v>
      </c>
      <c r="N3685">
        <v>-6.5620130000000002E-3</v>
      </c>
      <c r="O3685">
        <v>3.403432E-2</v>
      </c>
      <c r="P3685">
        <v>-0.96955069999999999</v>
      </c>
      <c r="Q3685">
        <v>0.19091230000000001</v>
      </c>
      <c r="R3685">
        <v>0.15337579999999901</v>
      </c>
      <c r="S3685">
        <v>-3.0927280000000001</v>
      </c>
      <c r="T3685">
        <v>6.9407219999999999E-3</v>
      </c>
      <c r="U3685">
        <v>-6.7138669999999897E-3</v>
      </c>
      <c r="V3685">
        <v>0.1213878</v>
      </c>
      <c r="W3685">
        <v>0.1966263</v>
      </c>
      <c r="X3685">
        <v>0.97293529999999995</v>
      </c>
      <c r="Y3685">
        <v>-3.6203430000000002E-2</v>
      </c>
      <c r="Z3685">
        <v>2.2157359999999999E-4</v>
      </c>
      <c r="AA3685">
        <v>0.99934440000000002</v>
      </c>
      <c r="AB3685">
        <v>38</v>
      </c>
      <c r="AC3685">
        <v>-3.0927280000000001</v>
      </c>
      <c r="AD3685">
        <v>6.9407219999999999E-3</v>
      </c>
      <c r="AE3685">
        <v>-6.7138669999999897E-3</v>
      </c>
      <c r="AF3685">
        <v>-0.111970576355989</v>
      </c>
      <c r="AG3685">
        <v>6.9407219999999999E-3</v>
      </c>
      <c r="AH3685">
        <v>3.0906921233776501</v>
      </c>
      <c r="AI3685">
        <v>89.871416278584903</v>
      </c>
      <c r="AJ3685">
        <v>92.074822295677194</v>
      </c>
      <c r="AK3685">
        <v>3.09272749932807</v>
      </c>
      <c r="AL3685">
        <v>78.660256793785507</v>
      </c>
      <c r="AM3685">
        <v>82.888268806923705</v>
      </c>
      <c r="AN3685">
        <v>0.99999999891331004</v>
      </c>
    </row>
    <row r="3686" spans="1:40" x14ac:dyDescent="0.25">
      <c r="A3686" t="str">
        <f>"20190303171050463"</f>
        <v>20190303171050463</v>
      </c>
      <c r="B3686" t="str">
        <f>"1551604250454400"</f>
        <v>1551604250454400</v>
      </c>
      <c r="C3686" t="s">
        <v>40</v>
      </c>
      <c r="D3686">
        <v>4.9343149999999998</v>
      </c>
      <c r="E3686">
        <v>0.44897819999999999</v>
      </c>
      <c r="F3686" t="s">
        <v>62</v>
      </c>
      <c r="G3686">
        <v>0</v>
      </c>
      <c r="H3686">
        <v>0</v>
      </c>
      <c r="I3686">
        <v>0</v>
      </c>
      <c r="J3686">
        <v>-253.04300000000001</v>
      </c>
      <c r="K3686">
        <v>1.1178429999999999</v>
      </c>
      <c r="L3686">
        <v>140.8366</v>
      </c>
      <c r="M3686">
        <v>-0.99932520000000002</v>
      </c>
      <c r="N3686">
        <v>-6.5702369999999996E-3</v>
      </c>
      <c r="O3686">
        <v>3.6142199999999999E-2</v>
      </c>
      <c r="P3686">
        <v>-0.96950389999999997</v>
      </c>
      <c r="Q3686">
        <v>0.1890858</v>
      </c>
      <c r="R3686">
        <v>0.15591340000000001</v>
      </c>
      <c r="S3686">
        <v>-3.0931850000000001</v>
      </c>
      <c r="T3686">
        <v>3.160834E-3</v>
      </c>
      <c r="U3686">
        <v>2.6550290000000002E-3</v>
      </c>
      <c r="V3686">
        <v>0.1218341</v>
      </c>
      <c r="W3686">
        <v>0.19482369999999999</v>
      </c>
      <c r="X3686">
        <v>0.9732421</v>
      </c>
      <c r="Y3686">
        <v>-3.5284240000000001E-2</v>
      </c>
      <c r="Z3686">
        <v>1.7654500000000001E-4</v>
      </c>
      <c r="AA3686">
        <v>0.99937730000000002</v>
      </c>
      <c r="AB3686">
        <v>38</v>
      </c>
      <c r="AC3686">
        <v>-3.0931850000000001</v>
      </c>
      <c r="AD3686">
        <v>3.160834E-3</v>
      </c>
      <c r="AE3686">
        <v>2.6550290000000002E-3</v>
      </c>
      <c r="AF3686">
        <v>-0.10914349994386</v>
      </c>
      <c r="AG3686">
        <v>3.160834E-3</v>
      </c>
      <c r="AH3686">
        <v>3.0912567360399099</v>
      </c>
      <c r="AI3686">
        <v>89.941451123259597</v>
      </c>
      <c r="AJ3686">
        <v>92.022111351759094</v>
      </c>
      <c r="AK3686">
        <v>3.0931845244931102</v>
      </c>
      <c r="AL3686">
        <v>78.765575217146093</v>
      </c>
      <c r="AM3686">
        <v>82.864617509755504</v>
      </c>
      <c r="AN3686">
        <v>1.00000000360845</v>
      </c>
    </row>
    <row r="3687" spans="1:40" x14ac:dyDescent="0.25">
      <c r="A3687" t="str">
        <f>"20190303171050484"</f>
        <v>20190303171050484</v>
      </c>
      <c r="B3687" t="str">
        <f>"1551604250474896"</f>
        <v>1551604250474896</v>
      </c>
      <c r="C3687" t="s">
        <v>40</v>
      </c>
      <c r="D3687">
        <v>4.941643</v>
      </c>
      <c r="E3687">
        <v>0.44865159999999998</v>
      </c>
      <c r="F3687" t="s">
        <v>62</v>
      </c>
      <c r="G3687">
        <v>0</v>
      </c>
      <c r="H3687">
        <v>0</v>
      </c>
      <c r="I3687">
        <v>0</v>
      </c>
      <c r="J3687">
        <v>-253.40950000000001</v>
      </c>
      <c r="K3687">
        <v>1.1178969999999999</v>
      </c>
      <c r="L3687">
        <v>140.85149999999999</v>
      </c>
      <c r="M3687">
        <v>-0.99925220000000003</v>
      </c>
      <c r="N3687">
        <v>-6.5781260000000001E-3</v>
      </c>
      <c r="O3687">
        <v>3.8103560000000002E-2</v>
      </c>
      <c r="P3687">
        <v>-0.96946299999999996</v>
      </c>
      <c r="Q3687">
        <v>0.18847439999999999</v>
      </c>
      <c r="R3687">
        <v>0.15690409999999999</v>
      </c>
      <c r="S3687">
        <v>-3.008057</v>
      </c>
      <c r="T3687">
        <v>0.39726630000000002</v>
      </c>
      <c r="U3687">
        <v>5.4626460000000002E-2</v>
      </c>
      <c r="V3687">
        <v>0.1208825</v>
      </c>
      <c r="W3687">
        <v>0.1942432</v>
      </c>
      <c r="X3687">
        <v>0.97347680000000003</v>
      </c>
      <c r="Y3687">
        <v>-1.9429729999999999E-2</v>
      </c>
      <c r="Z3687">
        <v>6.4714869999999997E-3</v>
      </c>
      <c r="AA3687">
        <v>0.99979030000000002</v>
      </c>
      <c r="AB3687">
        <v>38</v>
      </c>
      <c r="AC3687">
        <v>-3.008057</v>
      </c>
      <c r="AD3687">
        <v>0.39726630000000002</v>
      </c>
      <c r="AE3687">
        <v>5.4626460000000002E-2</v>
      </c>
      <c r="AF3687">
        <v>-5.9004559076708603E-2</v>
      </c>
      <c r="AG3687">
        <v>0.39726630000000002</v>
      </c>
      <c r="AH3687">
        <v>2.9564059054871898</v>
      </c>
      <c r="AI3687">
        <v>82.348243954789694</v>
      </c>
      <c r="AJ3687">
        <v>91.143369193115404</v>
      </c>
      <c r="AK3687">
        <v>2.98356128294812</v>
      </c>
      <c r="AL3687">
        <v>78.7994836106961</v>
      </c>
      <c r="AM3687">
        <v>82.921471142267904</v>
      </c>
      <c r="AN3687">
        <v>1.0000000398453599</v>
      </c>
    </row>
    <row r="3688" spans="1:40" x14ac:dyDescent="0.25">
      <c r="A3688" t="str">
        <f>"20190303171050508"</f>
        <v>20190303171050508</v>
      </c>
      <c r="B3688" t="str">
        <f>"1551604250504176"</f>
        <v>1551604250504176</v>
      </c>
      <c r="C3688" t="s">
        <v>40</v>
      </c>
      <c r="D3688">
        <v>4.867356</v>
      </c>
      <c r="E3688">
        <v>0.44824760000000002</v>
      </c>
      <c r="F3688" t="s">
        <v>62</v>
      </c>
      <c r="G3688">
        <v>0</v>
      </c>
      <c r="H3688">
        <v>0</v>
      </c>
      <c r="I3688">
        <v>0</v>
      </c>
      <c r="J3688">
        <v>-253.80549999999999</v>
      </c>
      <c r="K3688">
        <v>1.1179669999999999</v>
      </c>
      <c r="L3688">
        <v>140.8683</v>
      </c>
      <c r="M3688">
        <v>-0.99917339999999999</v>
      </c>
      <c r="N3688">
        <v>-6.5862949999999998E-3</v>
      </c>
      <c r="O3688">
        <v>4.0117750000000001E-2</v>
      </c>
      <c r="P3688">
        <v>-0.96902089999999996</v>
      </c>
      <c r="Q3688">
        <v>0.1895945</v>
      </c>
      <c r="R3688">
        <v>0.1582799</v>
      </c>
      <c r="S3688">
        <v>-3.0086360000000001</v>
      </c>
      <c r="T3688">
        <v>0.39591340000000003</v>
      </c>
      <c r="U3688">
        <v>5.5099490000000001E-2</v>
      </c>
      <c r="V3688">
        <v>0.1202825</v>
      </c>
      <c r="W3688">
        <v>0.1953937</v>
      </c>
      <c r="X3688">
        <v>0.97332079999999999</v>
      </c>
      <c r="Y3688">
        <v>-2.1260970000000001E-2</v>
      </c>
      <c r="Z3688">
        <v>6.8401069999999998E-3</v>
      </c>
      <c r="AA3688">
        <v>0.99975060000000004</v>
      </c>
      <c r="AB3688">
        <v>38</v>
      </c>
      <c r="AC3688">
        <v>-3.0086360000000001</v>
      </c>
      <c r="AD3688">
        <v>0.39591340000000003</v>
      </c>
      <c r="AE3688">
        <v>5.5099490000000001E-2</v>
      </c>
      <c r="AF3688">
        <v>-6.45301126919825E-2</v>
      </c>
      <c r="AG3688">
        <v>0.39591340000000003</v>
      </c>
      <c r="AH3688">
        <v>2.9572324722283301</v>
      </c>
      <c r="AI3688">
        <v>82.376394527638794</v>
      </c>
      <c r="AJ3688">
        <v>91.250059463962899</v>
      </c>
      <c r="AK3688">
        <v>2.9843149047219</v>
      </c>
      <c r="AL3688">
        <v>78.732276394959001</v>
      </c>
      <c r="AM3688">
        <v>82.955134005894294</v>
      </c>
      <c r="AN3688">
        <v>0.99999997875928903</v>
      </c>
    </row>
    <row r="3689" spans="1:40" x14ac:dyDescent="0.25">
      <c r="A3689" t="str">
        <f>"20190303171050530"</f>
        <v>20190303171050530</v>
      </c>
      <c r="B3689" t="str">
        <f>"1551604250514912"</f>
        <v>1551604250514912</v>
      </c>
      <c r="C3689" t="s">
        <v>40</v>
      </c>
      <c r="D3689">
        <v>4.8350669999999996</v>
      </c>
      <c r="E3689">
        <v>0.44800220000000002</v>
      </c>
      <c r="F3689" t="s">
        <v>62</v>
      </c>
      <c r="G3689">
        <v>0</v>
      </c>
      <c r="H3689">
        <v>0</v>
      </c>
      <c r="I3689">
        <v>0</v>
      </c>
      <c r="J3689">
        <v>-254.18279999999999</v>
      </c>
      <c r="K3689">
        <v>1.118039</v>
      </c>
      <c r="L3689">
        <v>140.88489999999999</v>
      </c>
      <c r="M3689">
        <v>-0.99909890000000001</v>
      </c>
      <c r="N3689">
        <v>-6.5909619999999997E-3</v>
      </c>
      <c r="O3689">
        <v>4.1929790000000002E-2</v>
      </c>
      <c r="P3689">
        <v>-0.96877349999999995</v>
      </c>
      <c r="Q3689">
        <v>0.19025259999999999</v>
      </c>
      <c r="R3689">
        <v>0.1590039</v>
      </c>
      <c r="S3689">
        <v>-3.0083470000000001</v>
      </c>
      <c r="T3689">
        <v>0.40065400000000001</v>
      </c>
      <c r="U3689">
        <v>5.6091309999999998E-2</v>
      </c>
      <c r="V3689">
        <v>0.1192155</v>
      </c>
      <c r="W3689">
        <v>0.19608390000000001</v>
      </c>
      <c r="X3689">
        <v>0.97331330000000005</v>
      </c>
      <c r="Y3689">
        <v>-2.2700109999999999E-2</v>
      </c>
      <c r="Z3689">
        <v>7.2623109999999996E-3</v>
      </c>
      <c r="AA3689">
        <v>0.99971589999999999</v>
      </c>
      <c r="AB3689">
        <v>38</v>
      </c>
      <c r="AC3689">
        <v>-3.0083470000000001</v>
      </c>
      <c r="AD3689">
        <v>0.40065400000000001</v>
      </c>
      <c r="AE3689">
        <v>5.6091309999999998E-2</v>
      </c>
      <c r="AF3689">
        <v>-6.8878821485245698E-2</v>
      </c>
      <c r="AG3689">
        <v>0.40065400000000001</v>
      </c>
      <c r="AH3689">
        <v>2.9556467290529702</v>
      </c>
      <c r="AI3689">
        <v>82.282369758326197</v>
      </c>
      <c r="AJ3689">
        <v>91.334987548784696</v>
      </c>
      <c r="AK3689">
        <v>2.9834737315295299</v>
      </c>
      <c r="AL3689">
        <v>78.691951098094904</v>
      </c>
      <c r="AM3689">
        <v>83.016954483205197</v>
      </c>
      <c r="AN3689">
        <v>1.0000000056181699</v>
      </c>
    </row>
    <row r="3690" spans="1:40" x14ac:dyDescent="0.25">
      <c r="A3690" t="str">
        <f>"20190303171050553"</f>
        <v>20190303171050553</v>
      </c>
      <c r="B3690" t="str">
        <f>"1551604250544192"</f>
        <v>1551604250544192</v>
      </c>
      <c r="C3690" t="s">
        <v>40</v>
      </c>
      <c r="D3690">
        <v>4.8150440000000003</v>
      </c>
      <c r="E3690">
        <v>0.44782270000000002</v>
      </c>
      <c r="F3690" t="s">
        <v>62</v>
      </c>
      <c r="G3690">
        <v>0</v>
      </c>
      <c r="H3690">
        <v>0</v>
      </c>
      <c r="I3690">
        <v>0</v>
      </c>
      <c r="J3690">
        <v>-254.57470000000001</v>
      </c>
      <c r="K3690">
        <v>1.1181299999999901</v>
      </c>
      <c r="L3690">
        <v>140.90280000000001</v>
      </c>
      <c r="M3690">
        <v>-0.99902329999999995</v>
      </c>
      <c r="N3690">
        <v>-6.5916269999999897E-3</v>
      </c>
      <c r="O3690">
        <v>4.3694759999999999E-2</v>
      </c>
      <c r="P3690">
        <v>-0.96871300000000005</v>
      </c>
      <c r="Q3690">
        <v>0.19022600000000001</v>
      </c>
      <c r="R3690">
        <v>0.1594034</v>
      </c>
      <c r="S3690">
        <v>-3.008362</v>
      </c>
      <c r="T3690">
        <v>0.40280270000000001</v>
      </c>
      <c r="U3690">
        <v>5.6274409999999997E-2</v>
      </c>
      <c r="V3690">
        <v>0.1178525</v>
      </c>
      <c r="W3690">
        <v>0.19609099999999999</v>
      </c>
      <c r="X3690">
        <v>0.97347779999999995</v>
      </c>
      <c r="Y3690">
        <v>-2.436781E-2</v>
      </c>
      <c r="Z3690">
        <v>7.6520659999999999E-3</v>
      </c>
      <c r="AA3690">
        <v>0.99967379999999995</v>
      </c>
      <c r="AB3690">
        <v>38</v>
      </c>
      <c r="AC3690">
        <v>-3.008362</v>
      </c>
      <c r="AD3690">
        <v>0.40280270000000001</v>
      </c>
      <c r="AE3690">
        <v>5.6274409999999997E-2</v>
      </c>
      <c r="AF3690">
        <v>-7.3907309800711002E-2</v>
      </c>
      <c r="AG3690">
        <v>0.40280270000000001</v>
      </c>
      <c r="AH3690">
        <v>2.9549899821272501</v>
      </c>
      <c r="AI3690">
        <v>82.240095604756405</v>
      </c>
      <c r="AJ3690">
        <v>91.432727116591295</v>
      </c>
      <c r="AK3690">
        <v>2.9832328269918298</v>
      </c>
      <c r="AL3690">
        <v>78.691535716601706</v>
      </c>
      <c r="AM3690">
        <v>83.097172618657297</v>
      </c>
      <c r="AN3690">
        <v>0.99999995956504395</v>
      </c>
    </row>
    <row r="3691" spans="1:40" x14ac:dyDescent="0.25">
      <c r="A3691" t="str">
        <f>"20190303171050574"</f>
        <v>20190303171050574</v>
      </c>
      <c r="B3691" t="str">
        <f>"1551604250564220"</f>
        <v>1551604250564220</v>
      </c>
      <c r="C3691" t="s">
        <v>40</v>
      </c>
      <c r="D3691">
        <v>4.7806540000000002</v>
      </c>
      <c r="E3691">
        <v>0.44766260000000002</v>
      </c>
      <c r="F3691" t="s">
        <v>62</v>
      </c>
      <c r="G3691">
        <v>0</v>
      </c>
      <c r="H3691">
        <v>0</v>
      </c>
      <c r="I3691">
        <v>0</v>
      </c>
      <c r="J3691">
        <v>-254.94759999999999</v>
      </c>
      <c r="K3691">
        <v>1.1182179999999999</v>
      </c>
      <c r="L3691">
        <v>140.9204</v>
      </c>
      <c r="M3691">
        <v>-0.9989538</v>
      </c>
      <c r="N3691">
        <v>-6.5911310000000001E-3</v>
      </c>
      <c r="O3691">
        <v>4.5255129999999998E-2</v>
      </c>
      <c r="P3691">
        <v>-0.96880840000000001</v>
      </c>
      <c r="Q3691">
        <v>0.1897065</v>
      </c>
      <c r="R3691">
        <v>0.1594438</v>
      </c>
      <c r="S3691">
        <v>-3.0083769999999999</v>
      </c>
      <c r="T3691">
        <v>0.40382960000000001</v>
      </c>
      <c r="U3691">
        <v>5.6060789999999999E-2</v>
      </c>
      <c r="V3691">
        <v>0.11631900000000001</v>
      </c>
      <c r="W3691">
        <v>0.19560649999999999</v>
      </c>
      <c r="X3691">
        <v>0.97375970000000001</v>
      </c>
      <c r="Y3691">
        <v>-2.5968129999999999E-2</v>
      </c>
      <c r="Z3691">
        <v>7.9909979999999992E-3</v>
      </c>
      <c r="AA3691">
        <v>0.99963080000000004</v>
      </c>
      <c r="AB3691">
        <v>38</v>
      </c>
      <c r="AC3691">
        <v>-3.0083769999999999</v>
      </c>
      <c r="AD3691">
        <v>0.40382960000000001</v>
      </c>
      <c r="AE3691">
        <v>5.6060789999999999E-2</v>
      </c>
      <c r="AF3691">
        <v>-7.8726012162979003E-2</v>
      </c>
      <c r="AG3691">
        <v>0.40382960000000001</v>
      </c>
      <c r="AH3691">
        <v>2.9546109747934399</v>
      </c>
      <c r="AI3691">
        <v>82.219892983923401</v>
      </c>
      <c r="AJ3691">
        <v>91.526292719473503</v>
      </c>
      <c r="AK3691">
        <v>2.98311953216714</v>
      </c>
      <c r="AL3691">
        <v>78.719844000574099</v>
      </c>
      <c r="AM3691">
        <v>83.188096480269493</v>
      </c>
      <c r="AN3691">
        <v>0.99999998297366899</v>
      </c>
    </row>
    <row r="3692" spans="1:40" x14ac:dyDescent="0.25">
      <c r="A3692" t="str">
        <f>"20190303171050597"</f>
        <v>20190303171050597</v>
      </c>
      <c r="B3692" t="str">
        <f>"1551604250584715"</f>
        <v>1551604250584715</v>
      </c>
      <c r="C3692" t="s">
        <v>40</v>
      </c>
      <c r="D3692">
        <v>4.8602699999999999</v>
      </c>
      <c r="E3692">
        <v>0.44371490000000002</v>
      </c>
      <c r="F3692" t="s">
        <v>62</v>
      </c>
      <c r="G3692">
        <v>0</v>
      </c>
      <c r="H3692">
        <v>0</v>
      </c>
      <c r="I3692">
        <v>0</v>
      </c>
      <c r="J3692">
        <v>-255.32339999999999</v>
      </c>
      <c r="K3692">
        <v>1.118323</v>
      </c>
      <c r="L3692">
        <v>140.93860000000001</v>
      </c>
      <c r="M3692">
        <v>-0.99888710000000003</v>
      </c>
      <c r="N3692">
        <v>-6.5869930000000002E-3</v>
      </c>
      <c r="O3692">
        <v>4.6703389999999997E-2</v>
      </c>
      <c r="P3692">
        <v>-0.96847059999999996</v>
      </c>
      <c r="Q3692">
        <v>0.19057569999999999</v>
      </c>
      <c r="R3692">
        <v>0.16045490000000001</v>
      </c>
      <c r="S3692">
        <v>-3.008362</v>
      </c>
      <c r="T3692">
        <v>0.40416780000000002</v>
      </c>
      <c r="U3692">
        <v>5.5221560000000003E-2</v>
      </c>
      <c r="V3692">
        <v>0.115885</v>
      </c>
      <c r="W3692">
        <v>0.19650239999999999</v>
      </c>
      <c r="X3692">
        <v>0.97363109999999997</v>
      </c>
      <c r="Y3692">
        <v>-2.7666219999999998E-2</v>
      </c>
      <c r="Z3692">
        <v>8.3083159999999996E-3</v>
      </c>
      <c r="AA3692">
        <v>0.99958270000000005</v>
      </c>
      <c r="AB3692">
        <v>38</v>
      </c>
      <c r="AC3692">
        <v>-3.008362</v>
      </c>
      <c r="AD3692">
        <v>0.40416780000000002</v>
      </c>
      <c r="AE3692">
        <v>5.5221560000000003E-2</v>
      </c>
      <c r="AF3692">
        <v>-8.3829878868232399E-2</v>
      </c>
      <c r="AG3692">
        <v>0.40416780000000002</v>
      </c>
      <c r="AH3692">
        <v>2.95435185303021</v>
      </c>
      <c r="AI3692">
        <v>82.213148376621305</v>
      </c>
      <c r="AJ3692">
        <v>91.625334441026595</v>
      </c>
      <c r="AK3692">
        <v>2.9830477586942701</v>
      </c>
      <c r="AL3692">
        <v>78.667497263073798</v>
      </c>
      <c r="AM3692">
        <v>83.212386948621798</v>
      </c>
      <c r="AN3692">
        <v>1.00000002265898</v>
      </c>
    </row>
    <row r="3693" spans="1:40" x14ac:dyDescent="0.25">
      <c r="A3693" t="str">
        <f>"20190303171050618"</f>
        <v>20190303171050618</v>
      </c>
      <c r="B3693" t="str">
        <f>"1551604250614972"</f>
        <v>1551604250614972</v>
      </c>
      <c r="C3693" t="s">
        <v>40</v>
      </c>
      <c r="D3693">
        <v>4.7665860000000002</v>
      </c>
      <c r="E3693">
        <v>0.44597350000000002</v>
      </c>
      <c r="F3693" t="s">
        <v>62</v>
      </c>
      <c r="G3693">
        <v>0</v>
      </c>
      <c r="H3693">
        <v>0</v>
      </c>
      <c r="I3693">
        <v>0</v>
      </c>
      <c r="J3693">
        <v>-255.70599999999999</v>
      </c>
      <c r="K3693">
        <v>1.1184430000000001</v>
      </c>
      <c r="L3693">
        <v>140.95760000000001</v>
      </c>
      <c r="M3693">
        <v>-0.99882459999999995</v>
      </c>
      <c r="N3693">
        <v>-6.5798300000000001E-3</v>
      </c>
      <c r="O3693">
        <v>4.8022000000000002E-2</v>
      </c>
      <c r="P3693">
        <v>-0.96789230000000004</v>
      </c>
      <c r="Q3693">
        <v>0.1920422</v>
      </c>
      <c r="R3693">
        <v>0.16218659999999999</v>
      </c>
      <c r="S3693">
        <v>-3.088867</v>
      </c>
      <c r="T3693">
        <v>3.9862389999999998E-2</v>
      </c>
      <c r="U3693">
        <v>5.7220459999999997E-3</v>
      </c>
      <c r="V3693">
        <v>0.1163044</v>
      </c>
      <c r="W3693">
        <v>0.19799079999999999</v>
      </c>
      <c r="X3693">
        <v>0.97327949999999996</v>
      </c>
      <c r="Y3693">
        <v>-4.6161630000000002E-2</v>
      </c>
      <c r="Z3693">
        <v>1.0815519999999999E-3</v>
      </c>
      <c r="AA3693">
        <v>0.99893339999999997</v>
      </c>
      <c r="AB3693">
        <v>38</v>
      </c>
      <c r="AC3693">
        <v>-3.088867</v>
      </c>
      <c r="AD3693">
        <v>3.9862389999999998E-2</v>
      </c>
      <c r="AE3693">
        <v>5.7220459999999997E-3</v>
      </c>
      <c r="AF3693">
        <v>-0.14259759032560501</v>
      </c>
      <c r="AG3693">
        <v>3.9862389999999998E-2</v>
      </c>
      <c r="AH3693">
        <v>3.0850641462050201</v>
      </c>
      <c r="AI3693">
        <v>89.260506741756203</v>
      </c>
      <c r="AJ3693">
        <v>92.646437375291697</v>
      </c>
      <c r="AK3693">
        <v>3.0886152024981799</v>
      </c>
      <c r="AL3693">
        <v>78.580509301461404</v>
      </c>
      <c r="AM3693">
        <v>83.1856145862901</v>
      </c>
      <c r="AN3693">
        <v>1.0000000277321199</v>
      </c>
    </row>
    <row r="3694" spans="1:40" x14ac:dyDescent="0.25">
      <c r="A3694" t="str">
        <f>"20190303171050641"</f>
        <v>20190303171050641</v>
      </c>
      <c r="B3694" t="str">
        <f>"1551604250634492"</f>
        <v>1551604250634492</v>
      </c>
      <c r="C3694" t="s">
        <v>40</v>
      </c>
      <c r="D3694">
        <v>4.7212300000000003</v>
      </c>
      <c r="E3694">
        <v>0.44596520000000001</v>
      </c>
      <c r="F3694" t="s">
        <v>62</v>
      </c>
      <c r="G3694">
        <v>0</v>
      </c>
      <c r="H3694">
        <v>0</v>
      </c>
      <c r="I3694">
        <v>0</v>
      </c>
      <c r="J3694">
        <v>-256.10300000000001</v>
      </c>
      <c r="K3694">
        <v>1.118574</v>
      </c>
      <c r="L3694">
        <v>140.9777</v>
      </c>
      <c r="M3694">
        <v>-0.99876640000000005</v>
      </c>
      <c r="N3694">
        <v>-6.5725810000000001E-3</v>
      </c>
      <c r="O3694">
        <v>4.9220760000000002E-2</v>
      </c>
      <c r="P3694">
        <v>-0.96759859999999998</v>
      </c>
      <c r="Q3694">
        <v>0.19220019999999999</v>
      </c>
      <c r="R3694">
        <v>0.1637448</v>
      </c>
      <c r="S3694">
        <v>-3.0082399999999998</v>
      </c>
      <c r="T3694">
        <v>0.41751100000000002</v>
      </c>
      <c r="U3694">
        <v>5.0430299999999997E-2</v>
      </c>
      <c r="V3694">
        <v>0.1166399</v>
      </c>
      <c r="W3694">
        <v>0.19817870000000001</v>
      </c>
      <c r="X3694">
        <v>0.97320110000000004</v>
      </c>
      <c r="Y3694">
        <v>-3.1667630000000002E-2</v>
      </c>
      <c r="Z3694">
        <v>9.1998649999999998E-3</v>
      </c>
      <c r="AA3694">
        <v>0.99945609999999996</v>
      </c>
      <c r="AB3694">
        <v>39</v>
      </c>
      <c r="AC3694">
        <v>-3.0082399999999998</v>
      </c>
      <c r="AD3694">
        <v>0.41751100000000002</v>
      </c>
      <c r="AE3694">
        <v>5.0430299999999997E-2</v>
      </c>
      <c r="AF3694">
        <v>-9.5855970898589798E-2</v>
      </c>
      <c r="AG3694">
        <v>0.41751100000000002</v>
      </c>
      <c r="AH3694">
        <v>2.9502626617803398</v>
      </c>
      <c r="AI3694">
        <v>81.949378147388799</v>
      </c>
      <c r="AJ3694">
        <v>91.860922855344398</v>
      </c>
      <c r="AK3694">
        <v>2.9812000227715498</v>
      </c>
      <c r="AL3694">
        <v>78.569525721460295</v>
      </c>
      <c r="AM3694">
        <v>83.165597639325696</v>
      </c>
      <c r="AN3694">
        <v>1.00000002222345</v>
      </c>
    </row>
    <row r="3695" spans="1:40" x14ac:dyDescent="0.25">
      <c r="A3695" t="str">
        <f>"20190303171050665"</f>
        <v>20190303171050665</v>
      </c>
      <c r="B3695" t="str">
        <f>"1551604250654519"</f>
        <v>1551604250654519</v>
      </c>
      <c r="C3695" t="s">
        <v>40</v>
      </c>
      <c r="D3695">
        <v>4.7348309999999998</v>
      </c>
      <c r="E3695">
        <v>0.44591209999999998</v>
      </c>
      <c r="F3695" t="s">
        <v>62</v>
      </c>
      <c r="G3695">
        <v>0</v>
      </c>
      <c r="H3695">
        <v>0</v>
      </c>
      <c r="I3695">
        <v>0</v>
      </c>
      <c r="J3695">
        <v>-256.51510000000002</v>
      </c>
      <c r="K3695">
        <v>1.1187009999999999</v>
      </c>
      <c r="L3695">
        <v>140.99889999999999</v>
      </c>
      <c r="M3695">
        <v>-0.99871239999999994</v>
      </c>
      <c r="N3695">
        <v>-6.564599E-3</v>
      </c>
      <c r="O3695">
        <v>5.0305179999999998E-2</v>
      </c>
      <c r="P3695">
        <v>-0.96772650000000004</v>
      </c>
      <c r="Q3695">
        <v>0.1908097</v>
      </c>
      <c r="R3695">
        <v>0.16461189999999901</v>
      </c>
      <c r="S3695">
        <v>-3.008057</v>
      </c>
      <c r="T3695">
        <v>0.41844629999999999</v>
      </c>
      <c r="U3695">
        <v>5.4901119999999998E-2</v>
      </c>
      <c r="V3695">
        <v>0.11636779999999999</v>
      </c>
      <c r="W3695">
        <v>0.19682359999999999</v>
      </c>
      <c r="X3695">
        <v>0.97350859999999995</v>
      </c>
      <c r="Y3695">
        <v>-3.125559E-2</v>
      </c>
      <c r="Z3695">
        <v>9.3497570000000002E-3</v>
      </c>
      <c r="AA3695">
        <v>0.99946769999999996</v>
      </c>
      <c r="AB3695">
        <v>39</v>
      </c>
      <c r="AC3695">
        <v>-3.008057</v>
      </c>
      <c r="AD3695">
        <v>0.41844629999999999</v>
      </c>
      <c r="AE3695">
        <v>5.4901119999999998E-2</v>
      </c>
      <c r="AF3695">
        <v>-9.4661293530683893E-2</v>
      </c>
      <c r="AG3695">
        <v>0.41844629999999999</v>
      </c>
      <c r="AH3695">
        <v>2.94994430487667</v>
      </c>
      <c r="AI3695">
        <v>81.930618127397807</v>
      </c>
      <c r="AJ3695">
        <v>91.837943897061905</v>
      </c>
      <c r="AK3695">
        <v>2.98097793825296</v>
      </c>
      <c r="AL3695">
        <v>78.648726977394404</v>
      </c>
      <c r="AM3695">
        <v>83.183524304733794</v>
      </c>
      <c r="AN3695">
        <v>0.99999999433387998</v>
      </c>
    </row>
    <row r="3696" spans="1:40" x14ac:dyDescent="0.25">
      <c r="A3696" t="str">
        <f>"20190303171050685"</f>
        <v>20190303171050685</v>
      </c>
      <c r="B3696" t="str">
        <f>"1551604250675016"</f>
        <v>1551604250675016</v>
      </c>
      <c r="C3696" t="s">
        <v>40</v>
      </c>
      <c r="D3696">
        <v>4.8424909999999999</v>
      </c>
      <c r="E3696">
        <v>0.44598589999999999</v>
      </c>
      <c r="F3696" t="s">
        <v>62</v>
      </c>
      <c r="G3696">
        <v>0</v>
      </c>
      <c r="H3696">
        <v>0</v>
      </c>
      <c r="I3696">
        <v>0</v>
      </c>
      <c r="J3696">
        <v>-256.87470000000002</v>
      </c>
      <c r="K3696">
        <v>1.1188209999999901</v>
      </c>
      <c r="L3696">
        <v>141.01769999999999</v>
      </c>
      <c r="M3696">
        <v>-0.99867189999999995</v>
      </c>
      <c r="N3696">
        <v>-6.5549529999999996E-3</v>
      </c>
      <c r="O3696">
        <v>5.1103559999999999E-2</v>
      </c>
      <c r="P3696">
        <v>-0.96773319999999996</v>
      </c>
      <c r="Q3696">
        <v>0.1895433</v>
      </c>
      <c r="R3696">
        <v>0.1660307</v>
      </c>
      <c r="S3696">
        <v>-3.0080870000000002</v>
      </c>
      <c r="T3696">
        <v>0.41690139999999998</v>
      </c>
      <c r="U3696">
        <v>5.7174679999999999E-2</v>
      </c>
      <c r="V3696">
        <v>0.1169391</v>
      </c>
      <c r="W3696">
        <v>0.19558410000000001</v>
      </c>
      <c r="X3696">
        <v>0.97369000000000006</v>
      </c>
      <c r="Y3696">
        <v>-3.1296879999999999E-2</v>
      </c>
      <c r="Z3696">
        <v>9.4337910000000004E-3</v>
      </c>
      <c r="AA3696">
        <v>0.99946559999999995</v>
      </c>
      <c r="AB3696">
        <v>39</v>
      </c>
      <c r="AC3696">
        <v>-3.0080870000000002</v>
      </c>
      <c r="AD3696">
        <v>0.41690139999999998</v>
      </c>
      <c r="AE3696">
        <v>5.7174679999999999E-2</v>
      </c>
      <c r="AF3696">
        <v>-9.4806870494226106E-2</v>
      </c>
      <c r="AG3696">
        <v>0.41690139999999998</v>
      </c>
      <c r="AH3696">
        <v>2.9504264183643301</v>
      </c>
      <c r="AI3696">
        <v>81.9613277746477</v>
      </c>
      <c r="AJ3696">
        <v>91.840467893343401</v>
      </c>
      <c r="AK3696">
        <v>2.9812432256018702</v>
      </c>
      <c r="AL3696">
        <v>78.721153523559494</v>
      </c>
      <c r="AM3696">
        <v>83.151640420730999</v>
      </c>
      <c r="AN3696">
        <v>1.0000000546908001</v>
      </c>
    </row>
    <row r="3697" spans="1:40" x14ac:dyDescent="0.25">
      <c r="A3697" t="str">
        <f>"20190303171050708"</f>
        <v>20190303171050708</v>
      </c>
      <c r="B3697" t="str">
        <f>"1551604250704295"</f>
        <v>1551604250704295</v>
      </c>
      <c r="C3697" t="s">
        <v>40</v>
      </c>
      <c r="D3697">
        <v>4.7398730000000002</v>
      </c>
      <c r="E3697">
        <v>0.44585150000000001</v>
      </c>
      <c r="F3697" t="s">
        <v>62</v>
      </c>
      <c r="G3697">
        <v>0</v>
      </c>
      <c r="H3697">
        <v>0</v>
      </c>
      <c r="I3697">
        <v>0</v>
      </c>
      <c r="J3697">
        <v>-257.26440000000002</v>
      </c>
      <c r="K3697">
        <v>1.11897</v>
      </c>
      <c r="L3697">
        <v>141.03829999999999</v>
      </c>
      <c r="M3697">
        <v>-0.99863659999999999</v>
      </c>
      <c r="N3697">
        <v>-6.543676E-3</v>
      </c>
      <c r="O3697">
        <v>5.1789790000000002E-2</v>
      </c>
      <c r="P3697">
        <v>-0.96739580000000003</v>
      </c>
      <c r="Q3697">
        <v>0.18976370000000001</v>
      </c>
      <c r="R3697">
        <v>0.16773569999999999</v>
      </c>
      <c r="S3697">
        <v>-3.0083920000000002</v>
      </c>
      <c r="T3697">
        <v>0.4133444</v>
      </c>
      <c r="U3697">
        <v>6.2011719999999999E-2</v>
      </c>
      <c r="V3697">
        <v>0.11791600000000001</v>
      </c>
      <c r="W3697">
        <v>0.1958338</v>
      </c>
      <c r="X3697">
        <v>0.97352190000000005</v>
      </c>
      <c r="Y3697">
        <v>-3.0394069999999999E-2</v>
      </c>
      <c r="Z3697">
        <v>9.3939399999999999E-3</v>
      </c>
      <c r="AA3697">
        <v>0.99949379999999999</v>
      </c>
      <c r="AB3697">
        <v>39</v>
      </c>
      <c r="AC3697">
        <v>-3.0083920000000002</v>
      </c>
      <c r="AD3697">
        <v>0.4133444</v>
      </c>
      <c r="AE3697">
        <v>6.2011719999999999E-2</v>
      </c>
      <c r="AF3697">
        <v>-9.2140143774349106E-2</v>
      </c>
      <c r="AG3697">
        <v>0.4133444</v>
      </c>
      <c r="AH3697">
        <v>2.9518646902919401</v>
      </c>
      <c r="AI3697">
        <v>82.032633611955404</v>
      </c>
      <c r="AJ3697">
        <v>91.787862367573496</v>
      </c>
      <c r="AK3697">
        <v>2.9820879512345799</v>
      </c>
      <c r="AL3697">
        <v>78.706563737398696</v>
      </c>
      <c r="AM3697">
        <v>83.093799066021703</v>
      </c>
      <c r="AN3697">
        <v>0.99999997502902405</v>
      </c>
    </row>
    <row r="3698" spans="1:40" x14ac:dyDescent="0.25">
      <c r="A3698" t="str">
        <f>"20190303171050733"</f>
        <v>20190303171050733</v>
      </c>
      <c r="B3698" t="str">
        <f>"1551604250724791"</f>
        <v>1551604250724791</v>
      </c>
      <c r="C3698" t="s">
        <v>40</v>
      </c>
      <c r="D3698">
        <v>4.8321500000000004</v>
      </c>
      <c r="E3698">
        <v>0.44574999999999998</v>
      </c>
      <c r="F3698" t="s">
        <v>62</v>
      </c>
      <c r="G3698">
        <v>0</v>
      </c>
      <c r="H3698">
        <v>0</v>
      </c>
      <c r="I3698">
        <v>0</v>
      </c>
      <c r="J3698">
        <v>-257.70420000000001</v>
      </c>
      <c r="K3698">
        <v>1.119159</v>
      </c>
      <c r="L3698">
        <v>141.0616</v>
      </c>
      <c r="M3698">
        <v>-0.99860769999999999</v>
      </c>
      <c r="N3698">
        <v>-6.5326439999999998E-3</v>
      </c>
      <c r="O3698">
        <v>5.2343790000000001E-2</v>
      </c>
      <c r="P3698">
        <v>-0.96708479999999997</v>
      </c>
      <c r="Q3698">
        <v>0.1901245</v>
      </c>
      <c r="R3698">
        <v>0.16911419999999999</v>
      </c>
      <c r="S3698">
        <v>-3.0081790000000002</v>
      </c>
      <c r="T3698">
        <v>0.41521669999999999</v>
      </c>
      <c r="U3698">
        <v>6.6192630000000002E-2</v>
      </c>
      <c r="V3698">
        <v>0.11867850000000001</v>
      </c>
      <c r="W3698">
        <v>0.19623499999999999</v>
      </c>
      <c r="X3698">
        <v>0.97334849999999995</v>
      </c>
      <c r="Y3698">
        <v>-2.9553289999999999E-2</v>
      </c>
      <c r="Z3698">
        <v>9.459673E-3</v>
      </c>
      <c r="AA3698">
        <v>0.99951849999999998</v>
      </c>
      <c r="AB3698">
        <v>39</v>
      </c>
      <c r="AC3698">
        <v>-3.0081790000000002</v>
      </c>
      <c r="AD3698">
        <v>0.41521669999999999</v>
      </c>
      <c r="AE3698">
        <v>6.6192630000000002E-2</v>
      </c>
      <c r="AF3698">
        <v>-8.9653711926162102E-2</v>
      </c>
      <c r="AG3698">
        <v>0.41521669999999999</v>
      </c>
      <c r="AH3698">
        <v>2.9513183060585799</v>
      </c>
      <c r="AI3698">
        <v>81.995345081147306</v>
      </c>
      <c r="AJ3698">
        <v>91.739968241608295</v>
      </c>
      <c r="AK3698">
        <v>2.9817314499628398</v>
      </c>
      <c r="AL3698">
        <v>78.683122480419698</v>
      </c>
      <c r="AM3698">
        <v>83.048349702445293</v>
      </c>
      <c r="AN3698">
        <v>1.00000003201974</v>
      </c>
    </row>
    <row r="3699" spans="1:40" x14ac:dyDescent="0.25">
      <c r="A3699" t="str">
        <f>"20190303171050754"</f>
        <v>20190303171050754</v>
      </c>
      <c r="B3699" t="str">
        <f>"1551604250744311"</f>
        <v>1551604250744311</v>
      </c>
      <c r="C3699" t="s">
        <v>40</v>
      </c>
      <c r="D3699">
        <v>4.7378819999999999</v>
      </c>
      <c r="E3699">
        <v>0.4429921</v>
      </c>
      <c r="F3699" t="s">
        <v>62</v>
      </c>
      <c r="G3699">
        <v>0</v>
      </c>
      <c r="H3699">
        <v>0</v>
      </c>
      <c r="I3699">
        <v>0</v>
      </c>
      <c r="J3699">
        <v>-258.07040000000001</v>
      </c>
      <c r="K3699">
        <v>1.119326</v>
      </c>
      <c r="L3699">
        <v>141.08099999999999</v>
      </c>
      <c r="M3699">
        <v>-0.99859339999999996</v>
      </c>
      <c r="N3699">
        <v>-6.5252590000000003E-3</v>
      </c>
      <c r="O3699">
        <v>5.2617400000000002E-2</v>
      </c>
      <c r="P3699">
        <v>-0.96702080000000001</v>
      </c>
      <c r="Q3699">
        <v>0.1903608</v>
      </c>
      <c r="R3699">
        <v>0.1692148</v>
      </c>
      <c r="S3699">
        <v>-3.0079349999999998</v>
      </c>
      <c r="T3699">
        <v>0.41684009999999999</v>
      </c>
      <c r="U3699">
        <v>6.9686890000000001E-2</v>
      </c>
      <c r="V3699">
        <v>0.1184364</v>
      </c>
      <c r="W3699">
        <v>0.1965123</v>
      </c>
      <c r="X3699">
        <v>0.97332200000000002</v>
      </c>
      <c r="Y3699">
        <v>-2.866382E-2</v>
      </c>
      <c r="Z3699">
        <v>9.4766820000000002E-3</v>
      </c>
      <c r="AA3699">
        <v>0.99954419999999999</v>
      </c>
      <c r="AB3699">
        <v>39</v>
      </c>
      <c r="AC3699">
        <v>-3.0079349999999998</v>
      </c>
      <c r="AD3699">
        <v>0.41684009999999999</v>
      </c>
      <c r="AE3699">
        <v>6.9686890000000001E-2</v>
      </c>
      <c r="AF3699">
        <v>-8.7012607309593704E-2</v>
      </c>
      <c r="AG3699">
        <v>0.41684009999999999</v>
      </c>
      <c r="AH3699">
        <v>2.9507968286247399</v>
      </c>
      <c r="AI3699">
        <v>81.962844178764101</v>
      </c>
      <c r="AJ3699">
        <v>91.6890389956626</v>
      </c>
      <c r="AK3699">
        <v>2.9813635784017798</v>
      </c>
      <c r="AL3699">
        <v>78.666918383630204</v>
      </c>
      <c r="AM3699">
        <v>83.062205438873704</v>
      </c>
      <c r="AN3699">
        <v>0.99999999029012498</v>
      </c>
    </row>
    <row r="3700" spans="1:40" x14ac:dyDescent="0.25">
      <c r="A3700" t="str">
        <f>"20190303171050775"</f>
        <v>20190303171050775</v>
      </c>
      <c r="B3700" t="str">
        <f>"1551604250764339"</f>
        <v>1551604250764339</v>
      </c>
      <c r="C3700" t="s">
        <v>40</v>
      </c>
      <c r="D3700">
        <v>4.8445869999999998</v>
      </c>
      <c r="E3700">
        <v>0.44206489999999998</v>
      </c>
      <c r="F3700" t="s">
        <v>62</v>
      </c>
      <c r="G3700">
        <v>0</v>
      </c>
      <c r="H3700">
        <v>0</v>
      </c>
      <c r="I3700">
        <v>0</v>
      </c>
      <c r="J3700">
        <v>-258.44369999999998</v>
      </c>
      <c r="K3700">
        <v>1.1195010000000001</v>
      </c>
      <c r="L3700">
        <v>141.10079999999999</v>
      </c>
      <c r="M3700">
        <v>-0.99858840000000004</v>
      </c>
      <c r="N3700">
        <v>-6.5194229999999999E-3</v>
      </c>
      <c r="O3700">
        <v>5.2713280000000001E-2</v>
      </c>
      <c r="P3700">
        <v>-0.96728670000000005</v>
      </c>
      <c r="Q3700">
        <v>0.19003629999999999</v>
      </c>
      <c r="R3700">
        <v>0.16805629999999999</v>
      </c>
      <c r="S3700">
        <v>-3.095764</v>
      </c>
      <c r="T3700">
        <v>1.277816E-2</v>
      </c>
      <c r="U3700">
        <v>2.311707E-2</v>
      </c>
      <c r="V3700">
        <v>0.11708590000000001</v>
      </c>
      <c r="W3700">
        <v>0.19623679999999999</v>
      </c>
      <c r="X3700">
        <v>0.97354099999999999</v>
      </c>
      <c r="Y3700">
        <v>-4.5253439999999999E-2</v>
      </c>
      <c r="Z3700">
        <v>5.0715869999999998E-4</v>
      </c>
      <c r="AA3700">
        <v>0.99897539999999996</v>
      </c>
      <c r="AB3700">
        <v>39</v>
      </c>
      <c r="AC3700">
        <v>-3.095764</v>
      </c>
      <c r="AD3700">
        <v>1.277816E-2</v>
      </c>
      <c r="AE3700">
        <v>2.311707E-2</v>
      </c>
      <c r="AF3700">
        <v>-0.14010402825837401</v>
      </c>
      <c r="AG3700">
        <v>1.277816E-2</v>
      </c>
      <c r="AH3700">
        <v>3.0926256562161099</v>
      </c>
      <c r="AI3700">
        <v>89.763508283765205</v>
      </c>
      <c r="AJ3700">
        <v>92.593875095376106</v>
      </c>
      <c r="AK3700">
        <v>3.09582394034179</v>
      </c>
      <c r="AL3700">
        <v>78.683017327647704</v>
      </c>
      <c r="AM3700">
        <v>83.142085656026097</v>
      </c>
      <c r="AN3700">
        <v>1.0000000341670201</v>
      </c>
    </row>
    <row r="3701" spans="1:40" x14ac:dyDescent="0.25">
      <c r="A3701" t="str">
        <f>"20190303171050797"</f>
        <v>20190303171050797</v>
      </c>
      <c r="B3701" t="str">
        <f>"1551604250784835"</f>
        <v>1551604250784835</v>
      </c>
      <c r="C3701" t="s">
        <v>40</v>
      </c>
      <c r="D3701">
        <v>4.8474110000000001</v>
      </c>
      <c r="E3701">
        <v>0.44176189999999999</v>
      </c>
      <c r="F3701" t="s">
        <v>62</v>
      </c>
      <c r="G3701">
        <v>0</v>
      </c>
      <c r="H3701">
        <v>0</v>
      </c>
      <c r="I3701">
        <v>0</v>
      </c>
      <c r="J3701">
        <v>-258.82319999999999</v>
      </c>
      <c r="K3701">
        <v>1.119688</v>
      </c>
      <c r="L3701">
        <v>141.1208</v>
      </c>
      <c r="M3701">
        <v>-0.99859399999999998</v>
      </c>
      <c r="N3701">
        <v>-6.5150470000000004E-3</v>
      </c>
      <c r="O3701">
        <v>5.2610270000000001E-2</v>
      </c>
      <c r="P3701">
        <v>-0.96758230000000001</v>
      </c>
      <c r="Q3701">
        <v>0.189941</v>
      </c>
      <c r="R3701">
        <v>0.166454399999999</v>
      </c>
      <c r="S3701">
        <v>-3.0945130000000001</v>
      </c>
      <c r="T3701">
        <v>2.4018169999999998E-2</v>
      </c>
      <c r="U3701">
        <v>1.287842E-2</v>
      </c>
      <c r="V3701">
        <v>0.1154797</v>
      </c>
      <c r="W3701">
        <v>0.19619429999999999</v>
      </c>
      <c r="X3701">
        <v>0.97374139999999998</v>
      </c>
      <c r="Y3701">
        <v>-4.8449430000000002E-2</v>
      </c>
      <c r="Z3701">
        <v>7.8124409999999998E-4</v>
      </c>
      <c r="AA3701">
        <v>0.99882530000000003</v>
      </c>
      <c r="AB3701">
        <v>39</v>
      </c>
      <c r="AC3701">
        <v>-3.0945130000000001</v>
      </c>
      <c r="AD3701">
        <v>2.4018169999999998E-2</v>
      </c>
      <c r="AE3701">
        <v>1.287842E-2</v>
      </c>
      <c r="AF3701">
        <v>-0.149936981840463</v>
      </c>
      <c r="AG3701">
        <v>2.4018169999999998E-2</v>
      </c>
      <c r="AH3701">
        <v>3.0907186577900601</v>
      </c>
      <c r="AI3701">
        <v>89.555282812752907</v>
      </c>
      <c r="AJ3701">
        <v>92.777356174107595</v>
      </c>
      <c r="AK3701">
        <v>3.0944466052309201</v>
      </c>
      <c r="AL3701">
        <v>78.685500730949897</v>
      </c>
      <c r="AM3701">
        <v>83.236664932297003</v>
      </c>
      <c r="AN3701">
        <v>1.0000000392692601</v>
      </c>
    </row>
    <row r="3702" spans="1:40" x14ac:dyDescent="0.25">
      <c r="A3702" t="str">
        <f>"20190303171050820"</f>
        <v>20190303171050820</v>
      </c>
      <c r="B3702" t="str">
        <f>"1551604250815091"</f>
        <v>1551604250815091</v>
      </c>
      <c r="C3702" t="s">
        <v>40</v>
      </c>
      <c r="D3702">
        <v>4.76959</v>
      </c>
      <c r="E3702">
        <v>0.4437796</v>
      </c>
      <c r="F3702" t="s">
        <v>62</v>
      </c>
      <c r="G3702">
        <v>0</v>
      </c>
      <c r="H3702">
        <v>0</v>
      </c>
      <c r="I3702">
        <v>0</v>
      </c>
      <c r="J3702">
        <v>-259.24099999999999</v>
      </c>
      <c r="K3702">
        <v>1.119893</v>
      </c>
      <c r="L3702">
        <v>141.14259999999999</v>
      </c>
      <c r="M3702">
        <v>-0.99861219999999995</v>
      </c>
      <c r="N3702">
        <v>-6.5123100000000003E-3</v>
      </c>
      <c r="O3702">
        <v>5.2261349999999998E-2</v>
      </c>
      <c r="P3702">
        <v>-0.96787219999999996</v>
      </c>
      <c r="Q3702">
        <v>0.1902083</v>
      </c>
      <c r="R3702">
        <v>0.16445179999999901</v>
      </c>
      <c r="S3702">
        <v>-3.0943909999999999</v>
      </c>
      <c r="T3702">
        <v>2.622008E-2</v>
      </c>
      <c r="U3702">
        <v>5.4779049999999999E-3</v>
      </c>
      <c r="V3702">
        <v>0.113703399999999</v>
      </c>
      <c r="W3702">
        <v>0.19652020000000001</v>
      </c>
      <c r="X3702">
        <v>0.97388459999999999</v>
      </c>
      <c r="Y3702">
        <v>-5.0488239999999997E-2</v>
      </c>
      <c r="Z3702">
        <v>8.3262280000000004E-4</v>
      </c>
      <c r="AA3702">
        <v>0.99872430000000001</v>
      </c>
      <c r="AB3702">
        <v>40</v>
      </c>
      <c r="AC3702">
        <v>-3.0943909999999999</v>
      </c>
      <c r="AD3702">
        <v>2.622008E-2</v>
      </c>
      <c r="AE3702">
        <v>5.4779049999999999E-3</v>
      </c>
      <c r="AF3702">
        <v>-0.15623884509970001</v>
      </c>
      <c r="AG3702">
        <v>2.622008E-2</v>
      </c>
      <c r="AH3702">
        <v>3.0902265700890901</v>
      </c>
      <c r="AI3702">
        <v>89.514486220087306</v>
      </c>
      <c r="AJ3702">
        <v>92.894354280099606</v>
      </c>
      <c r="AK3702">
        <v>3.09428478388753</v>
      </c>
      <c r="AL3702">
        <v>78.666456089082303</v>
      </c>
      <c r="AM3702">
        <v>83.340726737949694</v>
      </c>
      <c r="AN3702">
        <v>0.99999993314837698</v>
      </c>
    </row>
    <row r="3703" spans="1:40" x14ac:dyDescent="0.25">
      <c r="A3703" t="str">
        <f>"20190303171050841"</f>
        <v>20190303171050841</v>
      </c>
      <c r="B3703" t="str">
        <f>"1551604250834611"</f>
        <v>1551604250834611</v>
      </c>
      <c r="C3703" t="s">
        <v>40</v>
      </c>
      <c r="D3703">
        <v>4.7984609999999996</v>
      </c>
      <c r="E3703">
        <v>0.4436638</v>
      </c>
      <c r="F3703" t="s">
        <v>62</v>
      </c>
      <c r="G3703">
        <v>0</v>
      </c>
      <c r="H3703">
        <v>0</v>
      </c>
      <c r="I3703">
        <v>0</v>
      </c>
      <c r="J3703">
        <v>-259.61950000000002</v>
      </c>
      <c r="K3703">
        <v>1.1200779999999999</v>
      </c>
      <c r="L3703">
        <v>141.16210000000001</v>
      </c>
      <c r="M3703">
        <v>-0.99863710000000006</v>
      </c>
      <c r="N3703">
        <v>-6.5113150000000002E-3</v>
      </c>
      <c r="O3703">
        <v>5.1785730000000002E-2</v>
      </c>
      <c r="P3703">
        <v>-0.96829010000000004</v>
      </c>
      <c r="Q3703">
        <v>0.1902807</v>
      </c>
      <c r="R3703">
        <v>0.1618888</v>
      </c>
      <c r="S3703">
        <v>-3.0107119999999998</v>
      </c>
      <c r="T3703">
        <v>0.41804170000000002</v>
      </c>
      <c r="U3703">
        <v>3.9749149999999997E-2</v>
      </c>
      <c r="V3703">
        <v>0.11150019999999999</v>
      </c>
      <c r="W3703">
        <v>0.1966427</v>
      </c>
      <c r="X3703">
        <v>0.9741147</v>
      </c>
      <c r="Y3703">
        <v>-3.7710059999999997E-2</v>
      </c>
      <c r="Z3703">
        <v>9.9706080000000006E-3</v>
      </c>
      <c r="AA3703">
        <v>0.99923899999999999</v>
      </c>
      <c r="AB3703">
        <v>40</v>
      </c>
      <c r="AC3703">
        <v>-3.0107119999999998</v>
      </c>
      <c r="AD3703">
        <v>0.41804170000000002</v>
      </c>
      <c r="AE3703">
        <v>3.9749149999999997E-2</v>
      </c>
      <c r="AF3703">
        <v>-0.114021474689073</v>
      </c>
      <c r="AG3703">
        <v>0.41804170000000002</v>
      </c>
      <c r="AH3703">
        <v>2.9518300485939202</v>
      </c>
      <c r="AI3703">
        <v>81.945235902091298</v>
      </c>
      <c r="AJ3703">
        <v>92.212086351643507</v>
      </c>
      <c r="AK3703">
        <v>2.9834644954165501</v>
      </c>
      <c r="AL3703">
        <v>78.6592989900644</v>
      </c>
      <c r="AM3703">
        <v>83.470165353826303</v>
      </c>
      <c r="AN3703">
        <v>1.0000000474096999</v>
      </c>
    </row>
    <row r="3704" spans="1:40" x14ac:dyDescent="0.25">
      <c r="A3704" t="str">
        <f>"20190303171050865"</f>
        <v>20190303171050865</v>
      </c>
      <c r="B3704" t="str">
        <f>"1551604250854640"</f>
        <v>1551604250854640</v>
      </c>
      <c r="C3704" t="s">
        <v>40</v>
      </c>
      <c r="D3704">
        <v>4.8020990000000001</v>
      </c>
      <c r="E3704">
        <v>0.44352459999999999</v>
      </c>
      <c r="F3704" t="s">
        <v>62</v>
      </c>
      <c r="G3704">
        <v>0</v>
      </c>
      <c r="H3704">
        <v>0</v>
      </c>
      <c r="I3704">
        <v>0</v>
      </c>
      <c r="J3704">
        <v>-260.04450000000003</v>
      </c>
      <c r="K3704">
        <v>1.120263</v>
      </c>
      <c r="L3704">
        <v>141.18360000000001</v>
      </c>
      <c r="M3704">
        <v>-0.9986737</v>
      </c>
      <c r="N3704">
        <v>-6.511612E-3</v>
      </c>
      <c r="O3704">
        <v>5.1071869999999998E-2</v>
      </c>
      <c r="P3704">
        <v>-0.96862689999999996</v>
      </c>
      <c r="Q3704">
        <v>0.19082950000000001</v>
      </c>
      <c r="R3704">
        <v>0.1592045</v>
      </c>
      <c r="S3704">
        <v>-3.0112610000000002</v>
      </c>
      <c r="T3704">
        <v>0.41630430000000002</v>
      </c>
      <c r="U3704">
        <v>3.0792239999999999E-2</v>
      </c>
      <c r="V3704">
        <v>0.1094075</v>
      </c>
      <c r="W3704">
        <v>0.19724340000000001</v>
      </c>
      <c r="X3704">
        <v>0.9742305</v>
      </c>
      <c r="Y3704">
        <v>-3.9964359999999997E-2</v>
      </c>
      <c r="Z3704">
        <v>9.9739870000000001E-3</v>
      </c>
      <c r="AA3704">
        <v>0.99915129999999996</v>
      </c>
      <c r="AB3704">
        <v>40</v>
      </c>
      <c r="AC3704">
        <v>-3.0112610000000002</v>
      </c>
      <c r="AD3704">
        <v>0.41630430000000002</v>
      </c>
      <c r="AE3704">
        <v>3.0792239999999999E-2</v>
      </c>
      <c r="AF3704">
        <v>-0.12073460632778001</v>
      </c>
      <c r="AG3704">
        <v>0.41630430000000002</v>
      </c>
      <c r="AH3704">
        <v>2.9524793928603299</v>
      </c>
      <c r="AI3704">
        <v>81.980728275326001</v>
      </c>
      <c r="AJ3704">
        <v>92.341669645389999</v>
      </c>
      <c r="AK3704">
        <v>2.98412812738135</v>
      </c>
      <c r="AL3704">
        <v>78.624193489648903</v>
      </c>
      <c r="AM3704">
        <v>83.592447286727804</v>
      </c>
      <c r="AN3704">
        <v>1.00000001351503</v>
      </c>
    </row>
    <row r="3705" spans="1:40" x14ac:dyDescent="0.25">
      <c r="A3705" t="str">
        <f>"20190303171050886"</f>
        <v>20190303171050886</v>
      </c>
      <c r="B3705" t="str">
        <f>"1551604250874161"</f>
        <v>1551604250874161</v>
      </c>
      <c r="C3705" t="s">
        <v>40</v>
      </c>
      <c r="D3705">
        <v>4.8400759999999998</v>
      </c>
      <c r="E3705">
        <v>0.44355270000000002</v>
      </c>
      <c r="F3705" t="s">
        <v>62</v>
      </c>
      <c r="G3705">
        <v>0</v>
      </c>
      <c r="H3705">
        <v>0</v>
      </c>
      <c r="I3705">
        <v>0</v>
      </c>
      <c r="J3705">
        <v>-260.4178</v>
      </c>
      <c r="K3705">
        <v>1.120428</v>
      </c>
      <c r="L3705">
        <v>141.2021</v>
      </c>
      <c r="M3705">
        <v>-0.99871319999999997</v>
      </c>
      <c r="N3705">
        <v>-6.5132489999999996E-3</v>
      </c>
      <c r="O3705">
        <v>5.0295470000000002E-2</v>
      </c>
      <c r="P3705">
        <v>-0.96878430000000004</v>
      </c>
      <c r="Q3705">
        <v>0.1919476</v>
      </c>
      <c r="R3705">
        <v>0.15688669999999999</v>
      </c>
      <c r="S3705">
        <v>-3.011536</v>
      </c>
      <c r="T3705">
        <v>0.41693229999999998</v>
      </c>
      <c r="U3705">
        <v>2.1484380000000001E-2</v>
      </c>
      <c r="V3705">
        <v>0.1077645</v>
      </c>
      <c r="W3705">
        <v>0.19840450000000001</v>
      </c>
      <c r="X3705">
        <v>0.97417779999999998</v>
      </c>
      <c r="Y3705">
        <v>-4.2260989999999998E-2</v>
      </c>
      <c r="Z3705">
        <v>1.0026820000000001E-2</v>
      </c>
      <c r="AA3705">
        <v>0.99905630000000001</v>
      </c>
      <c r="AB3705">
        <v>40</v>
      </c>
      <c r="AC3705">
        <v>-3.011536</v>
      </c>
      <c r="AD3705">
        <v>0.41693229999999998</v>
      </c>
      <c r="AE3705">
        <v>2.1484380000000001E-2</v>
      </c>
      <c r="AF3705">
        <v>-0.12756766544251999</v>
      </c>
      <c r="AG3705">
        <v>0.41693229999999998</v>
      </c>
      <c r="AH3705">
        <v>2.9522224981883798</v>
      </c>
      <c r="AI3705">
        <v>81.968870424166795</v>
      </c>
      <c r="AJ3705">
        <v>92.474252814953402</v>
      </c>
      <c r="AK3705">
        <v>2.9842459233212302</v>
      </c>
      <c r="AL3705">
        <v>78.556325506483503</v>
      </c>
      <c r="AM3705">
        <v>83.687549889772995</v>
      </c>
      <c r="AN3705">
        <v>0.99999995954666898</v>
      </c>
    </row>
    <row r="3706" spans="1:40" x14ac:dyDescent="0.25">
      <c r="A3706" t="str">
        <f>"20190303171050907"</f>
        <v>20190303171050907</v>
      </c>
      <c r="B3706" t="str">
        <f>"1551604250894656"</f>
        <v>1551604250894656</v>
      </c>
      <c r="C3706" t="s">
        <v>40</v>
      </c>
      <c r="D3706">
        <v>4.8698050000000004</v>
      </c>
      <c r="E3706">
        <v>0.44494660000000003</v>
      </c>
      <c r="F3706" t="s">
        <v>62</v>
      </c>
      <c r="G3706">
        <v>0</v>
      </c>
      <c r="H3706">
        <v>0</v>
      </c>
      <c r="I3706">
        <v>0</v>
      </c>
      <c r="J3706">
        <v>-260.78579999999999</v>
      </c>
      <c r="K3706">
        <v>1.120582</v>
      </c>
      <c r="L3706">
        <v>141.2201</v>
      </c>
      <c r="M3706">
        <v>-0.99875769999999997</v>
      </c>
      <c r="N3706">
        <v>-6.5159450000000004E-3</v>
      </c>
      <c r="O3706">
        <v>4.9405159999999997E-2</v>
      </c>
      <c r="P3706">
        <v>-0.96879139999999997</v>
      </c>
      <c r="Q3706">
        <v>0.1929485</v>
      </c>
      <c r="R3706">
        <v>0.1556092</v>
      </c>
      <c r="S3706">
        <v>-3.0110779999999999</v>
      </c>
      <c r="T3706">
        <v>0.41993629999999998</v>
      </c>
      <c r="U3706">
        <v>1.46637E-2</v>
      </c>
      <c r="V3706">
        <v>0.10728219999999999</v>
      </c>
      <c r="W3706">
        <v>0.19944609999999999</v>
      </c>
      <c r="X3706">
        <v>0.97401839999999995</v>
      </c>
      <c r="Y3706">
        <v>-4.3615969999999997E-2</v>
      </c>
      <c r="Z3706">
        <v>1.005911E-2</v>
      </c>
      <c r="AA3706">
        <v>0.99899769999999999</v>
      </c>
      <c r="AB3706">
        <v>40</v>
      </c>
      <c r="AC3706">
        <v>-3.0110779999999999</v>
      </c>
      <c r="AD3706">
        <v>0.41993629999999998</v>
      </c>
      <c r="AE3706">
        <v>1.46637E-2</v>
      </c>
      <c r="AF3706">
        <v>-0.131561310400095</v>
      </c>
      <c r="AG3706">
        <v>0.41993629999999998</v>
      </c>
      <c r="AH3706">
        <v>2.9507344043044701</v>
      </c>
      <c r="AI3706">
        <v>81.9082252220024</v>
      </c>
      <c r="AJ3706">
        <v>92.552896283668602</v>
      </c>
      <c r="AK3706">
        <v>2.9833686328038498</v>
      </c>
      <c r="AL3706">
        <v>78.495430009025796</v>
      </c>
      <c r="AM3706">
        <v>83.714554487943005</v>
      </c>
      <c r="AN3706">
        <v>1.0000000303903001</v>
      </c>
    </row>
    <row r="3707" spans="1:40" x14ac:dyDescent="0.25">
      <c r="A3707" t="str">
        <f>"20190303171050931"</f>
        <v>20190303171050931</v>
      </c>
      <c r="B3707" t="str">
        <f>"1551604250924912"</f>
        <v>1551604250924912</v>
      </c>
      <c r="C3707" t="s">
        <v>40</v>
      </c>
      <c r="D3707">
        <v>4.8468790000000004</v>
      </c>
      <c r="E3707">
        <v>0.44817689999999999</v>
      </c>
      <c r="F3707" t="s">
        <v>62</v>
      </c>
      <c r="G3707">
        <v>0</v>
      </c>
      <c r="H3707">
        <v>0</v>
      </c>
      <c r="I3707">
        <v>0</v>
      </c>
      <c r="J3707">
        <v>-261.22719999999998</v>
      </c>
      <c r="K3707">
        <v>1.120757</v>
      </c>
      <c r="L3707">
        <v>141.24109999999999</v>
      </c>
      <c r="M3707">
        <v>-0.99881640000000005</v>
      </c>
      <c r="N3707">
        <v>-6.5201829999999997E-3</v>
      </c>
      <c r="O3707">
        <v>4.8203379999999997E-2</v>
      </c>
      <c r="P3707">
        <v>-0.96898989999999996</v>
      </c>
      <c r="Q3707">
        <v>0.19289229999999999</v>
      </c>
      <c r="R3707">
        <v>0.15443889999999999</v>
      </c>
      <c r="S3707">
        <v>-3.0090029999999999</v>
      </c>
      <c r="T3707">
        <v>0.42261149999999997</v>
      </c>
      <c r="U3707">
        <v>2.1667479999999999E-2</v>
      </c>
      <c r="V3707">
        <v>0.1071931</v>
      </c>
      <c r="W3707">
        <v>0.19943959999999999</v>
      </c>
      <c r="X3707">
        <v>0.97402949999999999</v>
      </c>
      <c r="Y3707">
        <v>-4.011787E-2</v>
      </c>
      <c r="Z3707">
        <v>9.7195670000000001E-3</v>
      </c>
      <c r="AA3707">
        <v>0.99914769999999997</v>
      </c>
      <c r="AB3707">
        <v>40</v>
      </c>
      <c r="AC3707">
        <v>-3.0090029999999999</v>
      </c>
      <c r="AD3707">
        <v>0.42261149999999997</v>
      </c>
      <c r="AE3707">
        <v>2.1667479999999999E-2</v>
      </c>
      <c r="AF3707">
        <v>-0.121017821865532</v>
      </c>
      <c r="AG3707">
        <v>0.42261149999999997</v>
      </c>
      <c r="AH3707">
        <v>2.9483927202401801</v>
      </c>
      <c r="AI3707">
        <v>81.849768947697001</v>
      </c>
      <c r="AJ3707">
        <v>92.350406198266697</v>
      </c>
      <c r="AK3707">
        <v>2.9809839694145599</v>
      </c>
      <c r="AL3707">
        <v>78.495809605513699</v>
      </c>
      <c r="AM3707">
        <v>83.719803943972295</v>
      </c>
      <c r="AN3707">
        <v>0.99999999080300905</v>
      </c>
    </row>
    <row r="3708" spans="1:40" x14ac:dyDescent="0.25">
      <c r="A3708" t="str">
        <f>"20190303171050955"</f>
        <v>20190303171050955</v>
      </c>
      <c r="B3708" t="str">
        <f>"1551604250944433"</f>
        <v>1551604250944433</v>
      </c>
      <c r="C3708" t="s">
        <v>40</v>
      </c>
      <c r="D3708">
        <v>4.8509289999999998</v>
      </c>
      <c r="E3708">
        <v>0.45004369999999999</v>
      </c>
      <c r="F3708" t="s">
        <v>62</v>
      </c>
      <c r="G3708">
        <v>0</v>
      </c>
      <c r="H3708">
        <v>0</v>
      </c>
      <c r="I3708">
        <v>0</v>
      </c>
      <c r="J3708">
        <v>-261.65280000000001</v>
      </c>
      <c r="K3708">
        <v>1.1209020000000001</v>
      </c>
      <c r="L3708">
        <v>141.26070000000001</v>
      </c>
      <c r="M3708">
        <v>-0.9988766</v>
      </c>
      <c r="N3708">
        <v>-6.5249050000000001E-3</v>
      </c>
      <c r="O3708">
        <v>4.6937640000000003E-2</v>
      </c>
      <c r="P3708">
        <v>-0.96918269999999995</v>
      </c>
      <c r="Q3708">
        <v>0.1927459</v>
      </c>
      <c r="R3708">
        <v>0.15340809999999999</v>
      </c>
      <c r="S3708">
        <v>-3.0057070000000001</v>
      </c>
      <c r="T3708">
        <v>0.41881410000000002</v>
      </c>
      <c r="U3708">
        <v>4.3502810000000003E-2</v>
      </c>
      <c r="V3708">
        <v>0.10731839999999999</v>
      </c>
      <c r="W3708">
        <v>0.19933719999999999</v>
      </c>
      <c r="X3708">
        <v>0.97403660000000003</v>
      </c>
      <c r="Y3708">
        <v>-3.1689710000000003E-2</v>
      </c>
      <c r="Z3708">
        <v>8.9041859999999997E-3</v>
      </c>
      <c r="AA3708">
        <v>0.99945810000000002</v>
      </c>
      <c r="AB3708">
        <v>40</v>
      </c>
      <c r="AC3708">
        <v>-3.0057070000000001</v>
      </c>
      <c r="AD3708">
        <v>0.41881410000000002</v>
      </c>
      <c r="AE3708">
        <v>4.3502810000000003E-2</v>
      </c>
      <c r="AF3708">
        <v>-9.57698897589256E-2</v>
      </c>
      <c r="AG3708">
        <v>0.41881410000000002</v>
      </c>
      <c r="AH3708">
        <v>2.94722601872677</v>
      </c>
      <c r="AI3708">
        <v>81.916372768035501</v>
      </c>
      <c r="AJ3708">
        <v>91.861167186826094</v>
      </c>
      <c r="AK3708">
        <v>2.9783751153277001</v>
      </c>
      <c r="AL3708">
        <v>78.501796185823906</v>
      </c>
      <c r="AM3708">
        <v>83.712567129879801</v>
      </c>
      <c r="AN3708">
        <v>0.99999992821097705</v>
      </c>
    </row>
    <row r="3709" spans="1:40" x14ac:dyDescent="0.25">
      <c r="A3709" t="str">
        <f>"20190303171050979"</f>
        <v>20190303171050979</v>
      </c>
      <c r="B3709" t="str">
        <f>"1551604250964458"</f>
        <v>1551604250964458</v>
      </c>
      <c r="C3709" t="s">
        <v>40</v>
      </c>
      <c r="D3709">
        <v>4.9733020000000003</v>
      </c>
      <c r="E3709">
        <v>0.4506984</v>
      </c>
      <c r="F3709" t="s">
        <v>62</v>
      </c>
      <c r="G3709">
        <v>0</v>
      </c>
      <c r="H3709">
        <v>0</v>
      </c>
      <c r="I3709">
        <v>0</v>
      </c>
      <c r="J3709">
        <v>-262.05079999999998</v>
      </c>
      <c r="K3709">
        <v>1.1210209999999901</v>
      </c>
      <c r="L3709">
        <v>141.27850000000001</v>
      </c>
      <c r="M3709">
        <v>-0.99893469999999995</v>
      </c>
      <c r="N3709">
        <v>-6.5297699999999998E-3</v>
      </c>
      <c r="O3709">
        <v>4.568237E-2</v>
      </c>
      <c r="P3709">
        <v>-0.96945389999999998</v>
      </c>
      <c r="Q3709">
        <v>0.1926168</v>
      </c>
      <c r="R3709">
        <v>0.15184919999999999</v>
      </c>
      <c r="S3709">
        <v>-3.0039669999999998</v>
      </c>
      <c r="T3709">
        <v>0.415827</v>
      </c>
      <c r="U3709">
        <v>5.502319E-2</v>
      </c>
      <c r="V3709">
        <v>0.1069182</v>
      </c>
      <c r="W3709">
        <v>0.1992429</v>
      </c>
      <c r="X3709">
        <v>0.97409999999999997</v>
      </c>
      <c r="Y3709">
        <v>-2.6661859999999999E-2</v>
      </c>
      <c r="Z3709">
        <v>8.3366819999999998E-3</v>
      </c>
      <c r="AA3709">
        <v>0.99960979999999999</v>
      </c>
      <c r="AB3709">
        <v>40</v>
      </c>
      <c r="AC3709">
        <v>-3.0039669999999998</v>
      </c>
      <c r="AD3709">
        <v>0.415827</v>
      </c>
      <c r="AE3709">
        <v>5.502319E-2</v>
      </c>
      <c r="AF3709">
        <v>-8.0719305882935105E-2</v>
      </c>
      <c r="AG3709">
        <v>0.415827</v>
      </c>
      <c r="AH3709">
        <v>2.94689569020762</v>
      </c>
      <c r="AI3709">
        <v>81.971175641489495</v>
      </c>
      <c r="AJ3709">
        <v>91.569013600441906</v>
      </c>
      <c r="AK3709">
        <v>2.9771835531648798</v>
      </c>
      <c r="AL3709">
        <v>78.507310874487302</v>
      </c>
      <c r="AM3709">
        <v>83.736231264795407</v>
      </c>
      <c r="AN3709">
        <v>1.0000000223458201</v>
      </c>
    </row>
    <row r="3710" spans="1:40" x14ac:dyDescent="0.25">
      <c r="A3710" t="str">
        <f>"20190303171050996"</f>
        <v>20190303171050996</v>
      </c>
      <c r="B3710" t="str">
        <f>"1551604250984954"</f>
        <v>1551604250984954</v>
      </c>
      <c r="C3710" t="s">
        <v>40</v>
      </c>
      <c r="D3710">
        <v>4.8953519999999999</v>
      </c>
      <c r="E3710">
        <v>0.45602890000000001</v>
      </c>
      <c r="F3710" t="s">
        <v>62</v>
      </c>
      <c r="G3710">
        <v>0</v>
      </c>
      <c r="H3710">
        <v>0</v>
      </c>
      <c r="I3710">
        <v>0</v>
      </c>
      <c r="J3710">
        <v>-262.39299999999997</v>
      </c>
      <c r="K3710">
        <v>1.1210990000000001</v>
      </c>
      <c r="L3710">
        <v>141.29339999999999</v>
      </c>
      <c r="M3710">
        <v>-0.99898500000000001</v>
      </c>
      <c r="N3710">
        <v>-6.5343179999999999E-3</v>
      </c>
      <c r="O3710">
        <v>4.456881E-2</v>
      </c>
      <c r="P3710">
        <v>-0.96955230000000003</v>
      </c>
      <c r="Q3710">
        <v>0.19324450000000001</v>
      </c>
      <c r="R3710">
        <v>0.1504162</v>
      </c>
      <c r="S3710">
        <v>-3.0035099999999999</v>
      </c>
      <c r="T3710">
        <v>0.41432459999999999</v>
      </c>
      <c r="U3710">
        <v>5.5374149999999997E-2</v>
      </c>
      <c r="V3710">
        <v>0.10652689999999999</v>
      </c>
      <c r="W3710">
        <v>0.19989509999999999</v>
      </c>
      <c r="X3710">
        <v>0.97400920000000002</v>
      </c>
      <c r="Y3710">
        <v>-2.5455220000000001E-2</v>
      </c>
      <c r="Z3710">
        <v>8.0701219999999903E-3</v>
      </c>
      <c r="AA3710">
        <v>0.99964339999999996</v>
      </c>
      <c r="AB3710">
        <v>40</v>
      </c>
      <c r="AC3710">
        <v>-3.0035099999999999</v>
      </c>
      <c r="AD3710">
        <v>0.41432459999999999</v>
      </c>
      <c r="AE3710">
        <v>5.5374149999999997E-2</v>
      </c>
      <c r="AF3710">
        <v>-7.7080306548649197E-2</v>
      </c>
      <c r="AG3710">
        <v>0.41432459999999999</v>
      </c>
      <c r="AH3710">
        <v>2.9469342473269302</v>
      </c>
      <c r="AI3710">
        <v>81.999650228233705</v>
      </c>
      <c r="AJ3710">
        <v>91.4982925132622</v>
      </c>
      <c r="AK3710">
        <v>2.9769158042999999</v>
      </c>
      <c r="AL3710">
        <v>78.469174890714896</v>
      </c>
      <c r="AM3710">
        <v>83.758397007756599</v>
      </c>
      <c r="AN3710">
        <v>0.99999997655612904</v>
      </c>
    </row>
    <row r="3711" spans="1:40" x14ac:dyDescent="0.25">
      <c r="A3711" t="str">
        <f>"20190303171051020"</f>
        <v>20190303171051020</v>
      </c>
      <c r="B3711" t="str">
        <f>"1551604251004474"</f>
        <v>1551604251004474</v>
      </c>
      <c r="C3711" t="s">
        <v>40</v>
      </c>
      <c r="D3711">
        <v>4.8865280000000002</v>
      </c>
      <c r="E3711">
        <v>0.4559955</v>
      </c>
      <c r="F3711" t="s">
        <v>62</v>
      </c>
      <c r="G3711">
        <v>0</v>
      </c>
      <c r="H3711">
        <v>0</v>
      </c>
      <c r="I3711">
        <v>0</v>
      </c>
      <c r="J3711">
        <v>-262.80489999999998</v>
      </c>
      <c r="K3711">
        <v>1.121189</v>
      </c>
      <c r="L3711">
        <v>141.3108</v>
      </c>
      <c r="M3711">
        <v>-0.99904519999999997</v>
      </c>
      <c r="N3711">
        <v>-6.5403010000000001E-3</v>
      </c>
      <c r="O3711">
        <v>4.3196850000000002E-2</v>
      </c>
      <c r="P3711">
        <v>-0.96965979999999996</v>
      </c>
      <c r="Q3711">
        <v>0.1942981</v>
      </c>
      <c r="R3711">
        <v>0.1483516</v>
      </c>
      <c r="S3711">
        <v>-3.0821529999999999</v>
      </c>
      <c r="T3711">
        <v>7.4826479999999997E-3</v>
      </c>
      <c r="U3711">
        <v>6.8054199999999995E-2</v>
      </c>
      <c r="V3711">
        <v>0.10575610000000001</v>
      </c>
      <c r="W3711">
        <v>0.20097280000000001</v>
      </c>
      <c r="X3711">
        <v>0.97387140000000005</v>
      </c>
      <c r="Y3711">
        <v>-2.1131529999999999E-2</v>
      </c>
      <c r="Z3711">
        <v>3.439432E-4</v>
      </c>
      <c r="AA3711">
        <v>0.99977669999999996</v>
      </c>
      <c r="AB3711">
        <v>40</v>
      </c>
      <c r="AC3711">
        <v>-3.0821529999999999</v>
      </c>
      <c r="AD3711">
        <v>7.4826479999999997E-3</v>
      </c>
      <c r="AE3711">
        <v>6.8054199999999995E-2</v>
      </c>
      <c r="AF3711">
        <v>-6.5151086828588695E-2</v>
      </c>
      <c r="AG3711">
        <v>7.4826479999999997E-3</v>
      </c>
      <c r="AH3711">
        <v>3.0821975677070101</v>
      </c>
      <c r="AI3711">
        <v>89.860934430078103</v>
      </c>
      <c r="AJ3711">
        <v>91.210930321814899</v>
      </c>
      <c r="AK3711">
        <v>3.0828951491276899</v>
      </c>
      <c r="AL3711">
        <v>78.406148059592496</v>
      </c>
      <c r="AM3711">
        <v>83.802336932645403</v>
      </c>
      <c r="AN3711">
        <v>0.99999996138250402</v>
      </c>
    </row>
    <row r="3712" spans="1:40" x14ac:dyDescent="0.25">
      <c r="A3712" t="str">
        <f>"20190303171051054"</f>
        <v>20190303171051054</v>
      </c>
      <c r="B3712" t="str">
        <f>"1551604251044490"</f>
        <v>1551604251044490</v>
      </c>
      <c r="C3712" t="s">
        <v>40</v>
      </c>
      <c r="D3712">
        <v>4.913672</v>
      </c>
      <c r="E3712">
        <v>0.45623039999999998</v>
      </c>
      <c r="F3712" t="s">
        <v>62</v>
      </c>
      <c r="G3712">
        <v>0</v>
      </c>
      <c r="H3712">
        <v>0</v>
      </c>
      <c r="I3712">
        <v>0</v>
      </c>
      <c r="J3712">
        <v>-263.43579999999997</v>
      </c>
      <c r="K3712">
        <v>1.1212879999999901</v>
      </c>
      <c r="L3712">
        <v>141.33629999999999</v>
      </c>
      <c r="M3712">
        <v>-0.99913510000000005</v>
      </c>
      <c r="N3712">
        <v>-6.5504959999999899E-3</v>
      </c>
      <c r="O3712">
        <v>4.1064950000000003E-2</v>
      </c>
      <c r="P3712">
        <v>-0.96977769999999996</v>
      </c>
      <c r="Q3712">
        <v>0.1955442</v>
      </c>
      <c r="R3712">
        <v>0.14592479999999999</v>
      </c>
      <c r="S3712">
        <v>-3.0820620000000001</v>
      </c>
      <c r="T3712">
        <v>1.152384E-2</v>
      </c>
      <c r="U3712">
        <v>6.1965939999999997E-2</v>
      </c>
      <c r="V3712">
        <v>0.105355</v>
      </c>
      <c r="W3712">
        <v>0.20225209999999999</v>
      </c>
      <c r="X3712">
        <v>0.97365000000000002</v>
      </c>
      <c r="Y3712">
        <v>-2.0971130000000001E-2</v>
      </c>
      <c r="Z3712">
        <v>3.930394E-4</v>
      </c>
      <c r="AA3712">
        <v>0.99978</v>
      </c>
      <c r="AB3712">
        <v>41</v>
      </c>
      <c r="AC3712">
        <v>-3.0820620000000001</v>
      </c>
      <c r="AD3712">
        <v>1.152384E-2</v>
      </c>
      <c r="AE3712">
        <v>6.1965939999999997E-2</v>
      </c>
      <c r="AF3712">
        <v>-6.46528538554519E-2</v>
      </c>
      <c r="AG3712">
        <v>1.152384E-2</v>
      </c>
      <c r="AH3712">
        <v>3.0819637190990701</v>
      </c>
      <c r="AI3712">
        <v>89.7858121809994</v>
      </c>
      <c r="AJ3712">
        <v>91.2017637951528</v>
      </c>
      <c r="AK3712">
        <v>3.0826633219089898</v>
      </c>
      <c r="AL3712">
        <v>78.331312774293295</v>
      </c>
      <c r="AM3712">
        <v>83.824267697922807</v>
      </c>
      <c r="AN3712">
        <v>0.99999995523970298</v>
      </c>
    </row>
    <row r="3713" spans="1:40" x14ac:dyDescent="0.25">
      <c r="A3713" t="str">
        <f>"20190303171051076"</f>
        <v>20190303171051076</v>
      </c>
      <c r="B3713" t="str">
        <f>"1551604251064986"</f>
        <v>1551604251064986</v>
      </c>
      <c r="C3713" t="s">
        <v>40</v>
      </c>
      <c r="D3713">
        <v>5.0117330000000004</v>
      </c>
      <c r="E3713">
        <v>0.456343</v>
      </c>
      <c r="F3713" t="s">
        <v>62</v>
      </c>
      <c r="G3713">
        <v>0</v>
      </c>
      <c r="H3713">
        <v>0</v>
      </c>
      <c r="I3713">
        <v>0</v>
      </c>
      <c r="J3713">
        <v>-263.8383</v>
      </c>
      <c r="K3713">
        <v>1.1213299999999999</v>
      </c>
      <c r="L3713">
        <v>141.352</v>
      </c>
      <c r="M3713">
        <v>-0.99919029999999998</v>
      </c>
      <c r="N3713">
        <v>-6.5578519999999899E-3</v>
      </c>
      <c r="O3713">
        <v>3.9697540000000003E-2</v>
      </c>
      <c r="P3713">
        <v>-0.9701805</v>
      </c>
      <c r="Q3713">
        <v>0.19492799999999999</v>
      </c>
      <c r="R3713">
        <v>0.1440594</v>
      </c>
      <c r="S3713">
        <v>-3.0830690000000001</v>
      </c>
      <c r="T3713">
        <v>9.9058150000000001E-3</v>
      </c>
      <c r="U3713">
        <v>5.5969240000000003E-2</v>
      </c>
      <c r="V3713">
        <v>0.1047862</v>
      </c>
      <c r="W3713">
        <v>0.20165530000000001</v>
      </c>
      <c r="X3713">
        <v>0.97383520000000001</v>
      </c>
      <c r="Y3713">
        <v>-2.1553630000000001E-2</v>
      </c>
      <c r="Z3713">
        <v>3.5182790000000001E-4</v>
      </c>
      <c r="AA3713">
        <v>0.99976770000000004</v>
      </c>
      <c r="AB3713">
        <v>41</v>
      </c>
      <c r="AC3713">
        <v>-3.0830690000000001</v>
      </c>
      <c r="AD3713">
        <v>9.9058150000000001E-3</v>
      </c>
      <c r="AE3713">
        <v>5.5969240000000003E-2</v>
      </c>
      <c r="AF3713">
        <v>-6.6467071394822594E-2</v>
      </c>
      <c r="AG3713">
        <v>9.9058150000000001E-3</v>
      </c>
      <c r="AH3713">
        <v>3.0828287165691801</v>
      </c>
      <c r="AI3713">
        <v>89.815939313392605</v>
      </c>
      <c r="AJ3713">
        <v>91.235129514720796</v>
      </c>
      <c r="AK3713">
        <v>3.0835610732486201</v>
      </c>
      <c r="AL3713">
        <v>78.366226842686501</v>
      </c>
      <c r="AM3713">
        <v>83.858513466291399</v>
      </c>
      <c r="AN3713">
        <v>1.0000000022437801</v>
      </c>
    </row>
    <row r="3714" spans="1:40" x14ac:dyDescent="0.25">
      <c r="A3714" t="str">
        <f>"20190303171051099"</f>
        <v>20190303171051099</v>
      </c>
      <c r="B3714" t="str">
        <f>"1551604251084506"</f>
        <v>1551604251084506</v>
      </c>
      <c r="C3714" t="s">
        <v>40</v>
      </c>
      <c r="D3714">
        <v>5.035158</v>
      </c>
      <c r="E3714">
        <v>0.4564627</v>
      </c>
      <c r="F3714" t="s">
        <v>62</v>
      </c>
      <c r="G3714">
        <v>0</v>
      </c>
      <c r="H3714">
        <v>0</v>
      </c>
      <c r="I3714">
        <v>0</v>
      </c>
      <c r="J3714">
        <v>-264.24110000000002</v>
      </c>
      <c r="K3714">
        <v>1.1213630000000001</v>
      </c>
      <c r="L3714">
        <v>141.36699999999999</v>
      </c>
      <c r="M3714">
        <v>-0.99924360000000001</v>
      </c>
      <c r="N3714">
        <v>-6.5655510000000002E-3</v>
      </c>
      <c r="O3714">
        <v>3.832878E-2</v>
      </c>
      <c r="P3714">
        <v>-0.97058829999999996</v>
      </c>
      <c r="Q3714">
        <v>0.19406039999999999</v>
      </c>
      <c r="R3714">
        <v>0.14247499999999999</v>
      </c>
      <c r="S3714">
        <v>-3.083466</v>
      </c>
      <c r="T3714">
        <v>5.6449169999999898E-3</v>
      </c>
      <c r="U3714">
        <v>5.0933840000000001E-2</v>
      </c>
      <c r="V3714">
        <v>0.104505</v>
      </c>
      <c r="W3714">
        <v>0.20080609999999999</v>
      </c>
      <c r="X3714">
        <v>0.97404089999999999</v>
      </c>
      <c r="Y3714">
        <v>-2.1819149999999999E-2</v>
      </c>
      <c r="Z3714">
        <v>2.7018380000000001E-4</v>
      </c>
      <c r="AA3714">
        <v>0.99976189999999998</v>
      </c>
      <c r="AB3714">
        <v>41</v>
      </c>
      <c r="AC3714">
        <v>-3.083466</v>
      </c>
      <c r="AD3714">
        <v>5.6449169999999898E-3</v>
      </c>
      <c r="AE3714">
        <v>5.0933840000000001E-2</v>
      </c>
      <c r="AF3714">
        <v>-6.7291402086834901E-2</v>
      </c>
      <c r="AG3714">
        <v>5.6449169999999898E-3</v>
      </c>
      <c r="AH3714">
        <v>3.0831420607170701</v>
      </c>
      <c r="AI3714">
        <v>89.895122395973203</v>
      </c>
      <c r="AJ3714">
        <v>91.250315826030302</v>
      </c>
      <c r="AK3714">
        <v>3.0838814770424401</v>
      </c>
      <c r="AL3714">
        <v>78.415898834222702</v>
      </c>
      <c r="AM3714">
        <v>83.876152751233903</v>
      </c>
      <c r="AN3714">
        <v>1.0000000298475</v>
      </c>
    </row>
    <row r="3715" spans="1:40" x14ac:dyDescent="0.25">
      <c r="A3715" t="str">
        <f>"20190303171051120"</f>
        <v>20190303171051120</v>
      </c>
      <c r="B3715" t="str">
        <f>"1551604251114763"</f>
        <v>1551604251114763</v>
      </c>
      <c r="C3715" t="s">
        <v>40</v>
      </c>
      <c r="D3715">
        <v>5.0655330000000003</v>
      </c>
      <c r="E3715">
        <v>0.45677610000000002</v>
      </c>
      <c r="F3715" t="s">
        <v>62</v>
      </c>
      <c r="G3715">
        <v>0</v>
      </c>
      <c r="H3715">
        <v>0</v>
      </c>
      <c r="I3715">
        <v>0</v>
      </c>
      <c r="J3715">
        <v>-264.63630000000001</v>
      </c>
      <c r="K3715">
        <v>1.1214</v>
      </c>
      <c r="L3715">
        <v>141.38120000000001</v>
      </c>
      <c r="M3715">
        <v>-0.99929409999999996</v>
      </c>
      <c r="N3715">
        <v>-6.5734649999999997E-3</v>
      </c>
      <c r="O3715">
        <v>3.6986449999999997E-2</v>
      </c>
      <c r="P3715">
        <v>-0.97090690000000002</v>
      </c>
      <c r="Q3715">
        <v>0.19374440000000001</v>
      </c>
      <c r="R3715">
        <v>0.14072219999999999</v>
      </c>
      <c r="S3715">
        <v>-3.083771</v>
      </c>
      <c r="T3715">
        <v>1.289606E-3</v>
      </c>
      <c r="U3715">
        <v>4.6859739999999997E-2</v>
      </c>
      <c r="V3715">
        <v>0.10403510000000001</v>
      </c>
      <c r="W3715">
        <v>0.2005062</v>
      </c>
      <c r="X3715">
        <v>0.97415300000000005</v>
      </c>
      <c r="Y3715">
        <v>-2.1798660000000001E-2</v>
      </c>
      <c r="Z3715">
        <v>1.9154560000000001E-4</v>
      </c>
      <c r="AA3715">
        <v>0.99976240000000005</v>
      </c>
      <c r="AB3715">
        <v>41</v>
      </c>
      <c r="AC3715">
        <v>-3.083771</v>
      </c>
      <c r="AD3715">
        <v>1.289606E-3</v>
      </c>
      <c r="AE3715">
        <v>4.6859739999999997E-2</v>
      </c>
      <c r="AF3715">
        <v>-6.7232524180320802E-2</v>
      </c>
      <c r="AG3715">
        <v>1.289606E-3</v>
      </c>
      <c r="AH3715">
        <v>3.0833935650837301</v>
      </c>
      <c r="AI3715">
        <v>89.976042170312496</v>
      </c>
      <c r="AJ3715">
        <v>91.249120321461803</v>
      </c>
      <c r="AK3715">
        <v>3.0841267406822102</v>
      </c>
      <c r="AL3715">
        <v>78.433438835411806</v>
      </c>
      <c r="AM3715">
        <v>83.904176678130597</v>
      </c>
      <c r="AN3715">
        <v>1.0000000528397199</v>
      </c>
    </row>
    <row r="3716" spans="1:40" x14ac:dyDescent="0.25">
      <c r="A3716" t="str">
        <f>"20190303171051145"</f>
        <v>20190303171051145</v>
      </c>
      <c r="B3716" t="str">
        <f>"1551604251135258"</f>
        <v>1551604251135258</v>
      </c>
      <c r="C3716" t="s">
        <v>40</v>
      </c>
      <c r="D3716">
        <v>5.0535040000000002</v>
      </c>
      <c r="E3716">
        <v>0.4570399</v>
      </c>
      <c r="F3716" t="s">
        <v>62</v>
      </c>
      <c r="G3716">
        <v>0</v>
      </c>
      <c r="H3716">
        <v>0</v>
      </c>
      <c r="I3716">
        <v>0</v>
      </c>
      <c r="J3716">
        <v>-265.09120000000001</v>
      </c>
      <c r="K3716">
        <v>1.121432</v>
      </c>
      <c r="L3716">
        <v>141.39689999999999</v>
      </c>
      <c r="M3716">
        <v>-0.99935010000000002</v>
      </c>
      <c r="N3716">
        <v>-6.5830200000000002E-3</v>
      </c>
      <c r="O3716">
        <v>3.5443660000000002E-2</v>
      </c>
      <c r="P3716">
        <v>-0.97111789999999998</v>
      </c>
      <c r="Q3716">
        <v>0.1939755</v>
      </c>
      <c r="R3716">
        <v>0.1389369</v>
      </c>
      <c r="S3716">
        <v>-3.0841059999999998</v>
      </c>
      <c r="T3716">
        <v>-2.9544829999999999E-3</v>
      </c>
      <c r="U3716">
        <v>4.4097900000000002E-2</v>
      </c>
      <c r="V3716">
        <v>0.10373159999999999</v>
      </c>
      <c r="W3716">
        <v>0.20075470000000001</v>
      </c>
      <c r="X3716">
        <v>0.9741341</v>
      </c>
      <c r="Y3716">
        <v>-2.115218E-2</v>
      </c>
      <c r="Z3716">
        <v>1.196658E-4</v>
      </c>
      <c r="AA3716">
        <v>0.9997762</v>
      </c>
      <c r="AB3716">
        <v>41</v>
      </c>
      <c r="AC3716">
        <v>-3.0841059999999998</v>
      </c>
      <c r="AD3716">
        <v>-2.9544829999999999E-3</v>
      </c>
      <c r="AE3716">
        <v>4.4097900000000002E-2</v>
      </c>
      <c r="AF3716">
        <v>-6.5244110659790994E-2</v>
      </c>
      <c r="AG3716">
        <v>-2.9544829999999999E-3</v>
      </c>
      <c r="AH3716">
        <v>3.0837282941480102</v>
      </c>
      <c r="AI3716">
        <v>90.054882098260194</v>
      </c>
      <c r="AJ3716">
        <v>91.212057022884096</v>
      </c>
      <c r="AK3716">
        <v>3.0844198344380098</v>
      </c>
      <c r="AL3716">
        <v>78.4189043476227</v>
      </c>
      <c r="AM3716">
        <v>83.921709572534098</v>
      </c>
      <c r="AN3716">
        <v>0.99999996959672899</v>
      </c>
    </row>
    <row r="3717" spans="1:40" x14ac:dyDescent="0.25">
      <c r="A3717" t="str">
        <f>"20190303171051166"</f>
        <v>20190303171051166</v>
      </c>
      <c r="B3717" t="str">
        <f>"1551604251154778"</f>
        <v>1551604251154778</v>
      </c>
      <c r="C3717" t="s">
        <v>40</v>
      </c>
      <c r="D3717">
        <v>5.0855790000000001</v>
      </c>
      <c r="E3717">
        <v>0.4573024</v>
      </c>
      <c r="F3717" t="s">
        <v>66</v>
      </c>
      <c r="G3717">
        <v>-992.39779999999996</v>
      </c>
      <c r="H3717">
        <v>-0.1</v>
      </c>
      <c r="I3717">
        <v>151.1009</v>
      </c>
      <c r="J3717">
        <v>-265.48349999999999</v>
      </c>
      <c r="K3717">
        <v>1.121454</v>
      </c>
      <c r="L3717">
        <v>141.40979999999999</v>
      </c>
      <c r="M3717">
        <v>-0.99939639999999996</v>
      </c>
      <c r="N3717">
        <v>-6.5915359999999899E-3</v>
      </c>
      <c r="O3717">
        <v>3.4113850000000001E-2</v>
      </c>
      <c r="P3717">
        <v>-0.97148129999999999</v>
      </c>
      <c r="Q3717">
        <v>0.1938242</v>
      </c>
      <c r="R3717">
        <v>0.13658870000000001</v>
      </c>
      <c r="S3717">
        <v>-3.084381</v>
      </c>
      <c r="T3717">
        <v>-5.1798820000000002E-3</v>
      </c>
      <c r="U3717">
        <v>4.1152950000000001E-2</v>
      </c>
      <c r="V3717">
        <v>0.1026585</v>
      </c>
      <c r="W3717">
        <v>0.2006146</v>
      </c>
      <c r="X3717">
        <v>0.9742767</v>
      </c>
      <c r="Y3717">
        <v>-2.077758E-2</v>
      </c>
      <c r="Z3717" s="1">
        <v>8.1696579999999998E-5</v>
      </c>
      <c r="AA3717">
        <v>0.99978409999999995</v>
      </c>
      <c r="AB3717">
        <v>41</v>
      </c>
      <c r="AC3717">
        <v>-726.914299999999</v>
      </c>
      <c r="AD3717">
        <v>-1.221454</v>
      </c>
      <c r="AE3717">
        <v>9.6911000000000005</v>
      </c>
      <c r="AF3717">
        <v>-15.1128778200395</v>
      </c>
      <c r="AG3717">
        <v>-1.221454</v>
      </c>
      <c r="AH3717">
        <v>726.81973968831005</v>
      </c>
      <c r="AI3717">
        <v>90.096267293382596</v>
      </c>
      <c r="AJ3717">
        <v>91.191188554314806</v>
      </c>
      <c r="AK3717">
        <v>726.97787107068098</v>
      </c>
      <c r="AL3717">
        <v>78.427098970854004</v>
      </c>
      <c r="AM3717">
        <v>83.984999843799102</v>
      </c>
      <c r="AN3717">
        <v>1.00000003675914</v>
      </c>
    </row>
    <row r="3718" spans="1:40" x14ac:dyDescent="0.25">
      <c r="A3718" t="str">
        <f>"20190303171051187"</f>
        <v>20190303171051187</v>
      </c>
      <c r="B3718" t="str">
        <f>"1551604251174298"</f>
        <v>1551604251174298</v>
      </c>
      <c r="C3718" t="s">
        <v>40</v>
      </c>
      <c r="D3718">
        <v>4.978726</v>
      </c>
      <c r="E3718">
        <v>0.4613466</v>
      </c>
      <c r="F3718" t="s">
        <v>66</v>
      </c>
      <c r="G3718">
        <v>-774.33479999999997</v>
      </c>
      <c r="H3718">
        <v>-0.1</v>
      </c>
      <c r="I3718">
        <v>147.29259999999999</v>
      </c>
      <c r="J3718">
        <v>-265.88569999999999</v>
      </c>
      <c r="K3718">
        <v>1.1214649999999999</v>
      </c>
      <c r="L3718">
        <v>141.42259999999999</v>
      </c>
      <c r="M3718">
        <v>-0.99944189999999999</v>
      </c>
      <c r="N3718">
        <v>-6.6005710000000004E-3</v>
      </c>
      <c r="O3718">
        <v>3.275045E-2</v>
      </c>
      <c r="P3718">
        <v>-0.97196320000000003</v>
      </c>
      <c r="Q3718">
        <v>0.1934176</v>
      </c>
      <c r="R3718">
        <v>0.13370660000000001</v>
      </c>
      <c r="S3718">
        <v>-3.0845030000000002</v>
      </c>
      <c r="T3718">
        <v>-7.404089E-3</v>
      </c>
      <c r="U3718">
        <v>3.5659789999999997E-2</v>
      </c>
      <c r="V3718">
        <v>0.1010841</v>
      </c>
      <c r="W3718">
        <v>0.20021890000000001</v>
      </c>
      <c r="X3718">
        <v>0.97452269999999996</v>
      </c>
      <c r="Y3718">
        <v>-2.1194480000000002E-2</v>
      </c>
      <c r="Z3718" s="1">
        <v>4.222069E-5</v>
      </c>
      <c r="AA3718">
        <v>0.99977539999999998</v>
      </c>
      <c r="AB3718">
        <v>41</v>
      </c>
      <c r="AC3718">
        <v>-508.44909999999999</v>
      </c>
      <c r="AD3718">
        <v>-1.221465</v>
      </c>
      <c r="AE3718">
        <v>5.87</v>
      </c>
      <c r="AF3718">
        <v>-10.785384126475</v>
      </c>
      <c r="AG3718">
        <v>-1.221465</v>
      </c>
      <c r="AH3718">
        <v>508.36565162527398</v>
      </c>
      <c r="AI3718">
        <v>90.137635006212506</v>
      </c>
      <c r="AJ3718">
        <v>91.215393482400302</v>
      </c>
      <c r="AK3718">
        <v>508.48151612412698</v>
      </c>
      <c r="AL3718">
        <v>78.450240565001195</v>
      </c>
      <c r="AM3718">
        <v>84.078071281986794</v>
      </c>
      <c r="AN3718">
        <v>1.0000000480026501</v>
      </c>
    </row>
    <row r="3719" spans="1:40" x14ac:dyDescent="0.25">
      <c r="A3719" t="str">
        <f>"20190303171051210"</f>
        <v>20190303171051210</v>
      </c>
      <c r="B3719" t="str">
        <f>"1551604251194794"</f>
        <v>1551604251194794</v>
      </c>
      <c r="C3719" t="s">
        <v>40</v>
      </c>
      <c r="D3719">
        <v>5.0211319999999997</v>
      </c>
      <c r="E3719">
        <v>0.46090680000000001</v>
      </c>
      <c r="F3719" t="s">
        <v>62</v>
      </c>
      <c r="G3719">
        <v>0</v>
      </c>
      <c r="H3719">
        <v>0</v>
      </c>
      <c r="I3719">
        <v>0</v>
      </c>
      <c r="J3719">
        <v>-266.29079999999999</v>
      </c>
      <c r="K3719">
        <v>1.1214710000000001</v>
      </c>
      <c r="L3719">
        <v>141.4349</v>
      </c>
      <c r="M3719">
        <v>-0.99948570000000003</v>
      </c>
      <c r="N3719">
        <v>-6.6097760000000004E-3</v>
      </c>
      <c r="O3719">
        <v>3.137757E-2</v>
      </c>
      <c r="P3719">
        <v>-0.97238709999999995</v>
      </c>
      <c r="Q3719">
        <v>0.19340640000000001</v>
      </c>
      <c r="R3719">
        <v>0.13060330000000001</v>
      </c>
      <c r="S3719">
        <v>-3.00177</v>
      </c>
      <c r="T3719">
        <v>0.36909249999999999</v>
      </c>
      <c r="U3719">
        <v>8.1954959999999993E-2</v>
      </c>
      <c r="V3719">
        <v>9.9300739999999998E-2</v>
      </c>
      <c r="W3719">
        <v>0.20021559999999999</v>
      </c>
      <c r="X3719">
        <v>0.97470659999999998</v>
      </c>
      <c r="Y3719">
        <v>-3.7988420000000002E-3</v>
      </c>
      <c r="Z3719">
        <v>4.268684E-3</v>
      </c>
      <c r="AA3719">
        <v>0.99998370000000003</v>
      </c>
      <c r="AB3719">
        <v>41</v>
      </c>
      <c r="AC3719">
        <v>-3.00177</v>
      </c>
      <c r="AD3719">
        <v>0.36909249999999999</v>
      </c>
      <c r="AE3719">
        <v>8.1954959999999993E-2</v>
      </c>
      <c r="AF3719">
        <v>-1.20930115533858E-2</v>
      </c>
      <c r="AG3719">
        <v>0.36909249999999999</v>
      </c>
      <c r="AH3719">
        <v>2.9581729395449901</v>
      </c>
      <c r="AI3719">
        <v>82.887994051899696</v>
      </c>
      <c r="AJ3719">
        <v>90.234223853058594</v>
      </c>
      <c r="AK3719">
        <v>2.9811344576756298</v>
      </c>
      <c r="AL3719">
        <v>78.450432281388004</v>
      </c>
      <c r="AM3719">
        <v>84.1829150547117</v>
      </c>
      <c r="AN3719">
        <v>0.99999993976573198</v>
      </c>
    </row>
    <row r="3720" spans="1:40" x14ac:dyDescent="0.25">
      <c r="A3720" t="str">
        <f>"20190303171051231"</f>
        <v>20190303171051231</v>
      </c>
      <c r="B3720" t="str">
        <f>"1551604251224074"</f>
        <v>1551604251224074</v>
      </c>
      <c r="C3720" t="s">
        <v>40</v>
      </c>
      <c r="D3720">
        <v>5.1009099999999998</v>
      </c>
      <c r="E3720">
        <v>0.46156819999999998</v>
      </c>
      <c r="F3720" t="s">
        <v>42</v>
      </c>
      <c r="G3720">
        <v>-344.58850000000001</v>
      </c>
      <c r="H3720" s="1">
        <v>-3.089009E-6</v>
      </c>
      <c r="I3720">
        <v>142.56720000000001</v>
      </c>
      <c r="J3720">
        <v>-266.71179999999998</v>
      </c>
      <c r="K3720">
        <v>1.1214820000000001</v>
      </c>
      <c r="L3720">
        <v>141.44710000000001</v>
      </c>
      <c r="M3720">
        <v>-0.99952949999999996</v>
      </c>
      <c r="N3720">
        <v>-6.6195319999999896E-3</v>
      </c>
      <c r="O3720">
        <v>2.9950399999999999E-2</v>
      </c>
      <c r="P3720">
        <v>-0.9725047</v>
      </c>
      <c r="Q3720">
        <v>0.1944987</v>
      </c>
      <c r="R3720">
        <v>0.12808310000000001</v>
      </c>
      <c r="S3720">
        <v>-3.0879819999999998</v>
      </c>
      <c r="T3720">
        <v>-4.4229869999999998E-2</v>
      </c>
      <c r="U3720">
        <v>4.4662479999999997E-2</v>
      </c>
      <c r="V3720">
        <v>9.8160200000000003E-2</v>
      </c>
      <c r="W3720">
        <v>0.2013162</v>
      </c>
      <c r="X3720">
        <v>0.97459549999999995</v>
      </c>
      <c r="Y3720">
        <v>-1.548939E-2</v>
      </c>
      <c r="Z3720">
        <v>-3.9278460000000001E-4</v>
      </c>
      <c r="AA3720">
        <v>0.99987999999999999</v>
      </c>
      <c r="AB3720">
        <v>41</v>
      </c>
      <c r="AC3720">
        <v>-77.8767</v>
      </c>
      <c r="AD3720">
        <v>-1.12148508900899</v>
      </c>
      <c r="AE3720">
        <v>1.1201000000000001</v>
      </c>
      <c r="AF3720">
        <v>-1.2126404280582099</v>
      </c>
      <c r="AG3720">
        <v>-1.12148508900899</v>
      </c>
      <c r="AH3720">
        <v>77.859166798758807</v>
      </c>
      <c r="AI3720">
        <v>90.8251324958552</v>
      </c>
      <c r="AJ3720">
        <v>90.892297777088103</v>
      </c>
      <c r="AK3720">
        <v>77.876685087448195</v>
      </c>
      <c r="AL3720">
        <v>78.386062771089897</v>
      </c>
      <c r="AM3720">
        <v>84.248626883475794</v>
      </c>
      <c r="AN3720">
        <v>1.0000000129333599</v>
      </c>
    </row>
    <row r="3721" spans="1:40" x14ac:dyDescent="0.25">
      <c r="A3721" t="str">
        <f>"20190303171051256"</f>
        <v>20190303171051256</v>
      </c>
      <c r="B3721" t="str">
        <f>"1551604251244570"</f>
        <v>1551604251244570</v>
      </c>
      <c r="C3721" t="s">
        <v>40</v>
      </c>
      <c r="D3721">
        <v>5.0876570000000001</v>
      </c>
      <c r="E3721">
        <v>0.46176709999999899</v>
      </c>
      <c r="F3721" t="s">
        <v>42</v>
      </c>
      <c r="G3721">
        <v>-357.22620000000001</v>
      </c>
      <c r="H3721" s="1">
        <v>-1.9899650000000001E-6</v>
      </c>
      <c r="I3721">
        <v>142.68950000000001</v>
      </c>
      <c r="J3721">
        <v>-267.14159999999998</v>
      </c>
      <c r="K3721">
        <v>1.1214980000000001</v>
      </c>
      <c r="L3721">
        <v>141.4589</v>
      </c>
      <c r="M3721">
        <v>-0.99957209999999996</v>
      </c>
      <c r="N3721">
        <v>-6.6298579999999998E-3</v>
      </c>
      <c r="O3721">
        <v>2.8493089999999999E-2</v>
      </c>
      <c r="P3721">
        <v>-0.97259099999999998</v>
      </c>
      <c r="Q3721">
        <v>0.19534750000000001</v>
      </c>
      <c r="R3721">
        <v>0.12611939999999999</v>
      </c>
      <c r="S3721">
        <v>-3.0869140000000002</v>
      </c>
      <c r="T3721">
        <v>-3.824723E-2</v>
      </c>
      <c r="U3721">
        <v>4.237366E-2</v>
      </c>
      <c r="V3721">
        <v>9.7607579999999999E-2</v>
      </c>
      <c r="W3721">
        <v>0.20217499999999999</v>
      </c>
      <c r="X3721">
        <v>0.97447320000000004</v>
      </c>
      <c r="Y3721">
        <v>-1.476882E-2</v>
      </c>
      <c r="Z3721">
        <v>-3.0447530000000001E-4</v>
      </c>
      <c r="AA3721">
        <v>0.99989090000000003</v>
      </c>
      <c r="AB3721">
        <v>42</v>
      </c>
      <c r="AC3721">
        <v>-90.084599999999995</v>
      </c>
      <c r="AD3721">
        <v>-1.12149998996499</v>
      </c>
      <c r="AE3721">
        <v>1.2305999999999999</v>
      </c>
      <c r="AF3721">
        <v>-1.3365373296295899</v>
      </c>
      <c r="AG3721">
        <v>-1.12149998996499</v>
      </c>
      <c r="AH3721">
        <v>90.069130458858794</v>
      </c>
      <c r="AI3721">
        <v>90.713305690373502</v>
      </c>
      <c r="AJ3721">
        <v>90.850150631763995</v>
      </c>
      <c r="AK3721">
        <v>90.086027528556897</v>
      </c>
      <c r="AL3721">
        <v>78.335823920760902</v>
      </c>
      <c r="AM3721">
        <v>84.280077554698096</v>
      </c>
      <c r="AN3721">
        <v>0.99999999390834804</v>
      </c>
    </row>
    <row r="3722" spans="1:40" x14ac:dyDescent="0.25">
      <c r="A3722" t="str">
        <f>"20190303171051276"</f>
        <v>20190303171051276</v>
      </c>
      <c r="B3722" t="str">
        <f>"1551604251264091"</f>
        <v>1551604251264091</v>
      </c>
      <c r="C3722" t="s">
        <v>40</v>
      </c>
      <c r="D3722">
        <v>5.0550449999999998</v>
      </c>
      <c r="E3722">
        <v>0.46173150000000002</v>
      </c>
      <c r="F3722" t="s">
        <v>42</v>
      </c>
      <c r="G3722">
        <v>-363.89400000000001</v>
      </c>
      <c r="H3722" s="1">
        <v>-3.4138459999999998E-6</v>
      </c>
      <c r="I3722">
        <v>142.66839999999999</v>
      </c>
      <c r="J3722">
        <v>-267.52980000000002</v>
      </c>
      <c r="K3722">
        <v>1.121505</v>
      </c>
      <c r="L3722">
        <v>141.4691</v>
      </c>
      <c r="M3722">
        <v>-0.99960850000000001</v>
      </c>
      <c r="N3722">
        <v>-6.6391640000000003E-3</v>
      </c>
      <c r="O3722">
        <v>2.7181460000000001E-2</v>
      </c>
      <c r="P3722">
        <v>-0.97282159999999995</v>
      </c>
      <c r="Q3722">
        <v>0.19524900000000001</v>
      </c>
      <c r="R3722">
        <v>0.1244832</v>
      </c>
      <c r="S3722">
        <v>-3.0867</v>
      </c>
      <c r="T3722">
        <v>-3.5779360000000003E-2</v>
      </c>
      <c r="U3722">
        <v>3.8589480000000002E-2</v>
      </c>
      <c r="V3722">
        <v>9.7241980000000006E-2</v>
      </c>
      <c r="W3722">
        <v>0.20208719999999999</v>
      </c>
      <c r="X3722">
        <v>0.97452799999999995</v>
      </c>
      <c r="Y3722">
        <v>-1.468179E-2</v>
      </c>
      <c r="Z3722">
        <v>-2.6835649999999998E-4</v>
      </c>
      <c r="AA3722">
        <v>0.99989220000000001</v>
      </c>
      <c r="AB3722">
        <v>42</v>
      </c>
      <c r="AC3722">
        <v>-96.364199999999897</v>
      </c>
      <c r="AD3722">
        <v>-1.1215084138460001</v>
      </c>
      <c r="AE3722">
        <v>1.19929999999999</v>
      </c>
      <c r="AF3722">
        <v>-1.4203280848375801</v>
      </c>
      <c r="AG3722">
        <v>-1.1215084138460001</v>
      </c>
      <c r="AH3722">
        <v>96.3481446574784</v>
      </c>
      <c r="AI3722">
        <v>90.666829829338695</v>
      </c>
      <c r="AJ3722">
        <v>90.844571640535904</v>
      </c>
      <c r="AK3722">
        <v>96.365139401804896</v>
      </c>
      <c r="AL3722">
        <v>78.340960955143203</v>
      </c>
      <c r="AM3722">
        <v>84.3016792212279</v>
      </c>
      <c r="AN3722">
        <v>1.0000000309310699</v>
      </c>
    </row>
    <row r="3723" spans="1:40" x14ac:dyDescent="0.25">
      <c r="A3723" t="str">
        <f>"20190303171051298"</f>
        <v>20190303171051298</v>
      </c>
      <c r="B3723" t="str">
        <f>"1551604251284587"</f>
        <v>1551604251284587</v>
      </c>
      <c r="C3723" t="s">
        <v>40</v>
      </c>
      <c r="D3723">
        <v>5.0811719999999996</v>
      </c>
      <c r="E3723">
        <v>0.46191670000000001</v>
      </c>
      <c r="F3723" t="s">
        <v>42</v>
      </c>
      <c r="G3723">
        <v>-374.22899999999998</v>
      </c>
      <c r="H3723" s="1">
        <v>-3.26139E-6</v>
      </c>
      <c r="I3723">
        <v>142.63550000000001</v>
      </c>
      <c r="J3723">
        <v>-267.93380000000002</v>
      </c>
      <c r="K3723">
        <v>1.1215090000000001</v>
      </c>
      <c r="L3723">
        <v>141.47909999999999</v>
      </c>
      <c r="M3723">
        <v>-0.99964450000000005</v>
      </c>
      <c r="N3723">
        <v>-6.648686E-3</v>
      </c>
      <c r="O3723">
        <v>2.5825049999999999E-2</v>
      </c>
      <c r="P3723">
        <v>-0.97320960000000001</v>
      </c>
      <c r="Q3723">
        <v>0.19468750000000001</v>
      </c>
      <c r="R3723">
        <v>0.1223117</v>
      </c>
      <c r="S3723">
        <v>-3.0859990000000002</v>
      </c>
      <c r="T3723">
        <v>-3.2436729999999997E-2</v>
      </c>
      <c r="U3723">
        <v>3.3737179999999999E-2</v>
      </c>
      <c r="V3723">
        <v>9.6384819999999996E-2</v>
      </c>
      <c r="W3723">
        <v>0.2015343</v>
      </c>
      <c r="X3723">
        <v>0.97472760000000003</v>
      </c>
      <c r="Y3723">
        <v>-1.48945E-2</v>
      </c>
      <c r="Z3723">
        <v>-2.274713E-4</v>
      </c>
      <c r="AA3723">
        <v>0.99988900000000003</v>
      </c>
      <c r="AB3723">
        <v>42</v>
      </c>
      <c r="AC3723">
        <v>-106.29519999999999</v>
      </c>
      <c r="AD3723">
        <v>-1.1215122613899999</v>
      </c>
      <c r="AE3723">
        <v>1.1564000000000101</v>
      </c>
      <c r="AF3723">
        <v>-1.5889480049113001</v>
      </c>
      <c r="AG3723">
        <v>-1.1215122613899999</v>
      </c>
      <c r="AH3723">
        <v>106.277781726377</v>
      </c>
      <c r="AI3723">
        <v>90.604532324493405</v>
      </c>
      <c r="AJ3723">
        <v>90.856559391893001</v>
      </c>
      <c r="AK3723">
        <v>106.29557579783901</v>
      </c>
      <c r="AL3723">
        <v>78.373304936804203</v>
      </c>
      <c r="AM3723">
        <v>84.352731215220999</v>
      </c>
      <c r="AN3723">
        <v>1.00000000090234</v>
      </c>
    </row>
    <row r="3724" spans="1:40" x14ac:dyDescent="0.25">
      <c r="A3724" t="str">
        <f>"20190303171051320"</f>
        <v>20190303171051320</v>
      </c>
      <c r="B3724" t="str">
        <f>"1551604251314842"</f>
        <v>1551604251314842</v>
      </c>
      <c r="C3724" t="s">
        <v>40</v>
      </c>
      <c r="D3724">
        <v>4.9022439999999996</v>
      </c>
      <c r="E3724">
        <v>0.4623099</v>
      </c>
      <c r="F3724" t="s">
        <v>42</v>
      </c>
      <c r="G3724">
        <v>-371.78019999999998</v>
      </c>
      <c r="H3724" s="1">
        <v>-4.1726209999999996E-6</v>
      </c>
      <c r="I3724">
        <v>142.4485</v>
      </c>
      <c r="J3724">
        <v>-268.37110000000001</v>
      </c>
      <c r="K3724">
        <v>1.12151</v>
      </c>
      <c r="L3724">
        <v>141.48929999999999</v>
      </c>
      <c r="M3724">
        <v>-0.99968089999999998</v>
      </c>
      <c r="N3724">
        <v>-6.6591209999999996E-3</v>
      </c>
      <c r="O3724">
        <v>2.4370039999999999E-2</v>
      </c>
      <c r="P3724">
        <v>-0.97346250000000001</v>
      </c>
      <c r="Q3724">
        <v>0.19476379999999999</v>
      </c>
      <c r="R3724">
        <v>0.12015729999999999</v>
      </c>
      <c r="S3724">
        <v>-3.0856319999999999</v>
      </c>
      <c r="T3724">
        <v>-3.3323999999999999E-2</v>
      </c>
      <c r="U3724">
        <v>2.8808589999999999E-2</v>
      </c>
      <c r="V3724">
        <v>9.5644380000000001E-2</v>
      </c>
      <c r="W3724">
        <v>0.20161879999999999</v>
      </c>
      <c r="X3724">
        <v>0.97478310000000001</v>
      </c>
      <c r="Y3724">
        <v>-1.50347E-2</v>
      </c>
      <c r="Z3724">
        <v>-2.3209749999999999E-4</v>
      </c>
      <c r="AA3724">
        <v>0.99988690000000002</v>
      </c>
      <c r="AB3724">
        <v>42</v>
      </c>
      <c r="AC3724">
        <v>-103.409099999999</v>
      </c>
      <c r="AD3724">
        <v>-1.1215141726210001</v>
      </c>
      <c r="AE3724">
        <v>0.95920000000000905</v>
      </c>
      <c r="AF3724">
        <v>-1.5610408885842699</v>
      </c>
      <c r="AG3724">
        <v>-1.1215141726210001</v>
      </c>
      <c r="AH3724">
        <v>103.389603125478</v>
      </c>
      <c r="AI3724">
        <v>90.621418250436903</v>
      </c>
      <c r="AJ3724">
        <v>90.865021783703796</v>
      </c>
      <c r="AK3724">
        <v>103.40746915546799</v>
      </c>
      <c r="AL3724">
        <v>78.368362439188601</v>
      </c>
      <c r="AM3724">
        <v>84.396154046080198</v>
      </c>
      <c r="AN3724">
        <v>1.0000000399923099</v>
      </c>
    </row>
    <row r="3725" spans="1:40" x14ac:dyDescent="0.25">
      <c r="A3725" t="str">
        <f>"20190303171051345"</f>
        <v>20190303171051345</v>
      </c>
      <c r="B3725" t="str">
        <f>"1551604251334363"</f>
        <v>1551604251334363</v>
      </c>
      <c r="C3725" t="s">
        <v>40</v>
      </c>
      <c r="D3725">
        <v>4.8701299999999996</v>
      </c>
      <c r="E3725">
        <v>0.4628063</v>
      </c>
      <c r="F3725" t="s">
        <v>42</v>
      </c>
      <c r="G3725">
        <v>-370.77780000000001</v>
      </c>
      <c r="H3725" s="1">
        <v>-4.4966399999999997E-6</v>
      </c>
      <c r="I3725">
        <v>142.35220000000001</v>
      </c>
      <c r="J3725">
        <v>-268.82049999999998</v>
      </c>
      <c r="K3725">
        <v>1.12151</v>
      </c>
      <c r="L3725">
        <v>141.4992</v>
      </c>
      <c r="M3725">
        <v>-0.99971569999999998</v>
      </c>
      <c r="N3725">
        <v>-6.6696660000000003E-3</v>
      </c>
      <c r="O3725">
        <v>2.2889070000000001E-2</v>
      </c>
      <c r="P3725">
        <v>-0.97371569999999996</v>
      </c>
      <c r="Q3725">
        <v>0.1945945</v>
      </c>
      <c r="R3725">
        <v>0.1183666</v>
      </c>
      <c r="S3725">
        <v>-3.0853269999999999</v>
      </c>
      <c r="T3725">
        <v>-3.3789159999999999E-2</v>
      </c>
      <c r="U3725">
        <v>2.600098E-2</v>
      </c>
      <c r="V3725">
        <v>9.5295530000000003E-2</v>
      </c>
      <c r="W3725">
        <v>0.20145859999999999</v>
      </c>
      <c r="X3725">
        <v>0.97485040000000001</v>
      </c>
      <c r="Y3725">
        <v>-1.446237E-2</v>
      </c>
      <c r="Z3725">
        <v>-2.2538570000000001E-4</v>
      </c>
      <c r="AA3725">
        <v>0.99989539999999999</v>
      </c>
      <c r="AB3725">
        <v>42</v>
      </c>
      <c r="AC3725">
        <v>-101.9573</v>
      </c>
      <c r="AD3725">
        <v>-1.1215144966399999</v>
      </c>
      <c r="AE3725">
        <v>0.85300000000000797</v>
      </c>
      <c r="AF3725">
        <v>-1.4808041583381499</v>
      </c>
      <c r="AG3725">
        <v>-1.1215144966399999</v>
      </c>
      <c r="AH3725">
        <v>101.937778660628</v>
      </c>
      <c r="AI3725">
        <v>90.630273463852504</v>
      </c>
      <c r="AJ3725">
        <v>90.832251423325204</v>
      </c>
      <c r="AK3725">
        <v>101.954702167113</v>
      </c>
      <c r="AL3725">
        <v>78.377733676603498</v>
      </c>
      <c r="AM3725">
        <v>84.416846958106603</v>
      </c>
      <c r="AN3725">
        <v>1.0000000539660401</v>
      </c>
    </row>
    <row r="3726" spans="1:40" x14ac:dyDescent="0.25">
      <c r="A3726" t="str">
        <f>"20190303171051368"</f>
        <v>20190303171051368</v>
      </c>
      <c r="B3726" t="str">
        <f>"1551604251354859"</f>
        <v>1551604251354859</v>
      </c>
      <c r="C3726" t="s">
        <v>40</v>
      </c>
      <c r="D3726">
        <v>4.8296210000000004</v>
      </c>
      <c r="E3726">
        <v>0.4632558</v>
      </c>
      <c r="F3726" t="s">
        <v>42</v>
      </c>
      <c r="G3726">
        <v>-361.28089999999997</v>
      </c>
      <c r="H3726" s="1">
        <v>-4.3024310000000003E-6</v>
      </c>
      <c r="I3726">
        <v>142.22239999999999</v>
      </c>
      <c r="J3726">
        <v>-269.25540000000001</v>
      </c>
      <c r="K3726">
        <v>1.1214959999999901</v>
      </c>
      <c r="L3726">
        <v>141.50810000000001</v>
      </c>
      <c r="M3726">
        <v>-0.99974700000000005</v>
      </c>
      <c r="N3726">
        <v>-6.6798209999999998E-3</v>
      </c>
      <c r="O3726">
        <v>2.1477969999999999E-2</v>
      </c>
      <c r="P3726">
        <v>-0.97392109999999998</v>
      </c>
      <c r="Q3726">
        <v>0.19418340000000001</v>
      </c>
      <c r="R3726">
        <v>0.1173471</v>
      </c>
      <c r="S3726">
        <v>-3.08548</v>
      </c>
      <c r="T3726">
        <v>-3.7425880000000002E-2</v>
      </c>
      <c r="U3726">
        <v>2.4139399999999998E-2</v>
      </c>
      <c r="V3726">
        <v>9.5654000000000003E-2</v>
      </c>
      <c r="W3726">
        <v>0.2010574</v>
      </c>
      <c r="X3726">
        <v>0.97489800000000004</v>
      </c>
      <c r="Y3726">
        <v>-1.3654410000000001E-2</v>
      </c>
      <c r="Z3726">
        <v>-2.4542530000000001E-4</v>
      </c>
      <c r="AA3726">
        <v>0.99990670000000004</v>
      </c>
      <c r="AB3726">
        <v>42</v>
      </c>
      <c r="AC3726">
        <v>-92.025499999999894</v>
      </c>
      <c r="AD3726">
        <v>-1.12150030243099</v>
      </c>
      <c r="AE3726">
        <v>0.71429999999997995</v>
      </c>
      <c r="AF3726">
        <v>-1.2622423634822</v>
      </c>
      <c r="AG3726">
        <v>-1.12150030243099</v>
      </c>
      <c r="AH3726">
        <v>92.005949010702594</v>
      </c>
      <c r="AI3726">
        <v>90.698302742408899</v>
      </c>
      <c r="AJ3726">
        <v>90.785999428696897</v>
      </c>
      <c r="AK3726">
        <v>92.021441371413701</v>
      </c>
      <c r="AL3726">
        <v>78.401199560261603</v>
      </c>
      <c r="AM3726">
        <v>84.396250316619003</v>
      </c>
      <c r="AN3726">
        <v>0.99999993810737797</v>
      </c>
    </row>
    <row r="3727" spans="1:40" x14ac:dyDescent="0.25">
      <c r="A3727" t="str">
        <f>"20190303171051390"</f>
        <v>20190303171051390</v>
      </c>
      <c r="B3727" t="str">
        <f>"1551604251384138"</f>
        <v>1551604251384138</v>
      </c>
      <c r="C3727" t="s">
        <v>40</v>
      </c>
      <c r="D3727">
        <v>5.0259739999999997</v>
      </c>
      <c r="E3727">
        <v>0.46368769999999998</v>
      </c>
      <c r="F3727" t="s">
        <v>42</v>
      </c>
      <c r="G3727">
        <v>-353.40269999999998</v>
      </c>
      <c r="H3727" s="1">
        <v>-3.4887959999999998E-6</v>
      </c>
      <c r="I3727">
        <v>142.15799999999999</v>
      </c>
      <c r="J3727">
        <v>-269.67</v>
      </c>
      <c r="K3727">
        <v>1.1214900000000001</v>
      </c>
      <c r="L3727">
        <v>141.51609999999999</v>
      </c>
      <c r="M3727">
        <v>-0.99977450000000001</v>
      </c>
      <c r="N3727">
        <v>-6.6895409999999898E-3</v>
      </c>
      <c r="O3727">
        <v>2.0161829999999999E-2</v>
      </c>
      <c r="P3727">
        <v>-0.9742111</v>
      </c>
      <c r="Q3727">
        <v>0.1937661</v>
      </c>
      <c r="R3727">
        <v>0.1156191</v>
      </c>
      <c r="S3727">
        <v>-3.0856319999999999</v>
      </c>
      <c r="T3727">
        <v>-4.1124699999999903E-2</v>
      </c>
      <c r="U3727">
        <v>2.3834230000000001E-2</v>
      </c>
      <c r="V3727">
        <v>9.5213069999999997E-2</v>
      </c>
      <c r="W3727">
        <v>0.20064589999999999</v>
      </c>
      <c r="X3727">
        <v>0.97502599999999995</v>
      </c>
      <c r="Y3727">
        <v>-1.2437109999999999E-2</v>
      </c>
      <c r="Z3727">
        <v>-2.5827659999999998E-4</v>
      </c>
      <c r="AA3727">
        <v>0.99992259999999999</v>
      </c>
      <c r="AB3727">
        <v>42</v>
      </c>
      <c r="AC3727">
        <v>-83.732699999999895</v>
      </c>
      <c r="AD3727">
        <v>-1.121493488796</v>
      </c>
      <c r="AE3727">
        <v>0.64189999999999203</v>
      </c>
      <c r="AF3727">
        <v>-1.04628478507651</v>
      </c>
      <c r="AG3727">
        <v>-1.121493488796</v>
      </c>
      <c r="AH3727">
        <v>83.7136043570341</v>
      </c>
      <c r="AI3727">
        <v>90.767473616071101</v>
      </c>
      <c r="AJ3727">
        <v>90.716067378027503</v>
      </c>
      <c r="AK3727">
        <v>83.7276538184543</v>
      </c>
      <c r="AL3727">
        <v>78.425267999068097</v>
      </c>
      <c r="AM3727">
        <v>84.422645934580999</v>
      </c>
      <c r="AN3727">
        <v>1.0000000032808101</v>
      </c>
    </row>
    <row r="3728" spans="1:40" x14ac:dyDescent="0.25">
      <c r="A3728" t="str">
        <f>"20190303171051412"</f>
        <v>20190303171051412</v>
      </c>
      <c r="B3728" t="str">
        <f>"1551604251404634"</f>
        <v>1551604251404634</v>
      </c>
      <c r="C3728" t="s">
        <v>40</v>
      </c>
      <c r="D3728">
        <v>4.9004750000000001</v>
      </c>
      <c r="E3728">
        <v>0.4638871</v>
      </c>
      <c r="F3728" t="s">
        <v>42</v>
      </c>
      <c r="G3728">
        <v>-351.10199999999998</v>
      </c>
      <c r="H3728" s="1">
        <v>-4.3430130000000003E-6</v>
      </c>
      <c r="I3728">
        <v>142.108</v>
      </c>
      <c r="J3728">
        <v>-270.07089999999999</v>
      </c>
      <c r="K3728">
        <v>1.1214679999999999</v>
      </c>
      <c r="L3728">
        <v>141.52330000000001</v>
      </c>
      <c r="M3728">
        <v>-0.99979839999999998</v>
      </c>
      <c r="N3728">
        <v>-6.6990210000000003E-3</v>
      </c>
      <c r="O3728">
        <v>1.8926129999999999E-2</v>
      </c>
      <c r="P3728">
        <v>-0.9742944</v>
      </c>
      <c r="Q3728">
        <v>0.1945585</v>
      </c>
      <c r="R3728">
        <v>0.1135675</v>
      </c>
      <c r="S3728">
        <v>-3.0852050000000002</v>
      </c>
      <c r="T3728">
        <v>-4.2490010000000002E-2</v>
      </c>
      <c r="U3728">
        <v>2.243042E-2</v>
      </c>
      <c r="V3728">
        <v>9.4373559999999995E-2</v>
      </c>
      <c r="W3728">
        <v>0.20143949999999999</v>
      </c>
      <c r="X3728">
        <v>0.97494400000000003</v>
      </c>
      <c r="Y3728">
        <v>-1.165511E-2</v>
      </c>
      <c r="Z3728">
        <v>-2.5312700000000002E-4</v>
      </c>
      <c r="AA3728">
        <v>0.99993209999999999</v>
      </c>
      <c r="AB3728">
        <v>42</v>
      </c>
      <c r="AC3728">
        <v>-81.031099999999896</v>
      </c>
      <c r="AD3728">
        <v>-1.121472343013</v>
      </c>
      <c r="AE3728">
        <v>0.584699999999997</v>
      </c>
      <c r="AF3728">
        <v>-0.94886260175987702</v>
      </c>
      <c r="AG3728">
        <v>-1.121472343013</v>
      </c>
      <c r="AH3728">
        <v>81.012135036251493</v>
      </c>
      <c r="AI3728">
        <v>90.793055531988998</v>
      </c>
      <c r="AJ3728">
        <v>90.671051769480997</v>
      </c>
      <c r="AK3728">
        <v>81.025453183459604</v>
      </c>
      <c r="AL3728">
        <v>78.378850554829299</v>
      </c>
      <c r="AM3728">
        <v>84.471054310781795</v>
      </c>
      <c r="AN3728">
        <v>1.0000000220616601</v>
      </c>
    </row>
    <row r="3729" spans="1:40" x14ac:dyDescent="0.25">
      <c r="A3729" t="str">
        <f>"20190303171051434"</f>
        <v>20190303171051434</v>
      </c>
      <c r="B3729" t="str">
        <f>"1551604251424155"</f>
        <v>1551604251424155</v>
      </c>
      <c r="C3729" t="s">
        <v>40</v>
      </c>
      <c r="D3729">
        <v>4.9611679999999998</v>
      </c>
      <c r="E3729">
        <v>0.46376679999999998</v>
      </c>
      <c r="F3729" t="s">
        <v>42</v>
      </c>
      <c r="G3729">
        <v>-354.99079999999998</v>
      </c>
      <c r="H3729" s="1">
        <v>-2.7773160000000001E-6</v>
      </c>
      <c r="I3729">
        <v>142.0445</v>
      </c>
      <c r="J3729">
        <v>-270.51369999999997</v>
      </c>
      <c r="K3729">
        <v>1.1214360000000001</v>
      </c>
      <c r="L3729">
        <v>141.5308</v>
      </c>
      <c r="M3729">
        <v>-0.9998224</v>
      </c>
      <c r="N3729">
        <v>-6.7095779999999999E-3</v>
      </c>
      <c r="O3729">
        <v>1.7610509999999999E-2</v>
      </c>
      <c r="P3729">
        <v>-0.97437470000000004</v>
      </c>
      <c r="Q3729">
        <v>0.19525339999999999</v>
      </c>
      <c r="R3729">
        <v>0.111669699999999</v>
      </c>
      <c r="S3729">
        <v>-3.085083</v>
      </c>
      <c r="T3729">
        <v>-4.0742279999999999E-2</v>
      </c>
      <c r="U3729">
        <v>1.893616E-2</v>
      </c>
      <c r="V3729">
        <v>9.3771380000000001E-2</v>
      </c>
      <c r="W3729">
        <v>0.20213490000000001</v>
      </c>
      <c r="X3729">
        <v>0.97485820000000001</v>
      </c>
      <c r="Y3729">
        <v>-1.1471790000000001E-2</v>
      </c>
      <c r="Z3729">
        <v>-2.2861499999999999E-4</v>
      </c>
      <c r="AA3729">
        <v>0.9999342</v>
      </c>
      <c r="AB3729">
        <v>42</v>
      </c>
      <c r="AC3729">
        <v>-84.477099999999993</v>
      </c>
      <c r="AD3729">
        <v>-1.1214387773159999</v>
      </c>
      <c r="AE3729">
        <v>0.51370000000000005</v>
      </c>
      <c r="AF3729">
        <v>-0.97392635754396295</v>
      </c>
      <c r="AG3729">
        <v>-1.1214387773159999</v>
      </c>
      <c r="AH3729">
        <v>84.458162390560304</v>
      </c>
      <c r="AI3729">
        <v>90.760680323988396</v>
      </c>
      <c r="AJ3729">
        <v>90.660675002269301</v>
      </c>
      <c r="AK3729">
        <v>84.471222033728395</v>
      </c>
      <c r="AL3729">
        <v>78.338170579073903</v>
      </c>
      <c r="AM3729">
        <v>84.505636372526396</v>
      </c>
      <c r="AN3729">
        <v>1.0000000498061701</v>
      </c>
    </row>
    <row r="3730" spans="1:40" x14ac:dyDescent="0.25">
      <c r="A3730" t="str">
        <f>"20190303171051456"</f>
        <v>20190303171051456</v>
      </c>
      <c r="B3730" t="str">
        <f>"1551604251444651"</f>
        <v>1551604251444651</v>
      </c>
      <c r="C3730" t="s">
        <v>40</v>
      </c>
      <c r="D3730">
        <v>4.840738</v>
      </c>
      <c r="E3730">
        <v>0.47022849999999999</v>
      </c>
      <c r="F3730" t="s">
        <v>42</v>
      </c>
      <c r="G3730">
        <v>-356.85359999999997</v>
      </c>
      <c r="H3730" s="1">
        <v>-1.9331920000000002E-6</v>
      </c>
      <c r="I3730">
        <v>141.87530000000001</v>
      </c>
      <c r="J3730">
        <v>-270.9169</v>
      </c>
      <c r="K3730">
        <v>1.121397</v>
      </c>
      <c r="L3730">
        <v>141.53710000000001</v>
      </c>
      <c r="M3730">
        <v>-0.99984189999999995</v>
      </c>
      <c r="N3730">
        <v>-6.7190169999999999E-3</v>
      </c>
      <c r="O3730">
        <v>1.646446E-2</v>
      </c>
      <c r="P3730">
        <v>-0.97445389999999998</v>
      </c>
      <c r="Q3730">
        <v>0.19580520000000001</v>
      </c>
      <c r="R3730">
        <v>0.1100003</v>
      </c>
      <c r="S3730">
        <v>-3.0855100000000002</v>
      </c>
      <c r="T3730">
        <v>-4.0076609999999999E-2</v>
      </c>
      <c r="U3730">
        <v>1.231384E-2</v>
      </c>
      <c r="V3730">
        <v>9.3235120000000005E-2</v>
      </c>
      <c r="W3730">
        <v>0.2026859</v>
      </c>
      <c r="X3730">
        <v>0.97479519999999997</v>
      </c>
      <c r="Y3730">
        <v>-1.2472499999999999E-2</v>
      </c>
      <c r="Z3730">
        <v>-2.2610560000000001E-4</v>
      </c>
      <c r="AA3730">
        <v>0.99992219999999998</v>
      </c>
      <c r="AB3730">
        <v>42</v>
      </c>
      <c r="AC3730">
        <v>-85.936699999999902</v>
      </c>
      <c r="AD3730">
        <v>-1.121398933192</v>
      </c>
      <c r="AE3730">
        <v>0.3382</v>
      </c>
      <c r="AF3730">
        <v>-1.0765957893009801</v>
      </c>
      <c r="AG3730">
        <v>-1.121398933192</v>
      </c>
      <c r="AH3730">
        <v>85.9159897734081</v>
      </c>
      <c r="AI3730">
        <v>90.747738982548</v>
      </c>
      <c r="AJ3730">
        <v>90.717924182173107</v>
      </c>
      <c r="AK3730">
        <v>85.930052326326901</v>
      </c>
      <c r="AL3730">
        <v>78.3059329877007</v>
      </c>
      <c r="AM3730">
        <v>84.536515972180496</v>
      </c>
      <c r="AN3730">
        <v>1.0000000218016301</v>
      </c>
    </row>
    <row r="3731" spans="1:40" x14ac:dyDescent="0.25">
      <c r="A3731" t="str">
        <f>"20190303171051477"</f>
        <v>20190303171051477</v>
      </c>
      <c r="B3731" t="str">
        <f>"1551604251464171"</f>
        <v>1551604251464171</v>
      </c>
      <c r="C3731" t="s">
        <v>40</v>
      </c>
      <c r="D3731">
        <v>4.9597280000000001</v>
      </c>
      <c r="E3731">
        <v>0.4707326</v>
      </c>
      <c r="F3731" t="s">
        <v>42</v>
      </c>
      <c r="G3731">
        <v>-328.67180000000002</v>
      </c>
      <c r="H3731" s="1">
        <v>-1.347576E-6</v>
      </c>
      <c r="I3731">
        <v>142.60599999999999</v>
      </c>
      <c r="J3731">
        <v>-271.3263</v>
      </c>
      <c r="K3731">
        <v>1.1213519999999999</v>
      </c>
      <c r="L3731">
        <v>141.54310000000001</v>
      </c>
      <c r="M3731">
        <v>-0.99985950000000001</v>
      </c>
      <c r="N3731">
        <v>-6.7286359999999996E-3</v>
      </c>
      <c r="O3731">
        <v>1.535448E-2</v>
      </c>
      <c r="P3731">
        <v>-0.97457939999999998</v>
      </c>
      <c r="Q3731">
        <v>0.19609579999999999</v>
      </c>
      <c r="R3731">
        <v>0.1083585</v>
      </c>
      <c r="S3731">
        <v>-3.0842290000000001</v>
      </c>
      <c r="T3731">
        <v>-5.9885029999999999E-2</v>
      </c>
      <c r="U3731">
        <v>5.7083130000000003E-2</v>
      </c>
      <c r="V3731">
        <v>9.2693780000000003E-2</v>
      </c>
      <c r="W3731">
        <v>0.20297490000000001</v>
      </c>
      <c r="X3731">
        <v>0.97478659999999995</v>
      </c>
      <c r="Y3731">
        <v>3.150964E-3</v>
      </c>
      <c r="Z3731">
        <v>-1.5356229999999901E-4</v>
      </c>
      <c r="AA3731">
        <v>0.99999510000000003</v>
      </c>
      <c r="AB3731">
        <v>43</v>
      </c>
      <c r="AC3731">
        <v>-57.345500000000001</v>
      </c>
      <c r="AD3731">
        <v>-1.121353347576</v>
      </c>
      <c r="AE3731">
        <v>1.06289999999998</v>
      </c>
      <c r="AF3731">
        <v>0.182174815664606</v>
      </c>
      <c r="AG3731">
        <v>-1.121353347576</v>
      </c>
      <c r="AH3731">
        <v>57.333144982016599</v>
      </c>
      <c r="AI3731">
        <v>91.1204740177715</v>
      </c>
      <c r="AJ3731">
        <v>89.817944524994601</v>
      </c>
      <c r="AK3731">
        <v>57.344399330035003</v>
      </c>
      <c r="AL3731">
        <v>78.289021939121596</v>
      </c>
      <c r="AM3731">
        <v>84.5680000269478</v>
      </c>
      <c r="AN3731">
        <v>0.99999993121012598</v>
      </c>
    </row>
    <row r="3732" spans="1:40" x14ac:dyDescent="0.25">
      <c r="A3732" t="str">
        <f>"20190303171051499"</f>
        <v>20190303171051499</v>
      </c>
      <c r="B3732" t="str">
        <f>"1551604251484667"</f>
        <v>1551604251484667</v>
      </c>
      <c r="C3732" t="s">
        <v>40</v>
      </c>
      <c r="D3732">
        <v>5.018116</v>
      </c>
      <c r="E3732">
        <v>0.47069319999999998</v>
      </c>
      <c r="F3732" t="s">
        <v>42</v>
      </c>
      <c r="G3732">
        <v>-328.15530000000001</v>
      </c>
      <c r="H3732" s="1">
        <v>-1.5616819999999999E-6</v>
      </c>
      <c r="I3732">
        <v>142.578</v>
      </c>
      <c r="J3732">
        <v>-271.75369999999998</v>
      </c>
      <c r="K3732">
        <v>1.12131</v>
      </c>
      <c r="L3732">
        <v>141.5489</v>
      </c>
      <c r="M3732">
        <v>-0.99987579999999998</v>
      </c>
      <c r="N3732">
        <v>-6.7384230000000003E-3</v>
      </c>
      <c r="O3732">
        <v>1.4251379999999999E-2</v>
      </c>
      <c r="P3732">
        <v>-0.97479870000000002</v>
      </c>
      <c r="Q3732">
        <v>0.1961474</v>
      </c>
      <c r="R3732">
        <v>0.106271699999999</v>
      </c>
      <c r="S3732">
        <v>-3.0842589999999999</v>
      </c>
      <c r="T3732">
        <v>-6.0858849999999999E-2</v>
      </c>
      <c r="U3732">
        <v>5.6167599999999901E-2</v>
      </c>
      <c r="V3732">
        <v>9.1701840000000007E-2</v>
      </c>
      <c r="W3732">
        <v>0.2030235</v>
      </c>
      <c r="X3732">
        <v>0.97487040000000003</v>
      </c>
      <c r="Y3732">
        <v>3.9570100000000004E-3</v>
      </c>
      <c r="Z3732">
        <v>-1.3275019999999999E-4</v>
      </c>
      <c r="AA3732">
        <v>0.9999922</v>
      </c>
      <c r="AB3732">
        <v>43</v>
      </c>
      <c r="AC3732">
        <v>-56.401600000000002</v>
      </c>
      <c r="AD3732">
        <v>-1.121311561682</v>
      </c>
      <c r="AE3732">
        <v>1.0290999999999899</v>
      </c>
      <c r="AF3732">
        <v>0.22508771406254799</v>
      </c>
      <c r="AG3732">
        <v>-1.121311561682</v>
      </c>
      <c r="AH3732">
        <v>56.388258310187702</v>
      </c>
      <c r="AI3732">
        <v>91.139198901731504</v>
      </c>
      <c r="AJ3732">
        <v>89.771290904792494</v>
      </c>
      <c r="AK3732">
        <v>56.399855313234902</v>
      </c>
      <c r="AL3732">
        <v>78.286179361399405</v>
      </c>
      <c r="AM3732">
        <v>84.626246348875398</v>
      </c>
      <c r="AN3732">
        <v>1.0000000329038901</v>
      </c>
    </row>
    <row r="3733" spans="1:40" x14ac:dyDescent="0.25">
      <c r="A3733" t="str">
        <f>"20190303171051523"</f>
        <v>20190303171051523</v>
      </c>
      <c r="B3733" t="str">
        <f>"1551604251514923"</f>
        <v>1551604251514923</v>
      </c>
      <c r="C3733" t="s">
        <v>40</v>
      </c>
      <c r="D3733">
        <v>5.1145930000000002</v>
      </c>
      <c r="E3733">
        <v>0.4685279</v>
      </c>
      <c r="F3733" t="s">
        <v>42</v>
      </c>
      <c r="G3733">
        <v>-333.24369999999999</v>
      </c>
      <c r="H3733" s="1">
        <v>-3.9560919999999999E-6</v>
      </c>
      <c r="I3733">
        <v>142.5549</v>
      </c>
      <c r="J3733">
        <v>-272.2115</v>
      </c>
      <c r="K3733">
        <v>1.121265</v>
      </c>
      <c r="L3733">
        <v>141.5547</v>
      </c>
      <c r="M3733">
        <v>-0.99989130000000004</v>
      </c>
      <c r="N3733">
        <v>-6.7494259999999898E-3</v>
      </c>
      <c r="O3733">
        <v>1.311971E-2</v>
      </c>
      <c r="P3733">
        <v>-0.97483189999999997</v>
      </c>
      <c r="Q3733">
        <v>0.19715679999999999</v>
      </c>
      <c r="R3733">
        <v>0.1040785</v>
      </c>
      <c r="S3733">
        <v>-3.0833740000000001</v>
      </c>
      <c r="T3733">
        <v>-5.6227449999999998E-2</v>
      </c>
      <c r="U3733">
        <v>5.044556E-2</v>
      </c>
      <c r="V3733">
        <v>9.0630769999999999E-2</v>
      </c>
      <c r="W3733">
        <v>0.2040305</v>
      </c>
      <c r="X3733">
        <v>0.97476030000000002</v>
      </c>
      <c r="Y3733">
        <v>3.2387829999999999E-3</v>
      </c>
      <c r="Z3733">
        <v>-1.1019590000000001E-4</v>
      </c>
      <c r="AA3733">
        <v>0.99999479999999996</v>
      </c>
      <c r="AB3733">
        <v>43</v>
      </c>
      <c r="AC3733">
        <v>-61.032199999999897</v>
      </c>
      <c r="AD3733">
        <v>-1.1212689560919999</v>
      </c>
      <c r="AE3733">
        <v>1.0002</v>
      </c>
      <c r="AF3733">
        <v>0.19930377429095</v>
      </c>
      <c r="AG3733">
        <v>-1.1212689560919999</v>
      </c>
      <c r="AH3733">
        <v>61.019479667304701</v>
      </c>
      <c r="AI3733">
        <v>91.052719675858995</v>
      </c>
      <c r="AJ3733">
        <v>89.812859359626103</v>
      </c>
      <c r="AK3733">
        <v>61.030106217628003</v>
      </c>
      <c r="AL3733">
        <v>78.227248809595395</v>
      </c>
      <c r="AM3733">
        <v>84.688053802586793</v>
      </c>
      <c r="AN3733">
        <v>1.0000000119285599</v>
      </c>
    </row>
    <row r="3734" spans="1:40" x14ac:dyDescent="0.25">
      <c r="A3734" t="str">
        <f>"20190303171051545"</f>
        <v>20190303171051545</v>
      </c>
      <c r="B3734" t="str">
        <f>"1551604251534443"</f>
        <v>1551604251534443</v>
      </c>
      <c r="C3734" t="s">
        <v>40</v>
      </c>
      <c r="D3734">
        <v>5.0081959999999999</v>
      </c>
      <c r="E3734">
        <v>0.42161589999999999</v>
      </c>
      <c r="F3734" t="s">
        <v>42</v>
      </c>
      <c r="G3734">
        <v>-348.78960000000001</v>
      </c>
      <c r="H3734" s="1">
        <v>-1.1956630000000001E-6</v>
      </c>
      <c r="I3734">
        <v>142.22489999999999</v>
      </c>
      <c r="J3734">
        <v>-272.61360000000002</v>
      </c>
      <c r="K3734">
        <v>1.1212340000000001</v>
      </c>
      <c r="L3734">
        <v>141.55930000000001</v>
      </c>
      <c r="M3734">
        <v>-0.99990330000000005</v>
      </c>
      <c r="N3734">
        <v>-6.7592479999999998E-3</v>
      </c>
      <c r="O3734">
        <v>1.2159649999999999E-2</v>
      </c>
      <c r="P3734">
        <v>-0.97479559999999998</v>
      </c>
      <c r="Q3734">
        <v>0.19767860000000001</v>
      </c>
      <c r="R3734">
        <v>0.1034258</v>
      </c>
      <c r="S3734">
        <v>-3.08371</v>
      </c>
      <c r="T3734">
        <v>-4.5152070000000002E-2</v>
      </c>
      <c r="U3734">
        <v>2.6992800000000001E-2</v>
      </c>
      <c r="V3734">
        <v>9.0930079999999996E-2</v>
      </c>
      <c r="W3734">
        <v>0.20455419999999999</v>
      </c>
      <c r="X3734">
        <v>0.97462269999999895</v>
      </c>
      <c r="Y3734">
        <v>-3.4061790000000001E-3</v>
      </c>
      <c r="Z3734">
        <v>-1.322827E-4</v>
      </c>
      <c r="AA3734">
        <v>0.99999420000000006</v>
      </c>
      <c r="AB3734">
        <v>43</v>
      </c>
      <c r="AC3734">
        <v>-76.175999999999902</v>
      </c>
      <c r="AD3734">
        <v>-1.121235195663</v>
      </c>
      <c r="AE3734">
        <v>0.66559999999998298</v>
      </c>
      <c r="AF3734">
        <v>-0.260687324892237</v>
      </c>
      <c r="AG3734">
        <v>-1.121235195663</v>
      </c>
      <c r="AH3734">
        <v>76.161962432345106</v>
      </c>
      <c r="AI3734">
        <v>90.843426637572904</v>
      </c>
      <c r="AJ3734">
        <v>90.196111348542402</v>
      </c>
      <c r="AK3734">
        <v>76.170661332243199</v>
      </c>
      <c r="AL3734">
        <v>78.196597052309698</v>
      </c>
      <c r="AM3734">
        <v>84.669863750723295</v>
      </c>
      <c r="AN3734">
        <v>1.00000005377086</v>
      </c>
    </row>
    <row r="3735" spans="1:40" x14ac:dyDescent="0.25">
      <c r="A3735" t="str">
        <f>"20190303171051568"</f>
        <v>20190303171051568</v>
      </c>
      <c r="B3735" t="str">
        <f>"1551604251554938"</f>
        <v>1551604251554938</v>
      </c>
      <c r="C3735" t="s">
        <v>40</v>
      </c>
      <c r="D3735">
        <v>5.0282549999999997</v>
      </c>
      <c r="E3735">
        <v>0.41312549999999998</v>
      </c>
      <c r="F3735" t="s">
        <v>69</v>
      </c>
      <c r="G3735">
        <v>-470.8775</v>
      </c>
      <c r="H3735">
        <v>4.0631899999999996</v>
      </c>
      <c r="I3735">
        <v>119.6104</v>
      </c>
      <c r="J3735">
        <v>-273.06240000000003</v>
      </c>
      <c r="K3735">
        <v>1.121202</v>
      </c>
      <c r="L3735">
        <v>141.56399999999999</v>
      </c>
      <c r="M3735">
        <v>-0.99991540000000001</v>
      </c>
      <c r="N3735">
        <v>-6.7703069999999997E-3</v>
      </c>
      <c r="O3735">
        <v>1.1121010000000001E-2</v>
      </c>
      <c r="P3735">
        <v>-0.9748464</v>
      </c>
      <c r="Q3735">
        <v>0.19774130000000001</v>
      </c>
      <c r="R3735">
        <v>0.10282520000000001</v>
      </c>
      <c r="S3735">
        <v>-3.1046749999999999</v>
      </c>
      <c r="T3735">
        <v>4.606938E-2</v>
      </c>
      <c r="U3735">
        <v>-0.34370420000000002</v>
      </c>
      <c r="V3735">
        <v>9.135807E-2</v>
      </c>
      <c r="W3735">
        <v>0.20462140000000001</v>
      </c>
      <c r="X3735">
        <v>0.97456849999999995</v>
      </c>
      <c r="Y3735">
        <v>-0.12107039999999999</v>
      </c>
      <c r="Z3735">
        <v>7.2395399999999996E-4</v>
      </c>
      <c r="AA3735">
        <v>0.99264370000000002</v>
      </c>
      <c r="AB3735">
        <v>43</v>
      </c>
      <c r="AC3735">
        <v>-197.8151</v>
      </c>
      <c r="AD3735">
        <v>2.9419879999999998</v>
      </c>
      <c r="AE3735">
        <v>-21.953599999999899</v>
      </c>
      <c r="AF3735">
        <v>-24.146920049961999</v>
      </c>
      <c r="AG3735">
        <v>2.9419879999999998</v>
      </c>
      <c r="AH3735">
        <v>197.51555806597801</v>
      </c>
      <c r="AI3735">
        <v>89.152949818750699</v>
      </c>
      <c r="AJ3735">
        <v>96.970008658667197</v>
      </c>
      <c r="AK3735">
        <v>199.00785089891801</v>
      </c>
      <c r="AL3735">
        <v>78.1926627852568</v>
      </c>
      <c r="AM3735">
        <v>84.644625269750094</v>
      </c>
      <c r="AN3735">
        <v>0.99999998774216703</v>
      </c>
    </row>
    <row r="3736" spans="1:40" x14ac:dyDescent="0.25">
      <c r="A3736" t="str">
        <f>"20190303171051590"</f>
        <v>20190303171051590</v>
      </c>
      <c r="B3736" t="str">
        <f>"1551604251584219"</f>
        <v>1551604251584219</v>
      </c>
      <c r="C3736" t="s">
        <v>40</v>
      </c>
      <c r="D3736">
        <v>5.0343499999999999</v>
      </c>
      <c r="E3736">
        <v>0.4085994</v>
      </c>
      <c r="F3736" t="s">
        <v>69</v>
      </c>
      <c r="G3736">
        <v>-440.20710000000003</v>
      </c>
      <c r="H3736">
        <v>4.2919519999999904</v>
      </c>
      <c r="I3736">
        <v>119.3565</v>
      </c>
      <c r="J3736">
        <v>-273.48899999999998</v>
      </c>
      <c r="K3736">
        <v>1.121165</v>
      </c>
      <c r="L3736">
        <v>141.56809999999999</v>
      </c>
      <c r="M3736">
        <v>-0.99992559999999997</v>
      </c>
      <c r="N3736">
        <v>-6.7808740000000001E-3</v>
      </c>
      <c r="O3736">
        <v>1.015897E-2</v>
      </c>
      <c r="P3736">
        <v>-0.9748966</v>
      </c>
      <c r="Q3736">
        <v>0.1977382</v>
      </c>
      <c r="R3736">
        <v>0.1023568</v>
      </c>
      <c r="S3736">
        <v>-3.108978</v>
      </c>
      <c r="T3736">
        <v>5.8978080000000002E-2</v>
      </c>
      <c r="U3736">
        <v>-0.41307070000000001</v>
      </c>
      <c r="V3736">
        <v>9.1841610000000004E-2</v>
      </c>
      <c r="W3736">
        <v>0.20462420000000001</v>
      </c>
      <c r="X3736">
        <v>0.97452249999999996</v>
      </c>
      <c r="Y3736">
        <v>-0.14175099999999999</v>
      </c>
      <c r="Z3736">
        <v>1.1162469999999999E-3</v>
      </c>
      <c r="AA3736">
        <v>0.9899017</v>
      </c>
      <c r="AB3736">
        <v>43</v>
      </c>
      <c r="AC3736">
        <v>-166.71809999999999</v>
      </c>
      <c r="AD3736">
        <v>3.1707869999999998</v>
      </c>
      <c r="AE3736">
        <v>-22.211599999999901</v>
      </c>
      <c r="AF3736">
        <v>-23.895683807826</v>
      </c>
      <c r="AG3736">
        <v>3.1707869999999998</v>
      </c>
      <c r="AH3736">
        <v>166.42469549847101</v>
      </c>
      <c r="AI3736">
        <v>88.919588308481806</v>
      </c>
      <c r="AJ3736">
        <v>98.170830278459704</v>
      </c>
      <c r="AK3736">
        <v>168.16134177212601</v>
      </c>
      <c r="AL3736">
        <v>78.192499320819095</v>
      </c>
      <c r="AM3736">
        <v>84.616193819771894</v>
      </c>
      <c r="AN3736">
        <v>1.00000002377964</v>
      </c>
    </row>
    <row r="3737" spans="1:40" x14ac:dyDescent="0.25">
      <c r="A3737" t="str">
        <f>"20190303171051612"</f>
        <v>20190303171051612</v>
      </c>
      <c r="B3737" t="str">
        <f>"1551604251604715"</f>
        <v>1551604251604715</v>
      </c>
      <c r="C3737" t="s">
        <v>40</v>
      </c>
      <c r="D3737">
        <v>5.0780250000000002</v>
      </c>
      <c r="E3737">
        <v>0.407335</v>
      </c>
      <c r="F3737" t="s">
        <v>69</v>
      </c>
      <c r="G3737">
        <v>-440.20710000000003</v>
      </c>
      <c r="H3737">
        <v>4.4563980000000001</v>
      </c>
      <c r="I3737">
        <v>117.42959999999999</v>
      </c>
      <c r="J3737">
        <v>-273.92059999999998</v>
      </c>
      <c r="K3737">
        <v>1.121138</v>
      </c>
      <c r="L3737">
        <v>141.5719</v>
      </c>
      <c r="M3737">
        <v>-0.99993460000000001</v>
      </c>
      <c r="N3737">
        <v>-6.7916000000000001E-3</v>
      </c>
      <c r="O3737">
        <v>9.2051219999999996E-3</v>
      </c>
      <c r="P3737">
        <v>-0.97504939999999996</v>
      </c>
      <c r="Q3737">
        <v>0.19748460000000001</v>
      </c>
      <c r="R3737">
        <v>0.101384</v>
      </c>
      <c r="S3737">
        <v>-3.1119080000000001</v>
      </c>
      <c r="T3737">
        <v>6.2254909999999997E-2</v>
      </c>
      <c r="U3737">
        <v>-0.4505615</v>
      </c>
      <c r="V3737">
        <v>9.1811279999999995E-2</v>
      </c>
      <c r="W3737">
        <v>0.20437540000000001</v>
      </c>
      <c r="X3737">
        <v>0.97457749999999999</v>
      </c>
      <c r="Y3737">
        <v>-0.1523736</v>
      </c>
      <c r="Z3737">
        <v>1.2413210000000001E-3</v>
      </c>
      <c r="AA3737">
        <v>0.98832220000000004</v>
      </c>
      <c r="AB3737">
        <v>43</v>
      </c>
      <c r="AC3737">
        <v>-166.28649999999999</v>
      </c>
      <c r="AD3737">
        <v>3.3352599999999999</v>
      </c>
      <c r="AE3737">
        <v>-24.142299999999999</v>
      </c>
      <c r="AF3737">
        <v>-25.661889313577198</v>
      </c>
      <c r="AG3737">
        <v>3.3352599999999999</v>
      </c>
      <c r="AH3737">
        <v>165.991817241619</v>
      </c>
      <c r="AI3737">
        <v>88.862425796328594</v>
      </c>
      <c r="AJ3737">
        <v>98.788200785297605</v>
      </c>
      <c r="AK3737">
        <v>167.99684495128199</v>
      </c>
      <c r="AL3737">
        <v>78.207061504775496</v>
      </c>
      <c r="AM3737">
        <v>84.618263289611207</v>
      </c>
      <c r="AN3737">
        <v>0.99999995938332298</v>
      </c>
    </row>
    <row r="3738" spans="1:40" x14ac:dyDescent="0.25">
      <c r="A3738" t="str">
        <f>"20190303171051635"</f>
        <v>20190303171051635</v>
      </c>
      <c r="B3738" t="str">
        <f>"1551604251624235"</f>
        <v>1551604251624235</v>
      </c>
      <c r="C3738" t="s">
        <v>40</v>
      </c>
      <c r="D3738">
        <v>5.0588989999999896</v>
      </c>
      <c r="E3738">
        <v>0.40649649999999998</v>
      </c>
      <c r="F3738" t="s">
        <v>69</v>
      </c>
      <c r="G3738">
        <v>-440.75</v>
      </c>
      <c r="H3738">
        <v>4.5131170000000003</v>
      </c>
      <c r="I3738">
        <v>116.7214</v>
      </c>
      <c r="J3738">
        <v>-274.37830000000002</v>
      </c>
      <c r="K3738">
        <v>1.1211100000000001</v>
      </c>
      <c r="L3738">
        <v>141.5754</v>
      </c>
      <c r="M3738">
        <v>-0.99994309999999997</v>
      </c>
      <c r="N3738">
        <v>-6.8029129999999998E-3</v>
      </c>
      <c r="O3738">
        <v>8.2137340000000003E-3</v>
      </c>
      <c r="P3738">
        <v>-0.9748791</v>
      </c>
      <c r="Q3738">
        <v>0.1985519</v>
      </c>
      <c r="R3738">
        <v>0.100936</v>
      </c>
      <c r="S3738">
        <v>-3.112152</v>
      </c>
      <c r="T3738">
        <v>6.3276769999999996E-2</v>
      </c>
      <c r="U3738">
        <v>-0.46357730000000003</v>
      </c>
      <c r="V3738">
        <v>9.234183E-2</v>
      </c>
      <c r="W3738">
        <v>0.20544799999999999</v>
      </c>
      <c r="X3738">
        <v>0.97430190000000005</v>
      </c>
      <c r="Y3738">
        <v>-0.15542719999999999</v>
      </c>
      <c r="Z3738">
        <v>1.261285E-3</v>
      </c>
      <c r="AA3738">
        <v>0.98784660000000002</v>
      </c>
      <c r="AB3738">
        <v>43</v>
      </c>
      <c r="AC3738">
        <v>-166.37169999999901</v>
      </c>
      <c r="AD3738">
        <v>3.392007</v>
      </c>
      <c r="AE3738">
        <v>-24.853999999999999</v>
      </c>
      <c r="AF3738">
        <v>-26.209069452447</v>
      </c>
      <c r="AG3738">
        <v>3.392007</v>
      </c>
      <c r="AH3738">
        <v>166.09440435928701</v>
      </c>
      <c r="AI3738">
        <v>88.844354055095394</v>
      </c>
      <c r="AJ3738">
        <v>98.967119327840905</v>
      </c>
      <c r="AK3738">
        <v>168.18374532789301</v>
      </c>
      <c r="AL3738">
        <v>78.144274727263394</v>
      </c>
      <c r="AM3738">
        <v>84.585826034751094</v>
      </c>
      <c r="AN3738">
        <v>1.0000000433076699</v>
      </c>
    </row>
    <row r="3739" spans="1:40" x14ac:dyDescent="0.25">
      <c r="A3739" t="str">
        <f>"20190303171051657"</f>
        <v>20190303171051657</v>
      </c>
      <c r="B3739" t="str">
        <f>"1551604251644731"</f>
        <v>1551604251644731</v>
      </c>
      <c r="C3739" t="s">
        <v>40</v>
      </c>
      <c r="D3739">
        <v>5.0692139999999997</v>
      </c>
      <c r="E3739">
        <v>0.4060127</v>
      </c>
      <c r="F3739" t="s">
        <v>69</v>
      </c>
      <c r="G3739">
        <v>-440.75</v>
      </c>
      <c r="H3739">
        <v>4.7168650000000003</v>
      </c>
      <c r="I3739">
        <v>116.3647</v>
      </c>
      <c r="J3739">
        <v>-274.7903</v>
      </c>
      <c r="K3739">
        <v>1.121092</v>
      </c>
      <c r="L3739">
        <v>141.57820000000001</v>
      </c>
      <c r="M3739">
        <v>-0.99994989999999995</v>
      </c>
      <c r="N3739">
        <v>-6.8131700000000003E-3</v>
      </c>
      <c r="O3739">
        <v>7.3462780000000004E-3</v>
      </c>
      <c r="P3739">
        <v>-0.97469589999999995</v>
      </c>
      <c r="Q3739">
        <v>0.1998325</v>
      </c>
      <c r="R3739">
        <v>0.1001768</v>
      </c>
      <c r="S3739">
        <v>-3.1124269999999998</v>
      </c>
      <c r="T3739">
        <v>6.7268610000000006E-2</v>
      </c>
      <c r="U3739">
        <v>-0.47163389999999999</v>
      </c>
      <c r="V3739">
        <v>9.243999E-2</v>
      </c>
      <c r="W3739">
        <v>0.2067311</v>
      </c>
      <c r="X3739">
        <v>0.97402109999999997</v>
      </c>
      <c r="Y3739">
        <v>-0.15705439999999901</v>
      </c>
      <c r="Z3739">
        <v>1.3569020000000001E-3</v>
      </c>
      <c r="AA3739">
        <v>0.98758900000000005</v>
      </c>
      <c r="AB3739">
        <v>43</v>
      </c>
      <c r="AC3739">
        <v>-165.9597</v>
      </c>
      <c r="AD3739">
        <v>3.5957729999999999</v>
      </c>
      <c r="AE3739">
        <v>-25.2135</v>
      </c>
      <c r="AF3739">
        <v>-26.419911145815998</v>
      </c>
      <c r="AG3739">
        <v>3.5957729999999999</v>
      </c>
      <c r="AH3739">
        <v>165.693963443814</v>
      </c>
      <c r="AI3739">
        <v>88.772306564701097</v>
      </c>
      <c r="AJ3739">
        <v>99.059551121606304</v>
      </c>
      <c r="AK3739">
        <v>167.82559640930899</v>
      </c>
      <c r="AL3739">
        <v>78.069145217906097</v>
      </c>
      <c r="AM3739">
        <v>84.578551794200095</v>
      </c>
      <c r="AN3739">
        <v>1.00000000135181</v>
      </c>
    </row>
    <row r="3740" spans="1:40" x14ac:dyDescent="0.25">
      <c r="A3740" t="str">
        <f>"20190303171051678"</f>
        <v>20190303171051678</v>
      </c>
      <c r="B3740" t="str">
        <f>"1551604251674987"</f>
        <v>1551604251674987</v>
      </c>
      <c r="C3740" t="s">
        <v>40</v>
      </c>
      <c r="D3740">
        <v>5.115634</v>
      </c>
      <c r="E3740">
        <v>0.40562209999999899</v>
      </c>
      <c r="F3740" t="s">
        <v>69</v>
      </c>
      <c r="G3740">
        <v>-440.75</v>
      </c>
      <c r="H3740">
        <v>4.9734800000000003</v>
      </c>
      <c r="I3740">
        <v>116.0759</v>
      </c>
      <c r="J3740">
        <v>-275.21440000000001</v>
      </c>
      <c r="K3740">
        <v>1.121068</v>
      </c>
      <c r="L3740">
        <v>141.58080000000001</v>
      </c>
      <c r="M3740">
        <v>-0.9999557</v>
      </c>
      <c r="N3740">
        <v>-6.8232709999999997E-3</v>
      </c>
      <c r="O3740">
        <v>6.4893379999999999E-3</v>
      </c>
      <c r="P3740">
        <v>-0.97469649999999997</v>
      </c>
      <c r="Q3740">
        <v>0.2002932</v>
      </c>
      <c r="R3740">
        <v>9.9244659999999998E-2</v>
      </c>
      <c r="S3740">
        <v>-3.1122130000000001</v>
      </c>
      <c r="T3740">
        <v>7.2243569999999993E-2</v>
      </c>
      <c r="U3740">
        <v>-0.47824100000000003</v>
      </c>
      <c r="V3740">
        <v>9.2359479999999994E-2</v>
      </c>
      <c r="W3740">
        <v>0.2071934</v>
      </c>
      <c r="X3740">
        <v>0.97393050000000003</v>
      </c>
      <c r="Y3740">
        <v>-0.15826209999999999</v>
      </c>
      <c r="Z3740">
        <v>1.4765290000000001E-3</v>
      </c>
      <c r="AA3740">
        <v>0.9873961</v>
      </c>
      <c r="AB3740">
        <v>44</v>
      </c>
      <c r="AC3740">
        <v>-165.53559999999999</v>
      </c>
      <c r="AD3740">
        <v>3.8524120000000002</v>
      </c>
      <c r="AE3740">
        <v>-25.504899999999999</v>
      </c>
      <c r="AF3740">
        <v>-26.564550506836401</v>
      </c>
      <c r="AG3740">
        <v>3.8524120000000002</v>
      </c>
      <c r="AH3740">
        <v>165.279160300184</v>
      </c>
      <c r="AI3740">
        <v>88.681675403928494</v>
      </c>
      <c r="AJ3740">
        <v>99.130794327898499</v>
      </c>
      <c r="AK3740">
        <v>167.444669223543</v>
      </c>
      <c r="AL3740">
        <v>78.042071164952404</v>
      </c>
      <c r="AM3740">
        <v>84.582744575208693</v>
      </c>
      <c r="AN3740">
        <v>0.99999999868984002</v>
      </c>
    </row>
    <row r="3741" spans="1:40" x14ac:dyDescent="0.25">
      <c r="A3741" t="str">
        <f>"20190303171051701"</f>
        <v>20190303171051701</v>
      </c>
      <c r="B3741" t="str">
        <f>"1551604251684747"</f>
        <v>1551604251684747</v>
      </c>
      <c r="C3741" t="s">
        <v>40</v>
      </c>
      <c r="D3741">
        <v>5.1264510000000003</v>
      </c>
      <c r="E3741">
        <v>0.4055358</v>
      </c>
      <c r="F3741" t="s">
        <v>69</v>
      </c>
      <c r="G3741">
        <v>-440.75</v>
      </c>
      <c r="H3741">
        <v>5.039784</v>
      </c>
      <c r="I3741">
        <v>115.82250000000001</v>
      </c>
      <c r="J3741">
        <v>-275.65159999999997</v>
      </c>
      <c r="K3741">
        <v>1.1210290000000001</v>
      </c>
      <c r="L3741">
        <v>141.583</v>
      </c>
      <c r="M3741">
        <v>-0.99996070000000004</v>
      </c>
      <c r="N3741">
        <v>-6.8338210000000003E-3</v>
      </c>
      <c r="O3741">
        <v>5.6406E-3</v>
      </c>
      <c r="P3741">
        <v>-0.97486980000000001</v>
      </c>
      <c r="Q3741">
        <v>0.20014889999999999</v>
      </c>
      <c r="R3741">
        <v>9.7821110000000003E-2</v>
      </c>
      <c r="S3741">
        <v>-3.1120610000000002</v>
      </c>
      <c r="T3741">
        <v>7.3672059999999998E-2</v>
      </c>
      <c r="U3741">
        <v>-0.48425289999999999</v>
      </c>
      <c r="V3741">
        <v>9.1781970000000004E-2</v>
      </c>
      <c r="W3741">
        <v>0.20704929999999999</v>
      </c>
      <c r="X3741">
        <v>0.97401579999999999</v>
      </c>
      <c r="Y3741">
        <v>-0.15929279999999901</v>
      </c>
      <c r="Z3741">
        <v>1.4973709999999999E-3</v>
      </c>
      <c r="AA3741">
        <v>0.98723019999999995</v>
      </c>
      <c r="AB3741">
        <v>44</v>
      </c>
      <c r="AC3741">
        <v>-165.0984</v>
      </c>
      <c r="AD3741">
        <v>3.918755</v>
      </c>
      <c r="AE3741">
        <v>-25.7605</v>
      </c>
      <c r="AF3741">
        <v>-26.676693770007098</v>
      </c>
      <c r="AG3741">
        <v>3.918755</v>
      </c>
      <c r="AH3741">
        <v>164.85979221984999</v>
      </c>
      <c r="AI3741">
        <v>88.655800571239794</v>
      </c>
      <c r="AJ3741">
        <v>99.191612543610603</v>
      </c>
      <c r="AK3741">
        <v>167.050153313371</v>
      </c>
      <c r="AL3741">
        <v>78.050511242707003</v>
      </c>
      <c r="AM3741">
        <v>84.616886922714301</v>
      </c>
      <c r="AN3741">
        <v>1.0000000606485999</v>
      </c>
    </row>
    <row r="3742" spans="1:40" x14ac:dyDescent="0.25">
      <c r="A3742" t="str">
        <f>"20190303171051724"</f>
        <v>20190303171051724</v>
      </c>
      <c r="B3742" t="str">
        <f>"1551604251715003"</f>
        <v>1551604251715003</v>
      </c>
      <c r="C3742" t="s">
        <v>40</v>
      </c>
      <c r="D3742">
        <v>5.1492420000000001</v>
      </c>
      <c r="E3742">
        <v>0.40524710000000003</v>
      </c>
      <c r="F3742" t="s">
        <v>69</v>
      </c>
      <c r="G3742">
        <v>-440.75</v>
      </c>
      <c r="H3742">
        <v>4.9745229999999996</v>
      </c>
      <c r="I3742">
        <v>115.614</v>
      </c>
      <c r="J3742">
        <v>-276.11160000000001</v>
      </c>
      <c r="K3742">
        <v>1.1209750000000001</v>
      </c>
      <c r="L3742">
        <v>141.58500000000001</v>
      </c>
      <c r="M3742">
        <v>-0.99996510000000005</v>
      </c>
      <c r="N3742">
        <v>-6.8449460000000002E-3</v>
      </c>
      <c r="O3742">
        <v>4.7956279999999997E-3</v>
      </c>
      <c r="P3742">
        <v>-0.97492400000000001</v>
      </c>
      <c r="Q3742">
        <v>0.20047760000000001</v>
      </c>
      <c r="R3742">
        <v>9.6603380000000003E-2</v>
      </c>
      <c r="S3742">
        <v>-3.111542</v>
      </c>
      <c r="T3742">
        <v>7.2625640000000005E-2</v>
      </c>
      <c r="U3742">
        <v>-0.48942570000000002</v>
      </c>
      <c r="V3742">
        <v>9.140964E-2</v>
      </c>
      <c r="W3742">
        <v>0.20737820000000001</v>
      </c>
      <c r="X3742">
        <v>0.97398079999999998</v>
      </c>
      <c r="Y3742">
        <v>-0.1600869</v>
      </c>
      <c r="Z3742">
        <v>1.44917299999999E-3</v>
      </c>
      <c r="AA3742">
        <v>0.98710189999999998</v>
      </c>
      <c r="AB3742">
        <v>44</v>
      </c>
      <c r="AC3742">
        <v>-164.63839999999999</v>
      </c>
      <c r="AD3742">
        <v>3.853548</v>
      </c>
      <c r="AE3742">
        <v>-25.971</v>
      </c>
      <c r="AF3742">
        <v>-26.745967403648802</v>
      </c>
      <c r="AG3742">
        <v>3.853548</v>
      </c>
      <c r="AH3742">
        <v>164.42406440542101</v>
      </c>
      <c r="AI3742">
        <v>88.674836046008394</v>
      </c>
      <c r="AJ3742">
        <v>99.239071796359497</v>
      </c>
      <c r="AK3742">
        <v>166.62973792256699</v>
      </c>
      <c r="AL3742">
        <v>78.031248078680207</v>
      </c>
      <c r="AM3742">
        <v>84.638405437234397</v>
      </c>
      <c r="AN3742">
        <v>1.0000000194444001</v>
      </c>
    </row>
    <row r="3743" spans="1:40" x14ac:dyDescent="0.25">
      <c r="A3743" t="str">
        <f>"20190303171051744"</f>
        <v>20190303171051744</v>
      </c>
      <c r="B3743" t="str">
        <f>"1551604251734523"</f>
        <v>1551604251734523</v>
      </c>
      <c r="C3743" t="s">
        <v>40</v>
      </c>
      <c r="D3743">
        <v>5.179106</v>
      </c>
      <c r="E3743">
        <v>0.4051206</v>
      </c>
      <c r="F3743" t="s">
        <v>69</v>
      </c>
      <c r="G3743">
        <v>-440.75</v>
      </c>
      <c r="H3743">
        <v>4.9781769999999996</v>
      </c>
      <c r="I3743">
        <v>115.36369999999999</v>
      </c>
      <c r="J3743">
        <v>-276.51609999999999</v>
      </c>
      <c r="K3743">
        <v>1.1209309999999999</v>
      </c>
      <c r="L3743">
        <v>141.5865</v>
      </c>
      <c r="M3743">
        <v>-0.99996810000000003</v>
      </c>
      <c r="N3743">
        <v>-6.8546850000000001E-3</v>
      </c>
      <c r="O3743">
        <v>4.106958E-3</v>
      </c>
      <c r="P3743">
        <v>-0.97483920000000002</v>
      </c>
      <c r="Q3743">
        <v>0.20136599999999999</v>
      </c>
      <c r="R3743">
        <v>9.560573E-2</v>
      </c>
      <c r="S3743">
        <v>-3.111237</v>
      </c>
      <c r="T3743">
        <v>7.289147E-2</v>
      </c>
      <c r="U3743">
        <v>-0.49551390000000001</v>
      </c>
      <c r="V3743">
        <v>9.1105030000000004E-2</v>
      </c>
      <c r="W3743">
        <v>0.2082639</v>
      </c>
      <c r="X3743">
        <v>0.97382029999999997</v>
      </c>
      <c r="Y3743">
        <v>-0.16130610000000001</v>
      </c>
      <c r="Z3743">
        <v>1.444699E-3</v>
      </c>
      <c r="AA3743">
        <v>0.98690339999999999</v>
      </c>
      <c r="AB3743">
        <v>44</v>
      </c>
      <c r="AC3743">
        <v>-164.23390000000001</v>
      </c>
      <c r="AD3743">
        <v>3.857246</v>
      </c>
      <c r="AE3743">
        <v>-26.222799999999999</v>
      </c>
      <c r="AF3743">
        <v>-26.882636407174701</v>
      </c>
      <c r="AG3743">
        <v>3.857246</v>
      </c>
      <c r="AH3743">
        <v>164.036582222134</v>
      </c>
      <c r="AI3743">
        <v>88.670689982774604</v>
      </c>
      <c r="AJ3743">
        <v>99.3070126621827</v>
      </c>
      <c r="AK3743">
        <v>166.269524549821</v>
      </c>
      <c r="AL3743">
        <v>77.979368001779804</v>
      </c>
      <c r="AM3743">
        <v>84.655292963655697</v>
      </c>
      <c r="AN3743">
        <v>0.99999997761329995</v>
      </c>
    </row>
    <row r="3744" spans="1:40" x14ac:dyDescent="0.25">
      <c r="A3744" t="str">
        <f>"20190303171051767"</f>
        <v>20190303171051767</v>
      </c>
      <c r="B3744" t="str">
        <f>"1551604251755018"</f>
        <v>1551604251755018</v>
      </c>
      <c r="C3744" t="s">
        <v>40</v>
      </c>
      <c r="D3744">
        <v>5.1704319999999999</v>
      </c>
      <c r="E3744">
        <v>0.40508159999999999</v>
      </c>
      <c r="F3744" t="s">
        <v>69</v>
      </c>
      <c r="G3744">
        <v>-440.75</v>
      </c>
      <c r="H3744">
        <v>5.1027230000000001</v>
      </c>
      <c r="I3744">
        <v>115.19799999999999</v>
      </c>
      <c r="J3744">
        <v>-276.96850000000001</v>
      </c>
      <c r="K3744">
        <v>1.120873</v>
      </c>
      <c r="L3744">
        <v>141.58789999999999</v>
      </c>
      <c r="M3744">
        <v>-0.99997069999999999</v>
      </c>
      <c r="N3744">
        <v>-6.8674499999999998E-3</v>
      </c>
      <c r="O3744">
        <v>3.4147019999999999E-3</v>
      </c>
      <c r="P3744">
        <v>-0.97477610000000003</v>
      </c>
      <c r="Q3744">
        <v>0.2021144</v>
      </c>
      <c r="R3744">
        <v>9.4665299999999994E-2</v>
      </c>
      <c r="S3744">
        <v>-3.1109010000000001</v>
      </c>
      <c r="T3744">
        <v>7.5423119999999996E-2</v>
      </c>
      <c r="U3744">
        <v>-0.4998474</v>
      </c>
      <c r="V3744">
        <v>9.0870099999999995E-2</v>
      </c>
      <c r="W3744">
        <v>0.2090091</v>
      </c>
      <c r="X3744">
        <v>0.97368259999999995</v>
      </c>
      <c r="Y3744">
        <v>-0.16197729999999999</v>
      </c>
      <c r="Z3744">
        <v>1.496516E-3</v>
      </c>
      <c r="AA3744">
        <v>0.98679329999999998</v>
      </c>
      <c r="AB3744">
        <v>44</v>
      </c>
      <c r="AC3744">
        <v>-163.78149999999999</v>
      </c>
      <c r="AD3744">
        <v>3.9818500000000001</v>
      </c>
      <c r="AE3744">
        <v>-26.389900000000001</v>
      </c>
      <c r="AF3744">
        <v>-26.933507500390199</v>
      </c>
      <c r="AG3744">
        <v>3.9818500000000001</v>
      </c>
      <c r="AH3744">
        <v>163.596179237798</v>
      </c>
      <c r="AI3744">
        <v>88.624237067149295</v>
      </c>
      <c r="AJ3744">
        <v>99.348974243153407</v>
      </c>
      <c r="AK3744">
        <v>165.84625053615699</v>
      </c>
      <c r="AL3744">
        <v>77.935710602849198</v>
      </c>
      <c r="AM3744">
        <v>84.6682461276624</v>
      </c>
      <c r="AN3744">
        <v>0.99999999224978997</v>
      </c>
    </row>
    <row r="3745" spans="1:40" x14ac:dyDescent="0.25">
      <c r="A3745" t="str">
        <f>"20190303171051792"</f>
        <v>20190303171051792</v>
      </c>
      <c r="B3745" t="str">
        <f>"1551604251784299"</f>
        <v>1551604251784299</v>
      </c>
      <c r="C3745" t="s">
        <v>40</v>
      </c>
      <c r="D3745">
        <v>5.1017089999999996</v>
      </c>
      <c r="E3745">
        <v>0.40507219999999999</v>
      </c>
      <c r="F3745" t="s">
        <v>69</v>
      </c>
      <c r="G3745">
        <v>-440.75</v>
      </c>
      <c r="H3745">
        <v>5.1980110000000002</v>
      </c>
      <c r="I3745">
        <v>115.0883</v>
      </c>
      <c r="J3745">
        <v>-277.45</v>
      </c>
      <c r="K3745">
        <v>1.1207959999999999</v>
      </c>
      <c r="L3745">
        <v>141.58920000000001</v>
      </c>
      <c r="M3745">
        <v>-0.99997259999999999</v>
      </c>
      <c r="N3745">
        <v>-6.8879630000000004E-3</v>
      </c>
      <c r="O3745">
        <v>2.7822680000000001E-3</v>
      </c>
      <c r="P3745">
        <v>-0.97469859999999997</v>
      </c>
      <c r="Q3745">
        <v>0.20283619999999999</v>
      </c>
      <c r="R3745">
        <v>9.3917239999999999E-2</v>
      </c>
      <c r="S3745">
        <v>-3.1104430000000001</v>
      </c>
      <c r="T3745">
        <v>7.7431079999999999E-2</v>
      </c>
      <c r="U3745">
        <v>-0.50326539999999997</v>
      </c>
      <c r="V3745">
        <v>9.0778849999999994E-2</v>
      </c>
      <c r="W3745">
        <v>0.2097318</v>
      </c>
      <c r="X3745">
        <v>0.9735357</v>
      </c>
      <c r="Y3745">
        <v>-0.16243089999999999</v>
      </c>
      <c r="Z3745">
        <v>1.5331570000000001E-3</v>
      </c>
      <c r="AA3745">
        <v>0.98671869999999995</v>
      </c>
      <c r="AB3745">
        <v>44</v>
      </c>
      <c r="AC3745">
        <v>-163.30000000000001</v>
      </c>
      <c r="AD3745">
        <v>4.0772149999999998</v>
      </c>
      <c r="AE3745">
        <v>-26.500900000000001</v>
      </c>
      <c r="AF3745">
        <v>-26.938790213715802</v>
      </c>
      <c r="AG3745">
        <v>4.0772149999999998</v>
      </c>
      <c r="AH3745">
        <v>163.126552666387</v>
      </c>
      <c r="AI3745">
        <v>88.587361675254598</v>
      </c>
      <c r="AJ3745">
        <v>99.377218115431006</v>
      </c>
      <c r="AK3745">
        <v>165.386197384045</v>
      </c>
      <c r="AL3745">
        <v>77.893364410593804</v>
      </c>
      <c r="AM3745">
        <v>84.672770263619597</v>
      </c>
      <c r="AN3745">
        <v>0.99999999335652601</v>
      </c>
    </row>
    <row r="3746" spans="1:40" x14ac:dyDescent="0.25">
      <c r="A3746" t="str">
        <f>"20190303171051815"</f>
        <v>20190303171051815</v>
      </c>
      <c r="B3746" t="str">
        <f>"1551604251804795"</f>
        <v>1551604251804795</v>
      </c>
      <c r="C3746" t="s">
        <v>40</v>
      </c>
      <c r="D3746">
        <v>5.2280759999999997</v>
      </c>
      <c r="E3746">
        <v>0.40500199999999997</v>
      </c>
      <c r="F3746" t="s">
        <v>69</v>
      </c>
      <c r="G3746">
        <v>-440.75</v>
      </c>
      <c r="H3746">
        <v>5.2404210000000004</v>
      </c>
      <c r="I3746">
        <v>115.0521</v>
      </c>
      <c r="J3746">
        <v>-277.89370000000002</v>
      </c>
      <c r="K3746">
        <v>1.120703</v>
      </c>
      <c r="L3746">
        <v>141.59010000000001</v>
      </c>
      <c r="M3746">
        <v>-0.99997349999999996</v>
      </c>
      <c r="N3746">
        <v>-6.9123810000000004E-3</v>
      </c>
      <c r="O3746">
        <v>2.3074580000000001E-3</v>
      </c>
      <c r="P3746">
        <v>-0.97467349999999997</v>
      </c>
      <c r="Q3746">
        <v>0.2028788</v>
      </c>
      <c r="R3746">
        <v>9.4083539999999993E-2</v>
      </c>
      <c r="S3746">
        <v>-3.1102599999999998</v>
      </c>
      <c r="T3746">
        <v>7.8464030000000004E-2</v>
      </c>
      <c r="U3746">
        <v>-0.50543209999999905</v>
      </c>
      <c r="V3746">
        <v>9.145259E-2</v>
      </c>
      <c r="W3746">
        <v>0.20977989999999999</v>
      </c>
      <c r="X3746">
        <v>0.9734623</v>
      </c>
      <c r="Y3746">
        <v>-0.16264029999999999</v>
      </c>
      <c r="Z3746">
        <v>1.5456370000000001E-3</v>
      </c>
      <c r="AA3746">
        <v>0.98668420000000001</v>
      </c>
      <c r="AB3746">
        <v>44</v>
      </c>
      <c r="AC3746">
        <v>-162.85629999999901</v>
      </c>
      <c r="AD3746">
        <v>4.1197179999999998</v>
      </c>
      <c r="AE3746">
        <v>-26.538</v>
      </c>
      <c r="AF3746">
        <v>-26.896955691246401</v>
      </c>
      <c r="AG3746">
        <v>4.1197179999999998</v>
      </c>
      <c r="AH3746">
        <v>162.69321199298301</v>
      </c>
      <c r="AI3746">
        <v>88.568883450965501</v>
      </c>
      <c r="AJ3746">
        <v>99.387409057015304</v>
      </c>
      <c r="AK3746">
        <v>164.95302219253301</v>
      </c>
      <c r="AL3746">
        <v>77.890546059221606</v>
      </c>
      <c r="AM3746">
        <v>84.633060486525295</v>
      </c>
      <c r="AN3746">
        <v>1.0000000160914999</v>
      </c>
    </row>
    <row r="3747" spans="1:40" x14ac:dyDescent="0.25">
      <c r="A3747" t="str">
        <f>"20190303171051835"</f>
        <v>20190303171051835</v>
      </c>
      <c r="B3747" t="str">
        <f>"1551604251824315"</f>
        <v>1551604251824315</v>
      </c>
      <c r="C3747" t="s">
        <v>40</v>
      </c>
      <c r="D3747">
        <v>5.24404</v>
      </c>
      <c r="E3747">
        <v>0.40497169999999999</v>
      </c>
      <c r="F3747" t="s">
        <v>69</v>
      </c>
      <c r="G3747">
        <v>-440.75</v>
      </c>
      <c r="H3747">
        <v>5.2178290000000001</v>
      </c>
      <c r="I3747">
        <v>115.1326</v>
      </c>
      <c r="J3747">
        <v>-278.30180000000001</v>
      </c>
      <c r="K3747">
        <v>1.120614</v>
      </c>
      <c r="L3747">
        <v>141.5909</v>
      </c>
      <c r="M3747">
        <v>-0.99997400000000003</v>
      </c>
      <c r="N3747">
        <v>-6.9389409999999997E-3</v>
      </c>
      <c r="O3747">
        <v>1.9719410000000001E-3</v>
      </c>
      <c r="P3747">
        <v>-0.97469830000000002</v>
      </c>
      <c r="Q3747">
        <v>0.20251189999999999</v>
      </c>
      <c r="R3747">
        <v>9.4617119999999999E-2</v>
      </c>
      <c r="S3747">
        <v>-3.110474</v>
      </c>
      <c r="T3747">
        <v>7.8253509999999998E-2</v>
      </c>
      <c r="U3747">
        <v>-0.50532529999999998</v>
      </c>
      <c r="V3747">
        <v>9.2359540000000004E-2</v>
      </c>
      <c r="W3747">
        <v>0.20941989999999999</v>
      </c>
      <c r="X3747">
        <v>0.97345420000000005</v>
      </c>
      <c r="Y3747">
        <v>-0.1622661</v>
      </c>
      <c r="Z3747">
        <v>1.5237029999999999E-3</v>
      </c>
      <c r="AA3747">
        <v>0.98674580000000001</v>
      </c>
      <c r="AB3747">
        <v>44</v>
      </c>
      <c r="AC3747">
        <v>-162.44820000000001</v>
      </c>
      <c r="AD3747">
        <v>4.0972150000000003</v>
      </c>
      <c r="AE3747">
        <v>-26.458300000000001</v>
      </c>
      <c r="AF3747">
        <v>-26.762010274738898</v>
      </c>
      <c r="AG3747">
        <v>4.0972150000000003</v>
      </c>
      <c r="AH3747">
        <v>162.29513538496499</v>
      </c>
      <c r="AI3747">
        <v>88.5731100891079</v>
      </c>
      <c r="AJ3747">
        <v>99.363650027498693</v>
      </c>
      <c r="AK3747">
        <v>164.537847726064</v>
      </c>
      <c r="AL3747">
        <v>77.911641281530393</v>
      </c>
      <c r="AM3747">
        <v>84.580106254114</v>
      </c>
      <c r="AN3747">
        <v>1.00000002932133</v>
      </c>
    </row>
    <row r="3748" spans="1:40" x14ac:dyDescent="0.25">
      <c r="A3748" t="str">
        <f>"20190303171051856"</f>
        <v>20190303171051856</v>
      </c>
      <c r="B3748" t="str">
        <f>"1551604251844811"</f>
        <v>1551604251844811</v>
      </c>
      <c r="C3748" t="s">
        <v>40</v>
      </c>
      <c r="D3748">
        <v>5.4614529999999997</v>
      </c>
      <c r="E3748">
        <v>0.40516039999999998</v>
      </c>
      <c r="F3748" t="s">
        <v>69</v>
      </c>
      <c r="G3748">
        <v>-440.75</v>
      </c>
      <c r="H3748">
        <v>5.1245339999999997</v>
      </c>
      <c r="I3748">
        <v>115.2548</v>
      </c>
      <c r="J3748">
        <v>-278.72500000000002</v>
      </c>
      <c r="K3748">
        <v>1.1205270000000001</v>
      </c>
      <c r="L3748">
        <v>141.5916</v>
      </c>
      <c r="M3748">
        <v>-0.99997429999999998</v>
      </c>
      <c r="N3748">
        <v>-6.972593E-3</v>
      </c>
      <c r="O3748">
        <v>1.7159409999999999E-3</v>
      </c>
      <c r="P3748">
        <v>-0.97470049999999997</v>
      </c>
      <c r="Q3748">
        <v>0.20211750000000001</v>
      </c>
      <c r="R3748">
        <v>9.5433249999999997E-2</v>
      </c>
      <c r="S3748">
        <v>-3.1109619999999998</v>
      </c>
      <c r="T3748">
        <v>7.6677439999999999E-2</v>
      </c>
      <c r="U3748">
        <v>-0.50434880000000004</v>
      </c>
      <c r="V3748">
        <v>9.3474269999999998E-2</v>
      </c>
      <c r="W3748">
        <v>0.209038</v>
      </c>
      <c r="X3748">
        <v>0.97342989999999996</v>
      </c>
      <c r="Y3748">
        <v>-0.16168920000000001</v>
      </c>
      <c r="Z3748">
        <v>1.465879E-3</v>
      </c>
      <c r="AA3748">
        <v>0.98684070000000002</v>
      </c>
      <c r="AB3748">
        <v>44</v>
      </c>
      <c r="AC3748">
        <v>-162.02499999999901</v>
      </c>
      <c r="AD3748">
        <v>4.0040069999999996</v>
      </c>
      <c r="AE3748">
        <v>-26.3368</v>
      </c>
      <c r="AF3748">
        <v>-26.598967542993599</v>
      </c>
      <c r="AG3748">
        <v>4.0040069999999996</v>
      </c>
      <c r="AH3748">
        <v>161.88325124670499</v>
      </c>
      <c r="AI3748">
        <v>88.6018794838118</v>
      </c>
      <c r="AJ3748">
        <v>99.330870596757094</v>
      </c>
      <c r="AK3748">
        <v>164.10278541393799</v>
      </c>
      <c r="AL3748">
        <v>77.934018027440601</v>
      </c>
      <c r="AM3748">
        <v>84.514951527676899</v>
      </c>
      <c r="AN3748">
        <v>1.0000000474050199</v>
      </c>
    </row>
    <row r="3749" spans="1:40" x14ac:dyDescent="0.25">
      <c r="A3749" t="str">
        <f>"20190303171051879"</f>
        <v>20190303171051879</v>
      </c>
      <c r="B3749" t="str">
        <f>"1551604251874093"</f>
        <v>1551604251874093</v>
      </c>
      <c r="C3749" t="s">
        <v>40</v>
      </c>
      <c r="D3749">
        <v>5.2450839999999896</v>
      </c>
      <c r="E3749">
        <v>0.45486019999999999</v>
      </c>
      <c r="F3749" t="s">
        <v>69</v>
      </c>
      <c r="G3749">
        <v>-440.75</v>
      </c>
      <c r="H3749">
        <v>5.0504300000000004</v>
      </c>
      <c r="I3749">
        <v>115.5312</v>
      </c>
      <c r="J3749">
        <v>-279.17829999999998</v>
      </c>
      <c r="K3749">
        <v>1.1204339999999999</v>
      </c>
      <c r="L3749">
        <v>141.59229999999999</v>
      </c>
      <c r="M3749">
        <v>-0.99997429999999998</v>
      </c>
      <c r="N3749">
        <v>-7.0123099999999999E-3</v>
      </c>
      <c r="O3749">
        <v>1.531941E-3</v>
      </c>
      <c r="P3749">
        <v>-0.97460690000000005</v>
      </c>
      <c r="Q3749">
        <v>0.20225119999999999</v>
      </c>
      <c r="R3749">
        <v>9.6104889999999998E-2</v>
      </c>
      <c r="S3749">
        <v>-3.1112060000000001</v>
      </c>
      <c r="T3749">
        <v>7.5462459999999995E-2</v>
      </c>
      <c r="U3749">
        <v>-0.50041199999999997</v>
      </c>
      <c r="V3749">
        <v>9.4372780000000003E-2</v>
      </c>
      <c r="W3749">
        <v>0.2091896</v>
      </c>
      <c r="X3749">
        <v>0.97331060000000003</v>
      </c>
      <c r="Y3749">
        <v>-0.16028000000000001</v>
      </c>
      <c r="Z3749">
        <v>1.413079E-3</v>
      </c>
      <c r="AA3749">
        <v>0.98707060000000002</v>
      </c>
      <c r="AB3749">
        <v>44</v>
      </c>
      <c r="AC3749">
        <v>-161.57169999999999</v>
      </c>
      <c r="AD3749">
        <v>3.929996</v>
      </c>
      <c r="AE3749">
        <v>-26.0611</v>
      </c>
      <c r="AF3749">
        <v>-26.293432152422401</v>
      </c>
      <c r="AG3749">
        <v>3.929996</v>
      </c>
      <c r="AH3749">
        <v>161.43849466635601</v>
      </c>
      <c r="AI3749">
        <v>88.6236179441498</v>
      </c>
      <c r="AJ3749">
        <v>99.250519896283194</v>
      </c>
      <c r="AK3749">
        <v>163.61288764352599</v>
      </c>
      <c r="AL3749">
        <v>77.925135239010501</v>
      </c>
      <c r="AM3749">
        <v>84.4618788163517</v>
      </c>
      <c r="AN3749">
        <v>1.0000000172127199</v>
      </c>
    </row>
    <row r="3750" spans="1:40" x14ac:dyDescent="0.25">
      <c r="A3750" t="str">
        <f>"20190303171051902"</f>
        <v>20190303171051902</v>
      </c>
      <c r="B3750" t="str">
        <f>"1551604251894587"</f>
        <v>1551604251894587</v>
      </c>
      <c r="C3750" t="s">
        <v>40</v>
      </c>
      <c r="D3750">
        <v>5.213165</v>
      </c>
      <c r="E3750">
        <v>0.45765040000000001</v>
      </c>
      <c r="F3750" t="s">
        <v>42</v>
      </c>
      <c r="G3750">
        <v>-372.40910000000002</v>
      </c>
      <c r="H3750" s="1">
        <v>-3.4720770000000002E-6</v>
      </c>
      <c r="I3750">
        <v>138.30109999999999</v>
      </c>
      <c r="J3750">
        <v>-279.64280000000002</v>
      </c>
      <c r="K3750">
        <v>1.120357</v>
      </c>
      <c r="L3750">
        <v>141.59299999999999</v>
      </c>
      <c r="M3750">
        <v>-0.99997409999999998</v>
      </c>
      <c r="N3750">
        <v>-7.0566049999999996E-3</v>
      </c>
      <c r="O3750">
        <v>1.4107309999999999E-3</v>
      </c>
      <c r="P3750">
        <v>-0.9746821</v>
      </c>
      <c r="Q3750">
        <v>0.2015536</v>
      </c>
      <c r="R3750">
        <v>9.680445E-2</v>
      </c>
      <c r="S3750">
        <v>-3.0966490000000002</v>
      </c>
      <c r="T3750">
        <v>-3.7215230000000002E-2</v>
      </c>
      <c r="U3750">
        <v>-0.10931399999999999</v>
      </c>
      <c r="V3750">
        <v>9.5232220000000006E-2</v>
      </c>
      <c r="W3750">
        <v>0.2085176</v>
      </c>
      <c r="X3750">
        <v>0.97337110000000004</v>
      </c>
      <c r="Y3750">
        <v>-3.6684389999999997E-2</v>
      </c>
      <c r="Z3750">
        <v>-3.5683749999999999E-4</v>
      </c>
      <c r="AA3750">
        <v>0.99932679999999996</v>
      </c>
      <c r="AB3750">
        <v>45</v>
      </c>
      <c r="AC3750">
        <v>-92.766300000000001</v>
      </c>
      <c r="AD3750">
        <v>-1.120360472077</v>
      </c>
      <c r="AE3750">
        <v>-3.2918999999999898</v>
      </c>
      <c r="AF3750">
        <v>-3.4222697354550302</v>
      </c>
      <c r="AG3750">
        <v>-1.120360472077</v>
      </c>
      <c r="AH3750">
        <v>92.748052402398201</v>
      </c>
      <c r="AI3750">
        <v>90.691606509482497</v>
      </c>
      <c r="AJ3750">
        <v>92.113173173138307</v>
      </c>
      <c r="AK3750">
        <v>92.8179312534362</v>
      </c>
      <c r="AL3750">
        <v>77.964506433169902</v>
      </c>
      <c r="AM3750">
        <v>84.412106858091406</v>
      </c>
      <c r="AN3750">
        <v>1.00000003177554</v>
      </c>
    </row>
    <row r="3751" spans="1:40" x14ac:dyDescent="0.25">
      <c r="A3751" t="str">
        <f>"20190303171051924"</f>
        <v>20190303171051924</v>
      </c>
      <c r="B3751" t="str">
        <f>"1551604251914107"</f>
        <v>1551604251914107</v>
      </c>
      <c r="C3751" t="s">
        <v>40</v>
      </c>
      <c r="D3751">
        <v>5.2186450000000004</v>
      </c>
      <c r="E3751">
        <v>0.45936729999999998</v>
      </c>
      <c r="F3751" t="s">
        <v>42</v>
      </c>
      <c r="G3751">
        <v>-370.31569999999999</v>
      </c>
      <c r="H3751" s="1">
        <v>-4.2273589999999999E-6</v>
      </c>
      <c r="I3751">
        <v>139.10589999999999</v>
      </c>
      <c r="J3751">
        <v>-280.09179999999998</v>
      </c>
      <c r="K3751">
        <v>1.120288</v>
      </c>
      <c r="L3751">
        <v>141.59360000000001</v>
      </c>
      <c r="M3751">
        <v>-0.99997389999999997</v>
      </c>
      <c r="N3751">
        <v>-7.0999849999999996E-3</v>
      </c>
      <c r="O3751">
        <v>1.3393050000000001E-3</v>
      </c>
      <c r="P3751">
        <v>-0.97474110000000003</v>
      </c>
      <c r="Q3751">
        <v>0.2008673</v>
      </c>
      <c r="R3751">
        <v>9.7633150000000002E-2</v>
      </c>
      <c r="S3751">
        <v>-3.0943299999999998</v>
      </c>
      <c r="T3751">
        <v>-3.8233759999999999E-2</v>
      </c>
      <c r="U3751">
        <v>-8.4869379999999994E-2</v>
      </c>
      <c r="V3751">
        <v>9.6164029999999998E-2</v>
      </c>
      <c r="W3751">
        <v>0.2078595</v>
      </c>
      <c r="X3751">
        <v>0.97342019999999996</v>
      </c>
      <c r="Y3751">
        <v>-2.8752420000000001E-2</v>
      </c>
      <c r="Z3751">
        <v>-2.8672840000000001E-4</v>
      </c>
      <c r="AA3751">
        <v>0.99958650000000004</v>
      </c>
      <c r="AB3751">
        <v>45</v>
      </c>
      <c r="AC3751">
        <v>-90.2239</v>
      </c>
      <c r="AD3751">
        <v>-1.1202922273589999</v>
      </c>
      <c r="AE3751">
        <v>-2.48770000000001</v>
      </c>
      <c r="AF3751">
        <v>-2.6081363256533101</v>
      </c>
      <c r="AG3751">
        <v>-1.1202922273589999</v>
      </c>
      <c r="AH3751">
        <v>90.206589992077795</v>
      </c>
      <c r="AI3751">
        <v>90.711233053461001</v>
      </c>
      <c r="AJ3751">
        <v>91.656127166128201</v>
      </c>
      <c r="AK3751">
        <v>90.251239923707999</v>
      </c>
      <c r="AL3751">
        <v>78.003056968767694</v>
      </c>
      <c r="AM3751">
        <v>84.358065366971502</v>
      </c>
      <c r="AN3751">
        <v>0.999999989087065</v>
      </c>
    </row>
    <row r="3752" spans="1:40" x14ac:dyDescent="0.25">
      <c r="A3752" t="str">
        <f>"20190303171051945"</f>
        <v>20190303171051945</v>
      </c>
      <c r="B3752" t="str">
        <f>"1551604251934603"</f>
        <v>1551604251934603</v>
      </c>
      <c r="C3752" t="s">
        <v>40</v>
      </c>
      <c r="D3752">
        <v>5.1873310000000004</v>
      </c>
      <c r="E3752">
        <v>0.46043509999999999</v>
      </c>
      <c r="F3752" t="s">
        <v>42</v>
      </c>
      <c r="G3752">
        <v>-368.6062</v>
      </c>
      <c r="H3752" s="1">
        <v>-5.8065769999999998E-7</v>
      </c>
      <c r="I3752">
        <v>139.6139</v>
      </c>
      <c r="J3752">
        <v>-280.5018</v>
      </c>
      <c r="K3752">
        <v>1.120236</v>
      </c>
      <c r="L3752">
        <v>141.5941</v>
      </c>
      <c r="M3752">
        <v>-0.99997369999999997</v>
      </c>
      <c r="N3752">
        <v>-7.1394889999999997E-3</v>
      </c>
      <c r="O3752">
        <v>1.3013580000000001E-3</v>
      </c>
      <c r="P3752">
        <v>-0.97478849999999995</v>
      </c>
      <c r="Q3752">
        <v>0.19996149999999999</v>
      </c>
      <c r="R3752">
        <v>9.9009020000000003E-2</v>
      </c>
      <c r="S3752">
        <v>-3.0927730000000002</v>
      </c>
      <c r="T3752">
        <v>-3.9143919999999999E-2</v>
      </c>
      <c r="U3752">
        <v>-6.9168090000000002E-2</v>
      </c>
      <c r="V3752">
        <v>9.760257E-2</v>
      </c>
      <c r="W3752">
        <v>0.2069821</v>
      </c>
      <c r="X3752">
        <v>0.973464</v>
      </c>
      <c r="Y3752">
        <v>-2.3656900000000002E-2</v>
      </c>
      <c r="Z3752">
        <v>-2.413273E-4</v>
      </c>
      <c r="AA3752">
        <v>0.9997201</v>
      </c>
      <c r="AB3752">
        <v>45</v>
      </c>
      <c r="AC3752">
        <v>-88.104399999999998</v>
      </c>
      <c r="AD3752">
        <v>-1.1202365806576999</v>
      </c>
      <c r="AE3752">
        <v>-1.98019999999999</v>
      </c>
      <c r="AF3752">
        <v>-2.0945181615625899</v>
      </c>
      <c r="AG3752">
        <v>-1.1202365806576999</v>
      </c>
      <c r="AH3752">
        <v>88.087514627702205</v>
      </c>
      <c r="AI3752">
        <v>90.728403279165207</v>
      </c>
      <c r="AJ3752">
        <v>91.362104975545407</v>
      </c>
      <c r="AK3752">
        <v>88.119533416895806</v>
      </c>
      <c r="AL3752">
        <v>78.054446101379</v>
      </c>
      <c r="AM3752">
        <v>84.274478976617502</v>
      </c>
      <c r="AN3752">
        <v>1.0000000053435001</v>
      </c>
    </row>
    <row r="3753" spans="1:40" x14ac:dyDescent="0.25">
      <c r="A3753" t="str">
        <f>"20190303171051970"</f>
        <v>20190303171051970</v>
      </c>
      <c r="B3753" t="str">
        <f>"1551604251964859"</f>
        <v>1551604251964859</v>
      </c>
      <c r="C3753" t="s">
        <v>40</v>
      </c>
      <c r="D3753">
        <v>5.152927</v>
      </c>
      <c r="E3753">
        <v>0.4614897</v>
      </c>
      <c r="F3753" t="s">
        <v>42</v>
      </c>
      <c r="G3753">
        <v>-356.22739999999999</v>
      </c>
      <c r="H3753" s="1">
        <v>-1.7535889999999999E-6</v>
      </c>
      <c r="I3753">
        <v>140.1908</v>
      </c>
      <c r="J3753">
        <v>-280.99889999999999</v>
      </c>
      <c r="K3753">
        <v>1.120179</v>
      </c>
      <c r="L3753">
        <v>141.59469999999999</v>
      </c>
      <c r="M3753">
        <v>-0.99997340000000001</v>
      </c>
      <c r="N3753">
        <v>-7.1889249999999997E-3</v>
      </c>
      <c r="O3753">
        <v>1.2760200000000001E-3</v>
      </c>
      <c r="P3753">
        <v>-0.97497650000000002</v>
      </c>
      <c r="Q3753">
        <v>0.19882530000000001</v>
      </c>
      <c r="R3753">
        <v>9.9445500000000006E-2</v>
      </c>
      <c r="S3753">
        <v>-3.0928040000000001</v>
      </c>
      <c r="T3753">
        <v>-4.5753000000000002E-2</v>
      </c>
      <c r="U3753">
        <v>-5.7312009999999997E-2</v>
      </c>
      <c r="V3753">
        <v>9.8089899999999994E-2</v>
      </c>
      <c r="W3753">
        <v>0.2058828</v>
      </c>
      <c r="X3753">
        <v>0.97364810000000002</v>
      </c>
      <c r="Y3753">
        <v>-1.9800149999999999E-2</v>
      </c>
      <c r="Z3753">
        <v>-2.2732040000000001E-4</v>
      </c>
      <c r="AA3753">
        <v>0.99980400000000003</v>
      </c>
      <c r="AB3753">
        <v>45</v>
      </c>
      <c r="AC3753">
        <v>-75.228499999999997</v>
      </c>
      <c r="AD3753">
        <v>-1.120180753589</v>
      </c>
      <c r="AE3753">
        <v>-1.4038999999999899</v>
      </c>
      <c r="AF3753">
        <v>-1.4995620307586901</v>
      </c>
      <c r="AG3753">
        <v>-1.120180753589</v>
      </c>
      <c r="AH3753">
        <v>75.209977299930102</v>
      </c>
      <c r="AI3753">
        <v>90.853133266109296</v>
      </c>
      <c r="AJ3753">
        <v>91.142231336826896</v>
      </c>
      <c r="AK3753">
        <v>75.233265093712404</v>
      </c>
      <c r="AL3753">
        <v>78.118817673765193</v>
      </c>
      <c r="AM3753">
        <v>84.247163444193802</v>
      </c>
      <c r="AN3753">
        <v>0.99999998922572897</v>
      </c>
    </row>
    <row r="3754" spans="1:40" x14ac:dyDescent="0.25">
      <c r="A3754" t="str">
        <f>"20190303171051993"</f>
        <v>20190303171051993</v>
      </c>
      <c r="B3754" t="str">
        <f>"1551604251984379"</f>
        <v>1551604251984379</v>
      </c>
      <c r="C3754" t="s">
        <v>40</v>
      </c>
      <c r="D3754">
        <v>5.1522930000000002</v>
      </c>
      <c r="E3754">
        <v>0.46204719999999999</v>
      </c>
      <c r="F3754" t="s">
        <v>42</v>
      </c>
      <c r="G3754">
        <v>-348.6934</v>
      </c>
      <c r="H3754" s="1">
        <v>-7.9208189999999999E-7</v>
      </c>
      <c r="I3754">
        <v>140.5531</v>
      </c>
      <c r="J3754">
        <v>-281.45729999999998</v>
      </c>
      <c r="K3754">
        <v>1.120131</v>
      </c>
      <c r="L3754">
        <v>141.59520000000001</v>
      </c>
      <c r="M3754">
        <v>-0.99997290000000005</v>
      </c>
      <c r="N3754">
        <v>-7.2336400000000004E-3</v>
      </c>
      <c r="O3754">
        <v>1.262581E-3</v>
      </c>
      <c r="P3754">
        <v>-0.97511360000000002</v>
      </c>
      <c r="Q3754">
        <v>0.19819870000000001</v>
      </c>
      <c r="R3754">
        <v>9.9351770000000006E-2</v>
      </c>
      <c r="S3754">
        <v>-3.0923159999999998</v>
      </c>
      <c r="T3754">
        <v>-5.1170350000000003E-2</v>
      </c>
      <c r="U3754">
        <v>-4.7576899999999998E-2</v>
      </c>
      <c r="V3754">
        <v>9.8029809999999995E-2</v>
      </c>
      <c r="W3754">
        <v>0.20529159999999999</v>
      </c>
      <c r="X3754">
        <v>0.97377899999999995</v>
      </c>
      <c r="Y3754">
        <v>-1.6642830000000001E-2</v>
      </c>
      <c r="Z3754">
        <v>-2.0964390000000001E-4</v>
      </c>
      <c r="AA3754">
        <v>0.99986149999999996</v>
      </c>
      <c r="AB3754">
        <v>45</v>
      </c>
      <c r="AC3754">
        <v>-67.236099999999993</v>
      </c>
      <c r="AD3754">
        <v>-1.1201317920818901</v>
      </c>
      <c r="AE3754">
        <v>-1.0421</v>
      </c>
      <c r="AF3754">
        <v>-1.1266797955524199</v>
      </c>
      <c r="AG3754">
        <v>-1.1201317920818901</v>
      </c>
      <c r="AH3754">
        <v>67.216079637692005</v>
      </c>
      <c r="AI3754">
        <v>90.954591116159193</v>
      </c>
      <c r="AJ3754">
        <v>90.960305222742505</v>
      </c>
      <c r="AK3754">
        <v>67.234853048503695</v>
      </c>
      <c r="AL3754">
        <v>78.153430589759395</v>
      </c>
      <c r="AM3754">
        <v>84.251431699397997</v>
      </c>
      <c r="AN3754">
        <v>1.0000000127600901</v>
      </c>
    </row>
    <row r="3755" spans="1:40" x14ac:dyDescent="0.25">
      <c r="A3755" t="str">
        <f>"20190303171052013"</f>
        <v>20190303171052013</v>
      </c>
      <c r="B3755" t="str">
        <f>"1551604252004875"</f>
        <v>1551604252004875</v>
      </c>
      <c r="C3755" t="s">
        <v>40</v>
      </c>
      <c r="D3755">
        <v>5.1161729999999999</v>
      </c>
      <c r="E3755">
        <v>0.46229019999999998</v>
      </c>
      <c r="F3755" t="s">
        <v>42</v>
      </c>
      <c r="G3755">
        <v>-348.15600000000001</v>
      </c>
      <c r="H3755" s="1">
        <v>-1.051997E-6</v>
      </c>
      <c r="I3755">
        <v>140.6635</v>
      </c>
      <c r="J3755">
        <v>-281.88780000000003</v>
      </c>
      <c r="K3755">
        <v>1.1201000000000001</v>
      </c>
      <c r="L3755">
        <v>141.59569999999999</v>
      </c>
      <c r="M3755">
        <v>-0.99997290000000005</v>
      </c>
      <c r="N3755">
        <v>-7.2758759999999997E-3</v>
      </c>
      <c r="O3755">
        <v>1.252305E-3</v>
      </c>
      <c r="P3755">
        <v>-0.97519739999999999</v>
      </c>
      <c r="Q3755">
        <v>0.19807810000000001</v>
      </c>
      <c r="R3755">
        <v>9.8769629999999997E-2</v>
      </c>
      <c r="S3755">
        <v>-3.0914920000000001</v>
      </c>
      <c r="T3755">
        <v>-5.1918270000000002E-2</v>
      </c>
      <c r="U3755">
        <v>-4.3182369999999998E-2</v>
      </c>
      <c r="V3755">
        <v>9.7474539999999998E-2</v>
      </c>
      <c r="W3755">
        <v>0.20520440000000001</v>
      </c>
      <c r="X3755">
        <v>0.97385310000000003</v>
      </c>
      <c r="Y3755">
        <v>-1.521585E-2</v>
      </c>
      <c r="Z3755">
        <v>-1.9503270000000001E-4</v>
      </c>
      <c r="AA3755">
        <v>0.9998842</v>
      </c>
      <c r="AB3755">
        <v>45</v>
      </c>
      <c r="AC3755">
        <v>-66.268199999999894</v>
      </c>
      <c r="AD3755">
        <v>-1.1201010519970001</v>
      </c>
      <c r="AE3755">
        <v>-0.93219999999999403</v>
      </c>
      <c r="AF3755">
        <v>-1.01489955583675</v>
      </c>
      <c r="AG3755">
        <v>-1.1201010519970001</v>
      </c>
      <c r="AH3755">
        <v>66.248057548437501</v>
      </c>
      <c r="AI3755">
        <v>90.968532866224507</v>
      </c>
      <c r="AJ3755">
        <v>90.877684793849994</v>
      </c>
      <c r="AK3755">
        <v>66.265298433012504</v>
      </c>
      <c r="AL3755">
        <v>78.158535263770204</v>
      </c>
      <c r="AM3755">
        <v>84.284209120011099</v>
      </c>
      <c r="AN3755">
        <v>0.99999999605359002</v>
      </c>
    </row>
    <row r="3756" spans="1:40" x14ac:dyDescent="0.25">
      <c r="A3756" t="str">
        <f>"20190303171052036"</f>
        <v>20190303171052036</v>
      </c>
      <c r="B3756" t="str">
        <f>"1551604252024396"</f>
        <v>1551604252024396</v>
      </c>
      <c r="C3756" t="s">
        <v>40</v>
      </c>
      <c r="D3756">
        <v>5.147913</v>
      </c>
      <c r="E3756">
        <v>0.46259830000000002</v>
      </c>
      <c r="F3756" t="s">
        <v>42</v>
      </c>
      <c r="G3756">
        <v>-350.72230000000002</v>
      </c>
      <c r="H3756" s="1">
        <v>-4.2091860000000003E-6</v>
      </c>
      <c r="I3756">
        <v>140.6251</v>
      </c>
      <c r="J3756">
        <v>-282.32819999999998</v>
      </c>
      <c r="K3756">
        <v>1.12007099999999</v>
      </c>
      <c r="L3756">
        <v>141.59620000000001</v>
      </c>
      <c r="M3756">
        <v>-0.99997250000000004</v>
      </c>
      <c r="N3756">
        <v>-7.3195539999999998E-3</v>
      </c>
      <c r="O3756">
        <v>1.2419950000000001E-3</v>
      </c>
      <c r="P3756">
        <v>-0.97527249999999999</v>
      </c>
      <c r="Q3756">
        <v>0.19815060000000001</v>
      </c>
      <c r="R3756">
        <v>9.78773E-2</v>
      </c>
      <c r="S3756">
        <v>-3.0909420000000001</v>
      </c>
      <c r="T3756">
        <v>-5.0297139999999997E-2</v>
      </c>
      <c r="U3756">
        <v>-4.3579100000000003E-2</v>
      </c>
      <c r="V3756">
        <v>9.6607520000000002E-2</v>
      </c>
      <c r="W3756">
        <v>0.2053121</v>
      </c>
      <c r="X3756">
        <v>0.97391680000000003</v>
      </c>
      <c r="Y3756">
        <v>-1.533647E-2</v>
      </c>
      <c r="Z3756">
        <v>-1.920212E-4</v>
      </c>
      <c r="AA3756">
        <v>0.99988239999999995</v>
      </c>
      <c r="AB3756">
        <v>45</v>
      </c>
      <c r="AC3756">
        <v>-68.394099999999995</v>
      </c>
      <c r="AD3756">
        <v>-1.12007520918599</v>
      </c>
      <c r="AE3756">
        <v>-0.97110000000000696</v>
      </c>
      <c r="AF3756">
        <v>-1.05576355412074</v>
      </c>
      <c r="AG3756">
        <v>-1.12007520918599</v>
      </c>
      <c r="AH3756">
        <v>68.3745068373225</v>
      </c>
      <c r="AI3756">
        <v>90.938393541119495</v>
      </c>
      <c r="AJ3756">
        <v>90.884627792876799</v>
      </c>
      <c r="AK3756">
        <v>68.391829851258507</v>
      </c>
      <c r="AL3756">
        <v>78.152230336586697</v>
      </c>
      <c r="AM3756">
        <v>84.335086075951693</v>
      </c>
      <c r="AN3756">
        <v>1.0000000023246001</v>
      </c>
    </row>
    <row r="3757" spans="1:40" x14ac:dyDescent="0.25">
      <c r="A3757" t="str">
        <f>"20190303171052058"</f>
        <v>20190303171052058</v>
      </c>
      <c r="B3757" t="str">
        <f>"1551604252044891"</f>
        <v>1551604252044891</v>
      </c>
      <c r="C3757" t="s">
        <v>40</v>
      </c>
      <c r="D3757">
        <v>4.7052230000000002</v>
      </c>
      <c r="E3757">
        <v>0.4629239</v>
      </c>
      <c r="F3757" t="s">
        <v>42</v>
      </c>
      <c r="G3757">
        <v>-353.55509999999998</v>
      </c>
      <c r="H3757" s="1">
        <v>-3.0053039999999999E-6</v>
      </c>
      <c r="I3757">
        <v>140.5864</v>
      </c>
      <c r="J3757">
        <v>-282.76850000000002</v>
      </c>
      <c r="K3757">
        <v>1.1200399999999999</v>
      </c>
      <c r="L3757">
        <v>141.5967</v>
      </c>
      <c r="M3757">
        <v>-0.99997219999999998</v>
      </c>
      <c r="N3757">
        <v>-7.3614669999999896E-3</v>
      </c>
      <c r="O3757">
        <v>1.2311139999999999E-3</v>
      </c>
      <c r="P3757">
        <v>-0.9753638</v>
      </c>
      <c r="Q3757">
        <v>0.19816400000000001</v>
      </c>
      <c r="R3757">
        <v>9.6937129999999996E-2</v>
      </c>
      <c r="S3757">
        <v>-3.0903019999999999</v>
      </c>
      <c r="T3757">
        <v>-4.8596380000000002E-2</v>
      </c>
      <c r="U3757">
        <v>-4.3807980000000003E-2</v>
      </c>
      <c r="V3757">
        <v>9.569134E-2</v>
      </c>
      <c r="W3757">
        <v>0.20536070000000001</v>
      </c>
      <c r="X3757">
        <v>0.973997</v>
      </c>
      <c r="Y3757">
        <v>-1.540271E-2</v>
      </c>
      <c r="Z3757">
        <v>-1.8809130000000001E-4</v>
      </c>
      <c r="AA3757">
        <v>0.99988129999999997</v>
      </c>
      <c r="AB3757">
        <v>45</v>
      </c>
      <c r="AC3757">
        <v>-70.786599999999893</v>
      </c>
      <c r="AD3757">
        <v>-1.120043005304</v>
      </c>
      <c r="AE3757">
        <v>-1.0103</v>
      </c>
      <c r="AF3757">
        <v>-1.09717333143782</v>
      </c>
      <c r="AG3757">
        <v>-1.120043005304</v>
      </c>
      <c r="AH3757">
        <v>70.7675886645102</v>
      </c>
      <c r="AI3757">
        <v>90.9066392009277</v>
      </c>
      <c r="AJ3757">
        <v>90.888236639914098</v>
      </c>
      <c r="AK3757">
        <v>70.784955259166907</v>
      </c>
      <c r="AL3757">
        <v>78.149385140695401</v>
      </c>
      <c r="AM3757">
        <v>84.388924033816494</v>
      </c>
      <c r="AN3757">
        <v>1.00000000283224</v>
      </c>
    </row>
    <row r="3758" spans="1:40" x14ac:dyDescent="0.25">
      <c r="A3758" t="str">
        <f>"20190303171052091"</f>
        <v>20190303171052091</v>
      </c>
      <c r="B3758" t="str">
        <f>"1551604252084907"</f>
        <v>1551604252084907</v>
      </c>
      <c r="C3758" t="s">
        <v>40</v>
      </c>
      <c r="D3758">
        <v>4.8018839999999896</v>
      </c>
      <c r="E3758">
        <v>0.46342220000000001</v>
      </c>
      <c r="F3758" t="s">
        <v>42</v>
      </c>
      <c r="G3758">
        <v>-353.33640000000003</v>
      </c>
      <c r="H3758" s="1">
        <v>-3.101527E-6</v>
      </c>
      <c r="I3758">
        <v>140.59549999999999</v>
      </c>
      <c r="J3758">
        <v>-283.46140000000003</v>
      </c>
      <c r="K3758">
        <v>1.1200049999999999</v>
      </c>
      <c r="L3758">
        <v>141.5975</v>
      </c>
      <c r="M3758">
        <v>-0.99997179999999997</v>
      </c>
      <c r="N3758">
        <v>-7.4293029999999999E-3</v>
      </c>
      <c r="O3758">
        <v>1.2146500000000001E-3</v>
      </c>
      <c r="P3758">
        <v>-0.97553809999999996</v>
      </c>
      <c r="Q3758">
        <v>0.1975877</v>
      </c>
      <c r="R3758">
        <v>9.6358479999999996E-2</v>
      </c>
      <c r="S3758">
        <v>-3.0901179999999999</v>
      </c>
      <c r="T3758">
        <v>-4.904592E-2</v>
      </c>
      <c r="U3758">
        <v>-4.3838500000000002E-2</v>
      </c>
      <c r="V3758">
        <v>9.5145010000000002E-2</v>
      </c>
      <c r="W3758">
        <v>0.204844</v>
      </c>
      <c r="X3758">
        <v>0.97415929999999995</v>
      </c>
      <c r="Y3758">
        <v>-1.539691E-2</v>
      </c>
      <c r="Z3758">
        <v>-1.8963129999999999E-4</v>
      </c>
      <c r="AA3758">
        <v>0.99988140000000003</v>
      </c>
      <c r="AB3758">
        <v>45</v>
      </c>
      <c r="AC3758">
        <v>-69.875</v>
      </c>
      <c r="AD3758">
        <v>-1.12000810152699</v>
      </c>
      <c r="AE3758">
        <v>-1.002</v>
      </c>
      <c r="AF3758">
        <v>-1.0865961490507301</v>
      </c>
      <c r="AG3758">
        <v>-1.12000810152699</v>
      </c>
      <c r="AH3758">
        <v>69.855787647418296</v>
      </c>
      <c r="AI3758">
        <v>90.918441859541801</v>
      </c>
      <c r="AJ3758">
        <v>90.891155265377606</v>
      </c>
      <c r="AK3758">
        <v>69.873215019632696</v>
      </c>
      <c r="AL3758">
        <v>78.179632762432604</v>
      </c>
      <c r="AM3758">
        <v>84.421680285178198</v>
      </c>
      <c r="AN3758">
        <v>0.99999998952019498</v>
      </c>
    </row>
    <row r="3759" spans="1:40" x14ac:dyDescent="0.25">
      <c r="A3759" t="str">
        <f>"20190303171052114"</f>
        <v>20190303171052114</v>
      </c>
      <c r="B3759" t="str">
        <f>"1551604252104427"</f>
        <v>1551604252104427</v>
      </c>
      <c r="C3759" t="s">
        <v>40</v>
      </c>
      <c r="D3759">
        <v>5.0694460000000001</v>
      </c>
      <c r="E3759">
        <v>0.4810123</v>
      </c>
      <c r="F3759" t="s">
        <v>42</v>
      </c>
      <c r="G3759">
        <v>-350.95609999999999</v>
      </c>
      <c r="H3759" s="1">
        <v>-4.1401840000000002E-6</v>
      </c>
      <c r="I3759">
        <v>140.6848</v>
      </c>
      <c r="J3759">
        <v>-283.916</v>
      </c>
      <c r="K3759">
        <v>1.119993</v>
      </c>
      <c r="L3759">
        <v>141.59799999999899</v>
      </c>
      <c r="M3759">
        <v>-0.99997139999999995</v>
      </c>
      <c r="N3759">
        <v>-7.4724219999999899E-3</v>
      </c>
      <c r="O3759">
        <v>1.205399E-3</v>
      </c>
      <c r="P3759">
        <v>-0.97570670000000004</v>
      </c>
      <c r="Q3759">
        <v>0.19674369999999999</v>
      </c>
      <c r="R3759">
        <v>9.6376900000000001E-2</v>
      </c>
      <c r="S3759">
        <v>-3.0897220000000001</v>
      </c>
      <c r="T3759">
        <v>-5.1270959999999997E-2</v>
      </c>
      <c r="U3759">
        <v>-4.1778559999999999E-2</v>
      </c>
      <c r="V3759">
        <v>9.518037E-2</v>
      </c>
      <c r="W3759">
        <v>0.20403930000000001</v>
      </c>
      <c r="X3759">
        <v>0.97432470000000004</v>
      </c>
      <c r="Y3759">
        <v>-1.4722880000000001E-2</v>
      </c>
      <c r="Z3759">
        <v>-1.8815220000000001E-4</v>
      </c>
      <c r="AA3759">
        <v>0.99989159999999999</v>
      </c>
      <c r="AB3759">
        <v>45</v>
      </c>
      <c r="AC3759">
        <v>-67.040099999999995</v>
      </c>
      <c r="AD3759">
        <v>-1.1199971401840001</v>
      </c>
      <c r="AE3759">
        <v>-0.91319999999998902</v>
      </c>
      <c r="AF3759">
        <v>-0.99373435575366398</v>
      </c>
      <c r="AG3759">
        <v>-1.1199971401840001</v>
      </c>
      <c r="AH3759">
        <v>67.020248409132293</v>
      </c>
      <c r="AI3759">
        <v>90.957294059005307</v>
      </c>
      <c r="AJ3759">
        <v>90.849483759107002</v>
      </c>
      <c r="AK3759">
        <v>67.036971876611702</v>
      </c>
      <c r="AL3759">
        <v>78.226733389785494</v>
      </c>
      <c r="AM3759">
        <v>84.4205615631558</v>
      </c>
      <c r="AN3759">
        <v>0.99999997990395795</v>
      </c>
    </row>
    <row r="3760" spans="1:40" x14ac:dyDescent="0.25">
      <c r="A3760" t="str">
        <f>"20190303171052135"</f>
        <v>20190303171052135</v>
      </c>
      <c r="B3760" t="str">
        <f>"1551604252124923"</f>
        <v>1551604252124923</v>
      </c>
      <c r="C3760" t="s">
        <v>40</v>
      </c>
      <c r="D3760">
        <v>5.0170700000000004</v>
      </c>
      <c r="E3760">
        <v>0.4883265</v>
      </c>
      <c r="F3760" t="s">
        <v>42</v>
      </c>
      <c r="G3760">
        <v>-337.68599999999998</v>
      </c>
      <c r="H3760" s="1">
        <v>-2.0576570000000001E-6</v>
      </c>
      <c r="I3760">
        <v>143.31200000000001</v>
      </c>
      <c r="J3760">
        <v>-284.35410000000002</v>
      </c>
      <c r="K3760">
        <v>1.119982</v>
      </c>
      <c r="L3760">
        <v>141.5986</v>
      </c>
      <c r="M3760">
        <v>-0.9999711</v>
      </c>
      <c r="N3760">
        <v>-7.5111090000000002E-3</v>
      </c>
      <c r="O3760">
        <v>1.197914E-3</v>
      </c>
      <c r="P3760">
        <v>-0.97587550000000001</v>
      </c>
      <c r="Q3760">
        <v>0.19599179999999999</v>
      </c>
      <c r="R3760">
        <v>9.6198919999999993E-2</v>
      </c>
      <c r="S3760">
        <v>-3.0779420000000002</v>
      </c>
      <c r="T3760">
        <v>-6.4111589999999996E-2</v>
      </c>
      <c r="U3760">
        <v>9.8114010000000001E-2</v>
      </c>
      <c r="V3760">
        <v>9.5015639999999998E-2</v>
      </c>
      <c r="W3760">
        <v>0.2033237</v>
      </c>
      <c r="X3760">
        <v>0.97449039999999998</v>
      </c>
      <c r="Y3760">
        <v>3.0654020000000001E-2</v>
      </c>
      <c r="Z3760">
        <v>4.1835929999999998E-4</v>
      </c>
      <c r="AA3760">
        <v>0.99953000000000003</v>
      </c>
      <c r="AB3760">
        <v>45</v>
      </c>
      <c r="AC3760">
        <v>-53.331899999999898</v>
      </c>
      <c r="AD3760">
        <v>-1.1199840576569999</v>
      </c>
      <c r="AE3760">
        <v>1.7134</v>
      </c>
      <c r="AF3760">
        <v>1.64878355816931</v>
      </c>
      <c r="AG3760">
        <v>-1.1199840576569999</v>
      </c>
      <c r="AH3760">
        <v>53.3104280441542</v>
      </c>
      <c r="AI3760">
        <v>91.202959127784993</v>
      </c>
      <c r="AJ3760">
        <v>88.228522278828706</v>
      </c>
      <c r="AK3760">
        <v>53.347676516995897</v>
      </c>
      <c r="AL3760">
        <v>78.268612615606898</v>
      </c>
      <c r="AM3760">
        <v>84.4310983302626</v>
      </c>
      <c r="AN3760">
        <v>1.00000001925922</v>
      </c>
    </row>
    <row r="3761" spans="1:40" x14ac:dyDescent="0.25">
      <c r="A3761" t="str">
        <f>"20190303171052159"</f>
        <v>20190303171052159</v>
      </c>
      <c r="B3761" t="str">
        <f>"1551604252144444"</f>
        <v>1551604252144444</v>
      </c>
      <c r="C3761" t="s">
        <v>40</v>
      </c>
      <c r="D3761">
        <v>5.0290900000000001</v>
      </c>
      <c r="E3761">
        <v>0.49137399999999998</v>
      </c>
      <c r="F3761" t="s">
        <v>42</v>
      </c>
      <c r="G3761">
        <v>-345.68990000000002</v>
      </c>
      <c r="H3761" s="1">
        <v>-3.1956840000000001E-6</v>
      </c>
      <c r="I3761">
        <v>144.744</v>
      </c>
      <c r="J3761">
        <v>-284.81349999999998</v>
      </c>
      <c r="K3761">
        <v>1.119977</v>
      </c>
      <c r="L3761">
        <v>141.59909999999999</v>
      </c>
      <c r="M3761">
        <v>-0.99997080000000005</v>
      </c>
      <c r="N3761">
        <v>-7.5524669999999898E-3</v>
      </c>
      <c r="O3761">
        <v>1.1921239999999999E-3</v>
      </c>
      <c r="P3761">
        <v>-0.97591340000000004</v>
      </c>
      <c r="Q3761">
        <v>0.1958606</v>
      </c>
      <c r="R3761">
        <v>9.6081120000000006E-2</v>
      </c>
      <c r="S3761">
        <v>-3.0699459999999998</v>
      </c>
      <c r="T3761">
        <v>-5.6056979999999999E-2</v>
      </c>
      <c r="U3761">
        <v>0.1574402</v>
      </c>
      <c r="V3761">
        <v>9.4908080000000006E-2</v>
      </c>
      <c r="W3761">
        <v>0.20323079999999999</v>
      </c>
      <c r="X3761">
        <v>0.97452030000000001</v>
      </c>
      <c r="Y3761">
        <v>5.0014719999999999E-2</v>
      </c>
      <c r="Z3761">
        <v>6.3255629999999896E-4</v>
      </c>
      <c r="AA3761">
        <v>0.99874830000000003</v>
      </c>
      <c r="AB3761">
        <v>46</v>
      </c>
      <c r="AC3761">
        <v>-60.876399999999997</v>
      </c>
      <c r="AD3761">
        <v>-1.1199801956839901</v>
      </c>
      <c r="AE3761">
        <v>3.1448999999999998</v>
      </c>
      <c r="AF3761">
        <v>3.0712867024601298</v>
      </c>
      <c r="AG3761">
        <v>-1.1199801956839901</v>
      </c>
      <c r="AH3761">
        <v>60.859561528283898</v>
      </c>
      <c r="AI3761">
        <v>91.052938364194503</v>
      </c>
      <c r="AJ3761">
        <v>87.111010909237706</v>
      </c>
      <c r="AK3761">
        <v>60.947300080170997</v>
      </c>
      <c r="AL3761">
        <v>78.2740493619972</v>
      </c>
      <c r="AM3761">
        <v>84.437532500895202</v>
      </c>
      <c r="AN3761">
        <v>1.0000000584149999</v>
      </c>
    </row>
    <row r="3762" spans="1:40" x14ac:dyDescent="0.25">
      <c r="A3762" t="str">
        <f>"20190303171052181"</f>
        <v>20190303171052181</v>
      </c>
      <c r="B3762" t="str">
        <f>"1551604252174699"</f>
        <v>1551604252174699</v>
      </c>
      <c r="C3762" t="s">
        <v>40</v>
      </c>
      <c r="D3762">
        <v>5.0837640000000004</v>
      </c>
      <c r="E3762">
        <v>0.49370589999999998</v>
      </c>
      <c r="F3762" t="s">
        <v>42</v>
      </c>
      <c r="G3762">
        <v>-348.70670000000001</v>
      </c>
      <c r="H3762" s="1">
        <v>-2.069837E-6</v>
      </c>
      <c r="I3762">
        <v>145.3766</v>
      </c>
      <c r="J3762">
        <v>-285.29059999999998</v>
      </c>
      <c r="K3762">
        <v>1.119974</v>
      </c>
      <c r="L3762">
        <v>141.59960000000001</v>
      </c>
      <c r="M3762">
        <v>-0.99997040000000004</v>
      </c>
      <c r="N3762">
        <v>-7.5999199999999996E-3</v>
      </c>
      <c r="O3762">
        <v>1.1874819999999999E-3</v>
      </c>
      <c r="P3762">
        <v>-0.97593490000000005</v>
      </c>
      <c r="Q3762">
        <v>0.19574639999999999</v>
      </c>
      <c r="R3762">
        <v>9.6096139999999997E-2</v>
      </c>
      <c r="S3762">
        <v>-3.066986</v>
      </c>
      <c r="T3762">
        <v>-5.3761009999999998E-2</v>
      </c>
      <c r="U3762">
        <v>0.18133540000000001</v>
      </c>
      <c r="V3762">
        <v>9.4931459999999995E-2</v>
      </c>
      <c r="W3762">
        <v>0.2031617</v>
      </c>
      <c r="X3762">
        <v>0.97453239999999997</v>
      </c>
      <c r="Y3762">
        <v>5.7823769999999997E-2</v>
      </c>
      <c r="Z3762">
        <v>7.1448200000000001E-4</v>
      </c>
      <c r="AA3762">
        <v>0.99832650000000001</v>
      </c>
      <c r="AB3762">
        <v>46</v>
      </c>
      <c r="AC3762">
        <v>-63.4161</v>
      </c>
      <c r="AD3762">
        <v>-1.119976069837</v>
      </c>
      <c r="AE3762">
        <v>3.7769999999999802</v>
      </c>
      <c r="AF3762">
        <v>3.7005395569938702</v>
      </c>
      <c r="AG3762">
        <v>-1.119976069837</v>
      </c>
      <c r="AH3762">
        <v>63.400835573910904</v>
      </c>
      <c r="AI3762">
        <v>91.010305856484294</v>
      </c>
      <c r="AJ3762">
        <v>86.659586340614396</v>
      </c>
      <c r="AK3762">
        <v>63.518613735502498</v>
      </c>
      <c r="AL3762">
        <v>78.278092500278206</v>
      </c>
      <c r="AM3762">
        <v>84.436239467752301</v>
      </c>
      <c r="AN3762">
        <v>1.0000000285471899</v>
      </c>
    </row>
    <row r="3763" spans="1:40" x14ac:dyDescent="0.25">
      <c r="A3763" t="str">
        <f>"20190303171052204"</f>
        <v>20190303171052204</v>
      </c>
      <c r="B3763" t="str">
        <f>"1551604252194219"</f>
        <v>1551604252194219</v>
      </c>
      <c r="C3763" t="s">
        <v>40</v>
      </c>
      <c r="D3763">
        <v>5.0267520000000001</v>
      </c>
      <c r="E3763">
        <v>0.49445410000000001</v>
      </c>
      <c r="F3763" t="s">
        <v>42</v>
      </c>
      <c r="G3763">
        <v>-350.62110000000001</v>
      </c>
      <c r="H3763" s="1">
        <v>-5.1728009999999899E-6</v>
      </c>
      <c r="I3763">
        <v>145.86340000000001</v>
      </c>
      <c r="J3763">
        <v>-285.76979999999998</v>
      </c>
      <c r="K3763">
        <v>1.1199699999999999</v>
      </c>
      <c r="L3763">
        <v>141.6002</v>
      </c>
      <c r="M3763">
        <v>-0.99997020000000003</v>
      </c>
      <c r="N3763">
        <v>-7.6496450000000001E-3</v>
      </c>
      <c r="O3763">
        <v>1.183945E-3</v>
      </c>
      <c r="P3763">
        <v>-0.97595449999999995</v>
      </c>
      <c r="Q3763">
        <v>0.19559989999999999</v>
      </c>
      <c r="R3763">
        <v>9.6198130000000007E-2</v>
      </c>
      <c r="S3763">
        <v>-3.064819</v>
      </c>
      <c r="T3763">
        <v>-5.254114E-2</v>
      </c>
      <c r="U3763">
        <v>0.2000275</v>
      </c>
      <c r="V3763">
        <v>9.5039659999999998E-2</v>
      </c>
      <c r="W3763">
        <v>0.2030623</v>
      </c>
      <c r="X3763">
        <v>0.97454260000000004</v>
      </c>
      <c r="Y3763">
        <v>6.393211E-2</v>
      </c>
      <c r="Z3763">
        <v>7.8097309999999897E-4</v>
      </c>
      <c r="AA3763">
        <v>0.99795400000000001</v>
      </c>
      <c r="AB3763">
        <v>46</v>
      </c>
      <c r="AC3763">
        <v>-64.851299999999995</v>
      </c>
      <c r="AD3763">
        <v>-1.1199751728009999</v>
      </c>
      <c r="AE3763">
        <v>4.2632000000000101</v>
      </c>
      <c r="AF3763">
        <v>4.18517155176374</v>
      </c>
      <c r="AG3763">
        <v>-1.1199751728009999</v>
      </c>
      <c r="AH3763">
        <v>64.837047691018</v>
      </c>
      <c r="AI3763">
        <v>90.987556391118503</v>
      </c>
      <c r="AJ3763">
        <v>86.306734091272105</v>
      </c>
      <c r="AK3763">
        <v>64.981634009870305</v>
      </c>
      <c r="AL3763">
        <v>78.283909278636898</v>
      </c>
      <c r="AM3763">
        <v>84.429995851211004</v>
      </c>
      <c r="AN3763">
        <v>1.00000005693448</v>
      </c>
    </row>
    <row r="3764" spans="1:40" x14ac:dyDescent="0.25">
      <c r="A3764" t="str">
        <f>"20190303171052225"</f>
        <v>20190303171052225</v>
      </c>
      <c r="B3764" t="str">
        <f>"1551604252214715"</f>
        <v>1551604252214715</v>
      </c>
      <c r="C3764" t="s">
        <v>40</v>
      </c>
      <c r="D3764">
        <v>5.0263960000000001</v>
      </c>
      <c r="E3764">
        <v>0.4949654</v>
      </c>
      <c r="F3764" t="s">
        <v>42</v>
      </c>
      <c r="G3764">
        <v>-352.35039999999998</v>
      </c>
      <c r="H3764" s="1">
        <v>-4.6244649999999996E-6</v>
      </c>
      <c r="I3764">
        <v>146.0898</v>
      </c>
      <c r="J3764">
        <v>-286.19630000000001</v>
      </c>
      <c r="K3764">
        <v>1.1199699999999999</v>
      </c>
      <c r="L3764">
        <v>141.60069999999999</v>
      </c>
      <c r="M3764">
        <v>-0.99996969999999996</v>
      </c>
      <c r="N3764">
        <v>-7.6950129999999997E-3</v>
      </c>
      <c r="O3764">
        <v>1.181662E-3</v>
      </c>
      <c r="P3764">
        <v>-0.97597860000000003</v>
      </c>
      <c r="Q3764">
        <v>0.1953502</v>
      </c>
      <c r="R3764">
        <v>9.6457769999999998E-2</v>
      </c>
      <c r="S3764">
        <v>-3.0638730000000001</v>
      </c>
      <c r="T3764">
        <v>-5.1538470000000003E-2</v>
      </c>
      <c r="U3764">
        <v>0.20660400000000001</v>
      </c>
      <c r="V3764">
        <v>9.5303349999999995E-2</v>
      </c>
      <c r="W3764">
        <v>0.20285590000000001</v>
      </c>
      <c r="X3764">
        <v>0.97455979999999998</v>
      </c>
      <c r="Y3764">
        <v>6.6086930000000002E-2</v>
      </c>
      <c r="Z3764">
        <v>7.9898350000000003E-4</v>
      </c>
      <c r="AA3764">
        <v>0.99781350000000002</v>
      </c>
      <c r="AB3764">
        <v>46</v>
      </c>
      <c r="AC3764">
        <v>-66.1540999999999</v>
      </c>
      <c r="AD3764">
        <v>-1.119974624465</v>
      </c>
      <c r="AE3764">
        <v>4.4890999999999996</v>
      </c>
      <c r="AF3764">
        <v>4.4096646712320098</v>
      </c>
      <c r="AG3764">
        <v>-1.119974624465</v>
      </c>
      <c r="AH3764">
        <v>66.1404884317229</v>
      </c>
      <c r="AI3764">
        <v>90.967963556046797</v>
      </c>
      <c r="AJ3764">
        <v>86.1856674893491</v>
      </c>
      <c r="AK3764">
        <v>66.296784957183505</v>
      </c>
      <c r="AL3764">
        <v>78.295986099009497</v>
      </c>
      <c r="AM3764">
        <v>84.414737269493699</v>
      </c>
      <c r="AN3764">
        <v>1.0000000242310301</v>
      </c>
    </row>
    <row r="3765" spans="1:40" x14ac:dyDescent="0.25">
      <c r="A3765" t="str">
        <f>"20190303171052247"</f>
        <v>20190303171052247</v>
      </c>
      <c r="B3765" t="str">
        <f>"1551604252234236"</f>
        <v>1551604252234236</v>
      </c>
      <c r="C3765" t="s">
        <v>40</v>
      </c>
      <c r="D3765">
        <v>5.0849989999999998</v>
      </c>
      <c r="E3765">
        <v>0.4953398</v>
      </c>
      <c r="F3765" t="s">
        <v>42</v>
      </c>
      <c r="G3765">
        <v>-353.04629999999997</v>
      </c>
      <c r="H3765" s="1">
        <v>-4.4115830000000004E-6</v>
      </c>
      <c r="I3765">
        <v>146.22470000000001</v>
      </c>
      <c r="J3765">
        <v>-286.64769999999999</v>
      </c>
      <c r="K3765">
        <v>1.1199570000000001</v>
      </c>
      <c r="L3765">
        <v>141.60120000000001</v>
      </c>
      <c r="M3765">
        <v>-0.99996940000000001</v>
      </c>
      <c r="N3765">
        <v>-7.7437080000000002E-3</v>
      </c>
      <c r="O3765">
        <v>1.1791200000000001E-3</v>
      </c>
      <c r="P3765">
        <v>-0.97595790000000004</v>
      </c>
      <c r="Q3765">
        <v>0.1952565</v>
      </c>
      <c r="R3765">
        <v>9.6856919999999999E-2</v>
      </c>
      <c r="S3765">
        <v>-3.063202</v>
      </c>
      <c r="T3765">
        <v>-5.1319480000000001E-2</v>
      </c>
      <c r="U3765">
        <v>0.2118835</v>
      </c>
      <c r="V3765">
        <v>9.5706520000000003E-2</v>
      </c>
      <c r="W3765">
        <v>0.20280909999999999</v>
      </c>
      <c r="X3765">
        <v>0.97453000000000001</v>
      </c>
      <c r="Y3765">
        <v>6.7815509999999996E-2</v>
      </c>
      <c r="Z3765">
        <v>8.1966399999999903E-4</v>
      </c>
      <c r="AA3765">
        <v>0.99769750000000001</v>
      </c>
      <c r="AB3765">
        <v>46</v>
      </c>
      <c r="AC3765">
        <v>-66.398599999999902</v>
      </c>
      <c r="AD3765">
        <v>-1.1199614115830001</v>
      </c>
      <c r="AE3765">
        <v>4.6234999999999999</v>
      </c>
      <c r="AF3765">
        <v>4.5439160030946999</v>
      </c>
      <c r="AG3765">
        <v>-1.1199614115830001</v>
      </c>
      <c r="AH3765">
        <v>66.385209945013301</v>
      </c>
      <c r="AI3765">
        <v>90.964269376261498</v>
      </c>
      <c r="AJ3765">
        <v>86.0843421988682</v>
      </c>
      <c r="AK3765">
        <v>66.549963077751698</v>
      </c>
      <c r="AL3765">
        <v>78.298724115168497</v>
      </c>
      <c r="AM3765">
        <v>84.391089376119893</v>
      </c>
      <c r="AN3765">
        <v>0.99999999495666003</v>
      </c>
    </row>
    <row r="3766" spans="1:40" x14ac:dyDescent="0.25">
      <c r="A3766" t="str">
        <f>"20190303171052269"</f>
        <v>20190303171052269</v>
      </c>
      <c r="B3766" t="str">
        <f>"1551604252264243"</f>
        <v>1551604252264243</v>
      </c>
      <c r="C3766" t="s">
        <v>40</v>
      </c>
      <c r="D3766">
        <v>5.0859300000000003</v>
      </c>
      <c r="E3766">
        <v>0.49569879999999999</v>
      </c>
      <c r="F3766" t="s">
        <v>42</v>
      </c>
      <c r="G3766">
        <v>-354.49079999999998</v>
      </c>
      <c r="H3766" s="1">
        <v>-3.9486550000000002E-6</v>
      </c>
      <c r="I3766">
        <v>146.3861</v>
      </c>
      <c r="J3766">
        <v>-287.10219999999998</v>
      </c>
      <c r="K3766">
        <v>1.119958</v>
      </c>
      <c r="L3766">
        <v>141.60169999999999</v>
      </c>
      <c r="M3766">
        <v>-0.999969</v>
      </c>
      <c r="N3766">
        <v>-7.7956479999999996E-3</v>
      </c>
      <c r="O3766">
        <v>1.176917E-3</v>
      </c>
      <c r="P3766">
        <v>-0.97595659999999895</v>
      </c>
      <c r="Q3766">
        <v>0.19523499999999999</v>
      </c>
      <c r="R3766">
        <v>9.6913940000000004E-2</v>
      </c>
      <c r="S3766">
        <v>-3.062592</v>
      </c>
      <c r="T3766">
        <v>-5.0557610000000003E-2</v>
      </c>
      <c r="U3766">
        <v>0.21600340000000001</v>
      </c>
      <c r="V3766">
        <v>9.5767149999999995E-2</v>
      </c>
      <c r="W3766">
        <v>0.2028372</v>
      </c>
      <c r="X3766">
        <v>0.9745182</v>
      </c>
      <c r="Y3766">
        <v>6.9166980000000003E-2</v>
      </c>
      <c r="Z3766">
        <v>8.2988780000000002E-4</v>
      </c>
      <c r="AA3766">
        <v>0.99760470000000001</v>
      </c>
      <c r="AB3766">
        <v>46</v>
      </c>
      <c r="AC3766">
        <v>-67.388599999999997</v>
      </c>
      <c r="AD3766">
        <v>-1.1199619486550001</v>
      </c>
      <c r="AE3766">
        <v>4.7843999999999998</v>
      </c>
      <c r="AF3766">
        <v>4.70379079263303</v>
      </c>
      <c r="AG3766">
        <v>-1.1199619486550001</v>
      </c>
      <c r="AH3766">
        <v>67.375668083692702</v>
      </c>
      <c r="AI3766">
        <v>90.950007860253606</v>
      </c>
      <c r="AJ3766">
        <v>86.006410327598701</v>
      </c>
      <c r="AK3766">
        <v>67.548949749875604</v>
      </c>
      <c r="AL3766">
        <v>78.297079983056804</v>
      </c>
      <c r="AM3766">
        <v>84.387491290241798</v>
      </c>
      <c r="AN3766">
        <v>0.99999999942710105</v>
      </c>
    </row>
    <row r="3767" spans="1:40" x14ac:dyDescent="0.25">
      <c r="A3767" t="str">
        <f>"20190303171052293"</f>
        <v>20190303171052293</v>
      </c>
      <c r="B3767" t="str">
        <f>"1551604252284738"</f>
        <v>1551604252284738</v>
      </c>
      <c r="C3767" t="s">
        <v>40</v>
      </c>
      <c r="D3767">
        <v>5.0288409999999999</v>
      </c>
      <c r="E3767">
        <v>0.49592229999999998</v>
      </c>
      <c r="F3767" t="s">
        <v>42</v>
      </c>
      <c r="G3767">
        <v>-356.24829999999997</v>
      </c>
      <c r="H3767" s="1">
        <v>-3.3798210000000002E-6</v>
      </c>
      <c r="I3767">
        <v>146.55099999999999</v>
      </c>
      <c r="J3767">
        <v>-287.59690000000001</v>
      </c>
      <c r="K3767">
        <v>1.11996299999999</v>
      </c>
      <c r="L3767">
        <v>141.60230000000001</v>
      </c>
      <c r="M3767">
        <v>-0.99996859999999999</v>
      </c>
      <c r="N3767">
        <v>-7.8545819999999902E-3</v>
      </c>
      <c r="O3767">
        <v>1.1746829999999999E-3</v>
      </c>
      <c r="P3767">
        <v>-0.97580100000000003</v>
      </c>
      <c r="Q3767">
        <v>0.19591520000000001</v>
      </c>
      <c r="R3767">
        <v>9.710684E-2</v>
      </c>
      <c r="S3767">
        <v>-3.0620729999999998</v>
      </c>
      <c r="T3767">
        <v>-4.9596550000000003E-2</v>
      </c>
      <c r="U3767">
        <v>0.21917719999999999</v>
      </c>
      <c r="V3767">
        <v>9.5963370000000006E-2</v>
      </c>
      <c r="W3767">
        <v>0.20357349999999999</v>
      </c>
      <c r="X3767">
        <v>0.97434540000000003</v>
      </c>
      <c r="Y3767">
        <v>7.0210049999999996E-2</v>
      </c>
      <c r="Z3767">
        <v>8.3416709999999995E-4</v>
      </c>
      <c r="AA3767">
        <v>0.99753190000000003</v>
      </c>
      <c r="AB3767">
        <v>46</v>
      </c>
      <c r="AC3767">
        <v>-68.651399999999896</v>
      </c>
      <c r="AD3767">
        <v>-1.11996637982099</v>
      </c>
      <c r="AE3767">
        <v>4.9486999999999997</v>
      </c>
      <c r="AF3767">
        <v>4.8667619287752197</v>
      </c>
      <c r="AG3767">
        <v>-1.11996637982099</v>
      </c>
      <c r="AH3767">
        <v>68.638992770483398</v>
      </c>
      <c r="AI3767">
        <v>90.932458330695994</v>
      </c>
      <c r="AJ3767">
        <v>85.944301791746</v>
      </c>
      <c r="AK3767">
        <v>68.820425927988694</v>
      </c>
      <c r="AL3767">
        <v>78.253994746392706</v>
      </c>
      <c r="AM3767">
        <v>84.375074301905897</v>
      </c>
      <c r="AN3767">
        <v>1.0000000483925799</v>
      </c>
    </row>
    <row r="3768" spans="1:40" x14ac:dyDescent="0.25">
      <c r="A3768" t="str">
        <f>"20190303171052315"</f>
        <v>20190303171052315</v>
      </c>
      <c r="B3768" t="str">
        <f>"1551604252304258"</f>
        <v>1551604252304258</v>
      </c>
      <c r="C3768" t="s">
        <v>40</v>
      </c>
      <c r="D3768">
        <v>5.0876729999999997</v>
      </c>
      <c r="E3768">
        <v>0.49605149999999998</v>
      </c>
      <c r="F3768" t="s">
        <v>42</v>
      </c>
      <c r="G3768">
        <v>-359.64269999999999</v>
      </c>
      <c r="H3768" s="1">
        <v>-2.0506549999999999E-6</v>
      </c>
      <c r="I3768">
        <v>146.81360000000001</v>
      </c>
      <c r="J3768">
        <v>-288.05779999999999</v>
      </c>
      <c r="K3768">
        <v>1.1199669999999999</v>
      </c>
      <c r="L3768">
        <v>141.60290000000001</v>
      </c>
      <c r="M3768">
        <v>-0.99996810000000003</v>
      </c>
      <c r="N3768">
        <v>-7.910762E-3</v>
      </c>
      <c r="O3768">
        <v>1.173285E-3</v>
      </c>
      <c r="P3768">
        <v>-0.97576980000000002</v>
      </c>
      <c r="Q3768">
        <v>0.19606509999999999</v>
      </c>
      <c r="R3768">
        <v>9.7116939999999999E-2</v>
      </c>
      <c r="S3768">
        <v>-3.0619200000000002</v>
      </c>
      <c r="T3768">
        <v>-4.7598120000000001E-2</v>
      </c>
      <c r="U3768">
        <v>0.22148129999999999</v>
      </c>
      <c r="V3768">
        <v>9.5975740000000004E-2</v>
      </c>
      <c r="W3768">
        <v>0.2037775</v>
      </c>
      <c r="X3768">
        <v>0.97430150000000004</v>
      </c>
      <c r="Y3768">
        <v>7.096247E-2</v>
      </c>
      <c r="Z3768">
        <v>8.2294490000000002E-4</v>
      </c>
      <c r="AA3768">
        <v>0.99747870000000005</v>
      </c>
      <c r="AB3768">
        <v>46</v>
      </c>
      <c r="AC3768">
        <v>-71.584900000000005</v>
      </c>
      <c r="AD3768">
        <v>-1.119969050655</v>
      </c>
      <c r="AE3768">
        <v>5.2107000000000001</v>
      </c>
      <c r="AF3768">
        <v>5.1254563249277902</v>
      </c>
      <c r="AG3768">
        <v>-1.119969050655</v>
      </c>
      <c r="AH3768">
        <v>71.573537390234605</v>
      </c>
      <c r="AI3768">
        <v>90.894190792784897</v>
      </c>
      <c r="AJ3768">
        <v>85.903981047796506</v>
      </c>
      <c r="AK3768">
        <v>71.765561990166802</v>
      </c>
      <c r="AL3768">
        <v>78.242055729027499</v>
      </c>
      <c r="AM3768">
        <v>84.374102027063103</v>
      </c>
      <c r="AN3768">
        <v>1.00000001253852</v>
      </c>
    </row>
    <row r="3769" spans="1:40" x14ac:dyDescent="0.25">
      <c r="A3769" t="str">
        <f>"20190303171052336"</f>
        <v>20190303171052336</v>
      </c>
      <c r="B3769" t="str">
        <f>"1551604252324754"</f>
        <v>1551604252324754</v>
      </c>
      <c r="C3769" t="s">
        <v>40</v>
      </c>
      <c r="D3769">
        <v>5.1454659999999999</v>
      </c>
      <c r="E3769">
        <v>0.49616959999999999</v>
      </c>
      <c r="F3769" t="s">
        <v>42</v>
      </c>
      <c r="G3769">
        <v>-360.63780000000003</v>
      </c>
      <c r="H3769" s="1">
        <v>-5.347712E-6</v>
      </c>
      <c r="I3769">
        <v>146.88149999999999</v>
      </c>
      <c r="J3769">
        <v>-288.4873</v>
      </c>
      <c r="K3769">
        <v>1.1199669999999999</v>
      </c>
      <c r="L3769">
        <v>141.60339999999999</v>
      </c>
      <c r="M3769">
        <v>-0.99996770000000001</v>
      </c>
      <c r="N3769">
        <v>-7.9628689999999992E-3</v>
      </c>
      <c r="O3769">
        <v>1.171779E-3</v>
      </c>
      <c r="P3769">
        <v>-0.97584249999999995</v>
      </c>
      <c r="Q3769">
        <v>0.19572049999999999</v>
      </c>
      <c r="R3769">
        <v>9.7082860000000007E-2</v>
      </c>
      <c r="S3769">
        <v>-3.0618289999999999</v>
      </c>
      <c r="T3769">
        <v>-4.7246690000000001E-2</v>
      </c>
      <c r="U3769">
        <v>0.22268679999999999</v>
      </c>
      <c r="V3769">
        <v>9.5943799999999996E-2</v>
      </c>
      <c r="W3769">
        <v>0.20348379999999999</v>
      </c>
      <c r="X3769">
        <v>0.97436599999999995</v>
      </c>
      <c r="Y3769">
        <v>7.1356810000000007E-2</v>
      </c>
      <c r="Z3769">
        <v>8.2555949999999997E-4</v>
      </c>
      <c r="AA3769">
        <v>0.99745050000000002</v>
      </c>
      <c r="AB3769">
        <v>46</v>
      </c>
      <c r="AC3769">
        <v>-72.150499999999994</v>
      </c>
      <c r="AD3769">
        <v>-1.1199723477119901</v>
      </c>
      <c r="AE3769">
        <v>5.2780999999999896</v>
      </c>
      <c r="AF3769">
        <v>5.1923048106040302</v>
      </c>
      <c r="AG3769">
        <v>-1.1199723477119901</v>
      </c>
      <c r="AH3769">
        <v>72.139345617332197</v>
      </c>
      <c r="AI3769">
        <v>90.887158026788001</v>
      </c>
      <c r="AJ3769">
        <v>85.883175721195002</v>
      </c>
      <c r="AK3769">
        <v>72.334635918090896</v>
      </c>
      <c r="AL3769">
        <v>78.259243305313106</v>
      </c>
      <c r="AM3769">
        <v>84.376332185687602</v>
      </c>
      <c r="AN3769">
        <v>0.99999998578843896</v>
      </c>
    </row>
    <row r="3770" spans="1:40" x14ac:dyDescent="0.25">
      <c r="A3770" t="str">
        <f>"20190303171052359"</f>
        <v>20190303171052359</v>
      </c>
      <c r="B3770" t="str">
        <f>"1551604252354034"</f>
        <v>1551604252354034</v>
      </c>
      <c r="C3770" t="s">
        <v>40</v>
      </c>
      <c r="D3770">
        <v>5.143224</v>
      </c>
      <c r="E3770">
        <v>0.4962802</v>
      </c>
      <c r="F3770" t="s">
        <v>42</v>
      </c>
      <c r="G3770">
        <v>-360.02120000000002</v>
      </c>
      <c r="H3770" s="1">
        <v>-5.54785899999999E-6</v>
      </c>
      <c r="I3770">
        <v>146.827</v>
      </c>
      <c r="J3770">
        <v>-288.95330000000001</v>
      </c>
      <c r="K3770">
        <v>1.11996299999999</v>
      </c>
      <c r="L3770">
        <v>141.60390000000001</v>
      </c>
      <c r="M3770">
        <v>-0.9999673</v>
      </c>
      <c r="N3770">
        <v>-8.0199780000000005E-3</v>
      </c>
      <c r="O3770">
        <v>1.17037E-3</v>
      </c>
      <c r="P3770">
        <v>-0.97595609999999999</v>
      </c>
      <c r="Q3770">
        <v>0.19512109999999999</v>
      </c>
      <c r="R3770">
        <v>9.7148579999999998E-2</v>
      </c>
      <c r="S3770">
        <v>-3.0616460000000001</v>
      </c>
      <c r="T3770">
        <v>-4.7934770000000002E-2</v>
      </c>
      <c r="U3770">
        <v>0.22357179999999999</v>
      </c>
      <c r="V3770">
        <v>9.6011269999999996E-2</v>
      </c>
      <c r="W3770">
        <v>0.20294039999999999</v>
      </c>
      <c r="X3770">
        <v>0.97447269999999997</v>
      </c>
      <c r="Y3770">
        <v>7.1648959999999998E-2</v>
      </c>
      <c r="Z3770">
        <v>8.3890759999999897E-4</v>
      </c>
      <c r="AA3770">
        <v>0.99742949999999997</v>
      </c>
      <c r="AB3770">
        <v>46</v>
      </c>
      <c r="AC3770">
        <v>-71.067899999999995</v>
      </c>
      <c r="AD3770">
        <v>-1.11996854785899</v>
      </c>
      <c r="AE3770">
        <v>5.2230999999999801</v>
      </c>
      <c r="AF3770">
        <v>5.1386486927342396</v>
      </c>
      <c r="AG3770">
        <v>-1.11996854785899</v>
      </c>
      <c r="AH3770">
        <v>71.056412404151402</v>
      </c>
      <c r="AI3770">
        <v>90.900651373917199</v>
      </c>
      <c r="AJ3770">
        <v>85.863691788058503</v>
      </c>
      <c r="AK3770">
        <v>71.250780933856205</v>
      </c>
      <c r="AL3770">
        <v>78.291041552050601</v>
      </c>
      <c r="AM3770">
        <v>84.373015102780599</v>
      </c>
      <c r="AN3770">
        <v>1.0000000064822301</v>
      </c>
    </row>
    <row r="3771" spans="1:40" x14ac:dyDescent="0.25">
      <c r="A3771" t="str">
        <f>"20190303171052383"</f>
        <v>20190303171052383</v>
      </c>
      <c r="B3771" t="str">
        <f>"1551604252364770"</f>
        <v>1551604252364770</v>
      </c>
      <c r="C3771" t="s">
        <v>40</v>
      </c>
      <c r="D3771">
        <v>5.1444999999999999</v>
      </c>
      <c r="E3771">
        <v>0.49627870000000002</v>
      </c>
      <c r="F3771" t="s">
        <v>42</v>
      </c>
      <c r="G3771">
        <v>-358.04849999999999</v>
      </c>
      <c r="H3771" s="1">
        <v>-2.6963299999999999E-6</v>
      </c>
      <c r="I3771">
        <v>146.66999999999999</v>
      </c>
      <c r="J3771">
        <v>-289.45280000000002</v>
      </c>
      <c r="K3771">
        <v>1.119964</v>
      </c>
      <c r="L3771">
        <v>141.6045</v>
      </c>
      <c r="M3771">
        <v>-0.99996669999999999</v>
      </c>
      <c r="N3771">
        <v>-8.0799219999999998E-3</v>
      </c>
      <c r="O3771">
        <v>1.169125E-3</v>
      </c>
      <c r="P3771">
        <v>-0.9761668</v>
      </c>
      <c r="Q3771">
        <v>0.19436690000000001</v>
      </c>
      <c r="R3771">
        <v>9.6539319999999998E-2</v>
      </c>
      <c r="S3771">
        <v>-3.061493</v>
      </c>
      <c r="T3771">
        <v>-4.9623849999999997E-2</v>
      </c>
      <c r="U3771">
        <v>0.224472</v>
      </c>
      <c r="V3771">
        <v>9.5403450000000001E-2</v>
      </c>
      <c r="W3771">
        <v>0.20224600000000001</v>
      </c>
      <c r="X3771">
        <v>0.97467669999999995</v>
      </c>
      <c r="Y3771">
        <v>7.1944670000000002E-2</v>
      </c>
      <c r="Z3771">
        <v>8.6384380000000005E-4</v>
      </c>
      <c r="AA3771">
        <v>0.99740830000000003</v>
      </c>
      <c r="AB3771">
        <v>46</v>
      </c>
      <c r="AC3771">
        <v>-68.595699999999894</v>
      </c>
      <c r="AD3771">
        <v>-1.1199666963299999</v>
      </c>
      <c r="AE3771">
        <v>5.0654999999999797</v>
      </c>
      <c r="AF3771">
        <v>4.9839755859064798</v>
      </c>
      <c r="AG3771">
        <v>-1.1199666963299999</v>
      </c>
      <c r="AH3771">
        <v>68.583392177791495</v>
      </c>
      <c r="AI3771">
        <v>90.933096694418197</v>
      </c>
      <c r="AJ3771">
        <v>85.843604923626302</v>
      </c>
      <c r="AK3771">
        <v>68.773367088245394</v>
      </c>
      <c r="AL3771">
        <v>78.331669782951394</v>
      </c>
      <c r="AM3771">
        <v>84.409574381618597</v>
      </c>
      <c r="AN3771">
        <v>0.99999996615539499</v>
      </c>
    </row>
    <row r="3772" spans="1:40" x14ac:dyDescent="0.25">
      <c r="A3772" t="str">
        <f>"20190303171052404"</f>
        <v>20190303171052404</v>
      </c>
      <c r="B3772" t="str">
        <f>"1551604252394051"</f>
        <v>1551604252394051</v>
      </c>
      <c r="C3772" t="s">
        <v>40</v>
      </c>
      <c r="D3772">
        <v>5.0869140000000002</v>
      </c>
      <c r="E3772">
        <v>0.49629040000000002</v>
      </c>
      <c r="F3772" t="s">
        <v>42</v>
      </c>
      <c r="G3772">
        <v>-355.45420000000001</v>
      </c>
      <c r="H3772" s="1">
        <v>-3.6237079999999999E-6</v>
      </c>
      <c r="I3772">
        <v>146.4025</v>
      </c>
      <c r="J3772">
        <v>-289.9187</v>
      </c>
      <c r="K3772">
        <v>1.119972</v>
      </c>
      <c r="L3772">
        <v>141.60509999999999</v>
      </c>
      <c r="M3772">
        <v>-0.99996629999999997</v>
      </c>
      <c r="N3772">
        <v>-8.1334579999999997E-3</v>
      </c>
      <c r="O3772">
        <v>1.1679030000000001E-3</v>
      </c>
      <c r="P3772">
        <v>-0.97622589999999998</v>
      </c>
      <c r="Q3772">
        <v>0.1943685</v>
      </c>
      <c r="R3772">
        <v>9.5937110000000006E-2</v>
      </c>
      <c r="S3772">
        <v>-3.0615839999999999</v>
      </c>
      <c r="T3772">
        <v>-5.1951650000000002E-2</v>
      </c>
      <c r="U3772">
        <v>0.2225647</v>
      </c>
      <c r="V3772">
        <v>9.4802620000000004E-2</v>
      </c>
      <c r="W3772">
        <v>0.20230020000000001</v>
      </c>
      <c r="X3772">
        <v>0.97472409999999998</v>
      </c>
      <c r="Y3772">
        <v>7.1324600000000002E-2</v>
      </c>
      <c r="Z3772">
        <v>8.8448009999999905E-4</v>
      </c>
      <c r="AA3772">
        <v>0.99745269999999997</v>
      </c>
      <c r="AB3772">
        <v>46</v>
      </c>
      <c r="AC3772">
        <v>-65.535499999999999</v>
      </c>
      <c r="AD3772">
        <v>-1.1199756237080001</v>
      </c>
      <c r="AE3772">
        <v>4.7973999999999997</v>
      </c>
      <c r="AF3772">
        <v>4.7194840938385898</v>
      </c>
      <c r="AG3772">
        <v>-1.1199756237080001</v>
      </c>
      <c r="AH3772">
        <v>65.522024379846002</v>
      </c>
      <c r="AI3772">
        <v>90.976738120255305</v>
      </c>
      <c r="AJ3772">
        <v>85.880158857111297</v>
      </c>
      <c r="AK3772">
        <v>65.701320796029904</v>
      </c>
      <c r="AL3772">
        <v>78.328499079906095</v>
      </c>
      <c r="AM3772">
        <v>84.444829181171698</v>
      </c>
      <c r="AN3772">
        <v>0.99999998939985701</v>
      </c>
    </row>
    <row r="3773" spans="1:40" x14ac:dyDescent="0.25">
      <c r="A3773" t="str">
        <f>"20190303171052425"</f>
        <v>20190303171052425</v>
      </c>
      <c r="B3773" t="str">
        <f>"1551604252414547"</f>
        <v>1551604252414547</v>
      </c>
      <c r="C3773" t="s">
        <v>40</v>
      </c>
      <c r="D3773">
        <v>5.1340250000000003</v>
      </c>
      <c r="E3773">
        <v>0.49633379999999999</v>
      </c>
      <c r="F3773" t="s">
        <v>42</v>
      </c>
      <c r="G3773">
        <v>-355.20330000000001</v>
      </c>
      <c r="H3773" s="1">
        <v>-3.6923129999999999E-6</v>
      </c>
      <c r="I3773">
        <v>146.30789999999999</v>
      </c>
      <c r="J3773">
        <v>-290.34500000000003</v>
      </c>
      <c r="K3773">
        <v>1.1199809999999999</v>
      </c>
      <c r="L3773">
        <v>141.60560000000001</v>
      </c>
      <c r="M3773">
        <v>-0.99996580000000002</v>
      </c>
      <c r="N3773">
        <v>-8.1835759999999997E-3</v>
      </c>
      <c r="O3773">
        <v>1.1668710000000001E-3</v>
      </c>
      <c r="P3773">
        <v>-0.97602339999999999</v>
      </c>
      <c r="Q3773">
        <v>0.1954544</v>
      </c>
      <c r="R3773">
        <v>9.5791619999999994E-2</v>
      </c>
      <c r="S3773">
        <v>-3.0618289999999999</v>
      </c>
      <c r="T3773">
        <v>-5.2526589999999998E-2</v>
      </c>
      <c r="U3773">
        <v>0.22056580000000001</v>
      </c>
      <c r="V3773">
        <v>9.4658839999999994E-2</v>
      </c>
      <c r="W3773">
        <v>0.20343339999999999</v>
      </c>
      <c r="X3773">
        <v>0.97450219999999999</v>
      </c>
      <c r="Y3773">
        <v>7.0671890000000001E-2</v>
      </c>
      <c r="Z3773">
        <v>8.8450089999999996E-4</v>
      </c>
      <c r="AA3773">
        <v>0.99749920000000003</v>
      </c>
      <c r="AB3773">
        <v>47</v>
      </c>
      <c r="AC3773">
        <v>-64.8582999999999</v>
      </c>
      <c r="AD3773">
        <v>-1.1199846923129999</v>
      </c>
      <c r="AE3773">
        <v>4.7022999999999797</v>
      </c>
      <c r="AF3773">
        <v>4.6252410034492604</v>
      </c>
      <c r="AG3773">
        <v>-1.1199846923129999</v>
      </c>
      <c r="AH3773">
        <v>64.844508126957393</v>
      </c>
      <c r="AI3773">
        <v>90.986998689642405</v>
      </c>
      <c r="AJ3773">
        <v>85.920105843155198</v>
      </c>
      <c r="AK3773">
        <v>65.018900746460304</v>
      </c>
      <c r="AL3773">
        <v>78.262192765809402</v>
      </c>
      <c r="AM3773">
        <v>84.451946549083104</v>
      </c>
      <c r="AN3773">
        <v>0.99999999101527204</v>
      </c>
    </row>
    <row r="3774" spans="1:40" x14ac:dyDescent="0.25">
      <c r="A3774" t="str">
        <f>"20190303171052448"</f>
        <v>20190303171052448</v>
      </c>
      <c r="B3774" t="str">
        <f>"1551604252434066"</f>
        <v>1551604252434066</v>
      </c>
      <c r="C3774" t="s">
        <v>40</v>
      </c>
      <c r="D3774">
        <v>5.141006</v>
      </c>
      <c r="E3774">
        <v>0.4963378</v>
      </c>
      <c r="F3774" t="s">
        <v>42</v>
      </c>
      <c r="G3774">
        <v>-359.28289999999998</v>
      </c>
      <c r="H3774" s="1">
        <v>-2.1400440000000002E-6</v>
      </c>
      <c r="I3774">
        <v>146.56960000000001</v>
      </c>
      <c r="J3774">
        <v>-290.82279999999997</v>
      </c>
      <c r="K3774">
        <v>1.119985</v>
      </c>
      <c r="L3774">
        <v>141.6061</v>
      </c>
      <c r="M3774">
        <v>-0.9999654</v>
      </c>
      <c r="N3774">
        <v>-8.243673E-3</v>
      </c>
      <c r="O3774">
        <v>1.1657950000000001E-3</v>
      </c>
      <c r="P3774">
        <v>-0.97583509999999996</v>
      </c>
      <c r="Q3774">
        <v>0.19624730000000001</v>
      </c>
      <c r="R3774">
        <v>9.6089110000000005E-2</v>
      </c>
      <c r="S3774">
        <v>-3.0620120000000002</v>
      </c>
      <c r="T3774">
        <v>-4.9746270000000002E-2</v>
      </c>
      <c r="U3774">
        <v>0.2204895</v>
      </c>
      <c r="V3774">
        <v>9.4958009999999995E-2</v>
      </c>
      <c r="W3774">
        <v>0.20428299999999999</v>
      </c>
      <c r="X3774">
        <v>0.97429540000000003</v>
      </c>
      <c r="Y3774">
        <v>7.0645239999999998E-2</v>
      </c>
      <c r="Z3774">
        <v>8.5536379999999999E-4</v>
      </c>
      <c r="AA3774">
        <v>0.99750110000000003</v>
      </c>
      <c r="AB3774">
        <v>47</v>
      </c>
      <c r="AC3774">
        <v>-68.460099999999997</v>
      </c>
      <c r="AD3774">
        <v>-1.119987140044</v>
      </c>
      <c r="AE3774">
        <v>4.9635000000000096</v>
      </c>
      <c r="AF3774">
        <v>4.8823835891109102</v>
      </c>
      <c r="AG3774">
        <v>-1.119987140044</v>
      </c>
      <c r="AH3774">
        <v>68.447616568429197</v>
      </c>
      <c r="AI3774">
        <v>90.935054093951194</v>
      </c>
      <c r="AJ3774">
        <v>85.919989742293694</v>
      </c>
      <c r="AK3774">
        <v>68.630665555593893</v>
      </c>
      <c r="AL3774">
        <v>78.212470785536993</v>
      </c>
      <c r="AM3774">
        <v>84.433347914099102</v>
      </c>
      <c r="AN3774">
        <v>1.0000000471066499</v>
      </c>
    </row>
    <row r="3775" spans="1:40" x14ac:dyDescent="0.25">
      <c r="A3775" t="str">
        <f>"20190303171052471"</f>
        <v>20190303171052471</v>
      </c>
      <c r="B3775" t="str">
        <f>"1551604252464322"</f>
        <v>1551604252464322</v>
      </c>
      <c r="C3775" t="s">
        <v>40</v>
      </c>
      <c r="D3775">
        <v>5.1409539999999998</v>
      </c>
      <c r="E3775">
        <v>0.49634699999999998</v>
      </c>
      <c r="F3775" t="s">
        <v>42</v>
      </c>
      <c r="G3775">
        <v>-362.97300000000001</v>
      </c>
      <c r="H3775" s="1">
        <v>-4.5428330000000002E-6</v>
      </c>
      <c r="I3775">
        <v>146.82399999999899</v>
      </c>
      <c r="J3775">
        <v>-291.2987</v>
      </c>
      <c r="K3775">
        <v>1.1199920000000001</v>
      </c>
      <c r="L3775">
        <v>141.60669999999999</v>
      </c>
      <c r="M3775">
        <v>-0.99996479999999999</v>
      </c>
      <c r="N3775">
        <v>-8.3082520000000003E-3</v>
      </c>
      <c r="O3775">
        <v>1.164698E-3</v>
      </c>
      <c r="P3775">
        <v>-0.97589329999999996</v>
      </c>
      <c r="Q3775">
        <v>0.1957209</v>
      </c>
      <c r="R3775">
        <v>9.6571009999999999E-2</v>
      </c>
      <c r="S3775">
        <v>-3.0620419999999999</v>
      </c>
      <c r="T3775">
        <v>-4.7532199999999997E-2</v>
      </c>
      <c r="U3775">
        <v>0.2214508</v>
      </c>
      <c r="V3775">
        <v>9.5441150000000002E-2</v>
      </c>
      <c r="W3775">
        <v>0.20382</v>
      </c>
      <c r="X3775">
        <v>0.97434509999999996</v>
      </c>
      <c r="Y3775">
        <v>7.0958090000000001E-2</v>
      </c>
      <c r="Z3775">
        <v>8.3678589999999905E-4</v>
      </c>
      <c r="AA3775">
        <v>0.997479</v>
      </c>
      <c r="AB3775">
        <v>47</v>
      </c>
      <c r="AC3775">
        <v>-71.674300000000002</v>
      </c>
      <c r="AD3775">
        <v>-1.1199965428329901</v>
      </c>
      <c r="AE3775">
        <v>5.2172999999999901</v>
      </c>
      <c r="AF3775">
        <v>5.1325680109086296</v>
      </c>
      <c r="AG3775">
        <v>-1.1199965428329901</v>
      </c>
      <c r="AH3775">
        <v>71.662921895685798</v>
      </c>
      <c r="AI3775">
        <v>90.893096945546304</v>
      </c>
      <c r="AJ3775">
        <v>85.903415676264004</v>
      </c>
      <c r="AK3775">
        <v>71.8552156859175</v>
      </c>
      <c r="AL3775">
        <v>78.239568185191402</v>
      </c>
      <c r="AM3775">
        <v>84.405487979198</v>
      </c>
      <c r="AN3775">
        <v>0.99999998970366599</v>
      </c>
    </row>
    <row r="3776" spans="1:40" x14ac:dyDescent="0.25">
      <c r="A3776" t="str">
        <f>"20190303171052493"</f>
        <v>20190303171052493</v>
      </c>
      <c r="B3776" t="str">
        <f>"1551604252484819"</f>
        <v>1551604252484819</v>
      </c>
      <c r="C3776" t="s">
        <v>40</v>
      </c>
      <c r="D3776">
        <v>5.0876650000000003</v>
      </c>
      <c r="E3776">
        <v>0.49633549999999899</v>
      </c>
      <c r="F3776" t="s">
        <v>42</v>
      </c>
      <c r="G3776">
        <v>-359.96769999999998</v>
      </c>
      <c r="H3776" s="1">
        <v>-5.5262809999999996E-6</v>
      </c>
      <c r="I3776">
        <v>146.6026</v>
      </c>
      <c r="J3776">
        <v>-291.77249999999998</v>
      </c>
      <c r="K3776">
        <v>1.1200019999999999</v>
      </c>
      <c r="L3776">
        <v>141.60720000000001</v>
      </c>
      <c r="M3776">
        <v>-0.99996419999999997</v>
      </c>
      <c r="N3776">
        <v>-8.3797809999999993E-3</v>
      </c>
      <c r="O3776">
        <v>1.163688E-3</v>
      </c>
      <c r="P3776">
        <v>-0.97597739999999999</v>
      </c>
      <c r="Q3776">
        <v>0.19532359999999999</v>
      </c>
      <c r="R3776">
        <v>9.6524520000000003E-2</v>
      </c>
      <c r="S3776">
        <v>-3.0620729999999998</v>
      </c>
      <c r="T3776">
        <v>-4.9942729999999998E-2</v>
      </c>
      <c r="U3776">
        <v>0.22277830000000001</v>
      </c>
      <c r="V3776">
        <v>9.5395530000000006E-2</v>
      </c>
      <c r="W3776">
        <v>0.20349320000000001</v>
      </c>
      <c r="X3776">
        <v>0.97441789999999995</v>
      </c>
      <c r="Y3776">
        <v>7.1387329999999999E-2</v>
      </c>
      <c r="Z3776">
        <v>8.7168100000000002E-4</v>
      </c>
      <c r="AA3776">
        <v>0.99744829999999995</v>
      </c>
      <c r="AB3776">
        <v>47</v>
      </c>
      <c r="AC3776">
        <v>-68.1952</v>
      </c>
      <c r="AD3776">
        <v>-1.1200075262810001</v>
      </c>
      <c r="AE3776">
        <v>4.9953999999999796</v>
      </c>
      <c r="AF3776">
        <v>4.9147173074160904</v>
      </c>
      <c r="AG3776">
        <v>-1.1200075262810001</v>
      </c>
      <c r="AH3776">
        <v>68.182674145012598</v>
      </c>
      <c r="AI3776">
        <v>90.938653628764499</v>
      </c>
      <c r="AJ3776">
        <v>85.877158211087902</v>
      </c>
      <c r="AK3776">
        <v>68.368749561738497</v>
      </c>
      <c r="AL3776">
        <v>78.258693583928107</v>
      </c>
      <c r="AM3776">
        <v>84.408560279563304</v>
      </c>
      <c r="AN3776">
        <v>1.00000001671531</v>
      </c>
    </row>
    <row r="3777" spans="1:40" x14ac:dyDescent="0.25">
      <c r="A3777" t="str">
        <f>"20190303171052515"</f>
        <v>20190303171052515</v>
      </c>
      <c r="B3777" t="str">
        <f>"1551604252504339"</f>
        <v>1551604252504339</v>
      </c>
      <c r="C3777" t="s">
        <v>40</v>
      </c>
      <c r="D3777">
        <v>5.0880330000000002</v>
      </c>
      <c r="E3777">
        <v>0.49635459999999898</v>
      </c>
      <c r="F3777" t="s">
        <v>42</v>
      </c>
      <c r="G3777">
        <v>-358.61669999999998</v>
      </c>
      <c r="H3777" s="1">
        <v>-2.397233E-6</v>
      </c>
      <c r="I3777">
        <v>146.46190000000001</v>
      </c>
      <c r="J3777">
        <v>-292.22160000000002</v>
      </c>
      <c r="K3777">
        <v>1.1200129999999999</v>
      </c>
      <c r="L3777">
        <v>141.6078</v>
      </c>
      <c r="M3777">
        <v>-0.99996370000000001</v>
      </c>
      <c r="N3777">
        <v>-8.4512890000000007E-3</v>
      </c>
      <c r="O3777">
        <v>1.162735E-3</v>
      </c>
      <c r="P3777">
        <v>-0.97591030000000001</v>
      </c>
      <c r="Q3777">
        <v>0.19558970000000001</v>
      </c>
      <c r="R3777">
        <v>9.6664819999999999E-2</v>
      </c>
      <c r="S3777">
        <v>-3.062103</v>
      </c>
      <c r="T3777">
        <v>-5.1306959999999999E-2</v>
      </c>
      <c r="U3777">
        <v>0.22239690000000001</v>
      </c>
      <c r="V3777">
        <v>9.5536999999999997E-2</v>
      </c>
      <c r="W3777">
        <v>0.20382790000000001</v>
      </c>
      <c r="X3777">
        <v>0.97433409999999998</v>
      </c>
      <c r="Y3777">
        <v>7.1263270000000004E-2</v>
      </c>
      <c r="Z3777">
        <v>8.8812259999999997E-4</v>
      </c>
      <c r="AA3777">
        <v>0.99745709999999999</v>
      </c>
      <c r="AB3777">
        <v>47</v>
      </c>
      <c r="AC3777">
        <v>-66.3950999999999</v>
      </c>
      <c r="AD3777">
        <v>-1.120015397233</v>
      </c>
      <c r="AE3777">
        <v>4.8541000000000096</v>
      </c>
      <c r="AF3777">
        <v>4.7755423516680597</v>
      </c>
      <c r="AG3777">
        <v>-1.120015397233</v>
      </c>
      <c r="AH3777">
        <v>66.381910049973598</v>
      </c>
      <c r="AI3777">
        <v>90.9641285790306</v>
      </c>
      <c r="AJ3777">
        <v>85.885206506044497</v>
      </c>
      <c r="AK3777">
        <v>66.562889218583294</v>
      </c>
      <c r="AL3777">
        <v>78.239106380843793</v>
      </c>
      <c r="AM3777">
        <v>84.399842376254497</v>
      </c>
      <c r="AN3777">
        <v>1.0000000348050999</v>
      </c>
    </row>
    <row r="3778" spans="1:40" x14ac:dyDescent="0.25">
      <c r="A3778" t="str">
        <f>"20190303171052538"</f>
        <v>20190303171052538</v>
      </c>
      <c r="B3778" t="str">
        <f>"1551604252524835"</f>
        <v>1551604252524835</v>
      </c>
      <c r="C3778" t="s">
        <v>40</v>
      </c>
      <c r="D3778">
        <v>5.0814009999999996</v>
      </c>
      <c r="E3778">
        <v>0.49690220000000002</v>
      </c>
      <c r="F3778" t="s">
        <v>42</v>
      </c>
      <c r="G3778">
        <v>-360.0496</v>
      </c>
      <c r="H3778" s="1">
        <v>-5.4876459999999998E-6</v>
      </c>
      <c r="I3778">
        <v>146.542</v>
      </c>
      <c r="J3778">
        <v>-292.6918</v>
      </c>
      <c r="K3778">
        <v>1.1200270000000001</v>
      </c>
      <c r="L3778">
        <v>141.60830000000001</v>
      </c>
      <c r="M3778">
        <v>-0.99996300000000005</v>
      </c>
      <c r="N3778">
        <v>-8.527359E-3</v>
      </c>
      <c r="O3778">
        <v>1.162057E-3</v>
      </c>
      <c r="P3778">
        <v>-0.97576320000000005</v>
      </c>
      <c r="Q3778">
        <v>0.19628019999999999</v>
      </c>
      <c r="R3778">
        <v>9.6748249999999994E-2</v>
      </c>
      <c r="S3778">
        <v>-3.0621640000000001</v>
      </c>
      <c r="T3778">
        <v>-5.0564409999999997E-2</v>
      </c>
      <c r="U3778">
        <v>0.22276309999999999</v>
      </c>
      <c r="V3778">
        <v>9.5621269999999994E-2</v>
      </c>
      <c r="W3778">
        <v>0.2045911</v>
      </c>
      <c r="X3778">
        <v>0.97416590000000003</v>
      </c>
      <c r="Y3778">
        <v>7.1381459999999994E-2</v>
      </c>
      <c r="Z3778">
        <v>8.8405099999999996E-4</v>
      </c>
      <c r="AA3778">
        <v>0.99744869999999997</v>
      </c>
      <c r="AB3778">
        <v>47</v>
      </c>
      <c r="AC3778">
        <v>-67.357799999999997</v>
      </c>
      <c r="AD3778">
        <v>-1.1200324876459999</v>
      </c>
      <c r="AE3778">
        <v>4.9336999999999804</v>
      </c>
      <c r="AF3778">
        <v>4.8540852596367303</v>
      </c>
      <c r="AG3778">
        <v>-1.1200324876459999</v>
      </c>
      <c r="AH3778">
        <v>67.344966863939803</v>
      </c>
      <c r="AI3778">
        <v>90.950348885759396</v>
      </c>
      <c r="AJ3778">
        <v>85.877368751893101</v>
      </c>
      <c r="AK3778">
        <v>67.528965476944407</v>
      </c>
      <c r="AL3778">
        <v>78.194437390884502</v>
      </c>
      <c r="AM3778">
        <v>84.393972496343807</v>
      </c>
      <c r="AN3778">
        <v>1.00000007309921</v>
      </c>
    </row>
    <row r="3779" spans="1:40" x14ac:dyDescent="0.25">
      <c r="A3779" t="str">
        <f>"20190303171052560"</f>
        <v>20190303171052560</v>
      </c>
      <c r="B3779" t="str">
        <f>"1551604252555091"</f>
        <v>1551604252555091</v>
      </c>
      <c r="C3779" t="s">
        <v>40</v>
      </c>
      <c r="D3779">
        <v>5.199776</v>
      </c>
      <c r="E3779">
        <v>0.4973651</v>
      </c>
      <c r="F3779" t="s">
        <v>65</v>
      </c>
      <c r="G3779">
        <v>-511.93459999999999</v>
      </c>
      <c r="H3779">
        <v>28.437819999999999</v>
      </c>
      <c r="I3779">
        <v>160.20580000000001</v>
      </c>
      <c r="J3779">
        <v>-293.16890000000001</v>
      </c>
      <c r="K3779">
        <v>1.1200330000000001</v>
      </c>
      <c r="L3779">
        <v>141.60890000000001</v>
      </c>
      <c r="M3779">
        <v>-0.99996240000000003</v>
      </c>
      <c r="N3779">
        <v>-8.6059259999999999E-3</v>
      </c>
      <c r="O3779">
        <v>1.161247E-3</v>
      </c>
      <c r="P3779">
        <v>-0.97565279999999999</v>
      </c>
      <c r="Q3779">
        <v>0.1964582</v>
      </c>
      <c r="R3779">
        <v>9.7499440000000007E-2</v>
      </c>
      <c r="S3779">
        <v>-2.9749150000000002</v>
      </c>
      <c r="T3779">
        <v>0.37067650000000002</v>
      </c>
      <c r="U3779">
        <v>0.25234990000000002</v>
      </c>
      <c r="V3779">
        <v>9.6373570000000006E-2</v>
      </c>
      <c r="W3779">
        <v>0.204845</v>
      </c>
      <c r="X3779">
        <v>0.97403830000000002</v>
      </c>
      <c r="Y3779">
        <v>8.2784250000000004E-2</v>
      </c>
      <c r="Z3779">
        <v>-4.616579E-3</v>
      </c>
      <c r="AA3779">
        <v>0.99655680000000002</v>
      </c>
      <c r="AB3779">
        <v>47</v>
      </c>
      <c r="AC3779">
        <v>-218.76570000000001</v>
      </c>
      <c r="AD3779">
        <v>27.317786999999999</v>
      </c>
      <c r="AE3779">
        <v>18.596900000000002</v>
      </c>
      <c r="AF3779">
        <v>18.063196565782601</v>
      </c>
      <c r="AG3779">
        <v>27.317786999999999</v>
      </c>
      <c r="AH3779">
        <v>215.451691685984</v>
      </c>
      <c r="AI3779">
        <v>82.798847116348199</v>
      </c>
      <c r="AJ3779">
        <v>85.207602027907001</v>
      </c>
      <c r="AK3779">
        <v>217.926528919963</v>
      </c>
      <c r="AL3779">
        <v>78.179574044557498</v>
      </c>
      <c r="AM3779">
        <v>84.349416000468494</v>
      </c>
      <c r="AN3779">
        <v>0.99999997444321698</v>
      </c>
    </row>
    <row r="3780" spans="1:40" x14ac:dyDescent="0.25">
      <c r="A3780" t="str">
        <f>"20190303171052582"</f>
        <v>20190303171052582</v>
      </c>
      <c r="B3780" t="str">
        <f>"1551604252575116"</f>
        <v>1551604252575116</v>
      </c>
      <c r="C3780" t="s">
        <v>40</v>
      </c>
      <c r="D3780">
        <v>5.0299239999999896</v>
      </c>
      <c r="E3780">
        <v>0.49724160000000001</v>
      </c>
      <c r="F3780" t="s">
        <v>65</v>
      </c>
      <c r="G3780">
        <v>-511.93470000000002</v>
      </c>
      <c r="H3780">
        <v>28.511289999999999</v>
      </c>
      <c r="I3780">
        <v>160.6191</v>
      </c>
      <c r="J3780">
        <v>-293.65410000000003</v>
      </c>
      <c r="K3780">
        <v>1.1200380000000001</v>
      </c>
      <c r="L3780">
        <v>141.6095</v>
      </c>
      <c r="M3780">
        <v>-0.99996169999999995</v>
      </c>
      <c r="N3780">
        <v>-8.6855739999999997E-3</v>
      </c>
      <c r="O3780">
        <v>1.1603690000000001E-3</v>
      </c>
      <c r="P3780">
        <v>-0.97576269999999998</v>
      </c>
      <c r="Q3780">
        <v>0.19591639999999999</v>
      </c>
      <c r="R3780">
        <v>9.7488729999999996E-2</v>
      </c>
      <c r="S3780">
        <v>-2.9740600000000001</v>
      </c>
      <c r="T3780">
        <v>0.37237690000000001</v>
      </c>
      <c r="U3780">
        <v>0.2584381</v>
      </c>
      <c r="V3780">
        <v>9.6363580000000004E-2</v>
      </c>
      <c r="W3780">
        <v>0.20438149999999999</v>
      </c>
      <c r="X3780">
        <v>0.97413669999999997</v>
      </c>
      <c r="Y3780">
        <v>8.4814260000000002E-2</v>
      </c>
      <c r="Z3780">
        <v>-4.754421E-3</v>
      </c>
      <c r="AA3780">
        <v>0.99638550000000004</v>
      </c>
      <c r="AB3780">
        <v>47</v>
      </c>
      <c r="AC3780">
        <v>-218.28059999999999</v>
      </c>
      <c r="AD3780">
        <v>27.391252000000001</v>
      </c>
      <c r="AE3780">
        <v>19.009599999999999</v>
      </c>
      <c r="AF3780">
        <v>18.467673057111401</v>
      </c>
      <c r="AG3780">
        <v>27.391252000000001</v>
      </c>
      <c r="AH3780">
        <v>214.943310714891</v>
      </c>
      <c r="AI3780">
        <v>82.764043886222098</v>
      </c>
      <c r="AJ3780">
        <v>85.089274947061796</v>
      </c>
      <c r="AK3780">
        <v>217.46715258942001</v>
      </c>
      <c r="AL3780">
        <v>78.206705233352295</v>
      </c>
      <c r="AM3780">
        <v>84.350564973885199</v>
      </c>
      <c r="AN3780">
        <v>1.0000000236897699</v>
      </c>
    </row>
    <row r="3781" spans="1:40" x14ac:dyDescent="0.25">
      <c r="A3781" t="str">
        <f>"20190303171052607"</f>
        <v>20190303171052607</v>
      </c>
      <c r="B3781" t="str">
        <f>"1551604252594637"</f>
        <v>1551604252594637</v>
      </c>
      <c r="C3781" t="s">
        <v>40</v>
      </c>
      <c r="D3781">
        <v>5.0282309999999999</v>
      </c>
      <c r="E3781">
        <v>0.49735980000000002</v>
      </c>
      <c r="F3781" t="s">
        <v>65</v>
      </c>
      <c r="G3781">
        <v>-511.93470000000002</v>
      </c>
      <c r="H3781">
        <v>28.527069999999998</v>
      </c>
      <c r="I3781">
        <v>160.50620000000001</v>
      </c>
      <c r="J3781">
        <v>-294.149</v>
      </c>
      <c r="K3781">
        <v>1.120044</v>
      </c>
      <c r="L3781">
        <v>141.61000000000001</v>
      </c>
      <c r="M3781">
        <v>-0.99996099999999999</v>
      </c>
      <c r="N3781">
        <v>-8.7732890000000001E-3</v>
      </c>
      <c r="O3781">
        <v>1.159333E-3</v>
      </c>
      <c r="P3781">
        <v>-0.97586010000000001</v>
      </c>
      <c r="Q3781">
        <v>0.19534489999999999</v>
      </c>
      <c r="R3781">
        <v>9.7662379999999993E-2</v>
      </c>
      <c r="S3781">
        <v>-2.9738159999999998</v>
      </c>
      <c r="T3781">
        <v>0.37338890000000002</v>
      </c>
      <c r="U3781">
        <v>0.25744630000000002</v>
      </c>
      <c r="V3781">
        <v>9.6538200000000005E-2</v>
      </c>
      <c r="W3781">
        <v>0.20389650000000001</v>
      </c>
      <c r="X3781">
        <v>0.974221</v>
      </c>
      <c r="Y3781">
        <v>8.4491810000000001E-2</v>
      </c>
      <c r="Z3781">
        <v>-4.7463499999999999E-3</v>
      </c>
      <c r="AA3781">
        <v>0.99641290000000005</v>
      </c>
      <c r="AB3781">
        <v>47</v>
      </c>
      <c r="AC3781">
        <v>-217.78569999999999</v>
      </c>
      <c r="AD3781">
        <v>27.407025999999998</v>
      </c>
      <c r="AE3781">
        <v>18.8962</v>
      </c>
      <c r="AF3781">
        <v>18.355177738244201</v>
      </c>
      <c r="AG3781">
        <v>27.407025999999998</v>
      </c>
      <c r="AH3781">
        <v>214.436860502408</v>
      </c>
      <c r="AI3781">
        <v>82.742807134211603</v>
      </c>
      <c r="AJ3781">
        <v>85.1075717373012</v>
      </c>
      <c r="AK3781">
        <v>216.95903937401701</v>
      </c>
      <c r="AL3781">
        <v>78.235090945577895</v>
      </c>
      <c r="AM3781">
        <v>84.340880611860797</v>
      </c>
      <c r="AN3781">
        <v>0.99999998180624405</v>
      </c>
    </row>
    <row r="3782" spans="1:40" x14ac:dyDescent="0.25">
      <c r="A3782" t="str">
        <f>"20190303171052629"</f>
        <v>20190303171052629</v>
      </c>
      <c r="B3782" t="str">
        <f>"1551604252615133"</f>
        <v>1551604252615133</v>
      </c>
      <c r="C3782" t="s">
        <v>40</v>
      </c>
      <c r="D3782">
        <v>5.0296320000000003</v>
      </c>
      <c r="E3782">
        <v>0.49767339999999999</v>
      </c>
      <c r="F3782" t="s">
        <v>65</v>
      </c>
      <c r="G3782">
        <v>-511.93459999999999</v>
      </c>
      <c r="H3782">
        <v>28.271660000000001</v>
      </c>
      <c r="I3782">
        <v>160.56610000000001</v>
      </c>
      <c r="J3782">
        <v>-294.62279999999998</v>
      </c>
      <c r="K3782">
        <v>1.1200589999999999</v>
      </c>
      <c r="L3782">
        <v>141.61060000000001</v>
      </c>
      <c r="M3782">
        <v>-0.99995999999999996</v>
      </c>
      <c r="N3782">
        <v>-8.8699199999999999E-3</v>
      </c>
      <c r="O3782">
        <v>1.1585510000000001E-3</v>
      </c>
      <c r="P3782">
        <v>-0.97593969999999997</v>
      </c>
      <c r="Q3782">
        <v>0.1948454</v>
      </c>
      <c r="R3782">
        <v>9.7863699999999998E-2</v>
      </c>
      <c r="S3782">
        <v>-2.974091</v>
      </c>
      <c r="T3782">
        <v>0.370784</v>
      </c>
      <c r="U3782">
        <v>0.25886540000000002</v>
      </c>
      <c r="V3782">
        <v>9.6740350000000003E-2</v>
      </c>
      <c r="W3782">
        <v>0.2034918</v>
      </c>
      <c r="X3782">
        <v>0.97428559999999997</v>
      </c>
      <c r="Y3782">
        <v>8.496252E-2</v>
      </c>
      <c r="Z3782">
        <v>-4.7332499999999996E-3</v>
      </c>
      <c r="AA3782">
        <v>0.99637290000000001</v>
      </c>
      <c r="AB3782">
        <v>47</v>
      </c>
      <c r="AC3782">
        <v>-217.31180000000001</v>
      </c>
      <c r="AD3782">
        <v>27.151600999999999</v>
      </c>
      <c r="AE3782">
        <v>18.955500000000001</v>
      </c>
      <c r="AF3782">
        <v>18.418357011896902</v>
      </c>
      <c r="AG3782">
        <v>27.151600999999999</v>
      </c>
      <c r="AH3782">
        <v>214.017860963602</v>
      </c>
      <c r="AI3782">
        <v>82.796082653200898</v>
      </c>
      <c r="AJ3782">
        <v>85.081249964671102</v>
      </c>
      <c r="AK3782">
        <v>216.518105763275</v>
      </c>
      <c r="AL3782">
        <v>78.258775541551799</v>
      </c>
      <c r="AM3782">
        <v>84.329481191350894</v>
      </c>
      <c r="AN3782">
        <v>1.0000000191763601</v>
      </c>
    </row>
    <row r="3783" spans="1:40" x14ac:dyDescent="0.25">
      <c r="A3783" t="str">
        <f>"20190303171052650"</f>
        <v>20190303171052650</v>
      </c>
      <c r="B3783" t="str">
        <f>"1551604252644413"</f>
        <v>1551604252644413</v>
      </c>
      <c r="C3783" t="s">
        <v>40</v>
      </c>
      <c r="D3783">
        <v>5.1417250000000001</v>
      </c>
      <c r="E3783">
        <v>0.4977647</v>
      </c>
      <c r="F3783" t="s">
        <v>65</v>
      </c>
      <c r="G3783">
        <v>-511.93450000000001</v>
      </c>
      <c r="H3783">
        <v>28.178909999999998</v>
      </c>
      <c r="I3783">
        <v>160.75720000000001</v>
      </c>
      <c r="J3783">
        <v>-295.06700000000001</v>
      </c>
      <c r="K3783">
        <v>1.120074</v>
      </c>
      <c r="L3783">
        <v>141.61109999999999</v>
      </c>
      <c r="M3783">
        <v>-0.99995909999999999</v>
      </c>
      <c r="N3783">
        <v>-8.9789559999999997E-3</v>
      </c>
      <c r="O3783">
        <v>1.1577689999999999E-3</v>
      </c>
      <c r="P3783">
        <v>-0.97589859999999995</v>
      </c>
      <c r="Q3783">
        <v>0.19509180000000001</v>
      </c>
      <c r="R3783">
        <v>9.7781199999999999E-2</v>
      </c>
      <c r="S3783">
        <v>-2.9737550000000001</v>
      </c>
      <c r="T3783">
        <v>0.37028119999999998</v>
      </c>
      <c r="U3783">
        <v>0.26200869999999998</v>
      </c>
      <c r="V3783">
        <v>9.6658480000000005E-2</v>
      </c>
      <c r="W3783">
        <v>0.2038442</v>
      </c>
      <c r="X3783">
        <v>0.97421999999999997</v>
      </c>
      <c r="Y3783">
        <v>8.6012859999999997E-2</v>
      </c>
      <c r="Z3783">
        <v>-4.7822759999999898E-3</v>
      </c>
      <c r="AA3783">
        <v>0.99628260000000002</v>
      </c>
      <c r="AB3783">
        <v>47</v>
      </c>
      <c r="AC3783">
        <v>-216.86750000000001</v>
      </c>
      <c r="AD3783">
        <v>27.058835999999999</v>
      </c>
      <c r="AE3783">
        <v>19.146100000000001</v>
      </c>
      <c r="AF3783">
        <v>18.607554911927501</v>
      </c>
      <c r="AG3783">
        <v>27.058835999999999</v>
      </c>
      <c r="AH3783">
        <v>213.590095259566</v>
      </c>
      <c r="AI3783">
        <v>82.806857006344501</v>
      </c>
      <c r="AJ3783">
        <v>85.021073351512101</v>
      </c>
      <c r="AK3783">
        <v>216.09986232866001</v>
      </c>
      <c r="AL3783">
        <v>78.238151587020795</v>
      </c>
      <c r="AM3783">
        <v>84.333869809986695</v>
      </c>
      <c r="AN3783">
        <v>0.99999996401477398</v>
      </c>
    </row>
    <row r="3784" spans="1:40" x14ac:dyDescent="0.25">
      <c r="A3784" t="str">
        <f>"20190303171052673"</f>
        <v>20190303171052673</v>
      </c>
      <c r="B3784" t="str">
        <f>"1551604252664440"</f>
        <v>1551604252664440</v>
      </c>
      <c r="C3784" t="s">
        <v>40</v>
      </c>
      <c r="D3784">
        <v>4.9718580000000001</v>
      </c>
      <c r="E3784">
        <v>0.49801489999999998</v>
      </c>
      <c r="F3784" t="s">
        <v>65</v>
      </c>
      <c r="G3784">
        <v>-511.93459999999999</v>
      </c>
      <c r="H3784">
        <v>28.261330000000001</v>
      </c>
      <c r="I3784">
        <v>160.7542</v>
      </c>
      <c r="J3784">
        <v>-295.55259999999998</v>
      </c>
      <c r="K3784">
        <v>1.1201000000000001</v>
      </c>
      <c r="L3784">
        <v>141.61170000000001</v>
      </c>
      <c r="M3784">
        <v>-0.99995789999999996</v>
      </c>
      <c r="N3784">
        <v>-9.1202760000000001E-3</v>
      </c>
      <c r="O3784">
        <v>1.156774E-3</v>
      </c>
      <c r="P3784">
        <v>-0.97580919999999904</v>
      </c>
      <c r="Q3784">
        <v>0.1953896</v>
      </c>
      <c r="R3784">
        <v>9.8080050000000002E-2</v>
      </c>
      <c r="S3784">
        <v>-2.9734189999999998</v>
      </c>
      <c r="T3784">
        <v>0.3721274</v>
      </c>
      <c r="U3784">
        <v>0.26246639999999999</v>
      </c>
      <c r="V3784">
        <v>9.6958440000000007E-2</v>
      </c>
      <c r="W3784">
        <v>0.2042784</v>
      </c>
      <c r="X3784">
        <v>0.9740993</v>
      </c>
      <c r="Y3784">
        <v>8.6169170000000003E-2</v>
      </c>
      <c r="Z3784">
        <v>-4.8113080000000003E-3</v>
      </c>
      <c r="AA3784">
        <v>0.99626890000000001</v>
      </c>
      <c r="AB3784">
        <v>47</v>
      </c>
      <c r="AC3784">
        <v>-216.38200000000001</v>
      </c>
      <c r="AD3784">
        <v>27.14123</v>
      </c>
      <c r="AE3784">
        <v>19.142499999999899</v>
      </c>
      <c r="AF3784">
        <v>18.601779114731102</v>
      </c>
      <c r="AG3784">
        <v>27.14123</v>
      </c>
      <c r="AH3784">
        <v>213.07764163174801</v>
      </c>
      <c r="AI3784">
        <v>82.768129154100507</v>
      </c>
      <c r="AJ3784">
        <v>85.010700734968594</v>
      </c>
      <c r="AK3784">
        <v>215.60323261837601</v>
      </c>
      <c r="AL3784">
        <v>78.212739759717394</v>
      </c>
      <c r="AM3784">
        <v>84.315701431887106</v>
      </c>
      <c r="AN3784">
        <v>1.0000000250271399</v>
      </c>
    </row>
    <row r="3785" spans="1:40" x14ac:dyDescent="0.25">
      <c r="A3785" t="str">
        <f>"20190303171052695"</f>
        <v>20190303171052695</v>
      </c>
      <c r="B3785" t="str">
        <f>"1551604252684935"</f>
        <v>1551604252684935</v>
      </c>
      <c r="C3785" t="s">
        <v>40</v>
      </c>
      <c r="D3785">
        <v>5.14161</v>
      </c>
      <c r="E3785">
        <v>0.49846230000000002</v>
      </c>
      <c r="F3785" t="s">
        <v>42</v>
      </c>
      <c r="G3785">
        <v>-372.38319999999999</v>
      </c>
      <c r="H3785" s="1">
        <v>-4.8875390000000002E-6</v>
      </c>
      <c r="I3785">
        <v>147.63579999999999</v>
      </c>
      <c r="J3785">
        <v>-296.01889999999997</v>
      </c>
      <c r="K3785">
        <v>1.120115</v>
      </c>
      <c r="L3785">
        <v>141.6122</v>
      </c>
      <c r="M3785">
        <v>-0.99995639999999997</v>
      </c>
      <c r="N3785">
        <v>-9.2749579999999998E-3</v>
      </c>
      <c r="O3785">
        <v>1.156065E-3</v>
      </c>
      <c r="P3785">
        <v>-0.97578969999999998</v>
      </c>
      <c r="Q3785">
        <v>0.1953088</v>
      </c>
      <c r="R3785">
        <v>9.8435010000000003E-2</v>
      </c>
      <c r="S3785">
        <v>-3.0592039999999998</v>
      </c>
      <c r="T3785">
        <v>-4.4599769999999997E-2</v>
      </c>
      <c r="U3785">
        <v>0.2398682</v>
      </c>
      <c r="V3785">
        <v>9.7314200000000003E-2</v>
      </c>
      <c r="W3785">
        <v>0.20434840000000001</v>
      </c>
      <c r="X3785">
        <v>0.97404919999999995</v>
      </c>
      <c r="Y3785">
        <v>7.7002829999999994E-2</v>
      </c>
      <c r="Z3785">
        <v>9.119814E-4</v>
      </c>
      <c r="AA3785">
        <v>0.99703039999999998</v>
      </c>
      <c r="AB3785">
        <v>47</v>
      </c>
      <c r="AC3785">
        <v>-76.3643</v>
      </c>
      <c r="AD3785">
        <v>-1.1201198875389999</v>
      </c>
      <c r="AE3785">
        <v>6.0235999999999796</v>
      </c>
      <c r="AF3785">
        <v>5.9340412550882498</v>
      </c>
      <c r="AG3785">
        <v>-1.1201198875389999</v>
      </c>
      <c r="AH3785">
        <v>76.354886505774104</v>
      </c>
      <c r="AI3785">
        <v>90.837937726989693</v>
      </c>
      <c r="AJ3785">
        <v>85.556100002252094</v>
      </c>
      <c r="AK3785">
        <v>76.593316989729502</v>
      </c>
      <c r="AL3785">
        <v>78.208643322580002</v>
      </c>
      <c r="AM3785">
        <v>84.294690431821607</v>
      </c>
      <c r="AN3785">
        <v>1.0000000830624101</v>
      </c>
    </row>
    <row r="3786" spans="1:40" x14ac:dyDescent="0.25">
      <c r="A3786" t="str">
        <f>"20190303171052717"</f>
        <v>20190303171052717</v>
      </c>
      <c r="B3786" t="str">
        <f>"1551604252704456"</f>
        <v>1551604252704456</v>
      </c>
      <c r="C3786" t="s">
        <v>40</v>
      </c>
      <c r="D3786">
        <v>4.9177770000000001</v>
      </c>
      <c r="E3786">
        <v>0.49941619999999998</v>
      </c>
      <c r="F3786" t="s">
        <v>42</v>
      </c>
      <c r="G3786">
        <v>-381.50450000000001</v>
      </c>
      <c r="H3786" s="1">
        <v>-5.3306789999999997E-6</v>
      </c>
      <c r="I3786">
        <v>148.44810000000001</v>
      </c>
      <c r="J3786">
        <v>-296.47309999999999</v>
      </c>
      <c r="K3786">
        <v>1.1201399999999999</v>
      </c>
      <c r="L3786">
        <v>141.61269999999999</v>
      </c>
      <c r="M3786">
        <v>-0.99995489999999998</v>
      </c>
      <c r="N3786">
        <v>-9.4334180000000007E-3</v>
      </c>
      <c r="O3786">
        <v>1.155325E-3</v>
      </c>
      <c r="P3786">
        <v>-0.97587749999999995</v>
      </c>
      <c r="Q3786">
        <v>0.19476570000000001</v>
      </c>
      <c r="R3786">
        <v>9.8638119999999996E-2</v>
      </c>
      <c r="S3786">
        <v>-3.0577999999999999</v>
      </c>
      <c r="T3786">
        <v>-4.0066480000000002E-2</v>
      </c>
      <c r="U3786">
        <v>0.24452209999999999</v>
      </c>
      <c r="V3786">
        <v>9.7517770000000004E-2</v>
      </c>
      <c r="W3786">
        <v>0.20396049999999999</v>
      </c>
      <c r="X3786">
        <v>0.97411009999999998</v>
      </c>
      <c r="Y3786">
        <v>7.854891E-2</v>
      </c>
      <c r="Z3786">
        <v>8.8065929999999902E-4</v>
      </c>
      <c r="AA3786">
        <v>0.99690990000000002</v>
      </c>
      <c r="AB3786">
        <v>47</v>
      </c>
      <c r="AC3786">
        <v>-85.031400000000005</v>
      </c>
      <c r="AD3786">
        <v>-1.1201453306789999</v>
      </c>
      <c r="AE3786">
        <v>6.8354000000000203</v>
      </c>
      <c r="AF3786">
        <v>6.7359907372971204</v>
      </c>
      <c r="AG3786">
        <v>-1.1201453306789999</v>
      </c>
      <c r="AH3786">
        <v>85.024580596796099</v>
      </c>
      <c r="AI3786">
        <v>90.752434820771796</v>
      </c>
      <c r="AJ3786">
        <v>85.470257984558998</v>
      </c>
      <c r="AK3786">
        <v>85.298344664101606</v>
      </c>
      <c r="AL3786">
        <v>78.231346045995295</v>
      </c>
      <c r="AM3786">
        <v>84.283189630651194</v>
      </c>
      <c r="AN3786">
        <v>1.00000004397401</v>
      </c>
    </row>
    <row r="3787" spans="1:40" x14ac:dyDescent="0.25">
      <c r="A3787" t="str">
        <f>"20190303171052739"</f>
        <v>20190303171052739</v>
      </c>
      <c r="B3787" t="str">
        <f>"1551604252734712"</f>
        <v>1551604252734712</v>
      </c>
      <c r="C3787" t="s">
        <v>40</v>
      </c>
      <c r="D3787">
        <v>5.1320240000000004</v>
      </c>
      <c r="E3787">
        <v>0.49991390000000002</v>
      </c>
      <c r="F3787" t="s">
        <v>65</v>
      </c>
      <c r="G3787">
        <v>-511.9348</v>
      </c>
      <c r="H3787">
        <v>28.933900000000001</v>
      </c>
      <c r="I3787">
        <v>161.85839999999999</v>
      </c>
      <c r="J3787">
        <v>-296.95119999999997</v>
      </c>
      <c r="K3787">
        <v>1.120161</v>
      </c>
      <c r="L3787">
        <v>141.61330000000001</v>
      </c>
      <c r="M3787">
        <v>-0.99995339999999999</v>
      </c>
      <c r="N3787">
        <v>-9.5979519999999999E-3</v>
      </c>
      <c r="O3787">
        <v>1.154902E-3</v>
      </c>
      <c r="P3787">
        <v>-0.97603640000000003</v>
      </c>
      <c r="Q3787">
        <v>0.1941551</v>
      </c>
      <c r="R3787">
        <v>9.8270270000000007E-2</v>
      </c>
      <c r="S3787">
        <v>-2.969452</v>
      </c>
      <c r="T3787">
        <v>0.3833241</v>
      </c>
      <c r="U3787">
        <v>0.2790222</v>
      </c>
      <c r="V3787">
        <v>9.7150329999999993E-2</v>
      </c>
      <c r="W3787">
        <v>0.20351140000000001</v>
      </c>
      <c r="X3787">
        <v>0.97424069999999996</v>
      </c>
      <c r="Y3787">
        <v>9.1715679999999994E-2</v>
      </c>
      <c r="Z3787">
        <v>-5.2805550000000001E-3</v>
      </c>
      <c r="AA3787">
        <v>0.99577119999999997</v>
      </c>
      <c r="AB3787">
        <v>47</v>
      </c>
      <c r="AC3787">
        <v>-214.9836</v>
      </c>
      <c r="AD3787">
        <v>27.813739000000002</v>
      </c>
      <c r="AE3787">
        <v>20.245099999999901</v>
      </c>
      <c r="AF3787">
        <v>19.6704370204003</v>
      </c>
      <c r="AG3787">
        <v>27.813739000000002</v>
      </c>
      <c r="AH3787">
        <v>211.497868395436</v>
      </c>
      <c r="AI3787">
        <v>82.539947907186999</v>
      </c>
      <c r="AJ3787">
        <v>84.6864704516655</v>
      </c>
      <c r="AK3787">
        <v>214.22389807289599</v>
      </c>
      <c r="AL3787">
        <v>78.257628422219099</v>
      </c>
      <c r="AM3787">
        <v>84.305346752632801</v>
      </c>
      <c r="AN3787">
        <v>1.0000000090427701</v>
      </c>
    </row>
    <row r="3788" spans="1:40" x14ac:dyDescent="0.25">
      <c r="A3788" t="str">
        <f>"20190303171052762"</f>
        <v>20190303171052762</v>
      </c>
      <c r="B3788" t="str">
        <f>"1551604252755208"</f>
        <v>1551604252755208</v>
      </c>
      <c r="C3788" t="s">
        <v>40</v>
      </c>
      <c r="D3788">
        <v>5.0325629999999997</v>
      </c>
      <c r="E3788">
        <v>0.50263029999999997</v>
      </c>
      <c r="F3788" t="s">
        <v>42</v>
      </c>
      <c r="G3788">
        <v>-370.5761</v>
      </c>
      <c r="H3788" s="1">
        <v>-5.52727E-6</v>
      </c>
      <c r="I3788">
        <v>147.77539999999999</v>
      </c>
      <c r="J3788">
        <v>-297.42450000000002</v>
      </c>
      <c r="K3788">
        <v>1.12018</v>
      </c>
      <c r="L3788">
        <v>141.6138</v>
      </c>
      <c r="M3788">
        <v>-0.9999519</v>
      </c>
      <c r="N3788">
        <v>-9.7530389999999998E-3</v>
      </c>
      <c r="O3788">
        <v>1.154333E-3</v>
      </c>
      <c r="P3788">
        <v>-0.97603269999999998</v>
      </c>
      <c r="Q3788">
        <v>0.19424640000000001</v>
      </c>
      <c r="R3788">
        <v>9.8126229999999995E-2</v>
      </c>
      <c r="S3788">
        <v>-3.0571290000000002</v>
      </c>
      <c r="T3788">
        <v>-4.651272E-2</v>
      </c>
      <c r="U3788">
        <v>0.25587460000000001</v>
      </c>
      <c r="V3788">
        <v>9.7006780000000001E-2</v>
      </c>
      <c r="W3788">
        <v>0.20375409999999999</v>
      </c>
      <c r="X3788">
        <v>0.97420419999999996</v>
      </c>
      <c r="Y3788">
        <v>8.2240110000000005E-2</v>
      </c>
      <c r="Z3788">
        <v>1.0199950000000001E-3</v>
      </c>
      <c r="AA3788">
        <v>0.99661200000000005</v>
      </c>
      <c r="AB3788">
        <v>47</v>
      </c>
      <c r="AC3788">
        <v>-73.151599999999902</v>
      </c>
      <c r="AD3788">
        <v>-1.1201855272700001</v>
      </c>
      <c r="AE3788">
        <v>6.1615999999999902</v>
      </c>
      <c r="AF3788">
        <v>6.0757358946439703</v>
      </c>
      <c r="AG3788">
        <v>-1.1201855272700001</v>
      </c>
      <c r="AH3788">
        <v>73.141633667002495</v>
      </c>
      <c r="AI3788">
        <v>90.874421801026998</v>
      </c>
      <c r="AJ3788">
        <v>85.251451087392397</v>
      </c>
      <c r="AK3788">
        <v>73.402097774892994</v>
      </c>
      <c r="AL3788">
        <v>78.243424268742402</v>
      </c>
      <c r="AM3788">
        <v>84.313494378856305</v>
      </c>
      <c r="AN3788">
        <v>0.99999993596520698</v>
      </c>
    </row>
    <row r="3789" spans="1:40" x14ac:dyDescent="0.25">
      <c r="A3789" t="str">
        <f>"20190303171052785"</f>
        <v>20190303171052785</v>
      </c>
      <c r="B3789" t="str">
        <f>"1551604252774728"</f>
        <v>1551604252774728</v>
      </c>
      <c r="C3789" t="s">
        <v>40</v>
      </c>
      <c r="D3789">
        <v>5.1277169999999996</v>
      </c>
      <c r="E3789">
        <v>0.51228859999999998</v>
      </c>
      <c r="F3789" t="s">
        <v>65</v>
      </c>
      <c r="G3789">
        <v>-511.93450000000001</v>
      </c>
      <c r="H3789">
        <v>28.171050000000001</v>
      </c>
      <c r="I3789">
        <v>163.4607</v>
      </c>
      <c r="J3789">
        <v>-297.91930000000002</v>
      </c>
      <c r="K3789">
        <v>1.1201950000000001</v>
      </c>
      <c r="L3789">
        <v>141.61439999999999</v>
      </c>
      <c r="M3789">
        <v>-0.99995029999999996</v>
      </c>
      <c r="N3789">
        <v>-9.9101999999999992E-3</v>
      </c>
      <c r="O3789">
        <v>1.1536820000000001E-3</v>
      </c>
      <c r="P3789">
        <v>-0.9759816</v>
      </c>
      <c r="Q3789">
        <v>0.19436129999999999</v>
      </c>
      <c r="R3789">
        <v>9.8406750000000001E-2</v>
      </c>
      <c r="S3789">
        <v>-2.96875</v>
      </c>
      <c r="T3789">
        <v>0.37437559999999998</v>
      </c>
      <c r="U3789">
        <v>0.30235289999999998</v>
      </c>
      <c r="V3789">
        <v>9.7288029999999998E-2</v>
      </c>
      <c r="W3789">
        <v>0.2040216</v>
      </c>
      <c r="X3789">
        <v>0.97412019999999999</v>
      </c>
      <c r="Y3789">
        <v>9.9466239999999997E-2</v>
      </c>
      <c r="Z3789">
        <v>-5.5791390000000003E-3</v>
      </c>
      <c r="AA3789">
        <v>0.9950253</v>
      </c>
      <c r="AB3789">
        <v>47</v>
      </c>
      <c r="AC3789">
        <v>-214.01519999999999</v>
      </c>
      <c r="AD3789">
        <v>27.050854999999999</v>
      </c>
      <c r="AE3789">
        <v>21.846299999999999</v>
      </c>
      <c r="AF3789">
        <v>21.263167037068001</v>
      </c>
      <c r="AG3789">
        <v>27.050854999999999</v>
      </c>
      <c r="AH3789">
        <v>210.70865969087799</v>
      </c>
      <c r="AI3789">
        <v>82.720931938402998</v>
      </c>
      <c r="AJ3789">
        <v>84.237638883479306</v>
      </c>
      <c r="AK3789">
        <v>213.499438634867</v>
      </c>
      <c r="AL3789">
        <v>78.227769186663295</v>
      </c>
      <c r="AM3789">
        <v>84.296627588081705</v>
      </c>
      <c r="AN3789">
        <v>0.99999996904793897</v>
      </c>
    </row>
    <row r="3790" spans="1:40" x14ac:dyDescent="0.25">
      <c r="A3790" t="str">
        <f>"20190303171052807"</f>
        <v>20190303171052807</v>
      </c>
      <c r="B3790" t="str">
        <f>"1551604252794248"</f>
        <v>1551604252794248</v>
      </c>
      <c r="C3790" t="s">
        <v>40</v>
      </c>
      <c r="D3790">
        <v>5.0100720000000001</v>
      </c>
      <c r="E3790">
        <v>0.5174822</v>
      </c>
      <c r="F3790" t="s">
        <v>42</v>
      </c>
      <c r="G3790">
        <v>-361.88639999999998</v>
      </c>
      <c r="H3790" s="1">
        <v>-5.302261E-6</v>
      </c>
      <c r="I3790">
        <v>149.02080000000001</v>
      </c>
      <c r="J3790">
        <v>-298.39620000000002</v>
      </c>
      <c r="K3790">
        <v>1.1202110000000001</v>
      </c>
      <c r="L3790">
        <v>141.61490000000001</v>
      </c>
      <c r="M3790">
        <v>-0.99994870000000002</v>
      </c>
      <c r="N3790">
        <v>-1.005501E-2</v>
      </c>
      <c r="O3790">
        <v>1.15314E-3</v>
      </c>
      <c r="P3790">
        <v>-0.9760373</v>
      </c>
      <c r="Q3790">
        <v>0.1941562</v>
      </c>
      <c r="R3790">
        <v>9.8256259999999998E-2</v>
      </c>
      <c r="S3790">
        <v>-3.0488590000000002</v>
      </c>
      <c r="T3790">
        <v>-5.3392050000000003E-2</v>
      </c>
      <c r="U3790">
        <v>0.353012099999999</v>
      </c>
      <c r="V3790">
        <v>9.7137920000000003E-2</v>
      </c>
      <c r="W3790">
        <v>0.2039581</v>
      </c>
      <c r="X3790">
        <v>0.97414849999999997</v>
      </c>
      <c r="Y3790">
        <v>0.11384379999999999</v>
      </c>
      <c r="Z3790">
        <v>1.5592E-3</v>
      </c>
      <c r="AA3790">
        <v>0.99349739999999997</v>
      </c>
      <c r="AB3790">
        <v>47</v>
      </c>
      <c r="AC3790">
        <v>-63.490199999999902</v>
      </c>
      <c r="AD3790">
        <v>-1.1202163022609899</v>
      </c>
      <c r="AE3790">
        <v>7.4058999999999999</v>
      </c>
      <c r="AF3790">
        <v>7.3304268911300099</v>
      </c>
      <c r="AG3790">
        <v>-1.1202163022609899</v>
      </c>
      <c r="AH3790">
        <v>63.479201941090203</v>
      </c>
      <c r="AI3790">
        <v>91.004319837939704</v>
      </c>
      <c r="AJ3790">
        <v>83.412796880833397</v>
      </c>
      <c r="AK3790">
        <v>63.910868575288298</v>
      </c>
      <c r="AL3790">
        <v>78.231485876781804</v>
      </c>
      <c r="AM3790">
        <v>84.305534037950096</v>
      </c>
      <c r="AN3790">
        <v>0.99999999105489301</v>
      </c>
    </row>
    <row r="3791" spans="1:40" x14ac:dyDescent="0.25">
      <c r="A3791" t="str">
        <f>"20190303171052829"</f>
        <v>20190303171052829</v>
      </c>
      <c r="B3791" t="str">
        <f>"1551604252824504"</f>
        <v>1551604252824504</v>
      </c>
      <c r="C3791" t="s">
        <v>40</v>
      </c>
      <c r="D3791">
        <v>5.0160679999999997</v>
      </c>
      <c r="E3791">
        <v>0.52412530000000002</v>
      </c>
      <c r="F3791" t="s">
        <v>43</v>
      </c>
      <c r="G3791">
        <v>-299.31459999999998</v>
      </c>
      <c r="H3791">
        <v>1.0324549999999999</v>
      </c>
      <c r="I3791">
        <v>141.72739999999999</v>
      </c>
      <c r="J3791">
        <v>-298.84699999999998</v>
      </c>
      <c r="K3791">
        <v>1.1202209999999999</v>
      </c>
      <c r="L3791">
        <v>141.6155</v>
      </c>
      <c r="M3791">
        <v>-0.99994749999999999</v>
      </c>
      <c r="N3791">
        <v>-1.0183930000000001E-2</v>
      </c>
      <c r="O3791">
        <v>1.1524899999999999E-3</v>
      </c>
      <c r="P3791">
        <v>-0.9761978</v>
      </c>
      <c r="Q3791">
        <v>0.19345409999999999</v>
      </c>
      <c r="R3791">
        <v>9.8048140000000006E-2</v>
      </c>
      <c r="S3791">
        <v>-3.0943909999999999</v>
      </c>
      <c r="T3791">
        <v>-0.29569410000000002</v>
      </c>
      <c r="U3791">
        <v>0.37858579999999997</v>
      </c>
      <c r="V3791">
        <v>9.6930219999999997E-2</v>
      </c>
      <c r="W3791">
        <v>0.20338300000000001</v>
      </c>
      <c r="X3791">
        <v>0.97428939999999997</v>
      </c>
      <c r="Y3791">
        <v>0.1197049</v>
      </c>
      <c r="Z3791">
        <v>6.2008619999999997E-3</v>
      </c>
      <c r="AA3791">
        <v>0.99279019999999996</v>
      </c>
      <c r="AB3791">
        <v>47</v>
      </c>
      <c r="AC3791">
        <v>-0.46760000000000401</v>
      </c>
      <c r="AD3791">
        <v>-8.7765999999999997E-2</v>
      </c>
      <c r="AE3791">
        <v>0.11189999999999101</v>
      </c>
      <c r="AF3791">
        <v>0.107769985291985</v>
      </c>
      <c r="AG3791">
        <v>-8.7765999999999997E-2</v>
      </c>
      <c r="AH3791">
        <v>0.45264602294022299</v>
      </c>
      <c r="AI3791">
        <v>100.681798299756</v>
      </c>
      <c r="AJ3791">
        <v>76.607846916896804</v>
      </c>
      <c r="AK3791">
        <v>0.47350360354429799</v>
      </c>
      <c r="AL3791">
        <v>78.265141925191401</v>
      </c>
      <c r="AM3791">
        <v>84.318446556780501</v>
      </c>
      <c r="AN3791">
        <v>0.99999997359530302</v>
      </c>
    </row>
    <row r="3792" spans="1:40" x14ac:dyDescent="0.25">
      <c r="A3792" t="str">
        <f>"20190303171052850"</f>
        <v>20190303171052850</v>
      </c>
      <c r="B3792" t="str">
        <f>"1551604252844999"</f>
        <v>1551604252844999</v>
      </c>
      <c r="C3792" t="s">
        <v>40</v>
      </c>
      <c r="D3792">
        <v>4.930599</v>
      </c>
      <c r="E3792">
        <v>0.525638099999999</v>
      </c>
      <c r="F3792" t="s">
        <v>43</v>
      </c>
      <c r="G3792">
        <v>-299.7285</v>
      </c>
      <c r="H3792">
        <v>1.0093780000000001</v>
      </c>
      <c r="I3792">
        <v>141.7363</v>
      </c>
      <c r="J3792">
        <v>-299.32659999999998</v>
      </c>
      <c r="K3792">
        <v>1.120228</v>
      </c>
      <c r="L3792">
        <v>141.61600000000001</v>
      </c>
      <c r="M3792">
        <v>-0.99994640000000001</v>
      </c>
      <c r="N3792">
        <v>-1.0309779999999999E-2</v>
      </c>
      <c r="O3792">
        <v>1.152026E-3</v>
      </c>
      <c r="P3792">
        <v>-0.97630600000000001</v>
      </c>
      <c r="Q3792">
        <v>0.1927693</v>
      </c>
      <c r="R3792">
        <v>9.8320920000000006E-2</v>
      </c>
      <c r="S3792">
        <v>-3.1078489999999999</v>
      </c>
      <c r="T3792">
        <v>-0.39083400000000001</v>
      </c>
      <c r="U3792">
        <v>0.42549130000000002</v>
      </c>
      <c r="V3792">
        <v>9.7203479999999995E-2</v>
      </c>
      <c r="W3792">
        <v>0.20282169999999999</v>
      </c>
      <c r="X3792">
        <v>0.9743792</v>
      </c>
      <c r="Y3792">
        <v>0.1333915</v>
      </c>
      <c r="Z3792">
        <v>8.8780579999999994E-3</v>
      </c>
      <c r="AA3792">
        <v>0.99102369999999995</v>
      </c>
      <c r="AB3792">
        <v>48</v>
      </c>
      <c r="AC3792">
        <v>-0.40190000000001103</v>
      </c>
      <c r="AD3792">
        <v>-0.110849999999999</v>
      </c>
      <c r="AE3792">
        <v>0.120299999999986</v>
      </c>
      <c r="AF3792">
        <v>0.11201612010301699</v>
      </c>
      <c r="AG3792">
        <v>-0.110849999999999</v>
      </c>
      <c r="AH3792">
        <v>0.37580056841963599</v>
      </c>
      <c r="AI3792">
        <v>105.78452315890399</v>
      </c>
      <c r="AJ3792">
        <v>73.402085620676004</v>
      </c>
      <c r="AK3792">
        <v>0.40750632005829601</v>
      </c>
      <c r="AL3792">
        <v>78.297986830451705</v>
      </c>
      <c r="AM3792">
        <v>84.303056317296097</v>
      </c>
      <c r="AN3792">
        <v>0.99999999195382006</v>
      </c>
    </row>
    <row r="3793" spans="1:40" x14ac:dyDescent="0.25">
      <c r="A3793" t="str">
        <f>"20190303171052873"</f>
        <v>20190303171052873</v>
      </c>
      <c r="B3793" t="str">
        <f>"1551604252864520"</f>
        <v>1551604252864520</v>
      </c>
      <c r="C3793" t="s">
        <v>40</v>
      </c>
      <c r="D3793">
        <v>5.0313119999999998</v>
      </c>
      <c r="E3793">
        <v>0.52752129999999997</v>
      </c>
      <c r="F3793" t="s">
        <v>43</v>
      </c>
      <c r="G3793">
        <v>-300.16109999999998</v>
      </c>
      <c r="H3793">
        <v>1.0247010000000001</v>
      </c>
      <c r="I3793">
        <v>141.73480000000001</v>
      </c>
      <c r="J3793">
        <v>-299.79849999999999</v>
      </c>
      <c r="K3793">
        <v>1.1202379999999901</v>
      </c>
      <c r="L3793">
        <v>141.61660000000001</v>
      </c>
      <c r="M3793">
        <v>-0.99994519999999998</v>
      </c>
      <c r="N3793">
        <v>-1.042094E-2</v>
      </c>
      <c r="O3793">
        <v>1.1514520000000001E-3</v>
      </c>
      <c r="P3793">
        <v>-0.97628749999999997</v>
      </c>
      <c r="Q3793">
        <v>0.19289410000000001</v>
      </c>
      <c r="R3793">
        <v>9.8260399999999998E-2</v>
      </c>
      <c r="S3793">
        <v>-3.0984799999999999</v>
      </c>
      <c r="T3793">
        <v>-0.35475220000000002</v>
      </c>
      <c r="U3793">
        <v>0.4406738</v>
      </c>
      <c r="V3793">
        <v>9.7143569999999999E-2</v>
      </c>
      <c r="W3793">
        <v>0.20305519999999999</v>
      </c>
      <c r="X3793">
        <v>0.9743366</v>
      </c>
      <c r="Y3793">
        <v>0.13870080000000001</v>
      </c>
      <c r="Z3793">
        <v>8.4850080000000005E-3</v>
      </c>
      <c r="AA3793">
        <v>0.99029800000000001</v>
      </c>
      <c r="AB3793">
        <v>48</v>
      </c>
      <c r="AC3793">
        <v>-0.36259999999998599</v>
      </c>
      <c r="AD3793">
        <v>-9.5536999999999705E-2</v>
      </c>
      <c r="AE3793">
        <v>0.118200000000001</v>
      </c>
      <c r="AF3793">
        <v>0.11082769270701499</v>
      </c>
      <c r="AG3793">
        <v>-9.5536999999999705E-2</v>
      </c>
      <c r="AH3793">
        <v>0.34131742382158198</v>
      </c>
      <c r="AI3793">
        <v>104.907721568882</v>
      </c>
      <c r="AJ3793">
        <v>72.0110940346013</v>
      </c>
      <c r="AK3793">
        <v>0.37135923260902198</v>
      </c>
      <c r="AL3793">
        <v>78.284324636999301</v>
      </c>
      <c r="AM3793">
        <v>84.306297179083302</v>
      </c>
      <c r="AN3793">
        <v>1.00000004876947</v>
      </c>
    </row>
    <row r="3794" spans="1:40" x14ac:dyDescent="0.25">
      <c r="A3794" t="str">
        <f>"20190303171052894"</f>
        <v>20190303171052894</v>
      </c>
      <c r="B3794" t="str">
        <f>"1551604252885016"</f>
        <v>1551604252885016</v>
      </c>
      <c r="C3794" t="s">
        <v>40</v>
      </c>
      <c r="D3794">
        <v>5.0354799999999997</v>
      </c>
      <c r="E3794">
        <v>0.52854239999999997</v>
      </c>
      <c r="F3794" t="s">
        <v>43</v>
      </c>
      <c r="G3794">
        <v>-300.58240000000001</v>
      </c>
      <c r="H3794">
        <v>1.0164409999999999</v>
      </c>
      <c r="I3794">
        <v>141.73079999999999</v>
      </c>
      <c r="J3794">
        <v>-300.25259999999997</v>
      </c>
      <c r="K3794">
        <v>1.1202510000000001</v>
      </c>
      <c r="L3794">
        <v>141.61709999999999</v>
      </c>
      <c r="M3794">
        <v>-0.9999441</v>
      </c>
      <c r="N3794">
        <v>-1.0519830000000001E-2</v>
      </c>
      <c r="O3794">
        <v>1.1512919999999999E-3</v>
      </c>
      <c r="P3794">
        <v>-0.97615730000000001</v>
      </c>
      <c r="Q3794">
        <v>0.19369790000000001</v>
      </c>
      <c r="R3794">
        <v>9.7969810000000004E-2</v>
      </c>
      <c r="S3794">
        <v>-3.1086429999999998</v>
      </c>
      <c r="T3794">
        <v>-0.41168670000000002</v>
      </c>
      <c r="U3794">
        <v>0.45242310000000002</v>
      </c>
      <c r="V3794">
        <v>9.6853270000000005E-2</v>
      </c>
      <c r="W3794">
        <v>0.20395389999999999</v>
      </c>
      <c r="X3794">
        <v>0.97417770000000004</v>
      </c>
      <c r="Y3794">
        <v>0.1415797</v>
      </c>
      <c r="Z3794">
        <v>9.8989030000000006E-3</v>
      </c>
      <c r="AA3794">
        <v>0.98987740000000002</v>
      </c>
      <c r="AB3794">
        <v>48</v>
      </c>
      <c r="AC3794">
        <v>-0.32980000000003401</v>
      </c>
      <c r="AD3794">
        <v>-0.10381</v>
      </c>
      <c r="AE3794">
        <v>0.113699999999994</v>
      </c>
      <c r="AF3794">
        <v>0.104101695178054</v>
      </c>
      <c r="AG3794">
        <v>-0.10381</v>
      </c>
      <c r="AH3794">
        <v>0.30309108070805002</v>
      </c>
      <c r="AI3794">
        <v>107.948691066442</v>
      </c>
      <c r="AJ3794">
        <v>71.044109695168501</v>
      </c>
      <c r="AK3794">
        <v>0.33686478332369202</v>
      </c>
      <c r="AL3794">
        <v>78.231731437089294</v>
      </c>
      <c r="AM3794">
        <v>84.322280812530394</v>
      </c>
      <c r="AN3794">
        <v>0.99999997020609599</v>
      </c>
    </row>
    <row r="3795" spans="1:40" x14ac:dyDescent="0.25">
      <c r="A3795" t="str">
        <f>"20190303171052917"</f>
        <v>20190303171052917</v>
      </c>
      <c r="B3795" t="str">
        <f>"1551604252904536"</f>
        <v>1551604252904536</v>
      </c>
      <c r="C3795" t="s">
        <v>40</v>
      </c>
      <c r="D3795">
        <v>5.0103600000000004</v>
      </c>
      <c r="E3795">
        <v>0.52936649999999996</v>
      </c>
      <c r="F3795" t="s">
        <v>43</v>
      </c>
      <c r="G3795">
        <v>-301.00940000000003</v>
      </c>
      <c r="H3795">
        <v>1.019363</v>
      </c>
      <c r="I3795">
        <v>141.72899999999899</v>
      </c>
      <c r="J3795">
        <v>-300.72770000000003</v>
      </c>
      <c r="K3795">
        <v>1.1202639999999999</v>
      </c>
      <c r="L3795">
        <v>141.61760000000001</v>
      </c>
      <c r="M3795">
        <v>-0.99994309999999997</v>
      </c>
      <c r="N3795">
        <v>-1.0619699999999999E-2</v>
      </c>
      <c r="O3795">
        <v>1.1507679999999999E-3</v>
      </c>
      <c r="P3795">
        <v>-0.97614670000000003</v>
      </c>
      <c r="Q3795">
        <v>0.19416890000000001</v>
      </c>
      <c r="R3795">
        <v>9.7142099999999995E-2</v>
      </c>
      <c r="S3795">
        <v>-3.109375</v>
      </c>
      <c r="T3795">
        <v>-0.41457519999999998</v>
      </c>
      <c r="U3795">
        <v>0.45961000000000002</v>
      </c>
      <c r="V3795">
        <v>9.6026360000000005E-2</v>
      </c>
      <c r="W3795">
        <v>0.20452200000000001</v>
      </c>
      <c r="X3795">
        <v>0.97414049999999996</v>
      </c>
      <c r="Y3795">
        <v>0.14374870000000001</v>
      </c>
      <c r="Z3795">
        <v>1.0121109999999999E-2</v>
      </c>
      <c r="AA3795">
        <v>0.98956250000000001</v>
      </c>
      <c r="AB3795">
        <v>48</v>
      </c>
      <c r="AC3795">
        <v>-0.28170000000000001</v>
      </c>
      <c r="AD3795">
        <v>-0.10090099999999901</v>
      </c>
      <c r="AE3795">
        <v>0.11139999999997401</v>
      </c>
      <c r="AF3795">
        <v>9.9982953035089903E-2</v>
      </c>
      <c r="AG3795">
        <v>-0.10090099999999901</v>
      </c>
      <c r="AH3795">
        <v>0.25368274079432601</v>
      </c>
      <c r="AI3795">
        <v>110.306569458456</v>
      </c>
      <c r="AJ3795">
        <v>68.489312979604506</v>
      </c>
      <c r="AK3795">
        <v>0.290744794752267</v>
      </c>
      <c r="AL3795">
        <v>78.198481323173397</v>
      </c>
      <c r="AM3795">
        <v>84.370229512871106</v>
      </c>
      <c r="AN3795">
        <v>1.00000001201954</v>
      </c>
    </row>
    <row r="3796" spans="1:40" x14ac:dyDescent="0.25">
      <c r="A3796" t="str">
        <f>"20190303171052940"</f>
        <v>20190303171052940</v>
      </c>
      <c r="B3796" t="str">
        <f>"1551604252934792"</f>
        <v>1551604252934792</v>
      </c>
      <c r="C3796" t="s">
        <v>40</v>
      </c>
      <c r="D3796">
        <v>4.9278219999999999</v>
      </c>
      <c r="E3796">
        <v>0.5301768</v>
      </c>
      <c r="F3796" t="s">
        <v>43</v>
      </c>
      <c r="G3796">
        <v>-301.8347</v>
      </c>
      <c r="H3796">
        <v>0.96165489999999998</v>
      </c>
      <c r="I3796">
        <v>141.7817</v>
      </c>
      <c r="J3796">
        <v>-301.22230000000002</v>
      </c>
      <c r="K3796">
        <v>1.1202719999999999</v>
      </c>
      <c r="L3796">
        <v>141.6182</v>
      </c>
      <c r="M3796">
        <v>-0.99994190000000005</v>
      </c>
      <c r="N3796">
        <v>-1.071681E-2</v>
      </c>
      <c r="O3796">
        <v>1.1505479999999999E-3</v>
      </c>
      <c r="P3796">
        <v>-0.97629840000000001</v>
      </c>
      <c r="Q3796">
        <v>0.1935627</v>
      </c>
      <c r="R3796">
        <v>9.6824679999999996E-2</v>
      </c>
      <c r="S3796">
        <v>-3.1162109999999998</v>
      </c>
      <c r="T3796">
        <v>-0.44647969999999998</v>
      </c>
      <c r="U3796">
        <v>0.46150210000000003</v>
      </c>
      <c r="V3796">
        <v>9.5708680000000004E-2</v>
      </c>
      <c r="W3796">
        <v>0.20401179999999999</v>
      </c>
      <c r="X3796">
        <v>0.97427870000000005</v>
      </c>
      <c r="Y3796">
        <v>0.14382320000000001</v>
      </c>
      <c r="Z3796">
        <v>1.0824200000000001E-2</v>
      </c>
      <c r="AA3796">
        <v>0.98954419999999998</v>
      </c>
      <c r="AB3796">
        <v>48</v>
      </c>
      <c r="AC3796">
        <v>-0.61239999999997896</v>
      </c>
      <c r="AD3796">
        <v>-0.15861709999999901</v>
      </c>
      <c r="AE3796">
        <v>0.16349999999999901</v>
      </c>
      <c r="AF3796">
        <v>0.15320147544823701</v>
      </c>
      <c r="AG3796">
        <v>-0.15861709999999901</v>
      </c>
      <c r="AH3796">
        <v>0.57648696298962798</v>
      </c>
      <c r="AI3796">
        <v>104.891180916569</v>
      </c>
      <c r="AJ3796">
        <v>75.117622216770002</v>
      </c>
      <c r="AK3796">
        <v>0.61722548148057799</v>
      </c>
      <c r="AL3796">
        <v>78.228342827292394</v>
      </c>
      <c r="AM3796">
        <v>84.389526061743695</v>
      </c>
      <c r="AN3796">
        <v>0.99999997562013598</v>
      </c>
    </row>
    <row r="3797" spans="1:40" x14ac:dyDescent="0.25">
      <c r="A3797" t="str">
        <f>"20190303171052962"</f>
        <v>20190303171052962</v>
      </c>
      <c r="B3797" t="str">
        <f>"1551604252954312"</f>
        <v>1551604252954312</v>
      </c>
      <c r="C3797" t="s">
        <v>40</v>
      </c>
      <c r="D3797">
        <v>4.9456470000000001</v>
      </c>
      <c r="E3797">
        <v>0.53047569999999999</v>
      </c>
      <c r="F3797" t="s">
        <v>43</v>
      </c>
      <c r="G3797">
        <v>-302.26299999999998</v>
      </c>
      <c r="H3797">
        <v>0.96681810000000001</v>
      </c>
      <c r="I3797">
        <v>141.7739</v>
      </c>
      <c r="J3797">
        <v>-301.69709999999998</v>
      </c>
      <c r="K3797">
        <v>1.1202749999999999</v>
      </c>
      <c r="L3797">
        <v>141.61869999999999</v>
      </c>
      <c r="M3797">
        <v>-0.99994110000000003</v>
      </c>
      <c r="N3797">
        <v>-1.080178E-2</v>
      </c>
      <c r="O3797">
        <v>1.149974E-3</v>
      </c>
      <c r="P3797">
        <v>-0.97641210000000001</v>
      </c>
      <c r="Q3797">
        <v>0.19320680000000001</v>
      </c>
      <c r="R3797">
        <v>9.6387459999999994E-2</v>
      </c>
      <c r="S3797">
        <v>-3.117737</v>
      </c>
      <c r="T3797">
        <v>-0.45975290000000002</v>
      </c>
      <c r="U3797">
        <v>0.46609499999999998</v>
      </c>
      <c r="V3797">
        <v>9.5271880000000003E-2</v>
      </c>
      <c r="W3797">
        <v>0.20374059999999999</v>
      </c>
      <c r="X3797">
        <v>0.97437830000000003</v>
      </c>
      <c r="Y3797">
        <v>0.1450774</v>
      </c>
      <c r="Z3797">
        <v>1.121831E-2</v>
      </c>
      <c r="AA3797">
        <v>0.98935669999999998</v>
      </c>
      <c r="AB3797">
        <v>48</v>
      </c>
      <c r="AC3797">
        <v>-0.56589999999999896</v>
      </c>
      <c r="AD3797">
        <v>-0.15345689999999901</v>
      </c>
      <c r="AE3797">
        <v>0.155200000000007</v>
      </c>
      <c r="AF3797">
        <v>0.144655942515624</v>
      </c>
      <c r="AG3797">
        <v>-0.15345689999999901</v>
      </c>
      <c r="AH3797">
        <v>0.52984176926225302</v>
      </c>
      <c r="AI3797">
        <v>105.61046082234699</v>
      </c>
      <c r="AJ3797">
        <v>74.729418220992599</v>
      </c>
      <c r="AK3797">
        <v>0.57026893858744199</v>
      </c>
      <c r="AL3797">
        <v>78.244215305138098</v>
      </c>
      <c r="AM3797">
        <v>84.415536449828394</v>
      </c>
      <c r="AN3797">
        <v>1.00000001735899</v>
      </c>
    </row>
    <row r="3798" spans="1:40" x14ac:dyDescent="0.25">
      <c r="A3798" t="str">
        <f>"20190303171052977"</f>
        <v>20190303171052977</v>
      </c>
      <c r="B3798" t="str">
        <f>"1551604252965048"</f>
        <v>1551604252965048</v>
      </c>
      <c r="C3798" t="s">
        <v>40</v>
      </c>
      <c r="D3798">
        <v>4.9310780000000003</v>
      </c>
      <c r="E3798">
        <v>0.53057049999999994</v>
      </c>
      <c r="F3798" t="s">
        <v>43</v>
      </c>
      <c r="G3798">
        <v>-302.6925</v>
      </c>
      <c r="H3798">
        <v>0.97385290000000002</v>
      </c>
      <c r="I3798">
        <v>141.7681</v>
      </c>
      <c r="J3798">
        <v>-302.00139999999999</v>
      </c>
      <c r="K3798">
        <v>1.120282</v>
      </c>
      <c r="L3798">
        <v>141.6191</v>
      </c>
      <c r="M3798">
        <v>-0.99994050000000001</v>
      </c>
      <c r="N3798">
        <v>-1.085408E-2</v>
      </c>
      <c r="O3798">
        <v>1.1498120000000001E-3</v>
      </c>
      <c r="P3798">
        <v>-0.97643999999999997</v>
      </c>
      <c r="Q3798">
        <v>0.19318270000000001</v>
      </c>
      <c r="R3798">
        <v>9.6153450000000001E-2</v>
      </c>
      <c r="S3798">
        <v>-3.1170650000000002</v>
      </c>
      <c r="T3798">
        <v>-0.45848749999999999</v>
      </c>
      <c r="U3798">
        <v>0.4674683</v>
      </c>
      <c r="V3798">
        <v>9.5038079999999997E-2</v>
      </c>
      <c r="W3798">
        <v>0.2037677</v>
      </c>
      <c r="X3798">
        <v>0.97439549999999997</v>
      </c>
      <c r="Y3798">
        <v>0.14553729999999901</v>
      </c>
      <c r="Z3798">
        <v>1.1231720000000001E-2</v>
      </c>
      <c r="AA3798">
        <v>0.98928899999999997</v>
      </c>
      <c r="AB3798">
        <v>48</v>
      </c>
      <c r="AC3798">
        <v>-0.69110000000000504</v>
      </c>
      <c r="AD3798">
        <v>-0.14642909999999901</v>
      </c>
      <c r="AE3798">
        <v>0.14899999999999999</v>
      </c>
      <c r="AF3798">
        <v>0.14210897376030199</v>
      </c>
      <c r="AG3798">
        <v>-0.14642909999999901</v>
      </c>
      <c r="AH3798">
        <v>0.66283626774337001</v>
      </c>
      <c r="AI3798">
        <v>102.18887093831</v>
      </c>
      <c r="AJ3798">
        <v>77.899240468258995</v>
      </c>
      <c r="AK3798">
        <v>0.69353324331712896</v>
      </c>
      <c r="AL3798">
        <v>78.242629723813494</v>
      </c>
      <c r="AM3798">
        <v>84.429252293102294</v>
      </c>
      <c r="AN3798">
        <v>1.0000000513168099</v>
      </c>
    </row>
    <row r="3799" spans="1:40" x14ac:dyDescent="0.25">
      <c r="A3799" t="str">
        <f>"20190303171052995"</f>
        <v>20190303171052995</v>
      </c>
      <c r="B3799" t="str">
        <f>"1551604252984568"</f>
        <v>1551604252984568</v>
      </c>
      <c r="C3799" t="s">
        <v>40</v>
      </c>
      <c r="D3799">
        <v>4.9455799999999996</v>
      </c>
      <c r="E3799">
        <v>0.53119340000000004</v>
      </c>
      <c r="F3799" t="s">
        <v>43</v>
      </c>
      <c r="G3799">
        <v>-303.11329999999998</v>
      </c>
      <c r="H3799">
        <v>0.96066980000000002</v>
      </c>
      <c r="I3799">
        <v>141.7867</v>
      </c>
      <c r="J3799">
        <v>-302.40750000000003</v>
      </c>
      <c r="K3799">
        <v>1.120288</v>
      </c>
      <c r="L3799">
        <v>141.61949999999999</v>
      </c>
      <c r="M3799">
        <v>-0.99993969999999999</v>
      </c>
      <c r="N3799">
        <v>-1.0922960000000001E-2</v>
      </c>
      <c r="O3799">
        <v>1.149141E-3</v>
      </c>
      <c r="P3799">
        <v>-0.97619060000000002</v>
      </c>
      <c r="Q3799">
        <v>0.19448180000000001</v>
      </c>
      <c r="R3799">
        <v>9.6067E-2</v>
      </c>
      <c r="S3799">
        <v>-3.1146850000000001</v>
      </c>
      <c r="T3799">
        <v>-0.44718980000000003</v>
      </c>
      <c r="U3799">
        <v>0.46897889999999998</v>
      </c>
      <c r="V3799">
        <v>9.4952869999999995E-2</v>
      </c>
      <c r="W3799">
        <v>0.20513110000000001</v>
      </c>
      <c r="X3799">
        <v>0.97411760000000003</v>
      </c>
      <c r="Y3799">
        <v>0.1461847</v>
      </c>
      <c r="Z3799">
        <v>1.103941E-2</v>
      </c>
      <c r="AA3799">
        <v>0.98919570000000001</v>
      </c>
      <c r="AB3799">
        <v>48</v>
      </c>
      <c r="AC3799">
        <v>-0.70579999999995302</v>
      </c>
      <c r="AD3799">
        <v>-0.15961819999999899</v>
      </c>
      <c r="AE3799">
        <v>0.16720000000000801</v>
      </c>
      <c r="AF3799">
        <v>0.158703235985416</v>
      </c>
      <c r="AG3799">
        <v>-0.15961819999999899</v>
      </c>
      <c r="AH3799">
        <v>0.67338173979874105</v>
      </c>
      <c r="AI3799">
        <v>102.99186211010699</v>
      </c>
      <c r="AJ3799">
        <v>76.738481710438705</v>
      </c>
      <c r="AK3799">
        <v>0.71000539038648303</v>
      </c>
      <c r="AL3799">
        <v>78.162825862071799</v>
      </c>
      <c r="AM3799">
        <v>84.432637728703497</v>
      </c>
      <c r="AN3799">
        <v>0.99999995716910195</v>
      </c>
    </row>
    <row r="3800" spans="1:40" x14ac:dyDescent="0.25">
      <c r="A3800" t="str">
        <f>"20190303171053019"</f>
        <v>20190303171053019</v>
      </c>
      <c r="B3800" t="str">
        <f>"1551604253014824"</f>
        <v>1551604253014824</v>
      </c>
      <c r="C3800" t="s">
        <v>40</v>
      </c>
      <c r="D3800">
        <v>4.9264729999999997</v>
      </c>
      <c r="E3800">
        <v>0.5323715</v>
      </c>
      <c r="F3800" t="s">
        <v>43</v>
      </c>
      <c r="G3800">
        <v>-303.1386</v>
      </c>
      <c r="H3800">
        <v>1.016451</v>
      </c>
      <c r="I3800">
        <v>141.73099999999999</v>
      </c>
      <c r="J3800">
        <v>-302.90199999999999</v>
      </c>
      <c r="K3800">
        <v>1.1203099999999999</v>
      </c>
      <c r="L3800">
        <v>141.62010000000001</v>
      </c>
      <c r="M3800">
        <v>-0.99993889999999996</v>
      </c>
      <c r="N3800">
        <v>-1.1007930000000001E-2</v>
      </c>
      <c r="O3800">
        <v>1.148498E-3</v>
      </c>
      <c r="P3800">
        <v>-0.97592959999999995</v>
      </c>
      <c r="Q3800">
        <v>0.1956812</v>
      </c>
      <c r="R3800">
        <v>9.6284380000000003E-2</v>
      </c>
      <c r="S3800">
        <v>-3.1146850000000001</v>
      </c>
      <c r="T3800">
        <v>-0.44242949999999998</v>
      </c>
      <c r="U3800">
        <v>0.47393800000000003</v>
      </c>
      <c r="V3800">
        <v>9.5171030000000004E-2</v>
      </c>
      <c r="W3800">
        <v>0.20641010000000001</v>
      </c>
      <c r="X3800">
        <v>0.97382610000000003</v>
      </c>
      <c r="Y3800">
        <v>0.1477398</v>
      </c>
      <c r="Z3800">
        <v>1.1054909999999999E-2</v>
      </c>
      <c r="AA3800">
        <v>0.98896450000000002</v>
      </c>
      <c r="AB3800">
        <v>48</v>
      </c>
      <c r="AC3800">
        <v>-0.236600000000009</v>
      </c>
      <c r="AD3800">
        <v>-0.10385900000000001</v>
      </c>
      <c r="AE3800">
        <v>0.110899999999986</v>
      </c>
      <c r="AF3800">
        <v>9.5535389967256107E-2</v>
      </c>
      <c r="AG3800">
        <v>-0.10385900000000001</v>
      </c>
      <c r="AH3800">
        <v>0.20443098805096999</v>
      </c>
      <c r="AI3800">
        <v>114.714764415036</v>
      </c>
      <c r="AJ3800">
        <v>64.952214074123205</v>
      </c>
      <c r="AK3800">
        <v>0.24840638375994201</v>
      </c>
      <c r="AL3800">
        <v>78.087942135372202</v>
      </c>
      <c r="AM3800">
        <v>84.418267250228098</v>
      </c>
      <c r="AN3800">
        <v>0.99999996368723898</v>
      </c>
    </row>
    <row r="3801" spans="1:40" x14ac:dyDescent="0.25">
      <c r="A3801" t="str">
        <f>"20190303171053041"</f>
        <v>20190303171053041</v>
      </c>
      <c r="B3801" t="str">
        <f>"1551604253034344"</f>
        <v>1551604253034344</v>
      </c>
      <c r="C3801" t="s">
        <v>40</v>
      </c>
      <c r="D3801">
        <v>4.9883730000000002</v>
      </c>
      <c r="E3801">
        <v>0.53294370000000002</v>
      </c>
      <c r="F3801" t="s">
        <v>43</v>
      </c>
      <c r="G3801">
        <v>-303.96960000000001</v>
      </c>
      <c r="H3801">
        <v>0.96733009999999997</v>
      </c>
      <c r="I3801">
        <v>141.78579999999999</v>
      </c>
      <c r="J3801">
        <v>-303.37479999999999</v>
      </c>
      <c r="K3801">
        <v>1.12032</v>
      </c>
      <c r="L3801">
        <v>141.6206</v>
      </c>
      <c r="M3801">
        <v>-0.99993779999999999</v>
      </c>
      <c r="N3801">
        <v>-1.1093749999999999E-2</v>
      </c>
      <c r="O3801">
        <v>1.148383E-3</v>
      </c>
      <c r="P3801">
        <v>-0.97601320000000003</v>
      </c>
      <c r="Q3801">
        <v>0.195354</v>
      </c>
      <c r="R3801">
        <v>9.6099169999999998E-2</v>
      </c>
      <c r="S3801">
        <v>-3.115875</v>
      </c>
      <c r="T3801">
        <v>-0.44650659999999998</v>
      </c>
      <c r="U3801">
        <v>0.4829254</v>
      </c>
      <c r="V3801">
        <v>9.4985970000000003E-2</v>
      </c>
      <c r="W3801">
        <v>0.2061675</v>
      </c>
      <c r="X3801">
        <v>0.97389559999999997</v>
      </c>
      <c r="Y3801">
        <v>0.15041470000000001</v>
      </c>
      <c r="Z3801">
        <v>1.1353429999999999E-2</v>
      </c>
      <c r="AA3801">
        <v>0.98855780000000004</v>
      </c>
      <c r="AB3801">
        <v>48</v>
      </c>
      <c r="AC3801">
        <v>-0.59480000000001998</v>
      </c>
      <c r="AD3801">
        <v>-0.15298989999999901</v>
      </c>
      <c r="AE3801">
        <v>0.16519999999999799</v>
      </c>
      <c r="AF3801">
        <v>0.15499684634281799</v>
      </c>
      <c r="AG3801">
        <v>-0.15298989999999901</v>
      </c>
      <c r="AH3801">
        <v>0.56055962227270795</v>
      </c>
      <c r="AI3801">
        <v>104.737938178097</v>
      </c>
      <c r="AJ3801">
        <v>74.543677864023095</v>
      </c>
      <c r="AK3801">
        <v>0.601379266354229</v>
      </c>
      <c r="AL3801">
        <v>78.102148148347695</v>
      </c>
      <c r="AM3801">
        <v>84.429447640515093</v>
      </c>
      <c r="AN3801">
        <v>1.00000000612622</v>
      </c>
    </row>
    <row r="3802" spans="1:40" x14ac:dyDescent="0.25">
      <c r="A3802" t="str">
        <f>"20190303171053062"</f>
        <v>20190303171053062</v>
      </c>
      <c r="B3802" t="str">
        <f>"1551604253054840"</f>
        <v>1551604253054840</v>
      </c>
      <c r="C3802" t="s">
        <v>40</v>
      </c>
      <c r="D3802">
        <v>4.9671269999999996</v>
      </c>
      <c r="E3802">
        <v>0.53345600000000004</v>
      </c>
      <c r="F3802" t="s">
        <v>43</v>
      </c>
      <c r="G3802">
        <v>-304.39909999999998</v>
      </c>
      <c r="H3802">
        <v>0.9734119</v>
      </c>
      <c r="I3802">
        <v>141.7809</v>
      </c>
      <c r="J3802">
        <v>-303.84440000000001</v>
      </c>
      <c r="K3802">
        <v>1.1203270000000001</v>
      </c>
      <c r="L3802">
        <v>141.62119999999999</v>
      </c>
      <c r="M3802">
        <v>-0.99993690000000002</v>
      </c>
      <c r="N3802">
        <v>-1.117859E-2</v>
      </c>
      <c r="O3802">
        <v>1.1479109999999999E-3</v>
      </c>
      <c r="P3802">
        <v>-0.97612960000000004</v>
      </c>
      <c r="Q3802">
        <v>0.19504650000000001</v>
      </c>
      <c r="R3802">
        <v>9.5540929999999996E-2</v>
      </c>
      <c r="S3802">
        <v>-3.115173</v>
      </c>
      <c r="T3802">
        <v>-0.44678649999999998</v>
      </c>
      <c r="U3802">
        <v>0.48690800000000001</v>
      </c>
      <c r="V3802">
        <v>9.4428040000000005E-2</v>
      </c>
      <c r="W3802">
        <v>0.20594399999999999</v>
      </c>
      <c r="X3802">
        <v>0.97399709999999995</v>
      </c>
      <c r="Y3802">
        <v>0.15166589999999999</v>
      </c>
      <c r="Z3802">
        <v>1.146377E-2</v>
      </c>
      <c r="AA3802">
        <v>0.98836539999999995</v>
      </c>
      <c r="AB3802">
        <v>48</v>
      </c>
      <c r="AC3802">
        <v>-0.554699999999968</v>
      </c>
      <c r="AD3802">
        <v>-0.14691509999999899</v>
      </c>
      <c r="AE3802">
        <v>0.159700000000015</v>
      </c>
      <c r="AF3802">
        <v>0.14938606001111099</v>
      </c>
      <c r="AG3802">
        <v>-0.14691509999999899</v>
      </c>
      <c r="AH3802">
        <v>0.52112511124762295</v>
      </c>
      <c r="AI3802">
        <v>105.163181899478</v>
      </c>
      <c r="AJ3802">
        <v>74.004486554732594</v>
      </c>
      <c r="AK3802">
        <v>0.56166860612508995</v>
      </c>
      <c r="AL3802">
        <v>78.115234131048197</v>
      </c>
      <c r="AM3802">
        <v>84.462537554273098</v>
      </c>
      <c r="AN3802">
        <v>0.99999996834132499</v>
      </c>
    </row>
    <row r="3803" spans="1:40" x14ac:dyDescent="0.25">
      <c r="A3803" t="str">
        <f>"20190303171053085"</f>
        <v>20190303171053085</v>
      </c>
      <c r="B3803" t="str">
        <f>"1551604253074360"</f>
        <v>1551604253074360</v>
      </c>
      <c r="C3803" t="s">
        <v>40</v>
      </c>
      <c r="D3803">
        <v>4.9212759999999998</v>
      </c>
      <c r="E3803">
        <v>0.53385439999999995</v>
      </c>
      <c r="F3803" t="s">
        <v>43</v>
      </c>
      <c r="G3803">
        <v>-304.82670000000002</v>
      </c>
      <c r="H3803">
        <v>0.97508039999999996</v>
      </c>
      <c r="I3803">
        <v>141.77539999999999</v>
      </c>
      <c r="J3803">
        <v>-304.30990000000003</v>
      </c>
      <c r="K3803">
        <v>1.1203399999999999</v>
      </c>
      <c r="L3803">
        <v>141.6217</v>
      </c>
      <c r="M3803">
        <v>-0.99993600000000005</v>
      </c>
      <c r="N3803">
        <v>-1.126136E-2</v>
      </c>
      <c r="O3803">
        <v>1.1470899999999999E-3</v>
      </c>
      <c r="P3803">
        <v>-0.97618249999999995</v>
      </c>
      <c r="Q3803">
        <v>0.1950432</v>
      </c>
      <c r="R3803">
        <v>9.5005560000000003E-2</v>
      </c>
      <c r="S3803">
        <v>-3.1176149999999998</v>
      </c>
      <c r="T3803">
        <v>-0.46098090000000003</v>
      </c>
      <c r="U3803">
        <v>0.48890689999999998</v>
      </c>
      <c r="V3803">
        <v>9.3893270000000001E-2</v>
      </c>
      <c r="W3803">
        <v>0.20602190000000001</v>
      </c>
      <c r="X3803">
        <v>0.97403229999999996</v>
      </c>
      <c r="Y3803">
        <v>0.1520639</v>
      </c>
      <c r="Z3803">
        <v>1.1826140000000001E-2</v>
      </c>
      <c r="AA3803">
        <v>0.98829990000000001</v>
      </c>
      <c r="AB3803">
        <v>48</v>
      </c>
      <c r="AC3803">
        <v>-0.51679999999998905</v>
      </c>
      <c r="AD3803">
        <v>-0.14525959999999899</v>
      </c>
      <c r="AE3803">
        <v>0.15369999999998599</v>
      </c>
      <c r="AF3803">
        <v>0.142746085057425</v>
      </c>
      <c r="AG3803">
        <v>-0.14525959999999899</v>
      </c>
      <c r="AH3803">
        <v>0.48199151745330798</v>
      </c>
      <c r="AI3803">
        <v>106.11757060324599</v>
      </c>
      <c r="AJ3803">
        <v>73.502874966515094</v>
      </c>
      <c r="AK3803">
        <v>0.52325196520254302</v>
      </c>
      <c r="AL3803">
        <v>78.110672702111899</v>
      </c>
      <c r="AM3803">
        <v>84.493902101167905</v>
      </c>
      <c r="AN3803">
        <v>0.99999994543709403</v>
      </c>
    </row>
    <row r="3804" spans="1:40" x14ac:dyDescent="0.25">
      <c r="A3804" t="str">
        <f>"20190303171053099"</f>
        <v>20190303171053099</v>
      </c>
      <c r="B3804" t="str">
        <f>"1551604253094856"</f>
        <v>1551604253094856</v>
      </c>
      <c r="C3804" t="s">
        <v>40</v>
      </c>
      <c r="D3804">
        <v>4.9163230000000002</v>
      </c>
      <c r="E3804">
        <v>0.53407579999999999</v>
      </c>
      <c r="F3804" t="s">
        <v>43</v>
      </c>
      <c r="G3804">
        <v>-305.25450000000001</v>
      </c>
      <c r="H3804">
        <v>0.97716550000000002</v>
      </c>
      <c r="I3804">
        <v>141.77029999999999</v>
      </c>
      <c r="J3804">
        <v>-304.62130000000002</v>
      </c>
      <c r="K3804">
        <v>1.1203479999999999</v>
      </c>
      <c r="L3804">
        <v>141.62209999999999</v>
      </c>
      <c r="M3804">
        <v>-0.99993540000000003</v>
      </c>
      <c r="N3804">
        <v>-1.131733E-2</v>
      </c>
      <c r="O3804">
        <v>1.1465959999999999E-3</v>
      </c>
      <c r="P3804">
        <v>-0.97615529999999995</v>
      </c>
      <c r="Q3804">
        <v>0.19539719999999999</v>
      </c>
      <c r="R3804">
        <v>9.4556219999999996E-2</v>
      </c>
      <c r="S3804">
        <v>-3.1199949999999999</v>
      </c>
      <c r="T3804">
        <v>-0.47295340000000002</v>
      </c>
      <c r="U3804">
        <v>0.49020390000000003</v>
      </c>
      <c r="V3804">
        <v>9.3444529999999998E-2</v>
      </c>
      <c r="W3804">
        <v>0.20642969999999999</v>
      </c>
      <c r="X3804">
        <v>0.9739892</v>
      </c>
      <c r="Y3804">
        <v>0.1522625</v>
      </c>
      <c r="Z3804">
        <v>1.2119309999999999E-2</v>
      </c>
      <c r="AA3804">
        <v>0.98826579999999997</v>
      </c>
      <c r="AB3804">
        <v>48</v>
      </c>
      <c r="AC3804">
        <v>-0.633199999999987</v>
      </c>
      <c r="AD3804">
        <v>-0.14318249999999899</v>
      </c>
      <c r="AE3804">
        <v>0.148200000000002</v>
      </c>
      <c r="AF3804">
        <v>0.140655272807301</v>
      </c>
      <c r="AG3804">
        <v>-0.14318249999999899</v>
      </c>
      <c r="AH3804">
        <v>0.60408522447329105</v>
      </c>
      <c r="AI3804">
        <v>102.99893390548399</v>
      </c>
      <c r="AJ3804">
        <v>76.892780853109201</v>
      </c>
      <c r="AK3804">
        <v>0.636556433084839</v>
      </c>
      <c r="AL3804">
        <v>78.086795239673407</v>
      </c>
      <c r="AM3804">
        <v>84.5198155701909</v>
      </c>
      <c r="AN3804">
        <v>1.0000000314728199</v>
      </c>
    </row>
    <row r="3805" spans="1:40" x14ac:dyDescent="0.25">
      <c r="A3805" t="str">
        <f>"20190303171053118"</f>
        <v>20190303171053118</v>
      </c>
      <c r="B3805" t="str">
        <f>"1551604253104616"</f>
        <v>1551604253104616</v>
      </c>
      <c r="C3805" t="s">
        <v>40</v>
      </c>
      <c r="D3805">
        <v>4.9115419999999999</v>
      </c>
      <c r="E3805">
        <v>0.53418920000000003</v>
      </c>
      <c r="F3805" t="s">
        <v>43</v>
      </c>
      <c r="G3805">
        <v>-305.67290000000003</v>
      </c>
      <c r="H3805">
        <v>0.95782020000000001</v>
      </c>
      <c r="I3805">
        <v>141.78720000000001</v>
      </c>
      <c r="J3805">
        <v>-305.01589999999999</v>
      </c>
      <c r="K3805">
        <v>1.1203529999999999</v>
      </c>
      <c r="L3805">
        <v>141.6225</v>
      </c>
      <c r="M3805">
        <v>-0.99993449999999995</v>
      </c>
      <c r="N3805">
        <v>-1.139168E-2</v>
      </c>
      <c r="O3805">
        <v>1.1461749999999999E-3</v>
      </c>
      <c r="P3805">
        <v>-0.97613059999999996</v>
      </c>
      <c r="Q3805">
        <v>0.19549929999999999</v>
      </c>
      <c r="R3805">
        <v>9.4600859999999995E-2</v>
      </c>
      <c r="S3805">
        <v>-3.1224669999999999</v>
      </c>
      <c r="T3805">
        <v>-0.48261700000000002</v>
      </c>
      <c r="U3805">
        <v>0.4897919</v>
      </c>
      <c r="V3805">
        <v>9.3489710000000004E-2</v>
      </c>
      <c r="W3805">
        <v>0.2066038</v>
      </c>
      <c r="X3805">
        <v>0.97394789999999998</v>
      </c>
      <c r="Y3805">
        <v>0.15194959999999999</v>
      </c>
      <c r="Z3805">
        <v>1.231784E-2</v>
      </c>
      <c r="AA3805">
        <v>0.98831150000000001</v>
      </c>
      <c r="AB3805">
        <v>48</v>
      </c>
      <c r="AC3805">
        <v>-0.657000000000039</v>
      </c>
      <c r="AD3805">
        <v>-0.16253280000000001</v>
      </c>
      <c r="AE3805">
        <v>0.16470000000001001</v>
      </c>
      <c r="AF3805">
        <v>0.155020508393165</v>
      </c>
      <c r="AG3805">
        <v>-0.16253280000000001</v>
      </c>
      <c r="AH3805">
        <v>0.62140687880801704</v>
      </c>
      <c r="AI3805">
        <v>104.239821405123</v>
      </c>
      <c r="AJ3805">
        <v>75.992502519212195</v>
      </c>
      <c r="AK3805">
        <v>0.66075319002501698</v>
      </c>
      <c r="AL3805">
        <v>78.076599697965904</v>
      </c>
      <c r="AM3805">
        <v>84.516950987739193</v>
      </c>
      <c r="AN3805">
        <v>0.999999983982367</v>
      </c>
    </row>
    <row r="3806" spans="1:40" x14ac:dyDescent="0.25">
      <c r="A3806" t="str">
        <f>"20190303171053140"</f>
        <v>20190303171053140</v>
      </c>
      <c r="B3806" t="str">
        <f>"1551604253134872"</f>
        <v>1551604253134872</v>
      </c>
      <c r="C3806" t="s">
        <v>40</v>
      </c>
      <c r="D3806">
        <v>4.8882370000000002</v>
      </c>
      <c r="E3806">
        <v>0.53431249999999997</v>
      </c>
      <c r="F3806" t="s">
        <v>43</v>
      </c>
      <c r="G3806">
        <v>-306.09730000000002</v>
      </c>
      <c r="H3806">
        <v>0.95158310000000002</v>
      </c>
      <c r="I3806">
        <v>141.79230000000001</v>
      </c>
      <c r="J3806">
        <v>-305.50150000000002</v>
      </c>
      <c r="K3806">
        <v>1.120366</v>
      </c>
      <c r="L3806">
        <v>141.62309999999999</v>
      </c>
      <c r="M3806">
        <v>-0.99993339999999997</v>
      </c>
      <c r="N3806">
        <v>-1.148854E-2</v>
      </c>
      <c r="O3806">
        <v>1.1454429999999999E-3</v>
      </c>
      <c r="P3806">
        <v>-0.97625479999999998</v>
      </c>
      <c r="Q3806">
        <v>0.19491249999999999</v>
      </c>
      <c r="R3806">
        <v>9.4529740000000001E-2</v>
      </c>
      <c r="S3806">
        <v>-3.123535</v>
      </c>
      <c r="T3806">
        <v>-0.48749239999999999</v>
      </c>
      <c r="U3806">
        <v>0.48983759999999998</v>
      </c>
      <c r="V3806">
        <v>9.3418970000000004E-2</v>
      </c>
      <c r="W3806">
        <v>0.2061134</v>
      </c>
      <c r="X3806">
        <v>0.9740586</v>
      </c>
      <c r="Y3806">
        <v>0.15187700000000001</v>
      </c>
      <c r="Z3806">
        <v>1.2429829999999999E-2</v>
      </c>
      <c r="AA3806">
        <v>0.98832120000000001</v>
      </c>
      <c r="AB3806">
        <v>48</v>
      </c>
      <c r="AC3806">
        <v>-0.595799999999997</v>
      </c>
      <c r="AD3806">
        <v>-0.16878289999999899</v>
      </c>
      <c r="AE3806">
        <v>0.169200000000017</v>
      </c>
      <c r="AF3806">
        <v>0.15686794029287801</v>
      </c>
      <c r="AG3806">
        <v>-0.16878289999999899</v>
      </c>
      <c r="AH3806">
        <v>0.55479296501339603</v>
      </c>
      <c r="AI3806">
        <v>106.317364186259</v>
      </c>
      <c r="AJ3806">
        <v>74.211727680053002</v>
      </c>
      <c r="AK3806">
        <v>0.60074158508671205</v>
      </c>
      <c r="AL3806">
        <v>78.105315774294198</v>
      </c>
      <c r="AM3806">
        <v>84.521693422814494</v>
      </c>
      <c r="AN3806">
        <v>0.99999999692468999</v>
      </c>
    </row>
    <row r="3807" spans="1:40" x14ac:dyDescent="0.25">
      <c r="A3807" t="str">
        <f>"20190303171053164"</f>
        <v>20190303171053164</v>
      </c>
      <c r="B3807" t="str">
        <f>"1551604253154391"</f>
        <v>1551604253154391</v>
      </c>
      <c r="C3807" t="s">
        <v>40</v>
      </c>
      <c r="D3807">
        <v>4.8636059999999999</v>
      </c>
      <c r="E3807">
        <v>0.53432930000000001</v>
      </c>
      <c r="F3807" t="s">
        <v>43</v>
      </c>
      <c r="G3807">
        <v>-306.52769999999998</v>
      </c>
      <c r="H3807">
        <v>0.95909630000000001</v>
      </c>
      <c r="I3807">
        <v>141.78450000000001</v>
      </c>
      <c r="J3807">
        <v>-305.9973</v>
      </c>
      <c r="K3807">
        <v>1.1203860000000001</v>
      </c>
      <c r="L3807">
        <v>141.62360000000001</v>
      </c>
      <c r="M3807">
        <v>-0.99993209999999999</v>
      </c>
      <c r="N3807">
        <v>-1.159613E-2</v>
      </c>
      <c r="O3807">
        <v>1.1450010000000001E-3</v>
      </c>
      <c r="P3807">
        <v>-0.97643979999999997</v>
      </c>
      <c r="Q3807">
        <v>0.1941071</v>
      </c>
      <c r="R3807">
        <v>9.4274410000000003E-2</v>
      </c>
      <c r="S3807">
        <v>-3.123383</v>
      </c>
      <c r="T3807">
        <v>-0.49086590000000002</v>
      </c>
      <c r="U3807">
        <v>0.49086000000000002</v>
      </c>
      <c r="V3807">
        <v>9.3163759999999998E-2</v>
      </c>
      <c r="W3807">
        <v>0.20541480000000001</v>
      </c>
      <c r="X3807">
        <v>0.97423059999999995</v>
      </c>
      <c r="Y3807">
        <v>0.1521699</v>
      </c>
      <c r="Z3807">
        <v>1.254197E-2</v>
      </c>
      <c r="AA3807">
        <v>0.98827480000000001</v>
      </c>
      <c r="AB3807">
        <v>48</v>
      </c>
      <c r="AC3807">
        <v>-0.53039999999998599</v>
      </c>
      <c r="AD3807">
        <v>-0.16128970000000001</v>
      </c>
      <c r="AE3807">
        <v>0.16089999999999799</v>
      </c>
      <c r="AF3807">
        <v>0.14777883848663501</v>
      </c>
      <c r="AG3807">
        <v>-0.16128970000000001</v>
      </c>
      <c r="AH3807">
        <v>0.48916231070073901</v>
      </c>
      <c r="AI3807">
        <v>107.517625242208</v>
      </c>
      <c r="AJ3807">
        <v>73.190121557980405</v>
      </c>
      <c r="AK3807">
        <v>0.53584766365137404</v>
      </c>
      <c r="AL3807">
        <v>78.146217811016598</v>
      </c>
      <c r="AM3807">
        <v>84.537527586882803</v>
      </c>
      <c r="AN3807">
        <v>0.99999999410636797</v>
      </c>
    </row>
    <row r="3808" spans="1:40" x14ac:dyDescent="0.25">
      <c r="A3808" t="str">
        <f>"20190303171053185"</f>
        <v>20190303171053185</v>
      </c>
      <c r="B3808" t="str">
        <f>"1551604253174888"</f>
        <v>1551604253174888</v>
      </c>
      <c r="C3808" t="s">
        <v>40</v>
      </c>
      <c r="D3808">
        <v>4.8218269999999999</v>
      </c>
      <c r="E3808">
        <v>0.53390740000000003</v>
      </c>
      <c r="F3808" t="s">
        <v>43</v>
      </c>
      <c r="G3808">
        <v>-306.95920000000001</v>
      </c>
      <c r="H3808">
        <v>0.96916749999999996</v>
      </c>
      <c r="I3808">
        <v>141.77510000000001</v>
      </c>
      <c r="J3808">
        <v>-306.44529999999997</v>
      </c>
      <c r="K3808">
        <v>1.1204050000000001</v>
      </c>
      <c r="L3808">
        <v>141.6241</v>
      </c>
      <c r="M3808">
        <v>-0.99993080000000001</v>
      </c>
      <c r="N3808">
        <v>-1.1706589999999999E-2</v>
      </c>
      <c r="O3808">
        <v>1.144716E-3</v>
      </c>
      <c r="P3808">
        <v>-0.9765587</v>
      </c>
      <c r="Q3808">
        <v>0.1936649</v>
      </c>
      <c r="R3808">
        <v>9.3953239999999993E-2</v>
      </c>
      <c r="S3808">
        <v>-3.1225589999999999</v>
      </c>
      <c r="T3808">
        <v>-0.49083110000000002</v>
      </c>
      <c r="U3808">
        <v>0.4912415</v>
      </c>
      <c r="V3808">
        <v>9.2842869999999994E-2</v>
      </c>
      <c r="W3808">
        <v>0.20508209999999999</v>
      </c>
      <c r="X3808">
        <v>0.97433130000000001</v>
      </c>
      <c r="Y3808">
        <v>0.15232390000000001</v>
      </c>
      <c r="Z3808">
        <v>1.256561E-2</v>
      </c>
      <c r="AA3808">
        <v>0.98825070000000004</v>
      </c>
      <c r="AB3808">
        <v>48</v>
      </c>
      <c r="AC3808">
        <v>-0.513900000000035</v>
      </c>
      <c r="AD3808">
        <v>-0.151237499999999</v>
      </c>
      <c r="AE3808">
        <v>0.15100000000000999</v>
      </c>
      <c r="AF3808">
        <v>0.13930539993671401</v>
      </c>
      <c r="AG3808">
        <v>-0.151237499999999</v>
      </c>
      <c r="AH3808">
        <v>0.476114097597514</v>
      </c>
      <c r="AI3808">
        <v>106.95479032641801</v>
      </c>
      <c r="AJ3808">
        <v>73.6911432289602</v>
      </c>
      <c r="AK3808">
        <v>0.51861682366548101</v>
      </c>
      <c r="AL3808">
        <v>78.165694544797901</v>
      </c>
      <c r="AM3808">
        <v>84.556788367145302</v>
      </c>
      <c r="AN3808">
        <v>0.999999974204968</v>
      </c>
    </row>
    <row r="3809" spans="1:40" x14ac:dyDescent="0.25">
      <c r="A3809" t="str">
        <f>"20190303171053209"</f>
        <v>20190303171053209</v>
      </c>
      <c r="B3809" t="str">
        <f>"1551604253205145"</f>
        <v>1551604253205145</v>
      </c>
      <c r="C3809" t="s">
        <v>40</v>
      </c>
      <c r="D3809">
        <v>4.7167130000000004</v>
      </c>
      <c r="E3809">
        <v>0.48919479999999999</v>
      </c>
      <c r="F3809" t="s">
        <v>43</v>
      </c>
      <c r="G3809">
        <v>-307.38709999999998</v>
      </c>
      <c r="H3809">
        <v>0.97111199999999998</v>
      </c>
      <c r="I3809">
        <v>141.77109999999999</v>
      </c>
      <c r="J3809">
        <v>-306.9366</v>
      </c>
      <c r="K3809">
        <v>1.1204240000000001</v>
      </c>
      <c r="L3809">
        <v>141.62469999999999</v>
      </c>
      <c r="M3809">
        <v>-0.99992930000000002</v>
      </c>
      <c r="N3809">
        <v>-1.1845430000000001E-2</v>
      </c>
      <c r="O3809">
        <v>1.1443759999999999E-3</v>
      </c>
      <c r="P3809">
        <v>-0.97642030000000002</v>
      </c>
      <c r="Q3809">
        <v>0.1942701</v>
      </c>
      <c r="R3809">
        <v>9.4142429999999999E-2</v>
      </c>
      <c r="S3809">
        <v>-3.1233520000000001</v>
      </c>
      <c r="T3809">
        <v>-0.49516789999999999</v>
      </c>
      <c r="U3809">
        <v>0.48698429999999998</v>
      </c>
      <c r="V3809">
        <v>9.3032489999999995E-2</v>
      </c>
      <c r="W3809">
        <v>0.20582039999999999</v>
      </c>
      <c r="X3809">
        <v>0.97415759999999996</v>
      </c>
      <c r="Y3809">
        <v>0.15095430000000001</v>
      </c>
      <c r="Z3809">
        <v>1.2561040000000001E-2</v>
      </c>
      <c r="AA3809">
        <v>0.98846100000000003</v>
      </c>
      <c r="AB3809">
        <v>48</v>
      </c>
      <c r="AC3809">
        <v>-0.45049999999997598</v>
      </c>
      <c r="AD3809">
        <v>-0.149312</v>
      </c>
      <c r="AE3809">
        <v>0.146399999999999</v>
      </c>
      <c r="AF3809">
        <v>0.132699667567554</v>
      </c>
      <c r="AG3809">
        <v>-0.149312</v>
      </c>
      <c r="AH3809">
        <v>0.40993707883714398</v>
      </c>
      <c r="AI3809">
        <v>109.11263349419001</v>
      </c>
      <c r="AJ3809">
        <v>72.062848832497906</v>
      </c>
      <c r="AK3809">
        <v>0.45601719673941099</v>
      </c>
      <c r="AL3809">
        <v>78.1224719746982</v>
      </c>
      <c r="AM3809">
        <v>84.544771586760703</v>
      </c>
      <c r="AN3809">
        <v>1.0000000554447499</v>
      </c>
    </row>
    <row r="3810" spans="1:40" x14ac:dyDescent="0.25">
      <c r="A3810" t="str">
        <f>"20190303171053230"</f>
        <v>20190303171053230</v>
      </c>
      <c r="B3810" t="str">
        <f>"1551604253224664"</f>
        <v>1551604253224664</v>
      </c>
      <c r="C3810" t="s">
        <v>40</v>
      </c>
      <c r="D3810">
        <v>4.7883209999999998</v>
      </c>
      <c r="E3810">
        <v>0.48133959999999998</v>
      </c>
      <c r="F3810" t="s">
        <v>43</v>
      </c>
      <c r="G3810">
        <v>-307.84019999999998</v>
      </c>
      <c r="H3810">
        <v>1.0268759999999999</v>
      </c>
      <c r="I3810">
        <v>141.66569999999999</v>
      </c>
      <c r="J3810">
        <v>-307.40390000000002</v>
      </c>
      <c r="K3810">
        <v>1.120452</v>
      </c>
      <c r="L3810">
        <v>141.62520000000001</v>
      </c>
      <c r="M3810">
        <v>-0.99992749999999997</v>
      </c>
      <c r="N3810">
        <v>-1.199182E-2</v>
      </c>
      <c r="O3810">
        <v>1.144693E-3</v>
      </c>
      <c r="P3810">
        <v>-0.97641069999999996</v>
      </c>
      <c r="Q3810">
        <v>0.19427059999999999</v>
      </c>
      <c r="R3810">
        <v>9.4239970000000006E-2</v>
      </c>
      <c r="S3810">
        <v>-3.1231689999999999</v>
      </c>
      <c r="T3810">
        <v>-0.32335160000000002</v>
      </c>
      <c r="U3810">
        <v>0.1414337</v>
      </c>
      <c r="V3810">
        <v>9.3129610000000002E-2</v>
      </c>
      <c r="W3810">
        <v>0.20596310000000001</v>
      </c>
      <c r="X3810">
        <v>0.97411809999999999</v>
      </c>
      <c r="Y3810">
        <v>4.3838969999999998E-2</v>
      </c>
      <c r="Z3810">
        <v>2.4215259999999998E-3</v>
      </c>
      <c r="AA3810">
        <v>0.99903569999999997</v>
      </c>
      <c r="AB3810">
        <v>48</v>
      </c>
      <c r="AC3810">
        <v>-0.43629999999996</v>
      </c>
      <c r="AD3810">
        <v>-9.3575999999999798E-2</v>
      </c>
      <c r="AE3810">
        <v>4.0499999999980198E-2</v>
      </c>
      <c r="AF3810">
        <v>3.8255773431355798E-2</v>
      </c>
      <c r="AG3810">
        <v>-9.3575999999999798E-2</v>
      </c>
      <c r="AH3810">
        <v>0.41731361685658003</v>
      </c>
      <c r="AI3810">
        <v>102.58752786604801</v>
      </c>
      <c r="AJ3810">
        <v>84.762248194342206</v>
      </c>
      <c r="AK3810">
        <v>0.42938400854101699</v>
      </c>
      <c r="AL3810">
        <v>78.114116161787905</v>
      </c>
      <c r="AM3810">
        <v>84.538890986122496</v>
      </c>
      <c r="AN3810">
        <v>0.99999999778398596</v>
      </c>
    </row>
    <row r="3811" spans="1:40" x14ac:dyDescent="0.25">
      <c r="A3811" t="str">
        <f>"20190303171053252"</f>
        <v>20190303171053252</v>
      </c>
      <c r="B3811" t="str">
        <f>"1551604253244184"</f>
        <v>1551604253244184</v>
      </c>
      <c r="C3811" t="s">
        <v>40</v>
      </c>
      <c r="D3811">
        <v>4.7451299999999996</v>
      </c>
      <c r="E3811">
        <v>0.47865419999999997</v>
      </c>
      <c r="F3811" t="s">
        <v>42</v>
      </c>
      <c r="G3811">
        <v>-324.41759999999999</v>
      </c>
      <c r="H3811" s="1">
        <v>-3.0371359999999998E-6</v>
      </c>
      <c r="I3811">
        <v>142.09690000000001</v>
      </c>
      <c r="J3811">
        <v>-307.91149999999999</v>
      </c>
      <c r="K3811">
        <v>1.120474</v>
      </c>
      <c r="L3811">
        <v>141.6258</v>
      </c>
      <c r="M3811">
        <v>-0.99992539999999996</v>
      </c>
      <c r="N3811">
        <v>-1.2166389999999999E-2</v>
      </c>
      <c r="O3811">
        <v>1.1451300000000001E-3</v>
      </c>
      <c r="P3811">
        <v>-0.97648159999999895</v>
      </c>
      <c r="Q3811">
        <v>0.19383320000000001</v>
      </c>
      <c r="R3811">
        <v>9.4408049999999993E-2</v>
      </c>
      <c r="S3811">
        <v>-3.1048580000000001</v>
      </c>
      <c r="T3811">
        <v>-0.2044743</v>
      </c>
      <c r="U3811">
        <v>8.6090089999999994E-2</v>
      </c>
      <c r="V3811">
        <v>9.3297110000000003E-2</v>
      </c>
      <c r="W3811">
        <v>0.2056972</v>
      </c>
      <c r="X3811">
        <v>0.97415830000000003</v>
      </c>
      <c r="Y3811">
        <v>2.650574E-2</v>
      </c>
      <c r="Z3811">
        <v>9.7175650000000001E-4</v>
      </c>
      <c r="AA3811">
        <v>0.99964819999999999</v>
      </c>
      <c r="AB3811">
        <v>48</v>
      </c>
      <c r="AC3811">
        <v>-16.5061</v>
      </c>
      <c r="AD3811">
        <v>-1.120477037136</v>
      </c>
      <c r="AE3811">
        <v>0.47110000000000701</v>
      </c>
      <c r="AF3811">
        <v>0.45012415759972202</v>
      </c>
      <c r="AG3811">
        <v>-1.120477037136</v>
      </c>
      <c r="AH3811">
        <v>16.430975591348599</v>
      </c>
      <c r="AI3811">
        <v>93.899671259977097</v>
      </c>
      <c r="AJ3811">
        <v>88.430783030196395</v>
      </c>
      <c r="AK3811">
        <v>16.475285716232602</v>
      </c>
      <c r="AL3811">
        <v>78.129684984417906</v>
      </c>
      <c r="AM3811">
        <v>84.529352739604306</v>
      </c>
      <c r="AN3811">
        <v>1.0000000411405401</v>
      </c>
    </row>
    <row r="3812" spans="1:40" x14ac:dyDescent="0.25">
      <c r="A3812" t="str">
        <f>"20190303171053275"</f>
        <v>20190303171053275</v>
      </c>
      <c r="B3812" t="str">
        <f>"1551604253264680"</f>
        <v>1551604253264680</v>
      </c>
      <c r="C3812" t="s">
        <v>40</v>
      </c>
      <c r="D3812">
        <v>4.7402319999999998</v>
      </c>
      <c r="E3812">
        <v>0.47753570000000001</v>
      </c>
      <c r="F3812" t="s">
        <v>42</v>
      </c>
      <c r="G3812">
        <v>-330.34559999999999</v>
      </c>
      <c r="H3812" s="1">
        <v>-5.0229620000000002E-6</v>
      </c>
      <c r="I3812">
        <v>142.1215</v>
      </c>
      <c r="J3812">
        <v>-308.3657</v>
      </c>
      <c r="K3812">
        <v>1.1205020000000001</v>
      </c>
      <c r="L3812">
        <v>141.62629999999999</v>
      </c>
      <c r="M3812">
        <v>-0.99992320000000001</v>
      </c>
      <c r="N3812">
        <v>-1.233891E-2</v>
      </c>
      <c r="O3812">
        <v>1.1450919999999999E-3</v>
      </c>
      <c r="P3812">
        <v>-0.97656290000000001</v>
      </c>
      <c r="Q3812">
        <v>0.1931657</v>
      </c>
      <c r="R3812">
        <v>9.4931429999999997E-2</v>
      </c>
      <c r="S3812">
        <v>-3.0963440000000002</v>
      </c>
      <c r="T3812">
        <v>-0.15464820000000001</v>
      </c>
      <c r="U3812">
        <v>6.8405149999999998E-2</v>
      </c>
      <c r="V3812">
        <v>9.3820520000000004E-2</v>
      </c>
      <c r="W3812">
        <v>0.20519879999999999</v>
      </c>
      <c r="X3812">
        <v>0.97421310000000005</v>
      </c>
      <c r="Y3812">
        <v>2.091024E-2</v>
      </c>
      <c r="Z3812">
        <v>6.0789410000000002E-4</v>
      </c>
      <c r="AA3812">
        <v>0.99978120000000004</v>
      </c>
      <c r="AB3812">
        <v>48</v>
      </c>
      <c r="AC3812">
        <v>-21.979899999999901</v>
      </c>
      <c r="AD3812">
        <v>-1.120507022962</v>
      </c>
      <c r="AE3812">
        <v>0.49520000000001102</v>
      </c>
      <c r="AF3812">
        <v>0.468811009372962</v>
      </c>
      <c r="AG3812">
        <v>-1.120507022962</v>
      </c>
      <c r="AH3812">
        <v>21.923506137024599</v>
      </c>
      <c r="AI3812">
        <v>92.925165043729294</v>
      </c>
      <c r="AJ3812">
        <v>88.774977007436206</v>
      </c>
      <c r="AK3812">
        <v>21.957127341507402</v>
      </c>
      <c r="AL3812">
        <v>78.158863154161395</v>
      </c>
      <c r="AM3812">
        <v>84.499156928733697</v>
      </c>
      <c r="AN3812">
        <v>1.0000000008530601</v>
      </c>
    </row>
    <row r="3813" spans="1:40" x14ac:dyDescent="0.25">
      <c r="A3813" t="str">
        <f>"20190303171053296"</f>
        <v>20190303171053296</v>
      </c>
      <c r="B3813" t="str">
        <f>"1551604253284200"</f>
        <v>1551604253284200</v>
      </c>
      <c r="C3813" t="s">
        <v>40</v>
      </c>
      <c r="D3813">
        <v>4.7353360000000002</v>
      </c>
      <c r="E3813">
        <v>0.47633750000000002</v>
      </c>
      <c r="F3813" t="s">
        <v>42</v>
      </c>
      <c r="G3813">
        <v>-333.3064</v>
      </c>
      <c r="H3813" s="1">
        <v>-3.8136600000000002E-6</v>
      </c>
      <c r="I3813">
        <v>142.1309</v>
      </c>
      <c r="J3813">
        <v>-308.82650000000001</v>
      </c>
      <c r="K3813">
        <v>1.1205320000000001</v>
      </c>
      <c r="L3813">
        <v>141.62690000000001</v>
      </c>
      <c r="M3813">
        <v>-0.99992099999999995</v>
      </c>
      <c r="N3813">
        <v>-1.2527679999999999E-2</v>
      </c>
      <c r="O3813">
        <v>1.1446399999999999E-3</v>
      </c>
      <c r="P3813">
        <v>-0.97663909999999998</v>
      </c>
      <c r="Q3813">
        <v>0.19256780000000001</v>
      </c>
      <c r="R3813">
        <v>9.5362089999999997E-2</v>
      </c>
      <c r="S3813">
        <v>-3.0934140000000001</v>
      </c>
      <c r="T3813">
        <v>-0.1389775</v>
      </c>
      <c r="U3813">
        <v>6.2576290000000007E-2</v>
      </c>
      <c r="V3813">
        <v>9.4251680000000004E-2</v>
      </c>
      <c r="W3813">
        <v>0.20478569999999999</v>
      </c>
      <c r="X3813">
        <v>0.97425839999999997</v>
      </c>
      <c r="Y3813">
        <v>1.905625E-2</v>
      </c>
      <c r="Z3813">
        <v>5.1020860000000005E-4</v>
      </c>
      <c r="AA3813">
        <v>0.99981830000000005</v>
      </c>
      <c r="AB3813">
        <v>48</v>
      </c>
      <c r="AC3813">
        <v>-24.479899999999901</v>
      </c>
      <c r="AD3813">
        <v>-1.1205358136600001</v>
      </c>
      <c r="AE3813">
        <v>0.50399999999999001</v>
      </c>
      <c r="AF3813">
        <v>0.47498202552197599</v>
      </c>
      <c r="AG3813">
        <v>-1.1205358136600001</v>
      </c>
      <c r="AH3813">
        <v>24.429297535430699</v>
      </c>
      <c r="AI3813">
        <v>92.625736490009501</v>
      </c>
      <c r="AJ3813">
        <v>88.886131015351594</v>
      </c>
      <c r="AK3813">
        <v>24.459594978430601</v>
      </c>
      <c r="AL3813">
        <v>78.183045531091594</v>
      </c>
      <c r="AM3813">
        <v>84.474288816621396</v>
      </c>
      <c r="AN3813">
        <v>0.99999999603893597</v>
      </c>
    </row>
    <row r="3814" spans="1:40" x14ac:dyDescent="0.25">
      <c r="A3814" t="str">
        <f>"20190303171053320"</f>
        <v>20190303171053320</v>
      </c>
      <c r="B3814" t="str">
        <f>"1551604253314456"</f>
        <v>1551604253314456</v>
      </c>
      <c r="C3814" t="s">
        <v>40</v>
      </c>
      <c r="D3814">
        <v>4.7429610000000002</v>
      </c>
      <c r="E3814">
        <v>0.47545549999999998</v>
      </c>
      <c r="F3814" t="s">
        <v>42</v>
      </c>
      <c r="G3814">
        <v>-337.88810000000001</v>
      </c>
      <c r="H3814" s="1">
        <v>-1.6526559999999999E-6</v>
      </c>
      <c r="I3814">
        <v>142.149</v>
      </c>
      <c r="J3814">
        <v>-309.3295</v>
      </c>
      <c r="K3814">
        <v>1.1205700000000001</v>
      </c>
      <c r="L3814">
        <v>141.6275</v>
      </c>
      <c r="M3814">
        <v>-0.99991819999999998</v>
      </c>
      <c r="N3814">
        <v>-1.275048E-2</v>
      </c>
      <c r="O3814">
        <v>1.1438939999999999E-3</v>
      </c>
      <c r="P3814">
        <v>-0.97659890000000005</v>
      </c>
      <c r="Q3814">
        <v>0.19276309999999999</v>
      </c>
      <c r="R3814">
        <v>9.5380160000000005E-2</v>
      </c>
      <c r="S3814">
        <v>-3.0898129999999999</v>
      </c>
      <c r="T3814">
        <v>-0.1191343</v>
      </c>
      <c r="U3814">
        <v>5.551147E-2</v>
      </c>
      <c r="V3814">
        <v>9.4270779999999998E-2</v>
      </c>
      <c r="W3814">
        <v>0.20519780000000001</v>
      </c>
      <c r="X3814">
        <v>0.97416990000000003</v>
      </c>
      <c r="Y3814">
        <v>1.6803019999999998E-2</v>
      </c>
      <c r="Z3814">
        <v>4.0147670000000002E-4</v>
      </c>
      <c r="AA3814">
        <v>0.99985869999999999</v>
      </c>
      <c r="AB3814">
        <v>48</v>
      </c>
      <c r="AC3814">
        <v>-28.558599999999998</v>
      </c>
      <c r="AD3814">
        <v>-1.1205716526559999</v>
      </c>
      <c r="AE3814">
        <v>0.52150000000000296</v>
      </c>
      <c r="AF3814">
        <v>0.48807780664506001</v>
      </c>
      <c r="AG3814">
        <v>-1.1205716526559999</v>
      </c>
      <c r="AH3814">
        <v>28.5152906438773</v>
      </c>
      <c r="AI3814">
        <v>92.250077682719095</v>
      </c>
      <c r="AJ3814">
        <v>89.0194009144452</v>
      </c>
      <c r="AK3814">
        <v>28.5414733550822</v>
      </c>
      <c r="AL3814">
        <v>78.158922353047998</v>
      </c>
      <c r="AM3814">
        <v>84.472676986039602</v>
      </c>
      <c r="AN3814">
        <v>1.00000005557632</v>
      </c>
    </row>
    <row r="3815" spans="1:40" x14ac:dyDescent="0.25">
      <c r="A3815" t="str">
        <f>"20190303171053342"</f>
        <v>20190303171053342</v>
      </c>
      <c r="B3815" t="str">
        <f>"1551604253334952"</f>
        <v>1551604253334952</v>
      </c>
      <c r="C3815" t="s">
        <v>40</v>
      </c>
      <c r="D3815">
        <v>4.7352019999999904</v>
      </c>
      <c r="E3815">
        <v>0.47505199999999997</v>
      </c>
      <c r="F3815" t="s">
        <v>42</v>
      </c>
      <c r="G3815">
        <v>-344.57350000000002</v>
      </c>
      <c r="H3815" s="1">
        <v>-2.9964790000000001E-6</v>
      </c>
      <c r="I3815">
        <v>142.19540000000001</v>
      </c>
      <c r="J3815">
        <v>-309.82190000000003</v>
      </c>
      <c r="K3815">
        <v>1.1206050000000001</v>
      </c>
      <c r="L3815">
        <v>141.62799999999999</v>
      </c>
      <c r="M3815">
        <v>-0.99991529999999995</v>
      </c>
      <c r="N3815">
        <v>-1.296804E-2</v>
      </c>
      <c r="O3815">
        <v>1.1436910000000001E-3</v>
      </c>
      <c r="P3815">
        <v>-0.97665210000000002</v>
      </c>
      <c r="Q3815">
        <v>0.19257730000000001</v>
      </c>
      <c r="R3815">
        <v>9.5208509999999996E-2</v>
      </c>
      <c r="S3815">
        <v>-3.086395</v>
      </c>
      <c r="T3815">
        <v>-9.8131179999999998E-2</v>
      </c>
      <c r="U3815">
        <v>4.974365E-2</v>
      </c>
      <c r="V3815">
        <v>9.4099240000000001E-2</v>
      </c>
      <c r="W3815">
        <v>0.2052244</v>
      </c>
      <c r="X3815">
        <v>0.97418079999999996</v>
      </c>
      <c r="Y3815">
        <v>1.4960889999999999E-2</v>
      </c>
      <c r="Z3815">
        <v>3.1329209999999999E-4</v>
      </c>
      <c r="AA3815">
        <v>0.999888</v>
      </c>
      <c r="AB3815">
        <v>48</v>
      </c>
      <c r="AC3815">
        <v>-34.751600000000003</v>
      </c>
      <c r="AD3815">
        <v>-1.1206079964789999</v>
      </c>
      <c r="AE3815">
        <v>0.56740000000002</v>
      </c>
      <c r="AF3815">
        <v>0.52710325000163005</v>
      </c>
      <c r="AG3815">
        <v>-1.1206079964789999</v>
      </c>
      <c r="AH3815">
        <v>34.716137367978</v>
      </c>
      <c r="AI3815">
        <v>91.848605172988698</v>
      </c>
      <c r="AJ3815">
        <v>89.130131591023996</v>
      </c>
      <c r="AK3815">
        <v>34.738218058361198</v>
      </c>
      <c r="AL3815">
        <v>78.157364190906804</v>
      </c>
      <c r="AM3815">
        <v>84.482734024485694</v>
      </c>
      <c r="AN3815">
        <v>0.999999976206288</v>
      </c>
    </row>
    <row r="3816" spans="1:40" x14ac:dyDescent="0.25">
      <c r="A3816" t="str">
        <f>"20190303171053364"</f>
        <v>20190303171053364</v>
      </c>
      <c r="B3816" t="str">
        <f>"1551604253354472"</f>
        <v>1551604253354472</v>
      </c>
      <c r="C3816" t="s">
        <v>40</v>
      </c>
      <c r="D3816">
        <v>4.743792</v>
      </c>
      <c r="E3816">
        <v>0.47441080000000002</v>
      </c>
      <c r="F3816" t="s">
        <v>42</v>
      </c>
      <c r="G3816">
        <v>-346.93200000000002</v>
      </c>
      <c r="H3816" s="1">
        <v>-1.9809559999999998E-6</v>
      </c>
      <c r="I3816">
        <v>142.18119999999999</v>
      </c>
      <c r="J3816">
        <v>-310.27460000000002</v>
      </c>
      <c r="K3816">
        <v>1.1206290000000001</v>
      </c>
      <c r="L3816">
        <v>141.62860000000001</v>
      </c>
      <c r="M3816">
        <v>-0.99991269999999999</v>
      </c>
      <c r="N3816">
        <v>-1.316255E-2</v>
      </c>
      <c r="O3816">
        <v>1.1434349999999999E-3</v>
      </c>
      <c r="P3816">
        <v>-0.97683560000000003</v>
      </c>
      <c r="Q3816">
        <v>0.1922624</v>
      </c>
      <c r="R3816">
        <v>9.3955650000000002E-2</v>
      </c>
      <c r="S3816">
        <v>-3.0856319999999999</v>
      </c>
      <c r="T3816">
        <v>-9.3176599999999998E-2</v>
      </c>
      <c r="U3816">
        <v>4.6005249999999998E-2</v>
      </c>
      <c r="V3816">
        <v>9.2846540000000005E-2</v>
      </c>
      <c r="W3816">
        <v>0.20510120000000001</v>
      </c>
      <c r="X3816">
        <v>0.97432700000000005</v>
      </c>
      <c r="Y3816">
        <v>1.37556E-2</v>
      </c>
      <c r="Z3816">
        <v>2.787275E-4</v>
      </c>
      <c r="AA3816">
        <v>0.9999053</v>
      </c>
      <c r="AB3816">
        <v>48</v>
      </c>
      <c r="AC3816">
        <v>-36.657399999999903</v>
      </c>
      <c r="AD3816">
        <v>-1.120630980956</v>
      </c>
      <c r="AE3816">
        <v>0.55259999999998399</v>
      </c>
      <c r="AF3816">
        <v>0.51020395029614996</v>
      </c>
      <c r="AG3816">
        <v>-1.120630980956</v>
      </c>
      <c r="AH3816">
        <v>36.623789011181202</v>
      </c>
      <c r="AI3816">
        <v>91.752444968833402</v>
      </c>
      <c r="AJ3816">
        <v>89.201867338469995</v>
      </c>
      <c r="AK3816">
        <v>36.644481759221101</v>
      </c>
      <c r="AL3816">
        <v>78.164577248261907</v>
      </c>
      <c r="AM3816">
        <v>84.556550614788904</v>
      </c>
      <c r="AN3816">
        <v>1.0000000425802</v>
      </c>
    </row>
    <row r="3817" spans="1:40" x14ac:dyDescent="0.25">
      <c r="A3817" t="str">
        <f>"20190303171053386"</f>
        <v>20190303171053386</v>
      </c>
      <c r="B3817" t="str">
        <f>"1551604253374968"</f>
        <v>1551604253374968</v>
      </c>
      <c r="C3817" t="s">
        <v>40</v>
      </c>
      <c r="D3817">
        <v>4.742896</v>
      </c>
      <c r="E3817">
        <v>0.4739371</v>
      </c>
      <c r="F3817" t="s">
        <v>42</v>
      </c>
      <c r="G3817">
        <v>-350.58260000000001</v>
      </c>
      <c r="H3817" s="1">
        <v>-4.5217749999999996E-6</v>
      </c>
      <c r="I3817">
        <v>142.11940000000001</v>
      </c>
      <c r="J3817">
        <v>-310.7253</v>
      </c>
      <c r="K3817">
        <v>1.120652</v>
      </c>
      <c r="L3817">
        <v>141.62909999999999</v>
      </c>
      <c r="M3817">
        <v>-0.99991039999999998</v>
      </c>
      <c r="N3817">
        <v>-1.3344429999999999E-2</v>
      </c>
      <c r="O3817">
        <v>1.1432440000000001E-3</v>
      </c>
      <c r="P3817">
        <v>-0.97688799999999998</v>
      </c>
      <c r="Q3817">
        <v>0.19227069999999999</v>
      </c>
      <c r="R3817">
        <v>9.3391689999999999E-2</v>
      </c>
      <c r="S3817">
        <v>-3.0844119999999999</v>
      </c>
      <c r="T3817">
        <v>-8.5752129999999996E-2</v>
      </c>
      <c r="U3817">
        <v>3.7567139999999999E-2</v>
      </c>
      <c r="V3817">
        <v>9.2282600000000006E-2</v>
      </c>
      <c r="W3817">
        <v>0.2052879</v>
      </c>
      <c r="X3817">
        <v>0.97434120000000002</v>
      </c>
      <c r="Y3817">
        <v>1.102932E-2</v>
      </c>
      <c r="Z3817">
        <v>2.1037679999999999E-4</v>
      </c>
      <c r="AA3817">
        <v>0.99993909999999997</v>
      </c>
      <c r="AB3817">
        <v>48</v>
      </c>
      <c r="AC3817">
        <v>-39.857300000000002</v>
      </c>
      <c r="AD3817">
        <v>-1.120656521775</v>
      </c>
      <c r="AE3817">
        <v>0.490300000000019</v>
      </c>
      <c r="AF3817">
        <v>0.44437775745540198</v>
      </c>
      <c r="AG3817">
        <v>-1.120656521775</v>
      </c>
      <c r="AH3817">
        <v>39.826354573437698</v>
      </c>
      <c r="AI3817">
        <v>91.611695518847398</v>
      </c>
      <c r="AJ3817">
        <v>89.360726992283304</v>
      </c>
      <c r="AK3817">
        <v>39.844596386966899</v>
      </c>
      <c r="AL3817">
        <v>78.153646889033197</v>
      </c>
      <c r="AM3817">
        <v>84.589495129937205</v>
      </c>
      <c r="AN3817">
        <v>0.99999998708330495</v>
      </c>
    </row>
    <row r="3818" spans="1:40" x14ac:dyDescent="0.25">
      <c r="A3818" t="str">
        <f>"20190303171053410"</f>
        <v>20190303171053410</v>
      </c>
      <c r="B3818" t="str">
        <f>"1551604253394489"</f>
        <v>1551604253394489</v>
      </c>
      <c r="C3818" t="s">
        <v>40</v>
      </c>
      <c r="D3818">
        <v>4.7391579999999998</v>
      </c>
      <c r="E3818">
        <v>0.47390549999999998</v>
      </c>
      <c r="F3818" t="s">
        <v>42</v>
      </c>
      <c r="G3818">
        <v>-354.2133</v>
      </c>
      <c r="H3818" s="1">
        <v>-3.122301E-6</v>
      </c>
      <c r="I3818">
        <v>142.0874</v>
      </c>
      <c r="J3818">
        <v>-311.23020000000002</v>
      </c>
      <c r="K3818">
        <v>1.1206700000000001</v>
      </c>
      <c r="L3818">
        <v>141.62970000000001</v>
      </c>
      <c r="M3818">
        <v>-0.99990789999999996</v>
      </c>
      <c r="N3818">
        <v>-1.35294E-2</v>
      </c>
      <c r="O3818">
        <v>1.143016E-3</v>
      </c>
      <c r="P3818">
        <v>-0.9767884</v>
      </c>
      <c r="Q3818">
        <v>0.19261700000000001</v>
      </c>
      <c r="R3818">
        <v>9.3717690000000006E-2</v>
      </c>
      <c r="S3818">
        <v>-3.083466</v>
      </c>
      <c r="T3818">
        <v>-7.945895E-2</v>
      </c>
      <c r="U3818">
        <v>3.2501219999999997E-2</v>
      </c>
      <c r="V3818">
        <v>9.2608850000000006E-2</v>
      </c>
      <c r="W3818">
        <v>0.20581289999999999</v>
      </c>
      <c r="X3818">
        <v>0.9741995</v>
      </c>
      <c r="Y3818">
        <v>9.3921669999999999E-3</v>
      </c>
      <c r="Z3818">
        <v>1.70562E-4</v>
      </c>
      <c r="AA3818">
        <v>0.99995590000000001</v>
      </c>
      <c r="AB3818">
        <v>48</v>
      </c>
      <c r="AC3818">
        <v>-42.983099999999901</v>
      </c>
      <c r="AD3818">
        <v>-1.120673122301</v>
      </c>
      <c r="AE3818">
        <v>0.45769999999998801</v>
      </c>
      <c r="AF3818">
        <v>0.408287326408309</v>
      </c>
      <c r="AG3818">
        <v>-1.120673122301</v>
      </c>
      <c r="AH3818">
        <v>42.954399290930098</v>
      </c>
      <c r="AI3818">
        <v>91.494430836516202</v>
      </c>
      <c r="AJ3818">
        <v>89.455412331409306</v>
      </c>
      <c r="AK3818">
        <v>42.970955600644999</v>
      </c>
      <c r="AL3818">
        <v>78.122910514799003</v>
      </c>
      <c r="AM3818">
        <v>84.569696267212294</v>
      </c>
      <c r="AN3818">
        <v>1.00000000735249</v>
      </c>
    </row>
    <row r="3819" spans="1:40" x14ac:dyDescent="0.25">
      <c r="A3819" t="str">
        <f>"20190303171053431"</f>
        <v>20190303171053431</v>
      </c>
      <c r="B3819" t="str">
        <f>"1551604253424744"</f>
        <v>1551604253424744</v>
      </c>
      <c r="C3819" t="s">
        <v>40</v>
      </c>
      <c r="D3819">
        <v>4.791099</v>
      </c>
      <c r="E3819">
        <v>0.47386149999999999</v>
      </c>
      <c r="F3819" t="s">
        <v>42</v>
      </c>
      <c r="G3819">
        <v>-357.34350000000001</v>
      </c>
      <c r="H3819" s="1">
        <v>-1.790038E-6</v>
      </c>
      <c r="I3819">
        <v>142.12719999999999</v>
      </c>
      <c r="J3819">
        <v>-311.7045</v>
      </c>
      <c r="K3819">
        <v>1.1206830000000001</v>
      </c>
      <c r="L3819">
        <v>141.6302</v>
      </c>
      <c r="M3819">
        <v>-0.99990570000000001</v>
      </c>
      <c r="N3819">
        <v>-1.368455E-2</v>
      </c>
      <c r="O3819">
        <v>1.142796E-3</v>
      </c>
      <c r="P3819">
        <v>-0.97668149999999998</v>
      </c>
      <c r="Q3819">
        <v>0.19289609999999999</v>
      </c>
      <c r="R3819">
        <v>9.4256919999999994E-2</v>
      </c>
      <c r="S3819">
        <v>-3.082916</v>
      </c>
      <c r="T3819">
        <v>-7.4922920000000004E-2</v>
      </c>
      <c r="U3819">
        <v>3.3264160000000001E-2</v>
      </c>
      <c r="V3819">
        <v>9.3148510000000004E-2</v>
      </c>
      <c r="W3819">
        <v>0.2062417</v>
      </c>
      <c r="X3819">
        <v>0.97405739999999996</v>
      </c>
      <c r="Y3819">
        <v>9.6419799999999996E-3</v>
      </c>
      <c r="Z3819">
        <v>1.710053E-4</v>
      </c>
      <c r="AA3819">
        <v>0.99995350000000005</v>
      </c>
      <c r="AB3819">
        <v>47</v>
      </c>
      <c r="AC3819">
        <v>-45.639000000000003</v>
      </c>
      <c r="AD3819">
        <v>-1.1206847900379999</v>
      </c>
      <c r="AE3819">
        <v>0.49699999999998501</v>
      </c>
      <c r="AF3819">
        <v>0.44457069364927299</v>
      </c>
      <c r="AG3819">
        <v>-1.1206847900379999</v>
      </c>
      <c r="AH3819">
        <v>45.612038848029499</v>
      </c>
      <c r="AI3819">
        <v>91.407403529753594</v>
      </c>
      <c r="AJ3819">
        <v>89.441568092149097</v>
      </c>
      <c r="AK3819">
        <v>45.627970208792199</v>
      </c>
      <c r="AL3819">
        <v>78.097803972015996</v>
      </c>
      <c r="AM3819">
        <v>84.5374510668384</v>
      </c>
      <c r="AN3819">
        <v>1.00000005111443</v>
      </c>
    </row>
    <row r="3820" spans="1:40" x14ac:dyDescent="0.25">
      <c r="A3820" t="str">
        <f>"20190303171053454"</f>
        <v>20190303171053454</v>
      </c>
      <c r="B3820" t="str">
        <f>"1551604253444264"</f>
        <v>1551604253444264</v>
      </c>
      <c r="C3820" t="s">
        <v>40</v>
      </c>
      <c r="D3820">
        <v>4.8485279999999999</v>
      </c>
      <c r="E3820">
        <v>0.4738366</v>
      </c>
      <c r="F3820" t="s">
        <v>42</v>
      </c>
      <c r="G3820">
        <v>-362.17180000000002</v>
      </c>
      <c r="H3820" s="1">
        <v>-3.993815E-6</v>
      </c>
      <c r="I3820">
        <v>142.1918</v>
      </c>
      <c r="J3820">
        <v>-312.18</v>
      </c>
      <c r="K3820">
        <v>1.120695</v>
      </c>
      <c r="L3820">
        <v>141.63079999999999</v>
      </c>
      <c r="M3820">
        <v>-0.99990389999999996</v>
      </c>
      <c r="N3820">
        <v>-1.3823129999999999E-2</v>
      </c>
      <c r="O3820">
        <v>1.142321E-3</v>
      </c>
      <c r="P3820">
        <v>-0.97658869999999998</v>
      </c>
      <c r="Q3820">
        <v>0.19287770000000001</v>
      </c>
      <c r="R3820">
        <v>9.5252279999999995E-2</v>
      </c>
      <c r="S3820">
        <v>-3.0818180000000002</v>
      </c>
      <c r="T3820">
        <v>-6.8435549999999998E-2</v>
      </c>
      <c r="U3820">
        <v>3.4301760000000001E-2</v>
      </c>
      <c r="V3820">
        <v>9.4144459999999999E-2</v>
      </c>
      <c r="W3820">
        <v>0.20635690000000001</v>
      </c>
      <c r="X3820">
        <v>0.97393719999999995</v>
      </c>
      <c r="Y3820">
        <v>9.9833590000000007E-3</v>
      </c>
      <c r="Z3820">
        <v>1.7027639999999999E-4</v>
      </c>
      <c r="AA3820">
        <v>0.99995020000000001</v>
      </c>
      <c r="AB3820">
        <v>47</v>
      </c>
      <c r="AC3820">
        <v>-49.991799999999998</v>
      </c>
      <c r="AD3820">
        <v>-1.120698993815</v>
      </c>
      <c r="AE3820">
        <v>0.56100000000000705</v>
      </c>
      <c r="AF3820">
        <v>0.50363442945188097</v>
      </c>
      <c r="AG3820">
        <v>-1.120698993815</v>
      </c>
      <c r="AH3820">
        <v>49.967300309185397</v>
      </c>
      <c r="AI3820">
        <v>91.284786219572794</v>
      </c>
      <c r="AJ3820">
        <v>89.422519329176794</v>
      </c>
      <c r="AK3820">
        <v>49.982404044439399</v>
      </c>
      <c r="AL3820">
        <v>78.091057891584896</v>
      </c>
      <c r="AM3820">
        <v>84.478726937123696</v>
      </c>
      <c r="AN3820">
        <v>1.0000000095350701</v>
      </c>
    </row>
    <row r="3821" spans="1:40" x14ac:dyDescent="0.25">
      <c r="A3821" t="str">
        <f>"20190303171053476"</f>
        <v>20190303171053476</v>
      </c>
      <c r="B3821" t="str">
        <f>"1551604253464499"</f>
        <v>1551604253464499</v>
      </c>
      <c r="C3821" t="s">
        <v>40</v>
      </c>
      <c r="D3821">
        <v>4.8084740000000004</v>
      </c>
      <c r="E3821">
        <v>0.47383550000000002</v>
      </c>
      <c r="F3821" t="s">
        <v>42</v>
      </c>
      <c r="G3821">
        <v>-364.6902</v>
      </c>
      <c r="H3821" s="1">
        <v>-2.9645350000000001E-6</v>
      </c>
      <c r="I3821">
        <v>142.26339999999999</v>
      </c>
      <c r="J3821">
        <v>-312.64069999999998</v>
      </c>
      <c r="K3821">
        <v>1.120706</v>
      </c>
      <c r="L3821">
        <v>141.63130000000001</v>
      </c>
      <c r="M3821">
        <v>-0.99990219999999996</v>
      </c>
      <c r="N3821">
        <v>-1.3942329999999999E-2</v>
      </c>
      <c r="O3821">
        <v>1.142211E-3</v>
      </c>
      <c r="P3821">
        <v>-0.97660400000000003</v>
      </c>
      <c r="Q3821">
        <v>0.19246089999999999</v>
      </c>
      <c r="R3821">
        <v>9.5935720000000002E-2</v>
      </c>
      <c r="S3821">
        <v>-3.081299</v>
      </c>
      <c r="T3821">
        <v>-6.5762639999999997E-2</v>
      </c>
      <c r="U3821">
        <v>3.7124629999999999E-2</v>
      </c>
      <c r="V3821">
        <v>9.4827830000000002E-2</v>
      </c>
      <c r="W3821">
        <v>0.20605599999999999</v>
      </c>
      <c r="X3821">
        <v>0.97393459999999998</v>
      </c>
      <c r="Y3821">
        <v>1.090118E-2</v>
      </c>
      <c r="Z3821">
        <v>1.838772E-4</v>
      </c>
      <c r="AA3821">
        <v>0.99994059999999996</v>
      </c>
      <c r="AB3821">
        <v>47</v>
      </c>
      <c r="AC3821">
        <v>-52.049500000000002</v>
      </c>
      <c r="AD3821">
        <v>-1.1207089645349999</v>
      </c>
      <c r="AE3821">
        <v>0.63209999999997901</v>
      </c>
      <c r="AF3821">
        <v>0.57237697958552103</v>
      </c>
      <c r="AG3821">
        <v>-1.1207089645349999</v>
      </c>
      <c r="AH3821">
        <v>52.026071864172899</v>
      </c>
      <c r="AI3821">
        <v>91.233959787452804</v>
      </c>
      <c r="AJ3821">
        <v>89.369672531448202</v>
      </c>
      <c r="AK3821">
        <v>52.041288969490601</v>
      </c>
      <c r="AL3821">
        <v>78.108676719448695</v>
      </c>
      <c r="AM3821">
        <v>84.438885039137801</v>
      </c>
      <c r="AN3821">
        <v>0.99999999877783396</v>
      </c>
    </row>
    <row r="3822" spans="1:40" x14ac:dyDescent="0.25">
      <c r="A3822" t="str">
        <f>"20190303171053497"</f>
        <v>20190303171053497</v>
      </c>
      <c r="B3822" t="str">
        <f>"1551604253484995"</f>
        <v>1551604253484995</v>
      </c>
      <c r="C3822" t="s">
        <v>40</v>
      </c>
      <c r="D3822">
        <v>4.7938539999999996</v>
      </c>
      <c r="E3822">
        <v>0.47383839999999999</v>
      </c>
      <c r="F3822" t="s">
        <v>42</v>
      </c>
      <c r="G3822">
        <v>-365.8999</v>
      </c>
      <c r="H3822" s="1">
        <v>-2.457469E-6</v>
      </c>
      <c r="I3822">
        <v>142.3081</v>
      </c>
      <c r="J3822">
        <v>-313.08789999999999</v>
      </c>
      <c r="K3822">
        <v>1.1207100000000001</v>
      </c>
      <c r="L3822">
        <v>141.6319</v>
      </c>
      <c r="M3822">
        <v>-0.99990080000000003</v>
      </c>
      <c r="N3822">
        <v>-1.404383E-2</v>
      </c>
      <c r="O3822">
        <v>1.142157E-3</v>
      </c>
      <c r="P3822">
        <v>-0.97666660000000005</v>
      </c>
      <c r="Q3822">
        <v>0.19187969999999999</v>
      </c>
      <c r="R3822">
        <v>9.6460240000000003E-2</v>
      </c>
      <c r="S3822">
        <v>-3.0808110000000002</v>
      </c>
      <c r="T3822">
        <v>-6.4828159999999996E-2</v>
      </c>
      <c r="U3822">
        <v>3.9154050000000003E-2</v>
      </c>
      <c r="V3822">
        <v>9.5352339999999994E-2</v>
      </c>
      <c r="W3822">
        <v>0.2055749</v>
      </c>
      <c r="X3822">
        <v>0.97398510000000005</v>
      </c>
      <c r="Y3822">
        <v>1.156156E-2</v>
      </c>
      <c r="Z3822">
        <v>1.9484020000000001E-4</v>
      </c>
      <c r="AA3822">
        <v>0.99993310000000002</v>
      </c>
      <c r="AB3822">
        <v>47</v>
      </c>
      <c r="AC3822">
        <v>-52.811999999999998</v>
      </c>
      <c r="AD3822">
        <v>-1.1207124574689999</v>
      </c>
      <c r="AE3822">
        <v>0.67619999999999403</v>
      </c>
      <c r="AF3822">
        <v>0.61559684706093498</v>
      </c>
      <c r="AG3822">
        <v>-1.1207124574689999</v>
      </c>
      <c r="AH3822">
        <v>52.788969810460102</v>
      </c>
      <c r="AI3822">
        <v>91.216126889714204</v>
      </c>
      <c r="AJ3822">
        <v>89.331877423667706</v>
      </c>
      <c r="AK3822">
        <v>52.804453311629899</v>
      </c>
      <c r="AL3822">
        <v>78.136845290013397</v>
      </c>
      <c r="AM3822">
        <v>84.408607993344901</v>
      </c>
      <c r="AN3822">
        <v>1.0000000416377399</v>
      </c>
    </row>
    <row r="3823" spans="1:40" x14ac:dyDescent="0.25">
      <c r="A3823" t="str">
        <f>"20190303171053520"</f>
        <v>20190303171053520</v>
      </c>
      <c r="B3823" t="str">
        <f>"1551604253504515"</f>
        <v>1551604253504515</v>
      </c>
      <c r="C3823" t="s">
        <v>40</v>
      </c>
      <c r="D3823">
        <v>4.7613629999999896</v>
      </c>
      <c r="E3823">
        <v>0.47363240000000001</v>
      </c>
      <c r="F3823" t="s">
        <v>42</v>
      </c>
      <c r="G3823">
        <v>-366.01429999999999</v>
      </c>
      <c r="H3823" s="1">
        <v>-2.4154070000000002E-6</v>
      </c>
      <c r="I3823">
        <v>142.33439999999999</v>
      </c>
      <c r="J3823">
        <v>-313.57420000000002</v>
      </c>
      <c r="K3823">
        <v>1.120717</v>
      </c>
      <c r="L3823">
        <v>141.63239999999999</v>
      </c>
      <c r="M3823">
        <v>-0.99989939999999999</v>
      </c>
      <c r="N3823">
        <v>-1.4140420000000001E-2</v>
      </c>
      <c r="O3823">
        <v>1.1419539999999999E-3</v>
      </c>
      <c r="P3823">
        <v>-0.97655479999999995</v>
      </c>
      <c r="Q3823">
        <v>0.1922865</v>
      </c>
      <c r="R3823">
        <v>9.6781980000000004E-2</v>
      </c>
      <c r="S3823">
        <v>-3.0804749999999999</v>
      </c>
      <c r="T3823">
        <v>-6.5228939999999999E-2</v>
      </c>
      <c r="U3823">
        <v>4.0893550000000001E-2</v>
      </c>
      <c r="V3823">
        <v>9.5674400000000007E-2</v>
      </c>
      <c r="W3823">
        <v>0.20607420000000001</v>
      </c>
      <c r="X3823">
        <v>0.97384800000000005</v>
      </c>
      <c r="Y3823">
        <v>1.212743E-2</v>
      </c>
      <c r="Z3823">
        <v>2.0611659999999999E-4</v>
      </c>
      <c r="AA3823">
        <v>0.99992639999999999</v>
      </c>
      <c r="AB3823">
        <v>47</v>
      </c>
      <c r="AC3823">
        <v>-52.440099999999902</v>
      </c>
      <c r="AD3823">
        <v>-1.1207194154069999</v>
      </c>
      <c r="AE3823">
        <v>0.70199999999999796</v>
      </c>
      <c r="AF3823">
        <v>0.64181628522192902</v>
      </c>
      <c r="AG3823">
        <v>-1.1207194154069999</v>
      </c>
      <c r="AH3823">
        <v>52.416931038531601</v>
      </c>
      <c r="AI3823">
        <v>91.224755024106202</v>
      </c>
      <c r="AJ3823">
        <v>89.298479975153896</v>
      </c>
      <c r="AK3823">
        <v>52.432838943263597</v>
      </c>
      <c r="AL3823">
        <v>78.107611646299205</v>
      </c>
      <c r="AM3823">
        <v>84.389058137514795</v>
      </c>
      <c r="AN3823">
        <v>1.0000000469124899</v>
      </c>
    </row>
    <row r="3824" spans="1:40" x14ac:dyDescent="0.25">
      <c r="A3824" t="str">
        <f>"20190303171053543"</f>
        <v>20190303171053543</v>
      </c>
      <c r="B3824" t="str">
        <f>"1551604253534771"</f>
        <v>1551604253534771</v>
      </c>
      <c r="C3824" t="s">
        <v>40</v>
      </c>
      <c r="D3824">
        <v>4.7977819999999998</v>
      </c>
      <c r="E3824">
        <v>0.473219</v>
      </c>
      <c r="F3824" t="s">
        <v>42</v>
      </c>
      <c r="G3824">
        <v>-369.32600000000002</v>
      </c>
      <c r="H3824" s="1">
        <v>-1.003491E-6</v>
      </c>
      <c r="I3824">
        <v>142.36750000000001</v>
      </c>
      <c r="J3824">
        <v>-314.06290000000001</v>
      </c>
      <c r="K3824">
        <v>1.120727</v>
      </c>
      <c r="L3824">
        <v>141.63299999999899</v>
      </c>
      <c r="M3824">
        <v>-0.99989819999999996</v>
      </c>
      <c r="N3824">
        <v>-1.4224799999999999E-2</v>
      </c>
      <c r="O3824">
        <v>1.141715E-3</v>
      </c>
      <c r="P3824">
        <v>-0.97638360000000002</v>
      </c>
      <c r="Q3824">
        <v>0.19311490000000001</v>
      </c>
      <c r="R3824">
        <v>9.6859760000000003E-2</v>
      </c>
      <c r="S3824">
        <v>-3.0802309999999999</v>
      </c>
      <c r="T3824">
        <v>-6.1918620000000001E-2</v>
      </c>
      <c r="U3824">
        <v>4.0618899999999999E-2</v>
      </c>
      <c r="V3824">
        <v>9.5752599999999993E-2</v>
      </c>
      <c r="W3824">
        <v>0.2069821</v>
      </c>
      <c r="X3824">
        <v>0.9736477</v>
      </c>
      <c r="Y3824">
        <v>1.2039950000000001E-2</v>
      </c>
      <c r="Z3824">
        <v>1.999444E-4</v>
      </c>
      <c r="AA3824">
        <v>0.99992749999999997</v>
      </c>
      <c r="AB3824">
        <v>47</v>
      </c>
      <c r="AC3824">
        <v>-55.263099999999902</v>
      </c>
      <c r="AD3824">
        <v>-1.1207280034909901</v>
      </c>
      <c r="AE3824">
        <v>0.73450000000002502</v>
      </c>
      <c r="AF3824">
        <v>0.67112246276263898</v>
      </c>
      <c r="AG3824">
        <v>-1.1207280034909901</v>
      </c>
      <c r="AH3824">
        <v>55.241187465295802</v>
      </c>
      <c r="AI3824">
        <v>91.162166190702294</v>
      </c>
      <c r="AJ3824">
        <v>89.303950643338894</v>
      </c>
      <c r="AK3824">
        <v>55.256630635551602</v>
      </c>
      <c r="AL3824">
        <v>78.054445999286699</v>
      </c>
      <c r="AM3824">
        <v>84.383353462442301</v>
      </c>
      <c r="AN3824">
        <v>0.99999999692122898</v>
      </c>
    </row>
    <row r="3825" spans="1:40" x14ac:dyDescent="0.25">
      <c r="A3825" t="str">
        <f>"20190303171053565"</f>
        <v>20190303171053565</v>
      </c>
      <c r="B3825" t="str">
        <f>"1551604253554291"</f>
        <v>1551604253554291</v>
      </c>
      <c r="C3825" t="s">
        <v>40</v>
      </c>
      <c r="D3825">
        <v>4.811007</v>
      </c>
      <c r="E3825">
        <v>0.47290739999999998</v>
      </c>
      <c r="F3825" t="s">
        <v>42</v>
      </c>
      <c r="G3825">
        <v>-376.28089999999997</v>
      </c>
      <c r="H3825" s="1">
        <v>-2.314523E-6</v>
      </c>
      <c r="I3825">
        <v>142.38499999999999</v>
      </c>
      <c r="J3825">
        <v>-314.51369999999997</v>
      </c>
      <c r="K3825">
        <v>1.1207309999999999</v>
      </c>
      <c r="L3825">
        <v>141.6335</v>
      </c>
      <c r="M3825">
        <v>-0.99989729999999999</v>
      </c>
      <c r="N3825">
        <v>-1.4292600000000001E-2</v>
      </c>
      <c r="O3825">
        <v>1.1414109999999999E-3</v>
      </c>
      <c r="P3825">
        <v>-0.97623009999999999</v>
      </c>
      <c r="Q3825">
        <v>0.19362489999999999</v>
      </c>
      <c r="R3825">
        <v>9.7388059999999999E-2</v>
      </c>
      <c r="S3825">
        <v>-3.079834</v>
      </c>
      <c r="T3825">
        <v>-5.5476900000000003E-2</v>
      </c>
      <c r="U3825">
        <v>3.7231449999999999E-2</v>
      </c>
      <c r="V3825">
        <v>9.6281389999999994E-2</v>
      </c>
      <c r="W3825">
        <v>0.20755589999999999</v>
      </c>
      <c r="X3825">
        <v>0.97347340000000004</v>
      </c>
      <c r="Y3825">
        <v>1.094327E-2</v>
      </c>
      <c r="Z3825">
        <v>1.72526899999999E-4</v>
      </c>
      <c r="AA3825">
        <v>0.9999401</v>
      </c>
      <c r="AB3825">
        <v>47</v>
      </c>
      <c r="AC3825">
        <v>-61.767200000000003</v>
      </c>
      <c r="AD3825">
        <v>-1.1207333145229901</v>
      </c>
      <c r="AE3825">
        <v>0.75149999999999195</v>
      </c>
      <c r="AF3825">
        <v>0.68076646344536096</v>
      </c>
      <c r="AG3825">
        <v>-1.1207333145229901</v>
      </c>
      <c r="AH3825">
        <v>61.747691929421102</v>
      </c>
      <c r="AI3825">
        <v>91.039752840757203</v>
      </c>
      <c r="AJ3825">
        <v>89.368341330145597</v>
      </c>
      <c r="AK3825">
        <v>61.761613845095802</v>
      </c>
      <c r="AL3825">
        <v>78.020840037701007</v>
      </c>
      <c r="AM3825">
        <v>84.351531078377505</v>
      </c>
      <c r="AN3825">
        <v>1.0000000090963499</v>
      </c>
    </row>
    <row r="3826" spans="1:40" x14ac:dyDescent="0.25">
      <c r="A3826" t="str">
        <f>"20190303171053586"</f>
        <v>20190303171053586</v>
      </c>
      <c r="B3826" t="str">
        <f>"1551604253574787"</f>
        <v>1551604253574787</v>
      </c>
      <c r="C3826" t="s">
        <v>40</v>
      </c>
      <c r="D3826">
        <v>4.84443</v>
      </c>
      <c r="E3826">
        <v>0.47266859999999999</v>
      </c>
      <c r="F3826" t="s">
        <v>42</v>
      </c>
      <c r="G3826">
        <v>-382.66230000000002</v>
      </c>
      <c r="H3826" s="1">
        <v>-3.865558E-6</v>
      </c>
      <c r="I3826">
        <v>142.40969999999999</v>
      </c>
      <c r="J3826">
        <v>-314.97669999999999</v>
      </c>
      <c r="K3826">
        <v>1.1207370000000001</v>
      </c>
      <c r="L3826">
        <v>141.63409999999999</v>
      </c>
      <c r="M3826">
        <v>-0.99989640000000002</v>
      </c>
      <c r="N3826">
        <v>-1.435313E-2</v>
      </c>
      <c r="O3826">
        <v>1.141335E-3</v>
      </c>
      <c r="P3826">
        <v>-0.97641029999999995</v>
      </c>
      <c r="Q3826">
        <v>0.19267790000000001</v>
      </c>
      <c r="R3826">
        <v>9.7459470000000006E-2</v>
      </c>
      <c r="S3826">
        <v>-3.0796199999999998</v>
      </c>
      <c r="T3826">
        <v>-5.0645830000000003E-2</v>
      </c>
      <c r="U3826">
        <v>3.507996E-2</v>
      </c>
      <c r="V3826">
        <v>9.6352750000000001E-2</v>
      </c>
      <c r="W3826">
        <v>0.2066704</v>
      </c>
      <c r="X3826">
        <v>0.97365469999999998</v>
      </c>
      <c r="Y3826">
        <v>1.024629E-2</v>
      </c>
      <c r="Z3826">
        <v>1.5540669999999999E-4</v>
      </c>
      <c r="AA3826">
        <v>0.99994749999999999</v>
      </c>
      <c r="AB3826">
        <v>47</v>
      </c>
      <c r="AC3826">
        <v>-67.685599999999994</v>
      </c>
      <c r="AD3826">
        <v>-1.120740865558</v>
      </c>
      <c r="AE3826">
        <v>0.77559999999999696</v>
      </c>
      <c r="AF3826">
        <v>0.69814821140735694</v>
      </c>
      <c r="AG3826">
        <v>-1.120740865558</v>
      </c>
      <c r="AH3826">
        <v>67.667891235233597</v>
      </c>
      <c r="AI3826">
        <v>90.948816836770803</v>
      </c>
      <c r="AJ3826">
        <v>89.408884686176705</v>
      </c>
      <c r="AK3826">
        <v>67.680772566780206</v>
      </c>
      <c r="AL3826">
        <v>78.072699708206997</v>
      </c>
      <c r="AM3826">
        <v>84.348417492921797</v>
      </c>
      <c r="AN3826">
        <v>0.99999999075040602</v>
      </c>
    </row>
    <row r="3827" spans="1:40" x14ac:dyDescent="0.25">
      <c r="A3827" t="str">
        <f>"20190303171053610"</f>
        <v>20190303171053610</v>
      </c>
      <c r="B3827" t="str">
        <f>"1551604253605044"</f>
        <v>1551604253605044</v>
      </c>
      <c r="C3827" t="s">
        <v>40</v>
      </c>
      <c r="D3827">
        <v>4.8984439999999996</v>
      </c>
      <c r="E3827">
        <v>0.47252309999999997</v>
      </c>
      <c r="F3827" t="s">
        <v>42</v>
      </c>
      <c r="G3827">
        <v>-380.95089999999999</v>
      </c>
      <c r="H3827" s="1">
        <v>-4.4385459999999999E-6</v>
      </c>
      <c r="I3827">
        <v>142.35679999999999</v>
      </c>
      <c r="J3827">
        <v>-315.47559999999999</v>
      </c>
      <c r="K3827">
        <v>1.1207419999999999</v>
      </c>
      <c r="L3827">
        <v>141.63460000000001</v>
      </c>
      <c r="M3827">
        <v>-0.9998956</v>
      </c>
      <c r="N3827">
        <v>-1.4409409999999999E-2</v>
      </c>
      <c r="O3827">
        <v>1.1409320000000001E-3</v>
      </c>
      <c r="P3827">
        <v>-0.97658529999999999</v>
      </c>
      <c r="Q3827">
        <v>0.19168099999999999</v>
      </c>
      <c r="R3827">
        <v>9.7672049999999996E-2</v>
      </c>
      <c r="S3827">
        <v>-3.0794679999999999</v>
      </c>
      <c r="T3827">
        <v>-5.2312730000000002E-2</v>
      </c>
      <c r="U3827">
        <v>3.3737179999999999E-2</v>
      </c>
      <c r="V3827">
        <v>9.6565429999999994E-2</v>
      </c>
      <c r="W3827">
        <v>0.20573079999999999</v>
      </c>
      <c r="X3827">
        <v>0.97383260000000005</v>
      </c>
      <c r="Y3827">
        <v>9.8112660000000008E-3</v>
      </c>
      <c r="Z3827">
        <v>1.5108950000000001E-4</v>
      </c>
      <c r="AA3827">
        <v>0.99995179999999995</v>
      </c>
      <c r="AB3827">
        <v>47</v>
      </c>
      <c r="AC3827">
        <v>-65.475300000000004</v>
      </c>
      <c r="AD3827">
        <v>-1.120746438546</v>
      </c>
      <c r="AE3827">
        <v>0.72219999999998596</v>
      </c>
      <c r="AF3827">
        <v>0.64729928153534699</v>
      </c>
      <c r="AG3827">
        <v>-1.120746438546</v>
      </c>
      <c r="AH3827">
        <v>65.456905250046006</v>
      </c>
      <c r="AI3827">
        <v>90.980868681127205</v>
      </c>
      <c r="AJ3827">
        <v>89.433424053579799</v>
      </c>
      <c r="AK3827">
        <v>65.469699203928599</v>
      </c>
      <c r="AL3827">
        <v>78.127717138786494</v>
      </c>
      <c r="AM3827">
        <v>84.337051716428803</v>
      </c>
      <c r="AN3827">
        <v>0.99999998858124195</v>
      </c>
    </row>
    <row r="3828" spans="1:40" x14ac:dyDescent="0.25">
      <c r="A3828" t="str">
        <f>"20190303171053634"</f>
        <v>20190303171053634</v>
      </c>
      <c r="B3828" t="str">
        <f>"1551604253624563"</f>
        <v>1551604253624563</v>
      </c>
      <c r="C3828" t="s">
        <v>40</v>
      </c>
      <c r="D3828">
        <v>4.888325</v>
      </c>
      <c r="E3828">
        <v>0.472389</v>
      </c>
      <c r="F3828" t="s">
        <v>42</v>
      </c>
      <c r="G3828">
        <v>-379.11509999999998</v>
      </c>
      <c r="H3828" s="1">
        <v>-1.081312E-6</v>
      </c>
      <c r="I3828">
        <v>142.31979999999999</v>
      </c>
      <c r="J3828">
        <v>-315.95859999999999</v>
      </c>
      <c r="K3828">
        <v>1.1207450000000001</v>
      </c>
      <c r="L3828">
        <v>141.6352</v>
      </c>
      <c r="M3828">
        <v>-0.99989490000000003</v>
      </c>
      <c r="N3828">
        <v>-1.44561E-2</v>
      </c>
      <c r="O3828">
        <v>1.140893E-3</v>
      </c>
      <c r="P3828">
        <v>-0.97655329999999996</v>
      </c>
      <c r="Q3828">
        <v>0.19165189999999999</v>
      </c>
      <c r="R3828">
        <v>9.8046179999999997E-2</v>
      </c>
      <c r="S3828">
        <v>-3.0793149999999998</v>
      </c>
      <c r="T3828">
        <v>-5.4229260000000001E-2</v>
      </c>
      <c r="U3828">
        <v>3.3157350000000002E-2</v>
      </c>
      <c r="V3828">
        <v>9.6939559999999994E-2</v>
      </c>
      <c r="W3828">
        <v>0.20574709999999999</v>
      </c>
      <c r="X3828">
        <v>0.97379199999999999</v>
      </c>
      <c r="Y3828">
        <v>9.6234800000000002E-3</v>
      </c>
      <c r="Z3828">
        <v>1.507073E-4</v>
      </c>
      <c r="AA3828">
        <v>0.99995369999999995</v>
      </c>
      <c r="AB3828">
        <v>47</v>
      </c>
      <c r="AC3828">
        <v>-63.156500000000001</v>
      </c>
      <c r="AD3828">
        <v>-1.120746081312</v>
      </c>
      <c r="AE3828">
        <v>0.684599999999989</v>
      </c>
      <c r="AF3828">
        <v>0.61234441162866504</v>
      </c>
      <c r="AG3828">
        <v>-1.120746081312</v>
      </c>
      <c r="AH3828">
        <v>63.1373601456635</v>
      </c>
      <c r="AI3828">
        <v>91.016898046861698</v>
      </c>
      <c r="AJ3828">
        <v>89.444328202552299</v>
      </c>
      <c r="AK3828">
        <v>63.150275404153597</v>
      </c>
      <c r="AL3828">
        <v>78.126762979342303</v>
      </c>
      <c r="AM3828">
        <v>84.315019342956802</v>
      </c>
      <c r="AN3828">
        <v>1.0000000033576999</v>
      </c>
    </row>
    <row r="3829" spans="1:40" x14ac:dyDescent="0.25">
      <c r="A3829" t="str">
        <f>"20190303171053654"</f>
        <v>20190303171053654</v>
      </c>
      <c r="B3829" t="str">
        <f>"1551604253644083"</f>
        <v>1551604253644083</v>
      </c>
      <c r="C3829" t="s">
        <v>40</v>
      </c>
      <c r="D3829">
        <v>4.8682689999999997</v>
      </c>
      <c r="E3829">
        <v>0.47222219999999998</v>
      </c>
      <c r="F3829" t="s">
        <v>42</v>
      </c>
      <c r="G3829">
        <v>-380.6259</v>
      </c>
      <c r="H3829" s="1">
        <v>-4.5438179999999997E-6</v>
      </c>
      <c r="I3829">
        <v>142.32660000000001</v>
      </c>
      <c r="J3829">
        <v>-316.41269999999997</v>
      </c>
      <c r="K3829">
        <v>1.120752</v>
      </c>
      <c r="L3829">
        <v>141.63570000000001</v>
      </c>
      <c r="M3829">
        <v>-0.99989439999999996</v>
      </c>
      <c r="N3829">
        <v>-1.449377E-2</v>
      </c>
      <c r="O3829">
        <v>1.1406210000000001E-3</v>
      </c>
      <c r="P3829">
        <v>-0.97626190000000002</v>
      </c>
      <c r="Q3829">
        <v>0.19256290000000001</v>
      </c>
      <c r="R3829">
        <v>9.9157510000000004E-2</v>
      </c>
      <c r="S3829">
        <v>-3.079224</v>
      </c>
      <c r="T3829">
        <v>-5.3366070000000002E-2</v>
      </c>
      <c r="U3829">
        <v>3.2928470000000001E-2</v>
      </c>
      <c r="V3829">
        <v>9.80515E-2</v>
      </c>
      <c r="W3829">
        <v>0.2066905</v>
      </c>
      <c r="X3829">
        <v>0.97348080000000003</v>
      </c>
      <c r="Y3829">
        <v>9.5498340000000001E-3</v>
      </c>
      <c r="Z3829">
        <v>1.4873339999999999E-4</v>
      </c>
      <c r="AA3829">
        <v>0.99995440000000002</v>
      </c>
      <c r="AB3829">
        <v>47</v>
      </c>
      <c r="AC3829">
        <v>-64.213200000000001</v>
      </c>
      <c r="AD3829">
        <v>-1.1207565438180001</v>
      </c>
      <c r="AE3829">
        <v>0.69089999999999896</v>
      </c>
      <c r="AF3829">
        <v>0.61746086258298605</v>
      </c>
      <c r="AG3829">
        <v>-1.1207565438180001</v>
      </c>
      <c r="AH3829">
        <v>64.194393026256805</v>
      </c>
      <c r="AI3829">
        <v>91.0001672139812</v>
      </c>
      <c r="AJ3829">
        <v>89.448911208497194</v>
      </c>
      <c r="AK3829">
        <v>64.207144845078304</v>
      </c>
      <c r="AL3829">
        <v>78.071522321196198</v>
      </c>
      <c r="AM3829">
        <v>84.248418795549995</v>
      </c>
      <c r="AN3829">
        <v>0.99999996370556898</v>
      </c>
    </row>
    <row r="3830" spans="1:40" x14ac:dyDescent="0.25">
      <c r="A3830" t="str">
        <f>"20190303171053678"</f>
        <v>20190303171053678</v>
      </c>
      <c r="B3830" t="str">
        <f>"1551604253664579"</f>
        <v>1551604253664579</v>
      </c>
      <c r="C3830" t="s">
        <v>40</v>
      </c>
      <c r="D3830">
        <v>4.7858309999999999</v>
      </c>
      <c r="E3830">
        <v>0.4721399</v>
      </c>
      <c r="F3830" t="s">
        <v>42</v>
      </c>
      <c r="G3830">
        <v>-386.89139999999998</v>
      </c>
      <c r="H3830" s="1">
        <v>-2.0620380000000001E-6</v>
      </c>
      <c r="I3830">
        <v>142.4204</v>
      </c>
      <c r="J3830">
        <v>-316.86709999999999</v>
      </c>
      <c r="K3830">
        <v>1.1207590000000001</v>
      </c>
      <c r="L3830">
        <v>141.6362</v>
      </c>
      <c r="M3830">
        <v>-0.99989380000000005</v>
      </c>
      <c r="N3830">
        <v>-1.4525959999999999E-2</v>
      </c>
      <c r="O3830">
        <v>1.140388E-3</v>
      </c>
      <c r="P3830">
        <v>-0.97611000000000003</v>
      </c>
      <c r="Q3830">
        <v>0.1928848</v>
      </c>
      <c r="R3830">
        <v>0.1000239</v>
      </c>
      <c r="S3830">
        <v>-3.0791019999999998</v>
      </c>
      <c r="T3830">
        <v>-4.8964019999999997E-2</v>
      </c>
      <c r="U3830">
        <v>3.4286499999999998E-2</v>
      </c>
      <c r="V3830">
        <v>9.8918450000000005E-2</v>
      </c>
      <c r="W3830">
        <v>0.2070418</v>
      </c>
      <c r="X3830">
        <v>0.97331849999999998</v>
      </c>
      <c r="Y3830">
        <v>9.9916769999999992E-3</v>
      </c>
      <c r="Z3830">
        <v>1.5045360000000001E-4</v>
      </c>
      <c r="AA3830">
        <v>0.99995009999999995</v>
      </c>
      <c r="AB3830">
        <v>47</v>
      </c>
      <c r="AC3830">
        <v>-70.024299999999897</v>
      </c>
      <c r="AD3830">
        <v>-1.120761062038</v>
      </c>
      <c r="AE3830">
        <v>0.78419999999999801</v>
      </c>
      <c r="AF3830">
        <v>0.70415582791611397</v>
      </c>
      <c r="AG3830">
        <v>-1.120761062038</v>
      </c>
      <c r="AH3830">
        <v>70.007217334094506</v>
      </c>
      <c r="AI3830">
        <v>90.917136100613703</v>
      </c>
      <c r="AJ3830">
        <v>89.423719466302202</v>
      </c>
      <c r="AK3830">
        <v>70.019728788758599</v>
      </c>
      <c r="AL3830">
        <v>78.050950162484398</v>
      </c>
      <c r="AM3830">
        <v>84.196949124101096</v>
      </c>
      <c r="AN3830">
        <v>1.00000003456994</v>
      </c>
    </row>
    <row r="3831" spans="1:40" x14ac:dyDescent="0.25">
      <c r="A3831" t="str">
        <f>"20190303171053699"</f>
        <v>20190303171053699</v>
      </c>
      <c r="B3831" t="str">
        <f>"1551604253694836"</f>
        <v>1551604253694836</v>
      </c>
      <c r="C3831" t="s">
        <v>40</v>
      </c>
      <c r="D3831">
        <v>4.9815800000000001</v>
      </c>
      <c r="E3831">
        <v>0.48945349999999999</v>
      </c>
      <c r="F3831" t="s">
        <v>42</v>
      </c>
      <c r="G3831">
        <v>-389.85660000000001</v>
      </c>
      <c r="H3831" s="1">
        <v>-8.0998849999999997E-7</v>
      </c>
      <c r="I3831">
        <v>142.4956</v>
      </c>
      <c r="J3831">
        <v>-317.34500000000003</v>
      </c>
      <c r="K3831">
        <v>1.1207640000000001</v>
      </c>
      <c r="L3831">
        <v>141.63669999999999</v>
      </c>
      <c r="M3831">
        <v>-0.99989349999999999</v>
      </c>
      <c r="N3831">
        <v>-1.455469E-2</v>
      </c>
      <c r="O3831">
        <v>1.14018E-3</v>
      </c>
      <c r="P3831">
        <v>-0.97634549999999998</v>
      </c>
      <c r="Q3831">
        <v>0.1917806</v>
      </c>
      <c r="R3831">
        <v>9.9848569999999998E-2</v>
      </c>
      <c r="S3831">
        <v>-3.0789789999999999</v>
      </c>
      <c r="T3831">
        <v>-4.7278050000000002E-2</v>
      </c>
      <c r="U3831">
        <v>3.6254880000000003E-2</v>
      </c>
      <c r="V3831">
        <v>9.8742930000000007E-2</v>
      </c>
      <c r="W3831">
        <v>0.2059687</v>
      </c>
      <c r="X3831">
        <v>0.97356390000000004</v>
      </c>
      <c r="Y3831">
        <v>1.063148E-2</v>
      </c>
      <c r="Z3831">
        <v>1.5809010000000001E-4</v>
      </c>
      <c r="AA3831">
        <v>0.99994349999999999</v>
      </c>
      <c r="AB3831">
        <v>47</v>
      </c>
      <c r="AC3831">
        <v>-72.511599999999902</v>
      </c>
      <c r="AD3831">
        <v>-1.1207648099884999</v>
      </c>
      <c r="AE3831">
        <v>0.85890000000000499</v>
      </c>
      <c r="AF3831">
        <v>0.77602904688753704</v>
      </c>
      <c r="AG3831">
        <v>-1.1207648099884999</v>
      </c>
      <c r="AH3831">
        <v>72.495215669788493</v>
      </c>
      <c r="AI3831">
        <v>90.885662587560603</v>
      </c>
      <c r="AJ3831">
        <v>89.386697583232802</v>
      </c>
      <c r="AK3831">
        <v>72.508031485140094</v>
      </c>
      <c r="AL3831">
        <v>78.113787934092599</v>
      </c>
      <c r="AM3831">
        <v>84.208626150450499</v>
      </c>
      <c r="AN3831">
        <v>0.99999996949394199</v>
      </c>
    </row>
    <row r="3832" spans="1:40" x14ac:dyDescent="0.25">
      <c r="A3832" t="str">
        <f>"20190303171053722"</f>
        <v>20190303171053722</v>
      </c>
      <c r="B3832" t="str">
        <f>"1551604253714355"</f>
        <v>1551604253714355</v>
      </c>
      <c r="C3832" t="s">
        <v>40</v>
      </c>
      <c r="D3832">
        <v>4.9789180000000002</v>
      </c>
      <c r="E3832">
        <v>0.49124240000000002</v>
      </c>
      <c r="F3832" t="s">
        <v>42</v>
      </c>
      <c r="G3832">
        <v>-395.89699999999999</v>
      </c>
      <c r="H3832" s="1">
        <v>-3.4212139999999999E-6</v>
      </c>
      <c r="I3832">
        <v>146.1103</v>
      </c>
      <c r="J3832">
        <v>-317.81279999999998</v>
      </c>
      <c r="K3832">
        <v>1.1207609999999999</v>
      </c>
      <c r="L3832">
        <v>141.63730000000001</v>
      </c>
      <c r="M3832">
        <v>-0.99989309999999998</v>
      </c>
      <c r="N3832">
        <v>-1.4578600000000001E-2</v>
      </c>
      <c r="O3832">
        <v>1.140006E-3</v>
      </c>
      <c r="P3832">
        <v>-0.97653029999999996</v>
      </c>
      <c r="Q3832">
        <v>0.1911882</v>
      </c>
      <c r="R3832">
        <v>9.9176239999999999E-2</v>
      </c>
      <c r="S3832">
        <v>-3.0634459999999999</v>
      </c>
      <c r="T3832">
        <v>-4.3708799999999999E-2</v>
      </c>
      <c r="U3832">
        <v>0.17446900000000001</v>
      </c>
      <c r="V3832">
        <v>9.8070669999999999E-2</v>
      </c>
      <c r="W3832">
        <v>0.20540269999999999</v>
      </c>
      <c r="X3832">
        <v>0.97375140000000004</v>
      </c>
      <c r="Y3832">
        <v>5.5709969999999998E-2</v>
      </c>
      <c r="Z3832">
        <v>8.039236E-4</v>
      </c>
      <c r="AA3832">
        <v>0.99844659999999996</v>
      </c>
      <c r="AB3832">
        <v>47</v>
      </c>
      <c r="AC3832">
        <v>-78.084199999999996</v>
      </c>
      <c r="AD3832">
        <v>-1.120764421214</v>
      </c>
      <c r="AE3832">
        <v>4.4729999999999803</v>
      </c>
      <c r="AF3832">
        <v>4.3830711450486097</v>
      </c>
      <c r="AG3832">
        <v>-1.120764421214</v>
      </c>
      <c r="AH3832">
        <v>78.073217262971994</v>
      </c>
      <c r="AI3832">
        <v>90.821148750942399</v>
      </c>
      <c r="AJ3832">
        <v>86.786758003721005</v>
      </c>
      <c r="AK3832">
        <v>78.204185817267202</v>
      </c>
      <c r="AL3832">
        <v>78.146925752046499</v>
      </c>
      <c r="AM3832">
        <v>84.248889772546804</v>
      </c>
      <c r="AN3832">
        <v>0.99999995724174795</v>
      </c>
    </row>
    <row r="3833" spans="1:40" x14ac:dyDescent="0.25">
      <c r="A3833" t="str">
        <f>"20190303171053743"</f>
        <v>20190303171053743</v>
      </c>
      <c r="B3833" t="str">
        <f>"1551604253734851"</f>
        <v>1551604253734851</v>
      </c>
      <c r="C3833" t="s">
        <v>40</v>
      </c>
      <c r="D3833">
        <v>4.9760169999999997</v>
      </c>
      <c r="E3833">
        <v>0.49196079999999998</v>
      </c>
      <c r="F3833" t="s">
        <v>42</v>
      </c>
      <c r="G3833">
        <v>-392.11930000000001</v>
      </c>
      <c r="H3833" s="1">
        <v>-4.7183640000000003E-6</v>
      </c>
      <c r="I3833">
        <v>146.1756</v>
      </c>
      <c r="J3833">
        <v>-318.28179999999998</v>
      </c>
      <c r="K3833">
        <v>1.1207750000000001</v>
      </c>
      <c r="L3833">
        <v>141.6378</v>
      </c>
      <c r="M3833">
        <v>-0.99989280000000003</v>
      </c>
      <c r="N3833">
        <v>-1.4598939999999999E-2</v>
      </c>
      <c r="O3833">
        <v>1.139679E-3</v>
      </c>
      <c r="P3833">
        <v>-0.97651710000000003</v>
      </c>
      <c r="Q3833">
        <v>0.1916225</v>
      </c>
      <c r="R3833">
        <v>9.8465739999999996E-2</v>
      </c>
      <c r="S3833">
        <v>-3.0621640000000001</v>
      </c>
      <c r="T3833">
        <v>-4.6186690000000002E-2</v>
      </c>
      <c r="U3833">
        <v>0.187027</v>
      </c>
      <c r="V3833">
        <v>9.7360569999999994E-2</v>
      </c>
      <c r="W3833">
        <v>0.20585580000000001</v>
      </c>
      <c r="X3833">
        <v>0.97372700000000001</v>
      </c>
      <c r="Y3833">
        <v>5.9812039999999997E-2</v>
      </c>
      <c r="Z3833">
        <v>8.8715319999999997E-4</v>
      </c>
      <c r="AA3833">
        <v>0.99820920000000002</v>
      </c>
      <c r="AB3833">
        <v>47</v>
      </c>
      <c r="AC3833">
        <v>-73.837500000000006</v>
      </c>
      <c r="AD3833">
        <v>-1.120779718364</v>
      </c>
      <c r="AE3833">
        <v>4.5377999999999998</v>
      </c>
      <c r="AF3833">
        <v>4.45261500489387</v>
      </c>
      <c r="AG3833">
        <v>-1.120779718364</v>
      </c>
      <c r="AH3833">
        <v>73.825678629318801</v>
      </c>
      <c r="AI3833">
        <v>90.868187932316502</v>
      </c>
      <c r="AJ3833">
        <v>86.548526357346901</v>
      </c>
      <c r="AK3833">
        <v>73.968322629611905</v>
      </c>
      <c r="AL3833">
        <v>78.120398420327206</v>
      </c>
      <c r="AM3833">
        <v>84.290113546702102</v>
      </c>
      <c r="AN3833">
        <v>0.99999998075668195</v>
      </c>
    </row>
    <row r="3834" spans="1:40" x14ac:dyDescent="0.25">
      <c r="A3834" t="str">
        <f>"20190303171053766"</f>
        <v>20190303171053766</v>
      </c>
      <c r="B3834" t="str">
        <f>"1551604253754372"</f>
        <v>1551604253754372</v>
      </c>
      <c r="C3834" t="s">
        <v>40</v>
      </c>
      <c r="D3834">
        <v>5.0346739999999999</v>
      </c>
      <c r="E3834">
        <v>0.49239539999999998</v>
      </c>
      <c r="F3834" t="s">
        <v>42</v>
      </c>
      <c r="G3834">
        <v>-391.40289999999999</v>
      </c>
      <c r="H3834" s="1">
        <v>-4.9642660000000004E-6</v>
      </c>
      <c r="I3834">
        <v>146.1876</v>
      </c>
      <c r="J3834">
        <v>-318.73829999999998</v>
      </c>
      <c r="K3834">
        <v>1.120789</v>
      </c>
      <c r="L3834">
        <v>141.63829999999999</v>
      </c>
      <c r="M3834">
        <v>-0.99989269999999997</v>
      </c>
      <c r="N3834">
        <v>-1.461582E-2</v>
      </c>
      <c r="O3834">
        <v>1.1394370000000001E-3</v>
      </c>
      <c r="P3834">
        <v>-0.97634880000000002</v>
      </c>
      <c r="Q3834">
        <v>0.19272239999999999</v>
      </c>
      <c r="R3834">
        <v>9.7988389999999995E-2</v>
      </c>
      <c r="S3834">
        <v>-3.0621339999999999</v>
      </c>
      <c r="T3834">
        <v>-4.6935560000000001E-2</v>
      </c>
      <c r="U3834">
        <v>0.1905365</v>
      </c>
      <c r="V3834">
        <v>9.6883629999999998E-2</v>
      </c>
      <c r="W3834">
        <v>0.2069695</v>
      </c>
      <c r="X3834">
        <v>0.97353849999999997</v>
      </c>
      <c r="Y3834">
        <v>6.0951980000000003E-2</v>
      </c>
      <c r="Z3834">
        <v>9.117773E-4</v>
      </c>
      <c r="AA3834">
        <v>0.99814029999999998</v>
      </c>
      <c r="AB3834">
        <v>47</v>
      </c>
      <c r="AC3834">
        <v>-72.664599999999993</v>
      </c>
      <c r="AD3834">
        <v>-1.1207939642659901</v>
      </c>
      <c r="AE3834">
        <v>4.5493000000000103</v>
      </c>
      <c r="AF3834">
        <v>4.4654332744665099</v>
      </c>
      <c r="AG3834">
        <v>-1.1207939642659901</v>
      </c>
      <c r="AH3834">
        <v>72.652520010502997</v>
      </c>
      <c r="AI3834">
        <v>90.882154483899697</v>
      </c>
      <c r="AJ3834">
        <v>86.482860686492003</v>
      </c>
      <c r="AK3834">
        <v>72.798248174771302</v>
      </c>
      <c r="AL3834">
        <v>78.055184079403205</v>
      </c>
      <c r="AM3834">
        <v>84.316808086370898</v>
      </c>
      <c r="AN3834">
        <v>1.00000001133723</v>
      </c>
    </row>
    <row r="3835" spans="1:40" x14ac:dyDescent="0.25">
      <c r="A3835" t="str">
        <f>"20190303171053788"</f>
        <v>20190303171053788</v>
      </c>
      <c r="B3835" t="str">
        <f>"1551604253774868"</f>
        <v>1551604253774868</v>
      </c>
      <c r="C3835" t="s">
        <v>40</v>
      </c>
      <c r="D3835">
        <v>4.9763570000000001</v>
      </c>
      <c r="E3835">
        <v>0.49275770000000002</v>
      </c>
      <c r="F3835" t="s">
        <v>42</v>
      </c>
      <c r="G3835">
        <v>-394.94670000000002</v>
      </c>
      <c r="H3835" s="1">
        <v>-3.7990270000000001E-6</v>
      </c>
      <c r="I3835">
        <v>146.4171</v>
      </c>
      <c r="J3835">
        <v>-319.20080000000002</v>
      </c>
      <c r="K3835">
        <v>1.1208009999999999</v>
      </c>
      <c r="L3835">
        <v>141.63890000000001</v>
      </c>
      <c r="M3835">
        <v>-0.99989240000000001</v>
      </c>
      <c r="N3835">
        <v>-1.4630290000000001E-2</v>
      </c>
      <c r="O3835">
        <v>1.1393320000000001E-3</v>
      </c>
      <c r="P3835">
        <v>-0.97616650000000005</v>
      </c>
      <c r="Q3835">
        <v>0.19389780000000001</v>
      </c>
      <c r="R3835">
        <v>9.7481639999999994E-2</v>
      </c>
      <c r="S3835">
        <v>-3.0622859999999998</v>
      </c>
      <c r="T3835">
        <v>-4.5036909999999999E-2</v>
      </c>
      <c r="U3835">
        <v>0.19203190000000001</v>
      </c>
      <c r="V3835">
        <v>9.6377249999999998E-2</v>
      </c>
      <c r="W3835">
        <v>0.2081566</v>
      </c>
      <c r="X3835">
        <v>0.97333559999999997</v>
      </c>
      <c r="Y3835">
        <v>6.143523E-2</v>
      </c>
      <c r="Z3835">
        <v>9.0113080000000004E-4</v>
      </c>
      <c r="AA3835">
        <v>0.99811070000000002</v>
      </c>
      <c r="AB3835">
        <v>47</v>
      </c>
      <c r="AC3835">
        <v>-75.745900000000006</v>
      </c>
      <c r="AD3835">
        <v>-1.120804799027</v>
      </c>
      <c r="AE3835">
        <v>4.7781999999999902</v>
      </c>
      <c r="AF3835">
        <v>4.6908649531398803</v>
      </c>
      <c r="AG3835">
        <v>-1.120804799027</v>
      </c>
      <c r="AH3835">
        <v>75.734779083773802</v>
      </c>
      <c r="AI3835">
        <v>90.846241300468506</v>
      </c>
      <c r="AJ3835">
        <v>86.455738509308603</v>
      </c>
      <c r="AK3835">
        <v>75.888188674352605</v>
      </c>
      <c r="AL3835">
        <v>77.9856534681781</v>
      </c>
      <c r="AM3835">
        <v>84.345148466291405</v>
      </c>
      <c r="AN3835">
        <v>0.99999996733424001</v>
      </c>
    </row>
    <row r="3836" spans="1:40" x14ac:dyDescent="0.25">
      <c r="A3836" t="str">
        <f>"20190303171053813"</f>
        <v>20190303171053813</v>
      </c>
      <c r="B3836" t="str">
        <f>"1551604253805126"</f>
        <v>1551604253805126</v>
      </c>
      <c r="C3836" t="s">
        <v>40</v>
      </c>
      <c r="D3836">
        <v>5.0334979999999998</v>
      </c>
      <c r="E3836">
        <v>0.4931548</v>
      </c>
      <c r="F3836" t="s">
        <v>42</v>
      </c>
      <c r="G3836">
        <v>-399.41379999999998</v>
      </c>
      <c r="H3836" s="1">
        <v>-2.1201700000000001E-6</v>
      </c>
      <c r="I3836">
        <v>146.70570000000001</v>
      </c>
      <c r="J3836">
        <v>-319.71789999999999</v>
      </c>
      <c r="K3836">
        <v>1.1208089999999999</v>
      </c>
      <c r="L3836">
        <v>141.63939999999999</v>
      </c>
      <c r="M3836">
        <v>-0.99989220000000001</v>
      </c>
      <c r="N3836">
        <v>-1.4643679999999999E-2</v>
      </c>
      <c r="O3836">
        <v>1.1392349999999999E-3</v>
      </c>
      <c r="P3836">
        <v>-0.97611579999999998</v>
      </c>
      <c r="Q3836">
        <v>0.1943579</v>
      </c>
      <c r="R3836">
        <v>9.7072270000000002E-2</v>
      </c>
      <c r="S3836">
        <v>-3.0624389999999999</v>
      </c>
      <c r="T3836">
        <v>-4.2791009999999997E-2</v>
      </c>
      <c r="U3836">
        <v>0.19345090000000001</v>
      </c>
      <c r="V3836">
        <v>9.5968070000000003E-2</v>
      </c>
      <c r="W3836">
        <v>0.20862910000000001</v>
      </c>
      <c r="X3836">
        <v>0.97327490000000005</v>
      </c>
      <c r="Y3836">
        <v>6.1893780000000002E-2</v>
      </c>
      <c r="Z3836">
        <v>8.8642739999999999E-4</v>
      </c>
      <c r="AA3836">
        <v>0.99808229999999998</v>
      </c>
      <c r="AB3836">
        <v>47</v>
      </c>
      <c r="AC3836">
        <v>-79.695899999999995</v>
      </c>
      <c r="AD3836">
        <v>-1.12081112017</v>
      </c>
      <c r="AE3836">
        <v>5.0663000000000098</v>
      </c>
      <c r="AF3836">
        <v>4.9745147001451304</v>
      </c>
      <c r="AG3836">
        <v>-1.12081112017</v>
      </c>
      <c r="AH3836">
        <v>79.685923368252404</v>
      </c>
      <c r="AI3836">
        <v>90.804267158283196</v>
      </c>
      <c r="AJ3836">
        <v>86.427859491538101</v>
      </c>
      <c r="AK3836">
        <v>79.848909805457296</v>
      </c>
      <c r="AL3836">
        <v>77.957973919481901</v>
      </c>
      <c r="AM3836">
        <v>84.368653195835506</v>
      </c>
      <c r="AN3836">
        <v>1.00000000139817</v>
      </c>
    </row>
    <row r="3837" spans="1:40" x14ac:dyDescent="0.25">
      <c r="A3837" t="str">
        <f>"20190303171053836"</f>
        <v>20190303171053836</v>
      </c>
      <c r="B3837" t="str">
        <f>"1551604253824644"</f>
        <v>1551604253824644</v>
      </c>
      <c r="C3837" t="s">
        <v>40</v>
      </c>
      <c r="D3837">
        <v>5.0888119999999999</v>
      </c>
      <c r="E3837">
        <v>0.49338589999999999</v>
      </c>
      <c r="F3837" t="s">
        <v>42</v>
      </c>
      <c r="G3837">
        <v>-398.92110000000002</v>
      </c>
      <c r="H3837" s="1">
        <v>-2.329136E-6</v>
      </c>
      <c r="I3837">
        <v>146.69669999999999</v>
      </c>
      <c r="J3837">
        <v>-320.19690000000003</v>
      </c>
      <c r="K3837">
        <v>1.1208100000000001</v>
      </c>
      <c r="L3837">
        <v>141.63999999999999</v>
      </c>
      <c r="M3837">
        <v>-0.99989189999999994</v>
      </c>
      <c r="N3837">
        <v>-1.4653799999999899E-2</v>
      </c>
      <c r="O3837">
        <v>1.139162E-3</v>
      </c>
      <c r="P3837">
        <v>-0.97622359999999997</v>
      </c>
      <c r="Q3837">
        <v>0.1939024</v>
      </c>
      <c r="R3837">
        <v>9.6899739999999998E-2</v>
      </c>
      <c r="S3837">
        <v>-3.0625610000000001</v>
      </c>
      <c r="T3837">
        <v>-4.3338540000000002E-2</v>
      </c>
      <c r="U3837">
        <v>0.1955566</v>
      </c>
      <c r="V3837">
        <v>9.5795649999999996E-2</v>
      </c>
      <c r="W3837">
        <v>0.2081846</v>
      </c>
      <c r="X3837">
        <v>0.97338709999999995</v>
      </c>
      <c r="Y3837">
        <v>6.2574439999999995E-2</v>
      </c>
      <c r="Z3837">
        <v>9.0186409999999998E-4</v>
      </c>
      <c r="AA3837">
        <v>0.99803989999999998</v>
      </c>
      <c r="AB3837">
        <v>47</v>
      </c>
      <c r="AC3837">
        <v>-78.724199999999996</v>
      </c>
      <c r="AD3837">
        <v>-1.1208123291359999</v>
      </c>
      <c r="AE3837">
        <v>5.0567000000000002</v>
      </c>
      <c r="AF3837">
        <v>4.9660050011313901</v>
      </c>
      <c r="AG3837">
        <v>-1.1208123291359999</v>
      </c>
      <c r="AH3837">
        <v>78.7140203195124</v>
      </c>
      <c r="AI3837">
        <v>90.814163485844404</v>
      </c>
      <c r="AJ3837">
        <v>86.390039233704101</v>
      </c>
      <c r="AK3837">
        <v>78.878478819060803</v>
      </c>
      <c r="AL3837">
        <v>77.984014143685499</v>
      </c>
      <c r="AM3837">
        <v>84.379349640888293</v>
      </c>
      <c r="AN3837">
        <v>1.0000000403412399</v>
      </c>
    </row>
    <row r="3838" spans="1:40" x14ac:dyDescent="0.25">
      <c r="A3838" t="str">
        <f>"20190303171053855"</f>
        <v>20190303171053855</v>
      </c>
      <c r="B3838" t="str">
        <f>"1551604253845140"</f>
        <v>1551604253845140</v>
      </c>
      <c r="C3838" t="s">
        <v>40</v>
      </c>
      <c r="D3838">
        <v>5.030049</v>
      </c>
      <c r="E3838">
        <v>0.49363269999999998</v>
      </c>
      <c r="F3838" t="s">
        <v>42</v>
      </c>
      <c r="G3838">
        <v>-396.15679999999998</v>
      </c>
      <c r="H3838" s="1">
        <v>-3.4068280000000001E-6</v>
      </c>
      <c r="I3838">
        <v>146.52770000000001</v>
      </c>
      <c r="J3838">
        <v>-320.61919999999998</v>
      </c>
      <c r="K3838">
        <v>1.1208070000000001</v>
      </c>
      <c r="L3838">
        <v>141.6404</v>
      </c>
      <c r="M3838">
        <v>-0.9998918</v>
      </c>
      <c r="N3838">
        <v>-1.466109E-2</v>
      </c>
      <c r="O3838">
        <v>1.138752E-3</v>
      </c>
      <c r="P3838">
        <v>-0.97625890000000004</v>
      </c>
      <c r="Q3838">
        <v>0.19389580000000001</v>
      </c>
      <c r="R3838">
        <v>9.6556219999999998E-2</v>
      </c>
      <c r="S3838">
        <v>-3.0625309999999999</v>
      </c>
      <c r="T3838">
        <v>-4.518867E-2</v>
      </c>
      <c r="U3838">
        <v>0.1970673</v>
      </c>
      <c r="V3838">
        <v>9.5452549999999997E-2</v>
      </c>
      <c r="W3838">
        <v>0.20818600000000001</v>
      </c>
      <c r="X3838">
        <v>0.97342039999999996</v>
      </c>
      <c r="Y3838">
        <v>6.3064819999999994E-2</v>
      </c>
      <c r="Z3838">
        <v>9.2751240000000005E-4</v>
      </c>
      <c r="AA3838">
        <v>0.99800900000000003</v>
      </c>
      <c r="AB3838">
        <v>47</v>
      </c>
      <c r="AC3838">
        <v>-75.537599999999998</v>
      </c>
      <c r="AD3838">
        <v>-1.12081040682799</v>
      </c>
      <c r="AE3838">
        <v>4.8872999999999998</v>
      </c>
      <c r="AF3838">
        <v>4.8002165759714996</v>
      </c>
      <c r="AG3838">
        <v>-1.12081040682799</v>
      </c>
      <c r="AH3838">
        <v>75.526558441001697</v>
      </c>
      <c r="AI3838">
        <v>90.848492394163301</v>
      </c>
      <c r="AJ3838">
        <v>86.3633624389863</v>
      </c>
      <c r="AK3838">
        <v>75.687246779667802</v>
      </c>
      <c r="AL3838">
        <v>77.983930878703902</v>
      </c>
      <c r="AM3838">
        <v>84.399542622119597</v>
      </c>
      <c r="AN3838">
        <v>0.99999993751682903</v>
      </c>
    </row>
    <row r="3839" spans="1:40" x14ac:dyDescent="0.25">
      <c r="A3839" t="str">
        <f>"20190303171053878"</f>
        <v>20190303171053878</v>
      </c>
      <c r="B3839" t="str">
        <f>"1551604253864660"</f>
        <v>1551604253864660</v>
      </c>
      <c r="C3839" t="s">
        <v>40</v>
      </c>
      <c r="D3839">
        <v>5.035431</v>
      </c>
      <c r="E3839">
        <v>0.4937318</v>
      </c>
      <c r="F3839" t="s">
        <v>42</v>
      </c>
      <c r="G3839">
        <v>-394.85019999999997</v>
      </c>
      <c r="H3839" s="1">
        <v>-3.8373989999999996E-6</v>
      </c>
      <c r="I3839">
        <v>146.44839999999999</v>
      </c>
      <c r="J3839">
        <v>-321.0634</v>
      </c>
      <c r="K3839">
        <v>1.120814</v>
      </c>
      <c r="L3839">
        <v>141.64089999999999</v>
      </c>
      <c r="M3839">
        <v>-0.9998918</v>
      </c>
      <c r="N3839">
        <v>-1.466757E-2</v>
      </c>
      <c r="O3839">
        <v>1.1385259999999999E-3</v>
      </c>
      <c r="P3839">
        <v>-0.97613559999999999</v>
      </c>
      <c r="Q3839">
        <v>0.1945778</v>
      </c>
      <c r="R3839">
        <v>9.6431199999999995E-2</v>
      </c>
      <c r="S3839">
        <v>-3.0625309999999999</v>
      </c>
      <c r="T3839">
        <v>-4.6241039999999997E-2</v>
      </c>
      <c r="U3839">
        <v>0.19836429999999999</v>
      </c>
      <c r="V3839">
        <v>9.5327709999999996E-2</v>
      </c>
      <c r="W3839">
        <v>0.20887249999999999</v>
      </c>
      <c r="X3839">
        <v>0.97328559999999997</v>
      </c>
      <c r="Y3839">
        <v>6.3485390000000003E-2</v>
      </c>
      <c r="Z3839">
        <v>9.4441730000000002E-4</v>
      </c>
      <c r="AA3839">
        <v>0.99798229999999999</v>
      </c>
      <c r="AB3839">
        <v>47</v>
      </c>
      <c r="AC3839">
        <v>-73.7867999999999</v>
      </c>
      <c r="AD3839">
        <v>-1.1208178373990001</v>
      </c>
      <c r="AE3839">
        <v>4.8075000000000001</v>
      </c>
      <c r="AF3839">
        <v>4.7223946431314001</v>
      </c>
      <c r="AG3839">
        <v>-1.1208178373990001</v>
      </c>
      <c r="AH3839">
        <v>73.775275666738693</v>
      </c>
      <c r="AI3839">
        <v>90.8686116348496</v>
      </c>
      <c r="AJ3839">
        <v>86.337463447912697</v>
      </c>
      <c r="AK3839">
        <v>73.934758696389906</v>
      </c>
      <c r="AL3839">
        <v>77.943713657318</v>
      </c>
      <c r="AM3839">
        <v>84.406051102618903</v>
      </c>
      <c r="AN3839">
        <v>0.99999997635872595</v>
      </c>
    </row>
    <row r="3840" spans="1:40" x14ac:dyDescent="0.25">
      <c r="A3840" t="str">
        <f>"20190303171053900"</f>
        <v>20190303171053900</v>
      </c>
      <c r="B3840" t="str">
        <f>"1551604253894916"</f>
        <v>1551604253894916</v>
      </c>
      <c r="C3840" t="s">
        <v>40</v>
      </c>
      <c r="D3840">
        <v>5.0932000000000004</v>
      </c>
      <c r="E3840">
        <v>0.49396509999999999</v>
      </c>
      <c r="F3840" t="s">
        <v>42</v>
      </c>
      <c r="G3840">
        <v>-397.12009999999998</v>
      </c>
      <c r="H3840" s="1">
        <v>-3.0713429999999998E-6</v>
      </c>
      <c r="I3840">
        <v>146.58240000000001</v>
      </c>
      <c r="J3840">
        <v>-321.54480000000001</v>
      </c>
      <c r="K3840">
        <v>1.1208199999999999</v>
      </c>
      <c r="L3840">
        <v>141.64150000000001</v>
      </c>
      <c r="M3840">
        <v>-0.99989170000000005</v>
      </c>
      <c r="N3840">
        <v>-1.46731E-2</v>
      </c>
      <c r="O3840">
        <v>1.138128E-3</v>
      </c>
      <c r="P3840">
        <v>-0.97621650000000004</v>
      </c>
      <c r="Q3840">
        <v>0.1944834</v>
      </c>
      <c r="R3840">
        <v>9.5800250000000003E-2</v>
      </c>
      <c r="S3840">
        <v>-3.0626829999999998</v>
      </c>
      <c r="T3840">
        <v>-4.5133590000000001E-2</v>
      </c>
      <c r="U3840">
        <v>0.1989899</v>
      </c>
      <c r="V3840">
        <v>9.4697119999999996E-2</v>
      </c>
      <c r="W3840">
        <v>0.20878479999999999</v>
      </c>
      <c r="X3840">
        <v>0.97336599999999995</v>
      </c>
      <c r="Y3840">
        <v>6.3686030000000005E-2</v>
      </c>
      <c r="Z3840">
        <v>9.3647209999999997E-4</v>
      </c>
      <c r="AA3840">
        <v>0.99796960000000001</v>
      </c>
      <c r="AB3840">
        <v>47</v>
      </c>
      <c r="AC3840">
        <v>-75.575299999999899</v>
      </c>
      <c r="AD3840">
        <v>-1.1208230713429901</v>
      </c>
      <c r="AE3840">
        <v>4.9408999999999903</v>
      </c>
      <c r="AF3840">
        <v>4.8538101452043199</v>
      </c>
      <c r="AG3840">
        <v>-1.1208230713429901</v>
      </c>
      <c r="AH3840">
        <v>75.564325752338306</v>
      </c>
      <c r="AI3840">
        <v>90.848041401971997</v>
      </c>
      <c r="AJ3840">
        <v>86.3247036121615</v>
      </c>
      <c r="AK3840">
        <v>75.728350329902497</v>
      </c>
      <c r="AL3840">
        <v>77.948852114641994</v>
      </c>
      <c r="AM3840">
        <v>84.443278662933295</v>
      </c>
      <c r="AN3840">
        <v>1.0000000036016601</v>
      </c>
    </row>
    <row r="3841" spans="1:40" x14ac:dyDescent="0.25">
      <c r="A3841" t="str">
        <f>"20190303171053923"</f>
        <v>20190303171053923</v>
      </c>
      <c r="B3841" t="str">
        <f>"1551604253914436"</f>
        <v>1551604253914436</v>
      </c>
      <c r="C3841" t="s">
        <v>40</v>
      </c>
      <c r="D3841">
        <v>5.2306100000000004</v>
      </c>
      <c r="E3841">
        <v>0.49384670000000003</v>
      </c>
      <c r="F3841" t="s">
        <v>42</v>
      </c>
      <c r="G3841">
        <v>-394.30489999999998</v>
      </c>
      <c r="H3841" s="1">
        <v>-4.0083159999999998E-6</v>
      </c>
      <c r="I3841">
        <v>146.36580000000001</v>
      </c>
      <c r="J3841">
        <v>-322.01459999999997</v>
      </c>
      <c r="K3841">
        <v>1.1208260000000001</v>
      </c>
      <c r="L3841">
        <v>141.642</v>
      </c>
      <c r="M3841">
        <v>-0.99989170000000005</v>
      </c>
      <c r="N3841">
        <v>-1.467742E-2</v>
      </c>
      <c r="O3841">
        <v>1.1379770000000001E-3</v>
      </c>
      <c r="P3841">
        <v>-0.97632799999999997</v>
      </c>
      <c r="Q3841">
        <v>0.19420290000000001</v>
      </c>
      <c r="R3841">
        <v>9.5231819999999995E-2</v>
      </c>
      <c r="S3841">
        <v>-3.0629580000000001</v>
      </c>
      <c r="T3841">
        <v>-4.7182920000000003E-2</v>
      </c>
      <c r="U3841">
        <v>0.19888310000000001</v>
      </c>
      <c r="V3841">
        <v>9.412864E-2</v>
      </c>
      <c r="W3841">
        <v>0.20850969999999999</v>
      </c>
      <c r="X3841">
        <v>0.97348009999999996</v>
      </c>
      <c r="Y3841">
        <v>6.3644800000000001E-2</v>
      </c>
      <c r="Z3841">
        <v>9.5647620000000001E-4</v>
      </c>
      <c r="AA3841">
        <v>0.99797210000000003</v>
      </c>
      <c r="AB3841">
        <v>47</v>
      </c>
      <c r="AC3841">
        <v>-72.290300000000002</v>
      </c>
      <c r="AD3841">
        <v>-1.1208300083159899</v>
      </c>
      <c r="AE3841">
        <v>4.7238000000000104</v>
      </c>
      <c r="AF3841">
        <v>4.6404126113602997</v>
      </c>
      <c r="AG3841">
        <v>-1.1208300083159899</v>
      </c>
      <c r="AH3841">
        <v>72.278328102928995</v>
      </c>
      <c r="AI3841">
        <v>90.886597291457093</v>
      </c>
      <c r="AJ3841">
        <v>86.326538519442394</v>
      </c>
      <c r="AK3841">
        <v>72.435808841110301</v>
      </c>
      <c r="AL3841">
        <v>77.964968860324205</v>
      </c>
      <c r="AM3841">
        <v>84.477072926679696</v>
      </c>
      <c r="AN3841">
        <v>1.00000000047917</v>
      </c>
    </row>
    <row r="3842" spans="1:40" x14ac:dyDescent="0.25">
      <c r="A3842" t="str">
        <f>"20190303171053944"</f>
        <v>20190303171053944</v>
      </c>
      <c r="B3842" t="str">
        <f>"1551604253934932"</f>
        <v>1551604253934932</v>
      </c>
      <c r="C3842" t="s">
        <v>40</v>
      </c>
      <c r="D3842">
        <v>5.1069950000000004</v>
      </c>
      <c r="E3842">
        <v>0.44442930000000003</v>
      </c>
      <c r="F3842" t="s">
        <v>42</v>
      </c>
      <c r="G3842">
        <v>-393.3809</v>
      </c>
      <c r="H3842" s="1">
        <v>-4.2957110000000003E-6</v>
      </c>
      <c r="I3842">
        <v>146.2133</v>
      </c>
      <c r="J3842">
        <v>-322.46140000000003</v>
      </c>
      <c r="K3842">
        <v>1.1208279999999999</v>
      </c>
      <c r="L3842">
        <v>141.64250000000001</v>
      </c>
      <c r="M3842">
        <v>-0.99989159999999999</v>
      </c>
      <c r="N3842">
        <v>-1.468058E-2</v>
      </c>
      <c r="O3842">
        <v>1.1377749999999999E-3</v>
      </c>
      <c r="P3842">
        <v>-0.97641889999999998</v>
      </c>
      <c r="Q3842">
        <v>0.19399859999999999</v>
      </c>
      <c r="R3842">
        <v>9.4713439999999996E-2</v>
      </c>
      <c r="S3842">
        <v>-3.0631710000000001</v>
      </c>
      <c r="T3842">
        <v>-4.8108100000000001E-2</v>
      </c>
      <c r="U3842">
        <v>0.19621279999999999</v>
      </c>
      <c r="V3842">
        <v>9.3610230000000003E-2</v>
      </c>
      <c r="W3842">
        <v>0.2083101</v>
      </c>
      <c r="X3842">
        <v>0.97357289999999996</v>
      </c>
      <c r="Y3842">
        <v>6.2773860000000001E-2</v>
      </c>
      <c r="Z3842">
        <v>9.5257429999999997E-4</v>
      </c>
      <c r="AA3842">
        <v>0.99802729999999995</v>
      </c>
      <c r="AB3842">
        <v>47</v>
      </c>
      <c r="AC3842">
        <v>-70.9194999999999</v>
      </c>
      <c r="AD3842">
        <v>-1.120832295711</v>
      </c>
      <c r="AE3842">
        <v>4.5707999999999904</v>
      </c>
      <c r="AF3842">
        <v>4.4889813115675796</v>
      </c>
      <c r="AG3842">
        <v>-1.120832295711</v>
      </c>
      <c r="AH3842">
        <v>70.907017612872195</v>
      </c>
      <c r="AI3842">
        <v>90.9037940144229</v>
      </c>
      <c r="AJ3842">
        <v>86.377553229223807</v>
      </c>
      <c r="AK3842">
        <v>71.057810021157294</v>
      </c>
      <c r="AL3842">
        <v>77.976662855867204</v>
      </c>
      <c r="AM3842">
        <v>84.507824071011001</v>
      </c>
      <c r="AN3842">
        <v>1.00000008226853</v>
      </c>
    </row>
    <row r="3843" spans="1:40" x14ac:dyDescent="0.25">
      <c r="A3843" t="str">
        <f>"20190303171053966"</f>
        <v>20190303171053966</v>
      </c>
      <c r="B3843" t="str">
        <f>"1551604253954452"</f>
        <v>1551604253954452</v>
      </c>
      <c r="C3843" t="s">
        <v>40</v>
      </c>
      <c r="D3843">
        <v>5.0313109999999996</v>
      </c>
      <c r="E3843">
        <v>0.42886049999999998</v>
      </c>
      <c r="F3843" t="s">
        <v>62</v>
      </c>
      <c r="G3843">
        <v>0</v>
      </c>
      <c r="H3843">
        <v>0</v>
      </c>
      <c r="I3843">
        <v>0</v>
      </c>
      <c r="J3843">
        <v>-322.9228</v>
      </c>
      <c r="K3843">
        <v>1.1208320000000001</v>
      </c>
      <c r="L3843">
        <v>141.643</v>
      </c>
      <c r="M3843">
        <v>-0.9998918</v>
      </c>
      <c r="N3843">
        <v>-1.468299E-2</v>
      </c>
      <c r="O3843">
        <v>1.1372209999999999E-3</v>
      </c>
      <c r="P3843">
        <v>-0.97648939999999995</v>
      </c>
      <c r="Q3843">
        <v>0.1937709</v>
      </c>
      <c r="R3843">
        <v>9.4454769999999993E-2</v>
      </c>
      <c r="S3843">
        <v>-3.0918580000000002</v>
      </c>
      <c r="T3843">
        <v>-1.8544200000000001E-3</v>
      </c>
      <c r="U3843">
        <v>-0.19606019999999999</v>
      </c>
      <c r="V3843">
        <v>9.3352180000000007E-2</v>
      </c>
      <c r="W3843">
        <v>0.20808570000000001</v>
      </c>
      <c r="X3843">
        <v>0.9736456</v>
      </c>
      <c r="Y3843">
        <v>-6.4419270000000001E-2</v>
      </c>
      <c r="Z3843">
        <v>-4.7673339999999999E-4</v>
      </c>
      <c r="AA3843">
        <v>0.9979228</v>
      </c>
      <c r="AB3843">
        <v>47</v>
      </c>
      <c r="AC3843">
        <v>-3.0918580000000002</v>
      </c>
      <c r="AD3843">
        <v>-1.8544200000000001E-3</v>
      </c>
      <c r="AE3843">
        <v>-0.19606019999999999</v>
      </c>
      <c r="AF3843">
        <v>-0.19957650574514901</v>
      </c>
      <c r="AG3843">
        <v>-1.8544200000000001E-3</v>
      </c>
      <c r="AH3843">
        <v>3.0916319048035401</v>
      </c>
      <c r="AI3843">
        <v>90.034295717178907</v>
      </c>
      <c r="AJ3843">
        <v>93.693533910304097</v>
      </c>
      <c r="AK3843">
        <v>3.0980674710725999</v>
      </c>
      <c r="AL3843">
        <v>77.989807338689303</v>
      </c>
      <c r="AM3843">
        <v>84.523278326542794</v>
      </c>
      <c r="AN3843">
        <v>1.0000000212272999</v>
      </c>
    </row>
    <row r="3844" spans="1:40" x14ac:dyDescent="0.25">
      <c r="A3844" t="str">
        <f>"20190303171053988"</f>
        <v>20190303171053988</v>
      </c>
      <c r="B3844" t="str">
        <f>"1551604253984708"</f>
        <v>1551604253984708</v>
      </c>
      <c r="C3844" t="s">
        <v>40</v>
      </c>
      <c r="D3844">
        <v>5.0808660000000003</v>
      </c>
      <c r="E3844">
        <v>0.41524339999999998</v>
      </c>
      <c r="F3844" t="s">
        <v>62</v>
      </c>
      <c r="G3844">
        <v>0</v>
      </c>
      <c r="H3844">
        <v>0</v>
      </c>
      <c r="I3844">
        <v>0</v>
      </c>
      <c r="J3844">
        <v>-323.38200000000001</v>
      </c>
      <c r="K3844">
        <v>1.120833</v>
      </c>
      <c r="L3844">
        <v>141.64349999999999</v>
      </c>
      <c r="M3844">
        <v>-0.99989150000000004</v>
      </c>
      <c r="N3844">
        <v>-1.468468E-2</v>
      </c>
      <c r="O3844">
        <v>1.1373869999999999E-3</v>
      </c>
      <c r="P3844">
        <v>-0.9764832</v>
      </c>
      <c r="Q3844">
        <v>0.19401969999999999</v>
      </c>
      <c r="R3844">
        <v>9.4006859999999998E-2</v>
      </c>
      <c r="S3844">
        <v>-3.0982970000000001</v>
      </c>
      <c r="T3844">
        <v>2.3946289999999999E-2</v>
      </c>
      <c r="U3844">
        <v>-0.31907649999999999</v>
      </c>
      <c r="V3844">
        <v>9.2904329999999993E-2</v>
      </c>
      <c r="W3844">
        <v>0.2083362</v>
      </c>
      <c r="X3844">
        <v>0.97363480000000002</v>
      </c>
      <c r="Y3844">
        <v>-0.1035766</v>
      </c>
      <c r="Z3844">
        <v>-3.3790300000000002E-4</v>
      </c>
      <c r="AA3844">
        <v>0.99462139999999999</v>
      </c>
      <c r="AB3844">
        <v>47</v>
      </c>
      <c r="AC3844">
        <v>-3.0982970000000001</v>
      </c>
      <c r="AD3844">
        <v>2.3946289999999999E-2</v>
      </c>
      <c r="AE3844">
        <v>-0.31907649999999999</v>
      </c>
      <c r="AF3844">
        <v>-0.32258156915644498</v>
      </c>
      <c r="AG3844">
        <v>2.3946289999999999E-2</v>
      </c>
      <c r="AH3844">
        <v>3.0977489401768499</v>
      </c>
      <c r="AI3844">
        <v>89.559481611444795</v>
      </c>
      <c r="AJ3844">
        <v>95.945022107673296</v>
      </c>
      <c r="AK3844">
        <v>3.11459159279848</v>
      </c>
      <c r="AL3844">
        <v>77.975132340735001</v>
      </c>
      <c r="AM3844">
        <v>84.549333776494606</v>
      </c>
      <c r="AN3844">
        <v>0.99999995526711305</v>
      </c>
    </row>
    <row r="3845" spans="1:40" x14ac:dyDescent="0.25">
      <c r="A3845" t="str">
        <f>"20190303171054013"</f>
        <v>20190303171054013</v>
      </c>
      <c r="B3845" t="str">
        <f>"1551604254004227"</f>
        <v>1551604254004227</v>
      </c>
      <c r="C3845" t="s">
        <v>40</v>
      </c>
      <c r="D3845">
        <v>5.028403</v>
      </c>
      <c r="E3845">
        <v>0.41065489999999999</v>
      </c>
      <c r="F3845" t="s">
        <v>62</v>
      </c>
      <c r="G3845">
        <v>0</v>
      </c>
      <c r="H3845">
        <v>0</v>
      </c>
      <c r="I3845">
        <v>0</v>
      </c>
      <c r="J3845">
        <v>-323.87490000000003</v>
      </c>
      <c r="K3845">
        <v>1.120841</v>
      </c>
      <c r="L3845">
        <v>141.64410000000001</v>
      </c>
      <c r="M3845">
        <v>-0.99989150000000004</v>
      </c>
      <c r="N3845">
        <v>-1.4685810000000001E-2</v>
      </c>
      <c r="O3845">
        <v>1.1372000000000001E-3</v>
      </c>
      <c r="P3845">
        <v>-0.97657229999999995</v>
      </c>
      <c r="Q3845">
        <v>0.19376460000000001</v>
      </c>
      <c r="R3845">
        <v>9.3605110000000005E-2</v>
      </c>
      <c r="S3845">
        <v>-3.10379</v>
      </c>
      <c r="T3845">
        <v>4.797709E-2</v>
      </c>
      <c r="U3845">
        <v>-0.42680360000000001</v>
      </c>
      <c r="V3845">
        <v>9.2502310000000004E-2</v>
      </c>
      <c r="W3845">
        <v>0.20808389999999999</v>
      </c>
      <c r="X3845">
        <v>0.97372709999999996</v>
      </c>
      <c r="Y3845">
        <v>-0.137354</v>
      </c>
      <c r="Z3845" s="1">
        <v>7.7305130000000002E-5</v>
      </c>
      <c r="AA3845">
        <v>0.99052200000000001</v>
      </c>
      <c r="AB3845">
        <v>46</v>
      </c>
      <c r="AC3845">
        <v>-3.10379</v>
      </c>
      <c r="AD3845">
        <v>4.797709E-2</v>
      </c>
      <c r="AE3845">
        <v>-0.42680360000000001</v>
      </c>
      <c r="AF3845">
        <v>-0.43023244404139899</v>
      </c>
      <c r="AG3845">
        <v>4.797709E-2</v>
      </c>
      <c r="AH3845">
        <v>3.1025750172504099</v>
      </c>
      <c r="AI3845">
        <v>89.122465195522295</v>
      </c>
      <c r="AJ3845">
        <v>97.894828674711206</v>
      </c>
      <c r="AK3845">
        <v>3.1326304433713701</v>
      </c>
      <c r="AL3845">
        <v>77.9899128376927</v>
      </c>
      <c r="AM3845">
        <v>84.573290399013004</v>
      </c>
      <c r="AN3845">
        <v>1.0000000260344699</v>
      </c>
    </row>
    <row r="3846" spans="1:40" x14ac:dyDescent="0.25">
      <c r="A3846" t="str">
        <f>"20190303171054037"</f>
        <v>20190303171054037</v>
      </c>
      <c r="B3846" t="str">
        <f>"1551604254024724"</f>
        <v>1551604254024724</v>
      </c>
      <c r="C3846" t="s">
        <v>40</v>
      </c>
      <c r="D3846">
        <v>5.0170300000000001</v>
      </c>
      <c r="E3846">
        <v>0.40765770000000001</v>
      </c>
      <c r="F3846" t="s">
        <v>69</v>
      </c>
      <c r="G3846">
        <v>-470.8775</v>
      </c>
      <c r="H3846">
        <v>3.8012980000000001</v>
      </c>
      <c r="I3846">
        <v>119.68729999999999</v>
      </c>
      <c r="J3846">
        <v>-324.37830000000002</v>
      </c>
      <c r="K3846">
        <v>1.120844</v>
      </c>
      <c r="L3846">
        <v>141.6446</v>
      </c>
      <c r="M3846">
        <v>-0.99989150000000004</v>
      </c>
      <c r="N3846">
        <v>-1.4686350000000001E-2</v>
      </c>
      <c r="O3846">
        <v>1.137196E-3</v>
      </c>
      <c r="P3846">
        <v>-0.9765452</v>
      </c>
      <c r="Q3846">
        <v>0.19385749999999999</v>
      </c>
      <c r="R3846">
        <v>9.3695589999999995E-2</v>
      </c>
      <c r="S3846">
        <v>-3.1052249999999999</v>
      </c>
      <c r="T3846">
        <v>5.662143E-2</v>
      </c>
      <c r="U3846">
        <v>-0.4638062</v>
      </c>
      <c r="V3846">
        <v>9.2593010000000003E-2</v>
      </c>
      <c r="W3846">
        <v>0.20817620000000001</v>
      </c>
      <c r="X3846">
        <v>0.97369870000000003</v>
      </c>
      <c r="Y3846">
        <v>-0.14884410000000001</v>
      </c>
      <c r="Z3846">
        <v>2.8756940000000003E-4</v>
      </c>
      <c r="AA3846">
        <v>0.98886059999999998</v>
      </c>
      <c r="AB3846">
        <v>46</v>
      </c>
      <c r="AC3846">
        <v>-146.49919999999901</v>
      </c>
      <c r="AD3846">
        <v>2.6804540000000001</v>
      </c>
      <c r="AE3846">
        <v>-21.9573</v>
      </c>
      <c r="AF3846">
        <v>-22.116660753614202</v>
      </c>
      <c r="AG3846">
        <v>2.6804540000000001</v>
      </c>
      <c r="AH3846">
        <v>146.42619071712599</v>
      </c>
      <c r="AI3846">
        <v>88.963029335303702</v>
      </c>
      <c r="AJ3846">
        <v>98.589204829254996</v>
      </c>
      <c r="AK3846">
        <v>148.11131234468399</v>
      </c>
      <c r="AL3846">
        <v>77.984505437501198</v>
      </c>
      <c r="AM3846">
        <v>84.567843746390594</v>
      </c>
      <c r="AN3846">
        <v>0.99999997706449395</v>
      </c>
    </row>
    <row r="3847" spans="1:40" x14ac:dyDescent="0.25">
      <c r="A3847" t="str">
        <f>"20190303171054054"</f>
        <v>20190303171054054</v>
      </c>
      <c r="B3847" t="str">
        <f>"1551604254044244"</f>
        <v>1551604254044244</v>
      </c>
      <c r="C3847" t="s">
        <v>40</v>
      </c>
      <c r="D3847">
        <v>4.9921749999999996</v>
      </c>
      <c r="E3847">
        <v>0.40548519999999999</v>
      </c>
      <c r="F3847" t="s">
        <v>69</v>
      </c>
      <c r="G3847">
        <v>-463.61290000000002</v>
      </c>
      <c r="H3847">
        <v>3.96671</v>
      </c>
      <c r="I3847">
        <v>119.8177</v>
      </c>
      <c r="J3847">
        <v>-324.7663</v>
      </c>
      <c r="K3847">
        <v>1.1208480000000001</v>
      </c>
      <c r="L3847">
        <v>141.64510000000001</v>
      </c>
      <c r="M3847">
        <v>-0.99989150000000004</v>
      </c>
      <c r="N3847">
        <v>-1.4686340000000001E-2</v>
      </c>
      <c r="O3847">
        <v>1.1370169999999999E-3</v>
      </c>
      <c r="P3847">
        <v>-0.97653769999999995</v>
      </c>
      <c r="Q3847">
        <v>0.1939187</v>
      </c>
      <c r="R3847">
        <v>9.3646629999999995E-2</v>
      </c>
      <c r="S3847">
        <v>-3.106201</v>
      </c>
      <c r="T3847">
        <v>6.3489320000000002E-2</v>
      </c>
      <c r="U3847">
        <v>-0.4869385</v>
      </c>
      <c r="V3847">
        <v>9.2544089999999996E-2</v>
      </c>
      <c r="W3847">
        <v>0.2082378</v>
      </c>
      <c r="X3847">
        <v>0.97369019999999995</v>
      </c>
      <c r="Y3847">
        <v>-0.15598589999999901</v>
      </c>
      <c r="Z3847">
        <v>4.7151810000000001E-4</v>
      </c>
      <c r="AA3847">
        <v>0.98775919999999895</v>
      </c>
      <c r="AB3847">
        <v>46</v>
      </c>
      <c r="AC3847">
        <v>-138.8466</v>
      </c>
      <c r="AD3847">
        <v>2.8458619999999999</v>
      </c>
      <c r="AE3847">
        <v>-21.827400000000001</v>
      </c>
      <c r="AF3847">
        <v>-21.976264196858299</v>
      </c>
      <c r="AG3847">
        <v>2.8458619999999999</v>
      </c>
      <c r="AH3847">
        <v>138.764799674838</v>
      </c>
      <c r="AI3847">
        <v>88.839570864678706</v>
      </c>
      <c r="AJ3847">
        <v>98.999226256371699</v>
      </c>
      <c r="AK3847">
        <v>140.52303991648901</v>
      </c>
      <c r="AL3847">
        <v>77.980897188764004</v>
      </c>
      <c r="AM3847">
        <v>84.570649470296402</v>
      </c>
      <c r="AN3847">
        <v>0.99999999775940396</v>
      </c>
    </row>
    <row r="3848" spans="1:40" x14ac:dyDescent="0.25">
      <c r="A3848" t="str">
        <f>"20190303171054079"</f>
        <v>20190303171054079</v>
      </c>
      <c r="B3848" t="str">
        <f>"1551604254064740"</f>
        <v>1551604254064740</v>
      </c>
      <c r="C3848" t="s">
        <v>40</v>
      </c>
      <c r="D3848">
        <v>4.9967779999999999</v>
      </c>
      <c r="E3848">
        <v>0.4036556</v>
      </c>
      <c r="F3848" t="s">
        <v>69</v>
      </c>
      <c r="G3848">
        <v>-461.03219999999999</v>
      </c>
      <c r="H3848">
        <v>4.1465050000000003</v>
      </c>
      <c r="I3848">
        <v>119.5536</v>
      </c>
      <c r="J3848">
        <v>-325.23790000000002</v>
      </c>
      <c r="K3848">
        <v>1.120851</v>
      </c>
      <c r="L3848">
        <v>141.6456</v>
      </c>
      <c r="M3848">
        <v>-0.99989150000000004</v>
      </c>
      <c r="N3848">
        <v>-1.468598E-2</v>
      </c>
      <c r="O3848">
        <v>1.137021E-3</v>
      </c>
      <c r="P3848">
        <v>-0.97657110000000003</v>
      </c>
      <c r="Q3848">
        <v>0.1939314</v>
      </c>
      <c r="R3848">
        <v>9.327336E-2</v>
      </c>
      <c r="S3848">
        <v>-3.1067200000000001</v>
      </c>
      <c r="T3848">
        <v>6.8982360000000006E-2</v>
      </c>
      <c r="U3848">
        <v>-0.5036621</v>
      </c>
      <c r="V3848">
        <v>9.21709E-2</v>
      </c>
      <c r="W3848">
        <v>0.2082504</v>
      </c>
      <c r="X3848">
        <v>0.97372289999999995</v>
      </c>
      <c r="Y3848">
        <v>-0.1611397</v>
      </c>
      <c r="Z3848">
        <v>6.2781060000000001E-4</v>
      </c>
      <c r="AA3848">
        <v>0.98693140000000001</v>
      </c>
      <c r="AB3848">
        <v>46</v>
      </c>
      <c r="AC3848">
        <v>-135.794299999999</v>
      </c>
      <c r="AD3848">
        <v>3.0256539999999998</v>
      </c>
      <c r="AE3848">
        <v>-22.091999999999999</v>
      </c>
      <c r="AF3848">
        <v>-22.2356490898195</v>
      </c>
      <c r="AG3848">
        <v>3.0256539999999998</v>
      </c>
      <c r="AH3848">
        <v>135.70345756849699</v>
      </c>
      <c r="AI3848">
        <v>88.739543807982301</v>
      </c>
      <c r="AJ3848">
        <v>99.305491592865707</v>
      </c>
      <c r="AK3848">
        <v>137.54638151771999</v>
      </c>
      <c r="AL3848">
        <v>77.980159045979093</v>
      </c>
      <c r="AM3848">
        <v>84.592594153698201</v>
      </c>
      <c r="AN3848">
        <v>0.99999999494568903</v>
      </c>
    </row>
    <row r="3849" spans="1:40" x14ac:dyDescent="0.25">
      <c r="A3849" t="str">
        <f>"20190303171054100"</f>
        <v>20190303171054100</v>
      </c>
      <c r="B3849" t="str">
        <f>"1551604254094767"</f>
        <v>1551604254094767</v>
      </c>
      <c r="C3849" t="s">
        <v>40</v>
      </c>
      <c r="D3849">
        <v>4.9882730000000004</v>
      </c>
      <c r="E3849">
        <v>0.40166400000000002</v>
      </c>
      <c r="F3849" t="s">
        <v>69</v>
      </c>
      <c r="G3849">
        <v>-458.56720000000001</v>
      </c>
      <c r="H3849">
        <v>4.275442</v>
      </c>
      <c r="I3849">
        <v>119.395</v>
      </c>
      <c r="J3849">
        <v>-325.70350000000002</v>
      </c>
      <c r="K3849">
        <v>1.120857</v>
      </c>
      <c r="L3849">
        <v>141.64609999999999</v>
      </c>
      <c r="M3849">
        <v>-0.99989170000000005</v>
      </c>
      <c r="N3849">
        <v>-1.468528E-2</v>
      </c>
      <c r="O3849">
        <v>1.1365500000000001E-3</v>
      </c>
      <c r="P3849">
        <v>-0.97663129999999998</v>
      </c>
      <c r="Q3849">
        <v>0.19419249999999999</v>
      </c>
      <c r="R3849">
        <v>9.2092339999999995E-2</v>
      </c>
      <c r="S3849">
        <v>-3.106903</v>
      </c>
      <c r="T3849">
        <v>7.3510409999999998E-2</v>
      </c>
      <c r="U3849">
        <v>-0.51849369999999995</v>
      </c>
      <c r="V3849">
        <v>9.0990329999999994E-2</v>
      </c>
      <c r="W3849">
        <v>0.208512</v>
      </c>
      <c r="X3849">
        <v>0.97377789999999997</v>
      </c>
      <c r="Y3849">
        <v>-0.16571159999999999</v>
      </c>
      <c r="Z3849">
        <v>7.6470039999999905E-4</v>
      </c>
      <c r="AA3849">
        <v>0.986174</v>
      </c>
      <c r="AB3849">
        <v>46</v>
      </c>
      <c r="AC3849">
        <v>-132.86369999999999</v>
      </c>
      <c r="AD3849">
        <v>3.154585</v>
      </c>
      <c r="AE3849">
        <v>-22.251099999999902</v>
      </c>
      <c r="AF3849">
        <v>-22.389830634017301</v>
      </c>
      <c r="AG3849">
        <v>3.154585</v>
      </c>
      <c r="AH3849">
        <v>132.76551984106499</v>
      </c>
      <c r="AI3849">
        <v>88.657820453270304</v>
      </c>
      <c r="AJ3849">
        <v>99.572401097226305</v>
      </c>
      <c r="AK3849">
        <v>134.67716651686101</v>
      </c>
      <c r="AL3849">
        <v>77.964833457973398</v>
      </c>
      <c r="AM3849">
        <v>84.661751899311696</v>
      </c>
      <c r="AN3849">
        <v>0.99999994641295797</v>
      </c>
    </row>
    <row r="3850" spans="1:40" x14ac:dyDescent="0.25">
      <c r="A3850" t="str">
        <f>"20190303171054116"</f>
        <v>20190303171054116</v>
      </c>
      <c r="B3850" t="str">
        <f>"1551604254104527"</f>
        <v>1551604254104527</v>
      </c>
      <c r="C3850" t="s">
        <v>40</v>
      </c>
      <c r="D3850">
        <v>4.9760849999999897</v>
      </c>
      <c r="E3850">
        <v>0.40120260000000002</v>
      </c>
      <c r="F3850" t="s">
        <v>69</v>
      </c>
      <c r="G3850">
        <v>-451.9717</v>
      </c>
      <c r="H3850">
        <v>4.3117330000000003</v>
      </c>
      <c r="I3850">
        <v>119.8177</v>
      </c>
      <c r="J3850">
        <v>-326.02460000000002</v>
      </c>
      <c r="K3850">
        <v>1.120857</v>
      </c>
      <c r="L3850">
        <v>141.6465</v>
      </c>
      <c r="M3850">
        <v>-0.99989170000000005</v>
      </c>
      <c r="N3850">
        <v>-1.4684640000000001E-2</v>
      </c>
      <c r="O3850">
        <v>1.1363759999999999E-3</v>
      </c>
      <c r="P3850">
        <v>-0.97661469999999995</v>
      </c>
      <c r="Q3850">
        <v>0.19436349999999999</v>
      </c>
      <c r="R3850">
        <v>9.1907559999999999E-2</v>
      </c>
      <c r="S3850">
        <v>-3.1067809999999998</v>
      </c>
      <c r="T3850">
        <v>7.8510880000000005E-2</v>
      </c>
      <c r="U3850">
        <v>-0.53707890000000003</v>
      </c>
      <c r="V3850">
        <v>9.0805670000000005E-2</v>
      </c>
      <c r="W3850">
        <v>0.2086817</v>
      </c>
      <c r="X3850">
        <v>0.97375880000000004</v>
      </c>
      <c r="Y3850">
        <v>-0.1714436</v>
      </c>
      <c r="Z3850">
        <v>9.2683200000000005E-4</v>
      </c>
      <c r="AA3850">
        <v>0.98519350000000006</v>
      </c>
      <c r="AB3850">
        <v>46</v>
      </c>
      <c r="AC3850">
        <v>-125.947099999999</v>
      </c>
      <c r="AD3850">
        <v>3.1908759999999998</v>
      </c>
      <c r="AE3850">
        <v>-21.828800000000001</v>
      </c>
      <c r="AF3850">
        <v>-21.9582413806713</v>
      </c>
      <c r="AG3850">
        <v>3.1908759999999998</v>
      </c>
      <c r="AH3850">
        <v>125.84379119472899</v>
      </c>
      <c r="AI3850">
        <v>88.569137733496305</v>
      </c>
      <c r="AJ3850">
        <v>99.897783690132897</v>
      </c>
      <c r="AK3850">
        <v>127.78499847964</v>
      </c>
      <c r="AL3850">
        <v>77.954891840688106</v>
      </c>
      <c r="AM3850">
        <v>84.672419294381797</v>
      </c>
      <c r="AN3850">
        <v>0.99999996109823797</v>
      </c>
    </row>
    <row r="3851" spans="1:40" x14ac:dyDescent="0.25">
      <c r="A3851" t="str">
        <f>"20190303171054134"</f>
        <v>20190303171054134</v>
      </c>
      <c r="B3851" t="str">
        <f>"1551604254125023"</f>
        <v>1551604254125023</v>
      </c>
      <c r="C3851" t="s">
        <v>40</v>
      </c>
      <c r="D3851">
        <v>4.9464050000000004</v>
      </c>
      <c r="E3851">
        <v>0.40026850000000003</v>
      </c>
      <c r="F3851" t="s">
        <v>69</v>
      </c>
      <c r="G3851">
        <v>-451.39019999999999</v>
      </c>
      <c r="H3851">
        <v>4.3580410000000001</v>
      </c>
      <c r="I3851">
        <v>119.8177</v>
      </c>
      <c r="J3851">
        <v>-326.40879999999999</v>
      </c>
      <c r="K3851">
        <v>1.120859</v>
      </c>
      <c r="L3851">
        <v>141.64689999999999</v>
      </c>
      <c r="M3851">
        <v>-0.99989159999999999</v>
      </c>
      <c r="N3851">
        <v>-1.4683659999999999E-2</v>
      </c>
      <c r="O3851">
        <v>1.1363829999999999E-3</v>
      </c>
      <c r="P3851">
        <v>-0.97663219999999995</v>
      </c>
      <c r="Q3851">
        <v>0.1945992</v>
      </c>
      <c r="R3851">
        <v>9.1218080000000007E-2</v>
      </c>
      <c r="S3851">
        <v>-3.1067809999999998</v>
      </c>
      <c r="T3851">
        <v>8.0223680000000006E-2</v>
      </c>
      <c r="U3851">
        <v>-0.54095459999999995</v>
      </c>
      <c r="V3851">
        <v>9.0116210000000002E-2</v>
      </c>
      <c r="W3851">
        <v>0.2089172</v>
      </c>
      <c r="X3851">
        <v>0.97377239999999998</v>
      </c>
      <c r="Y3851">
        <v>-0.1726348</v>
      </c>
      <c r="Z3851">
        <v>9.8050080000000009E-4</v>
      </c>
      <c r="AA3851">
        <v>0.98498540000000001</v>
      </c>
      <c r="AB3851">
        <v>46</v>
      </c>
      <c r="AC3851">
        <v>-124.98139999999999</v>
      </c>
      <c r="AD3851">
        <v>3.2371819999999998</v>
      </c>
      <c r="AE3851">
        <v>-21.829199999999901</v>
      </c>
      <c r="AF3851">
        <v>-21.9569335886485</v>
      </c>
      <c r="AG3851">
        <v>3.2371819999999998</v>
      </c>
      <c r="AH3851">
        <v>124.87521427552799</v>
      </c>
      <c r="AI3851">
        <v>88.5374611592365</v>
      </c>
      <c r="AJ3851">
        <v>99.972436863871906</v>
      </c>
      <c r="AK3851">
        <v>126.832193942534</v>
      </c>
      <c r="AL3851">
        <v>77.941095137755397</v>
      </c>
      <c r="AM3851">
        <v>84.712713301712697</v>
      </c>
      <c r="AN3851">
        <v>1.0000000073811799</v>
      </c>
    </row>
    <row r="3852" spans="1:40" x14ac:dyDescent="0.25">
      <c r="A3852" t="str">
        <f>"20190303171054156"</f>
        <v>20190303171054156</v>
      </c>
      <c r="B3852" t="str">
        <f>"1551604254144544"</f>
        <v>1551604254144544</v>
      </c>
      <c r="C3852" t="s">
        <v>40</v>
      </c>
      <c r="D3852">
        <v>4.9832919999999996</v>
      </c>
      <c r="E3852">
        <v>0.39954390000000001</v>
      </c>
      <c r="F3852" t="s">
        <v>69</v>
      </c>
      <c r="G3852">
        <v>-450.29239999999999</v>
      </c>
      <c r="H3852">
        <v>4.436178</v>
      </c>
      <c r="I3852">
        <v>119.70310000000001</v>
      </c>
      <c r="J3852">
        <v>-326.83690000000001</v>
      </c>
      <c r="K3852">
        <v>1.1208659999999999</v>
      </c>
      <c r="L3852">
        <v>141.6474</v>
      </c>
      <c r="M3852">
        <v>-0.9998918</v>
      </c>
      <c r="N3852">
        <v>-1.468239E-2</v>
      </c>
      <c r="O3852">
        <v>1.1360949999999999E-3</v>
      </c>
      <c r="P3852">
        <v>-0.97661120000000001</v>
      </c>
      <c r="Q3852">
        <v>0.19506870000000001</v>
      </c>
      <c r="R3852">
        <v>9.0440480000000004E-2</v>
      </c>
      <c r="S3852">
        <v>-3.106598</v>
      </c>
      <c r="T3852">
        <v>8.3137989999999995E-2</v>
      </c>
      <c r="U3852">
        <v>-0.55027769999999898</v>
      </c>
      <c r="V3852">
        <v>8.9339139999999997E-2</v>
      </c>
      <c r="W3852">
        <v>0.20938490000000001</v>
      </c>
      <c r="X3852">
        <v>0.97374360000000004</v>
      </c>
      <c r="Y3852">
        <v>-0.17550769999999999</v>
      </c>
      <c r="Z3852">
        <v>1.07806E-3</v>
      </c>
      <c r="AA3852">
        <v>0.98447750000000001</v>
      </c>
      <c r="AB3852">
        <v>46</v>
      </c>
      <c r="AC3852">
        <v>-123.45549999999901</v>
      </c>
      <c r="AD3852">
        <v>3.315312</v>
      </c>
      <c r="AE3852">
        <v>-21.944299999999998</v>
      </c>
      <c r="AF3852">
        <v>-22.069130305835301</v>
      </c>
      <c r="AG3852">
        <v>3.315312</v>
      </c>
      <c r="AH3852">
        <v>123.34426096273</v>
      </c>
      <c r="AI3852">
        <v>88.484401732821496</v>
      </c>
      <c r="AJ3852">
        <v>100.144193839092</v>
      </c>
      <c r="AK3852">
        <v>125.346896724871</v>
      </c>
      <c r="AL3852">
        <v>77.913692458257898</v>
      </c>
      <c r="AM3852">
        <v>84.757896195688701</v>
      </c>
      <c r="AN3852">
        <v>1.00000005841245</v>
      </c>
    </row>
    <row r="3853" spans="1:40" x14ac:dyDescent="0.25">
      <c r="A3853" t="str">
        <f>"20190303171054178"</f>
        <v>20190303171054178</v>
      </c>
      <c r="B3853" t="str">
        <f>"1551604254165039"</f>
        <v>1551604254165039</v>
      </c>
      <c r="C3853" t="s">
        <v>40</v>
      </c>
      <c r="D3853">
        <v>4.9462199999999896</v>
      </c>
      <c r="E3853">
        <v>0.39888679999999999</v>
      </c>
      <c r="F3853" t="s">
        <v>69</v>
      </c>
      <c r="G3853">
        <v>-450.29239999999999</v>
      </c>
      <c r="H3853">
        <v>4.549652</v>
      </c>
      <c r="I3853">
        <v>119.45950000000001</v>
      </c>
      <c r="J3853">
        <v>-327.30059999999997</v>
      </c>
      <c r="K3853">
        <v>1.120868</v>
      </c>
      <c r="L3853">
        <v>141.64789999999999</v>
      </c>
      <c r="M3853">
        <v>-0.99989159999999999</v>
      </c>
      <c r="N3853">
        <v>-1.4680800000000001E-2</v>
      </c>
      <c r="O3853">
        <v>1.1359269999999999E-3</v>
      </c>
      <c r="P3853">
        <v>-0.97671540000000001</v>
      </c>
      <c r="Q3853">
        <v>0.1947564</v>
      </c>
      <c r="R3853">
        <v>8.9983510000000003E-2</v>
      </c>
      <c r="S3853">
        <v>-3.106293</v>
      </c>
      <c r="T3853">
        <v>8.6273069999999993E-2</v>
      </c>
      <c r="U3853">
        <v>-0.55827329999999997</v>
      </c>
      <c r="V3853">
        <v>8.8882030000000001E-2</v>
      </c>
      <c r="W3853">
        <v>0.2090726</v>
      </c>
      <c r="X3853">
        <v>0.97385250000000001</v>
      </c>
      <c r="Y3853">
        <v>-0.17797560000000001</v>
      </c>
      <c r="Z3853">
        <v>1.182268E-3</v>
      </c>
      <c r="AA3853">
        <v>0.98403419999999997</v>
      </c>
      <c r="AB3853">
        <v>46</v>
      </c>
      <c r="AC3853">
        <v>-122.9918</v>
      </c>
      <c r="AD3853">
        <v>3.4287839999999998</v>
      </c>
      <c r="AE3853">
        <v>-22.188399999999898</v>
      </c>
      <c r="AF3853">
        <v>-22.311316849338201</v>
      </c>
      <c r="AG3853">
        <v>3.4287839999999998</v>
      </c>
      <c r="AH3853">
        <v>122.874026968558</v>
      </c>
      <c r="AI3853">
        <v>88.427286765537602</v>
      </c>
      <c r="AJ3853">
        <v>100.291568554318</v>
      </c>
      <c r="AK3853">
        <v>124.93029225428199</v>
      </c>
      <c r="AL3853">
        <v>77.931990580759205</v>
      </c>
      <c r="AM3853">
        <v>84.785149492275906</v>
      </c>
      <c r="AN3853">
        <v>1.00000002954196</v>
      </c>
    </row>
    <row r="3854" spans="1:40" x14ac:dyDescent="0.25">
      <c r="A3854" t="str">
        <f>"20190303171054202"</f>
        <v>20190303171054202</v>
      </c>
      <c r="B3854" t="str">
        <f>"1551604254194319"</f>
        <v>1551604254194319</v>
      </c>
      <c r="C3854" t="s">
        <v>40</v>
      </c>
      <c r="D3854">
        <v>4.9538830000000003</v>
      </c>
      <c r="E3854">
        <v>0.3981152</v>
      </c>
      <c r="F3854" t="s">
        <v>69</v>
      </c>
      <c r="G3854">
        <v>-449.77010000000001</v>
      </c>
      <c r="H3854">
        <v>4.5303519999999997</v>
      </c>
      <c r="I3854">
        <v>119.395</v>
      </c>
      <c r="J3854">
        <v>-327.791</v>
      </c>
      <c r="K3854">
        <v>1.1208720000000001</v>
      </c>
      <c r="L3854">
        <v>141.64850000000001</v>
      </c>
      <c r="M3854">
        <v>-0.99989159999999999</v>
      </c>
      <c r="N3854">
        <v>-1.467893E-2</v>
      </c>
      <c r="O3854">
        <v>1.135762E-3</v>
      </c>
      <c r="P3854">
        <v>-0.97676320000000005</v>
      </c>
      <c r="Q3854">
        <v>0.19478860000000001</v>
      </c>
      <c r="R3854">
        <v>8.9394050000000003E-2</v>
      </c>
      <c r="S3854">
        <v>-3.1062319999999999</v>
      </c>
      <c r="T3854">
        <v>8.6476330000000004E-2</v>
      </c>
      <c r="U3854">
        <v>-0.56440729999999995</v>
      </c>
      <c r="V3854">
        <v>8.829273E-2</v>
      </c>
      <c r="W3854">
        <v>0.20910380000000001</v>
      </c>
      <c r="X3854">
        <v>0.97389939999999997</v>
      </c>
      <c r="Y3854">
        <v>-0.17985970000000001</v>
      </c>
      <c r="Z3854">
        <v>1.199725E-3</v>
      </c>
      <c r="AA3854">
        <v>0.98369150000000005</v>
      </c>
      <c r="AB3854">
        <v>46</v>
      </c>
      <c r="AC3854">
        <v>-121.9791</v>
      </c>
      <c r="AD3854">
        <v>3.4094799999999998</v>
      </c>
      <c r="AE3854">
        <v>-22.253499999999999</v>
      </c>
      <c r="AF3854">
        <v>-22.3751217053515</v>
      </c>
      <c r="AG3854">
        <v>3.4094799999999998</v>
      </c>
      <c r="AH3854">
        <v>121.861602901902</v>
      </c>
      <c r="AI3854">
        <v>88.423716526731297</v>
      </c>
      <c r="AJ3854">
        <v>100.40424472681001</v>
      </c>
      <c r="AK3854">
        <v>123.945636821232</v>
      </c>
      <c r="AL3854">
        <v>77.930162471002404</v>
      </c>
      <c r="AM3854">
        <v>84.819784030340401</v>
      </c>
      <c r="AN3854">
        <v>1.0000000233328199</v>
      </c>
    </row>
    <row r="3855" spans="1:40" x14ac:dyDescent="0.25">
      <c r="A3855" t="str">
        <f>"20190303171054224"</f>
        <v>20190303171054224</v>
      </c>
      <c r="B3855" t="str">
        <f>"1551604254214815"</f>
        <v>1551604254214815</v>
      </c>
      <c r="C3855" t="s">
        <v>40</v>
      </c>
      <c r="D3855">
        <v>4.9703400000000002</v>
      </c>
      <c r="E3855">
        <v>0.39765630000000002</v>
      </c>
      <c r="F3855" t="s">
        <v>69</v>
      </c>
      <c r="G3855">
        <v>-448.63619999999997</v>
      </c>
      <c r="H3855">
        <v>4.5529229999999998</v>
      </c>
      <c r="I3855">
        <v>119.395</v>
      </c>
      <c r="J3855">
        <v>-328.26459999999997</v>
      </c>
      <c r="K3855">
        <v>1.1208720000000001</v>
      </c>
      <c r="L3855">
        <v>141.649</v>
      </c>
      <c r="M3855">
        <v>-0.9998918</v>
      </c>
      <c r="N3855">
        <v>-1.4676979999999999E-2</v>
      </c>
      <c r="O3855">
        <v>1.1355969999999999E-3</v>
      </c>
      <c r="P3855">
        <v>-0.97689559999999998</v>
      </c>
      <c r="Q3855">
        <v>0.19426080000000001</v>
      </c>
      <c r="R3855">
        <v>8.9094969999999996E-2</v>
      </c>
      <c r="S3855">
        <v>-3.1061399999999999</v>
      </c>
      <c r="T3855">
        <v>8.821619E-2</v>
      </c>
      <c r="U3855">
        <v>-0.57199100000000003</v>
      </c>
      <c r="V3855">
        <v>8.7993459999999996E-2</v>
      </c>
      <c r="W3855">
        <v>0.20857590000000001</v>
      </c>
      <c r="X3855">
        <v>0.97403969999999995</v>
      </c>
      <c r="Y3855">
        <v>-0.1821856</v>
      </c>
      <c r="Z3855">
        <v>1.2652099999999999E-3</v>
      </c>
      <c r="AA3855">
        <v>0.98326329999999995</v>
      </c>
      <c r="AB3855">
        <v>46</v>
      </c>
      <c r="AC3855">
        <v>-120.3716</v>
      </c>
      <c r="AD3855">
        <v>3.432051</v>
      </c>
      <c r="AE3855">
        <v>-22.254000000000001</v>
      </c>
      <c r="AF3855">
        <v>-22.373107063001001</v>
      </c>
      <c r="AG3855">
        <v>3.432051</v>
      </c>
      <c r="AH3855">
        <v>120.251721331225</v>
      </c>
      <c r="AI3855">
        <v>88.392756613199396</v>
      </c>
      <c r="AJ3855">
        <v>100.539503236936</v>
      </c>
      <c r="AK3855">
        <v>122.363439706645</v>
      </c>
      <c r="AL3855">
        <v>77.961091167253997</v>
      </c>
      <c r="AM3855">
        <v>84.837987051947806</v>
      </c>
      <c r="AN3855">
        <v>1.00000004611983</v>
      </c>
    </row>
    <row r="3856" spans="1:40" x14ac:dyDescent="0.25">
      <c r="A3856" t="str">
        <f>"20190303171054246"</f>
        <v>20190303171054246</v>
      </c>
      <c r="B3856" t="str">
        <f>"1551604254234335"</f>
        <v>1551604254234335</v>
      </c>
      <c r="C3856" t="s">
        <v>40</v>
      </c>
      <c r="D3856">
        <v>4.9543499999999998</v>
      </c>
      <c r="E3856">
        <v>0.397283</v>
      </c>
      <c r="F3856" t="s">
        <v>69</v>
      </c>
      <c r="G3856">
        <v>-448.1814</v>
      </c>
      <c r="H3856">
        <v>4.5157730000000003</v>
      </c>
      <c r="I3856">
        <v>119.395</v>
      </c>
      <c r="J3856">
        <v>-328.6943</v>
      </c>
      <c r="K3856">
        <v>1.1208670000000001</v>
      </c>
      <c r="L3856">
        <v>141.64949999999999</v>
      </c>
      <c r="M3856">
        <v>-0.99989170000000005</v>
      </c>
      <c r="N3856">
        <v>-1.46751E-2</v>
      </c>
      <c r="O3856">
        <v>1.1356109999999999E-3</v>
      </c>
      <c r="P3856">
        <v>-0.97693370000000002</v>
      </c>
      <c r="Q3856">
        <v>0.19431960000000001</v>
      </c>
      <c r="R3856">
        <v>8.8547589999999995E-2</v>
      </c>
      <c r="S3856">
        <v>-3.1060490000000001</v>
      </c>
      <c r="T3856">
        <v>8.7934139999999994E-2</v>
      </c>
      <c r="U3856">
        <v>-0.57641600000000004</v>
      </c>
      <c r="V3856">
        <v>8.7446140000000006E-2</v>
      </c>
      <c r="W3856">
        <v>0.20863329999999999</v>
      </c>
      <c r="X3856">
        <v>0.97407670000000002</v>
      </c>
      <c r="Y3856">
        <v>-0.18354529999999999</v>
      </c>
      <c r="Z3856">
        <v>1.2656690000000001E-3</v>
      </c>
      <c r="AA3856">
        <v>0.98301039999999995</v>
      </c>
      <c r="AB3856">
        <v>46</v>
      </c>
      <c r="AC3856">
        <v>-119.4871</v>
      </c>
      <c r="AD3856">
        <v>3.39490599999999</v>
      </c>
      <c r="AE3856">
        <v>-22.2545</v>
      </c>
      <c r="AF3856">
        <v>-22.372736008368101</v>
      </c>
      <c r="AG3856">
        <v>3.39490599999999</v>
      </c>
      <c r="AH3856">
        <v>119.368616875626</v>
      </c>
      <c r="AI3856">
        <v>88.398783569302495</v>
      </c>
      <c r="AJ3856">
        <v>100.615537824152</v>
      </c>
      <c r="AK3856">
        <v>121.494573533343</v>
      </c>
      <c r="AL3856">
        <v>77.957728449002005</v>
      </c>
      <c r="AM3856">
        <v>84.870116778744105</v>
      </c>
      <c r="AN3856">
        <v>1.0000000493763299</v>
      </c>
    </row>
    <row r="3857" spans="1:40" x14ac:dyDescent="0.25">
      <c r="A3857" t="str">
        <f>"20190303171054268"</f>
        <v>20190303171054268</v>
      </c>
      <c r="B3857" t="str">
        <f>"1551604254254831"</f>
        <v>1551604254254831</v>
      </c>
      <c r="C3857" t="s">
        <v>40</v>
      </c>
      <c r="D3857">
        <v>4.983479</v>
      </c>
      <c r="E3857">
        <v>0.39695380000000002</v>
      </c>
      <c r="F3857" t="s">
        <v>69</v>
      </c>
      <c r="G3857">
        <v>-447.70319999999998</v>
      </c>
      <c r="H3857">
        <v>4.5165879999999996</v>
      </c>
      <c r="I3857">
        <v>119.395</v>
      </c>
      <c r="J3857">
        <v>-329.14839999999998</v>
      </c>
      <c r="K3857">
        <v>1.120871</v>
      </c>
      <c r="L3857">
        <v>141.65010000000001</v>
      </c>
      <c r="M3857">
        <v>-0.99989170000000005</v>
      </c>
      <c r="N3857">
        <v>-1.4672859999999999E-2</v>
      </c>
      <c r="O3857">
        <v>1.1354480000000001E-3</v>
      </c>
      <c r="P3857">
        <v>-0.97687930000000001</v>
      </c>
      <c r="Q3857">
        <v>0.1947709</v>
      </c>
      <c r="R3857">
        <v>8.8155540000000004E-2</v>
      </c>
      <c r="S3857">
        <v>-3.105804</v>
      </c>
      <c r="T3857">
        <v>8.8619470000000006E-2</v>
      </c>
      <c r="U3857">
        <v>-0.58077999999999996</v>
      </c>
      <c r="V3857">
        <v>8.7054419999999993E-2</v>
      </c>
      <c r="W3857">
        <v>0.20908180000000001</v>
      </c>
      <c r="X3857">
        <v>0.97401550000000003</v>
      </c>
      <c r="Y3857">
        <v>-0.18489269999999999</v>
      </c>
      <c r="Z3857">
        <v>1.2949540000000001E-3</v>
      </c>
      <c r="AA3857">
        <v>0.98275789999999996</v>
      </c>
      <c r="AB3857">
        <v>46</v>
      </c>
      <c r="AC3857">
        <v>-118.5548</v>
      </c>
      <c r="AD3857">
        <v>3.3957169999999901</v>
      </c>
      <c r="AE3857">
        <v>-22.255099999999999</v>
      </c>
      <c r="AF3857">
        <v>-22.371983774325901</v>
      </c>
      <c r="AG3857">
        <v>3.3957169999999901</v>
      </c>
      <c r="AH3857">
        <v>118.435594387718</v>
      </c>
      <c r="AI3857">
        <v>88.386221670383406</v>
      </c>
      <c r="AJ3857">
        <v>100.696891868149</v>
      </c>
      <c r="AK3857">
        <v>120.57788590747001</v>
      </c>
      <c r="AL3857">
        <v>77.931450359977603</v>
      </c>
      <c r="AM3857">
        <v>84.892655401630606</v>
      </c>
      <c r="AN3857">
        <v>0.99999993268651099</v>
      </c>
    </row>
    <row r="3858" spans="1:40" x14ac:dyDescent="0.25">
      <c r="A3858" t="str">
        <f>"20190303171054290"</f>
        <v>20190303171054290</v>
      </c>
      <c r="B3858" t="str">
        <f>"1551604254285088"</f>
        <v>1551604254285088</v>
      </c>
      <c r="C3858" t="s">
        <v>40</v>
      </c>
      <c r="D3858">
        <v>5.0135990000000001</v>
      </c>
      <c r="E3858">
        <v>0.39652500000000002</v>
      </c>
      <c r="F3858" t="s">
        <v>69</v>
      </c>
      <c r="G3858">
        <v>-447.45890000000003</v>
      </c>
      <c r="H3858">
        <v>4.5842539999999996</v>
      </c>
      <c r="I3858">
        <v>119.395</v>
      </c>
      <c r="J3858">
        <v>-329.61430000000001</v>
      </c>
      <c r="K3858">
        <v>1.120873</v>
      </c>
      <c r="L3858">
        <v>141.6506</v>
      </c>
      <c r="M3858">
        <v>-0.99989189999999994</v>
      </c>
      <c r="N3858">
        <v>-1.467046E-2</v>
      </c>
      <c r="O3858">
        <v>1.134988E-3</v>
      </c>
      <c r="P3858">
        <v>-0.97686079999999997</v>
      </c>
      <c r="Q3858">
        <v>0.1951068</v>
      </c>
      <c r="R3858">
        <v>8.7616639999999996E-2</v>
      </c>
      <c r="S3858">
        <v>-3.105591</v>
      </c>
      <c r="T3858">
        <v>9.0912699999999999E-2</v>
      </c>
      <c r="U3858">
        <v>-0.58418269999999906</v>
      </c>
      <c r="V3858">
        <v>8.6515759999999997E-2</v>
      </c>
      <c r="W3858">
        <v>0.2094153</v>
      </c>
      <c r="X3858">
        <v>0.97399190000000002</v>
      </c>
      <c r="Y3858">
        <v>-0.18594140000000001</v>
      </c>
      <c r="Z3858">
        <v>1.370834E-3</v>
      </c>
      <c r="AA3858">
        <v>0.98255990000000004</v>
      </c>
      <c r="AB3858">
        <v>46</v>
      </c>
      <c r="AC3858">
        <v>-117.8446</v>
      </c>
      <c r="AD3858">
        <v>3.463381</v>
      </c>
      <c r="AE3858">
        <v>-22.255600000000001</v>
      </c>
      <c r="AF3858">
        <v>-22.370695287982901</v>
      </c>
      <c r="AG3858">
        <v>3.463381</v>
      </c>
      <c r="AH3858">
        <v>117.721083221285</v>
      </c>
      <c r="AI3858">
        <v>88.344441888154094</v>
      </c>
      <c r="AJ3858">
        <v>100.759700209432</v>
      </c>
      <c r="AK3858">
        <v>119.877839696967</v>
      </c>
      <c r="AL3858">
        <v>77.911910249541805</v>
      </c>
      <c r="AM3858">
        <v>84.923969778443393</v>
      </c>
      <c r="AN3858">
        <v>0.99999998293403802</v>
      </c>
    </row>
    <row r="3859" spans="1:40" x14ac:dyDescent="0.25">
      <c r="A3859" t="str">
        <f>"20190303171054313"</f>
        <v>20190303171054313</v>
      </c>
      <c r="B3859" t="str">
        <f>"1551604254304607"</f>
        <v>1551604254304607</v>
      </c>
      <c r="C3859" t="s">
        <v>40</v>
      </c>
      <c r="D3859">
        <v>4.9792079999999999</v>
      </c>
      <c r="E3859">
        <v>0.39622180000000001</v>
      </c>
      <c r="F3859" t="s">
        <v>69</v>
      </c>
      <c r="G3859">
        <v>-446.83960000000002</v>
      </c>
      <c r="H3859">
        <v>4.6702219999999999</v>
      </c>
      <c r="I3859">
        <v>119.395</v>
      </c>
      <c r="J3859">
        <v>-330.07510000000002</v>
      </c>
      <c r="K3859">
        <v>1.120876</v>
      </c>
      <c r="L3859">
        <v>141.65110000000001</v>
      </c>
      <c r="M3859">
        <v>-0.99989189999999994</v>
      </c>
      <c r="N3859">
        <v>-1.4668250000000001E-2</v>
      </c>
      <c r="O3859">
        <v>1.1348249999999999E-3</v>
      </c>
      <c r="P3859">
        <v>-0.97693580000000002</v>
      </c>
      <c r="Q3859">
        <v>0.1950134</v>
      </c>
      <c r="R3859">
        <v>8.6985309999999996E-2</v>
      </c>
      <c r="S3859">
        <v>-3.1051639999999998</v>
      </c>
      <c r="T3859">
        <v>9.4018820000000003E-2</v>
      </c>
      <c r="U3859">
        <v>-0.58952329999999997</v>
      </c>
      <c r="V3859">
        <v>8.5884600000000005E-2</v>
      </c>
      <c r="W3859">
        <v>0.20932010000000001</v>
      </c>
      <c r="X3859">
        <v>0.97406820000000005</v>
      </c>
      <c r="Y3859">
        <v>-0.1875928</v>
      </c>
      <c r="Z3859">
        <v>1.476528E-3</v>
      </c>
      <c r="AA3859">
        <v>0.98224579999999995</v>
      </c>
      <c r="AB3859">
        <v>46</v>
      </c>
      <c r="AC3859">
        <v>-116.7645</v>
      </c>
      <c r="AD3859">
        <v>3.5493459999999999</v>
      </c>
      <c r="AE3859">
        <v>-22.2561</v>
      </c>
      <c r="AF3859">
        <v>-22.368662981042299</v>
      </c>
      <c r="AG3859">
        <v>3.5493459999999999</v>
      </c>
      <c r="AH3859">
        <v>116.63517182686699</v>
      </c>
      <c r="AI3859">
        <v>88.288138154525797</v>
      </c>
      <c r="AJ3859">
        <v>100.856543107991</v>
      </c>
      <c r="AK3859">
        <v>118.813796537565</v>
      </c>
      <c r="AL3859">
        <v>77.917488199162307</v>
      </c>
      <c r="AM3859">
        <v>84.961202363771804</v>
      </c>
      <c r="AN3859">
        <v>0.99999996351620402</v>
      </c>
    </row>
    <row r="3860" spans="1:40" x14ac:dyDescent="0.25">
      <c r="A3860" t="str">
        <f>"20190303171054334"</f>
        <v>20190303171054334</v>
      </c>
      <c r="B3860" t="str">
        <f>"1551604254325104"</f>
        <v>1551604254325104</v>
      </c>
      <c r="C3860" t="s">
        <v>40</v>
      </c>
      <c r="D3860">
        <v>4.9908330000000003</v>
      </c>
      <c r="E3860">
        <v>0.39610390000000001</v>
      </c>
      <c r="F3860" t="s">
        <v>69</v>
      </c>
      <c r="G3860">
        <v>-446.53210000000001</v>
      </c>
      <c r="H3860">
        <v>4.6551710000000002</v>
      </c>
      <c r="I3860">
        <v>119.395</v>
      </c>
      <c r="J3860">
        <v>-330.51249999999999</v>
      </c>
      <c r="K3860">
        <v>1.120878</v>
      </c>
      <c r="L3860">
        <v>141.6516</v>
      </c>
      <c r="M3860">
        <v>-0.99989189999999994</v>
      </c>
      <c r="N3860">
        <v>-1.4666169999999999E-2</v>
      </c>
      <c r="O3860">
        <v>1.1346609999999999E-3</v>
      </c>
      <c r="P3860">
        <v>-0.97690299999999997</v>
      </c>
      <c r="Q3860">
        <v>0.19523090000000001</v>
      </c>
      <c r="R3860">
        <v>8.6864810000000001E-2</v>
      </c>
      <c r="S3860">
        <v>-3.1048580000000001</v>
      </c>
      <c r="T3860">
        <v>9.4228270000000003E-2</v>
      </c>
      <c r="U3860">
        <v>-0.59336849999999997</v>
      </c>
      <c r="V3860">
        <v>8.5764220000000002E-2</v>
      </c>
      <c r="W3860">
        <v>0.20953550000000001</v>
      </c>
      <c r="X3860">
        <v>0.97403249999999997</v>
      </c>
      <c r="Y3860">
        <v>-0.18878349999999999</v>
      </c>
      <c r="Z3860">
        <v>1.491935E-3</v>
      </c>
      <c r="AA3860">
        <v>0.98201760000000005</v>
      </c>
      <c r="AB3860">
        <v>46</v>
      </c>
      <c r="AC3860">
        <v>-116.0196</v>
      </c>
      <c r="AD3860">
        <v>3.5342929999999999</v>
      </c>
      <c r="AE3860">
        <v>-22.256599999999999</v>
      </c>
      <c r="AF3860">
        <v>-22.368222062840999</v>
      </c>
      <c r="AG3860">
        <v>3.5342929999999999</v>
      </c>
      <c r="AH3860">
        <v>115.890541099221</v>
      </c>
      <c r="AI3860">
        <v>88.284838629104797</v>
      </c>
      <c r="AJ3860">
        <v>100.924416149436</v>
      </c>
      <c r="AK3860">
        <v>118.08236998609399</v>
      </c>
      <c r="AL3860">
        <v>77.904866865828296</v>
      </c>
      <c r="AM3860">
        <v>84.968045226268103</v>
      </c>
      <c r="AN3860">
        <v>0.99999996912435296</v>
      </c>
    </row>
    <row r="3861" spans="1:40" x14ac:dyDescent="0.25">
      <c r="A3861" t="str">
        <f>"20190303171054357"</f>
        <v>20190303171054357</v>
      </c>
      <c r="B3861" t="str">
        <f>"1551604254344623"</f>
        <v>1551604254344623</v>
      </c>
      <c r="C3861" t="s">
        <v>40</v>
      </c>
      <c r="D3861">
        <v>5.0941979999999996</v>
      </c>
      <c r="E3861">
        <v>0.4270349</v>
      </c>
      <c r="F3861" t="s">
        <v>69</v>
      </c>
      <c r="G3861">
        <v>-446.59989999999999</v>
      </c>
      <c r="H3861">
        <v>4.7077710000000002</v>
      </c>
      <c r="I3861">
        <v>119.395</v>
      </c>
      <c r="J3861">
        <v>-330.97430000000003</v>
      </c>
      <c r="K3861">
        <v>1.1208769999999999</v>
      </c>
      <c r="L3861">
        <v>141.65209999999999</v>
      </c>
      <c r="M3861">
        <v>-0.99989189999999994</v>
      </c>
      <c r="N3861">
        <v>-1.4663890000000001E-2</v>
      </c>
      <c r="O3861">
        <v>1.134677E-3</v>
      </c>
      <c r="P3861">
        <v>-0.97686740000000005</v>
      </c>
      <c r="Q3861">
        <v>0.19532640000000001</v>
      </c>
      <c r="R3861">
        <v>8.7048410000000007E-2</v>
      </c>
      <c r="S3861">
        <v>-3.1046450000000001</v>
      </c>
      <c r="T3861">
        <v>9.5928429999999995E-2</v>
      </c>
      <c r="U3861">
        <v>-0.59523009999999998</v>
      </c>
      <c r="V3861">
        <v>8.5947679999999999E-2</v>
      </c>
      <c r="W3861">
        <v>0.2096288</v>
      </c>
      <c r="X3861">
        <v>0.97399630000000004</v>
      </c>
      <c r="Y3861">
        <v>-0.18936149999999999</v>
      </c>
      <c r="Z3861">
        <v>1.548471E-3</v>
      </c>
      <c r="AA3861">
        <v>0.98190619999999995</v>
      </c>
      <c r="AB3861">
        <v>46</v>
      </c>
      <c r="AC3861">
        <v>-115.625599999999</v>
      </c>
      <c r="AD3861">
        <v>3.586894</v>
      </c>
      <c r="AE3861">
        <v>-22.257099999999902</v>
      </c>
      <c r="AF3861">
        <v>-22.367541357262098</v>
      </c>
      <c r="AG3861">
        <v>3.586894</v>
      </c>
      <c r="AH3861">
        <v>115.493095571815</v>
      </c>
      <c r="AI3861">
        <v>88.253555112013501</v>
      </c>
      <c r="AJ3861">
        <v>100.960775707716</v>
      </c>
      <c r="AK3861">
        <v>117.69378844992799</v>
      </c>
      <c r="AL3861">
        <v>77.899400313406801</v>
      </c>
      <c r="AM3861">
        <v>84.957150257051595</v>
      </c>
      <c r="AN3861">
        <v>1.0000000149502499</v>
      </c>
    </row>
    <row r="3862" spans="1:40" x14ac:dyDescent="0.25">
      <c r="A3862" t="str">
        <f>"20190303171054380"</f>
        <v>20190303171054380</v>
      </c>
      <c r="B3862" t="str">
        <f>"1551604254374413"</f>
        <v>1551604254374413</v>
      </c>
      <c r="C3862" t="s">
        <v>40</v>
      </c>
      <c r="D3862">
        <v>5.0454359999999996</v>
      </c>
      <c r="E3862">
        <v>0.44043870000000002</v>
      </c>
      <c r="F3862" t="s">
        <v>62</v>
      </c>
      <c r="G3862">
        <v>0</v>
      </c>
      <c r="H3862">
        <v>0</v>
      </c>
      <c r="I3862">
        <v>0</v>
      </c>
      <c r="J3862">
        <v>-331.4409</v>
      </c>
      <c r="K3862">
        <v>1.120884</v>
      </c>
      <c r="L3862">
        <v>141.65260000000001</v>
      </c>
      <c r="M3862">
        <v>-0.99989189999999994</v>
      </c>
      <c r="N3862">
        <v>-1.4661449999999999E-2</v>
      </c>
      <c r="O3862">
        <v>1.134337E-3</v>
      </c>
      <c r="P3862">
        <v>-0.97681439999999997</v>
      </c>
      <c r="Q3862">
        <v>0.19531860000000001</v>
      </c>
      <c r="R3862">
        <v>8.7660719999999998E-2</v>
      </c>
      <c r="S3862">
        <v>-3.1008610000000001</v>
      </c>
      <c r="T3862">
        <v>8.61752E-3</v>
      </c>
      <c r="U3862">
        <v>-0.35382079999999999</v>
      </c>
      <c r="V3862">
        <v>8.6560620000000005E-2</v>
      </c>
      <c r="W3862">
        <v>0.2096171</v>
      </c>
      <c r="X3862">
        <v>0.97394449999999999</v>
      </c>
      <c r="Y3862">
        <v>-0.11449719999999999</v>
      </c>
      <c r="Z3862">
        <v>-6.6379739999999996E-4</v>
      </c>
      <c r="AA3862">
        <v>0.99342330000000001</v>
      </c>
      <c r="AB3862">
        <v>46</v>
      </c>
      <c r="AC3862">
        <v>-3.1008610000000001</v>
      </c>
      <c r="AD3862">
        <v>8.61752E-3</v>
      </c>
      <c r="AE3862">
        <v>-0.35382079999999999</v>
      </c>
      <c r="AF3862">
        <v>-0.35733564736957202</v>
      </c>
      <c r="AG3862">
        <v>8.61752E-3</v>
      </c>
      <c r="AH3862">
        <v>3.1004339717770399</v>
      </c>
      <c r="AI3862">
        <v>89.841796572618307</v>
      </c>
      <c r="AJ3862">
        <v>96.574526887598395</v>
      </c>
      <c r="AK3862">
        <v>3.12097001585744</v>
      </c>
      <c r="AL3862">
        <v>77.900085468591001</v>
      </c>
      <c r="AM3862">
        <v>84.921105649974706</v>
      </c>
      <c r="AN3862">
        <v>0.99999997931372198</v>
      </c>
    </row>
    <row r="3863" spans="1:40" x14ac:dyDescent="0.25">
      <c r="A3863" t="str">
        <f>"20190303171054402"</f>
        <v>20190303171054402</v>
      </c>
      <c r="B3863" t="str">
        <f>"1551604254394909"</f>
        <v>1551604254394909</v>
      </c>
      <c r="C3863" t="s">
        <v>40</v>
      </c>
      <c r="D3863">
        <v>5.0250450000000004</v>
      </c>
      <c r="E3863">
        <v>0.44375819999999999</v>
      </c>
      <c r="F3863" t="s">
        <v>46</v>
      </c>
      <c r="G3863">
        <v>-500.63</v>
      </c>
      <c r="H3863">
        <v>0.27998250000000002</v>
      </c>
      <c r="I3863">
        <v>128.16329999999999</v>
      </c>
      <c r="J3863">
        <v>-331.90390000000002</v>
      </c>
      <c r="K3863">
        <v>1.1208819999999999</v>
      </c>
      <c r="L3863">
        <v>141.6532</v>
      </c>
      <c r="M3863">
        <v>-0.99989189999999994</v>
      </c>
      <c r="N3863">
        <v>-1.4658829999999999E-2</v>
      </c>
      <c r="O3863">
        <v>1.1340580000000001E-3</v>
      </c>
      <c r="P3863">
        <v>-0.97682709999999995</v>
      </c>
      <c r="Q3863">
        <v>0.195105</v>
      </c>
      <c r="R3863">
        <v>8.799411E-2</v>
      </c>
      <c r="S3863">
        <v>-3.0964049999999999</v>
      </c>
      <c r="T3863">
        <v>-1.5389079999999999E-2</v>
      </c>
      <c r="U3863">
        <v>-0.24687190000000001</v>
      </c>
      <c r="V3863">
        <v>8.6894280000000004E-2</v>
      </c>
      <c r="W3863">
        <v>0.2094017</v>
      </c>
      <c r="X3863">
        <v>0.97396110000000002</v>
      </c>
      <c r="Y3863">
        <v>-8.0602919999999995E-2</v>
      </c>
      <c r="Z3863">
        <v>-7.8076229999999897E-4</v>
      </c>
      <c r="AA3863">
        <v>0.99674600000000002</v>
      </c>
      <c r="AB3863">
        <v>46</v>
      </c>
      <c r="AC3863">
        <v>-168.72609999999901</v>
      </c>
      <c r="AD3863">
        <v>-0.84089949999999902</v>
      </c>
      <c r="AE3863">
        <v>-13.4899</v>
      </c>
      <c r="AF3863">
        <v>-13.6809194168045</v>
      </c>
      <c r="AG3863">
        <v>-0.84089949999999902</v>
      </c>
      <c r="AH3863">
        <v>168.70652772061499</v>
      </c>
      <c r="AI3863">
        <v>90.284647887297695</v>
      </c>
      <c r="AJ3863">
        <v>94.6361421951907</v>
      </c>
      <c r="AK3863">
        <v>169.262421002433</v>
      </c>
      <c r="AL3863">
        <v>77.912706811212999</v>
      </c>
      <c r="AM3863">
        <v>84.901717762469602</v>
      </c>
      <c r="AN3863">
        <v>0.99999995608640802</v>
      </c>
    </row>
    <row r="3864" spans="1:40" x14ac:dyDescent="0.25">
      <c r="A3864" t="str">
        <f>"20190303171054425"</f>
        <v>20190303171054425</v>
      </c>
      <c r="B3864" t="str">
        <f>"1551604254414429"</f>
        <v>1551604254414429</v>
      </c>
      <c r="C3864" t="s">
        <v>40</v>
      </c>
      <c r="D3864">
        <v>5.0419939999999999</v>
      </c>
      <c r="E3864">
        <v>0.44576450000000001</v>
      </c>
      <c r="F3864" t="s">
        <v>68</v>
      </c>
      <c r="G3864">
        <v>-496.74770000000001</v>
      </c>
      <c r="H3864" s="1">
        <v>-7.80022E-6</v>
      </c>
      <c r="I3864">
        <v>129.95480000000001</v>
      </c>
      <c r="J3864">
        <v>-332.36410000000001</v>
      </c>
      <c r="K3864">
        <v>1.120884</v>
      </c>
      <c r="L3864">
        <v>141.65369999999999</v>
      </c>
      <c r="M3864">
        <v>-0.99989189999999994</v>
      </c>
      <c r="N3864">
        <v>-1.4656189999999999E-2</v>
      </c>
      <c r="O3864">
        <v>1.1338989999999901E-3</v>
      </c>
      <c r="P3864">
        <v>-0.97680350000000005</v>
      </c>
      <c r="Q3864">
        <v>0.19486899999999999</v>
      </c>
      <c r="R3864">
        <v>8.8774710000000007E-2</v>
      </c>
      <c r="S3864">
        <v>-3.0951230000000001</v>
      </c>
      <c r="T3864">
        <v>-2.1045919999999999E-2</v>
      </c>
      <c r="U3864">
        <v>-0.21965029999999999</v>
      </c>
      <c r="V3864">
        <v>8.7675020000000006E-2</v>
      </c>
      <c r="W3864">
        <v>0.2091625</v>
      </c>
      <c r="X3864">
        <v>0.97394259999999999</v>
      </c>
      <c r="Y3864">
        <v>-7.1914399999999906E-2</v>
      </c>
      <c r="Z3864">
        <v>-7.6299530000000003E-4</v>
      </c>
      <c r="AA3864">
        <v>0.99741049999999998</v>
      </c>
      <c r="AB3864">
        <v>46</v>
      </c>
      <c r="AC3864">
        <v>-164.3836</v>
      </c>
      <c r="AD3864">
        <v>-1.1208918002199999</v>
      </c>
      <c r="AE3864">
        <v>-11.698899999999901</v>
      </c>
      <c r="AF3864">
        <v>-11.884757106426299</v>
      </c>
      <c r="AG3864">
        <v>-1.1208918002199999</v>
      </c>
      <c r="AH3864">
        <v>164.36262390273501</v>
      </c>
      <c r="AI3864">
        <v>90.389712352469203</v>
      </c>
      <c r="AJ3864">
        <v>94.135753900631897</v>
      </c>
      <c r="AK3864">
        <v>164.79555815039001</v>
      </c>
      <c r="AL3864">
        <v>77.926723167904996</v>
      </c>
      <c r="AM3864">
        <v>84.856057469700204</v>
      </c>
      <c r="AN3864">
        <v>1.0000000243164999</v>
      </c>
    </row>
    <row r="3865" spans="1:40" x14ac:dyDescent="0.25">
      <c r="A3865" t="str">
        <f>"20190303171054446"</f>
        <v>20190303171054446</v>
      </c>
      <c r="B3865" t="str">
        <f>"1551604254434925"</f>
        <v>1551604254434925</v>
      </c>
      <c r="C3865" t="s">
        <v>40</v>
      </c>
      <c r="D3865">
        <v>5.045261</v>
      </c>
      <c r="E3865">
        <v>0.44699080000000002</v>
      </c>
      <c r="F3865" t="s">
        <v>42</v>
      </c>
      <c r="G3865">
        <v>-468.96780000000001</v>
      </c>
      <c r="H3865" s="1">
        <v>-1.3405689999999999E-6</v>
      </c>
      <c r="I3865">
        <v>132.76009999999999</v>
      </c>
      <c r="J3865">
        <v>-332.80849999999998</v>
      </c>
      <c r="K3865">
        <v>1.1208880000000001</v>
      </c>
      <c r="L3865">
        <v>141.6542</v>
      </c>
      <c r="M3865">
        <v>-0.999892</v>
      </c>
      <c r="N3865">
        <v>-1.4653670000000001E-2</v>
      </c>
      <c r="O3865">
        <v>1.133738E-3</v>
      </c>
      <c r="P3865">
        <v>-0.97676130000000005</v>
      </c>
      <c r="Q3865">
        <v>0.19489570000000001</v>
      </c>
      <c r="R3865">
        <v>8.9179530000000007E-2</v>
      </c>
      <c r="S3865">
        <v>-3.0946660000000001</v>
      </c>
      <c r="T3865">
        <v>-2.5392890000000001E-2</v>
      </c>
      <c r="U3865">
        <v>-0.20147709999999999</v>
      </c>
      <c r="V3865">
        <v>8.8080030000000004E-2</v>
      </c>
      <c r="W3865">
        <v>0.20918590000000001</v>
      </c>
      <c r="X3865">
        <v>0.97390100000000002</v>
      </c>
      <c r="Y3865">
        <v>-6.6092300000000007E-2</v>
      </c>
      <c r="Z3865">
        <v>-7.4836909999999996E-4</v>
      </c>
      <c r="AA3865">
        <v>0.99781319999999996</v>
      </c>
      <c r="AB3865">
        <v>46</v>
      </c>
      <c r="AC3865">
        <v>-136.1593</v>
      </c>
      <c r="AD3865">
        <v>-1.1208893405689999</v>
      </c>
      <c r="AE3865">
        <v>-8.8940999999999999</v>
      </c>
      <c r="AF3865">
        <v>-9.0478692700082206</v>
      </c>
      <c r="AG3865">
        <v>-1.1208893405689999</v>
      </c>
      <c r="AH3865">
        <v>136.13994094853399</v>
      </c>
      <c r="AI3865">
        <v>90.470687894937996</v>
      </c>
      <c r="AJ3865">
        <v>93.802289624356007</v>
      </c>
      <c r="AK3865">
        <v>136.444874776267</v>
      </c>
      <c r="AL3865">
        <v>77.925351759024906</v>
      </c>
      <c r="AM3865">
        <v>84.832204128049597</v>
      </c>
      <c r="AN3865">
        <v>0.99999999512230497</v>
      </c>
    </row>
    <row r="3866" spans="1:40" x14ac:dyDescent="0.25">
      <c r="A3866" t="str">
        <f>"20190303171054469"</f>
        <v>20190303171054469</v>
      </c>
      <c r="B3866" t="str">
        <f>"1551604254454445"</f>
        <v>1551604254454445</v>
      </c>
      <c r="C3866" t="s">
        <v>40</v>
      </c>
      <c r="D3866">
        <v>5.019145</v>
      </c>
      <c r="E3866">
        <v>0.44781520000000002</v>
      </c>
      <c r="F3866" t="s">
        <v>42</v>
      </c>
      <c r="G3866">
        <v>-456.61040000000003</v>
      </c>
      <c r="H3866" s="1">
        <v>-1.613544E-6</v>
      </c>
      <c r="I3866">
        <v>134.02670000000001</v>
      </c>
      <c r="J3866">
        <v>-333.26080000000002</v>
      </c>
      <c r="K3866">
        <v>1.1208899999999999</v>
      </c>
      <c r="L3866">
        <v>141.65469999999999</v>
      </c>
      <c r="M3866">
        <v>-0.99989209999999995</v>
      </c>
      <c r="N3866">
        <v>-1.46511E-2</v>
      </c>
      <c r="O3866">
        <v>1.133399E-3</v>
      </c>
      <c r="P3866">
        <v>-0.97656670000000001</v>
      </c>
      <c r="Q3866">
        <v>0.19586000000000001</v>
      </c>
      <c r="R3866">
        <v>8.9198620000000006E-2</v>
      </c>
      <c r="S3866">
        <v>-3.0943909999999999</v>
      </c>
      <c r="T3866">
        <v>-2.8016329999999999E-2</v>
      </c>
      <c r="U3866">
        <v>-0.19064329999999999</v>
      </c>
      <c r="V3866">
        <v>8.80996E-2</v>
      </c>
      <c r="W3866">
        <v>0.2101449</v>
      </c>
      <c r="X3866">
        <v>0.97369280000000002</v>
      </c>
      <c r="Y3866">
        <v>-6.2617350000000002E-2</v>
      </c>
      <c r="Z3866">
        <v>-7.360426E-4</v>
      </c>
      <c r="AA3866">
        <v>0.99803730000000002</v>
      </c>
      <c r="AB3866">
        <v>46</v>
      </c>
      <c r="AC3866">
        <v>-123.3496</v>
      </c>
      <c r="AD3866">
        <v>-1.1208916135439999</v>
      </c>
      <c r="AE3866">
        <v>-7.6279999999999797</v>
      </c>
      <c r="AF3866">
        <v>-7.7671754737442296</v>
      </c>
      <c r="AG3866">
        <v>-1.1208916135439999</v>
      </c>
      <c r="AH3866">
        <v>123.33072894994601</v>
      </c>
      <c r="AI3866">
        <v>90.519688946824303</v>
      </c>
      <c r="AJ3866">
        <v>93.603638822434505</v>
      </c>
      <c r="AK3866">
        <v>123.580152598119</v>
      </c>
      <c r="AL3866">
        <v>77.869156650219395</v>
      </c>
      <c r="AM3866">
        <v>84.829962884246797</v>
      </c>
      <c r="AN3866">
        <v>1.000000043644</v>
      </c>
    </row>
    <row r="3867" spans="1:40" x14ac:dyDescent="0.25">
      <c r="A3867" t="str">
        <f>"20190303171054492"</f>
        <v>20190303171054492</v>
      </c>
      <c r="B3867" t="str">
        <f>"1551604254484232"</f>
        <v>1551604254484232</v>
      </c>
      <c r="C3867" t="s">
        <v>40</v>
      </c>
      <c r="D3867">
        <v>4.9979279999999999</v>
      </c>
      <c r="E3867">
        <v>0.44864710000000002</v>
      </c>
      <c r="F3867" t="s">
        <v>42</v>
      </c>
      <c r="G3867">
        <v>-460.57049999999998</v>
      </c>
      <c r="H3867" s="1">
        <v>-4.553611E-6</v>
      </c>
      <c r="I3867">
        <v>134.0915</v>
      </c>
      <c r="J3867">
        <v>-333.72489999999999</v>
      </c>
      <c r="K3867">
        <v>1.120886</v>
      </c>
      <c r="L3867">
        <v>141.65520000000001</v>
      </c>
      <c r="M3867">
        <v>-0.99989209999999995</v>
      </c>
      <c r="N3867">
        <v>-1.4648390000000001E-2</v>
      </c>
      <c r="O3867">
        <v>1.133121E-3</v>
      </c>
      <c r="P3867">
        <v>-0.97654479999999999</v>
      </c>
      <c r="Q3867">
        <v>0.19610569999999999</v>
      </c>
      <c r="R3867">
        <v>8.8899519999999996E-2</v>
      </c>
      <c r="S3867">
        <v>-3.0942379999999998</v>
      </c>
      <c r="T3867">
        <v>-2.7243139999999999E-2</v>
      </c>
      <c r="U3867">
        <v>-0.1838226</v>
      </c>
      <c r="V3867">
        <v>8.7800879999999998E-2</v>
      </c>
      <c r="W3867">
        <v>0.21038780000000001</v>
      </c>
      <c r="X3867">
        <v>0.97366730000000001</v>
      </c>
      <c r="Y3867">
        <v>-6.042844E-2</v>
      </c>
      <c r="Z3867">
        <v>-7.0218989999999996E-4</v>
      </c>
      <c r="AA3867">
        <v>0.99817230000000001</v>
      </c>
      <c r="AB3867">
        <v>46</v>
      </c>
      <c r="AC3867">
        <v>-126.8456</v>
      </c>
      <c r="AD3867">
        <v>-1.1208905536110001</v>
      </c>
      <c r="AE3867">
        <v>-7.5637000000000096</v>
      </c>
      <c r="AF3867">
        <v>-7.7068423066582099</v>
      </c>
      <c r="AG3867">
        <v>-1.1208905536110001</v>
      </c>
      <c r="AH3867">
        <v>126.827078657095</v>
      </c>
      <c r="AI3867">
        <v>90.505431415105704</v>
      </c>
      <c r="AJ3867">
        <v>93.477390113511007</v>
      </c>
      <c r="AK3867">
        <v>127.06596591796701</v>
      </c>
      <c r="AL3867">
        <v>77.854920920781197</v>
      </c>
      <c r="AM3867">
        <v>84.847264229634604</v>
      </c>
      <c r="AN3867">
        <v>1.0000000160034499</v>
      </c>
    </row>
    <row r="3868" spans="1:40" x14ac:dyDescent="0.25">
      <c r="A3868" t="str">
        <f>"20190303171054514"</f>
        <v>20190303171054514</v>
      </c>
      <c r="B3868" t="str">
        <f>"1551604254504728"</f>
        <v>1551604254504728</v>
      </c>
      <c r="C3868" t="s">
        <v>40</v>
      </c>
      <c r="D3868">
        <v>5.0044890000000004</v>
      </c>
      <c r="E3868">
        <v>0.44907799999999998</v>
      </c>
      <c r="F3868" t="s">
        <v>42</v>
      </c>
      <c r="G3868">
        <v>-457.2799</v>
      </c>
      <c r="H3868" s="1">
        <v>-1.251637E-6</v>
      </c>
      <c r="I3868">
        <v>134.53059999999999</v>
      </c>
      <c r="J3868">
        <v>-334.18459999999999</v>
      </c>
      <c r="K3868">
        <v>1.1208880000000001</v>
      </c>
      <c r="L3868">
        <v>141.6557</v>
      </c>
      <c r="M3868">
        <v>-0.99989209999999995</v>
      </c>
      <c r="N3868">
        <v>-1.464563E-2</v>
      </c>
      <c r="O3868">
        <v>1.132961E-3</v>
      </c>
      <c r="P3868">
        <v>-0.97649739999999996</v>
      </c>
      <c r="Q3868">
        <v>0.19648399999999999</v>
      </c>
      <c r="R3868">
        <v>8.8582560000000005E-2</v>
      </c>
      <c r="S3868">
        <v>-3.0939329999999998</v>
      </c>
      <c r="T3868">
        <v>-2.8068070000000001E-2</v>
      </c>
      <c r="U3868">
        <v>-0.1784058</v>
      </c>
      <c r="V3868">
        <v>8.748396E-2</v>
      </c>
      <c r="W3868">
        <v>0.21076249999999999</v>
      </c>
      <c r="X3868">
        <v>0.9736148</v>
      </c>
      <c r="Y3868">
        <v>-5.8692309999999998E-2</v>
      </c>
      <c r="Z3868">
        <v>-6.8988630000000001E-4</v>
      </c>
      <c r="AA3868">
        <v>0.99827589999999999</v>
      </c>
      <c r="AB3868">
        <v>46</v>
      </c>
      <c r="AC3868">
        <v>-123.09529999999999</v>
      </c>
      <c r="AD3868">
        <v>-1.1208892516369999</v>
      </c>
      <c r="AE3868">
        <v>-7.1250999999999998</v>
      </c>
      <c r="AF3868">
        <v>-7.2639722663575998</v>
      </c>
      <c r="AG3868">
        <v>-1.1208892516369999</v>
      </c>
      <c r="AH3868">
        <v>123.076976583904</v>
      </c>
      <c r="AI3868">
        <v>90.520884544864003</v>
      </c>
      <c r="AJ3868">
        <v>93.377664321574997</v>
      </c>
      <c r="AK3868">
        <v>123.296244268979</v>
      </c>
      <c r="AL3868">
        <v>77.832959904750396</v>
      </c>
      <c r="AM3868">
        <v>84.865488233738205</v>
      </c>
      <c r="AN3868">
        <v>1.0000000267212801</v>
      </c>
    </row>
    <row r="3869" spans="1:40" x14ac:dyDescent="0.25">
      <c r="A3869" t="str">
        <f>"20190303171054535"</f>
        <v>20190303171054535</v>
      </c>
      <c r="B3869" t="str">
        <f>"1551604254524249"</f>
        <v>1551604254524249</v>
      </c>
      <c r="C3869" t="s">
        <v>40</v>
      </c>
      <c r="D3869">
        <v>4.9900769999999897</v>
      </c>
      <c r="E3869">
        <v>0.44936979999999999</v>
      </c>
      <c r="F3869" t="s">
        <v>42</v>
      </c>
      <c r="G3869">
        <v>-459.38839999999999</v>
      </c>
      <c r="H3869" s="1">
        <v>-5.3849700000000003E-7</v>
      </c>
      <c r="I3869">
        <v>134.51400000000001</v>
      </c>
      <c r="J3869">
        <v>-334.61970000000002</v>
      </c>
      <c r="K3869">
        <v>1.1208910000000001</v>
      </c>
      <c r="L3869">
        <v>141.65620000000001</v>
      </c>
      <c r="M3869">
        <v>-0.99989220000000001</v>
      </c>
      <c r="N3869">
        <v>-1.464296E-2</v>
      </c>
      <c r="O3869">
        <v>1.132802E-3</v>
      </c>
      <c r="P3869">
        <v>-0.97658990000000001</v>
      </c>
      <c r="Q3869">
        <v>0.19619049999999999</v>
      </c>
      <c r="R3869">
        <v>8.8213269999999996E-2</v>
      </c>
      <c r="S3869">
        <v>-3.09375</v>
      </c>
      <c r="T3869">
        <v>-2.7696849999999999E-2</v>
      </c>
      <c r="U3869">
        <v>-0.17646789999999901</v>
      </c>
      <c r="V3869">
        <v>8.7114689999999995E-2</v>
      </c>
      <c r="W3869">
        <v>0.21046790000000001</v>
      </c>
      <c r="X3869">
        <v>0.97371160000000001</v>
      </c>
      <c r="Y3869">
        <v>-5.8072480000000003E-2</v>
      </c>
      <c r="Z3869">
        <v>-6.7885600000000003E-4</v>
      </c>
      <c r="AA3869">
        <v>0.99831210000000004</v>
      </c>
      <c r="AB3869">
        <v>46</v>
      </c>
      <c r="AC3869">
        <v>-124.768699999999</v>
      </c>
      <c r="AD3869">
        <v>-1.120891538497</v>
      </c>
      <c r="AE3869">
        <v>-7.1421999999999999</v>
      </c>
      <c r="AF3869">
        <v>-7.2829629239042601</v>
      </c>
      <c r="AG3869">
        <v>-1.120891538497</v>
      </c>
      <c r="AH3869">
        <v>124.750492901127</v>
      </c>
      <c r="AI3869">
        <v>90.513917577194505</v>
      </c>
      <c r="AJ3869">
        <v>93.341148613936994</v>
      </c>
      <c r="AK3869">
        <v>124.96792958942</v>
      </c>
      <c r="AL3869">
        <v>77.850226133075097</v>
      </c>
      <c r="AM3869">
        <v>84.887551504696106</v>
      </c>
      <c r="AN3869">
        <v>0.99999999305938303</v>
      </c>
    </row>
    <row r="3870" spans="1:40" x14ac:dyDescent="0.25">
      <c r="A3870" t="str">
        <f>"20190303171054558"</f>
        <v>20190303171054558</v>
      </c>
      <c r="B3870" t="str">
        <f>"1551604254544744"</f>
        <v>1551604254544744</v>
      </c>
      <c r="C3870" t="s">
        <v>40</v>
      </c>
      <c r="D3870">
        <v>4.9882039999999996</v>
      </c>
      <c r="E3870">
        <v>0.44961020000000002</v>
      </c>
      <c r="F3870" t="s">
        <v>42</v>
      </c>
      <c r="G3870">
        <v>-450.34660000000002</v>
      </c>
      <c r="H3870" s="1">
        <v>-3.911579E-6</v>
      </c>
      <c r="I3870">
        <v>135.09909999999999</v>
      </c>
      <c r="J3870">
        <v>-335.0686</v>
      </c>
      <c r="K3870">
        <v>1.1208940000000001</v>
      </c>
      <c r="L3870">
        <v>141.6567</v>
      </c>
      <c r="M3870">
        <v>-0.99989229999999996</v>
      </c>
      <c r="N3870">
        <v>-1.4640159999999999E-2</v>
      </c>
      <c r="O3870">
        <v>1.1324639999999999E-3</v>
      </c>
      <c r="P3870">
        <v>-0.97648699999999999</v>
      </c>
      <c r="Q3870">
        <v>0.19670960000000001</v>
      </c>
      <c r="R3870">
        <v>8.8197529999999996E-2</v>
      </c>
      <c r="S3870">
        <v>-3.0937809999999999</v>
      </c>
      <c r="T3870">
        <v>-2.99654E-2</v>
      </c>
      <c r="U3870">
        <v>-0.175293</v>
      </c>
      <c r="V3870">
        <v>8.7099570000000001E-2</v>
      </c>
      <c r="W3870">
        <v>0.21098259999999999</v>
      </c>
      <c r="X3870">
        <v>0.97360159999999996</v>
      </c>
      <c r="Y3870">
        <v>-5.769299E-2</v>
      </c>
      <c r="Z3870">
        <v>-6.9626349999999998E-4</v>
      </c>
      <c r="AA3870">
        <v>0.9983341</v>
      </c>
      <c r="AB3870">
        <v>46</v>
      </c>
      <c r="AC3870">
        <v>-115.27800000000001</v>
      </c>
      <c r="AD3870">
        <v>-1.1208979115790001</v>
      </c>
      <c r="AE3870">
        <v>-6.5575999999999999</v>
      </c>
      <c r="AF3870">
        <v>-6.6875277229999499</v>
      </c>
      <c r="AG3870">
        <v>-1.1208979115790001</v>
      </c>
      <c r="AH3870">
        <v>115.259636931697</v>
      </c>
      <c r="AI3870">
        <v>90.556247414438403</v>
      </c>
      <c r="AJ3870">
        <v>93.3206594698229</v>
      </c>
      <c r="AK3870">
        <v>115.458924924844</v>
      </c>
      <c r="AL3870">
        <v>77.820059099583702</v>
      </c>
      <c r="AM3870">
        <v>84.887859684240297</v>
      </c>
      <c r="AN3870">
        <v>1.0000000340597499</v>
      </c>
    </row>
    <row r="3871" spans="1:40" x14ac:dyDescent="0.25">
      <c r="A3871" t="str">
        <f>"20190303171054580"</f>
        <v>20190303171054580</v>
      </c>
      <c r="B3871" t="str">
        <f>"1551604254574530"</f>
        <v>1551604254574530</v>
      </c>
      <c r="C3871" t="s">
        <v>40</v>
      </c>
      <c r="D3871">
        <v>4.9610209999999997</v>
      </c>
      <c r="E3871">
        <v>0.44989180000000001</v>
      </c>
      <c r="F3871" t="s">
        <v>42</v>
      </c>
      <c r="G3871">
        <v>-451.14760000000001</v>
      </c>
      <c r="H3871" s="1">
        <v>-3.5567370000000001E-6</v>
      </c>
      <c r="I3871">
        <v>135.16229999999999</v>
      </c>
      <c r="J3871">
        <v>-335.53530000000001</v>
      </c>
      <c r="K3871">
        <v>1.120897</v>
      </c>
      <c r="L3871">
        <v>141.65719999999999</v>
      </c>
      <c r="M3871">
        <v>-0.99989220000000001</v>
      </c>
      <c r="N3871">
        <v>-1.46372E-2</v>
      </c>
      <c r="O3871">
        <v>1.1324849999999999E-3</v>
      </c>
      <c r="P3871">
        <v>-0.97627540000000002</v>
      </c>
      <c r="Q3871">
        <v>0.19780610000000001</v>
      </c>
      <c r="R3871">
        <v>8.8087479999999996E-2</v>
      </c>
      <c r="S3871">
        <v>-3.0939030000000001</v>
      </c>
      <c r="T3871">
        <v>-2.9875760000000001E-2</v>
      </c>
      <c r="U3871">
        <v>-0.17309569999999999</v>
      </c>
      <c r="V3871">
        <v>8.6989750000000005E-2</v>
      </c>
      <c r="W3871">
        <v>0.21207309999999999</v>
      </c>
      <c r="X3871">
        <v>0.97337439999999997</v>
      </c>
      <c r="Y3871">
        <v>-5.6984119999999999E-2</v>
      </c>
      <c r="Z3871">
        <v>-6.8668669999999996E-4</v>
      </c>
      <c r="AA3871">
        <v>0.99837480000000001</v>
      </c>
      <c r="AB3871">
        <v>45</v>
      </c>
      <c r="AC3871">
        <v>-115.6123</v>
      </c>
      <c r="AD3871">
        <v>-1.1209005567370001</v>
      </c>
      <c r="AE3871">
        <v>-6.4949000000000003</v>
      </c>
      <c r="AF3871">
        <v>-6.6252182527350696</v>
      </c>
      <c r="AG3871">
        <v>-1.1209005567370001</v>
      </c>
      <c r="AH3871">
        <v>115.594038070469</v>
      </c>
      <c r="AI3871">
        <v>90.554662193700494</v>
      </c>
      <c r="AJ3871">
        <v>93.280292087187803</v>
      </c>
      <c r="AK3871">
        <v>115.789168631576</v>
      </c>
      <c r="AL3871">
        <v>77.756130691638703</v>
      </c>
      <c r="AM3871">
        <v>84.893085814505298</v>
      </c>
      <c r="AN3871">
        <v>0.99999996946201497</v>
      </c>
    </row>
    <row r="3872" spans="1:40" x14ac:dyDescent="0.25">
      <c r="A3872" t="str">
        <f>"20190303171054603"</f>
        <v>20190303171054603</v>
      </c>
      <c r="B3872" t="str">
        <f>"1551604254595025"</f>
        <v>1551604254595025</v>
      </c>
      <c r="C3872" t="s">
        <v>40</v>
      </c>
      <c r="D3872">
        <v>5.0094919999999998</v>
      </c>
      <c r="E3872">
        <v>0.45001000000000002</v>
      </c>
      <c r="F3872" t="s">
        <v>42</v>
      </c>
      <c r="G3872">
        <v>-459.98500000000001</v>
      </c>
      <c r="H3872" s="1">
        <v>-4.709516E-6</v>
      </c>
      <c r="I3872">
        <v>134.77279999999999</v>
      </c>
      <c r="J3872">
        <v>-336.00810000000001</v>
      </c>
      <c r="K3872">
        <v>1.1208990000000001</v>
      </c>
      <c r="L3872">
        <v>141.65780000000001</v>
      </c>
      <c r="M3872">
        <v>-0.99989240000000001</v>
      </c>
      <c r="N3872">
        <v>-1.463421E-2</v>
      </c>
      <c r="O3872">
        <v>1.1322089999999999E-3</v>
      </c>
      <c r="P3872">
        <v>-0.97610319999999995</v>
      </c>
      <c r="Q3872">
        <v>0.19861039999999999</v>
      </c>
      <c r="R3872">
        <v>8.8185280000000005E-2</v>
      </c>
      <c r="S3872">
        <v>-3.0939939999999999</v>
      </c>
      <c r="T3872">
        <v>-2.7867200000000002E-2</v>
      </c>
      <c r="U3872">
        <v>-0.1711578</v>
      </c>
      <c r="V3872">
        <v>8.7087949999999997E-2</v>
      </c>
      <c r="W3872">
        <v>0.21287220000000001</v>
      </c>
      <c r="X3872">
        <v>0.97319120000000003</v>
      </c>
      <c r="Y3872">
        <v>-5.6359489999999998E-2</v>
      </c>
      <c r="Z3872">
        <v>-6.5999190000000005E-4</v>
      </c>
      <c r="AA3872">
        <v>0.99841029999999997</v>
      </c>
      <c r="AB3872">
        <v>45</v>
      </c>
      <c r="AC3872">
        <v>-123.9769</v>
      </c>
      <c r="AD3872">
        <v>-1.1209037095159999</v>
      </c>
      <c r="AE3872">
        <v>-6.8850000000000096</v>
      </c>
      <c r="AF3872">
        <v>-7.0248058941864002</v>
      </c>
      <c r="AG3872">
        <v>-1.1209037095159999</v>
      </c>
      <c r="AH3872">
        <v>123.95892270281</v>
      </c>
      <c r="AI3872">
        <v>90.517255464761504</v>
      </c>
      <c r="AJ3872">
        <v>93.243507419448804</v>
      </c>
      <c r="AK3872">
        <v>124.162872230866</v>
      </c>
      <c r="AL3872">
        <v>77.709276152347897</v>
      </c>
      <c r="AM3872">
        <v>84.886393979172993</v>
      </c>
      <c r="AN3872">
        <v>0.99999999816274099</v>
      </c>
    </row>
    <row r="3873" spans="1:40" x14ac:dyDescent="0.25">
      <c r="A3873" t="str">
        <f>"20190303171054626"</f>
        <v>20190303171054626</v>
      </c>
      <c r="B3873" t="str">
        <f>"1551604254614545"</f>
        <v>1551604254614545</v>
      </c>
      <c r="C3873" t="s">
        <v>40</v>
      </c>
      <c r="D3873">
        <v>4.9920849999999897</v>
      </c>
      <c r="E3873">
        <v>0.45016390000000001</v>
      </c>
      <c r="F3873" t="s">
        <v>68</v>
      </c>
      <c r="G3873">
        <v>-472.16609999999997</v>
      </c>
      <c r="H3873" s="1">
        <v>-6.3716969999999996E-6</v>
      </c>
      <c r="I3873">
        <v>134.1679</v>
      </c>
      <c r="J3873">
        <v>-336.45080000000002</v>
      </c>
      <c r="K3873">
        <v>1.1209119999999999</v>
      </c>
      <c r="L3873">
        <v>141.6583</v>
      </c>
      <c r="M3873">
        <v>-0.99989220000000001</v>
      </c>
      <c r="N3873">
        <v>-1.4631389999999999E-2</v>
      </c>
      <c r="O3873">
        <v>1.1320499999999999E-3</v>
      </c>
      <c r="P3873">
        <v>-0.97608550000000005</v>
      </c>
      <c r="Q3873">
        <v>0.1988509</v>
      </c>
      <c r="R3873">
        <v>8.7836300000000006E-2</v>
      </c>
      <c r="S3873">
        <v>-3.0939939999999999</v>
      </c>
      <c r="T3873">
        <v>-2.5470969999999999E-2</v>
      </c>
      <c r="U3873">
        <v>-0.1701965</v>
      </c>
      <c r="V3873">
        <v>8.6739150000000001E-2</v>
      </c>
      <c r="W3873">
        <v>0.2131094</v>
      </c>
      <c r="X3873">
        <v>0.97317050000000005</v>
      </c>
      <c r="Y3873">
        <v>-5.605077E-2</v>
      </c>
      <c r="Z3873">
        <v>-6.3369969999999996E-4</v>
      </c>
      <c r="AA3873">
        <v>0.99842770000000003</v>
      </c>
      <c r="AB3873">
        <v>45</v>
      </c>
      <c r="AC3873">
        <v>-135.71529999999899</v>
      </c>
      <c r="AD3873">
        <v>-1.1209183716969999</v>
      </c>
      <c r="AE3873">
        <v>-7.4903999999999904</v>
      </c>
      <c r="AF3873">
        <v>-7.6435283376821097</v>
      </c>
      <c r="AG3873">
        <v>-1.1209183716969999</v>
      </c>
      <c r="AH3873">
        <v>135.69750388691301</v>
      </c>
      <c r="AI3873">
        <v>90.472527445024994</v>
      </c>
      <c r="AJ3873">
        <v>93.223932738171897</v>
      </c>
      <c r="AK3873">
        <v>135.91722681317401</v>
      </c>
      <c r="AL3873">
        <v>77.695367187533094</v>
      </c>
      <c r="AM3873">
        <v>84.906659015714595</v>
      </c>
      <c r="AN3873">
        <v>1.0000000592906599</v>
      </c>
    </row>
    <row r="3874" spans="1:40" x14ac:dyDescent="0.25">
      <c r="A3874" t="str">
        <f>"20190303171054671"</f>
        <v>20190303171054671</v>
      </c>
      <c r="B3874" t="str">
        <f>"1551604254664322"</f>
        <v>1551604254664322</v>
      </c>
      <c r="C3874" t="s">
        <v>40</v>
      </c>
      <c r="D3874">
        <v>4.9124540000000003</v>
      </c>
      <c r="E3874">
        <v>0.47244550000000002</v>
      </c>
      <c r="F3874" t="s">
        <v>68</v>
      </c>
      <c r="G3874">
        <v>-471.67320000000001</v>
      </c>
      <c r="H3874" s="1">
        <v>-6.5424140000000002E-6</v>
      </c>
      <c r="I3874">
        <v>134.21860000000001</v>
      </c>
      <c r="J3874">
        <v>-337.36799999999999</v>
      </c>
      <c r="K3874">
        <v>1.1209150000000001</v>
      </c>
      <c r="L3874">
        <v>141.6593</v>
      </c>
      <c r="M3874">
        <v>-0.99989249999999996</v>
      </c>
      <c r="N3874">
        <v>-1.4625579999999999E-2</v>
      </c>
      <c r="O3874">
        <v>1.131616E-3</v>
      </c>
      <c r="P3874">
        <v>-0.97597480000000003</v>
      </c>
      <c r="Q3874">
        <v>0.19927010000000001</v>
      </c>
      <c r="R3874">
        <v>8.8119509999999998E-2</v>
      </c>
      <c r="S3874">
        <v>-3.094055</v>
      </c>
      <c r="T3874">
        <v>-2.5648000000000001E-2</v>
      </c>
      <c r="U3874">
        <v>-0.17022709999999999</v>
      </c>
      <c r="V3874">
        <v>8.7023149999999994E-2</v>
      </c>
      <c r="W3874">
        <v>0.21352119999999999</v>
      </c>
      <c r="X3874">
        <v>0.9730548</v>
      </c>
      <c r="Y3874">
        <v>-5.6059030000000003E-2</v>
      </c>
      <c r="Z3874">
        <v>-6.3530290000000001E-4</v>
      </c>
      <c r="AA3874">
        <v>0.99842730000000002</v>
      </c>
      <c r="AB3874">
        <v>45</v>
      </c>
      <c r="AC3874">
        <v>-134.30519999999899</v>
      </c>
      <c r="AD3874">
        <v>-1.120921542414</v>
      </c>
      <c r="AE3874">
        <v>-7.4406999999999899</v>
      </c>
      <c r="AF3874">
        <v>-7.5921661612465297</v>
      </c>
      <c r="AG3874">
        <v>-1.120921542414</v>
      </c>
      <c r="AH3874">
        <v>134.28736764133299</v>
      </c>
      <c r="AI3874">
        <v>90.477484909772798</v>
      </c>
      <c r="AJ3874">
        <v>93.235870178280706</v>
      </c>
      <c r="AK3874">
        <v>134.506485197416</v>
      </c>
      <c r="AL3874">
        <v>77.671216033012797</v>
      </c>
      <c r="AM3874">
        <v>84.889466249773903</v>
      </c>
      <c r="AN3874">
        <v>0.99999998764420095</v>
      </c>
    </row>
    <row r="3875" spans="1:40" x14ac:dyDescent="0.25">
      <c r="A3875" t="str">
        <f>"20190303171054693"</f>
        <v>20190303171054693</v>
      </c>
      <c r="B3875" t="str">
        <f>"1551604254684349"</f>
        <v>1551604254684349</v>
      </c>
      <c r="C3875" t="s">
        <v>40</v>
      </c>
      <c r="D3875">
        <v>4.9114529999999998</v>
      </c>
      <c r="E3875">
        <v>0.4772053</v>
      </c>
      <c r="F3875" t="s">
        <v>84</v>
      </c>
      <c r="G3875">
        <v>-422.59</v>
      </c>
      <c r="H3875" s="1">
        <v>-1.104216E-5</v>
      </c>
      <c r="I3875">
        <v>141.86439999999999</v>
      </c>
      <c r="J3875">
        <v>-337.8229</v>
      </c>
      <c r="K3875">
        <v>1.120919</v>
      </c>
      <c r="L3875">
        <v>141.65979999999999</v>
      </c>
      <c r="M3875">
        <v>-0.99989240000000001</v>
      </c>
      <c r="N3875">
        <v>-1.4622680000000001E-2</v>
      </c>
      <c r="O3875">
        <v>1.1314579999999999E-3</v>
      </c>
      <c r="P3875">
        <v>-0.9759833</v>
      </c>
      <c r="Q3875">
        <v>0.19910310000000001</v>
      </c>
      <c r="R3875">
        <v>8.8400850000000003E-2</v>
      </c>
      <c r="S3875">
        <v>-3.0814210000000002</v>
      </c>
      <c r="T3875">
        <v>-4.0529969999999998E-2</v>
      </c>
      <c r="U3875">
        <v>7.4157709999999998E-3</v>
      </c>
      <c r="V3875">
        <v>8.7304530000000005E-2</v>
      </c>
      <c r="W3875">
        <v>0.21335109999999999</v>
      </c>
      <c r="X3875">
        <v>0.97306689999999996</v>
      </c>
      <c r="Y3875">
        <v>1.2747920000000001E-3</v>
      </c>
      <c r="Z3875" s="1">
        <v>1.9369599999999998E-5</v>
      </c>
      <c r="AA3875">
        <v>0.99999919999999998</v>
      </c>
      <c r="AB3875">
        <v>45</v>
      </c>
      <c r="AC3875">
        <v>-84.7670999999999</v>
      </c>
      <c r="AD3875">
        <v>-1.1209300421599999</v>
      </c>
      <c r="AE3875">
        <v>0.204599999999999</v>
      </c>
      <c r="AF3875">
        <v>0.108660195185475</v>
      </c>
      <c r="AG3875">
        <v>-1.1209300421599999</v>
      </c>
      <c r="AH3875">
        <v>84.752457116004393</v>
      </c>
      <c r="AI3875">
        <v>90.757745150010294</v>
      </c>
      <c r="AJ3875">
        <v>89.926541750105599</v>
      </c>
      <c r="AK3875">
        <v>84.759939112753003</v>
      </c>
      <c r="AL3875">
        <v>77.681191853237294</v>
      </c>
      <c r="AM3875">
        <v>84.873093228446905</v>
      </c>
      <c r="AN3875">
        <v>0.99999998235266996</v>
      </c>
    </row>
    <row r="3876" spans="1:40" x14ac:dyDescent="0.25">
      <c r="A3876" t="str">
        <f>"20190303171054714"</f>
        <v>20190303171054714</v>
      </c>
      <c r="B3876" t="str">
        <f>"1551604254704845"</f>
        <v>1551604254704845</v>
      </c>
      <c r="C3876" t="s">
        <v>40</v>
      </c>
      <c r="D3876">
        <v>4.8489360000000001</v>
      </c>
      <c r="E3876">
        <v>0.47926239999999998</v>
      </c>
      <c r="F3876" t="s">
        <v>84</v>
      </c>
      <c r="G3876">
        <v>-412.529</v>
      </c>
      <c r="H3876" s="1">
        <v>-1.1568420000000001E-5</v>
      </c>
      <c r="I3876">
        <v>142.78049999999999</v>
      </c>
      <c r="J3876">
        <v>-338.25139999999999</v>
      </c>
      <c r="K3876">
        <v>1.1209180000000001</v>
      </c>
      <c r="L3876">
        <v>141.66030000000001</v>
      </c>
      <c r="M3876">
        <v>-0.99989269999999997</v>
      </c>
      <c r="N3876">
        <v>-1.4619989999999999E-2</v>
      </c>
      <c r="O3876">
        <v>1.1309410000000001E-3</v>
      </c>
      <c r="P3876">
        <v>-0.97593839999999998</v>
      </c>
      <c r="Q3876">
        <v>0.19926630000000001</v>
      </c>
      <c r="R3876">
        <v>8.8530700000000004E-2</v>
      </c>
      <c r="S3876">
        <v>-3.0790709999999999</v>
      </c>
      <c r="T3876">
        <v>-4.6200039999999998E-2</v>
      </c>
      <c r="U3876">
        <v>4.6188350000000003E-2</v>
      </c>
      <c r="V3876">
        <v>8.7434910000000005E-2</v>
      </c>
      <c r="W3876">
        <v>0.21351139999999999</v>
      </c>
      <c r="X3876">
        <v>0.97302010000000005</v>
      </c>
      <c r="Y3876">
        <v>1.386503E-2</v>
      </c>
      <c r="Z3876">
        <v>2.0495020000000001E-4</v>
      </c>
      <c r="AA3876">
        <v>0.99990389999999996</v>
      </c>
      <c r="AB3876">
        <v>45</v>
      </c>
      <c r="AC3876">
        <v>-74.277600000000007</v>
      </c>
      <c r="AD3876">
        <v>-1.12092956842</v>
      </c>
      <c r="AE3876">
        <v>1.1201999999999801</v>
      </c>
      <c r="AF3876">
        <v>1.03595086475333</v>
      </c>
      <c r="AG3876">
        <v>-1.12092956842</v>
      </c>
      <c r="AH3876">
        <v>74.2619108790837</v>
      </c>
      <c r="AI3876">
        <v>90.864688357368806</v>
      </c>
      <c r="AJ3876">
        <v>89.200777870502193</v>
      </c>
      <c r="AK3876">
        <v>74.277594769247301</v>
      </c>
      <c r="AL3876">
        <v>77.671791544156207</v>
      </c>
      <c r="AM3876">
        <v>84.865231997214494</v>
      </c>
      <c r="AN3876">
        <v>1.00000004821033</v>
      </c>
    </row>
    <row r="3877" spans="1:40" x14ac:dyDescent="0.25">
      <c r="A3877" t="str">
        <f>"20190303171054731"</f>
        <v>20190303171054731</v>
      </c>
      <c r="B3877" t="str">
        <f>"1551604254724366"</f>
        <v>1551604254724366</v>
      </c>
      <c r="C3877" t="s">
        <v>40</v>
      </c>
      <c r="D3877">
        <v>4.8510269999999904</v>
      </c>
      <c r="E3877">
        <v>0.4802418</v>
      </c>
      <c r="F3877" t="s">
        <v>84</v>
      </c>
      <c r="G3877">
        <v>-411.78300000000002</v>
      </c>
      <c r="H3877" s="1">
        <v>-1.178093E-5</v>
      </c>
      <c r="I3877">
        <v>143.16659999999999</v>
      </c>
      <c r="J3877">
        <v>-338.57010000000002</v>
      </c>
      <c r="K3877">
        <v>1.1209169999999999</v>
      </c>
      <c r="L3877">
        <v>141.66069999999999</v>
      </c>
      <c r="M3877">
        <v>-0.99989269999999997</v>
      </c>
      <c r="N3877">
        <v>-1.4617979999999999E-2</v>
      </c>
      <c r="O3877">
        <v>1.130956E-3</v>
      </c>
      <c r="P3877">
        <v>-0.97590580000000005</v>
      </c>
      <c r="Q3877">
        <v>0.19952139999999999</v>
      </c>
      <c r="R3877">
        <v>8.8313710000000004E-2</v>
      </c>
      <c r="S3877">
        <v>-3.07782</v>
      </c>
      <c r="T3877">
        <v>-4.6918870000000001E-2</v>
      </c>
      <c r="U3877">
        <v>6.3049320000000006E-2</v>
      </c>
      <c r="V3877">
        <v>8.7217840000000005E-2</v>
      </c>
      <c r="W3877">
        <v>0.21376390000000001</v>
      </c>
      <c r="X3877">
        <v>0.97298410000000002</v>
      </c>
      <c r="Y3877">
        <v>1.934551E-2</v>
      </c>
      <c r="Z3877">
        <v>2.8815759999999997E-4</v>
      </c>
      <c r="AA3877">
        <v>0.99981279999999995</v>
      </c>
      <c r="AB3877">
        <v>45</v>
      </c>
      <c r="AC3877">
        <v>-73.212899999999905</v>
      </c>
      <c r="AD3877">
        <v>-1.1209287809299999</v>
      </c>
      <c r="AE3877">
        <v>1.50589999999999</v>
      </c>
      <c r="AF3877">
        <v>1.42275626485477</v>
      </c>
      <c r="AG3877">
        <v>-1.1209287809299999</v>
      </c>
      <c r="AH3877">
        <v>73.197405323702199</v>
      </c>
      <c r="AI3877">
        <v>90.877180581705105</v>
      </c>
      <c r="AJ3877">
        <v>88.886467830221804</v>
      </c>
      <c r="AK3877">
        <v>73.219811955805</v>
      </c>
      <c r="AL3877">
        <v>77.656981954999296</v>
      </c>
      <c r="AM3877">
        <v>84.877723411158399</v>
      </c>
      <c r="AN3877">
        <v>1.0000000077051401</v>
      </c>
    </row>
    <row r="3878" spans="1:40" x14ac:dyDescent="0.25">
      <c r="A3878" t="str">
        <f>"20190303171054747"</f>
        <v>20190303171054747</v>
      </c>
      <c r="B3878" t="str">
        <f>"1551604254734125"</f>
        <v>1551604254734125</v>
      </c>
      <c r="C3878" t="s">
        <v>40</v>
      </c>
      <c r="D3878">
        <v>4.9076820000000003</v>
      </c>
      <c r="E3878">
        <v>0.48056789999999999</v>
      </c>
      <c r="F3878" t="s">
        <v>84</v>
      </c>
      <c r="G3878">
        <v>-412.86360000000002</v>
      </c>
      <c r="H3878" s="1">
        <v>-1.1743020000000001E-5</v>
      </c>
      <c r="I3878">
        <v>143.3546</v>
      </c>
      <c r="J3878">
        <v>-338.91539999999998</v>
      </c>
      <c r="K3878">
        <v>1.1209180000000001</v>
      </c>
      <c r="L3878">
        <v>141.6611</v>
      </c>
      <c r="M3878">
        <v>-0.99989269999999997</v>
      </c>
      <c r="N3878">
        <v>-1.4615680000000001E-2</v>
      </c>
      <c r="O3878">
        <v>1.1307940000000001E-3</v>
      </c>
      <c r="P3878">
        <v>-0.975885</v>
      </c>
      <c r="Q3878">
        <v>0.19974210000000001</v>
      </c>
      <c r="R3878">
        <v>8.8044590000000006E-2</v>
      </c>
      <c r="S3878">
        <v>-3.0772089999999999</v>
      </c>
      <c r="T3878">
        <v>-4.6428440000000001E-2</v>
      </c>
      <c r="U3878">
        <v>7.0159910000000006E-2</v>
      </c>
      <c r="V3878">
        <v>8.6949009999999993E-2</v>
      </c>
      <c r="W3878">
        <v>0.2139819</v>
      </c>
      <c r="X3878">
        <v>0.97296020000000005</v>
      </c>
      <c r="Y3878">
        <v>2.1658440000000001E-2</v>
      </c>
      <c r="Z3878">
        <v>3.2115030000000002E-4</v>
      </c>
      <c r="AA3878">
        <v>0.99976540000000003</v>
      </c>
      <c r="AB3878">
        <v>45</v>
      </c>
      <c r="AC3878">
        <v>-73.9482</v>
      </c>
      <c r="AD3878">
        <v>-1.12092974302</v>
      </c>
      <c r="AE3878">
        <v>1.6935</v>
      </c>
      <c r="AF3878">
        <v>1.60950018820916</v>
      </c>
      <c r="AG3878">
        <v>-1.12092974302</v>
      </c>
      <c r="AH3878">
        <v>73.9330888916502</v>
      </c>
      <c r="AI3878">
        <v>90.868412428901294</v>
      </c>
      <c r="AJ3878">
        <v>88.752885811492405</v>
      </c>
      <c r="AK3878">
        <v>73.959100909930498</v>
      </c>
      <c r="AL3878">
        <v>77.644195111639107</v>
      </c>
      <c r="AM3878">
        <v>84.8933033325617</v>
      </c>
      <c r="AN3878">
        <v>0.99999996732581398</v>
      </c>
    </row>
    <row r="3879" spans="1:40" x14ac:dyDescent="0.25">
      <c r="A3879" t="str">
        <f>"20190303171054764"</f>
        <v>20190303171054764</v>
      </c>
      <c r="B3879" t="str">
        <f>"1551604254754621"</f>
        <v>1551604254754621</v>
      </c>
      <c r="C3879" t="s">
        <v>40</v>
      </c>
      <c r="D3879">
        <v>4.913259</v>
      </c>
      <c r="E3879">
        <v>0.48126989999999997</v>
      </c>
      <c r="F3879" t="s">
        <v>84</v>
      </c>
      <c r="G3879">
        <v>-414.25380000000001</v>
      </c>
      <c r="H3879" s="1">
        <v>-1.1637730000000001E-5</v>
      </c>
      <c r="I3879">
        <v>143.4263</v>
      </c>
      <c r="J3879">
        <v>-339.24950000000001</v>
      </c>
      <c r="K3879">
        <v>1.120916</v>
      </c>
      <c r="L3879">
        <v>141.66139999999999</v>
      </c>
      <c r="M3879">
        <v>-0.99989269999999997</v>
      </c>
      <c r="N3879">
        <v>-1.461346E-2</v>
      </c>
      <c r="O3879">
        <v>1.1306910000000001E-3</v>
      </c>
      <c r="P3879">
        <v>-0.97583129999999996</v>
      </c>
      <c r="Q3879">
        <v>0.19997889999999999</v>
      </c>
      <c r="R3879">
        <v>8.8101769999999996E-2</v>
      </c>
      <c r="S3879">
        <v>-3.076965</v>
      </c>
      <c r="T3879">
        <v>-4.5780899999999999E-2</v>
      </c>
      <c r="U3879">
        <v>7.209778E-2</v>
      </c>
      <c r="V3879">
        <v>8.7006379999999994E-2</v>
      </c>
      <c r="W3879">
        <v>0.2142162</v>
      </c>
      <c r="X3879">
        <v>0.97290350000000003</v>
      </c>
      <c r="Y3879">
        <v>2.2289630000000001E-2</v>
      </c>
      <c r="Z3879">
        <v>3.284025E-4</v>
      </c>
      <c r="AA3879">
        <v>0.99975150000000002</v>
      </c>
      <c r="AB3879">
        <v>45</v>
      </c>
      <c r="AC3879">
        <v>-75.004300000000001</v>
      </c>
      <c r="AD3879">
        <v>-1.1209276377299999</v>
      </c>
      <c r="AE3879">
        <v>1.7649000000000099</v>
      </c>
      <c r="AF3879">
        <v>1.67970818558888</v>
      </c>
      <c r="AG3879">
        <v>-1.1209276377299999</v>
      </c>
      <c r="AH3879">
        <v>74.989508296524306</v>
      </c>
      <c r="AI3879">
        <v>90.856166944473301</v>
      </c>
      <c r="AJ3879">
        <v>88.716832507996997</v>
      </c>
      <c r="AK3879">
        <v>75.016693161670702</v>
      </c>
      <c r="AL3879">
        <v>77.630451885175503</v>
      </c>
      <c r="AM3879">
        <v>84.889655474056298</v>
      </c>
      <c r="AN3879">
        <v>0.99999995540769604</v>
      </c>
    </row>
    <row r="3880" spans="1:40" x14ac:dyDescent="0.25">
      <c r="A3880" t="str">
        <f>"20190303171054783"</f>
        <v>20190303171054783</v>
      </c>
      <c r="B3880" t="str">
        <f>"1551604254774633"</f>
        <v>1551604254774633</v>
      </c>
      <c r="C3880" t="s">
        <v>40</v>
      </c>
      <c r="D3880">
        <v>4.9680289999999996</v>
      </c>
      <c r="E3880">
        <v>0.4816222</v>
      </c>
      <c r="F3880" t="s">
        <v>84</v>
      </c>
      <c r="G3880">
        <v>-414.3612</v>
      </c>
      <c r="H3880" s="1">
        <v>-1.167528E-5</v>
      </c>
      <c r="I3880">
        <v>143.56020000000001</v>
      </c>
      <c r="J3880">
        <v>-339.63130000000001</v>
      </c>
      <c r="K3880">
        <v>1.120919</v>
      </c>
      <c r="L3880">
        <v>141.6619</v>
      </c>
      <c r="M3880">
        <v>-0.99989280000000003</v>
      </c>
      <c r="N3880">
        <v>-1.461109E-2</v>
      </c>
      <c r="O3880">
        <v>1.13035E-3</v>
      </c>
      <c r="P3880">
        <v>-0.97585330000000003</v>
      </c>
      <c r="Q3880">
        <v>0.199992</v>
      </c>
      <c r="R3880">
        <v>8.7828320000000001E-2</v>
      </c>
      <c r="S3880">
        <v>-3.0766909999999998</v>
      </c>
      <c r="T3880">
        <v>-4.591489E-2</v>
      </c>
      <c r="U3880">
        <v>7.7774049999999997E-2</v>
      </c>
      <c r="V3880">
        <v>8.673314E-2</v>
      </c>
      <c r="W3880">
        <v>0.2142269</v>
      </c>
      <c r="X3880">
        <v>0.97292559999999995</v>
      </c>
      <c r="Y3880">
        <v>2.413496E-2</v>
      </c>
      <c r="Z3880">
        <v>3.5607469999999997E-4</v>
      </c>
      <c r="AA3880">
        <v>0.99970870000000001</v>
      </c>
      <c r="AB3880">
        <v>45</v>
      </c>
      <c r="AC3880">
        <v>-74.729899999999901</v>
      </c>
      <c r="AD3880">
        <v>-1.1209306752799999</v>
      </c>
      <c r="AE3880">
        <v>1.8983000000000001</v>
      </c>
      <c r="AF3880">
        <v>1.81341110086222</v>
      </c>
      <c r="AG3880">
        <v>-1.1209306752799999</v>
      </c>
      <c r="AH3880">
        <v>74.715198676183405</v>
      </c>
      <c r="AI3880">
        <v>90.859274630870104</v>
      </c>
      <c r="AJ3880">
        <v>88.609648241962802</v>
      </c>
      <c r="AK3880">
        <v>74.745607620923593</v>
      </c>
      <c r="AL3880">
        <v>77.629824969706902</v>
      </c>
      <c r="AM3880">
        <v>84.905734830722395</v>
      </c>
      <c r="AN3880">
        <v>1.00000001269661</v>
      </c>
    </row>
    <row r="3881" spans="1:40" x14ac:dyDescent="0.25">
      <c r="A3881" t="str">
        <f>"20190303171054803"</f>
        <v>20190303171054803</v>
      </c>
      <c r="B3881" t="str">
        <f>"1551604254794153"</f>
        <v>1551604254794153</v>
      </c>
      <c r="C3881" t="s">
        <v>40</v>
      </c>
      <c r="D3881">
        <v>5.0250909999999998</v>
      </c>
      <c r="E3881">
        <v>0.481846</v>
      </c>
      <c r="F3881" t="s">
        <v>84</v>
      </c>
      <c r="G3881">
        <v>-413.1284</v>
      </c>
      <c r="H3881" s="1">
        <v>-1.179561E-5</v>
      </c>
      <c r="I3881">
        <v>143.5719</v>
      </c>
      <c r="J3881">
        <v>-340.05509999999998</v>
      </c>
      <c r="K3881">
        <v>1.1209150000000001</v>
      </c>
      <c r="L3881">
        <v>141.66239999999999</v>
      </c>
      <c r="M3881">
        <v>-0.99989269999999997</v>
      </c>
      <c r="N3881">
        <v>-1.4608640000000001E-2</v>
      </c>
      <c r="O3881">
        <v>1.1303680000000001E-3</v>
      </c>
      <c r="P3881">
        <v>-0.97577060000000004</v>
      </c>
      <c r="Q3881">
        <v>0.20023879999999999</v>
      </c>
      <c r="R3881">
        <v>8.8182670000000005E-2</v>
      </c>
      <c r="S3881">
        <v>-3.07666</v>
      </c>
      <c r="T3881">
        <v>-4.6923279999999998E-2</v>
      </c>
      <c r="U3881">
        <v>7.9956050000000001E-2</v>
      </c>
      <c r="V3881">
        <v>8.7087570000000003E-2</v>
      </c>
      <c r="W3881">
        <v>0.21447050000000001</v>
      </c>
      <c r="X3881">
        <v>0.97284020000000004</v>
      </c>
      <c r="Y3881">
        <v>2.484339E-2</v>
      </c>
      <c r="Z3881">
        <v>3.7020549999999998E-4</v>
      </c>
      <c r="AA3881">
        <v>0.99969129999999995</v>
      </c>
      <c r="AB3881">
        <v>45</v>
      </c>
      <c r="AC3881">
        <v>-73.073300000000003</v>
      </c>
      <c r="AD3881">
        <v>-1.12092679561</v>
      </c>
      <c r="AE3881">
        <v>1.9095</v>
      </c>
      <c r="AF3881">
        <v>1.82646076081681</v>
      </c>
      <c r="AG3881">
        <v>-1.12092679561</v>
      </c>
      <c r="AH3881">
        <v>73.058232503680301</v>
      </c>
      <c r="AI3881">
        <v>90.878741208963007</v>
      </c>
      <c r="AJ3881">
        <v>88.567899937623295</v>
      </c>
      <c r="AK3881">
        <v>73.089655713744705</v>
      </c>
      <c r="AL3881">
        <v>77.615534772362295</v>
      </c>
      <c r="AM3881">
        <v>84.884580983414807</v>
      </c>
      <c r="AN3881">
        <v>0.99999994747739596</v>
      </c>
    </row>
    <row r="3882" spans="1:40" x14ac:dyDescent="0.25">
      <c r="A3882" t="str">
        <f>"20190303171054823"</f>
        <v>20190303171054823</v>
      </c>
      <c r="B3882" t="str">
        <f>"1551604254814649"</f>
        <v>1551604254814649</v>
      </c>
      <c r="C3882" t="s">
        <v>40</v>
      </c>
      <c r="D3882">
        <v>4.9635989999999897</v>
      </c>
      <c r="E3882">
        <v>0.48203940000000001</v>
      </c>
      <c r="F3882" t="s">
        <v>84</v>
      </c>
      <c r="G3882">
        <v>-414.4941</v>
      </c>
      <c r="H3882" s="1">
        <v>-1.169831E-5</v>
      </c>
      <c r="I3882">
        <v>143.65899999999999</v>
      </c>
      <c r="J3882">
        <v>-340.44600000000003</v>
      </c>
      <c r="K3882">
        <v>1.120908</v>
      </c>
      <c r="L3882">
        <v>141.6628</v>
      </c>
      <c r="M3882">
        <v>-0.99989280000000003</v>
      </c>
      <c r="N3882">
        <v>-1.460639E-2</v>
      </c>
      <c r="O3882">
        <v>1.1302059999999999E-3</v>
      </c>
      <c r="P3882">
        <v>-0.97581090000000004</v>
      </c>
      <c r="Q3882">
        <v>0.2000084</v>
      </c>
      <c r="R3882">
        <v>8.8258409999999995E-2</v>
      </c>
      <c r="S3882">
        <v>-3.0765690000000001</v>
      </c>
      <c r="T3882">
        <v>-4.632795E-2</v>
      </c>
      <c r="U3882">
        <v>8.2519529999999994E-2</v>
      </c>
      <c r="V3882">
        <v>8.7163370000000004E-2</v>
      </c>
      <c r="W3882">
        <v>0.2142385</v>
      </c>
      <c r="X3882">
        <v>0.97288459999999999</v>
      </c>
      <c r="Y3882">
        <v>2.5676629999999999E-2</v>
      </c>
      <c r="Z3882">
        <v>3.8035500000000003E-4</v>
      </c>
      <c r="AA3882">
        <v>0.99967019999999995</v>
      </c>
      <c r="AB3882">
        <v>45</v>
      </c>
      <c r="AC3882">
        <v>-74.048100000000005</v>
      </c>
      <c r="AD3882">
        <v>-1.12091969831</v>
      </c>
      <c r="AE3882">
        <v>1.99619999999998</v>
      </c>
      <c r="AF3882">
        <v>1.91206236664732</v>
      </c>
      <c r="AG3882">
        <v>-1.12091969831</v>
      </c>
      <c r="AH3882">
        <v>74.033356579868098</v>
      </c>
      <c r="AI3882">
        <v>90.8671450233428</v>
      </c>
      <c r="AJ3882">
        <v>88.520548574858196</v>
      </c>
      <c r="AK3882">
        <v>74.066526379639996</v>
      </c>
      <c r="AL3882">
        <v>77.629144587895894</v>
      </c>
      <c r="AM3882">
        <v>84.880384651123407</v>
      </c>
      <c r="AN3882">
        <v>1.0000000164345799</v>
      </c>
    </row>
    <row r="3883" spans="1:40" x14ac:dyDescent="0.25">
      <c r="A3883" t="str">
        <f>"20190303171054840"</f>
        <v>20190303171054840</v>
      </c>
      <c r="B3883" t="str">
        <f>"1551604254824410"</f>
        <v>1551604254824410</v>
      </c>
      <c r="C3883" t="s">
        <v>40</v>
      </c>
      <c r="D3883">
        <v>4.962955</v>
      </c>
      <c r="E3883">
        <v>0.48209429999999998</v>
      </c>
      <c r="F3883" t="s">
        <v>84</v>
      </c>
      <c r="G3883">
        <v>-412.37079999999997</v>
      </c>
      <c r="H3883" s="1">
        <v>-1.1890040000000001E-5</v>
      </c>
      <c r="I3883">
        <v>143.62799999999999</v>
      </c>
      <c r="J3883">
        <v>-340.75900000000001</v>
      </c>
      <c r="K3883">
        <v>1.1209089999999999</v>
      </c>
      <c r="L3883">
        <v>141.66309999999999</v>
      </c>
      <c r="M3883">
        <v>-0.99989280000000003</v>
      </c>
      <c r="N3883">
        <v>-1.4604560000000001E-2</v>
      </c>
      <c r="O3883">
        <v>1.1300399999999999E-3</v>
      </c>
      <c r="P3883">
        <v>-0.97587190000000001</v>
      </c>
      <c r="Q3883">
        <v>0.1995333</v>
      </c>
      <c r="R3883">
        <v>8.866127E-2</v>
      </c>
      <c r="S3883">
        <v>-3.0765690000000001</v>
      </c>
      <c r="T3883">
        <v>-4.7947169999999997E-2</v>
      </c>
      <c r="U3883">
        <v>8.4060670000000004E-2</v>
      </c>
      <c r="V3883">
        <v>8.7566370000000004E-2</v>
      </c>
      <c r="W3883">
        <v>0.21376249999999999</v>
      </c>
      <c r="X3883">
        <v>0.97295310000000002</v>
      </c>
      <c r="Y3883">
        <v>2.617676E-2</v>
      </c>
      <c r="Z3883">
        <v>3.940401E-4</v>
      </c>
      <c r="AA3883">
        <v>0.99965729999999997</v>
      </c>
      <c r="AB3883">
        <v>45</v>
      </c>
      <c r="AC3883">
        <v>-71.611799999999903</v>
      </c>
      <c r="AD3883">
        <v>-1.1209208900399901</v>
      </c>
      <c r="AE3883">
        <v>1.9649000000000001</v>
      </c>
      <c r="AF3883">
        <v>1.8835047952716799</v>
      </c>
      <c r="AG3883">
        <v>-1.1209208900399901</v>
      </c>
      <c r="AH3883">
        <v>71.596446393579896</v>
      </c>
      <c r="AI3883">
        <v>90.896644819158695</v>
      </c>
      <c r="AJ3883">
        <v>88.4930538335894</v>
      </c>
      <c r="AK3883">
        <v>71.629988064666705</v>
      </c>
      <c r="AL3883">
        <v>77.657064035415104</v>
      </c>
      <c r="AM3883">
        <v>84.857200918635499</v>
      </c>
      <c r="AN3883">
        <v>1.0000000051804101</v>
      </c>
    </row>
    <row r="3884" spans="1:40" x14ac:dyDescent="0.25">
      <c r="A3884" t="str">
        <f>"20190303171054862"</f>
        <v>20190303171054862</v>
      </c>
      <c r="B3884" t="str">
        <f>"1551604254854665"</f>
        <v>1551604254854665</v>
      </c>
      <c r="C3884" t="s">
        <v>40</v>
      </c>
      <c r="D3884">
        <v>4.8569620000000002</v>
      </c>
      <c r="E3884">
        <v>0.4820102</v>
      </c>
      <c r="F3884" t="s">
        <v>84</v>
      </c>
      <c r="G3884">
        <v>-409.702</v>
      </c>
      <c r="H3884" s="1">
        <v>-1.1976349999999999E-5</v>
      </c>
      <c r="I3884">
        <v>143.5831</v>
      </c>
      <c r="J3884">
        <v>-341.22269999999997</v>
      </c>
      <c r="K3884">
        <v>1.120911</v>
      </c>
      <c r="L3884">
        <v>141.66370000000001</v>
      </c>
      <c r="M3884">
        <v>-0.99989280000000003</v>
      </c>
      <c r="N3884">
        <v>-1.460181E-2</v>
      </c>
      <c r="O3884">
        <v>1.1297620000000001E-3</v>
      </c>
      <c r="P3884">
        <v>-0.97578180000000003</v>
      </c>
      <c r="Q3884">
        <v>0.19997699999999999</v>
      </c>
      <c r="R3884">
        <v>8.8651289999999994E-2</v>
      </c>
      <c r="S3884">
        <v>-3.0766300000000002</v>
      </c>
      <c r="T3884">
        <v>-5.0021889999999999E-2</v>
      </c>
      <c r="U3884">
        <v>8.5678099999999993E-2</v>
      </c>
      <c r="V3884">
        <v>8.7556819999999994E-2</v>
      </c>
      <c r="W3884">
        <v>0.21420220000000001</v>
      </c>
      <c r="X3884">
        <v>0.97285719999999998</v>
      </c>
      <c r="Y3884">
        <v>2.670109E-2</v>
      </c>
      <c r="Z3884">
        <v>4.1015110000000002E-4</v>
      </c>
      <c r="AA3884">
        <v>0.99964339999999996</v>
      </c>
      <c r="AB3884">
        <v>45</v>
      </c>
      <c r="AC3884">
        <v>-68.479299999999995</v>
      </c>
      <c r="AD3884">
        <v>-1.1209229763499999</v>
      </c>
      <c r="AE3884">
        <v>1.91939999999999</v>
      </c>
      <c r="AF3884">
        <v>1.84153219128838</v>
      </c>
      <c r="AG3884">
        <v>-1.1209229763499999</v>
      </c>
      <c r="AH3884">
        <v>68.463095578649302</v>
      </c>
      <c r="AI3884">
        <v>90.937661417622294</v>
      </c>
      <c r="AJ3884">
        <v>88.459219727755297</v>
      </c>
      <c r="AK3884">
        <v>68.497030339582807</v>
      </c>
      <c r="AL3884">
        <v>77.631273087982095</v>
      </c>
      <c r="AM3884">
        <v>84.857254604245497</v>
      </c>
      <c r="AN3884">
        <v>0.99999995540259501</v>
      </c>
    </row>
    <row r="3885" spans="1:40" x14ac:dyDescent="0.25">
      <c r="A3885" t="str">
        <f>"20190303171054883"</f>
        <v>20190303171054883</v>
      </c>
      <c r="B3885" t="str">
        <f>"1551604254874694"</f>
        <v>1551604254874694</v>
      </c>
      <c r="C3885" t="s">
        <v>40</v>
      </c>
      <c r="D3885">
        <v>4.9204140000000001</v>
      </c>
      <c r="E3885">
        <v>0.48437229999999998</v>
      </c>
      <c r="F3885" t="s">
        <v>84</v>
      </c>
      <c r="G3885">
        <v>-412.56110000000001</v>
      </c>
      <c r="H3885" s="1">
        <v>-1.1877159999999999E-5</v>
      </c>
      <c r="I3885">
        <v>143.6439</v>
      </c>
      <c r="J3885">
        <v>-341.64670000000001</v>
      </c>
      <c r="K3885">
        <v>1.1209229999999999</v>
      </c>
      <c r="L3885">
        <v>141.66409999999999</v>
      </c>
      <c r="M3885">
        <v>-0.99989280000000003</v>
      </c>
      <c r="N3885">
        <v>-1.459922E-2</v>
      </c>
      <c r="O3885">
        <v>1.1297810000000001E-3</v>
      </c>
      <c r="P3885">
        <v>-0.97561880000000001</v>
      </c>
      <c r="Q3885">
        <v>0.2007207</v>
      </c>
      <c r="R3885">
        <v>8.8764709999999997E-2</v>
      </c>
      <c r="S3885">
        <v>-3.0766300000000002</v>
      </c>
      <c r="T3885">
        <v>-4.8342349999999999E-2</v>
      </c>
      <c r="U3885">
        <v>8.5403439999999997E-2</v>
      </c>
      <c r="V3885">
        <v>8.767047E-2</v>
      </c>
      <c r="W3885">
        <v>0.21494079999999999</v>
      </c>
      <c r="X3885">
        <v>0.97268410000000005</v>
      </c>
      <c r="Y3885">
        <v>2.6612259999999999E-2</v>
      </c>
      <c r="Z3885">
        <v>4.020971E-4</v>
      </c>
      <c r="AA3885">
        <v>0.99964580000000003</v>
      </c>
      <c r="AB3885">
        <v>45</v>
      </c>
      <c r="AC3885">
        <v>-70.914400000000001</v>
      </c>
      <c r="AD3885">
        <v>-1.1209348771599901</v>
      </c>
      <c r="AE3885">
        <v>1.97980000000001</v>
      </c>
      <c r="AF3885">
        <v>1.89919829724458</v>
      </c>
      <c r="AG3885">
        <v>-1.1209348771599901</v>
      </c>
      <c r="AH3885">
        <v>70.898890908225098</v>
      </c>
      <c r="AI3885">
        <v>90.905464973708206</v>
      </c>
      <c r="AJ3885">
        <v>88.465560897518003</v>
      </c>
      <c r="AK3885">
        <v>70.933181101565594</v>
      </c>
      <c r="AL3885">
        <v>77.587945913070797</v>
      </c>
      <c r="AM3885">
        <v>84.849703649613403</v>
      </c>
      <c r="AN3885">
        <v>1.00000000860373</v>
      </c>
    </row>
    <row r="3886" spans="1:40" x14ac:dyDescent="0.25">
      <c r="A3886" t="str">
        <f>"20190303171054903"</f>
        <v>20190303171054903</v>
      </c>
      <c r="B3886" t="str">
        <f>"1551604254895190"</f>
        <v>1551604254895190</v>
      </c>
      <c r="C3886" t="s">
        <v>40</v>
      </c>
      <c r="D3886">
        <v>4.796163</v>
      </c>
      <c r="E3886">
        <v>0.4835566</v>
      </c>
      <c r="F3886" t="s">
        <v>65</v>
      </c>
      <c r="G3886">
        <v>-550.17070000000001</v>
      </c>
      <c r="H3886">
        <v>26.60482</v>
      </c>
      <c r="I3886">
        <v>150.61060000000001</v>
      </c>
      <c r="J3886">
        <v>-342.06549999999999</v>
      </c>
      <c r="K3886">
        <v>1.1209279999999999</v>
      </c>
      <c r="L3886">
        <v>141.66460000000001</v>
      </c>
      <c r="M3886">
        <v>-0.99989289999999997</v>
      </c>
      <c r="N3886">
        <v>-1.459645E-2</v>
      </c>
      <c r="O3886">
        <v>1.1294439999999901E-3</v>
      </c>
      <c r="P3886">
        <v>-0.97555670000000005</v>
      </c>
      <c r="Q3886">
        <v>0.20105680000000001</v>
      </c>
      <c r="R3886">
        <v>8.8687730000000006E-2</v>
      </c>
      <c r="S3886">
        <v>-2.9881899999999999</v>
      </c>
      <c r="T3886">
        <v>0.3651894</v>
      </c>
      <c r="U3886">
        <v>0.12820429999999999</v>
      </c>
      <c r="V3886">
        <v>8.7593850000000001E-2</v>
      </c>
      <c r="W3886">
        <v>0.2152733</v>
      </c>
      <c r="X3886">
        <v>0.97261739999999997</v>
      </c>
      <c r="Y3886">
        <v>4.1475310000000001E-2</v>
      </c>
      <c r="Z3886">
        <v>-2.0661239999999999E-3</v>
      </c>
      <c r="AA3886">
        <v>0.99913739999999995</v>
      </c>
      <c r="AB3886">
        <v>45</v>
      </c>
      <c r="AC3886">
        <v>-208.1052</v>
      </c>
      <c r="AD3886">
        <v>25.483892000000001</v>
      </c>
      <c r="AE3886">
        <v>8.9459999999999908</v>
      </c>
      <c r="AF3886">
        <v>8.5824637633394207</v>
      </c>
      <c r="AG3886">
        <v>25.483892000000001</v>
      </c>
      <c r="AH3886">
        <v>205.04604275693299</v>
      </c>
      <c r="AI3886">
        <v>82.921528599639203</v>
      </c>
      <c r="AJ3886">
        <v>87.603211067422293</v>
      </c>
      <c r="AK3886">
        <v>206.80175793738999</v>
      </c>
      <c r="AL3886">
        <v>77.568437557627405</v>
      </c>
      <c r="AM3886">
        <v>84.853829603945201</v>
      </c>
      <c r="AN3886">
        <v>0.99999994151673399</v>
      </c>
    </row>
    <row r="3887" spans="1:40" x14ac:dyDescent="0.25">
      <c r="A3887" t="str">
        <f>"20190303171054926"</f>
        <v>20190303171054926</v>
      </c>
      <c r="B3887" t="str">
        <f>"1551604254904951"</f>
        <v>1551604254904951</v>
      </c>
      <c r="C3887" t="s">
        <v>40</v>
      </c>
      <c r="D3887">
        <v>4.7284059999999997</v>
      </c>
      <c r="E3887">
        <v>0.4835566</v>
      </c>
      <c r="F3887" t="s">
        <v>65</v>
      </c>
      <c r="G3887">
        <v>-550.17079999999999</v>
      </c>
      <c r="H3887">
        <v>26.88654</v>
      </c>
      <c r="I3887">
        <v>150.14349999999999</v>
      </c>
      <c r="J3887">
        <v>-342.50729999999999</v>
      </c>
      <c r="K3887">
        <v>1.1209249999999999</v>
      </c>
      <c r="L3887">
        <v>141.6651</v>
      </c>
      <c r="M3887">
        <v>-0.99989300000000003</v>
      </c>
      <c r="N3887">
        <v>-1.459353E-2</v>
      </c>
      <c r="O3887">
        <v>1.129286E-3</v>
      </c>
      <c r="P3887">
        <v>-0.97557389999999999</v>
      </c>
      <c r="Q3887">
        <v>0.2009987</v>
      </c>
      <c r="R3887">
        <v>8.8630589999999995E-2</v>
      </c>
      <c r="S3887">
        <v>-2.987854</v>
      </c>
      <c r="T3887">
        <v>0.36992760000000002</v>
      </c>
      <c r="U3887">
        <v>0.1217346</v>
      </c>
      <c r="V3887">
        <v>8.7536859999999994E-2</v>
      </c>
      <c r="W3887">
        <v>0.2152123</v>
      </c>
      <c r="X3887">
        <v>0.9726361</v>
      </c>
      <c r="Y3887">
        <v>3.9327500000000001E-2</v>
      </c>
      <c r="Z3887">
        <v>-1.9806350000000001E-3</v>
      </c>
      <c r="AA3887">
        <v>0.99922440000000001</v>
      </c>
      <c r="AB3887">
        <v>45</v>
      </c>
      <c r="AC3887">
        <v>-207.6635</v>
      </c>
      <c r="AD3887">
        <v>25.765615</v>
      </c>
      <c r="AE3887">
        <v>8.4783999999999899</v>
      </c>
      <c r="AF3887">
        <v>8.1190784156289606</v>
      </c>
      <c r="AG3887">
        <v>25.765615</v>
      </c>
      <c r="AH3887">
        <v>204.52958754135699</v>
      </c>
      <c r="AI3887">
        <v>82.8255778168663</v>
      </c>
      <c r="AJ3887">
        <v>87.726760148400899</v>
      </c>
      <c r="AK3887">
        <v>206.30593430748601</v>
      </c>
      <c r="AL3887">
        <v>77.5720173466147</v>
      </c>
      <c r="AM3887">
        <v>84.857258173100405</v>
      </c>
      <c r="AN3887">
        <v>1.00000000947657</v>
      </c>
    </row>
    <row r="3888" spans="1:40" x14ac:dyDescent="0.25">
      <c r="A3888" t="str">
        <f>"20190303171054948"</f>
        <v>20190303171054948</v>
      </c>
      <c r="B3888" t="str">
        <f>"1551604254935206"</f>
        <v>1551604254935206</v>
      </c>
      <c r="C3888" t="s">
        <v>40</v>
      </c>
      <c r="D3888">
        <v>4.8383949999999896</v>
      </c>
      <c r="E3888">
        <v>0.4832707</v>
      </c>
      <c r="F3888" t="s">
        <v>65</v>
      </c>
      <c r="G3888">
        <v>-550.17079999999999</v>
      </c>
      <c r="H3888">
        <v>26.8215</v>
      </c>
      <c r="I3888">
        <v>150.11539999999999</v>
      </c>
      <c r="J3888">
        <v>-342.95830000000001</v>
      </c>
      <c r="K3888">
        <v>1.1209260000000001</v>
      </c>
      <c r="L3888">
        <v>141.66560000000001</v>
      </c>
      <c r="M3888">
        <v>-0.99989289999999997</v>
      </c>
      <c r="N3888">
        <v>-1.45907E-2</v>
      </c>
      <c r="O3888">
        <v>1.129129E-3</v>
      </c>
      <c r="P3888">
        <v>-0.97571779999999997</v>
      </c>
      <c r="Q3888">
        <v>0.200518</v>
      </c>
      <c r="R3888">
        <v>8.8133359999999994E-2</v>
      </c>
      <c r="S3888">
        <v>-2.987854</v>
      </c>
      <c r="T3888">
        <v>0.36977919999999997</v>
      </c>
      <c r="U3888">
        <v>0.121582</v>
      </c>
      <c r="V3888">
        <v>8.7039519999999995E-2</v>
      </c>
      <c r="W3888">
        <v>0.21473130000000001</v>
      </c>
      <c r="X3888">
        <v>0.97278699999999996</v>
      </c>
      <c r="Y3888">
        <v>3.9277260000000001E-2</v>
      </c>
      <c r="Z3888">
        <v>-1.9770819999999998E-3</v>
      </c>
      <c r="AA3888">
        <v>0.99922639999999996</v>
      </c>
      <c r="AB3888">
        <v>45</v>
      </c>
      <c r="AC3888">
        <v>-207.21250000000001</v>
      </c>
      <c r="AD3888">
        <v>25.700574</v>
      </c>
      <c r="AE3888">
        <v>8.4497999999999802</v>
      </c>
      <c r="AF3888">
        <v>8.0915310389407207</v>
      </c>
      <c r="AG3888">
        <v>25.700574</v>
      </c>
      <c r="AH3888">
        <v>204.08755122806099</v>
      </c>
      <c r="AI3888">
        <v>82.828147522861201</v>
      </c>
      <c r="AJ3888">
        <v>87.729563190084306</v>
      </c>
      <c r="AK3888">
        <v>205.858497382911</v>
      </c>
      <c r="AL3888">
        <v>77.600235977473901</v>
      </c>
      <c r="AM3888">
        <v>84.887110302646406</v>
      </c>
      <c r="AN3888">
        <v>0.999999978305259</v>
      </c>
    </row>
    <row r="3889" spans="1:40" x14ac:dyDescent="0.25">
      <c r="A3889" t="str">
        <f>"20190303171054965"</f>
        <v>20190303171054965</v>
      </c>
      <c r="B3889" t="str">
        <f>"1551604254954726"</f>
        <v>1551604254954726</v>
      </c>
      <c r="C3889" t="s">
        <v>40</v>
      </c>
      <c r="D3889">
        <v>4.9993080000000001</v>
      </c>
      <c r="E3889">
        <v>0.48291499999999998</v>
      </c>
      <c r="F3889" t="s">
        <v>65</v>
      </c>
      <c r="G3889">
        <v>-550.55200000000002</v>
      </c>
      <c r="H3889">
        <v>26.67821</v>
      </c>
      <c r="I3889">
        <v>149.8432</v>
      </c>
      <c r="J3889">
        <v>-343.29809999999998</v>
      </c>
      <c r="K3889">
        <v>1.1209260000000001</v>
      </c>
      <c r="L3889">
        <v>141.666</v>
      </c>
      <c r="M3889">
        <v>-0.99989300000000003</v>
      </c>
      <c r="N3889">
        <v>-1.458858E-2</v>
      </c>
      <c r="O3889">
        <v>1.128965E-3</v>
      </c>
      <c r="P3889">
        <v>-0.97573279999999996</v>
      </c>
      <c r="Q3889">
        <v>0.2004871</v>
      </c>
      <c r="R3889">
        <v>8.8037770000000001E-2</v>
      </c>
      <c r="S3889">
        <v>-2.9884339999999998</v>
      </c>
      <c r="T3889">
        <v>0.36791269999999998</v>
      </c>
      <c r="U3889">
        <v>0.1177216</v>
      </c>
      <c r="V3889">
        <v>8.6944190000000005E-2</v>
      </c>
      <c r="W3889">
        <v>0.21469820000000001</v>
      </c>
      <c r="X3889">
        <v>0.97280290000000003</v>
      </c>
      <c r="Y3889">
        <v>3.7992110000000003E-2</v>
      </c>
      <c r="Z3889">
        <v>-1.8959859999999999E-3</v>
      </c>
      <c r="AA3889">
        <v>0.99927619999999895</v>
      </c>
      <c r="AB3889">
        <v>45</v>
      </c>
      <c r="AC3889">
        <v>-207.25389999999999</v>
      </c>
      <c r="AD3889">
        <v>25.557283999999999</v>
      </c>
      <c r="AE3889">
        <v>8.1771999999999991</v>
      </c>
      <c r="AF3889">
        <v>7.8243922558052397</v>
      </c>
      <c r="AG3889">
        <v>25.557283999999999</v>
      </c>
      <c r="AH3889">
        <v>204.163255294267</v>
      </c>
      <c r="AI3889">
        <v>82.869974256831199</v>
      </c>
      <c r="AJ3889">
        <v>87.805259499260004</v>
      </c>
      <c r="AK3889">
        <v>205.905392576254</v>
      </c>
      <c r="AL3889">
        <v>77.602178605818295</v>
      </c>
      <c r="AM3889">
        <v>84.8927635953454</v>
      </c>
      <c r="AN3889">
        <v>1.0000000457531999</v>
      </c>
    </row>
    <row r="3890" spans="1:40" x14ac:dyDescent="0.25">
      <c r="A3890" t="str">
        <f>"20190303171054984"</f>
        <v>20190303171054984</v>
      </c>
      <c r="B3890" t="str">
        <f>"1551604254975222"</f>
        <v>1551604254975222</v>
      </c>
      <c r="C3890" t="s">
        <v>40</v>
      </c>
      <c r="D3890">
        <v>4.9600109999999997</v>
      </c>
      <c r="E3890">
        <v>0.48281099999999999</v>
      </c>
      <c r="F3890" t="s">
        <v>62</v>
      </c>
      <c r="G3890">
        <v>0</v>
      </c>
      <c r="H3890">
        <v>0</v>
      </c>
      <c r="I3890">
        <v>0</v>
      </c>
      <c r="J3890">
        <v>-343.67649999999998</v>
      </c>
      <c r="K3890">
        <v>1.1209309999999999</v>
      </c>
      <c r="L3890">
        <v>141.66650000000001</v>
      </c>
      <c r="M3890">
        <v>-0.99989309999999998</v>
      </c>
      <c r="N3890">
        <v>-1.458622E-2</v>
      </c>
      <c r="O3890">
        <v>1.1286849999999999E-3</v>
      </c>
      <c r="P3890">
        <v>-0.97572789999999998</v>
      </c>
      <c r="Q3890">
        <v>0.20069790000000001</v>
      </c>
      <c r="R3890">
        <v>8.7609510000000002E-2</v>
      </c>
      <c r="S3890">
        <v>-2.9885250000000001</v>
      </c>
      <c r="T3890">
        <v>0.36856709999999998</v>
      </c>
      <c r="U3890">
        <v>0.1146393</v>
      </c>
      <c r="V3890">
        <v>8.6516140000000005E-2</v>
      </c>
      <c r="W3890">
        <v>0.21490680000000001</v>
      </c>
      <c r="X3890">
        <v>0.97279499999999997</v>
      </c>
      <c r="Y3890">
        <v>3.6967989999999999E-2</v>
      </c>
      <c r="Z3890">
        <v>-1.8445250000000001E-3</v>
      </c>
      <c r="AA3890">
        <v>0.9993147</v>
      </c>
      <c r="AB3890">
        <v>45</v>
      </c>
      <c r="AC3890">
        <v>-2.9885250000000001</v>
      </c>
      <c r="AD3890">
        <v>0.36856709999999998</v>
      </c>
      <c r="AE3890">
        <v>0.1146393</v>
      </c>
      <c r="AF3890">
        <v>0.10960121785139</v>
      </c>
      <c r="AG3890">
        <v>0.36856709999999998</v>
      </c>
      <c r="AH3890">
        <v>2.9439419524036698</v>
      </c>
      <c r="AI3890">
        <v>82.868866974551196</v>
      </c>
      <c r="AJ3890">
        <v>87.867896701663597</v>
      </c>
      <c r="AK3890">
        <v>2.96894734767716</v>
      </c>
      <c r="AL3890">
        <v>77.589941024539499</v>
      </c>
      <c r="AM3890">
        <v>84.917734853827298</v>
      </c>
      <c r="AN3890">
        <v>1.00000004359586</v>
      </c>
    </row>
    <row r="3891" spans="1:40" x14ac:dyDescent="0.25">
      <c r="A3891" t="str">
        <f>"20190303171055004"</f>
        <v>20190303171055004</v>
      </c>
      <c r="B3891" t="str">
        <f>"1551604254994742"</f>
        <v>1551604254994742</v>
      </c>
      <c r="C3891" t="s">
        <v>40</v>
      </c>
      <c r="D3891">
        <v>5.0182180000000001</v>
      </c>
      <c r="E3891">
        <v>0.481626</v>
      </c>
      <c r="F3891" t="s">
        <v>62</v>
      </c>
      <c r="G3891">
        <v>0</v>
      </c>
      <c r="H3891">
        <v>0</v>
      </c>
      <c r="I3891">
        <v>0</v>
      </c>
      <c r="J3891">
        <v>-344.08</v>
      </c>
      <c r="K3891">
        <v>1.120933</v>
      </c>
      <c r="L3891">
        <v>141.6669</v>
      </c>
      <c r="M3891">
        <v>-0.99989300000000003</v>
      </c>
      <c r="N3891">
        <v>-1.45837E-2</v>
      </c>
      <c r="O3891">
        <v>1.128525E-3</v>
      </c>
      <c r="P3891">
        <v>-0.97555610000000004</v>
      </c>
      <c r="Q3891">
        <v>0.2016107</v>
      </c>
      <c r="R3891">
        <v>8.7426390000000007E-2</v>
      </c>
      <c r="S3891">
        <v>-2.9885860000000002</v>
      </c>
      <c r="T3891">
        <v>0.36917149999999999</v>
      </c>
      <c r="U3891">
        <v>0.11257929999999999</v>
      </c>
      <c r="V3891">
        <v>8.6333510000000002E-2</v>
      </c>
      <c r="W3891">
        <v>0.21581439999999999</v>
      </c>
      <c r="X3891">
        <v>0.97261019999999998</v>
      </c>
      <c r="Y3891">
        <v>3.6283299999999997E-2</v>
      </c>
      <c r="Z3891">
        <v>-1.8109479999999999E-3</v>
      </c>
      <c r="AA3891">
        <v>0.99933989999999995</v>
      </c>
      <c r="AB3891">
        <v>45</v>
      </c>
      <c r="AC3891">
        <v>-2.9885860000000002</v>
      </c>
      <c r="AD3891">
        <v>0.36917149999999999</v>
      </c>
      <c r="AE3891">
        <v>0.11257929999999999</v>
      </c>
      <c r="AF3891">
        <v>0.107567139093174</v>
      </c>
      <c r="AG3891">
        <v>0.36917149999999999</v>
      </c>
      <c r="AH3891">
        <v>2.9438546620412298</v>
      </c>
      <c r="AI3891">
        <v>82.856904333159505</v>
      </c>
      <c r="AJ3891">
        <v>87.907368704517694</v>
      </c>
      <c r="AK3891">
        <v>2.9688614917248701</v>
      </c>
      <c r="AL3891">
        <v>77.536688827147998</v>
      </c>
      <c r="AM3891">
        <v>84.927448582180503</v>
      </c>
      <c r="AN3891">
        <v>0.99999996567015903</v>
      </c>
    </row>
    <row r="3892" spans="1:40" x14ac:dyDescent="0.25">
      <c r="A3892" t="str">
        <f>"20190303171055023"</f>
        <v>20190303171055023</v>
      </c>
      <c r="B3892" t="str">
        <f>"1551604255015239"</f>
        <v>1551604255015239</v>
      </c>
      <c r="C3892" t="s">
        <v>40</v>
      </c>
      <c r="D3892">
        <v>5.0231849999999998</v>
      </c>
      <c r="E3892">
        <v>0.47238839999999999</v>
      </c>
      <c r="F3892" t="s">
        <v>62</v>
      </c>
      <c r="G3892">
        <v>0</v>
      </c>
      <c r="H3892">
        <v>0</v>
      </c>
      <c r="I3892">
        <v>0</v>
      </c>
      <c r="J3892">
        <v>-344.44279999999998</v>
      </c>
      <c r="K3892">
        <v>1.120933</v>
      </c>
      <c r="L3892">
        <v>141.66730000000001</v>
      </c>
      <c r="M3892">
        <v>-0.99989300000000003</v>
      </c>
      <c r="N3892">
        <v>-1.4581429999999999E-2</v>
      </c>
      <c r="O3892">
        <v>1.1283630000000001E-3</v>
      </c>
      <c r="P3892">
        <v>-0.97551900000000002</v>
      </c>
      <c r="Q3892">
        <v>0.2018365</v>
      </c>
      <c r="R3892">
        <v>8.7321170000000004E-2</v>
      </c>
      <c r="S3892">
        <v>-3.0580440000000002</v>
      </c>
      <c r="T3892">
        <v>4.6087620000000003E-2</v>
      </c>
      <c r="U3892">
        <v>8.433533E-2</v>
      </c>
      <c r="V3892">
        <v>8.6228490000000005E-2</v>
      </c>
      <c r="W3892">
        <v>0.2160379</v>
      </c>
      <c r="X3892">
        <v>0.97256989999999999</v>
      </c>
      <c r="Y3892">
        <v>2.6440040000000001E-2</v>
      </c>
      <c r="Z3892" s="1">
        <v>2.707538E-5</v>
      </c>
      <c r="AA3892">
        <v>0.99965040000000005</v>
      </c>
      <c r="AB3892">
        <v>45</v>
      </c>
      <c r="AC3892">
        <v>-3.0580440000000002</v>
      </c>
      <c r="AD3892">
        <v>4.6087620000000003E-2</v>
      </c>
      <c r="AE3892">
        <v>8.433533E-2</v>
      </c>
      <c r="AF3892">
        <v>8.0865972135311007E-2</v>
      </c>
      <c r="AG3892">
        <v>4.6087620000000003E-2</v>
      </c>
      <c r="AH3892">
        <v>3.0574433039292801</v>
      </c>
      <c r="AI3892">
        <v>89.136695940811705</v>
      </c>
      <c r="AJ3892">
        <v>88.484943624857394</v>
      </c>
      <c r="AK3892">
        <v>3.0588597435823401</v>
      </c>
      <c r="AL3892">
        <v>77.523573869836099</v>
      </c>
      <c r="AM3892">
        <v>84.933378087515294</v>
      </c>
      <c r="AN3892">
        <v>0.99999996855504902</v>
      </c>
    </row>
    <row r="3893" spans="1:40" x14ac:dyDescent="0.25">
      <c r="A3893" t="str">
        <f>"20190303171055038"</f>
        <v>20190303171055038</v>
      </c>
      <c r="B3893" t="str">
        <f>"1551604255034758"</f>
        <v>1551604255034758</v>
      </c>
      <c r="C3893" t="s">
        <v>40</v>
      </c>
      <c r="D3893">
        <v>5.1265029999999996</v>
      </c>
      <c r="E3893">
        <v>0.46289370000000002</v>
      </c>
      <c r="F3893" t="s">
        <v>62</v>
      </c>
      <c r="G3893">
        <v>0</v>
      </c>
      <c r="H3893">
        <v>0</v>
      </c>
      <c r="I3893">
        <v>0</v>
      </c>
      <c r="J3893">
        <v>-344.75869999999998</v>
      </c>
      <c r="K3893">
        <v>1.120933</v>
      </c>
      <c r="L3893">
        <v>141.6677</v>
      </c>
      <c r="M3893">
        <v>-0.99989309999999998</v>
      </c>
      <c r="N3893">
        <v>-1.4579460000000001E-2</v>
      </c>
      <c r="O3893">
        <v>1.1281990000000001E-3</v>
      </c>
      <c r="P3893">
        <v>-0.97557190000000005</v>
      </c>
      <c r="Q3893">
        <v>0.20162939999999999</v>
      </c>
      <c r="R3893">
        <v>8.7207989999999999E-2</v>
      </c>
      <c r="S3893">
        <v>-3.053131</v>
      </c>
      <c r="T3893">
        <v>0.1012493</v>
      </c>
      <c r="U3893">
        <v>1.356506E-2</v>
      </c>
      <c r="V3893">
        <v>8.6115440000000001E-2</v>
      </c>
      <c r="W3893">
        <v>0.21582970000000001</v>
      </c>
      <c r="X3893">
        <v>0.97262610000000005</v>
      </c>
      <c r="Y3893">
        <v>3.3149109999999998E-3</v>
      </c>
      <c r="Z3893" s="1">
        <v>2.3066199999999999E-5</v>
      </c>
      <c r="AA3893">
        <v>0.99999450000000001</v>
      </c>
      <c r="AB3893">
        <v>45</v>
      </c>
      <c r="AC3893">
        <v>-3.053131</v>
      </c>
      <c r="AD3893">
        <v>0.1012493</v>
      </c>
      <c r="AE3893">
        <v>1.356506E-2</v>
      </c>
      <c r="AF3893">
        <v>1.01090287915628E-2</v>
      </c>
      <c r="AG3893">
        <v>0.1012493</v>
      </c>
      <c r="AH3893">
        <v>3.0497904275206098</v>
      </c>
      <c r="AI3893">
        <v>88.098559223536697</v>
      </c>
      <c r="AJ3893">
        <v>89.810084470630898</v>
      </c>
      <c r="AK3893">
        <v>3.0514873856875</v>
      </c>
      <c r="AL3893">
        <v>77.535790584075002</v>
      </c>
      <c r="AM3893">
        <v>84.940277041573296</v>
      </c>
      <c r="AN3893">
        <v>0.99999992940484395</v>
      </c>
    </row>
    <row r="3894" spans="1:40" x14ac:dyDescent="0.25">
      <c r="A3894" t="str">
        <f>"20190303171055062"</f>
        <v>20190303171055062</v>
      </c>
      <c r="B3894" t="str">
        <f>"1551604255055255"</f>
        <v>1551604255055255</v>
      </c>
      <c r="C3894" t="s">
        <v>40</v>
      </c>
      <c r="D3894">
        <v>5.1499750000000004</v>
      </c>
      <c r="E3894">
        <v>0.45716760000000001</v>
      </c>
      <c r="F3894" t="s">
        <v>62</v>
      </c>
      <c r="G3894">
        <v>0</v>
      </c>
      <c r="H3894">
        <v>0</v>
      </c>
      <c r="I3894">
        <v>0</v>
      </c>
      <c r="J3894">
        <v>-345.21480000000003</v>
      </c>
      <c r="K3894">
        <v>1.1209450000000001</v>
      </c>
      <c r="L3894">
        <v>141.66820000000001</v>
      </c>
      <c r="M3894">
        <v>-0.99989320000000004</v>
      </c>
      <c r="N3894">
        <v>-1.4576540000000001E-2</v>
      </c>
      <c r="O3894">
        <v>1.1279230000000001E-3</v>
      </c>
      <c r="P3894">
        <v>-0.97567590000000004</v>
      </c>
      <c r="Q3894">
        <v>0.2013144</v>
      </c>
      <c r="R3894">
        <v>8.6772199999999994E-2</v>
      </c>
      <c r="S3894">
        <v>-3.0535890000000001</v>
      </c>
      <c r="T3894">
        <v>0.13055369999999999</v>
      </c>
      <c r="U3894">
        <v>-6.063843E-2</v>
      </c>
      <c r="V3894">
        <v>8.5679900000000003E-2</v>
      </c>
      <c r="W3894">
        <v>0.21551319999999999</v>
      </c>
      <c r="X3894">
        <v>0.97273480000000001</v>
      </c>
      <c r="Y3894">
        <v>-2.0967510000000002E-2</v>
      </c>
      <c r="Z3894">
        <v>3.5971700000000001E-4</v>
      </c>
      <c r="AA3894">
        <v>0.99978009999999995</v>
      </c>
      <c r="AB3894">
        <v>45</v>
      </c>
      <c r="AC3894">
        <v>-3.0535890000000001</v>
      </c>
      <c r="AD3894">
        <v>0.13055369999999999</v>
      </c>
      <c r="AE3894">
        <v>-6.063843E-2</v>
      </c>
      <c r="AF3894">
        <v>-6.3966091561755201E-2</v>
      </c>
      <c r="AG3894">
        <v>0.13055369999999999</v>
      </c>
      <c r="AH3894">
        <v>3.0479494426277198</v>
      </c>
      <c r="AI3894">
        <v>87.547871819624902</v>
      </c>
      <c r="AJ3894">
        <v>91.202267040139901</v>
      </c>
      <c r="AK3894">
        <v>3.0514147103053699</v>
      </c>
      <c r="AL3894">
        <v>77.554362493343305</v>
      </c>
      <c r="AM3894">
        <v>84.966295083378</v>
      </c>
      <c r="AN3894">
        <v>0.99999998788464495</v>
      </c>
    </row>
    <row r="3895" spans="1:40" x14ac:dyDescent="0.25">
      <c r="A3895" t="str">
        <f>"20190303171055094"</f>
        <v>20190303171055094</v>
      </c>
      <c r="B3895" t="str">
        <f>"1551604255084534"</f>
        <v>1551604255084534</v>
      </c>
      <c r="C3895" t="s">
        <v>40</v>
      </c>
      <c r="D3895">
        <v>5.1281540000000003</v>
      </c>
      <c r="E3895">
        <v>0.45213379999999997</v>
      </c>
      <c r="F3895" t="s">
        <v>62</v>
      </c>
      <c r="G3895">
        <v>0</v>
      </c>
      <c r="H3895">
        <v>0</v>
      </c>
      <c r="I3895">
        <v>0</v>
      </c>
      <c r="J3895">
        <v>-345.8603</v>
      </c>
      <c r="K3895">
        <v>1.1209450000000001</v>
      </c>
      <c r="L3895">
        <v>141.66890000000001</v>
      </c>
      <c r="M3895">
        <v>-0.99989320000000004</v>
      </c>
      <c r="N3895">
        <v>-1.4572389999999999E-2</v>
      </c>
      <c r="O3895">
        <v>1.127241E-3</v>
      </c>
      <c r="P3895">
        <v>-0.97560480000000005</v>
      </c>
      <c r="Q3895">
        <v>0.20181070000000001</v>
      </c>
      <c r="R3895">
        <v>8.6417380000000002E-2</v>
      </c>
      <c r="S3895">
        <v>-3.0553590000000002</v>
      </c>
      <c r="T3895">
        <v>0.1399484</v>
      </c>
      <c r="U3895">
        <v>-0.10656740000000001</v>
      </c>
      <c r="V3895">
        <v>8.5325830000000005E-2</v>
      </c>
      <c r="W3895">
        <v>0.21600429999999901</v>
      </c>
      <c r="X3895">
        <v>0.97265699999999999</v>
      </c>
      <c r="Y3895">
        <v>-3.5956599999999998E-2</v>
      </c>
      <c r="Z3895">
        <v>6.2862829999999999E-4</v>
      </c>
      <c r="AA3895">
        <v>0.99935320000000005</v>
      </c>
      <c r="AB3895">
        <v>45</v>
      </c>
      <c r="AC3895">
        <v>-3.0553590000000002</v>
      </c>
      <c r="AD3895">
        <v>0.1399484</v>
      </c>
      <c r="AE3895">
        <v>-0.10656740000000001</v>
      </c>
      <c r="AF3895">
        <v>-0.109781778455808</v>
      </c>
      <c r="AG3895">
        <v>0.1399484</v>
      </c>
      <c r="AH3895">
        <v>3.0488481204685698</v>
      </c>
      <c r="AI3895">
        <v>87.373550389804905</v>
      </c>
      <c r="AJ3895">
        <v>92.062193980194394</v>
      </c>
      <c r="AK3895">
        <v>3.0540321634239902</v>
      </c>
      <c r="AL3895">
        <v>77.525545926249606</v>
      </c>
      <c r="AM3895">
        <v>84.986591592794994</v>
      </c>
      <c r="AN3895">
        <v>0.99999999726633904</v>
      </c>
    </row>
    <row r="3896" spans="1:40" x14ac:dyDescent="0.25">
      <c r="A3896" t="str">
        <f>"20190303171055116"</f>
        <v>20190303171055116</v>
      </c>
      <c r="B3896" t="str">
        <f>"1551604255105031"</f>
        <v>1551604255105031</v>
      </c>
      <c r="C3896" t="s">
        <v>40</v>
      </c>
      <c r="D3896">
        <v>5.0504670000000003</v>
      </c>
      <c r="E3896">
        <v>0.45048349999999998</v>
      </c>
      <c r="F3896" t="s">
        <v>62</v>
      </c>
      <c r="G3896">
        <v>0</v>
      </c>
      <c r="H3896">
        <v>0</v>
      </c>
      <c r="I3896">
        <v>0</v>
      </c>
      <c r="J3896">
        <v>-346.30360000000002</v>
      </c>
      <c r="K3896">
        <v>1.1209469999999999</v>
      </c>
      <c r="L3896">
        <v>141.6694</v>
      </c>
      <c r="M3896">
        <v>-0.99989329999999998</v>
      </c>
      <c r="N3896">
        <v>-1.456956E-2</v>
      </c>
      <c r="O3896">
        <v>1.1271429999999999E-3</v>
      </c>
      <c r="P3896">
        <v>-0.9755644</v>
      </c>
      <c r="Q3896">
        <v>0.20186019999999999</v>
      </c>
      <c r="R3896">
        <v>8.6756749999999994E-2</v>
      </c>
      <c r="S3896">
        <v>-3.0680540000000001</v>
      </c>
      <c r="T3896">
        <v>9.847641E-2</v>
      </c>
      <c r="U3896">
        <v>-0.15104679999999901</v>
      </c>
      <c r="V3896">
        <v>8.5665370000000005E-2</v>
      </c>
      <c r="W3896">
        <v>0.21605089999999999</v>
      </c>
      <c r="X3896">
        <v>0.97261679999999995</v>
      </c>
      <c r="Y3896">
        <v>-5.0283099999999997E-2</v>
      </c>
      <c r="Z3896">
        <v>4.9224199999999896E-4</v>
      </c>
      <c r="AA3896">
        <v>0.99873489999999998</v>
      </c>
      <c r="AB3896">
        <v>45</v>
      </c>
      <c r="AC3896">
        <v>-3.0680540000000001</v>
      </c>
      <c r="AD3896">
        <v>9.847641E-2</v>
      </c>
      <c r="AE3896">
        <v>-0.15104679999999901</v>
      </c>
      <c r="AF3896">
        <v>-0.15434657691124701</v>
      </c>
      <c r="AG3896">
        <v>9.847641E-2</v>
      </c>
      <c r="AH3896">
        <v>3.0647320061359</v>
      </c>
      <c r="AI3896">
        <v>88.161924902996105</v>
      </c>
      <c r="AJ3896">
        <v>92.883104337827703</v>
      </c>
      <c r="AK3896">
        <v>3.07019587951071</v>
      </c>
      <c r="AL3896">
        <v>77.522811322637097</v>
      </c>
      <c r="AM3896">
        <v>84.966536877579699</v>
      </c>
      <c r="AN3896">
        <v>0.999999993325143</v>
      </c>
    </row>
    <row r="3897" spans="1:40" x14ac:dyDescent="0.25">
      <c r="A3897" t="str">
        <f>"20190303171055139"</f>
        <v>20190303171055139</v>
      </c>
      <c r="B3897" t="str">
        <f>"1551604255135287"</f>
        <v>1551604255135287</v>
      </c>
      <c r="C3897" t="s">
        <v>40</v>
      </c>
      <c r="D3897">
        <v>5.1583680000000003</v>
      </c>
      <c r="E3897">
        <v>0.44849250000000002</v>
      </c>
      <c r="F3897" t="s">
        <v>62</v>
      </c>
      <c r="G3897">
        <v>0</v>
      </c>
      <c r="H3897">
        <v>0</v>
      </c>
      <c r="I3897">
        <v>0</v>
      </c>
      <c r="J3897">
        <v>-346.75510000000003</v>
      </c>
      <c r="K3897">
        <v>1.120943</v>
      </c>
      <c r="L3897">
        <v>141.66990000000001</v>
      </c>
      <c r="M3897">
        <v>-0.99989320000000004</v>
      </c>
      <c r="N3897">
        <v>-1.456666E-2</v>
      </c>
      <c r="O3897">
        <v>1.127163E-3</v>
      </c>
      <c r="P3897">
        <v>-0.9754777</v>
      </c>
      <c r="Q3897">
        <v>0.2020952</v>
      </c>
      <c r="R3897">
        <v>8.7183040000000003E-2</v>
      </c>
      <c r="S3897">
        <v>-3.0603030000000002</v>
      </c>
      <c r="T3897">
        <v>0.14084820000000001</v>
      </c>
      <c r="U3897">
        <v>-0.16099550000000001</v>
      </c>
      <c r="V3897">
        <v>8.6091819999999999E-2</v>
      </c>
      <c r="W3897">
        <v>0.21628140000000001</v>
      </c>
      <c r="X3897">
        <v>0.9725279</v>
      </c>
      <c r="Y3897">
        <v>-5.3620050000000002E-2</v>
      </c>
      <c r="Z3897">
        <v>9.0965519999999995E-4</v>
      </c>
      <c r="AA3897">
        <v>0.99856100000000003</v>
      </c>
      <c r="AB3897">
        <v>45</v>
      </c>
      <c r="AC3897">
        <v>-3.0603030000000002</v>
      </c>
      <c r="AD3897">
        <v>0.14084820000000001</v>
      </c>
      <c r="AE3897">
        <v>-0.16099550000000001</v>
      </c>
      <c r="AF3897">
        <v>-0.16409858456547</v>
      </c>
      <c r="AG3897">
        <v>0.14084820000000001</v>
      </c>
      <c r="AH3897">
        <v>3.05366903761553</v>
      </c>
      <c r="AI3897">
        <v>87.362946230390094</v>
      </c>
      <c r="AJ3897">
        <v>93.076011632624201</v>
      </c>
      <c r="AK3897">
        <v>3.0613168983611199</v>
      </c>
      <c r="AL3897">
        <v>77.509284674908898</v>
      </c>
      <c r="AM3897">
        <v>84.941149525929802</v>
      </c>
      <c r="AN3897">
        <v>0.99999998086764097</v>
      </c>
    </row>
    <row r="3898" spans="1:40" x14ac:dyDescent="0.25">
      <c r="A3898" t="str">
        <f>"20190303171055162"</f>
        <v>20190303171055162</v>
      </c>
      <c r="B3898" t="str">
        <f>"1551604255154807"</f>
        <v>1551604255154807</v>
      </c>
      <c r="C3898" t="s">
        <v>40</v>
      </c>
      <c r="D3898">
        <v>5.0342449999999896</v>
      </c>
      <c r="E3898">
        <v>0.44766600000000001</v>
      </c>
      <c r="F3898" t="s">
        <v>62</v>
      </c>
      <c r="G3898">
        <v>0</v>
      </c>
      <c r="H3898">
        <v>0</v>
      </c>
      <c r="I3898">
        <v>0</v>
      </c>
      <c r="J3898">
        <v>-347.2174</v>
      </c>
      <c r="K3898">
        <v>1.1209389999999999</v>
      </c>
      <c r="L3898">
        <v>141.6705</v>
      </c>
      <c r="M3898">
        <v>-0.99989340000000004</v>
      </c>
      <c r="N3898">
        <v>-1.456372E-2</v>
      </c>
      <c r="O3898">
        <v>1.1266480000000001E-3</v>
      </c>
      <c r="P3898">
        <v>-0.97559419999999997</v>
      </c>
      <c r="Q3898">
        <v>0.20128789999999999</v>
      </c>
      <c r="R3898">
        <v>8.7746359999999995E-2</v>
      </c>
      <c r="S3898">
        <v>-3.0630799999999998</v>
      </c>
      <c r="T3898">
        <v>0.1354504</v>
      </c>
      <c r="U3898">
        <v>-0.175781299999999</v>
      </c>
      <c r="V3898">
        <v>8.6655289999999996E-2</v>
      </c>
      <c r="W3898">
        <v>0.2154731</v>
      </c>
      <c r="X3898">
        <v>0.97265729999999995</v>
      </c>
      <c r="Y3898">
        <v>-5.8377699999999901E-2</v>
      </c>
      <c r="Z3898">
        <v>9.2958329999999999E-4</v>
      </c>
      <c r="AA3898">
        <v>0.99829409999999996</v>
      </c>
      <c r="AB3898">
        <v>44</v>
      </c>
      <c r="AC3898">
        <v>-3.0630799999999998</v>
      </c>
      <c r="AD3898">
        <v>0.1354504</v>
      </c>
      <c r="AE3898">
        <v>-0.175781299999999</v>
      </c>
      <c r="AF3898">
        <v>-0.178883918996362</v>
      </c>
      <c r="AG3898">
        <v>0.1354504</v>
      </c>
      <c r="AH3898">
        <v>3.05692199284973</v>
      </c>
      <c r="AI3898">
        <v>87.467244618320393</v>
      </c>
      <c r="AJ3898">
        <v>93.348995702749903</v>
      </c>
      <c r="AK3898">
        <v>3.0651457286243402</v>
      </c>
      <c r="AL3898">
        <v>77.556715608777793</v>
      </c>
      <c r="AM3898">
        <v>84.908886735770395</v>
      </c>
      <c r="AN3898">
        <v>1.00000000967594</v>
      </c>
    </row>
    <row r="3899" spans="1:40" x14ac:dyDescent="0.25">
      <c r="A3899" t="str">
        <f>"20190303171055183"</f>
        <v>20190303171055183</v>
      </c>
      <c r="B3899" t="str">
        <f>"1551604255174327"</f>
        <v>1551604255174327</v>
      </c>
      <c r="C3899" t="s">
        <v>40</v>
      </c>
      <c r="D3899">
        <v>5.0217609999999997</v>
      </c>
      <c r="E3899">
        <v>0.44701049999999998</v>
      </c>
      <c r="F3899" t="s">
        <v>62</v>
      </c>
      <c r="G3899">
        <v>0</v>
      </c>
      <c r="H3899">
        <v>0</v>
      </c>
      <c r="I3899">
        <v>0</v>
      </c>
      <c r="J3899">
        <v>-347.63459999999998</v>
      </c>
      <c r="K3899">
        <v>1.120932</v>
      </c>
      <c r="L3899">
        <v>141.67089999999999</v>
      </c>
      <c r="M3899">
        <v>-0.99989349999999999</v>
      </c>
      <c r="N3899">
        <v>-1.4561070000000001E-2</v>
      </c>
      <c r="O3899">
        <v>1.1264879999999999E-3</v>
      </c>
      <c r="P3899">
        <v>-0.97550139999999996</v>
      </c>
      <c r="Q3899">
        <v>0.2013482</v>
      </c>
      <c r="R3899">
        <v>8.8634350000000001E-2</v>
      </c>
      <c r="S3899">
        <v>-3.0582889999999998</v>
      </c>
      <c r="T3899">
        <v>0.15920879999999901</v>
      </c>
      <c r="U3899">
        <v>-0.1791382</v>
      </c>
      <c r="V3899">
        <v>8.7543570000000001E-2</v>
      </c>
      <c r="W3899">
        <v>0.21552940000000001</v>
      </c>
      <c r="X3899">
        <v>0.97256520000000002</v>
      </c>
      <c r="Y3899">
        <v>-5.9538779999999999E-2</v>
      </c>
      <c r="Z3899">
        <v>1.1882170000000001E-3</v>
      </c>
      <c r="AA3899">
        <v>0.99822529999999998</v>
      </c>
      <c r="AB3899">
        <v>44</v>
      </c>
      <c r="AC3899">
        <v>-3.0582889999999998</v>
      </c>
      <c r="AD3899">
        <v>0.15920879999999901</v>
      </c>
      <c r="AE3899">
        <v>-0.1791382</v>
      </c>
      <c r="AF3899">
        <v>-0.18209178665290099</v>
      </c>
      <c r="AG3899">
        <v>0.15920879999999901</v>
      </c>
      <c r="AH3899">
        <v>3.0498482644482499</v>
      </c>
      <c r="AI3899">
        <v>87.017048813531403</v>
      </c>
      <c r="AJ3899">
        <v>93.416799598191304</v>
      </c>
      <c r="AK3899">
        <v>3.0594246676330901</v>
      </c>
      <c r="AL3899">
        <v>77.553411276711799</v>
      </c>
      <c r="AM3899">
        <v>84.856493155048597</v>
      </c>
      <c r="AN3899">
        <v>0.99999993358187</v>
      </c>
    </row>
    <row r="3900" spans="1:40" x14ac:dyDescent="0.25">
      <c r="A3900" t="str">
        <f>"20190303171055206"</f>
        <v>20190303171055206</v>
      </c>
      <c r="B3900" t="str">
        <f>"1551604255194823"</f>
        <v>1551604255194823</v>
      </c>
      <c r="C3900" t="s">
        <v>40</v>
      </c>
      <c r="D3900">
        <v>5.1550760000000002</v>
      </c>
      <c r="E3900">
        <v>0.44640730000000001</v>
      </c>
      <c r="F3900" t="s">
        <v>62</v>
      </c>
      <c r="G3900">
        <v>0</v>
      </c>
      <c r="H3900">
        <v>0</v>
      </c>
      <c r="I3900">
        <v>0</v>
      </c>
      <c r="J3900">
        <v>-348.08150000000001</v>
      </c>
      <c r="K3900">
        <v>1.120943</v>
      </c>
      <c r="L3900">
        <v>141.67140000000001</v>
      </c>
      <c r="M3900">
        <v>-0.99989349999999999</v>
      </c>
      <c r="N3900">
        <v>-1.455826E-2</v>
      </c>
      <c r="O3900">
        <v>1.1265089999999999E-3</v>
      </c>
      <c r="P3900">
        <v>-0.97523839999999995</v>
      </c>
      <c r="Q3900">
        <v>0.2023655</v>
      </c>
      <c r="R3900">
        <v>8.9209960000000005E-2</v>
      </c>
      <c r="S3900">
        <v>-3.0546570000000002</v>
      </c>
      <c r="T3900">
        <v>0.17955360000000001</v>
      </c>
      <c r="U3900">
        <v>-0.1803284</v>
      </c>
      <c r="V3900">
        <v>8.8119470000000005E-2</v>
      </c>
      <c r="W3900">
        <v>0.21654019999999999</v>
      </c>
      <c r="X3900">
        <v>0.97228870000000001</v>
      </c>
      <c r="Y3900">
        <v>-5.9975420000000002E-2</v>
      </c>
      <c r="Z3900">
        <v>1.404857E-3</v>
      </c>
      <c r="AA3900">
        <v>0.9981989</v>
      </c>
      <c r="AB3900">
        <v>44</v>
      </c>
      <c r="AC3900">
        <v>-3.0546570000000002</v>
      </c>
      <c r="AD3900">
        <v>0.17955360000000001</v>
      </c>
      <c r="AE3900">
        <v>-0.1803284</v>
      </c>
      <c r="AF3900">
        <v>-0.18313917790953799</v>
      </c>
      <c r="AG3900">
        <v>0.17955360000000001</v>
      </c>
      <c r="AH3900">
        <v>3.0439711335326201</v>
      </c>
      <c r="AI3900">
        <v>86.6303058331644</v>
      </c>
      <c r="AJ3900">
        <v>93.443024929854403</v>
      </c>
      <c r="AK3900">
        <v>3.0547568995810801</v>
      </c>
      <c r="AL3900">
        <v>77.494096946679207</v>
      </c>
      <c r="AM3900">
        <v>84.821375909626198</v>
      </c>
      <c r="AN3900">
        <v>1.0000000076783999</v>
      </c>
    </row>
    <row r="3901" spans="1:40" x14ac:dyDescent="0.25">
      <c r="A3901" t="str">
        <f>"20190303171055229"</f>
        <v>20190303171055229</v>
      </c>
      <c r="B3901" t="str">
        <f>"1551604255225078"</f>
        <v>1551604255225078</v>
      </c>
      <c r="C3901" t="s">
        <v>40</v>
      </c>
      <c r="D3901">
        <v>5.1171850000000001</v>
      </c>
      <c r="E3901">
        <v>0.44573819999999997</v>
      </c>
      <c r="F3901" t="s">
        <v>62</v>
      </c>
      <c r="G3901">
        <v>0</v>
      </c>
      <c r="H3901">
        <v>0</v>
      </c>
      <c r="I3901">
        <v>0</v>
      </c>
      <c r="J3901">
        <v>-348.51780000000002</v>
      </c>
      <c r="K3901">
        <v>1.1209450000000001</v>
      </c>
      <c r="L3901">
        <v>141.67189999999999</v>
      </c>
      <c r="M3901">
        <v>-0.99989349999999999</v>
      </c>
      <c r="N3901">
        <v>-1.4555500000000001E-2</v>
      </c>
      <c r="O3901">
        <v>1.1263499999999999E-3</v>
      </c>
      <c r="P3901">
        <v>-0.97515149999999995</v>
      </c>
      <c r="Q3901">
        <v>0.20283309999999999</v>
      </c>
      <c r="R3901">
        <v>8.9097570000000001E-2</v>
      </c>
      <c r="S3901">
        <v>-3.0552670000000002</v>
      </c>
      <c r="T3901">
        <v>0.1816565</v>
      </c>
      <c r="U3901">
        <v>-0.1831207</v>
      </c>
      <c r="V3901">
        <v>8.8007370000000001E-2</v>
      </c>
      <c r="W3901">
        <v>0.21700340000000001</v>
      </c>
      <c r="X3901">
        <v>0.97219560000000005</v>
      </c>
      <c r="Y3901">
        <v>-6.0869270000000003E-2</v>
      </c>
      <c r="Z3901">
        <v>1.4458419999999999E-3</v>
      </c>
      <c r="AA3901">
        <v>0.9981447</v>
      </c>
      <c r="AB3901">
        <v>44</v>
      </c>
      <c r="AC3901">
        <v>-3.0552670000000002</v>
      </c>
      <c r="AD3901">
        <v>0.1816565</v>
      </c>
      <c r="AE3901">
        <v>-0.1831207</v>
      </c>
      <c r="AF3901">
        <v>-0.18590739657404201</v>
      </c>
      <c r="AG3901">
        <v>0.1816565</v>
      </c>
      <c r="AH3901">
        <v>3.04433522913483</v>
      </c>
      <c r="AI3901">
        <v>86.591525132725195</v>
      </c>
      <c r="AJ3901">
        <v>93.494522576360495</v>
      </c>
      <c r="AK3901">
        <v>3.0554112049680899</v>
      </c>
      <c r="AL3901">
        <v>77.466911393377799</v>
      </c>
      <c r="AM3901">
        <v>84.827435469603003</v>
      </c>
      <c r="AN3901">
        <v>1.0000000287226101</v>
      </c>
    </row>
    <row r="3902" spans="1:40" x14ac:dyDescent="0.25">
      <c r="A3902" t="str">
        <f>"20190303171055252"</f>
        <v>20190303171055252</v>
      </c>
      <c r="B3902" t="str">
        <f>"1551604255244598"</f>
        <v>1551604255244598</v>
      </c>
      <c r="C3902" t="s">
        <v>40</v>
      </c>
      <c r="D3902">
        <v>5.0325089999999904</v>
      </c>
      <c r="E3902">
        <v>0.44513330000000001</v>
      </c>
      <c r="F3902" t="s">
        <v>62</v>
      </c>
      <c r="G3902">
        <v>0</v>
      </c>
      <c r="H3902">
        <v>0</v>
      </c>
      <c r="I3902">
        <v>0</v>
      </c>
      <c r="J3902">
        <v>-348.98989999999998</v>
      </c>
      <c r="K3902">
        <v>1.1209450000000001</v>
      </c>
      <c r="L3902">
        <v>141.67240000000001</v>
      </c>
      <c r="M3902">
        <v>-0.99989349999999999</v>
      </c>
      <c r="N3902">
        <v>-1.455234E-2</v>
      </c>
      <c r="O3902">
        <v>1.126075E-3</v>
      </c>
      <c r="P3902">
        <v>-0.97536089999999998</v>
      </c>
      <c r="Q3902">
        <v>0.20213990000000001</v>
      </c>
      <c r="R3902">
        <v>8.8378940000000003E-2</v>
      </c>
      <c r="S3902">
        <v>-3.055634</v>
      </c>
      <c r="T3902">
        <v>0.1829857</v>
      </c>
      <c r="U3902">
        <v>-0.1889343</v>
      </c>
      <c r="V3902">
        <v>8.7288939999999995E-2</v>
      </c>
      <c r="W3902">
        <v>0.21631020000000001</v>
      </c>
      <c r="X3902">
        <v>0.97241480000000002</v>
      </c>
      <c r="Y3902">
        <v>-6.2749869999999999E-2</v>
      </c>
      <c r="Z3902">
        <v>1.5017299999999999E-3</v>
      </c>
      <c r="AA3902">
        <v>0.99802820000000003</v>
      </c>
      <c r="AB3902">
        <v>44</v>
      </c>
      <c r="AC3902">
        <v>-3.055634</v>
      </c>
      <c r="AD3902">
        <v>0.1829857</v>
      </c>
      <c r="AE3902">
        <v>-0.1889343</v>
      </c>
      <c r="AF3902">
        <v>-0.191690599416073</v>
      </c>
      <c r="AG3902">
        <v>0.1829857</v>
      </c>
      <c r="AH3902">
        <v>3.044542601976</v>
      </c>
      <c r="AI3902">
        <v>86.567278698777002</v>
      </c>
      <c r="AJ3902">
        <v>93.602703292766904</v>
      </c>
      <c r="AK3902">
        <v>3.0560544346519301</v>
      </c>
      <c r="AL3902">
        <v>77.5075948216829</v>
      </c>
      <c r="AM3902">
        <v>84.870584709865398</v>
      </c>
      <c r="AN3902">
        <v>1.0000000024647</v>
      </c>
    </row>
    <row r="3903" spans="1:40" x14ac:dyDescent="0.25">
      <c r="A3903" t="str">
        <f>"20190303171055274"</f>
        <v>20190303171055274</v>
      </c>
      <c r="B3903" t="str">
        <f>"1551604255265096"</f>
        <v>1551604255265096</v>
      </c>
      <c r="C3903" t="s">
        <v>40</v>
      </c>
      <c r="D3903">
        <v>5.1367200000000004</v>
      </c>
      <c r="E3903">
        <v>0.44463720000000001</v>
      </c>
      <c r="F3903" t="s">
        <v>62</v>
      </c>
      <c r="G3903">
        <v>0</v>
      </c>
      <c r="H3903">
        <v>0</v>
      </c>
      <c r="I3903">
        <v>0</v>
      </c>
      <c r="J3903">
        <v>-349.43189999999998</v>
      </c>
      <c r="K3903">
        <v>1.1209439999999999</v>
      </c>
      <c r="L3903">
        <v>141.6729</v>
      </c>
      <c r="M3903">
        <v>-0.99989349999999999</v>
      </c>
      <c r="N3903">
        <v>-1.454944E-2</v>
      </c>
      <c r="O3903">
        <v>1.1259180000000001E-3</v>
      </c>
      <c r="P3903">
        <v>-0.97555979999999998</v>
      </c>
      <c r="Q3903">
        <v>0.20144580000000001</v>
      </c>
      <c r="R3903">
        <v>8.7765949999999995E-2</v>
      </c>
      <c r="S3903">
        <v>-3.0560610000000001</v>
      </c>
      <c r="T3903">
        <v>0.18072060000000001</v>
      </c>
      <c r="U3903">
        <v>-0.19599910000000001</v>
      </c>
      <c r="V3903">
        <v>8.6675760000000004E-2</v>
      </c>
      <c r="W3903">
        <v>0.21561649999999999</v>
      </c>
      <c r="X3903">
        <v>0.97262369999999998</v>
      </c>
      <c r="Y3903">
        <v>-6.5038520000000002E-2</v>
      </c>
      <c r="Z3903">
        <v>1.5282329999999999E-3</v>
      </c>
      <c r="AA3903">
        <v>0.99788160000000004</v>
      </c>
      <c r="AB3903">
        <v>44</v>
      </c>
      <c r="AC3903">
        <v>-3.0560610000000001</v>
      </c>
      <c r="AD3903">
        <v>0.18072060000000001</v>
      </c>
      <c r="AE3903">
        <v>-0.19599910000000001</v>
      </c>
      <c r="AF3903">
        <v>-0.19874804623689399</v>
      </c>
      <c r="AG3903">
        <v>0.18072060000000001</v>
      </c>
      <c r="AH3903">
        <v>3.0452329101848199</v>
      </c>
      <c r="AI3903">
        <v>86.610935154204796</v>
      </c>
      <c r="AJ3903">
        <v>93.734130458073807</v>
      </c>
      <c r="AK3903">
        <v>3.0570580953622799</v>
      </c>
      <c r="AL3903">
        <v>77.548301645272701</v>
      </c>
      <c r="AM3903">
        <v>84.907515426069295</v>
      </c>
      <c r="AN3903">
        <v>1.0000000121227499</v>
      </c>
    </row>
    <row r="3904" spans="1:40" x14ac:dyDescent="0.25">
      <c r="A3904" t="str">
        <f>"20190303171055295"</f>
        <v>20190303171055295</v>
      </c>
      <c r="B3904" t="str">
        <f>"1551604255284615"</f>
        <v>1551604255284615</v>
      </c>
      <c r="C3904" t="s">
        <v>40</v>
      </c>
      <c r="D3904">
        <v>5.1755879999999896</v>
      </c>
      <c r="E3904">
        <v>0.44415650000000001</v>
      </c>
      <c r="F3904" t="s">
        <v>62</v>
      </c>
      <c r="G3904">
        <v>0</v>
      </c>
      <c r="H3904">
        <v>0</v>
      </c>
      <c r="I3904">
        <v>0</v>
      </c>
      <c r="J3904">
        <v>-349.85210000000001</v>
      </c>
      <c r="K3904">
        <v>1.1209439999999999</v>
      </c>
      <c r="L3904">
        <v>141.67339999999999</v>
      </c>
      <c r="M3904">
        <v>-0.99989360000000005</v>
      </c>
      <c r="N3904">
        <v>-1.45469E-2</v>
      </c>
      <c r="O3904">
        <v>1.125579E-3</v>
      </c>
      <c r="P3904">
        <v>-0.975499</v>
      </c>
      <c r="Q3904">
        <v>0.20174310000000001</v>
      </c>
      <c r="R3904">
        <v>8.776043E-2</v>
      </c>
      <c r="S3904">
        <v>-3.0564879999999999</v>
      </c>
      <c r="T3904">
        <v>0.17839929999999901</v>
      </c>
      <c r="U3904">
        <v>-0.2020111</v>
      </c>
      <c r="V3904">
        <v>8.6670689999999995E-2</v>
      </c>
      <c r="W3904">
        <v>0.2159103</v>
      </c>
      <c r="X3904">
        <v>0.97255899999999995</v>
      </c>
      <c r="Y3904">
        <v>-6.6983829999999994E-2</v>
      </c>
      <c r="Z3904">
        <v>1.544892E-3</v>
      </c>
      <c r="AA3904">
        <v>0.9977528</v>
      </c>
      <c r="AB3904">
        <v>44</v>
      </c>
      <c r="AC3904">
        <v>-3.0564879999999999</v>
      </c>
      <c r="AD3904">
        <v>0.17839929999999901</v>
      </c>
      <c r="AE3904">
        <v>-0.2020111</v>
      </c>
      <c r="AF3904">
        <v>-0.20475713107736099</v>
      </c>
      <c r="AG3904">
        <v>0.17839929999999901</v>
      </c>
      <c r="AH3904">
        <v>3.0459270634082798</v>
      </c>
      <c r="AI3904">
        <v>86.655558774356294</v>
      </c>
      <c r="AJ3904">
        <v>93.845822702169102</v>
      </c>
      <c r="AK3904">
        <v>3.0580097234264199</v>
      </c>
      <c r="AL3904">
        <v>77.531062398226993</v>
      </c>
      <c r="AM3904">
        <v>84.907474759723598</v>
      </c>
      <c r="AN3904">
        <v>1.00000003731608</v>
      </c>
    </row>
    <row r="3905" spans="1:40" x14ac:dyDescent="0.25">
      <c r="A3905" t="str">
        <f>"20190303171055318"</f>
        <v>20190303171055318</v>
      </c>
      <c r="B3905" t="str">
        <f>"1551604255314871"</f>
        <v>1551604255314871</v>
      </c>
      <c r="C3905" t="s">
        <v>40</v>
      </c>
      <c r="D3905">
        <v>5.0707509999999996</v>
      </c>
      <c r="E3905">
        <v>0.44366709999999898</v>
      </c>
      <c r="F3905" t="s">
        <v>62</v>
      </c>
      <c r="G3905">
        <v>0</v>
      </c>
      <c r="H3905">
        <v>0</v>
      </c>
      <c r="I3905">
        <v>0</v>
      </c>
      <c r="J3905">
        <v>-350.28129999999999</v>
      </c>
      <c r="K3905">
        <v>1.120954</v>
      </c>
      <c r="L3905">
        <v>141.6739</v>
      </c>
      <c r="M3905">
        <v>-0.9998937</v>
      </c>
      <c r="N3905">
        <v>-1.4544410000000001E-2</v>
      </c>
      <c r="O3905">
        <v>1.125418E-3</v>
      </c>
      <c r="P3905">
        <v>-0.97522940000000002</v>
      </c>
      <c r="Q3905">
        <v>0.20308909999999999</v>
      </c>
      <c r="R3905">
        <v>8.7650510000000001E-2</v>
      </c>
      <c r="S3905">
        <v>-3.0566710000000001</v>
      </c>
      <c r="T3905">
        <v>0.17982860000000001</v>
      </c>
      <c r="U3905">
        <v>-0.20573430000000001</v>
      </c>
      <c r="V3905">
        <v>8.6561139999999995E-2</v>
      </c>
      <c r="W3905">
        <v>0.21724959999999999</v>
      </c>
      <c r="X3905">
        <v>0.97227039999999998</v>
      </c>
      <c r="Y3905">
        <v>-6.8186430000000006E-2</v>
      </c>
      <c r="Z3905">
        <v>1.5874039999999999E-3</v>
      </c>
      <c r="AA3905">
        <v>0.99767130000000004</v>
      </c>
      <c r="AB3905">
        <v>44</v>
      </c>
      <c r="AC3905">
        <v>-3.0566710000000001</v>
      </c>
      <c r="AD3905">
        <v>0.17982860000000001</v>
      </c>
      <c r="AE3905">
        <v>-0.20573430000000001</v>
      </c>
      <c r="AF3905">
        <v>-0.20845632144489901</v>
      </c>
      <c r="AG3905">
        <v>0.17982860000000001</v>
      </c>
      <c r="AH3905">
        <v>3.0459425890077698</v>
      </c>
      <c r="AI3905">
        <v>86.629118177788897</v>
      </c>
      <c r="AJ3905">
        <v>93.915068179768298</v>
      </c>
      <c r="AK3905">
        <v>3.0583588113332398</v>
      </c>
      <c r="AL3905">
        <v>77.4524597402132</v>
      </c>
      <c r="AM3905">
        <v>84.912376029018304</v>
      </c>
      <c r="AN3905">
        <v>0.99999997518720896</v>
      </c>
    </row>
    <row r="3906" spans="1:40" x14ac:dyDescent="0.25">
      <c r="A3906" t="str">
        <f>"20190303171055340"</f>
        <v>20190303171055340</v>
      </c>
      <c r="B3906" t="str">
        <f>"1551604255335367"</f>
        <v>1551604255335367</v>
      </c>
      <c r="C3906" t="s">
        <v>40</v>
      </c>
      <c r="D3906">
        <v>5.0684909999999999</v>
      </c>
      <c r="E3906">
        <v>0.44329249999999998</v>
      </c>
      <c r="F3906" t="s">
        <v>62</v>
      </c>
      <c r="G3906">
        <v>0</v>
      </c>
      <c r="H3906">
        <v>0</v>
      </c>
      <c r="I3906">
        <v>0</v>
      </c>
      <c r="J3906">
        <v>-350.73090000000002</v>
      </c>
      <c r="K3906">
        <v>1.120962</v>
      </c>
      <c r="L3906">
        <v>141.67439999999999</v>
      </c>
      <c r="M3906">
        <v>-0.9998937</v>
      </c>
      <c r="N3906">
        <v>-1.4541750000000001E-2</v>
      </c>
      <c r="O3906">
        <v>1.125139E-3</v>
      </c>
      <c r="P3906">
        <v>-0.97483280000000005</v>
      </c>
      <c r="Q3906">
        <v>0.20484330000000001</v>
      </c>
      <c r="R3906">
        <v>8.7979119999999994E-2</v>
      </c>
      <c r="S3906">
        <v>-3.0556030000000001</v>
      </c>
      <c r="T3906">
        <v>0.18936729999999999</v>
      </c>
      <c r="U3906">
        <v>-0.2094269</v>
      </c>
      <c r="V3906">
        <v>8.6890590000000004E-2</v>
      </c>
      <c r="W3906">
        <v>0.2189951</v>
      </c>
      <c r="X3906">
        <v>0.97184930000000003</v>
      </c>
      <c r="Y3906">
        <v>-6.9396260000000001E-2</v>
      </c>
      <c r="Z3906">
        <v>1.7261519999999999E-3</v>
      </c>
      <c r="AA3906">
        <v>0.99758769999999997</v>
      </c>
      <c r="AB3906">
        <v>44</v>
      </c>
      <c r="AC3906">
        <v>-3.0556030000000001</v>
      </c>
      <c r="AD3906">
        <v>0.18936729999999999</v>
      </c>
      <c r="AE3906">
        <v>-0.2094269</v>
      </c>
      <c r="AF3906">
        <v>-0.21205446850589199</v>
      </c>
      <c r="AG3906">
        <v>0.18936729999999999</v>
      </c>
      <c r="AH3906">
        <v>3.04372985716026</v>
      </c>
      <c r="AI3906">
        <v>86.448487422912606</v>
      </c>
      <c r="AJ3906">
        <v>93.985316059237604</v>
      </c>
      <c r="AK3906">
        <v>3.0569786579712002</v>
      </c>
      <c r="AL3906">
        <v>77.349982046408897</v>
      </c>
      <c r="AM3906">
        <v>84.890913739260796</v>
      </c>
      <c r="AN3906">
        <v>0.999999945182522</v>
      </c>
    </row>
    <row r="3907" spans="1:40" x14ac:dyDescent="0.25">
      <c r="A3907" t="str">
        <f>"20190303171055362"</f>
        <v>20190303171055362</v>
      </c>
      <c r="B3907" t="str">
        <f>"1551604255354887"</f>
        <v>1551604255354887</v>
      </c>
      <c r="C3907" t="s">
        <v>40</v>
      </c>
      <c r="D3907">
        <v>5.0807190000000002</v>
      </c>
      <c r="E3907">
        <v>0.44307869999999999</v>
      </c>
      <c r="F3907" t="s">
        <v>62</v>
      </c>
      <c r="G3907">
        <v>0</v>
      </c>
      <c r="H3907">
        <v>0</v>
      </c>
      <c r="I3907">
        <v>0</v>
      </c>
      <c r="J3907">
        <v>-351.1848</v>
      </c>
      <c r="K3907">
        <v>1.1209639999999901</v>
      </c>
      <c r="L3907">
        <v>141.67490000000001</v>
      </c>
      <c r="M3907">
        <v>-0.9998937</v>
      </c>
      <c r="N3907">
        <v>-1.453903E-2</v>
      </c>
      <c r="O3907">
        <v>1.125158E-3</v>
      </c>
      <c r="P3907">
        <v>-0.97485049999999995</v>
      </c>
      <c r="Q3907">
        <v>0.20475479999999999</v>
      </c>
      <c r="R3907">
        <v>8.798831E-2</v>
      </c>
      <c r="S3907">
        <v>-3.0555729999999999</v>
      </c>
      <c r="T3907">
        <v>0.195134</v>
      </c>
      <c r="U3907">
        <v>-0.211731</v>
      </c>
      <c r="V3907">
        <v>8.6899790000000005E-2</v>
      </c>
      <c r="W3907">
        <v>0.21890490000000001</v>
      </c>
      <c r="X3907">
        <v>0.97186890000000004</v>
      </c>
      <c r="Y3907">
        <v>-7.0137069999999996E-2</v>
      </c>
      <c r="Z3907">
        <v>1.8117039999999999E-3</v>
      </c>
      <c r="AA3907">
        <v>0.99753570000000003</v>
      </c>
      <c r="AB3907">
        <v>44</v>
      </c>
      <c r="AC3907">
        <v>-3.0555729999999999</v>
      </c>
      <c r="AD3907">
        <v>0.195134</v>
      </c>
      <c r="AE3907">
        <v>-0.211731</v>
      </c>
      <c r="AF3907">
        <v>-0.21429942793272599</v>
      </c>
      <c r="AG3907">
        <v>0.195134</v>
      </c>
      <c r="AH3907">
        <v>3.0429818803991502</v>
      </c>
      <c r="AI3907">
        <v>86.339919704140797</v>
      </c>
      <c r="AJ3907">
        <v>94.028356021637805</v>
      </c>
      <c r="AK3907">
        <v>3.0567532198733098</v>
      </c>
      <c r="AL3907">
        <v>77.355279909406704</v>
      </c>
      <c r="AM3907">
        <v>84.890478153204995</v>
      </c>
      <c r="AN3907">
        <v>1.0000000437666301</v>
      </c>
    </row>
    <row r="3908" spans="1:40" x14ac:dyDescent="0.25">
      <c r="A3908" t="str">
        <f>"20190303171055384"</f>
        <v>20190303171055384</v>
      </c>
      <c r="B3908" t="str">
        <f>"1551604255374407"</f>
        <v>1551604255374407</v>
      </c>
      <c r="C3908" t="s">
        <v>40</v>
      </c>
      <c r="D3908">
        <v>5.1943460000000004</v>
      </c>
      <c r="E3908">
        <v>0.44267570000000001</v>
      </c>
      <c r="F3908" t="s">
        <v>62</v>
      </c>
      <c r="G3908">
        <v>0</v>
      </c>
      <c r="H3908">
        <v>0</v>
      </c>
      <c r="I3908">
        <v>0</v>
      </c>
      <c r="J3908">
        <v>-351.6071</v>
      </c>
      <c r="K3908">
        <v>1.1209639999999901</v>
      </c>
      <c r="L3908">
        <v>141.6754</v>
      </c>
      <c r="M3908">
        <v>-0.99989380000000005</v>
      </c>
      <c r="N3908">
        <v>-1.4536429999999999E-2</v>
      </c>
      <c r="O3908">
        <v>1.1249980000000001E-3</v>
      </c>
      <c r="P3908">
        <v>-0.97502849999999996</v>
      </c>
      <c r="Q3908">
        <v>0.20394019999999999</v>
      </c>
      <c r="R3908">
        <v>8.7910000000000002E-2</v>
      </c>
      <c r="S3908">
        <v>-3.0536500000000002</v>
      </c>
      <c r="T3908">
        <v>0.20443839999999999</v>
      </c>
      <c r="U3908">
        <v>-0.2127838</v>
      </c>
      <c r="V3908">
        <v>8.6821410000000002E-2</v>
      </c>
      <c r="W3908">
        <v>0.2180906</v>
      </c>
      <c r="X3908">
        <v>0.97205889999999995</v>
      </c>
      <c r="Y3908">
        <v>-7.050911E-2</v>
      </c>
      <c r="Z3908">
        <v>1.932656E-3</v>
      </c>
      <c r="AA3908">
        <v>0.99750919999999998</v>
      </c>
      <c r="AB3908">
        <v>44</v>
      </c>
      <c r="AC3908">
        <v>-3.0536500000000002</v>
      </c>
      <c r="AD3908">
        <v>0.20443839999999999</v>
      </c>
      <c r="AE3908">
        <v>-0.2127838</v>
      </c>
      <c r="AF3908">
        <v>-0.21525921608444401</v>
      </c>
      <c r="AG3908">
        <v>0.20443839999999999</v>
      </c>
      <c r="AH3908">
        <v>3.03984943558007</v>
      </c>
      <c r="AI3908">
        <v>86.162073436917495</v>
      </c>
      <c r="AJ3908">
        <v>94.050493843774007</v>
      </c>
      <c r="AK3908">
        <v>3.0543110811605798</v>
      </c>
      <c r="AL3908">
        <v>77.403090363387605</v>
      </c>
      <c r="AM3908">
        <v>84.896054914900404</v>
      </c>
      <c r="AN3908">
        <v>0.99999998605597795</v>
      </c>
    </row>
    <row r="3909" spans="1:40" x14ac:dyDescent="0.25">
      <c r="A3909" t="str">
        <f>"20190303171055406"</f>
        <v>20190303171055406</v>
      </c>
      <c r="B3909" t="str">
        <f>"1551604255394903"</f>
        <v>1551604255394903</v>
      </c>
      <c r="C3909" t="s">
        <v>40</v>
      </c>
      <c r="D3909">
        <v>5.132053</v>
      </c>
      <c r="E3909">
        <v>0.44238899999999998</v>
      </c>
      <c r="F3909" t="s">
        <v>62</v>
      </c>
      <c r="G3909">
        <v>0</v>
      </c>
      <c r="H3909">
        <v>0</v>
      </c>
      <c r="I3909">
        <v>0</v>
      </c>
      <c r="J3909">
        <v>-352.04390000000001</v>
      </c>
      <c r="K3909">
        <v>1.1209610000000001</v>
      </c>
      <c r="L3909">
        <v>141.67590000000001</v>
      </c>
      <c r="M3909">
        <v>-0.9998939</v>
      </c>
      <c r="N3909">
        <v>-1.4533620000000001E-2</v>
      </c>
      <c r="O3909">
        <v>1.1246610000000001E-3</v>
      </c>
      <c r="P3909">
        <v>-0.97498070000000003</v>
      </c>
      <c r="Q3909">
        <v>0.2041104</v>
      </c>
      <c r="R3909">
        <v>8.8045079999999998E-2</v>
      </c>
      <c r="S3909">
        <v>-3.0563959999999999</v>
      </c>
      <c r="T3909">
        <v>0.1910828</v>
      </c>
      <c r="U3909">
        <v>-0.2167664</v>
      </c>
      <c r="V3909">
        <v>8.6956779999999997E-2</v>
      </c>
      <c r="W3909">
        <v>0.21825720000000001</v>
      </c>
      <c r="X3909">
        <v>0.97200940000000002</v>
      </c>
      <c r="Y3909">
        <v>-7.1756280000000006E-2</v>
      </c>
      <c r="Z3909">
        <v>1.80203E-3</v>
      </c>
      <c r="AA3909">
        <v>0.99742050000000004</v>
      </c>
      <c r="AB3909">
        <v>44</v>
      </c>
      <c r="AC3909">
        <v>-3.0563959999999999</v>
      </c>
      <c r="AD3909">
        <v>0.1910828</v>
      </c>
      <c r="AE3909">
        <v>-0.2167664</v>
      </c>
      <c r="AF3909">
        <v>-0.219350965191528</v>
      </c>
      <c r="AG3909">
        <v>0.1910828</v>
      </c>
      <c r="AH3909">
        <v>3.04431073703662</v>
      </c>
      <c r="AI3909">
        <v>86.417679827398999</v>
      </c>
      <c r="AJ3909">
        <v>94.121196546550706</v>
      </c>
      <c r="AK3909">
        <v>3.0581784359358002</v>
      </c>
      <c r="AL3909">
        <v>77.393309185081506</v>
      </c>
      <c r="AM3909">
        <v>84.8878801440177</v>
      </c>
      <c r="AN3909">
        <v>0.99999998031408399</v>
      </c>
    </row>
    <row r="3910" spans="1:40" x14ac:dyDescent="0.25">
      <c r="A3910" t="str">
        <f>"20190303171055430"</f>
        <v>20190303171055430</v>
      </c>
      <c r="B3910" t="str">
        <f>"1551604255414423"</f>
        <v>1551604255414423</v>
      </c>
      <c r="C3910" t="s">
        <v>40</v>
      </c>
      <c r="D3910">
        <v>5.1968030000000001</v>
      </c>
      <c r="E3910">
        <v>0.44205329999999898</v>
      </c>
      <c r="F3910" t="s">
        <v>62</v>
      </c>
      <c r="G3910">
        <v>0</v>
      </c>
      <c r="H3910">
        <v>0</v>
      </c>
      <c r="I3910">
        <v>0</v>
      </c>
      <c r="J3910">
        <v>-352.49799999999999</v>
      </c>
      <c r="K3910">
        <v>1.1209639999999901</v>
      </c>
      <c r="L3910">
        <v>141.6764</v>
      </c>
      <c r="M3910">
        <v>-0.9998937</v>
      </c>
      <c r="N3910">
        <v>-1.453073E-2</v>
      </c>
      <c r="O3910">
        <v>1.124503E-3</v>
      </c>
      <c r="P3910">
        <v>-0.9747711</v>
      </c>
      <c r="Q3910">
        <v>0.20509810000000001</v>
      </c>
      <c r="R3910">
        <v>8.8068069999999998E-2</v>
      </c>
      <c r="S3910">
        <v>-3.0567929999999999</v>
      </c>
      <c r="T3910">
        <v>0.19082740000000001</v>
      </c>
      <c r="U3910">
        <v>-0.2185059</v>
      </c>
      <c r="V3910">
        <v>8.6980150000000006E-2</v>
      </c>
      <c r="W3910">
        <v>0.2192384</v>
      </c>
      <c r="X3910">
        <v>0.9717865</v>
      </c>
      <c r="Y3910">
        <v>-7.2311249999999994E-2</v>
      </c>
      <c r="Z3910">
        <v>1.811928E-3</v>
      </c>
      <c r="AA3910">
        <v>0.9973805</v>
      </c>
      <c r="AB3910">
        <v>44</v>
      </c>
      <c r="AC3910">
        <v>-3.0567929999999999</v>
      </c>
      <c r="AD3910">
        <v>0.19082740000000001</v>
      </c>
      <c r="AE3910">
        <v>-0.2185059</v>
      </c>
      <c r="AF3910">
        <v>-0.22108626727867101</v>
      </c>
      <c r="AG3910">
        <v>0.19082740000000001</v>
      </c>
      <c r="AH3910">
        <v>3.0447397830168401</v>
      </c>
      <c r="AI3910">
        <v>86.423102010828501</v>
      </c>
      <c r="AJ3910">
        <v>94.1531027135469</v>
      </c>
      <c r="AK3910">
        <v>3.0587145307229</v>
      </c>
      <c r="AL3910">
        <v>77.335695643533597</v>
      </c>
      <c r="AM3910">
        <v>84.885346856120705</v>
      </c>
      <c r="AN3910">
        <v>1.00000001205541</v>
      </c>
    </row>
    <row r="3911" spans="1:40" x14ac:dyDescent="0.25">
      <c r="A3911" t="str">
        <f>"20190303171055453"</f>
        <v>20190303171055453</v>
      </c>
      <c r="B3911" t="str">
        <f>"1551604255444679"</f>
        <v>1551604255444679</v>
      </c>
      <c r="C3911" t="s">
        <v>40</v>
      </c>
      <c r="D3911">
        <v>5.2013669999999896</v>
      </c>
      <c r="E3911">
        <v>0.44163279999999999</v>
      </c>
      <c r="F3911" t="s">
        <v>62</v>
      </c>
      <c r="G3911">
        <v>0</v>
      </c>
      <c r="H3911">
        <v>0</v>
      </c>
      <c r="I3911">
        <v>0</v>
      </c>
      <c r="J3911">
        <v>-352.96469999999999</v>
      </c>
      <c r="K3911">
        <v>1.1209709999999999</v>
      </c>
      <c r="L3911">
        <v>141.67689999999999</v>
      </c>
      <c r="M3911">
        <v>-0.99989399999999995</v>
      </c>
      <c r="N3911">
        <v>-1.452783E-2</v>
      </c>
      <c r="O3911">
        <v>1.1242260000000001E-3</v>
      </c>
      <c r="P3911">
        <v>-0.97461200000000003</v>
      </c>
      <c r="Q3911">
        <v>0.20579520000000001</v>
      </c>
      <c r="R3911">
        <v>8.8204260000000007E-2</v>
      </c>
      <c r="S3911">
        <v>-3.0587460000000002</v>
      </c>
      <c r="T3911">
        <v>0.18496190000000001</v>
      </c>
      <c r="U3911">
        <v>-0.22196959999999999</v>
      </c>
      <c r="V3911">
        <v>8.7116780000000005E-2</v>
      </c>
      <c r="W3911">
        <v>0.21993070000000001</v>
      </c>
      <c r="X3911">
        <v>0.97161779999999998</v>
      </c>
      <c r="Y3911">
        <v>-7.3395539999999995E-2</v>
      </c>
      <c r="Z3911">
        <v>1.7640710000000001E-3</v>
      </c>
      <c r="AA3911">
        <v>0.99730129999999995</v>
      </c>
      <c r="AB3911">
        <v>44</v>
      </c>
      <c r="AC3911">
        <v>-3.0587460000000002</v>
      </c>
      <c r="AD3911">
        <v>0.18496190000000001</v>
      </c>
      <c r="AE3911">
        <v>-0.22196959999999999</v>
      </c>
      <c r="AF3911">
        <v>-0.22459160387218599</v>
      </c>
      <c r="AG3911">
        <v>0.18496190000000001</v>
      </c>
      <c r="AH3911">
        <v>3.0474097061344101</v>
      </c>
      <c r="AI3911">
        <v>86.536076968714696</v>
      </c>
      <c r="AJ3911">
        <v>94.215031716402706</v>
      </c>
      <c r="AK3911">
        <v>3.0612674189008202</v>
      </c>
      <c r="AL3911">
        <v>77.295037264434598</v>
      </c>
      <c r="AM3911">
        <v>84.876470678477503</v>
      </c>
      <c r="AN3911">
        <v>0.99999999771844905</v>
      </c>
    </row>
    <row r="3912" spans="1:40" x14ac:dyDescent="0.25">
      <c r="A3912" t="str">
        <f>"20190303171055474"</f>
        <v>20190303171055474</v>
      </c>
      <c r="B3912" t="str">
        <f>"1551604255465175"</f>
        <v>1551604255465175</v>
      </c>
      <c r="C3912" t="s">
        <v>40</v>
      </c>
      <c r="D3912">
        <v>5.2266469999999998</v>
      </c>
      <c r="E3912">
        <v>0.44138509999999997</v>
      </c>
      <c r="F3912" t="s">
        <v>62</v>
      </c>
      <c r="G3912">
        <v>0</v>
      </c>
      <c r="H3912">
        <v>0</v>
      </c>
      <c r="I3912">
        <v>0</v>
      </c>
      <c r="J3912">
        <v>-353.38560000000001</v>
      </c>
      <c r="K3912">
        <v>1.1209720000000001</v>
      </c>
      <c r="L3912">
        <v>141.67740000000001</v>
      </c>
      <c r="M3912">
        <v>-0.99989399999999995</v>
      </c>
      <c r="N3912">
        <v>-1.452524E-2</v>
      </c>
      <c r="O3912">
        <v>1.1240670000000001E-3</v>
      </c>
      <c r="P3912">
        <v>-0.97475769999999995</v>
      </c>
      <c r="Q3912">
        <v>0.20512549999999999</v>
      </c>
      <c r="R3912">
        <v>8.8154410000000002E-2</v>
      </c>
      <c r="S3912">
        <v>-3.0616759999999998</v>
      </c>
      <c r="T3912">
        <v>0.17496159999999999</v>
      </c>
      <c r="U3912">
        <v>-0.22570799999999999</v>
      </c>
      <c r="V3912">
        <v>8.7067019999999995E-2</v>
      </c>
      <c r="W3912">
        <v>0.21926029999999999</v>
      </c>
      <c r="X3912">
        <v>0.97177369999999996</v>
      </c>
      <c r="Y3912">
        <v>-7.454906E-2</v>
      </c>
      <c r="Z3912">
        <v>1.663341E-3</v>
      </c>
      <c r="AA3912">
        <v>0.99721599999999999</v>
      </c>
      <c r="AB3912">
        <v>44</v>
      </c>
      <c r="AC3912">
        <v>-3.0616759999999998</v>
      </c>
      <c r="AD3912">
        <v>0.17496159999999999</v>
      </c>
      <c r="AE3912">
        <v>-0.22570799999999999</v>
      </c>
      <c r="AF3912">
        <v>-0.228407885083032</v>
      </c>
      <c r="AG3912">
        <v>0.17496159999999999</v>
      </c>
      <c r="AH3912">
        <v>3.0515090915648999</v>
      </c>
      <c r="AI3912">
        <v>86.7276110331442</v>
      </c>
      <c r="AJ3912">
        <v>94.280652303390099</v>
      </c>
      <c r="AK3912">
        <v>3.06504314151463</v>
      </c>
      <c r="AL3912">
        <v>77.3344085767434</v>
      </c>
      <c r="AM3912">
        <v>84.880198736525003</v>
      </c>
      <c r="AN3912">
        <v>0.99999993456972802</v>
      </c>
    </row>
    <row r="3913" spans="1:40" x14ac:dyDescent="0.25">
      <c r="A3913" t="str">
        <f>"20190303171055496"</f>
        <v>20190303171055496</v>
      </c>
      <c r="B3913" t="str">
        <f>"1551604255484696"</f>
        <v>1551604255484696</v>
      </c>
      <c r="C3913" t="s">
        <v>40</v>
      </c>
      <c r="D3913">
        <v>5.1232559999999996</v>
      </c>
      <c r="E3913">
        <v>0.44118780000000002</v>
      </c>
      <c r="F3913" t="s">
        <v>46</v>
      </c>
      <c r="G3913">
        <v>-498.34379999999999</v>
      </c>
      <c r="H3913">
        <v>8.9359000000000002</v>
      </c>
      <c r="I3913">
        <v>130.88399999999999</v>
      </c>
      <c r="J3913">
        <v>-353.80040000000002</v>
      </c>
      <c r="K3913">
        <v>1.1209690000000001</v>
      </c>
      <c r="L3913">
        <v>141.67779999999999</v>
      </c>
      <c r="M3913">
        <v>-0.9998939</v>
      </c>
      <c r="N3913">
        <v>-1.452265E-2</v>
      </c>
      <c r="O3913">
        <v>1.123906E-3</v>
      </c>
      <c r="P3913">
        <v>-0.97497529999999999</v>
      </c>
      <c r="Q3913">
        <v>0.2042716</v>
      </c>
      <c r="R3913">
        <v>8.7729619999999994E-2</v>
      </c>
      <c r="S3913">
        <v>-3.0635379999999999</v>
      </c>
      <c r="T3913">
        <v>0.1651608</v>
      </c>
      <c r="U3913">
        <v>-0.22810359999999999</v>
      </c>
      <c r="V3913">
        <v>8.6642120000000003E-2</v>
      </c>
      <c r="W3913">
        <v>0.2184075</v>
      </c>
      <c r="X3913">
        <v>0.97200379999999997</v>
      </c>
      <c r="Y3913">
        <v>-7.529102E-2</v>
      </c>
      <c r="Z3913">
        <v>1.5542329999999999E-3</v>
      </c>
      <c r="AA3913">
        <v>0.99716039999999995</v>
      </c>
      <c r="AB3913">
        <v>44</v>
      </c>
      <c r="AC3913">
        <v>-144.543399999999</v>
      </c>
      <c r="AD3913">
        <v>7.8149309999999996</v>
      </c>
      <c r="AE3913">
        <v>-10.793799999999999</v>
      </c>
      <c r="AF3913">
        <v>-10.9245064341301</v>
      </c>
      <c r="AG3913">
        <v>7.8149309999999996</v>
      </c>
      <c r="AH3913">
        <v>144.11224799562399</v>
      </c>
      <c r="AI3913">
        <v>86.904862928956803</v>
      </c>
      <c r="AJ3913">
        <v>94.335046303079494</v>
      </c>
      <c r="AK3913">
        <v>144.73685781346899</v>
      </c>
      <c r="AL3913">
        <v>77.384485501551794</v>
      </c>
      <c r="AM3913">
        <v>84.906252071226504</v>
      </c>
      <c r="AN3913">
        <v>1.00000004011439</v>
      </c>
    </row>
    <row r="3914" spans="1:40" x14ac:dyDescent="0.25">
      <c r="A3914" t="str">
        <f>"20190303171055518"</f>
        <v>20190303171055518</v>
      </c>
      <c r="B3914" t="str">
        <f>"1551604255505191"</f>
        <v>1551604255505191</v>
      </c>
      <c r="C3914" t="s">
        <v>40</v>
      </c>
      <c r="D3914">
        <v>5.2373659999999997</v>
      </c>
      <c r="E3914">
        <v>0.44096259999999998</v>
      </c>
      <c r="F3914" t="s">
        <v>62</v>
      </c>
      <c r="G3914">
        <v>0</v>
      </c>
      <c r="H3914">
        <v>0</v>
      </c>
      <c r="I3914">
        <v>0</v>
      </c>
      <c r="J3914">
        <v>-354.23869999999999</v>
      </c>
      <c r="K3914">
        <v>1.120965</v>
      </c>
      <c r="L3914">
        <v>141.67830000000001</v>
      </c>
      <c r="M3914">
        <v>-0.99989399999999995</v>
      </c>
      <c r="N3914">
        <v>-1.451991E-2</v>
      </c>
      <c r="O3914">
        <v>1.123747E-3</v>
      </c>
      <c r="P3914">
        <v>-0.97504360000000001</v>
      </c>
      <c r="Q3914">
        <v>0.20373530000000001</v>
      </c>
      <c r="R3914">
        <v>8.8215109999999999E-2</v>
      </c>
      <c r="S3914">
        <v>-3.0635379999999999</v>
      </c>
      <c r="T3914">
        <v>0.16342970000000001</v>
      </c>
      <c r="U3914">
        <v>-0.23100280000000001</v>
      </c>
      <c r="V3914">
        <v>8.7127570000000001E-2</v>
      </c>
      <c r="W3914">
        <v>0.21786949999999999</v>
      </c>
      <c r="X3914">
        <v>0.97208110000000003</v>
      </c>
      <c r="Y3914">
        <v>-7.6230259999999994E-2</v>
      </c>
      <c r="Z3914">
        <v>1.550575E-3</v>
      </c>
      <c r="AA3914">
        <v>0.997089</v>
      </c>
      <c r="AB3914">
        <v>44</v>
      </c>
      <c r="AC3914">
        <v>-3.0635379999999999</v>
      </c>
      <c r="AD3914">
        <v>0.16342970000000001</v>
      </c>
      <c r="AE3914">
        <v>-0.23100280000000001</v>
      </c>
      <c r="AF3914">
        <v>-0.23378410027257099</v>
      </c>
      <c r="AG3914">
        <v>0.16342970000000001</v>
      </c>
      <c r="AH3914">
        <v>3.0546325022187499</v>
      </c>
      <c r="AI3914">
        <v>86.946380281247698</v>
      </c>
      <c r="AJ3914">
        <v>94.376559332256207</v>
      </c>
      <c r="AK3914">
        <v>3.0679217714918301</v>
      </c>
      <c r="AL3914">
        <v>77.416070755229498</v>
      </c>
      <c r="AM3914">
        <v>84.8782686879414</v>
      </c>
      <c r="AN3914">
        <v>0.99999999873078205</v>
      </c>
    </row>
    <row r="3915" spans="1:40" x14ac:dyDescent="0.25">
      <c r="A3915" t="str">
        <f>"20190303171055541"</f>
        <v>20190303171055541</v>
      </c>
      <c r="B3915" t="str">
        <f>"1551604255534470"</f>
        <v>1551604255534470</v>
      </c>
      <c r="C3915" t="s">
        <v>40</v>
      </c>
      <c r="D3915">
        <v>4.8249940000000002</v>
      </c>
      <c r="E3915">
        <v>0.46722570000000002</v>
      </c>
      <c r="F3915" t="s">
        <v>62</v>
      </c>
      <c r="G3915">
        <v>0</v>
      </c>
      <c r="H3915">
        <v>0</v>
      </c>
      <c r="I3915">
        <v>0</v>
      </c>
      <c r="J3915">
        <v>-354.68979999999999</v>
      </c>
      <c r="K3915">
        <v>1.1209629999999999</v>
      </c>
      <c r="L3915">
        <v>141.6788</v>
      </c>
      <c r="M3915">
        <v>-0.99989399999999995</v>
      </c>
      <c r="N3915">
        <v>-1.451707E-2</v>
      </c>
      <c r="O3915">
        <v>1.123649E-3</v>
      </c>
      <c r="P3915">
        <v>-0.97485739999999999</v>
      </c>
      <c r="Q3915">
        <v>0.20462630000000001</v>
      </c>
      <c r="R3915">
        <v>8.8211360000000003E-2</v>
      </c>
      <c r="S3915">
        <v>-3.0654300000000001</v>
      </c>
      <c r="T3915">
        <v>0.1547424</v>
      </c>
      <c r="U3915">
        <v>-0.23164370000000001</v>
      </c>
      <c r="V3915">
        <v>8.7124209999999994E-2</v>
      </c>
      <c r="W3915">
        <v>0.21875500000000001</v>
      </c>
      <c r="X3915">
        <v>0.97188249999999998</v>
      </c>
      <c r="Y3915">
        <v>-7.6401029999999995E-2</v>
      </c>
      <c r="Z3915">
        <v>1.4416450000000001E-3</v>
      </c>
      <c r="AA3915">
        <v>0.99707619999999997</v>
      </c>
      <c r="AB3915">
        <v>44</v>
      </c>
      <c r="AC3915">
        <v>-3.0654300000000001</v>
      </c>
      <c r="AD3915">
        <v>0.1547424</v>
      </c>
      <c r="AE3915">
        <v>-0.23164370000000001</v>
      </c>
      <c r="AF3915">
        <v>-0.23449423539811701</v>
      </c>
      <c r="AG3915">
        <v>0.1547424</v>
      </c>
      <c r="AH3915">
        <v>3.0574210246110001</v>
      </c>
      <c r="AI3915">
        <v>87.111084371723507</v>
      </c>
      <c r="AJ3915">
        <v>94.385813451231797</v>
      </c>
      <c r="AK3915">
        <v>3.0703022780381199</v>
      </c>
      <c r="AL3915">
        <v>77.364081136337305</v>
      </c>
      <c r="AM3915">
        <v>84.877424156680902</v>
      </c>
      <c r="AN3915">
        <v>0.99999998589968697</v>
      </c>
    </row>
    <row r="3916" spans="1:40" x14ac:dyDescent="0.25">
      <c r="A3916" t="str">
        <f>"20190303171055563"</f>
        <v>20190303171055563</v>
      </c>
      <c r="B3916" t="str">
        <f>"1551604255554967"</f>
        <v>1551604255554967</v>
      </c>
      <c r="C3916" t="s">
        <v>40</v>
      </c>
      <c r="D3916">
        <v>5.051164</v>
      </c>
      <c r="E3916">
        <v>0.480354</v>
      </c>
      <c r="F3916" t="s">
        <v>62</v>
      </c>
      <c r="G3916">
        <v>0</v>
      </c>
      <c r="H3916">
        <v>0</v>
      </c>
      <c r="I3916">
        <v>0</v>
      </c>
      <c r="J3916">
        <v>-355.13869999999997</v>
      </c>
      <c r="K3916">
        <v>1.120968</v>
      </c>
      <c r="L3916">
        <v>141.67939999999999</v>
      </c>
      <c r="M3916">
        <v>-0.99989399999999995</v>
      </c>
      <c r="N3916">
        <v>-1.4514229999999999E-2</v>
      </c>
      <c r="O3916">
        <v>1.1233110000000001E-3</v>
      </c>
      <c r="P3916">
        <v>-0.97469380000000005</v>
      </c>
      <c r="Q3916">
        <v>0.20554159999999999</v>
      </c>
      <c r="R3916">
        <v>8.7890789999999996E-2</v>
      </c>
      <c r="S3916">
        <v>-3.0769350000000002</v>
      </c>
      <c r="T3916">
        <v>1.539445E-2</v>
      </c>
      <c r="U3916">
        <v>-3.092957E-2</v>
      </c>
      <c r="V3916">
        <v>8.6804199999999998E-2</v>
      </c>
      <c r="W3916">
        <v>0.2196651</v>
      </c>
      <c r="X3916">
        <v>0.97170590000000001</v>
      </c>
      <c r="Y3916">
        <v>-1.1174989999999999E-2</v>
      </c>
      <c r="Z3916" s="1">
        <v>-3.1225159999999998E-5</v>
      </c>
      <c r="AA3916">
        <v>0.99993750000000003</v>
      </c>
      <c r="AB3916">
        <v>44</v>
      </c>
      <c r="AC3916">
        <v>-3.0769350000000002</v>
      </c>
      <c r="AD3916">
        <v>1.539445E-2</v>
      </c>
      <c r="AE3916">
        <v>-3.092957E-2</v>
      </c>
      <c r="AF3916">
        <v>-3.4385409003895501E-2</v>
      </c>
      <c r="AG3916">
        <v>1.539445E-2</v>
      </c>
      <c r="AH3916">
        <v>3.0768213005934801</v>
      </c>
      <c r="AI3916">
        <v>89.713348780329</v>
      </c>
      <c r="AJ3916">
        <v>90.640289638721001</v>
      </c>
      <c r="AK3916">
        <v>3.0770519432126799</v>
      </c>
      <c r="AL3916">
        <v>77.310637050531795</v>
      </c>
      <c r="AM3916">
        <v>84.895217296250394</v>
      </c>
      <c r="AN3916">
        <v>1.0000000406952201</v>
      </c>
    </row>
    <row r="3917" spans="1:40" x14ac:dyDescent="0.25">
      <c r="A3917" t="str">
        <f>"20190303171055585"</f>
        <v>20190303171055585</v>
      </c>
      <c r="B3917" t="str">
        <f>"1551604255574488"</f>
        <v>1551604255574488</v>
      </c>
      <c r="C3917" t="s">
        <v>40</v>
      </c>
      <c r="D3917">
        <v>5.1422270000000001</v>
      </c>
      <c r="E3917">
        <v>0.4857745</v>
      </c>
      <c r="F3917" t="s">
        <v>62</v>
      </c>
      <c r="G3917">
        <v>0</v>
      </c>
      <c r="H3917">
        <v>0</v>
      </c>
      <c r="I3917">
        <v>0</v>
      </c>
      <c r="J3917">
        <v>-355.54559999999998</v>
      </c>
      <c r="K3917">
        <v>1.1209720000000001</v>
      </c>
      <c r="L3917">
        <v>141.6798</v>
      </c>
      <c r="M3917">
        <v>-0.99989410000000001</v>
      </c>
      <c r="N3917">
        <v>-1.4511639999999999E-2</v>
      </c>
      <c r="O3917">
        <v>1.1229720000000001E-3</v>
      </c>
      <c r="P3917">
        <v>-0.97478759999999998</v>
      </c>
      <c r="Q3917">
        <v>0.2050932</v>
      </c>
      <c r="R3917">
        <v>8.7898399999999904E-2</v>
      </c>
      <c r="S3917">
        <v>-3.0657350000000001</v>
      </c>
      <c r="T3917">
        <v>2.615023E-2</v>
      </c>
      <c r="U3917">
        <v>7.3425290000000004E-2</v>
      </c>
      <c r="V3917">
        <v>8.6811929999999995E-2</v>
      </c>
      <c r="W3917">
        <v>0.21921570000000001</v>
      </c>
      <c r="X3917">
        <v>0.97180659999999996</v>
      </c>
      <c r="Y3917">
        <v>2.2821540000000001E-2</v>
      </c>
      <c r="Z3917" s="1">
        <v>9.4174199999999997E-5</v>
      </c>
      <c r="AA3917">
        <v>0.9997395</v>
      </c>
      <c r="AB3917">
        <v>44</v>
      </c>
      <c r="AC3917">
        <v>-3.0657350000000001</v>
      </c>
      <c r="AD3917">
        <v>2.615023E-2</v>
      </c>
      <c r="AE3917">
        <v>7.3425290000000004E-2</v>
      </c>
      <c r="AF3917">
        <v>6.9977058191724797E-2</v>
      </c>
      <c r="AG3917">
        <v>2.615023E-2</v>
      </c>
      <c r="AH3917">
        <v>3.0655926107147602</v>
      </c>
      <c r="AI3917">
        <v>89.511392576586601</v>
      </c>
      <c r="AJ3917">
        <v>88.692359209254803</v>
      </c>
      <c r="AK3917">
        <v>3.06650267863427</v>
      </c>
      <c r="AL3917">
        <v>77.337027900256004</v>
      </c>
      <c r="AM3917">
        <v>84.895291329109199</v>
      </c>
      <c r="AN3917">
        <v>0.99999995106018602</v>
      </c>
    </row>
    <row r="3918" spans="1:40" x14ac:dyDescent="0.25">
      <c r="A3918" t="str">
        <f>"20190303171055607"</f>
        <v>20190303171055607</v>
      </c>
      <c r="B3918" t="str">
        <f>"1551604255594983"</f>
        <v>1551604255594983</v>
      </c>
      <c r="C3918" t="s">
        <v>40</v>
      </c>
      <c r="D3918">
        <v>5.1918629999999997</v>
      </c>
      <c r="E3918">
        <v>0.48784830000000001</v>
      </c>
      <c r="F3918" t="s">
        <v>62</v>
      </c>
      <c r="G3918">
        <v>0</v>
      </c>
      <c r="H3918">
        <v>0</v>
      </c>
      <c r="I3918">
        <v>0</v>
      </c>
      <c r="J3918">
        <v>-355.99209999999999</v>
      </c>
      <c r="K3918">
        <v>1.1209690000000001</v>
      </c>
      <c r="L3918">
        <v>141.68029999999999</v>
      </c>
      <c r="M3918">
        <v>-0.99989410000000001</v>
      </c>
      <c r="N3918">
        <v>-1.4508770000000001E-2</v>
      </c>
      <c r="O3918">
        <v>1.1228150000000001E-3</v>
      </c>
      <c r="P3918">
        <v>-0.97490869999999996</v>
      </c>
      <c r="Q3918">
        <v>0.20438980000000001</v>
      </c>
      <c r="R3918">
        <v>8.8192770000000004E-2</v>
      </c>
      <c r="S3918">
        <v>-3.0628359999999999</v>
      </c>
      <c r="T3918">
        <v>2.022672E-2</v>
      </c>
      <c r="U3918">
        <v>0.11628719999999999</v>
      </c>
      <c r="V3918">
        <v>8.71064E-2</v>
      </c>
      <c r="W3918">
        <v>0.21851129999999999</v>
      </c>
      <c r="X3918">
        <v>0.971939</v>
      </c>
      <c r="Y3918">
        <v>3.6818900000000002E-2</v>
      </c>
      <c r="Z3918">
        <v>1.6937310000000001E-4</v>
      </c>
      <c r="AA3918">
        <v>0.99932189999999999</v>
      </c>
      <c r="AB3918">
        <v>44</v>
      </c>
      <c r="AC3918">
        <v>-3.0628359999999999</v>
      </c>
      <c r="AD3918">
        <v>2.022672E-2</v>
      </c>
      <c r="AE3918">
        <v>0.11628719999999999</v>
      </c>
      <c r="AF3918">
        <v>0.112842852229199</v>
      </c>
      <c r="AG3918">
        <v>2.022672E-2</v>
      </c>
      <c r="AH3918">
        <v>3.0628312685363301</v>
      </c>
      <c r="AI3918">
        <v>89.621884773804098</v>
      </c>
      <c r="AJ3918">
        <v>87.890025389104295</v>
      </c>
      <c r="AK3918">
        <v>3.06497602095433</v>
      </c>
      <c r="AL3918">
        <v>77.3783913310549</v>
      </c>
      <c r="AM3918">
        <v>84.878761885866197</v>
      </c>
      <c r="AN3918">
        <v>1.0000000664348201</v>
      </c>
    </row>
    <row r="3919" spans="1:40" x14ac:dyDescent="0.25">
      <c r="A3919" t="str">
        <f>"20190303171055631"</f>
        <v>20190303171055631</v>
      </c>
      <c r="B3919" t="str">
        <f>"1551604255625240"</f>
        <v>1551604255625240</v>
      </c>
      <c r="C3919" t="s">
        <v>40</v>
      </c>
      <c r="D3919">
        <v>5.2413980000000002</v>
      </c>
      <c r="E3919">
        <v>0.49038540000000003</v>
      </c>
      <c r="F3919" t="s">
        <v>65</v>
      </c>
      <c r="G3919">
        <v>-550.16269999999997</v>
      </c>
      <c r="H3919">
        <v>2.3087019999999998</v>
      </c>
      <c r="I3919">
        <v>150.16659999999999</v>
      </c>
      <c r="J3919">
        <v>-356.44560000000001</v>
      </c>
      <c r="K3919">
        <v>1.120967</v>
      </c>
      <c r="L3919">
        <v>141.6808</v>
      </c>
      <c r="M3919">
        <v>-0.99989410000000001</v>
      </c>
      <c r="N3919">
        <v>-1.4505830000000001E-2</v>
      </c>
      <c r="O3919">
        <v>1.1227170000000001E-3</v>
      </c>
      <c r="P3919">
        <v>-0.97504009999999997</v>
      </c>
      <c r="Q3919">
        <v>0.2037311</v>
      </c>
      <c r="R3919">
        <v>8.8263809999999998E-2</v>
      </c>
      <c r="S3919">
        <v>-3.0611570000000001</v>
      </c>
      <c r="T3919">
        <v>1.872563E-2</v>
      </c>
      <c r="U3919">
        <v>0.13378909999999999</v>
      </c>
      <c r="V3919">
        <v>8.7177370000000004E-2</v>
      </c>
      <c r="W3919">
        <v>0.21785180000000001</v>
      </c>
      <c r="X3919">
        <v>0.97208059999999996</v>
      </c>
      <c r="Y3919">
        <v>4.2543249999999998E-2</v>
      </c>
      <c r="Z3919">
        <v>2.018062E-4</v>
      </c>
      <c r="AA3919">
        <v>0.99909460000000005</v>
      </c>
      <c r="AB3919">
        <v>44</v>
      </c>
      <c r="AC3919">
        <v>-193.71709999999999</v>
      </c>
      <c r="AD3919">
        <v>1.187735</v>
      </c>
      <c r="AE3919">
        <v>8.4857999999999798</v>
      </c>
      <c r="AF3919">
        <v>8.2679720520227598</v>
      </c>
      <c r="AG3919">
        <v>1.187735</v>
      </c>
      <c r="AH3919">
        <v>193.71923756333899</v>
      </c>
      <c r="AI3919">
        <v>89.649030959328798</v>
      </c>
      <c r="AJ3919">
        <v>87.556089001486896</v>
      </c>
      <c r="AK3919">
        <v>193.89923434197601</v>
      </c>
      <c r="AL3919">
        <v>77.417109824361802</v>
      </c>
      <c r="AM3919">
        <v>84.875354192450402</v>
      </c>
      <c r="AN3919">
        <v>0.99999999674985796</v>
      </c>
    </row>
    <row r="3920" spans="1:40" x14ac:dyDescent="0.25">
      <c r="A3920" t="str">
        <f>"20190303171055653"</f>
        <v>20190303171055653</v>
      </c>
      <c r="B3920" t="str">
        <f>"1551604255644759"</f>
        <v>1551604255644759</v>
      </c>
      <c r="C3920" t="s">
        <v>40</v>
      </c>
      <c r="D3920">
        <v>5.1337919999999997</v>
      </c>
      <c r="E3920">
        <v>0.49076969999999998</v>
      </c>
      <c r="F3920" t="s">
        <v>65</v>
      </c>
      <c r="G3920">
        <v>-537.30099999999902</v>
      </c>
      <c r="H3920">
        <v>0.74553409999999998</v>
      </c>
      <c r="I3920">
        <v>150.69999999999999</v>
      </c>
      <c r="J3920">
        <v>-356.88850000000002</v>
      </c>
      <c r="K3920">
        <v>1.120973</v>
      </c>
      <c r="L3920">
        <v>141.6814</v>
      </c>
      <c r="M3920">
        <v>-0.99989430000000001</v>
      </c>
      <c r="N3920">
        <v>-1.450297E-2</v>
      </c>
      <c r="O3920">
        <v>1.1223800000000001E-3</v>
      </c>
      <c r="P3920">
        <v>-0.97497590000000001</v>
      </c>
      <c r="Q3920">
        <v>0.20383319999999999</v>
      </c>
      <c r="R3920">
        <v>8.8738399999999995E-2</v>
      </c>
      <c r="S3920">
        <v>-3.0643310000000001</v>
      </c>
      <c r="T3920">
        <v>-6.3604119999999898E-3</v>
      </c>
      <c r="U3920">
        <v>0.1528168</v>
      </c>
      <c r="V3920">
        <v>8.7652430000000003E-2</v>
      </c>
      <c r="W3920">
        <v>0.21795</v>
      </c>
      <c r="X3920">
        <v>0.97201590000000004</v>
      </c>
      <c r="Y3920">
        <v>4.868575E-2</v>
      </c>
      <c r="Z3920">
        <v>4.1772069999999997E-4</v>
      </c>
      <c r="AA3920">
        <v>0.99881399999999998</v>
      </c>
      <c r="AB3920">
        <v>44</v>
      </c>
      <c r="AC3920">
        <v>-180.41249999999999</v>
      </c>
      <c r="AD3920">
        <v>-0.37543890000000002</v>
      </c>
      <c r="AE3920">
        <v>9.0185999999999904</v>
      </c>
      <c r="AF3920">
        <v>8.8160435751565007</v>
      </c>
      <c r="AG3920">
        <v>-0.37543890000000002</v>
      </c>
      <c r="AH3920">
        <v>180.42173031811399</v>
      </c>
      <c r="AI3920">
        <v>90.119084319618494</v>
      </c>
      <c r="AJ3920">
        <v>87.202550682270996</v>
      </c>
      <c r="AK3920">
        <v>180.63738358841701</v>
      </c>
      <c r="AL3920">
        <v>77.411345282489194</v>
      </c>
      <c r="AM3920">
        <v>84.847236998680998</v>
      </c>
      <c r="AN3920">
        <v>1.0000000304188501</v>
      </c>
    </row>
    <row r="3921" spans="1:40" x14ac:dyDescent="0.25">
      <c r="A3921" t="str">
        <f>"20190303171055676"</f>
        <v>20190303171055676</v>
      </c>
      <c r="B3921" t="str">
        <f>"1551604255664279"</f>
        <v>1551604255664279</v>
      </c>
      <c r="C3921" t="s">
        <v>40</v>
      </c>
      <c r="D3921">
        <v>5.1462190000000003</v>
      </c>
      <c r="E3921">
        <v>0.49117060000000001</v>
      </c>
      <c r="F3921" t="s">
        <v>65</v>
      </c>
      <c r="G3921">
        <v>-533.12549999999999</v>
      </c>
      <c r="H3921">
        <v>0.26324409999999998</v>
      </c>
      <c r="I3921">
        <v>150.69999999999999</v>
      </c>
      <c r="J3921">
        <v>-357.32819999999998</v>
      </c>
      <c r="K3921">
        <v>1.1209739999999999</v>
      </c>
      <c r="L3921">
        <v>141.68190000000001</v>
      </c>
      <c r="M3921">
        <v>-0.99989430000000001</v>
      </c>
      <c r="N3921">
        <v>-1.450014E-2</v>
      </c>
      <c r="O3921">
        <v>1.1222210000000001E-3</v>
      </c>
      <c r="P3921">
        <v>-0.97478779999999998</v>
      </c>
      <c r="Q3921">
        <v>0.2048402</v>
      </c>
      <c r="R3921">
        <v>8.8484289999999993E-2</v>
      </c>
      <c r="S3921">
        <v>-3.0658569999999998</v>
      </c>
      <c r="T3921">
        <v>-1.492047E-2</v>
      </c>
      <c r="U3921">
        <v>0.1568909</v>
      </c>
      <c r="V3921">
        <v>8.7398610000000002E-2</v>
      </c>
      <c r="W3921">
        <v>0.21895100000000001</v>
      </c>
      <c r="X3921">
        <v>0.9718137</v>
      </c>
      <c r="Y3921">
        <v>4.99835E-2</v>
      </c>
      <c r="Z3921">
        <v>4.9499949999999896E-4</v>
      </c>
      <c r="AA3921">
        <v>0.99874989999999997</v>
      </c>
      <c r="AB3921">
        <v>44</v>
      </c>
      <c r="AC3921">
        <v>-175.79730000000001</v>
      </c>
      <c r="AD3921">
        <v>-0.85772989999999905</v>
      </c>
      <c r="AE3921">
        <v>9.0180999999999703</v>
      </c>
      <c r="AF3921">
        <v>8.8205807406685999</v>
      </c>
      <c r="AG3921">
        <v>-0.85772989999999905</v>
      </c>
      <c r="AH3921">
        <v>175.80313655204199</v>
      </c>
      <c r="AI3921">
        <v>90.279188277947</v>
      </c>
      <c r="AJ3921">
        <v>87.127704166775999</v>
      </c>
      <c r="AK3921">
        <v>176.02636497615899</v>
      </c>
      <c r="AL3921">
        <v>77.352571859711503</v>
      </c>
      <c r="AM3921">
        <v>84.861014866785794</v>
      </c>
      <c r="AN3921">
        <v>0.99999996246931</v>
      </c>
    </row>
    <row r="3922" spans="1:40" x14ac:dyDescent="0.25">
      <c r="A3922" t="str">
        <f>"20190303171055699"</f>
        <v>20190303171055699</v>
      </c>
      <c r="B3922" t="str">
        <f>"1551604255684774"</f>
        <v>1551604255684774</v>
      </c>
      <c r="C3922" t="s">
        <v>40</v>
      </c>
      <c r="D3922">
        <v>5.1240829999999997</v>
      </c>
      <c r="E3922">
        <v>0.49160769999999998</v>
      </c>
      <c r="F3922" t="s">
        <v>42</v>
      </c>
      <c r="G3922">
        <v>-451.67149999999998</v>
      </c>
      <c r="H3922" s="1">
        <v>-3.9216589999999996E-6</v>
      </c>
      <c r="I3922">
        <v>146.5377</v>
      </c>
      <c r="J3922">
        <v>-357.75869999999998</v>
      </c>
      <c r="K3922">
        <v>1.120976</v>
      </c>
      <c r="L3922">
        <v>141.6823</v>
      </c>
      <c r="M3922">
        <v>-0.99989430000000001</v>
      </c>
      <c r="N3922">
        <v>-1.4497380000000001E-2</v>
      </c>
      <c r="O3922">
        <v>1.122063E-3</v>
      </c>
      <c r="P3922">
        <v>-0.97483350000000002</v>
      </c>
      <c r="Q3922">
        <v>0.2048403</v>
      </c>
      <c r="R3922">
        <v>8.7977699999999895E-2</v>
      </c>
      <c r="S3922">
        <v>-3.0709529999999998</v>
      </c>
      <c r="T3922">
        <v>-3.6488769999999997E-2</v>
      </c>
      <c r="U3922">
        <v>0.15806579999999901</v>
      </c>
      <c r="V3922">
        <v>8.6892150000000001E-2</v>
      </c>
      <c r="W3922">
        <v>0.21894949999999999</v>
      </c>
      <c r="X3922">
        <v>0.97185949999999999</v>
      </c>
      <c r="Y3922">
        <v>5.0274609999999997E-2</v>
      </c>
      <c r="Z3922">
        <v>6.6611920000000002E-4</v>
      </c>
      <c r="AA3922">
        <v>0.99873520000000005</v>
      </c>
      <c r="AB3922">
        <v>44</v>
      </c>
      <c r="AC3922">
        <v>-93.912800000000004</v>
      </c>
      <c r="AD3922">
        <v>-1.120979921659</v>
      </c>
      <c r="AE3922">
        <v>4.8554000000000004</v>
      </c>
      <c r="AF3922">
        <v>4.7493349225135901</v>
      </c>
      <c r="AG3922">
        <v>-1.120979921659</v>
      </c>
      <c r="AH3922">
        <v>93.904845851535498</v>
      </c>
      <c r="AI3922">
        <v>90.683057316151405</v>
      </c>
      <c r="AJ3922">
        <v>87.104673561613396</v>
      </c>
      <c r="AK3922">
        <v>94.031552431040893</v>
      </c>
      <c r="AL3922">
        <v>77.352660532527494</v>
      </c>
      <c r="AM3922">
        <v>84.890875836953299</v>
      </c>
      <c r="AN3922">
        <v>1.0000000085110601</v>
      </c>
    </row>
    <row r="3923" spans="1:40" x14ac:dyDescent="0.25">
      <c r="A3923" t="str">
        <f>"20190303171055720"</f>
        <v>20190303171055720</v>
      </c>
      <c r="B3923" t="str">
        <f>"1551604255715031"</f>
        <v>1551604255715031</v>
      </c>
      <c r="C3923" t="s">
        <v>40</v>
      </c>
      <c r="D3923">
        <v>5.1920970000000004</v>
      </c>
      <c r="E3923">
        <v>0.49240099999999998</v>
      </c>
      <c r="F3923" t="s">
        <v>84</v>
      </c>
      <c r="G3923">
        <v>-419.32459999999998</v>
      </c>
      <c r="H3923" s="1">
        <v>-1.169632E-5</v>
      </c>
      <c r="I3923">
        <v>144.86179999999999</v>
      </c>
      <c r="J3923">
        <v>-358.18099999999998</v>
      </c>
      <c r="K3923">
        <v>1.120978</v>
      </c>
      <c r="L3923">
        <v>141.68279999999999</v>
      </c>
      <c r="M3923">
        <v>-0.99989439999999996</v>
      </c>
      <c r="N3923">
        <v>-1.4494719999999999E-2</v>
      </c>
      <c r="O3923">
        <v>1.1217829999999999E-3</v>
      </c>
      <c r="P3923">
        <v>-0.97499899999999995</v>
      </c>
      <c r="Q3923">
        <v>0.20424110000000001</v>
      </c>
      <c r="R3923">
        <v>8.7536939999999994E-2</v>
      </c>
      <c r="S3923">
        <v>-3.074951</v>
      </c>
      <c r="T3923">
        <v>-5.5988429999999999E-2</v>
      </c>
      <c r="U3923">
        <v>0.1587982</v>
      </c>
      <c r="V3923">
        <v>8.6451420000000001E-2</v>
      </c>
      <c r="W3923">
        <v>0.2183503</v>
      </c>
      <c r="X3923">
        <v>0.97203360000000005</v>
      </c>
      <c r="Y3923">
        <v>5.0438370000000003E-2</v>
      </c>
      <c r="Z3923">
        <v>8.205466E-4</v>
      </c>
      <c r="AA3923">
        <v>0.99872680000000003</v>
      </c>
      <c r="AB3923">
        <v>44</v>
      </c>
      <c r="AC3923">
        <v>-61.1435999999999</v>
      </c>
      <c r="AD3923">
        <v>-1.1209896963199999</v>
      </c>
      <c r="AE3923">
        <v>3.1789999999999998</v>
      </c>
      <c r="AF3923">
        <v>3.1093586310616899</v>
      </c>
      <c r="AG3923">
        <v>-1.1209896963199999</v>
      </c>
      <c r="AH3923">
        <v>61.126637223288299</v>
      </c>
      <c r="AI3923">
        <v>91.049262259297606</v>
      </c>
      <c r="AJ3923">
        <v>87.088017342591002</v>
      </c>
      <c r="AK3923">
        <v>61.215933442391503</v>
      </c>
      <c r="AL3923">
        <v>77.387843498303098</v>
      </c>
      <c r="AM3923">
        <v>84.917559666659301</v>
      </c>
      <c r="AN3923">
        <v>1.0000000105295299</v>
      </c>
    </row>
    <row r="3924" spans="1:40" x14ac:dyDescent="0.25">
      <c r="A3924" t="str">
        <f>"20190303171055742"</f>
        <v>20190303171055742</v>
      </c>
      <c r="B3924" t="str">
        <f>"1551604255734551"</f>
        <v>1551604255734551</v>
      </c>
      <c r="C3924" t="s">
        <v>40</v>
      </c>
      <c r="D3924">
        <v>5.3346140000000002</v>
      </c>
      <c r="E3924">
        <v>0.49294539999999998</v>
      </c>
      <c r="F3924" t="s">
        <v>84</v>
      </c>
      <c r="G3924">
        <v>-400.83330000000001</v>
      </c>
      <c r="H3924" s="1">
        <v>-7.5103689999999902E-6</v>
      </c>
      <c r="I3924">
        <v>143.93459999999999</v>
      </c>
      <c r="J3924">
        <v>-358.62360000000001</v>
      </c>
      <c r="K3924">
        <v>1.1209720000000001</v>
      </c>
      <c r="L3924">
        <v>141.6833</v>
      </c>
      <c r="M3924">
        <v>-0.99989439999999996</v>
      </c>
      <c r="N3924">
        <v>-1.4492049999999999E-2</v>
      </c>
      <c r="O3924">
        <v>1.121623E-3</v>
      </c>
      <c r="P3924">
        <v>-0.975186</v>
      </c>
      <c r="Q3924">
        <v>0.2033459</v>
      </c>
      <c r="R3924">
        <v>8.7537009999999998E-2</v>
      </c>
      <c r="S3924">
        <v>-3.0793149999999998</v>
      </c>
      <c r="T3924">
        <v>-8.0930470000000004E-2</v>
      </c>
      <c r="U3924">
        <v>0.16256709999999999</v>
      </c>
      <c r="V3924">
        <v>8.6451319999999998E-2</v>
      </c>
      <c r="W3924">
        <v>0.21745529999999999</v>
      </c>
      <c r="X3924">
        <v>0.97223419999999905</v>
      </c>
      <c r="Y3924">
        <v>5.1572149999999997E-2</v>
      </c>
      <c r="Z3924">
        <v>1.037984E-3</v>
      </c>
      <c r="AA3924">
        <v>0.99866869999999996</v>
      </c>
      <c r="AB3924">
        <v>44</v>
      </c>
      <c r="AC3924">
        <v>-42.209699999999998</v>
      </c>
      <c r="AD3924">
        <v>-1.1209795103689999</v>
      </c>
      <c r="AE3924">
        <v>2.2512999999999801</v>
      </c>
      <c r="AF3924">
        <v>2.2024013066912298</v>
      </c>
      <c r="AG3924">
        <v>-1.1209795103689999</v>
      </c>
      <c r="AH3924">
        <v>42.182532082883903</v>
      </c>
      <c r="AI3924">
        <v>91.520178536941202</v>
      </c>
      <c r="AJ3924">
        <v>87.011231496700304</v>
      </c>
      <c r="AK3924">
        <v>42.254859832946003</v>
      </c>
      <c r="AL3924">
        <v>77.440385513100793</v>
      </c>
      <c r="AM3924">
        <v>84.918608677246795</v>
      </c>
      <c r="AN3924">
        <v>0.99999998893873598</v>
      </c>
    </row>
    <row r="3925" spans="1:40" x14ac:dyDescent="0.25">
      <c r="A3925" t="str">
        <f>"20190303171055763"</f>
        <v>20190303171055763</v>
      </c>
      <c r="B3925" t="str">
        <f>"1551604255755047"</f>
        <v>1551604255755047</v>
      </c>
      <c r="C3925" t="s">
        <v>40</v>
      </c>
      <c r="D3925">
        <v>5.1371979999999997</v>
      </c>
      <c r="E3925">
        <v>0.52575719999999904</v>
      </c>
      <c r="F3925" t="s">
        <v>42</v>
      </c>
      <c r="G3925">
        <v>-396.98230000000001</v>
      </c>
      <c r="H3925" s="1">
        <v>-2.378308E-6</v>
      </c>
      <c r="I3925">
        <v>143.75559999999999</v>
      </c>
      <c r="J3925">
        <v>-359.04309999999998</v>
      </c>
      <c r="K3925">
        <v>1.120976</v>
      </c>
      <c r="L3925">
        <v>141.68379999999999</v>
      </c>
      <c r="M3925">
        <v>-0.99989439999999996</v>
      </c>
      <c r="N3925">
        <v>-1.448957E-2</v>
      </c>
      <c r="O3925">
        <v>1.1214619999999999E-3</v>
      </c>
      <c r="P3925">
        <v>-0.97525189999999995</v>
      </c>
      <c r="Q3925">
        <v>0.2030901</v>
      </c>
      <c r="R3925">
        <v>8.7398320000000002E-2</v>
      </c>
      <c r="S3925">
        <v>-3.0801699999999999</v>
      </c>
      <c r="T3925">
        <v>-9.0013270000000006E-2</v>
      </c>
      <c r="U3925">
        <v>0.16641239999999999</v>
      </c>
      <c r="V3925">
        <v>8.631279E-2</v>
      </c>
      <c r="W3925">
        <v>0.217198</v>
      </c>
      <c r="X3925">
        <v>0.97230399999999995</v>
      </c>
      <c r="Y3925">
        <v>5.2794840000000003E-2</v>
      </c>
      <c r="Z3925">
        <v>1.137101E-3</v>
      </c>
      <c r="AA3925">
        <v>0.99860470000000001</v>
      </c>
      <c r="AB3925">
        <v>44</v>
      </c>
      <c r="AC3925">
        <v>-37.9392</v>
      </c>
      <c r="AD3925">
        <v>-1.1209783783080001</v>
      </c>
      <c r="AE3925">
        <v>2.0717999999999899</v>
      </c>
      <c r="AF3925">
        <v>2.0274821139462502</v>
      </c>
      <c r="AG3925">
        <v>-1.1209783783080001</v>
      </c>
      <c r="AH3925">
        <v>37.908503802771698</v>
      </c>
      <c r="AI3925">
        <v>91.691362846616002</v>
      </c>
      <c r="AJ3925">
        <v>86.938534046442996</v>
      </c>
      <c r="AK3925">
        <v>37.979230334641599</v>
      </c>
      <c r="AL3925">
        <v>77.455488441243105</v>
      </c>
      <c r="AM3925">
        <v>84.927070897966999</v>
      </c>
      <c r="AN3925">
        <v>0.99999996866879104</v>
      </c>
    </row>
    <row r="3926" spans="1:40" x14ac:dyDescent="0.25">
      <c r="A3926" t="str">
        <f>"20190303171055785"</f>
        <v>20190303171055785</v>
      </c>
      <c r="B3926" t="str">
        <f>"1551604255775085"</f>
        <v>1551604255775085</v>
      </c>
      <c r="C3926" t="s">
        <v>40</v>
      </c>
      <c r="D3926">
        <v>5.1914910000000001</v>
      </c>
      <c r="E3926">
        <v>0.52957200000000004</v>
      </c>
      <c r="F3926" t="s">
        <v>43</v>
      </c>
      <c r="G3926">
        <v>-359.97699999999998</v>
      </c>
      <c r="H3926">
        <v>0.98302959999999995</v>
      </c>
      <c r="I3926">
        <v>141.8048</v>
      </c>
      <c r="J3926">
        <v>-359.46469999999999</v>
      </c>
      <c r="K3926">
        <v>1.120986</v>
      </c>
      <c r="L3926">
        <v>141.68430000000001</v>
      </c>
      <c r="M3926">
        <v>-0.99989450000000002</v>
      </c>
      <c r="N3926">
        <v>-1.4487E-2</v>
      </c>
      <c r="O3926">
        <v>1.12148E-3</v>
      </c>
      <c r="P3926">
        <v>-0.97512699999999997</v>
      </c>
      <c r="Q3926">
        <v>0.203823</v>
      </c>
      <c r="R3926">
        <v>8.7084330000000001E-2</v>
      </c>
      <c r="S3926">
        <v>-3.1362610000000002</v>
      </c>
      <c r="T3926">
        <v>-0.46329100000000001</v>
      </c>
      <c r="U3926">
        <v>0.40606690000000001</v>
      </c>
      <c r="V3926">
        <v>8.5998939999999996E-2</v>
      </c>
      <c r="W3926">
        <v>0.2179268</v>
      </c>
      <c r="X3926">
        <v>0.9721687</v>
      </c>
      <c r="Y3926">
        <v>0.1258225</v>
      </c>
      <c r="Z3926">
        <v>9.9779120000000002E-3</v>
      </c>
      <c r="AA3926">
        <v>0.99200259999999996</v>
      </c>
      <c r="AB3926">
        <v>43</v>
      </c>
      <c r="AC3926">
        <v>-0.51229999999998199</v>
      </c>
      <c r="AD3926">
        <v>-0.13795639999999901</v>
      </c>
      <c r="AE3926">
        <v>0.120499999999992</v>
      </c>
      <c r="AF3926">
        <v>0.112214559398071</v>
      </c>
      <c r="AG3926">
        <v>-0.13795639999999901</v>
      </c>
      <c r="AH3926">
        <v>0.47948710103942499</v>
      </c>
      <c r="AI3926">
        <v>105.650056888595</v>
      </c>
      <c r="AJ3926">
        <v>76.8281065912701</v>
      </c>
      <c r="AK3926">
        <v>0.51140195121357801</v>
      </c>
      <c r="AL3926">
        <v>77.412706185002904</v>
      </c>
      <c r="AM3926">
        <v>84.944721501528505</v>
      </c>
      <c r="AN3926">
        <v>0.99999994454952501</v>
      </c>
    </row>
    <row r="3927" spans="1:40" x14ac:dyDescent="0.25">
      <c r="A3927" t="str">
        <f>"20190303171055809"</f>
        <v>20190303171055809</v>
      </c>
      <c r="B3927" t="str">
        <f>"1551604255804354"</f>
        <v>1551604255804354</v>
      </c>
      <c r="C3927" t="s">
        <v>40</v>
      </c>
      <c r="D3927">
        <v>5.1470219999999998</v>
      </c>
      <c r="E3927">
        <v>0.53137419999999902</v>
      </c>
      <c r="F3927" t="s">
        <v>43</v>
      </c>
      <c r="G3927">
        <v>-360.3569</v>
      </c>
      <c r="H3927">
        <v>0.96628460000000005</v>
      </c>
      <c r="I3927">
        <v>141.8066</v>
      </c>
      <c r="J3927">
        <v>-359.90269999999998</v>
      </c>
      <c r="K3927">
        <v>1.1209880000000001</v>
      </c>
      <c r="L3927">
        <v>141.6848</v>
      </c>
      <c r="M3927">
        <v>-0.99989459999999997</v>
      </c>
      <c r="N3927">
        <v>-1.4484479999999999E-2</v>
      </c>
      <c r="O3927">
        <v>1.1211400000000001E-3</v>
      </c>
      <c r="P3927">
        <v>-0.97511899999999996</v>
      </c>
      <c r="Q3927">
        <v>0.2039185</v>
      </c>
      <c r="R3927">
        <v>8.6951899999999901E-2</v>
      </c>
      <c r="S3927">
        <v>-3.1523129999999999</v>
      </c>
      <c r="T3927">
        <v>-0.54669089999999998</v>
      </c>
      <c r="U3927">
        <v>0.43087769999999997</v>
      </c>
      <c r="V3927">
        <v>8.5866819999999996E-2</v>
      </c>
      <c r="W3927">
        <v>0.2180194</v>
      </c>
      <c r="X3927">
        <v>0.97215969999999996</v>
      </c>
      <c r="Y3927">
        <v>0.13222539999999999</v>
      </c>
      <c r="Z3927">
        <v>1.212275E-2</v>
      </c>
      <c r="AA3927">
        <v>0.99114559999999996</v>
      </c>
      <c r="AB3927">
        <v>43</v>
      </c>
      <c r="AC3927">
        <v>-0.45420000000001398</v>
      </c>
      <c r="AD3927">
        <v>-0.15470339999999899</v>
      </c>
      <c r="AE3927">
        <v>0.121800000000007</v>
      </c>
      <c r="AF3927">
        <v>0.10944540641592</v>
      </c>
      <c r="AG3927">
        <v>-0.15470339999999899</v>
      </c>
      <c r="AH3927">
        <v>0.409965812816105</v>
      </c>
      <c r="AI3927">
        <v>110.031274428608</v>
      </c>
      <c r="AJ3927">
        <v>75.052771285233703</v>
      </c>
      <c r="AK3927">
        <v>0.45164522208817298</v>
      </c>
      <c r="AL3927">
        <v>77.4072709199163</v>
      </c>
      <c r="AM3927">
        <v>84.952401276697302</v>
      </c>
      <c r="AN3927">
        <v>1.0000000259286801</v>
      </c>
    </row>
    <row r="3928" spans="1:40" x14ac:dyDescent="0.25">
      <c r="A3928" t="str">
        <f>"20190303171055831"</f>
        <v>20190303171055831</v>
      </c>
      <c r="B3928" t="str">
        <f>"1551604255824850"</f>
        <v>1551604255824850</v>
      </c>
      <c r="C3928" t="s">
        <v>40</v>
      </c>
      <c r="D3928">
        <v>5.1500440000000003</v>
      </c>
      <c r="E3928">
        <v>0.53206519999999902</v>
      </c>
      <c r="F3928" t="s">
        <v>43</v>
      </c>
      <c r="G3928">
        <v>-360.74310000000003</v>
      </c>
      <c r="H3928">
        <v>0.96322430000000003</v>
      </c>
      <c r="I3928">
        <v>141.80250000000001</v>
      </c>
      <c r="J3928">
        <v>-360.35629999999998</v>
      </c>
      <c r="K3928">
        <v>1.120987</v>
      </c>
      <c r="L3928">
        <v>141.68530000000001</v>
      </c>
      <c r="M3928">
        <v>-0.99989459999999997</v>
      </c>
      <c r="N3928">
        <v>-1.448208E-2</v>
      </c>
      <c r="O3928">
        <v>1.120979E-3</v>
      </c>
      <c r="P3928">
        <v>-0.97528049999999999</v>
      </c>
      <c r="Q3928">
        <v>0.20340649999999999</v>
      </c>
      <c r="R3928">
        <v>8.6335499999999996E-2</v>
      </c>
      <c r="S3928">
        <v>-3.1612550000000001</v>
      </c>
      <c r="T3928">
        <v>-0.59346889999999997</v>
      </c>
      <c r="U3928">
        <v>0.44230649999999999</v>
      </c>
      <c r="V3928">
        <v>8.5250270000000003E-2</v>
      </c>
      <c r="W3928">
        <v>0.21750749999999999</v>
      </c>
      <c r="X3928">
        <v>0.97232859999999999</v>
      </c>
      <c r="Y3928">
        <v>0.13497390000000001</v>
      </c>
      <c r="Z3928">
        <v>1.329994E-2</v>
      </c>
      <c r="AA3928">
        <v>0.99075990000000003</v>
      </c>
      <c r="AB3928">
        <v>43</v>
      </c>
      <c r="AC3928">
        <v>-0.38680000000004999</v>
      </c>
      <c r="AD3928">
        <v>-0.15776270000000001</v>
      </c>
      <c r="AE3928">
        <v>0.117199999999996</v>
      </c>
      <c r="AF3928">
        <v>0.10132739256291901</v>
      </c>
      <c r="AG3928">
        <v>-0.15776270000000001</v>
      </c>
      <c r="AH3928">
        <v>0.33577092957432397</v>
      </c>
      <c r="AI3928">
        <v>114.21899518520399</v>
      </c>
      <c r="AJ3928">
        <v>73.2074798342218</v>
      </c>
      <c r="AK3928">
        <v>0.38457564553946399</v>
      </c>
      <c r="AL3928">
        <v>77.437321647119902</v>
      </c>
      <c r="AM3928">
        <v>84.989325448231</v>
      </c>
      <c r="AN3928">
        <v>1.0000000137346401</v>
      </c>
    </row>
    <row r="3929" spans="1:40" x14ac:dyDescent="0.25">
      <c r="A3929" t="str">
        <f>"20190303171055853"</f>
        <v>20190303171055853</v>
      </c>
      <c r="B3929" t="str">
        <f>"1551604255844370"</f>
        <v>1551604255844370</v>
      </c>
      <c r="C3929" t="s">
        <v>40</v>
      </c>
      <c r="D3929">
        <v>5.1722619999999999</v>
      </c>
      <c r="E3929">
        <v>0.53263199999999999</v>
      </c>
      <c r="F3929" t="s">
        <v>43</v>
      </c>
      <c r="G3929">
        <v>-361.13409999999999</v>
      </c>
      <c r="H3929">
        <v>0.97079040000000005</v>
      </c>
      <c r="I3929">
        <v>141.79499999999999</v>
      </c>
      <c r="J3929">
        <v>-360.76799999999997</v>
      </c>
      <c r="K3929">
        <v>1.1209789999999999</v>
      </c>
      <c r="L3929">
        <v>141.6857</v>
      </c>
      <c r="M3929">
        <v>-0.99989459999999997</v>
      </c>
      <c r="N3929">
        <v>-1.44799E-2</v>
      </c>
      <c r="O3929">
        <v>1.120876E-3</v>
      </c>
      <c r="P3929">
        <v>-0.97528700000000002</v>
      </c>
      <c r="Q3929">
        <v>0.20333789999999999</v>
      </c>
      <c r="R3929">
        <v>8.6423189999999997E-2</v>
      </c>
      <c r="S3929">
        <v>-3.1640320000000002</v>
      </c>
      <c r="T3929">
        <v>-0.61101709999999998</v>
      </c>
      <c r="U3929">
        <v>0.44575500000000001</v>
      </c>
      <c r="V3929">
        <v>8.5338150000000002E-2</v>
      </c>
      <c r="W3929">
        <v>0.21743670000000001</v>
      </c>
      <c r="X3929">
        <v>0.97233670000000005</v>
      </c>
      <c r="Y3929">
        <v>0.13576099999999999</v>
      </c>
      <c r="Z3929">
        <v>1.372642E-2</v>
      </c>
      <c r="AA3929">
        <v>0.99064649999999999</v>
      </c>
      <c r="AB3929">
        <v>43</v>
      </c>
      <c r="AC3929">
        <v>-0.36609999999996001</v>
      </c>
      <c r="AD3929">
        <v>-0.15018860000000001</v>
      </c>
      <c r="AE3929">
        <v>0.10929999999999</v>
      </c>
      <c r="AF3929">
        <v>9.4315598356386005E-2</v>
      </c>
      <c r="AG3929">
        <v>-0.15018860000000001</v>
      </c>
      <c r="AH3929">
        <v>0.31720655841561102</v>
      </c>
      <c r="AI3929">
        <v>114.410275515628</v>
      </c>
      <c r="AJ3929">
        <v>73.4411120916252</v>
      </c>
      <c r="AK3929">
        <v>0.36341718226462499</v>
      </c>
      <c r="AL3929">
        <v>77.441477330780103</v>
      </c>
      <c r="AM3929">
        <v>84.984228115307303</v>
      </c>
      <c r="AN3929">
        <v>0.99999998825960101</v>
      </c>
    </row>
    <row r="3930" spans="1:40" x14ac:dyDescent="0.25">
      <c r="A3930" t="str">
        <f>"20190303171055871"</f>
        <v>20190303171055871</v>
      </c>
      <c r="B3930" t="str">
        <f>"1551604255864866"</f>
        <v>1551604255864866</v>
      </c>
      <c r="C3930" t="s">
        <v>40</v>
      </c>
      <c r="D3930">
        <v>5.1355599999999999</v>
      </c>
      <c r="E3930">
        <v>0.53297249999999996</v>
      </c>
      <c r="F3930" t="s">
        <v>43</v>
      </c>
      <c r="G3930">
        <v>-361.5222</v>
      </c>
      <c r="H3930">
        <v>0.97277579999999997</v>
      </c>
      <c r="I3930">
        <v>141.79300000000001</v>
      </c>
      <c r="J3930">
        <v>-361.1157</v>
      </c>
      <c r="K3930">
        <v>1.1209789999999999</v>
      </c>
      <c r="L3930">
        <v>141.68610000000001</v>
      </c>
      <c r="M3930">
        <v>-0.99989459999999997</v>
      </c>
      <c r="N3930">
        <v>-1.4478059999999999E-2</v>
      </c>
      <c r="O3930">
        <v>1.12071E-3</v>
      </c>
      <c r="P3930">
        <v>-0.97530890000000003</v>
      </c>
      <c r="Q3930">
        <v>0.2032911</v>
      </c>
      <c r="R3930">
        <v>8.6287719999999998E-2</v>
      </c>
      <c r="S3930">
        <v>-3.1658940000000002</v>
      </c>
      <c r="T3930">
        <v>-0.62207159999999995</v>
      </c>
      <c r="U3930">
        <v>0.44953920000000003</v>
      </c>
      <c r="V3930">
        <v>8.5202890000000003E-2</v>
      </c>
      <c r="W3930">
        <v>0.21738879999999999</v>
      </c>
      <c r="X3930">
        <v>0.97235930000000004</v>
      </c>
      <c r="Y3930">
        <v>0.13673370000000001</v>
      </c>
      <c r="Z3930">
        <v>1.404538E-2</v>
      </c>
      <c r="AA3930">
        <v>0.99050830000000001</v>
      </c>
      <c r="AB3930">
        <v>43</v>
      </c>
      <c r="AC3930">
        <v>-0.40649999999999398</v>
      </c>
      <c r="AD3930">
        <v>-0.14820320000000001</v>
      </c>
      <c r="AE3930">
        <v>0.106899999999996</v>
      </c>
      <c r="AF3930">
        <v>9.4674113714173697E-2</v>
      </c>
      <c r="AG3930">
        <v>-0.14820320000000001</v>
      </c>
      <c r="AH3930">
        <v>0.36165713522989101</v>
      </c>
      <c r="AI3930">
        <v>111.624908165367</v>
      </c>
      <c r="AJ3930">
        <v>75.3303693592635</v>
      </c>
      <c r="AK3930">
        <v>0.402148305679007</v>
      </c>
      <c r="AL3930">
        <v>77.444289404202905</v>
      </c>
      <c r="AM3930">
        <v>84.992253401368401</v>
      </c>
      <c r="AN3930">
        <v>1.0000000155631401</v>
      </c>
    </row>
    <row r="3931" spans="1:40" x14ac:dyDescent="0.25">
      <c r="A3931" t="str">
        <f>"20190303171055887"</f>
        <v>20190303171055887</v>
      </c>
      <c r="B3931" t="str">
        <f>"1551604255874626"</f>
        <v>1551604255874626</v>
      </c>
      <c r="C3931" t="s">
        <v>40</v>
      </c>
      <c r="D3931">
        <v>5.1299299999999999</v>
      </c>
      <c r="E3931">
        <v>0.53313440000000001</v>
      </c>
      <c r="F3931" t="s">
        <v>43</v>
      </c>
      <c r="G3931">
        <v>-361.90499999999997</v>
      </c>
      <c r="H3931">
        <v>0.96391939999999998</v>
      </c>
      <c r="I3931">
        <v>141.7988</v>
      </c>
      <c r="J3931">
        <v>-361.42090000000002</v>
      </c>
      <c r="K3931">
        <v>1.120989</v>
      </c>
      <c r="L3931">
        <v>141.68639999999999</v>
      </c>
      <c r="M3931">
        <v>-0.99989459999999997</v>
      </c>
      <c r="N3931">
        <v>-1.4476330000000001E-2</v>
      </c>
      <c r="O3931">
        <v>1.120544E-3</v>
      </c>
      <c r="P3931">
        <v>-0.97521469999999999</v>
      </c>
      <c r="Q3931">
        <v>0.2036898</v>
      </c>
      <c r="R3931">
        <v>8.6411039999999995E-2</v>
      </c>
      <c r="S3931">
        <v>-3.1674500000000001</v>
      </c>
      <c r="T3931">
        <v>-0.63035680000000005</v>
      </c>
      <c r="U3931">
        <v>0.45095829999999998</v>
      </c>
      <c r="V3931">
        <v>8.5326520000000003E-2</v>
      </c>
      <c r="W3931">
        <v>0.21778429999999999</v>
      </c>
      <c r="X3931">
        <v>0.97225989999999995</v>
      </c>
      <c r="Y3931">
        <v>0.1370276</v>
      </c>
      <c r="Z3931">
        <v>1.4240040000000001E-2</v>
      </c>
      <c r="AA3931">
        <v>0.99046489999999998</v>
      </c>
      <c r="AB3931">
        <v>43</v>
      </c>
      <c r="AC3931">
        <v>-0.48409999999995501</v>
      </c>
      <c r="AD3931">
        <v>-0.1570696</v>
      </c>
      <c r="AE3931">
        <v>0.11240000000000799</v>
      </c>
      <c r="AF3931">
        <v>0.101698966552408</v>
      </c>
      <c r="AG3931">
        <v>-0.1570696</v>
      </c>
      <c r="AH3931">
        <v>0.440250188615257</v>
      </c>
      <c r="AI3931">
        <v>109.16843129052801</v>
      </c>
      <c r="AJ3931">
        <v>76.992685350404599</v>
      </c>
      <c r="AK3931">
        <v>0.47836572579748798</v>
      </c>
      <c r="AL3931">
        <v>77.421072024972304</v>
      </c>
      <c r="AM3931">
        <v>84.984514057598503</v>
      </c>
      <c r="AN3931">
        <v>0.99999996474490405</v>
      </c>
    </row>
    <row r="3932" spans="1:40" x14ac:dyDescent="0.25">
      <c r="A3932" t="str">
        <f>"20190303171055910"</f>
        <v>20190303171055910</v>
      </c>
      <c r="B3932" t="str">
        <f>"1551604255904883"</f>
        <v>1551604255904883</v>
      </c>
      <c r="C3932" t="s">
        <v>40</v>
      </c>
      <c r="D3932">
        <v>5.1395460000000002</v>
      </c>
      <c r="E3932">
        <v>0.53370139999999999</v>
      </c>
      <c r="F3932" t="s">
        <v>43</v>
      </c>
      <c r="G3932">
        <v>-362.28449999999998</v>
      </c>
      <c r="H3932">
        <v>0.9485673</v>
      </c>
      <c r="I3932">
        <v>141.80959999999999</v>
      </c>
      <c r="J3932">
        <v>-361.86529999999999</v>
      </c>
      <c r="K3932">
        <v>1.1209960000000001</v>
      </c>
      <c r="L3932">
        <v>141.68690000000001</v>
      </c>
      <c r="M3932">
        <v>-0.99989459999999997</v>
      </c>
      <c r="N3932">
        <v>-1.4473730000000001E-2</v>
      </c>
      <c r="O3932">
        <v>1.120205E-3</v>
      </c>
      <c r="P3932">
        <v>-0.97515839999999998</v>
      </c>
      <c r="Q3932">
        <v>0.20403060000000001</v>
      </c>
      <c r="R3932">
        <v>8.6240120000000003E-2</v>
      </c>
      <c r="S3932">
        <v>-3.1683349999999999</v>
      </c>
      <c r="T3932">
        <v>-0.63256290000000004</v>
      </c>
      <c r="U3932">
        <v>0.45178220000000002</v>
      </c>
      <c r="V3932">
        <v>8.5155759999999997E-2</v>
      </c>
      <c r="W3932">
        <v>0.2181218</v>
      </c>
      <c r="X3932">
        <v>0.97219929999999999</v>
      </c>
      <c r="Y3932">
        <v>0.1372206</v>
      </c>
      <c r="Z3932">
        <v>1.4301929999999999E-2</v>
      </c>
      <c r="AA3932">
        <v>0.99043729999999996</v>
      </c>
      <c r="AB3932">
        <v>43</v>
      </c>
      <c r="AC3932">
        <v>-0.41919999999998903</v>
      </c>
      <c r="AD3932">
        <v>-0.17242869999999899</v>
      </c>
      <c r="AE3932">
        <v>0.12269999999998001</v>
      </c>
      <c r="AF3932">
        <v>0.105750229634637</v>
      </c>
      <c r="AG3932">
        <v>-0.17242869999999899</v>
      </c>
      <c r="AH3932">
        <v>0.36279884040226901</v>
      </c>
      <c r="AI3932">
        <v>114.526501097677</v>
      </c>
      <c r="AJ3932">
        <v>73.749416157420995</v>
      </c>
      <c r="AK3932">
        <v>0.41537665587837203</v>
      </c>
      <c r="AL3932">
        <v>77.401259468054107</v>
      </c>
      <c r="AM3932">
        <v>84.994189850829599</v>
      </c>
      <c r="AN3932">
        <v>1.0000000510084499</v>
      </c>
    </row>
    <row r="3933" spans="1:40" x14ac:dyDescent="0.25">
      <c r="A3933" t="str">
        <f>"20190303171055933"</f>
        <v>20190303171055933</v>
      </c>
      <c r="B3933" t="str">
        <f>"1551604255924402"</f>
        <v>1551604255924402</v>
      </c>
      <c r="C3933" t="s">
        <v>40</v>
      </c>
      <c r="D3933">
        <v>5.1116789999999996</v>
      </c>
      <c r="E3933">
        <v>0.53387589999999996</v>
      </c>
      <c r="F3933" t="s">
        <v>43</v>
      </c>
      <c r="G3933">
        <v>-362.67509999999999</v>
      </c>
      <c r="H3933">
        <v>0.95771249999999997</v>
      </c>
      <c r="I3933">
        <v>141.80359999999999</v>
      </c>
      <c r="J3933">
        <v>-362.30590000000001</v>
      </c>
      <c r="K3933">
        <v>1.120997</v>
      </c>
      <c r="L3933">
        <v>141.6874</v>
      </c>
      <c r="M3933">
        <v>-0.99989470000000003</v>
      </c>
      <c r="N3933">
        <v>-1.447118E-2</v>
      </c>
      <c r="O3933">
        <v>1.120221E-3</v>
      </c>
      <c r="P3933">
        <v>-0.97514100000000004</v>
      </c>
      <c r="Q3933">
        <v>0.2038208</v>
      </c>
      <c r="R3933">
        <v>8.6934189999999995E-2</v>
      </c>
      <c r="S3933">
        <v>-3.1699220000000001</v>
      </c>
      <c r="T3933">
        <v>-0.63927529999999999</v>
      </c>
      <c r="U3933">
        <v>0.4550323</v>
      </c>
      <c r="V3933">
        <v>8.5850129999999997E-2</v>
      </c>
      <c r="W3933">
        <v>0.21790909999999999</v>
      </c>
      <c r="X3933">
        <v>0.97218590000000005</v>
      </c>
      <c r="Y3933">
        <v>0.13807369999999999</v>
      </c>
      <c r="Z3933">
        <v>1.452373E-2</v>
      </c>
      <c r="AA3933">
        <v>0.99031539999999996</v>
      </c>
      <c r="AB3933">
        <v>43</v>
      </c>
      <c r="AC3933">
        <v>-0.36919999999997699</v>
      </c>
      <c r="AD3933">
        <v>-0.1632845</v>
      </c>
      <c r="AE3933">
        <v>0.116199999999992</v>
      </c>
      <c r="AF3933">
        <v>9.8293106760610996E-2</v>
      </c>
      <c r="AG3933">
        <v>-0.1632845</v>
      </c>
      <c r="AH3933">
        <v>0.31353095255257002</v>
      </c>
      <c r="AI3933">
        <v>116.42478484609001</v>
      </c>
      <c r="AJ3933">
        <v>72.593600073981605</v>
      </c>
      <c r="AK3933">
        <v>0.366912824776438</v>
      </c>
      <c r="AL3933">
        <v>77.413746289338405</v>
      </c>
      <c r="AM3933">
        <v>84.953512617422405</v>
      </c>
      <c r="AN3933">
        <v>1.0000000224213099</v>
      </c>
    </row>
    <row r="3934" spans="1:40" x14ac:dyDescent="0.25">
      <c r="A3934" t="str">
        <f>"20190303171055953"</f>
        <v>20190303171055953</v>
      </c>
      <c r="B3934" t="str">
        <f>"1551604255944898"</f>
        <v>1551604255944898</v>
      </c>
      <c r="C3934" t="s">
        <v>40</v>
      </c>
      <c r="D3934">
        <v>5.1696200000000001</v>
      </c>
      <c r="E3934">
        <v>0.53406509999999996</v>
      </c>
      <c r="F3934" t="s">
        <v>43</v>
      </c>
      <c r="G3934">
        <v>-363.06529999999998</v>
      </c>
      <c r="H3934">
        <v>0.96661529999999996</v>
      </c>
      <c r="I3934">
        <v>141.79740000000001</v>
      </c>
      <c r="J3934">
        <v>-362.70580000000001</v>
      </c>
      <c r="K3934">
        <v>1.120986</v>
      </c>
      <c r="L3934">
        <v>141.68790000000001</v>
      </c>
      <c r="M3934">
        <v>-0.99989479999999997</v>
      </c>
      <c r="N3934">
        <v>-1.446887E-2</v>
      </c>
      <c r="O3934">
        <v>1.1199409999999999E-3</v>
      </c>
      <c r="P3934">
        <v>-0.97524109999999997</v>
      </c>
      <c r="Q3934">
        <v>0.20314370000000001</v>
      </c>
      <c r="R3934">
        <v>8.7393570000000004E-2</v>
      </c>
      <c r="S3934">
        <v>-3.1703800000000002</v>
      </c>
      <c r="T3934">
        <v>-0.64455019999999996</v>
      </c>
      <c r="U3934">
        <v>0.45829769999999997</v>
      </c>
      <c r="V3934">
        <v>8.6309399999999994E-2</v>
      </c>
      <c r="W3934">
        <v>0.21723100000000001</v>
      </c>
      <c r="X3934">
        <v>0.97229699999999997</v>
      </c>
      <c r="Y3934">
        <v>0.13898859999999999</v>
      </c>
      <c r="Z3934">
        <v>1.4728440000000001E-2</v>
      </c>
      <c r="AA3934">
        <v>0.99018439999999996</v>
      </c>
      <c r="AB3934">
        <v>43</v>
      </c>
      <c r="AC3934">
        <v>-0.35949999999996801</v>
      </c>
      <c r="AD3934">
        <v>-0.154370699999999</v>
      </c>
      <c r="AE3934">
        <v>0.109499999999997</v>
      </c>
      <c r="AF3934">
        <v>9.33465779547695E-2</v>
      </c>
      <c r="AG3934">
        <v>-0.154370699999999</v>
      </c>
      <c r="AH3934">
        <v>0.30770267867280299</v>
      </c>
      <c r="AI3934">
        <v>115.644859459641</v>
      </c>
      <c r="AJ3934">
        <v>73.123978480610901</v>
      </c>
      <c r="AK3934">
        <v>0.35668590538003297</v>
      </c>
      <c r="AL3934">
        <v>77.453552316891802</v>
      </c>
      <c r="AM3934">
        <v>84.927232771205396</v>
      </c>
      <c r="AN3934">
        <v>1.00000003804917</v>
      </c>
    </row>
    <row r="3935" spans="1:40" x14ac:dyDescent="0.25">
      <c r="A3935" t="str">
        <f>"20190303171055971"</f>
        <v>20190303171055971</v>
      </c>
      <c r="B3935" t="str">
        <f>"1551604255964418"</f>
        <v>1551604255964418</v>
      </c>
      <c r="C3935" t="s">
        <v>40</v>
      </c>
      <c r="D3935">
        <v>5.1538490000000001</v>
      </c>
      <c r="E3935">
        <v>0.50813770000000003</v>
      </c>
      <c r="F3935" t="s">
        <v>43</v>
      </c>
      <c r="G3935">
        <v>-363.45170000000002</v>
      </c>
      <c r="H3935">
        <v>0.96817229999999999</v>
      </c>
      <c r="I3935">
        <v>141.79669999999999</v>
      </c>
      <c r="J3935">
        <v>-363.03699999999998</v>
      </c>
      <c r="K3935">
        <v>1.1209830000000001</v>
      </c>
      <c r="L3935">
        <v>141.68819999999999</v>
      </c>
      <c r="M3935">
        <v>-0.99989490000000003</v>
      </c>
      <c r="N3935">
        <v>-1.4466949999999999E-2</v>
      </c>
      <c r="O3935">
        <v>1.119777E-3</v>
      </c>
      <c r="P3935">
        <v>-0.97521530000000001</v>
      </c>
      <c r="Q3935">
        <v>0.20318559999999999</v>
      </c>
      <c r="R3935">
        <v>8.7585070000000001E-2</v>
      </c>
      <c r="S3935">
        <v>-3.170105</v>
      </c>
      <c r="T3935">
        <v>-0.64953399999999994</v>
      </c>
      <c r="U3935">
        <v>0.46116639999999998</v>
      </c>
      <c r="V3935">
        <v>8.6501220000000004E-2</v>
      </c>
      <c r="W3935">
        <v>0.21727099999999999</v>
      </c>
      <c r="X3935">
        <v>0.972271</v>
      </c>
      <c r="Y3935">
        <v>0.1398162</v>
      </c>
      <c r="Z3935">
        <v>1.492216E-2</v>
      </c>
      <c r="AA3935">
        <v>0.99006499999999997</v>
      </c>
      <c r="AB3935">
        <v>43</v>
      </c>
      <c r="AC3935">
        <v>-0.41470000000003798</v>
      </c>
      <c r="AD3935">
        <v>-0.15281069999999999</v>
      </c>
      <c r="AE3935">
        <v>0.10849999999999201</v>
      </c>
      <c r="AF3935">
        <v>9.5854170414836001E-2</v>
      </c>
      <c r="AG3935">
        <v>-0.15281069999999999</v>
      </c>
      <c r="AH3935">
        <v>0.36804885665506298</v>
      </c>
      <c r="AI3935">
        <v>111.889697484346</v>
      </c>
      <c r="AJ3935">
        <v>75.402241561643393</v>
      </c>
      <c r="AK3935">
        <v>0.409876924094911</v>
      </c>
      <c r="AL3935">
        <v>77.451204215521898</v>
      </c>
      <c r="AM3935">
        <v>84.915882479245397</v>
      </c>
      <c r="AN3935">
        <v>1.0000000229717401</v>
      </c>
    </row>
    <row r="3936" spans="1:40" x14ac:dyDescent="0.25">
      <c r="A3936" t="str">
        <f>"20190303171055987"</f>
        <v>20190303171055987</v>
      </c>
      <c r="B3936" t="str">
        <f>"1551604255975155"</f>
        <v>1551604255975155</v>
      </c>
      <c r="C3936" t="s">
        <v>40</v>
      </c>
      <c r="D3936">
        <v>5.1488509999999996</v>
      </c>
      <c r="E3936">
        <v>0.50032979999999905</v>
      </c>
      <c r="F3936" t="s">
        <v>43</v>
      </c>
      <c r="G3936">
        <v>-363.8381</v>
      </c>
      <c r="H3936">
        <v>0.97094329999999995</v>
      </c>
      <c r="I3936">
        <v>141.75360000000001</v>
      </c>
      <c r="J3936">
        <v>-363.35160000000002</v>
      </c>
      <c r="K3936">
        <v>1.1209830000000001</v>
      </c>
      <c r="L3936">
        <v>141.68860000000001</v>
      </c>
      <c r="M3936">
        <v>-0.99989479999999997</v>
      </c>
      <c r="N3936">
        <v>-1.446509E-2</v>
      </c>
      <c r="O3936">
        <v>1.1197889999999999E-3</v>
      </c>
      <c r="P3936">
        <v>-0.97507080000000002</v>
      </c>
      <c r="Q3936">
        <v>0.20379920000000001</v>
      </c>
      <c r="R3936">
        <v>8.7765629999999997E-2</v>
      </c>
      <c r="S3936">
        <v>-3.1770019999999999</v>
      </c>
      <c r="T3936">
        <v>-0.59500359999999997</v>
      </c>
      <c r="U3936">
        <v>0.2582855</v>
      </c>
      <c r="V3936">
        <v>8.6681750000000002E-2</v>
      </c>
      <c r="W3936">
        <v>0.2178802</v>
      </c>
      <c r="X3936">
        <v>0.97211860000000005</v>
      </c>
      <c r="Y3936">
        <v>7.8468839999999998E-2</v>
      </c>
      <c r="Z3936">
        <v>7.6551900000000001E-3</v>
      </c>
      <c r="AA3936">
        <v>0.99688710000000003</v>
      </c>
      <c r="AB3936">
        <v>43</v>
      </c>
      <c r="AC3936">
        <v>-0.48649999999997801</v>
      </c>
      <c r="AD3936">
        <v>-0.1500397</v>
      </c>
      <c r="AE3936">
        <v>6.4999999999997699E-2</v>
      </c>
      <c r="AF3936">
        <v>5.89467630177858E-2</v>
      </c>
      <c r="AG3936">
        <v>-0.1500397</v>
      </c>
      <c r="AH3936">
        <v>0.44498980068441402</v>
      </c>
      <c r="AI3936">
        <v>108.482495551773</v>
      </c>
      <c r="AJ3936">
        <v>82.454094526871302</v>
      </c>
      <c r="AK3936">
        <v>0.47328908202019598</v>
      </c>
      <c r="AL3936">
        <v>77.415443126635694</v>
      </c>
      <c r="AM3936">
        <v>84.904533101750204</v>
      </c>
      <c r="AN3936">
        <v>1.00000003990053</v>
      </c>
    </row>
    <row r="3937" spans="1:40" x14ac:dyDescent="0.25">
      <c r="A3937" t="str">
        <f>"20190303171056004"</f>
        <v>20190303171056004</v>
      </c>
      <c r="B3937" t="str">
        <f>"1551604255994674"</f>
        <v>1551604255994674</v>
      </c>
      <c r="C3937" t="s">
        <v>40</v>
      </c>
      <c r="D3937">
        <v>5.2061820000000001</v>
      </c>
      <c r="E3937">
        <v>0.4623583</v>
      </c>
      <c r="F3937" t="s">
        <v>43</v>
      </c>
      <c r="G3937">
        <v>-364.226</v>
      </c>
      <c r="H3937">
        <v>0.97623280000000001</v>
      </c>
      <c r="I3937">
        <v>141.7441</v>
      </c>
      <c r="J3937">
        <v>-363.69139999999999</v>
      </c>
      <c r="K3937">
        <v>1.120986</v>
      </c>
      <c r="L3937">
        <v>141.68899999999999</v>
      </c>
      <c r="M3937">
        <v>-0.99989490000000003</v>
      </c>
      <c r="N3937">
        <v>-1.446306E-2</v>
      </c>
      <c r="O3937">
        <v>1.1198029999999999E-3</v>
      </c>
      <c r="P3937">
        <v>-0.9749871</v>
      </c>
      <c r="Q3937">
        <v>0.20414389999999999</v>
      </c>
      <c r="R3937">
        <v>8.7894239999999998E-2</v>
      </c>
      <c r="S3937">
        <v>-3.168304</v>
      </c>
      <c r="T3937">
        <v>-0.52451809999999999</v>
      </c>
      <c r="U3937">
        <v>0.2002563</v>
      </c>
      <c r="V3937">
        <v>8.6810369999999998E-2</v>
      </c>
      <c r="W3937">
        <v>0.21822179999999999</v>
      </c>
      <c r="X3937">
        <v>0.97203050000000002</v>
      </c>
      <c r="Y3937">
        <v>6.1073629999999997E-2</v>
      </c>
      <c r="Z3937">
        <v>5.2938330000000004E-3</v>
      </c>
      <c r="AA3937">
        <v>0.99811919999999998</v>
      </c>
      <c r="AB3937">
        <v>43</v>
      </c>
      <c r="AC3937">
        <v>-0.53460000000001096</v>
      </c>
      <c r="AD3937">
        <v>-0.144753199999999</v>
      </c>
      <c r="AE3937">
        <v>5.5100000000010099E-2</v>
      </c>
      <c r="AF3937">
        <v>5.0814875813250102E-2</v>
      </c>
      <c r="AG3937">
        <v>-0.144753199999999</v>
      </c>
      <c r="AH3937">
        <v>0.49849770675211502</v>
      </c>
      <c r="AI3937">
        <v>106.113046958496</v>
      </c>
      <c r="AJ3937">
        <v>84.179600134743893</v>
      </c>
      <c r="AK3937">
        <v>0.52157032522112901</v>
      </c>
      <c r="AL3937">
        <v>77.395388365542104</v>
      </c>
      <c r="AM3937">
        <v>84.896552176191904</v>
      </c>
      <c r="AN3937">
        <v>1.00000004363251</v>
      </c>
    </row>
    <row r="3938" spans="1:40" x14ac:dyDescent="0.25">
      <c r="A3938" t="str">
        <f>"20190303171056022"</f>
        <v>20190303171056022</v>
      </c>
      <c r="B3938" t="str">
        <f>"1551604256015170"</f>
        <v>1551604256015170</v>
      </c>
      <c r="C3938" t="s">
        <v>40</v>
      </c>
      <c r="D3938">
        <v>5.1671239999999896</v>
      </c>
      <c r="E3938">
        <v>0.45854240000000002</v>
      </c>
      <c r="F3938" t="s">
        <v>42</v>
      </c>
      <c r="G3938">
        <v>-382.4794</v>
      </c>
      <c r="H3938" s="1">
        <v>-3.6276819999999999E-6</v>
      </c>
      <c r="I3938">
        <v>141.19120000000001</v>
      </c>
      <c r="J3938">
        <v>-364.02199999999999</v>
      </c>
      <c r="K3938">
        <v>1.1209929999999999</v>
      </c>
      <c r="L3938">
        <v>141.6893</v>
      </c>
      <c r="M3938">
        <v>-0.99989479999999997</v>
      </c>
      <c r="N3938">
        <v>-1.4461069999999999E-2</v>
      </c>
      <c r="O3938">
        <v>1.1198169999999999E-3</v>
      </c>
      <c r="P3938">
        <v>-0.97493549999999995</v>
      </c>
      <c r="Q3938">
        <v>0.2045478</v>
      </c>
      <c r="R3938">
        <v>8.7526980000000004E-2</v>
      </c>
      <c r="S3938">
        <v>-3.1234130000000002</v>
      </c>
      <c r="T3938">
        <v>-0.18635979999999999</v>
      </c>
      <c r="U3938">
        <v>-8.2733150000000005E-2</v>
      </c>
      <c r="V3938">
        <v>8.6443220000000001E-2</v>
      </c>
      <c r="W3938">
        <v>0.2186234</v>
      </c>
      <c r="X3938">
        <v>0.97197290000000003</v>
      </c>
      <c r="Y3938">
        <v>-2.7536330000000001E-2</v>
      </c>
      <c r="Z3938">
        <v>-1.07054E-3</v>
      </c>
      <c r="AA3938">
        <v>0.99962030000000002</v>
      </c>
      <c r="AB3938">
        <v>43</v>
      </c>
      <c r="AC3938">
        <v>-18.4574</v>
      </c>
      <c r="AD3938">
        <v>-1.120996627682</v>
      </c>
      <c r="AE3938">
        <v>-0.49809999999999299</v>
      </c>
      <c r="AF3938">
        <v>-0.51686561018272903</v>
      </c>
      <c r="AG3938">
        <v>-1.120996627682</v>
      </c>
      <c r="AH3938">
        <v>18.3890491646562</v>
      </c>
      <c r="AI3938">
        <v>93.487060689025</v>
      </c>
      <c r="AJ3938">
        <v>91.610002936235801</v>
      </c>
      <c r="AK3938">
        <v>18.430434413719201</v>
      </c>
      <c r="AL3938">
        <v>77.371808094031707</v>
      </c>
      <c r="AM3938">
        <v>84.917723508572195</v>
      </c>
      <c r="AN3938">
        <v>0.99999996982296802</v>
      </c>
    </row>
    <row r="3939" spans="1:40" x14ac:dyDescent="0.25">
      <c r="A3939" t="str">
        <f>"20190303171056043"</f>
        <v>20190303171056043</v>
      </c>
      <c r="B3939" t="str">
        <f>"1551604256034690"</f>
        <v>1551604256034690</v>
      </c>
      <c r="C3939" t="s">
        <v>40</v>
      </c>
      <c r="D3939">
        <v>5.1845280000000002</v>
      </c>
      <c r="E3939">
        <v>0.45713910000000002</v>
      </c>
      <c r="F3939" t="s">
        <v>42</v>
      </c>
      <c r="G3939">
        <v>-389.30259999999998</v>
      </c>
      <c r="H3939" s="1">
        <v>-5.9300659999999999E-7</v>
      </c>
      <c r="I3939">
        <v>140.78700000000001</v>
      </c>
      <c r="J3939">
        <v>-364.43790000000001</v>
      </c>
      <c r="K3939">
        <v>1.1209929999999999</v>
      </c>
      <c r="L3939">
        <v>141.68979999999999</v>
      </c>
      <c r="M3939">
        <v>-0.99989499999999998</v>
      </c>
      <c r="N3939">
        <v>-1.4458550000000001E-2</v>
      </c>
      <c r="O3939">
        <v>1.1196559999999999E-3</v>
      </c>
      <c r="P3939">
        <v>-0.97515399999999997</v>
      </c>
      <c r="Q3939">
        <v>0.20381450000000001</v>
      </c>
      <c r="R3939">
        <v>8.6801299999999998E-2</v>
      </c>
      <c r="S3939">
        <v>-3.1160580000000002</v>
      </c>
      <c r="T3939">
        <v>-0.1381725</v>
      </c>
      <c r="U3939">
        <v>-0.1112061</v>
      </c>
      <c r="V3939">
        <v>8.5717440000000006E-2</v>
      </c>
      <c r="W3939">
        <v>0.2178909</v>
      </c>
      <c r="X3939">
        <v>0.9722016</v>
      </c>
      <c r="Y3939">
        <v>-3.6736060000000001E-2</v>
      </c>
      <c r="Z3939">
        <v>-1.1130929999999999E-3</v>
      </c>
      <c r="AA3939">
        <v>0.9993244</v>
      </c>
      <c r="AB3939">
        <v>43</v>
      </c>
      <c r="AC3939">
        <v>-24.8646999999999</v>
      </c>
      <c r="AD3939">
        <v>-1.1209935930066</v>
      </c>
      <c r="AE3939">
        <v>-0.90279999999998495</v>
      </c>
      <c r="AF3939">
        <v>-0.92875699707889903</v>
      </c>
      <c r="AG3939">
        <v>-1.1209935930066</v>
      </c>
      <c r="AH3939">
        <v>24.813305761159</v>
      </c>
      <c r="AI3939">
        <v>92.584891629528698</v>
      </c>
      <c r="AJ3939">
        <v>92.143568729541499</v>
      </c>
      <c r="AK3939">
        <v>24.855972300273201</v>
      </c>
      <c r="AL3939">
        <v>77.4148136592094</v>
      </c>
      <c r="AM3939">
        <v>84.961353237721696</v>
      </c>
      <c r="AN3939">
        <v>0.99999993743275895</v>
      </c>
    </row>
    <row r="3940" spans="1:40" x14ac:dyDescent="0.25">
      <c r="A3940" t="str">
        <f>"20190303171056061"</f>
        <v>20190303171056061</v>
      </c>
      <c r="B3940" t="str">
        <f>"1551604256054210"</f>
        <v>1551604256054210</v>
      </c>
      <c r="C3940" t="s">
        <v>40</v>
      </c>
      <c r="D3940">
        <v>5.1691969999999996</v>
      </c>
      <c r="E3940">
        <v>0.45644620000000002</v>
      </c>
      <c r="F3940" t="s">
        <v>42</v>
      </c>
      <c r="G3940">
        <v>-391.80520000000001</v>
      </c>
      <c r="H3940" s="1">
        <v>-3.7615290000000001E-6</v>
      </c>
      <c r="I3940">
        <v>140.6071</v>
      </c>
      <c r="J3940">
        <v>-364.77179999999998</v>
      </c>
      <c r="K3940">
        <v>1.120994</v>
      </c>
      <c r="L3940">
        <v>141.6902</v>
      </c>
      <c r="M3940">
        <v>-0.99989499999999998</v>
      </c>
      <c r="N3940">
        <v>-1.4456510000000001E-2</v>
      </c>
      <c r="O3940">
        <v>1.1194919999999999E-3</v>
      </c>
      <c r="P3940">
        <v>-0.97510450000000004</v>
      </c>
      <c r="Q3940">
        <v>0.20403260000000001</v>
      </c>
      <c r="R3940">
        <v>8.6844550000000006E-2</v>
      </c>
      <c r="S3940">
        <v>-3.1140439999999998</v>
      </c>
      <c r="T3940">
        <v>-0.127555</v>
      </c>
      <c r="U3940">
        <v>-0.12318419999999999</v>
      </c>
      <c r="V3940">
        <v>8.5760829999999996E-2</v>
      </c>
      <c r="W3940">
        <v>0.21810589999999999</v>
      </c>
      <c r="X3940">
        <v>0.97214959999999995</v>
      </c>
      <c r="Y3940">
        <v>-4.059902E-2</v>
      </c>
      <c r="Z3940">
        <v>-1.154221E-3</v>
      </c>
      <c r="AA3940">
        <v>0.99917480000000003</v>
      </c>
      <c r="AB3940">
        <v>43</v>
      </c>
      <c r="AC3940">
        <v>-27.0334</v>
      </c>
      <c r="AD3940">
        <v>-1.1209977615289901</v>
      </c>
      <c r="AE3940">
        <v>-1.0831</v>
      </c>
      <c r="AF3940">
        <v>-1.11145803982031</v>
      </c>
      <c r="AG3940">
        <v>-1.1209977615289901</v>
      </c>
      <c r="AH3940">
        <v>26.985841982542599</v>
      </c>
      <c r="AI3940">
        <v>92.376698896441496</v>
      </c>
      <c r="AJ3940">
        <v>92.358491635524103</v>
      </c>
      <c r="AK3940">
        <v>27.031974446244</v>
      </c>
      <c r="AL3940">
        <v>77.402191962145196</v>
      </c>
      <c r="AM3940">
        <v>84.9585475623295</v>
      </c>
      <c r="AN3940">
        <v>0.99999997417862896</v>
      </c>
    </row>
    <row r="3941" spans="1:40" x14ac:dyDescent="0.25">
      <c r="A3941" t="str">
        <f>"20190303171056076"</f>
        <v>20190303171056076</v>
      </c>
      <c r="B3941" t="str">
        <f>"1551604256064946"</f>
        <v>1551604256064946</v>
      </c>
      <c r="C3941" t="s">
        <v>40</v>
      </c>
      <c r="D3941">
        <v>5.1654749999999998</v>
      </c>
      <c r="E3941">
        <v>0.4561286</v>
      </c>
      <c r="F3941" t="s">
        <v>42</v>
      </c>
      <c r="G3941">
        <v>-393.15289999999999</v>
      </c>
      <c r="H3941" s="1">
        <v>-3.1604549999999999E-6</v>
      </c>
      <c r="I3941">
        <v>140.52099999999999</v>
      </c>
      <c r="J3941">
        <v>-365.07260000000002</v>
      </c>
      <c r="K3941">
        <v>1.121</v>
      </c>
      <c r="L3941">
        <v>141.69049999999999</v>
      </c>
      <c r="M3941">
        <v>-0.99989499999999998</v>
      </c>
      <c r="N3941">
        <v>-1.4454669999999999E-2</v>
      </c>
      <c r="O3941">
        <v>1.1193259999999999E-3</v>
      </c>
      <c r="P3941">
        <v>-0.97488419999999998</v>
      </c>
      <c r="Q3941">
        <v>0.20482439999999999</v>
      </c>
      <c r="R3941">
        <v>8.7453240000000002E-2</v>
      </c>
      <c r="S3941">
        <v>-3.1137389999999998</v>
      </c>
      <c r="T3941">
        <v>-0.1229869</v>
      </c>
      <c r="U3941">
        <v>-0.1282654</v>
      </c>
      <c r="V3941">
        <v>8.6370160000000001E-2</v>
      </c>
      <c r="W3941">
        <v>0.2188928</v>
      </c>
      <c r="X3941">
        <v>0.97191879999999997</v>
      </c>
      <c r="Y3941">
        <v>-4.2231640000000001E-2</v>
      </c>
      <c r="Z3941">
        <v>-1.1668939999999999E-3</v>
      </c>
      <c r="AA3941">
        <v>0.99910719999999997</v>
      </c>
      <c r="AB3941">
        <v>43</v>
      </c>
      <c r="AC3941">
        <v>-28.080299999999902</v>
      </c>
      <c r="AD3941">
        <v>-1.1210031604549999</v>
      </c>
      <c r="AE3941">
        <v>-1.16949999999997</v>
      </c>
      <c r="AF3941">
        <v>-1.1990259633165199</v>
      </c>
      <c r="AG3941">
        <v>-1.1210031604549999</v>
      </c>
      <c r="AH3941">
        <v>28.034371832029699</v>
      </c>
      <c r="AI3941">
        <v>92.287762285660904</v>
      </c>
      <c r="AJ3941">
        <v>92.449039487054606</v>
      </c>
      <c r="AK3941">
        <v>28.082384431578401</v>
      </c>
      <c r="AL3941">
        <v>77.355989961640304</v>
      </c>
      <c r="AM3941">
        <v>84.921715295307706</v>
      </c>
      <c r="AN3941">
        <v>1.0000000081118501</v>
      </c>
    </row>
    <row r="3942" spans="1:40" x14ac:dyDescent="0.25">
      <c r="A3942" t="str">
        <f>"20190303171056101"</f>
        <v>20190303171056101</v>
      </c>
      <c r="B3942" t="str">
        <f>"1551604256095203"</f>
        <v>1551604256095203</v>
      </c>
      <c r="C3942" t="s">
        <v>40</v>
      </c>
      <c r="D3942">
        <v>5.1425530000000004</v>
      </c>
      <c r="E3942">
        <v>0.45565260000000002</v>
      </c>
      <c r="F3942" t="s">
        <v>42</v>
      </c>
      <c r="G3942">
        <v>-394.71269999999998</v>
      </c>
      <c r="H3942" s="1">
        <v>-2.4756379999999998E-6</v>
      </c>
      <c r="I3942">
        <v>140.46209999999999</v>
      </c>
      <c r="J3942">
        <v>-365.52170000000001</v>
      </c>
      <c r="K3942">
        <v>1.1210070000000001</v>
      </c>
      <c r="L3942">
        <v>141.691</v>
      </c>
      <c r="M3942">
        <v>-0.99989499999999998</v>
      </c>
      <c r="N3942">
        <v>-1.445186E-2</v>
      </c>
      <c r="O3942">
        <v>1.119227E-3</v>
      </c>
      <c r="P3942">
        <v>-0.97459759999999995</v>
      </c>
      <c r="Q3942">
        <v>0.20558009999999999</v>
      </c>
      <c r="R3942">
        <v>8.886376E-2</v>
      </c>
      <c r="S3942">
        <v>-3.1135860000000002</v>
      </c>
      <c r="T3942">
        <v>-0.1177576</v>
      </c>
      <c r="U3942">
        <v>-0.12902830000000001</v>
      </c>
      <c r="V3942">
        <v>8.7781189999999995E-2</v>
      </c>
      <c r="W3942">
        <v>0.2196418</v>
      </c>
      <c r="X3942">
        <v>0.97162340000000003</v>
      </c>
      <c r="Y3942">
        <v>-4.248101E-2</v>
      </c>
      <c r="Z3942">
        <v>-1.136092E-3</v>
      </c>
      <c r="AA3942">
        <v>0.9990966</v>
      </c>
      <c r="AB3942">
        <v>43</v>
      </c>
      <c r="AC3942">
        <v>-29.190999999999899</v>
      </c>
      <c r="AD3942">
        <v>-1.12100947563799</v>
      </c>
      <c r="AE3942">
        <v>-1.2289000000000001</v>
      </c>
      <c r="AF3942">
        <v>-1.2597195017637699</v>
      </c>
      <c r="AG3942">
        <v>-1.12100947563799</v>
      </c>
      <c r="AH3942">
        <v>29.146697885081501</v>
      </c>
      <c r="AI3942">
        <v>92.200511814880898</v>
      </c>
      <c r="AJ3942">
        <v>92.474781886240095</v>
      </c>
      <c r="AK3942">
        <v>29.195437196106599</v>
      </c>
      <c r="AL3942">
        <v>77.312005510940395</v>
      </c>
      <c r="AM3942">
        <v>84.837635203658706</v>
      </c>
      <c r="AN3942">
        <v>1.0000000445263</v>
      </c>
    </row>
    <row r="3943" spans="1:40" x14ac:dyDescent="0.25">
      <c r="A3943" t="str">
        <f>"20190303171056122"</f>
        <v>20190303171056122</v>
      </c>
      <c r="B3943" t="str">
        <f>"1551604256114722"</f>
        <v>1551604256114722</v>
      </c>
      <c r="C3943" t="s">
        <v>40</v>
      </c>
      <c r="D3943">
        <v>5.1265349999999996</v>
      </c>
      <c r="E3943">
        <v>0.45540429999999998</v>
      </c>
      <c r="F3943" t="s">
        <v>42</v>
      </c>
      <c r="G3943">
        <v>-396.86099999999999</v>
      </c>
      <c r="H3943" s="1">
        <v>-1.536861E-6</v>
      </c>
      <c r="I3943">
        <v>140.39769999999999</v>
      </c>
      <c r="J3943">
        <v>-365.94529999999997</v>
      </c>
      <c r="K3943">
        <v>1.1210199999999999</v>
      </c>
      <c r="L3943">
        <v>141.69149999999999</v>
      </c>
      <c r="M3943">
        <v>-0.99989510000000004</v>
      </c>
      <c r="N3943">
        <v>-1.444924E-2</v>
      </c>
      <c r="O3943">
        <v>1.118888E-3</v>
      </c>
      <c r="P3943">
        <v>-0.9743522</v>
      </c>
      <c r="Q3943">
        <v>0.20615510000000001</v>
      </c>
      <c r="R3943">
        <v>9.0211440000000004E-2</v>
      </c>
      <c r="S3943">
        <v>-3.1134029999999999</v>
      </c>
      <c r="T3943">
        <v>-0.11136649999999999</v>
      </c>
      <c r="U3943">
        <v>-0.12847900000000001</v>
      </c>
      <c r="V3943">
        <v>8.9129429999999996E-2</v>
      </c>
      <c r="W3943">
        <v>0.22021019999999999</v>
      </c>
      <c r="X3943">
        <v>0.97137189999999995</v>
      </c>
      <c r="Y3943">
        <v>-4.2311149999999999E-2</v>
      </c>
      <c r="Z3943">
        <v>-1.0859719999999999E-3</v>
      </c>
      <c r="AA3943">
        <v>0.99910390000000004</v>
      </c>
      <c r="AB3943">
        <v>43</v>
      </c>
      <c r="AC3943">
        <v>-30.915700000000001</v>
      </c>
      <c r="AD3943">
        <v>-1.1210215368609999</v>
      </c>
      <c r="AE3943">
        <v>-1.2938000000000001</v>
      </c>
      <c r="AF3943">
        <v>-1.3266527292854799</v>
      </c>
      <c r="AG3943">
        <v>-1.1210215368609999</v>
      </c>
      <c r="AH3943">
        <v>30.873710152517098</v>
      </c>
      <c r="AI3943">
        <v>92.077575359844204</v>
      </c>
      <c r="AJ3943">
        <v>92.460503446266998</v>
      </c>
      <c r="AK3943">
        <v>30.9225269881339</v>
      </c>
      <c r="AL3943">
        <v>77.278620365541499</v>
      </c>
      <c r="AM3943">
        <v>84.757434752190093</v>
      </c>
      <c r="AN3943">
        <v>0.99999997779288696</v>
      </c>
    </row>
    <row r="3944" spans="1:40" x14ac:dyDescent="0.25">
      <c r="A3944" t="str">
        <f>"20190303171056144"</f>
        <v>20190303171056144</v>
      </c>
      <c r="B3944" t="str">
        <f>"1551604256134242"</f>
        <v>1551604256134242</v>
      </c>
      <c r="C3944" t="s">
        <v>40</v>
      </c>
      <c r="D3944">
        <v>5.1284650000000003</v>
      </c>
      <c r="E3944">
        <v>0.45514100000000002</v>
      </c>
      <c r="F3944" t="s">
        <v>42</v>
      </c>
      <c r="G3944">
        <v>-398.10559999999998</v>
      </c>
      <c r="H3944" s="1">
        <v>-1.0021859999999999E-6</v>
      </c>
      <c r="I3944">
        <v>140.3947</v>
      </c>
      <c r="J3944">
        <v>-366.35820000000001</v>
      </c>
      <c r="K3944">
        <v>1.1210260000000001</v>
      </c>
      <c r="L3944">
        <v>141.69200000000001</v>
      </c>
      <c r="M3944">
        <v>-0.99989510000000004</v>
      </c>
      <c r="N3944">
        <v>-1.444666E-2</v>
      </c>
      <c r="O3944">
        <v>1.118728E-3</v>
      </c>
      <c r="P3944">
        <v>-0.97380940000000005</v>
      </c>
      <c r="Q3944">
        <v>0.2073731</v>
      </c>
      <c r="R3944">
        <v>9.3228210000000006E-2</v>
      </c>
      <c r="S3944">
        <v>-3.1135250000000001</v>
      </c>
      <c r="T3944">
        <v>-0.10852920000000001</v>
      </c>
      <c r="U3944">
        <v>-0.12553410000000001</v>
      </c>
      <c r="V3944">
        <v>9.2146909999999999E-2</v>
      </c>
      <c r="W3944">
        <v>0.22141810000000001</v>
      </c>
      <c r="X3944">
        <v>0.97081569999999995</v>
      </c>
      <c r="Y3944">
        <v>-4.13684E-2</v>
      </c>
      <c r="Z3944">
        <v>-1.042383E-3</v>
      </c>
      <c r="AA3944">
        <v>0.99914340000000001</v>
      </c>
      <c r="AB3944">
        <v>43</v>
      </c>
      <c r="AC3944">
        <v>-31.747399999999899</v>
      </c>
      <c r="AD3944">
        <v>-1.121027002186</v>
      </c>
      <c r="AE3944">
        <v>-1.2972999999999999</v>
      </c>
      <c r="AF3944">
        <v>-1.3311625977998001</v>
      </c>
      <c r="AG3944">
        <v>-1.121027002186</v>
      </c>
      <c r="AH3944">
        <v>31.706461206957201</v>
      </c>
      <c r="AI3944">
        <v>92.023149444485796</v>
      </c>
      <c r="AJ3944">
        <v>92.404091489048099</v>
      </c>
      <c r="AK3944">
        <v>31.754186773868</v>
      </c>
      <c r="AL3944">
        <v>77.207662498119404</v>
      </c>
      <c r="AM3944">
        <v>84.577900775073402</v>
      </c>
      <c r="AN3944">
        <v>1.0000000756983201</v>
      </c>
    </row>
    <row r="3945" spans="1:40" x14ac:dyDescent="0.25">
      <c r="A3945" t="str">
        <f>"20190303171056166"</f>
        <v>20190303171056166</v>
      </c>
      <c r="B3945" t="str">
        <f>"1551604256154738"</f>
        <v>1551604256154738</v>
      </c>
      <c r="C3945" t="s">
        <v>40</v>
      </c>
      <c r="D3945">
        <v>5.0998739999999998</v>
      </c>
      <c r="E3945">
        <v>0.45500459999999898</v>
      </c>
      <c r="F3945" t="s">
        <v>84</v>
      </c>
      <c r="G3945">
        <v>-399.98200000000003</v>
      </c>
      <c r="H3945" s="1">
        <v>-5.6861889999999998E-6</v>
      </c>
      <c r="I3945">
        <v>140.41480000000001</v>
      </c>
      <c r="J3945">
        <v>-366.77940000000001</v>
      </c>
      <c r="K3945">
        <v>1.1210249999999999</v>
      </c>
      <c r="L3945">
        <v>141.69239999999999</v>
      </c>
      <c r="M3945">
        <v>-0.99989510000000004</v>
      </c>
      <c r="N3945">
        <v>-1.444401E-2</v>
      </c>
      <c r="O3945">
        <v>1.118569E-3</v>
      </c>
      <c r="P3945">
        <v>-0.97308459999999997</v>
      </c>
      <c r="Q3945">
        <v>0.20931910000000001</v>
      </c>
      <c r="R3945">
        <v>9.6393999999999994E-2</v>
      </c>
      <c r="S3945">
        <v>-3.1141049999999999</v>
      </c>
      <c r="T3945">
        <v>-0.1038258</v>
      </c>
      <c r="U3945">
        <v>-0.11828610000000001</v>
      </c>
      <c r="V3945">
        <v>9.5313809999999999E-2</v>
      </c>
      <c r="W3945">
        <v>0.22335060000000001</v>
      </c>
      <c r="X3945">
        <v>0.97006689999999995</v>
      </c>
      <c r="Y3945">
        <v>-3.9043210000000002E-2</v>
      </c>
      <c r="Z3945">
        <v>-9.5376450000000002E-4</v>
      </c>
      <c r="AA3945">
        <v>0.99923709999999999</v>
      </c>
      <c r="AB3945">
        <v>43</v>
      </c>
      <c r="AC3945">
        <v>-33.202599999999897</v>
      </c>
      <c r="AD3945">
        <v>-1.121030686189</v>
      </c>
      <c r="AE3945">
        <v>-1.2775999999999701</v>
      </c>
      <c r="AF3945">
        <v>-1.31324763212465</v>
      </c>
      <c r="AG3945">
        <v>-1.121030686189</v>
      </c>
      <c r="AH3945">
        <v>33.163400828754298</v>
      </c>
      <c r="AI3945">
        <v>91.934531268822894</v>
      </c>
      <c r="AJ3945">
        <v>92.267688232597493</v>
      </c>
      <c r="AK3945">
        <v>33.208319494838598</v>
      </c>
      <c r="AL3945">
        <v>77.094093573984097</v>
      </c>
      <c r="AM3945">
        <v>84.388421718433094</v>
      </c>
      <c r="AN3945">
        <v>1.00000000168634</v>
      </c>
    </row>
    <row r="3946" spans="1:40" x14ac:dyDescent="0.25">
      <c r="A3946" t="str">
        <f>"20190303171056188"</f>
        <v>20190303171056188</v>
      </c>
      <c r="B3946" t="str">
        <f>"1551604256174258"</f>
        <v>1551604256174258</v>
      </c>
      <c r="C3946" t="s">
        <v>40</v>
      </c>
      <c r="D3946">
        <v>5.133578</v>
      </c>
      <c r="E3946">
        <v>0.45488909999999999</v>
      </c>
      <c r="F3946" t="s">
        <v>84</v>
      </c>
      <c r="G3946">
        <v>-403.27539999999999</v>
      </c>
      <c r="H3946" s="1">
        <v>-7.136584E-6</v>
      </c>
      <c r="I3946">
        <v>140.39019999999999</v>
      </c>
      <c r="J3946">
        <v>-367.21550000000002</v>
      </c>
      <c r="K3946">
        <v>1.1210249999999999</v>
      </c>
      <c r="L3946">
        <v>141.69290000000001</v>
      </c>
      <c r="M3946">
        <v>-0.99989510000000004</v>
      </c>
      <c r="N3946">
        <v>-1.4441290000000001E-2</v>
      </c>
      <c r="O3946">
        <v>1.11841E-3</v>
      </c>
      <c r="P3946">
        <v>-0.97324290000000002</v>
      </c>
      <c r="Q3946">
        <v>0.20758360000000001</v>
      </c>
      <c r="R3946">
        <v>9.8526799999999998E-2</v>
      </c>
      <c r="S3946">
        <v>-3.114563</v>
      </c>
      <c r="T3946">
        <v>-9.5668669999999997E-2</v>
      </c>
      <c r="U3946">
        <v>-0.1111298</v>
      </c>
      <c r="V3946">
        <v>9.7446480000000002E-2</v>
      </c>
      <c r="W3946">
        <v>0.2216147</v>
      </c>
      <c r="X3946">
        <v>0.97025309999999998</v>
      </c>
      <c r="Y3946">
        <v>-3.6750190000000002E-2</v>
      </c>
      <c r="Z3946">
        <v>-8.4784740000000002E-4</v>
      </c>
      <c r="AA3946">
        <v>0.99932410000000005</v>
      </c>
      <c r="AB3946">
        <v>43</v>
      </c>
      <c r="AC3946">
        <v>-36.059899999999899</v>
      </c>
      <c r="AD3946">
        <v>-1.1210321365839999</v>
      </c>
      <c r="AE3946">
        <v>-1.30270000000001</v>
      </c>
      <c r="AF3946">
        <v>-1.3417380880560801</v>
      </c>
      <c r="AG3946">
        <v>-1.1210321365839999</v>
      </c>
      <c r="AH3946">
        <v>36.023650042568597</v>
      </c>
      <c r="AI3946">
        <v>91.781197218873601</v>
      </c>
      <c r="AJ3946">
        <v>92.133054534437306</v>
      </c>
      <c r="AK3946">
        <v>36.066055184032102</v>
      </c>
      <c r="AL3946">
        <v>77.196109992689301</v>
      </c>
      <c r="AM3946">
        <v>84.264783069209898</v>
      </c>
      <c r="AN3946">
        <v>0.99999998489004505</v>
      </c>
    </row>
    <row r="3947" spans="1:40" x14ac:dyDescent="0.25">
      <c r="A3947" t="str">
        <f>"20190303171056211"</f>
        <v>20190303171056211</v>
      </c>
      <c r="B3947" t="str">
        <f>"1551604256204514"</f>
        <v>1551604256204514</v>
      </c>
      <c r="C3947" t="s">
        <v>40</v>
      </c>
      <c r="D3947">
        <v>5.0698499999999997</v>
      </c>
      <c r="E3947">
        <v>0.45461299999999999</v>
      </c>
      <c r="F3947" t="s">
        <v>84</v>
      </c>
      <c r="G3947">
        <v>-401.73939999999999</v>
      </c>
      <c r="H3947" s="1">
        <v>-6.51199499999999E-6</v>
      </c>
      <c r="I3947">
        <v>140.52780000000001</v>
      </c>
      <c r="J3947">
        <v>-367.64890000000003</v>
      </c>
      <c r="K3947">
        <v>1.1210059999999999</v>
      </c>
      <c r="L3947">
        <v>141.6934</v>
      </c>
      <c r="M3947">
        <v>-0.99989530000000004</v>
      </c>
      <c r="N3947">
        <v>-1.4438619999999999E-2</v>
      </c>
      <c r="O3947">
        <v>1.1181310000000001E-3</v>
      </c>
      <c r="P3947">
        <v>-0.97409210000000002</v>
      </c>
      <c r="Q3947">
        <v>0.20361360000000001</v>
      </c>
      <c r="R3947">
        <v>9.8419149999999997E-2</v>
      </c>
      <c r="S3947">
        <v>-3.114716</v>
      </c>
      <c r="T3947">
        <v>-0.10113850000000001</v>
      </c>
      <c r="U3947">
        <v>-0.1051178</v>
      </c>
      <c r="V3947">
        <v>9.7338049999999995E-2</v>
      </c>
      <c r="W3947">
        <v>0.21765499999999999</v>
      </c>
      <c r="X3947">
        <v>0.97115989999999996</v>
      </c>
      <c r="Y3947">
        <v>-3.4820469999999999E-2</v>
      </c>
      <c r="Z3947">
        <v>-8.3673039999999997E-4</v>
      </c>
      <c r="AA3947">
        <v>0.99939319999999998</v>
      </c>
      <c r="AB3947">
        <v>43</v>
      </c>
      <c r="AC3947">
        <v>-34.090499999999899</v>
      </c>
      <c r="AD3947">
        <v>-1.1210125119949901</v>
      </c>
      <c r="AE3947">
        <v>-1.16559999999998</v>
      </c>
      <c r="AF3947">
        <v>-1.20242219880343</v>
      </c>
      <c r="AG3947">
        <v>-1.1210125119949901</v>
      </c>
      <c r="AH3947">
        <v>34.052396719310799</v>
      </c>
      <c r="AI3947">
        <v>91.884335391270795</v>
      </c>
      <c r="AJ3947">
        <v>92.022327693628</v>
      </c>
      <c r="AK3947">
        <v>34.0920549472388</v>
      </c>
      <c r="AL3947">
        <v>77.428662561531297</v>
      </c>
      <c r="AM3947">
        <v>84.276435935562503</v>
      </c>
      <c r="AN3947">
        <v>0.99999997318540501</v>
      </c>
    </row>
    <row r="3948" spans="1:40" x14ac:dyDescent="0.25">
      <c r="A3948" t="str">
        <f>"20190303171056233"</f>
        <v>20190303171056233</v>
      </c>
      <c r="B3948" t="str">
        <f>"1551604256225010"</f>
        <v>1551604256225010</v>
      </c>
      <c r="C3948" t="s">
        <v>40</v>
      </c>
      <c r="D3948">
        <v>5.067971</v>
      </c>
      <c r="E3948">
        <v>0.45436690000000002</v>
      </c>
      <c r="F3948" t="s">
        <v>42</v>
      </c>
      <c r="G3948">
        <v>-398.23140000000001</v>
      </c>
      <c r="H3948" s="1">
        <v>-1.01661E-6</v>
      </c>
      <c r="I3948">
        <v>140.65190000000001</v>
      </c>
      <c r="J3948">
        <v>-368.06900000000002</v>
      </c>
      <c r="K3948">
        <v>1.1209929999999999</v>
      </c>
      <c r="L3948">
        <v>141.69390000000001</v>
      </c>
      <c r="M3948">
        <v>-0.99989519999999998</v>
      </c>
      <c r="N3948">
        <v>-1.4435989999999999E-2</v>
      </c>
      <c r="O3948">
        <v>1.1179720000000001E-3</v>
      </c>
      <c r="P3948">
        <v>-0.97490270000000001</v>
      </c>
      <c r="Q3948">
        <v>0.20011899999999999</v>
      </c>
      <c r="R3948">
        <v>9.7555820000000001E-2</v>
      </c>
      <c r="S3948">
        <v>-3.1143800000000001</v>
      </c>
      <c r="T3948">
        <v>-0.11415790000000001</v>
      </c>
      <c r="U3948">
        <v>-0.10604860000000001</v>
      </c>
      <c r="V3948">
        <v>9.6473799999999998E-2</v>
      </c>
      <c r="W3948">
        <v>0.21416950000000001</v>
      </c>
      <c r="X3948">
        <v>0.97202069999999996</v>
      </c>
      <c r="Y3948">
        <v>-3.5115830000000001E-2</v>
      </c>
      <c r="Z3948">
        <v>-9.2167829999999999E-4</v>
      </c>
      <c r="AA3948">
        <v>0.99938289999999996</v>
      </c>
      <c r="AB3948">
        <v>43</v>
      </c>
      <c r="AC3948">
        <v>-30.162399999999899</v>
      </c>
      <c r="AD3948">
        <v>-1.1209940166100001</v>
      </c>
      <c r="AE3948">
        <v>-1.042</v>
      </c>
      <c r="AF3948">
        <v>-1.07424154459272</v>
      </c>
      <c r="AG3948">
        <v>-1.1209940166100001</v>
      </c>
      <c r="AH3948">
        <v>30.119662666042998</v>
      </c>
      <c r="AI3948">
        <v>92.130098204894495</v>
      </c>
      <c r="AJ3948">
        <v>92.042633387998393</v>
      </c>
      <c r="AK3948">
        <v>30.1596535390848</v>
      </c>
      <c r="AL3948">
        <v>77.633191796555494</v>
      </c>
      <c r="AM3948">
        <v>84.331912868900105</v>
      </c>
      <c r="AN3948">
        <v>1.0000000050225899</v>
      </c>
    </row>
    <row r="3949" spans="1:40" x14ac:dyDescent="0.25">
      <c r="A3949" t="str">
        <f>"20190303171056255"</f>
        <v>20190303171056255</v>
      </c>
      <c r="B3949" t="str">
        <f>"1551604256244530"</f>
        <v>1551604256244530</v>
      </c>
      <c r="C3949" t="s">
        <v>40</v>
      </c>
      <c r="D3949">
        <v>5.0452320000000004</v>
      </c>
      <c r="E3949">
        <v>0.45413160000000002</v>
      </c>
      <c r="F3949" t="s">
        <v>42</v>
      </c>
      <c r="G3949">
        <v>-395.67970000000003</v>
      </c>
      <c r="H3949" s="1">
        <v>-2.1309140000000002E-6</v>
      </c>
      <c r="I3949">
        <v>140.72559999999999</v>
      </c>
      <c r="J3949">
        <v>-368.49040000000002</v>
      </c>
      <c r="K3949">
        <v>1.120987</v>
      </c>
      <c r="L3949">
        <v>141.6943</v>
      </c>
      <c r="M3949">
        <v>-0.99989530000000004</v>
      </c>
      <c r="N3949">
        <v>-1.4433339999999999E-2</v>
      </c>
      <c r="O3949">
        <v>1.1176339999999999E-3</v>
      </c>
      <c r="P3949">
        <v>-0.97541670000000003</v>
      </c>
      <c r="Q3949">
        <v>0.19828109999999999</v>
      </c>
      <c r="R3949">
        <v>9.6161629999999998E-2</v>
      </c>
      <c r="S3949">
        <v>-3.1140750000000001</v>
      </c>
      <c r="T3949">
        <v>-0.12643160000000001</v>
      </c>
      <c r="U3949">
        <v>-0.109191899999999</v>
      </c>
      <c r="V3949">
        <v>9.5079319999999995E-2</v>
      </c>
      <c r="W3949">
        <v>0.2123369</v>
      </c>
      <c r="X3949">
        <v>0.97255999999999998</v>
      </c>
      <c r="Y3949">
        <v>-3.6118810000000001E-2</v>
      </c>
      <c r="Z3949">
        <v>-1.022804E-3</v>
      </c>
      <c r="AA3949">
        <v>0.99934699999999999</v>
      </c>
      <c r="AB3949">
        <v>43</v>
      </c>
      <c r="AC3949">
        <v>-27.189299999999999</v>
      </c>
      <c r="AD3949">
        <v>-1.1209891309139901</v>
      </c>
      <c r="AE3949">
        <v>-0.968700000000012</v>
      </c>
      <c r="AF3949">
        <v>-0.99739698303739199</v>
      </c>
      <c r="AG3949">
        <v>-1.1209891309139901</v>
      </c>
      <c r="AH3949">
        <v>27.142121614152899</v>
      </c>
      <c r="AI3949">
        <v>92.3634193990695</v>
      </c>
      <c r="AJ3949">
        <v>92.104512553499106</v>
      </c>
      <c r="AK3949">
        <v>27.1835645766126</v>
      </c>
      <c r="AL3949">
        <v>77.740664125541102</v>
      </c>
      <c r="AM3949">
        <v>84.416398457547501</v>
      </c>
      <c r="AN3949">
        <v>0.99999999489663605</v>
      </c>
    </row>
    <row r="3950" spans="1:40" x14ac:dyDescent="0.25">
      <c r="A3950" t="str">
        <f>"20190303171056277"</f>
        <v>20190303171056277</v>
      </c>
      <c r="B3950" t="str">
        <f>"1551604256265026"</f>
        <v>1551604256265026</v>
      </c>
      <c r="C3950" t="s">
        <v>40</v>
      </c>
      <c r="D3950">
        <v>4.9990240000000004</v>
      </c>
      <c r="E3950">
        <v>0.45394420000000002</v>
      </c>
      <c r="F3950" t="s">
        <v>42</v>
      </c>
      <c r="G3950">
        <v>-394.96710000000002</v>
      </c>
      <c r="H3950" s="1">
        <v>-2.4334869999999999E-6</v>
      </c>
      <c r="I3950">
        <v>140.7139</v>
      </c>
      <c r="J3950">
        <v>-368.90499999999997</v>
      </c>
      <c r="K3950">
        <v>1.120986</v>
      </c>
      <c r="L3950">
        <v>141.69479999999999</v>
      </c>
      <c r="M3950">
        <v>-0.99989530000000004</v>
      </c>
      <c r="N3950">
        <v>-1.4430749999999999E-2</v>
      </c>
      <c r="O3950">
        <v>1.1176529999999999E-3</v>
      </c>
      <c r="P3950">
        <v>-0.97607699999999997</v>
      </c>
      <c r="Q3950">
        <v>0.19616710000000001</v>
      </c>
      <c r="R3950">
        <v>9.3767379999999997E-2</v>
      </c>
      <c r="S3950">
        <v>-3.1137700000000001</v>
      </c>
      <c r="T3950">
        <v>-0.13183339999999999</v>
      </c>
      <c r="U3950">
        <v>-0.11529540000000001</v>
      </c>
      <c r="V3950">
        <v>9.2684279999999994E-2</v>
      </c>
      <c r="W3950">
        <v>0.21023020000000001</v>
      </c>
      <c r="X3950">
        <v>0.97324860000000002</v>
      </c>
      <c r="Y3950">
        <v>-3.8073099999999999E-2</v>
      </c>
      <c r="Z3950">
        <v>-1.111498E-3</v>
      </c>
      <c r="AA3950">
        <v>0.99927429999999995</v>
      </c>
      <c r="AB3950">
        <v>43</v>
      </c>
      <c r="AC3950">
        <v>-26.062100000000001</v>
      </c>
      <c r="AD3950">
        <v>-1.1209884334869999</v>
      </c>
      <c r="AE3950">
        <v>-0.980899999999991</v>
      </c>
      <c r="AF3950">
        <v>-1.0081682800359799</v>
      </c>
      <c r="AG3950">
        <v>-1.1209884334869999</v>
      </c>
      <c r="AH3950">
        <v>26.012930154512599</v>
      </c>
      <c r="AI3950">
        <v>92.465700643328901</v>
      </c>
      <c r="AJ3950">
        <v>92.219468995071594</v>
      </c>
      <c r="AK3950">
        <v>26.056583689586699</v>
      </c>
      <c r="AL3950">
        <v>77.864156803362604</v>
      </c>
      <c r="AM3950">
        <v>84.5600216852458</v>
      </c>
      <c r="AN3950">
        <v>0.99999997507655802</v>
      </c>
    </row>
    <row r="3951" spans="1:40" x14ac:dyDescent="0.25">
      <c r="A3951" t="str">
        <f>"20190303171056302"</f>
        <v>20190303171056302</v>
      </c>
      <c r="B3951" t="str">
        <f>"1551604256296204"</f>
        <v>1551604256296204</v>
      </c>
      <c r="C3951" t="s">
        <v>40</v>
      </c>
      <c r="D3951">
        <v>4.9916460000000002</v>
      </c>
      <c r="E3951">
        <v>0.45361479999999998</v>
      </c>
      <c r="F3951" t="s">
        <v>42</v>
      </c>
      <c r="G3951">
        <v>-394.2</v>
      </c>
      <c r="H3951" s="1">
        <v>-2.756108E-6</v>
      </c>
      <c r="I3951">
        <v>140.68950000000001</v>
      </c>
      <c r="J3951">
        <v>-369.36450000000002</v>
      </c>
      <c r="K3951">
        <v>1.1209769999999999</v>
      </c>
      <c r="L3951">
        <v>141.6953</v>
      </c>
      <c r="M3951">
        <v>-0.99989530000000004</v>
      </c>
      <c r="N3951">
        <v>-1.442763E-2</v>
      </c>
      <c r="O3951">
        <v>1.117378E-3</v>
      </c>
      <c r="P3951">
        <v>-0.97682800000000003</v>
      </c>
      <c r="Q3951">
        <v>0.19391639999999999</v>
      </c>
      <c r="R3951">
        <v>9.0573150000000005E-2</v>
      </c>
      <c r="S3951">
        <v>-3.1131289999999998</v>
      </c>
      <c r="T3951">
        <v>-0.13796369999999999</v>
      </c>
      <c r="U3951">
        <v>-0.12370299999999999</v>
      </c>
      <c r="V3951">
        <v>8.948942E-2</v>
      </c>
      <c r="W3951">
        <v>0.2079878</v>
      </c>
      <c r="X3951">
        <v>0.97402909999999998</v>
      </c>
      <c r="Y3951">
        <v>-4.0767680000000001E-2</v>
      </c>
      <c r="Z3951">
        <v>-1.2303240000000001E-3</v>
      </c>
      <c r="AA3951">
        <v>0.9991679</v>
      </c>
      <c r="AB3951">
        <v>43</v>
      </c>
      <c r="AC3951">
        <v>-24.8354999999999</v>
      </c>
      <c r="AD3951">
        <v>-1.1209797561079999</v>
      </c>
      <c r="AE3951">
        <v>-1.00579999999999</v>
      </c>
      <c r="AF3951">
        <v>-1.03145498483513</v>
      </c>
      <c r="AG3951">
        <v>-1.1209797561079999</v>
      </c>
      <c r="AH3951">
        <v>24.7839514616632</v>
      </c>
      <c r="AI3951">
        <v>92.5874900473803</v>
      </c>
      <c r="AJ3951">
        <v>92.3831523690056</v>
      </c>
      <c r="AK3951">
        <v>24.830721798881001</v>
      </c>
      <c r="AL3951">
        <v>77.995541617266198</v>
      </c>
      <c r="AM3951">
        <v>84.750658044035802</v>
      </c>
      <c r="AN3951">
        <v>0.99999998444379301</v>
      </c>
    </row>
    <row r="3952" spans="1:40" x14ac:dyDescent="0.25">
      <c r="A3952" t="str">
        <f>"20190303171056323"</f>
        <v>20190303171056323</v>
      </c>
      <c r="B3952" t="str">
        <f>"1551604256314748"</f>
        <v>1551604256314748</v>
      </c>
      <c r="C3952" t="s">
        <v>40</v>
      </c>
      <c r="D3952">
        <v>4.952922</v>
      </c>
      <c r="E3952">
        <v>0.45343670000000003</v>
      </c>
      <c r="F3952" t="s">
        <v>42</v>
      </c>
      <c r="G3952">
        <v>-393.62799999999999</v>
      </c>
      <c r="H3952" s="1">
        <v>-2.9896109999999998E-6</v>
      </c>
      <c r="I3952">
        <v>140.64490000000001</v>
      </c>
      <c r="J3952">
        <v>-369.78829999999999</v>
      </c>
      <c r="K3952">
        <v>1.1209639999999901</v>
      </c>
      <c r="L3952">
        <v>141.69569999999999</v>
      </c>
      <c r="M3952">
        <v>-0.99989530000000004</v>
      </c>
      <c r="N3952">
        <v>-1.442501E-2</v>
      </c>
      <c r="O3952">
        <v>1.117039E-3</v>
      </c>
      <c r="P3952">
        <v>-0.97730229999999996</v>
      </c>
      <c r="Q3952">
        <v>0.19245039999999999</v>
      </c>
      <c r="R3952">
        <v>8.8561329999999994E-2</v>
      </c>
      <c r="S3952">
        <v>-3.1122130000000001</v>
      </c>
      <c r="T3952">
        <v>-0.14378540000000001</v>
      </c>
      <c r="U3952">
        <v>-0.134719799999999</v>
      </c>
      <c r="V3952">
        <v>8.7477250000000006E-2</v>
      </c>
      <c r="W3952">
        <v>0.2065263</v>
      </c>
      <c r="X3952">
        <v>0.97452280000000002</v>
      </c>
      <c r="Y3952">
        <v>-4.4300569999999997E-2</v>
      </c>
      <c r="Z3952">
        <v>-1.3776909999999999E-3</v>
      </c>
      <c r="AA3952">
        <v>0.9990173</v>
      </c>
      <c r="AB3952">
        <v>43</v>
      </c>
      <c r="AC3952">
        <v>-23.839700000000001</v>
      </c>
      <c r="AD3952">
        <v>-1.1209669896109999</v>
      </c>
      <c r="AE3952">
        <v>-1.05079999999998</v>
      </c>
      <c r="AF3952">
        <v>-1.0750596684265099</v>
      </c>
      <c r="AG3952">
        <v>-1.1209669896109999</v>
      </c>
      <c r="AH3952">
        <v>23.786022862289801</v>
      </c>
      <c r="AI3952">
        <v>92.695441669732901</v>
      </c>
      <c r="AJ3952">
        <v>92.587842902855002</v>
      </c>
      <c r="AK3952">
        <v>23.836677702394802</v>
      </c>
      <c r="AL3952">
        <v>78.081138613538997</v>
      </c>
      <c r="AM3952">
        <v>84.870638069773705</v>
      </c>
      <c r="AN3952">
        <v>1.0000000347895399</v>
      </c>
    </row>
    <row r="3953" spans="1:40" x14ac:dyDescent="0.25">
      <c r="A3953" t="str">
        <f>"20190303171056345"</f>
        <v>20190303171056345</v>
      </c>
      <c r="B3953" t="str">
        <f>"1551604256334268"</f>
        <v>1551604256334268</v>
      </c>
      <c r="C3953" t="s">
        <v>40</v>
      </c>
      <c r="D3953">
        <v>4.9373420000000001</v>
      </c>
      <c r="E3953">
        <v>0.43675700000000001</v>
      </c>
      <c r="F3953" t="s">
        <v>42</v>
      </c>
      <c r="G3953">
        <v>-393.49160000000001</v>
      </c>
      <c r="H3953" s="1">
        <v>-3.0408000000000002E-6</v>
      </c>
      <c r="I3953">
        <v>140.6174</v>
      </c>
      <c r="J3953">
        <v>-370.18599999999998</v>
      </c>
      <c r="K3953">
        <v>1.1209629999999999</v>
      </c>
      <c r="L3953">
        <v>141.6962</v>
      </c>
      <c r="M3953">
        <v>-0.99989530000000004</v>
      </c>
      <c r="N3953">
        <v>-1.442269E-2</v>
      </c>
      <c r="O3953">
        <v>1.117056E-3</v>
      </c>
      <c r="P3953">
        <v>-0.97739229999999999</v>
      </c>
      <c r="Q3953">
        <v>0.19236349999999999</v>
      </c>
      <c r="R3953">
        <v>8.7753970000000001E-2</v>
      </c>
      <c r="S3953">
        <v>-3.1114809999999999</v>
      </c>
      <c r="T3953">
        <v>-0.14714739999999901</v>
      </c>
      <c r="U3953">
        <v>-0.14154050000000001</v>
      </c>
      <c r="V3953">
        <v>8.6669910000000003E-2</v>
      </c>
      <c r="W3953">
        <v>0.20643810000000001</v>
      </c>
      <c r="X3953">
        <v>0.97461359999999997</v>
      </c>
      <c r="Y3953">
        <v>-4.6490440000000001E-2</v>
      </c>
      <c r="Z3953">
        <v>-1.4704939999999999E-3</v>
      </c>
      <c r="AA3953">
        <v>0.99891759999999996</v>
      </c>
      <c r="AB3953">
        <v>43</v>
      </c>
      <c r="AC3953">
        <v>-23.305599999999998</v>
      </c>
      <c r="AD3953">
        <v>-1.1209660408</v>
      </c>
      <c r="AE3953">
        <v>-1.0788</v>
      </c>
      <c r="AF3953">
        <v>-1.1022910293739701</v>
      </c>
      <c r="AG3953">
        <v>-1.1209660408</v>
      </c>
      <c r="AH3953">
        <v>23.250705393297899</v>
      </c>
      <c r="AI3953">
        <v>92.757122358042494</v>
      </c>
      <c r="AJ3953">
        <v>92.714299172398498</v>
      </c>
      <c r="AK3953">
        <v>23.303796078407402</v>
      </c>
      <c r="AL3953">
        <v>78.086303171692194</v>
      </c>
      <c r="AM3953">
        <v>84.918199622648402</v>
      </c>
      <c r="AN3953">
        <v>1.00000001586798</v>
      </c>
    </row>
    <row r="3954" spans="1:40" x14ac:dyDescent="0.25">
      <c r="A3954" t="str">
        <f>"20190303171056366"</f>
        <v>20190303171056366</v>
      </c>
      <c r="B3954" t="str">
        <f>"1551604256354763"</f>
        <v>1551604256354763</v>
      </c>
      <c r="C3954" t="s">
        <v>40</v>
      </c>
      <c r="D3954">
        <v>4.888261</v>
      </c>
      <c r="E3954">
        <v>0.42506949999999999</v>
      </c>
      <c r="F3954" t="s">
        <v>84</v>
      </c>
      <c r="G3954">
        <v>-409.72789999999998</v>
      </c>
      <c r="H3954" s="1">
        <v>-9.9184270000000003E-6</v>
      </c>
      <c r="I3954">
        <v>138.20769999999999</v>
      </c>
      <c r="J3954">
        <v>-370.60969999999998</v>
      </c>
      <c r="K3954">
        <v>1.120967</v>
      </c>
      <c r="L3954">
        <v>141.69659999999999</v>
      </c>
      <c r="M3954">
        <v>-0.99989550000000005</v>
      </c>
      <c r="N3954">
        <v>-1.4420240000000001E-2</v>
      </c>
      <c r="O3954">
        <v>1.1167169999999999E-3</v>
      </c>
      <c r="P3954">
        <v>-0.97746739999999999</v>
      </c>
      <c r="Q3954">
        <v>0.19246949999999999</v>
      </c>
      <c r="R3954">
        <v>8.6676760000000005E-2</v>
      </c>
      <c r="S3954">
        <v>-3.1113590000000002</v>
      </c>
      <c r="T3954">
        <v>-8.8204030000000003E-2</v>
      </c>
      <c r="U3954">
        <v>-0.27449040000000002</v>
      </c>
      <c r="V3954">
        <v>8.5592829999999995E-2</v>
      </c>
      <c r="W3954">
        <v>0.20654310000000001</v>
      </c>
      <c r="X3954">
        <v>0.97468650000000001</v>
      </c>
      <c r="Y3954">
        <v>-8.8939439999999995E-2</v>
      </c>
      <c r="Z3954">
        <v>-1.9162319999999999E-3</v>
      </c>
      <c r="AA3954">
        <v>0.99603520000000001</v>
      </c>
      <c r="AB3954">
        <v>43</v>
      </c>
      <c r="AC3954">
        <v>-39.118200000000002</v>
      </c>
      <c r="AD3954">
        <v>-1.120976918427</v>
      </c>
      <c r="AE3954">
        <v>-3.4889000000000001</v>
      </c>
      <c r="AF3954">
        <v>-3.5297106863709602</v>
      </c>
      <c r="AG3954">
        <v>-1.120976918427</v>
      </c>
      <c r="AH3954">
        <v>39.082438847806003</v>
      </c>
      <c r="AI3954">
        <v>91.636272133110197</v>
      </c>
      <c r="AJ3954">
        <v>95.160638448161393</v>
      </c>
      <c r="AK3954">
        <v>39.2575148611527</v>
      </c>
      <c r="AL3954">
        <v>78.080154158625206</v>
      </c>
      <c r="AM3954">
        <v>84.981401978175001</v>
      </c>
      <c r="AN3954">
        <v>0.99999997899363402</v>
      </c>
    </row>
    <row r="3955" spans="1:40" x14ac:dyDescent="0.25">
      <c r="A3955" t="str">
        <f>"20190303171056390"</f>
        <v>20190303171056390</v>
      </c>
      <c r="B3955" t="str">
        <f>"1551604256384864"</f>
        <v>1551604256384864</v>
      </c>
      <c r="C3955" t="s">
        <v>40</v>
      </c>
      <c r="D3955">
        <v>4.8709949999999997</v>
      </c>
      <c r="E3955">
        <v>0.41736089999999998</v>
      </c>
      <c r="F3955" t="s">
        <v>42</v>
      </c>
      <c r="G3955">
        <v>-442.29239999999999</v>
      </c>
      <c r="H3955" s="1">
        <v>-3.4124250000000002E-6</v>
      </c>
      <c r="I3955">
        <v>133.2072</v>
      </c>
      <c r="J3955">
        <v>-371.06509999999997</v>
      </c>
      <c r="K3955">
        <v>1.120965</v>
      </c>
      <c r="L3955">
        <v>141.69710000000001</v>
      </c>
      <c r="M3955">
        <v>-0.9998956</v>
      </c>
      <c r="N3955">
        <v>-1.4417579999999999E-2</v>
      </c>
      <c r="O3955">
        <v>1.116438E-3</v>
      </c>
      <c r="P3955">
        <v>-0.97768200000000005</v>
      </c>
      <c r="Q3955">
        <v>0.19188759999999999</v>
      </c>
      <c r="R3955">
        <v>8.5541850000000003E-2</v>
      </c>
      <c r="S3955">
        <v>-3.1114199999999999</v>
      </c>
      <c r="T3955">
        <v>-4.8656230000000002E-2</v>
      </c>
      <c r="U3955">
        <v>-0.36848449999999999</v>
      </c>
      <c r="V3955">
        <v>8.4458030000000003E-2</v>
      </c>
      <c r="W3955">
        <v>0.2059617</v>
      </c>
      <c r="X3955">
        <v>0.97490849999999996</v>
      </c>
      <c r="Y3955">
        <v>-0.1186889</v>
      </c>
      <c r="Z3955">
        <v>-1.784821E-3</v>
      </c>
      <c r="AA3955">
        <v>0.99292990000000003</v>
      </c>
      <c r="AB3955">
        <v>42</v>
      </c>
      <c r="AC3955">
        <v>-71.2273</v>
      </c>
      <c r="AD3955">
        <v>-1.1209684124249999</v>
      </c>
      <c r="AE3955">
        <v>-8.4899000000000004</v>
      </c>
      <c r="AF3955">
        <v>-8.5673315800850496</v>
      </c>
      <c r="AG3955">
        <v>-1.1209684124249999</v>
      </c>
      <c r="AH3955">
        <v>71.200388179015803</v>
      </c>
      <c r="AI3955">
        <v>90.8955231866194</v>
      </c>
      <c r="AJ3955">
        <v>96.861244413570404</v>
      </c>
      <c r="AK3955">
        <v>71.722737102172204</v>
      </c>
      <c r="AL3955">
        <v>78.114197943439805</v>
      </c>
      <c r="AM3955">
        <v>85.048728158837804</v>
      </c>
      <c r="AN3955">
        <v>0.99999998203531004</v>
      </c>
    </row>
    <row r="3956" spans="1:40" x14ac:dyDescent="0.25">
      <c r="A3956" t="str">
        <f>"20190303171056413"</f>
        <v>20190303171056413</v>
      </c>
      <c r="B3956" t="str">
        <f>"1551604256404384"</f>
        <v>1551604256404384</v>
      </c>
      <c r="C3956" t="s">
        <v>40</v>
      </c>
      <c r="D3956">
        <v>4.8085570000000004</v>
      </c>
      <c r="E3956">
        <v>0.41504980000000002</v>
      </c>
      <c r="F3956" t="s">
        <v>41</v>
      </c>
      <c r="G3956">
        <v>-542.06989999999996</v>
      </c>
      <c r="H3956">
        <v>-0.05</v>
      </c>
      <c r="I3956">
        <v>118.0095</v>
      </c>
      <c r="J3956">
        <v>-371.48849999999999</v>
      </c>
      <c r="K3956">
        <v>1.120968</v>
      </c>
      <c r="L3956">
        <v>141.69759999999999</v>
      </c>
      <c r="M3956">
        <v>-0.9998956</v>
      </c>
      <c r="N3956">
        <v>-1.4414980000000001E-2</v>
      </c>
      <c r="O3956">
        <v>1.116099E-3</v>
      </c>
      <c r="P3956">
        <v>-0.97772859999999995</v>
      </c>
      <c r="Q3956">
        <v>0.191884</v>
      </c>
      <c r="R3956">
        <v>8.5015060000000003E-2</v>
      </c>
      <c r="S3956">
        <v>-3.1103519999999998</v>
      </c>
      <c r="T3956">
        <v>-2.1298290000000001E-2</v>
      </c>
      <c r="U3956">
        <v>-0.43084719999999999</v>
      </c>
      <c r="V3956">
        <v>8.3931510000000001E-2</v>
      </c>
      <c r="W3956">
        <v>0.2059561</v>
      </c>
      <c r="X3956">
        <v>0.97495509999999996</v>
      </c>
      <c r="Y3956">
        <v>-0.13830580000000001</v>
      </c>
      <c r="Z3956">
        <v>-1.4645280000000001E-3</v>
      </c>
      <c r="AA3956">
        <v>0.9903885</v>
      </c>
      <c r="AB3956">
        <v>42</v>
      </c>
      <c r="AC3956">
        <v>-170.58139999999901</v>
      </c>
      <c r="AD3956">
        <v>-1.170968</v>
      </c>
      <c r="AE3956">
        <v>-23.688099999999899</v>
      </c>
      <c r="AF3956">
        <v>-23.877386861835799</v>
      </c>
      <c r="AG3956">
        <v>-1.170968</v>
      </c>
      <c r="AH3956">
        <v>170.54696820015499</v>
      </c>
      <c r="AI3956">
        <v>90.389584586159401</v>
      </c>
      <c r="AJ3956">
        <v>97.969877717975606</v>
      </c>
      <c r="AK3956">
        <v>172.21431163428699</v>
      </c>
      <c r="AL3956">
        <v>78.114525205085698</v>
      </c>
      <c r="AM3956">
        <v>85.079676910928796</v>
      </c>
      <c r="AN3956">
        <v>0.99999993025704703</v>
      </c>
    </row>
    <row r="3957" spans="1:40" x14ac:dyDescent="0.25">
      <c r="A3957" t="str">
        <f>"20190303171056433"</f>
        <v>20190303171056433</v>
      </c>
      <c r="B3957" t="str">
        <f>"1551604256424880"</f>
        <v>1551604256424880</v>
      </c>
      <c r="C3957" t="s">
        <v>40</v>
      </c>
      <c r="D3957">
        <v>4.8351470000000001</v>
      </c>
      <c r="E3957">
        <v>0.41367229999999999</v>
      </c>
      <c r="F3957" t="s">
        <v>66</v>
      </c>
      <c r="G3957">
        <v>-669.46889999999996</v>
      </c>
      <c r="H3957">
        <v>-0.1</v>
      </c>
      <c r="I3957">
        <v>98.49409</v>
      </c>
      <c r="J3957">
        <v>-371.87349999999998</v>
      </c>
      <c r="K3957">
        <v>1.120967</v>
      </c>
      <c r="L3957">
        <v>141.69810000000001</v>
      </c>
      <c r="M3957">
        <v>-0.9998956</v>
      </c>
      <c r="N3957">
        <v>-1.441257E-2</v>
      </c>
      <c r="O3957">
        <v>1.1161159999999999E-3</v>
      </c>
      <c r="P3957">
        <v>-0.97759309999999999</v>
      </c>
      <c r="Q3957">
        <v>0.1922343</v>
      </c>
      <c r="R3957">
        <v>8.5776779999999997E-2</v>
      </c>
      <c r="S3957">
        <v>-3.1101070000000002</v>
      </c>
      <c r="T3957">
        <v>-1.2743590000000001E-2</v>
      </c>
      <c r="U3957">
        <v>-0.45092769999999999</v>
      </c>
      <c r="V3957">
        <v>8.4693359999999995E-2</v>
      </c>
      <c r="W3957">
        <v>0.20630229999999999</v>
      </c>
      <c r="X3957">
        <v>0.97481609999999996</v>
      </c>
      <c r="Y3957">
        <v>-0.14458650000000001</v>
      </c>
      <c r="Z3957">
        <v>-1.3306500000000001E-3</v>
      </c>
      <c r="AA3957">
        <v>0.98949129999999996</v>
      </c>
      <c r="AB3957">
        <v>42</v>
      </c>
      <c r="AC3957">
        <v>-297.59539999999998</v>
      </c>
      <c r="AD3957">
        <v>-1.2209669999999999</v>
      </c>
      <c r="AE3957">
        <v>-43.204009999999997</v>
      </c>
      <c r="AF3957">
        <v>-43.535450849627999</v>
      </c>
      <c r="AG3957">
        <v>-1.2209669999999999</v>
      </c>
      <c r="AH3957">
        <v>297.54208383597501</v>
      </c>
      <c r="AI3957">
        <v>90.232635509321497</v>
      </c>
      <c r="AJ3957">
        <v>98.324275380398902</v>
      </c>
      <c r="AK3957">
        <v>300.71268329511798</v>
      </c>
      <c r="AL3957">
        <v>78.094255119841407</v>
      </c>
      <c r="AM3957">
        <v>85.034532761646801</v>
      </c>
      <c r="AN3957">
        <v>1.0000000165162899</v>
      </c>
    </row>
    <row r="3958" spans="1:40" x14ac:dyDescent="0.25">
      <c r="A3958" t="str">
        <f>"20190303171056456"</f>
        <v>20190303171056456</v>
      </c>
      <c r="B3958" t="str">
        <f>"1551604256444401"</f>
        <v>1551604256444401</v>
      </c>
      <c r="C3958" t="s">
        <v>40</v>
      </c>
      <c r="D3958">
        <v>4.8385160000000003</v>
      </c>
      <c r="E3958">
        <v>0.41291709999999898</v>
      </c>
      <c r="F3958" t="s">
        <v>62</v>
      </c>
      <c r="G3958">
        <v>0</v>
      </c>
      <c r="H3958">
        <v>0</v>
      </c>
      <c r="I3958">
        <v>0</v>
      </c>
      <c r="J3958">
        <v>-372.29919999999998</v>
      </c>
      <c r="K3958">
        <v>1.1209739999999999</v>
      </c>
      <c r="L3958">
        <v>141.6986</v>
      </c>
      <c r="M3958">
        <v>-0.9998956</v>
      </c>
      <c r="N3958">
        <v>-1.440994E-2</v>
      </c>
      <c r="O3958">
        <v>1.1159570000000001E-3</v>
      </c>
      <c r="P3958">
        <v>-0.97766830000000005</v>
      </c>
      <c r="Q3958">
        <v>0.1916486</v>
      </c>
      <c r="R3958">
        <v>8.6230139999999997E-2</v>
      </c>
      <c r="S3958">
        <v>-3.1098629999999998</v>
      </c>
      <c r="T3958">
        <v>-3.2451149999999998E-3</v>
      </c>
      <c r="U3958">
        <v>-0.46075440000000001</v>
      </c>
      <c r="V3958">
        <v>8.5146769999999997E-2</v>
      </c>
      <c r="W3958">
        <v>0.20571490000000001</v>
      </c>
      <c r="X3958">
        <v>0.97490069999999995</v>
      </c>
      <c r="Y3958">
        <v>-0.14766179999999901</v>
      </c>
      <c r="Z3958">
        <v>-1.131522E-3</v>
      </c>
      <c r="AA3958">
        <v>0.98903730000000001</v>
      </c>
      <c r="AB3958">
        <v>42</v>
      </c>
      <c r="AC3958">
        <v>-3.1098629999999998</v>
      </c>
      <c r="AD3958">
        <v>-3.2451149999999998E-3</v>
      </c>
      <c r="AE3958">
        <v>-0.46075440000000001</v>
      </c>
      <c r="AF3958">
        <v>-0.464224451990841</v>
      </c>
      <c r="AG3958">
        <v>-3.2451149999999998E-3</v>
      </c>
      <c r="AH3958">
        <v>3.1093435147234998</v>
      </c>
      <c r="AI3958">
        <v>90.059142096535297</v>
      </c>
      <c r="AJ3958">
        <v>98.491527454090601</v>
      </c>
      <c r="AK3958">
        <v>3.1438085127995001</v>
      </c>
      <c r="AL3958">
        <v>78.128647994799607</v>
      </c>
      <c r="AM3958">
        <v>85.0085148580431</v>
      </c>
      <c r="AN3958">
        <v>0.99999998369196597</v>
      </c>
    </row>
    <row r="3959" spans="1:40" x14ac:dyDescent="0.25">
      <c r="A3959" t="str">
        <f>"20190303171056478"</f>
        <v>20190303171056478</v>
      </c>
      <c r="B3959" t="str">
        <f>"1551604256464896"</f>
        <v>1551604256464896</v>
      </c>
      <c r="C3959" t="s">
        <v>40</v>
      </c>
      <c r="D3959">
        <v>4.8279500000000004</v>
      </c>
      <c r="E3959">
        <v>0.41238439999999998</v>
      </c>
      <c r="F3959" t="s">
        <v>62</v>
      </c>
      <c r="G3959">
        <v>0</v>
      </c>
      <c r="H3959">
        <v>0</v>
      </c>
      <c r="I3959">
        <v>0</v>
      </c>
      <c r="J3959">
        <v>-372.72809999999998</v>
      </c>
      <c r="K3959">
        <v>1.1209789999999999</v>
      </c>
      <c r="L3959">
        <v>141.69909999999999</v>
      </c>
      <c r="M3959">
        <v>-0.9998956</v>
      </c>
      <c r="N3959">
        <v>-1.4407339999999999E-2</v>
      </c>
      <c r="O3959">
        <v>1.115975E-3</v>
      </c>
      <c r="P3959">
        <v>-0.97796110000000003</v>
      </c>
      <c r="Q3959">
        <v>0.19049279999999999</v>
      </c>
      <c r="R3959">
        <v>8.5465570000000005E-2</v>
      </c>
      <c r="S3959">
        <v>-3.1098330000000001</v>
      </c>
      <c r="T3959">
        <v>-1.4437439999999901E-3</v>
      </c>
      <c r="U3959">
        <v>-0.46551510000000001</v>
      </c>
      <c r="V3959">
        <v>8.4381750000000005E-2</v>
      </c>
      <c r="W3959">
        <v>0.2045612</v>
      </c>
      <c r="X3959">
        <v>0.97521000000000002</v>
      </c>
      <c r="Y3959">
        <v>-0.149145</v>
      </c>
      <c r="Z3959">
        <v>-1.0993559999999999E-3</v>
      </c>
      <c r="AA3959">
        <v>0.98881470000000005</v>
      </c>
      <c r="AB3959">
        <v>42</v>
      </c>
      <c r="AC3959">
        <v>-3.1098330000000001</v>
      </c>
      <c r="AD3959">
        <v>-1.4437439999999901E-3</v>
      </c>
      <c r="AE3959">
        <v>-0.46551510000000001</v>
      </c>
      <c r="AF3959">
        <v>-0.46898556727665602</v>
      </c>
      <c r="AG3959">
        <v>-1.4437439999999901E-3</v>
      </c>
      <c r="AH3959">
        <v>3.1093108505118998</v>
      </c>
      <c r="AI3959">
        <v>90.026306544479098</v>
      </c>
      <c r="AJ3959">
        <v>98.577416933283004</v>
      </c>
      <c r="AK3959">
        <v>3.1444814376652901</v>
      </c>
      <c r="AL3959">
        <v>78.196187322848104</v>
      </c>
      <c r="AM3959">
        <v>85.054699596331204</v>
      </c>
      <c r="AN3959">
        <v>1.00000005418924</v>
      </c>
    </row>
    <row r="3960" spans="1:40" x14ac:dyDescent="0.25">
      <c r="A3960" t="str">
        <f>"20190303171056502"</f>
        <v>20190303171056502</v>
      </c>
      <c r="B3960" t="str">
        <f>"1551604256495152"</f>
        <v>1551604256495152</v>
      </c>
      <c r="C3960" t="s">
        <v>40</v>
      </c>
      <c r="D3960">
        <v>4.8164470000000001</v>
      </c>
      <c r="E3960">
        <v>0.41175220000000001</v>
      </c>
      <c r="F3960" t="s">
        <v>66</v>
      </c>
      <c r="G3960">
        <v>-1031.335</v>
      </c>
      <c r="H3960">
        <v>-0.1</v>
      </c>
      <c r="I3960">
        <v>41.990949999999998</v>
      </c>
      <c r="J3960">
        <v>-373.18029999999999</v>
      </c>
      <c r="K3960">
        <v>1.120981</v>
      </c>
      <c r="L3960">
        <v>141.6996</v>
      </c>
      <c r="M3960">
        <v>-0.99989570000000005</v>
      </c>
      <c r="N3960">
        <v>-1.440458E-2</v>
      </c>
      <c r="O3960">
        <v>1.115698E-3</v>
      </c>
      <c r="P3960">
        <v>-0.97786629999999997</v>
      </c>
      <c r="Q3960">
        <v>0.190665</v>
      </c>
      <c r="R3960">
        <v>8.6165060000000002E-2</v>
      </c>
      <c r="S3960">
        <v>-3.1098629999999998</v>
      </c>
      <c r="T3960">
        <v>-5.7653189999999997E-3</v>
      </c>
      <c r="U3960">
        <v>-0.4708099</v>
      </c>
      <c r="V3960">
        <v>8.5081699999999996E-2</v>
      </c>
      <c r="W3960">
        <v>0.2047293</v>
      </c>
      <c r="X3960">
        <v>0.97511389999999998</v>
      </c>
      <c r="Y3960">
        <v>-0.15078759999999999</v>
      </c>
      <c r="Z3960">
        <v>-1.217288E-3</v>
      </c>
      <c r="AA3960">
        <v>0.98856540000000004</v>
      </c>
      <c r="AB3960">
        <v>42</v>
      </c>
      <c r="AC3960">
        <v>-658.15470000000005</v>
      </c>
      <c r="AD3960">
        <v>-1.2209809999999901</v>
      </c>
      <c r="AE3960">
        <v>-99.708650000000006</v>
      </c>
      <c r="AF3960">
        <v>-100.442628021777</v>
      </c>
      <c r="AG3960">
        <v>-1.2209809999999901</v>
      </c>
      <c r="AH3960">
        <v>658.04082010072398</v>
      </c>
      <c r="AI3960">
        <v>90.105093781457001</v>
      </c>
      <c r="AJ3960">
        <v>98.678578893095604</v>
      </c>
      <c r="AK3960">
        <v>665.66352854678496</v>
      </c>
      <c r="AL3960">
        <v>78.186347607581993</v>
      </c>
      <c r="AM3960">
        <v>85.013395165991099</v>
      </c>
      <c r="AN3960">
        <v>1.0000000499632899</v>
      </c>
    </row>
    <row r="3961" spans="1:40" x14ac:dyDescent="0.25">
      <c r="A3961" t="str">
        <f>"20190303171056524"</f>
        <v>20190303171056524</v>
      </c>
      <c r="B3961" t="str">
        <f>"1551604256514673"</f>
        <v>1551604256514673</v>
      </c>
      <c r="C3961" t="s">
        <v>40</v>
      </c>
      <c r="D3961">
        <v>4.8206699999999998</v>
      </c>
      <c r="E3961">
        <v>0.41133340000000002</v>
      </c>
      <c r="F3961" t="s">
        <v>62</v>
      </c>
      <c r="G3961">
        <v>0</v>
      </c>
      <c r="H3961">
        <v>0</v>
      </c>
      <c r="I3961">
        <v>0</v>
      </c>
      <c r="J3961">
        <v>-373.5942</v>
      </c>
      <c r="K3961">
        <v>1.120986</v>
      </c>
      <c r="L3961">
        <v>141.70009999999999</v>
      </c>
      <c r="M3961">
        <v>-0.9998958</v>
      </c>
      <c r="N3961">
        <v>-1.440204E-2</v>
      </c>
      <c r="O3961">
        <v>1.115537E-3</v>
      </c>
      <c r="P3961">
        <v>-0.97731780000000001</v>
      </c>
      <c r="Q3961">
        <v>0.19240189999999999</v>
      </c>
      <c r="R3961">
        <v>8.8496710000000006E-2</v>
      </c>
      <c r="S3961">
        <v>-3.1100159999999999</v>
      </c>
      <c r="T3961">
        <v>-2.1920199999999998E-3</v>
      </c>
      <c r="U3961">
        <v>-0.47293089999999999</v>
      </c>
      <c r="V3961">
        <v>8.7414290000000006E-2</v>
      </c>
      <c r="W3961">
        <v>0.20645540000000001</v>
      </c>
      <c r="X3961">
        <v>0.97454350000000001</v>
      </c>
      <c r="Y3961">
        <v>-0.15144060000000001</v>
      </c>
      <c r="Z3961">
        <v>-1.1346920000000001E-3</v>
      </c>
      <c r="AA3961">
        <v>0.9884657</v>
      </c>
      <c r="AB3961">
        <v>42</v>
      </c>
      <c r="AC3961">
        <v>-3.1100159999999999</v>
      </c>
      <c r="AD3961">
        <v>-2.1920199999999998E-3</v>
      </c>
      <c r="AE3961">
        <v>-0.47293089999999999</v>
      </c>
      <c r="AF3961">
        <v>-0.47640007166109199</v>
      </c>
      <c r="AG3961">
        <v>-2.1920199999999998E-3</v>
      </c>
      <c r="AH3961">
        <v>3.1094849281280799</v>
      </c>
      <c r="AI3961">
        <v>90.0399245881502</v>
      </c>
      <c r="AJ3961">
        <v>98.710478612219902</v>
      </c>
      <c r="AK3961">
        <v>3.14576832450931</v>
      </c>
      <c r="AL3961">
        <v>78.085290687412794</v>
      </c>
      <c r="AM3961">
        <v>84.874418446182602</v>
      </c>
      <c r="AN3961">
        <v>1.0000000618388001</v>
      </c>
    </row>
    <row r="3962" spans="1:40" x14ac:dyDescent="0.25">
      <c r="A3962" t="str">
        <f>"20190303171056544"</f>
        <v>20190303171056544</v>
      </c>
      <c r="B3962" t="str">
        <f>"1551604256535169"</f>
        <v>1551604256535169</v>
      </c>
      <c r="C3962" t="s">
        <v>40</v>
      </c>
      <c r="D3962">
        <v>4.8682249999999998</v>
      </c>
      <c r="E3962">
        <v>0.41111259999999999</v>
      </c>
      <c r="F3962" t="s">
        <v>62</v>
      </c>
      <c r="G3962">
        <v>0</v>
      </c>
      <c r="H3962">
        <v>0</v>
      </c>
      <c r="I3962">
        <v>0</v>
      </c>
      <c r="J3962">
        <v>-373.9821</v>
      </c>
      <c r="K3962">
        <v>1.120992</v>
      </c>
      <c r="L3962">
        <v>141.70050000000001</v>
      </c>
      <c r="M3962">
        <v>-0.99989570000000005</v>
      </c>
      <c r="N3962">
        <v>-1.439965E-2</v>
      </c>
      <c r="O3962">
        <v>1.1155539999999999E-3</v>
      </c>
      <c r="P3962">
        <v>-0.97703180000000001</v>
      </c>
      <c r="Q3962">
        <v>0.1931049</v>
      </c>
      <c r="R3962">
        <v>9.0109839999999997E-2</v>
      </c>
      <c r="S3962">
        <v>-3.11084</v>
      </c>
      <c r="T3962">
        <v>7.39002199999999E-3</v>
      </c>
      <c r="U3962">
        <v>-0.4708252</v>
      </c>
      <c r="V3962">
        <v>8.9027780000000001E-2</v>
      </c>
      <c r="W3962">
        <v>0.2071519</v>
      </c>
      <c r="X3962">
        <v>0.97424949999999999</v>
      </c>
      <c r="Y3962">
        <v>-0.15075050000000001</v>
      </c>
      <c r="Z3962">
        <v>-8.9491869999999999E-4</v>
      </c>
      <c r="AA3962">
        <v>0.98857139999999999</v>
      </c>
      <c r="AB3962">
        <v>42</v>
      </c>
      <c r="AC3962">
        <v>-3.11084</v>
      </c>
      <c r="AD3962">
        <v>7.39002199999999E-3</v>
      </c>
      <c r="AE3962">
        <v>-0.4708252</v>
      </c>
      <c r="AF3962">
        <v>-0.47429296015723899</v>
      </c>
      <c r="AG3962">
        <v>7.39002199999999E-3</v>
      </c>
      <c r="AH3962">
        <v>3.11029561915807</v>
      </c>
      <c r="AI3962">
        <v>89.865421941770293</v>
      </c>
      <c r="AJ3962">
        <v>98.670313189190693</v>
      </c>
      <c r="AK3962">
        <v>3.1462592491772998</v>
      </c>
      <c r="AL3962">
        <v>78.044501344481603</v>
      </c>
      <c r="AM3962">
        <v>84.778762085353605</v>
      </c>
      <c r="AN3962">
        <v>0.99999997176779298</v>
      </c>
    </row>
    <row r="3963" spans="1:40" x14ac:dyDescent="0.25">
      <c r="A3963" t="str">
        <f>"20190303171056570"</f>
        <v>20190303171056570</v>
      </c>
      <c r="B3963" t="str">
        <f>"1551604256554688"</f>
        <v>1551604256554688</v>
      </c>
      <c r="C3963" t="s">
        <v>40</v>
      </c>
      <c r="D3963">
        <v>4.8771279999999999</v>
      </c>
      <c r="E3963">
        <v>0.41079650000000001</v>
      </c>
      <c r="F3963" t="s">
        <v>62</v>
      </c>
      <c r="G3963">
        <v>0</v>
      </c>
      <c r="H3963">
        <v>0</v>
      </c>
      <c r="I3963">
        <v>0</v>
      </c>
      <c r="J3963">
        <v>-374.44709999999998</v>
      </c>
      <c r="K3963">
        <v>1.120995</v>
      </c>
      <c r="L3963">
        <v>141.7011</v>
      </c>
      <c r="M3963">
        <v>-0.99989589999999995</v>
      </c>
      <c r="N3963">
        <v>-1.439677E-2</v>
      </c>
      <c r="O3963">
        <v>1.115039E-3</v>
      </c>
      <c r="P3963">
        <v>-0.97717169999999998</v>
      </c>
      <c r="Q3963">
        <v>0.1926379</v>
      </c>
      <c r="R3963">
        <v>8.9589730000000006E-2</v>
      </c>
      <c r="S3963">
        <v>-3.1113279999999999</v>
      </c>
      <c r="T3963">
        <v>1.236749E-2</v>
      </c>
      <c r="U3963">
        <v>-0.46875</v>
      </c>
      <c r="V3963">
        <v>8.8507840000000004E-2</v>
      </c>
      <c r="W3963">
        <v>0.20668400000000001</v>
      </c>
      <c r="X3963">
        <v>0.97439629999999999</v>
      </c>
      <c r="Y3963">
        <v>-0.150083299999999</v>
      </c>
      <c r="Z3963">
        <v>-7.6947889999999996E-4</v>
      </c>
      <c r="AA3963">
        <v>0.98867300000000002</v>
      </c>
      <c r="AB3963">
        <v>42</v>
      </c>
      <c r="AC3963">
        <v>-3.1113279999999999</v>
      </c>
      <c r="AD3963">
        <v>1.236749E-2</v>
      </c>
      <c r="AE3963">
        <v>-0.46875</v>
      </c>
      <c r="AF3963">
        <v>-0.47221202402807899</v>
      </c>
      <c r="AG3963">
        <v>1.236749E-2</v>
      </c>
      <c r="AH3963">
        <v>3.1107552761216501</v>
      </c>
      <c r="AI3963">
        <v>89.774789240490804</v>
      </c>
      <c r="AJ3963">
        <v>98.631590578748202</v>
      </c>
      <c r="AK3963">
        <v>3.14641630086743</v>
      </c>
      <c r="AL3963">
        <v>78.071903783807599</v>
      </c>
      <c r="AM3963">
        <v>84.809865863216302</v>
      </c>
      <c r="AN3963">
        <v>1.0000000315255699</v>
      </c>
    </row>
    <row r="3964" spans="1:40" x14ac:dyDescent="0.25">
      <c r="A3964" t="str">
        <f>"20190303171056591"</f>
        <v>20190303171056591</v>
      </c>
      <c r="B3964" t="str">
        <f>"1551604256584476"</f>
        <v>1551604256584476</v>
      </c>
      <c r="C3964" t="s">
        <v>40</v>
      </c>
      <c r="D3964">
        <v>4.8878159999999999</v>
      </c>
      <c r="E3964">
        <v>0.4103522</v>
      </c>
      <c r="F3964" t="s">
        <v>62</v>
      </c>
      <c r="G3964">
        <v>0</v>
      </c>
      <c r="H3964">
        <v>0</v>
      </c>
      <c r="I3964">
        <v>0</v>
      </c>
      <c r="J3964">
        <v>-374.85829999999999</v>
      </c>
      <c r="K3964">
        <v>1.1209960000000001</v>
      </c>
      <c r="L3964">
        <v>141.70150000000001</v>
      </c>
      <c r="M3964">
        <v>-0.99989589999999995</v>
      </c>
      <c r="N3964">
        <v>-1.4394209999999999E-2</v>
      </c>
      <c r="O3964">
        <v>1.1147590000000001E-3</v>
      </c>
      <c r="P3964">
        <v>-0.97733190000000003</v>
      </c>
      <c r="Q3964">
        <v>0.1920973</v>
      </c>
      <c r="R3964">
        <v>8.9000480000000007E-2</v>
      </c>
      <c r="S3964">
        <v>-3.1111759999999999</v>
      </c>
      <c r="T3964">
        <v>1.128376E-2</v>
      </c>
      <c r="U3964">
        <v>-0.47221370000000001</v>
      </c>
      <c r="V3964">
        <v>8.7918620000000003E-2</v>
      </c>
      <c r="W3964">
        <v>0.20614370000000001</v>
      </c>
      <c r="X3964">
        <v>0.97456399999999999</v>
      </c>
      <c r="Y3964">
        <v>-0.1511661</v>
      </c>
      <c r="Z3964">
        <v>-8.0165759999999999E-4</v>
      </c>
      <c r="AA3964">
        <v>0.98850800000000005</v>
      </c>
      <c r="AB3964">
        <v>42</v>
      </c>
      <c r="AC3964">
        <v>-3.1111759999999999</v>
      </c>
      <c r="AD3964">
        <v>1.128376E-2</v>
      </c>
      <c r="AE3964">
        <v>-0.47221370000000001</v>
      </c>
      <c r="AF3964">
        <v>-0.47567586074982099</v>
      </c>
      <c r="AG3964">
        <v>1.128376E-2</v>
      </c>
      <c r="AH3964">
        <v>3.11060761192654</v>
      </c>
      <c r="AI3964">
        <v>89.794548213752904</v>
      </c>
      <c r="AJ3964">
        <v>98.694348686183403</v>
      </c>
      <c r="AK3964">
        <v>3.1467879755578001</v>
      </c>
      <c r="AL3964">
        <v>78.103541038781998</v>
      </c>
      <c r="AM3964">
        <v>84.845113525285299</v>
      </c>
      <c r="AN3964">
        <v>0.99999994944419601</v>
      </c>
    </row>
    <row r="3965" spans="1:40" x14ac:dyDescent="0.25">
      <c r="A3965" t="str">
        <f>"20190303171056613"</f>
        <v>20190303171056613</v>
      </c>
      <c r="B3965" t="str">
        <f>"1551604256604972"</f>
        <v>1551604256604972</v>
      </c>
      <c r="C3965" t="s">
        <v>40</v>
      </c>
      <c r="D3965">
        <v>4.9563810000000004</v>
      </c>
      <c r="E3965">
        <v>0.41000330000000001</v>
      </c>
      <c r="F3965" t="s">
        <v>62</v>
      </c>
      <c r="G3965">
        <v>0</v>
      </c>
      <c r="H3965">
        <v>0</v>
      </c>
      <c r="I3965">
        <v>0</v>
      </c>
      <c r="J3965">
        <v>-375.26900000000001</v>
      </c>
      <c r="K3965">
        <v>1.121</v>
      </c>
      <c r="L3965">
        <v>141.702</v>
      </c>
      <c r="M3965">
        <v>-0.99989589999999995</v>
      </c>
      <c r="N3965">
        <v>-1.4391670000000001E-2</v>
      </c>
      <c r="O3965">
        <v>1.1147780000000001E-3</v>
      </c>
      <c r="P3965">
        <v>-0.97702710000000004</v>
      </c>
      <c r="Q3965">
        <v>0.19344459999999999</v>
      </c>
      <c r="R3965">
        <v>8.9429179999999997E-2</v>
      </c>
      <c r="S3965">
        <v>-3.111084</v>
      </c>
      <c r="T3965">
        <v>9.5148090000000008E-3</v>
      </c>
      <c r="U3965">
        <v>-0.47663879999999997</v>
      </c>
      <c r="V3965">
        <v>8.8348029999999994E-2</v>
      </c>
      <c r="W3965">
        <v>0.20748359999999999</v>
      </c>
      <c r="X3965">
        <v>0.97424080000000002</v>
      </c>
      <c r="Y3965">
        <v>-0.15254400000000001</v>
      </c>
      <c r="Z3965">
        <v>-8.5284199999999895E-4</v>
      </c>
      <c r="AA3965">
        <v>0.98829630000000002</v>
      </c>
      <c r="AB3965">
        <v>42</v>
      </c>
      <c r="AC3965">
        <v>-3.111084</v>
      </c>
      <c r="AD3965">
        <v>9.5148090000000008E-3</v>
      </c>
      <c r="AE3965">
        <v>-0.47663879999999997</v>
      </c>
      <c r="AF3965">
        <v>-0.48010264301212602</v>
      </c>
      <c r="AG3965">
        <v>9.5148090000000008E-3</v>
      </c>
      <c r="AH3965">
        <v>3.1105222378558302</v>
      </c>
      <c r="AI3965">
        <v>89.826788958494106</v>
      </c>
      <c r="AJ3965">
        <v>98.774244605552298</v>
      </c>
      <c r="AK3965">
        <v>3.1473699610330499</v>
      </c>
      <c r="AL3965">
        <v>78.025074324165899</v>
      </c>
      <c r="AM3965">
        <v>84.818363724144604</v>
      </c>
      <c r="AN3965">
        <v>0.99999997752923997</v>
      </c>
    </row>
    <row r="3966" spans="1:40" x14ac:dyDescent="0.25">
      <c r="A3966" t="str">
        <f>"20190303171056635"</f>
        <v>20190303171056635</v>
      </c>
      <c r="B3966" t="str">
        <f>"1551604256624493"</f>
        <v>1551604256624493</v>
      </c>
      <c r="C3966" t="s">
        <v>40</v>
      </c>
      <c r="D3966">
        <v>4.9447130000000001</v>
      </c>
      <c r="E3966">
        <v>0.40970519999999999</v>
      </c>
      <c r="F3966" t="s">
        <v>62</v>
      </c>
      <c r="G3966">
        <v>0</v>
      </c>
      <c r="H3966">
        <v>0</v>
      </c>
      <c r="I3966">
        <v>0</v>
      </c>
      <c r="J3966">
        <v>-375.67869999999999</v>
      </c>
      <c r="K3966">
        <v>1.121011</v>
      </c>
      <c r="L3966">
        <v>141.70249999999999</v>
      </c>
      <c r="M3966">
        <v>-0.99989589999999995</v>
      </c>
      <c r="N3966">
        <v>-1.438914E-2</v>
      </c>
      <c r="O3966">
        <v>1.114617E-3</v>
      </c>
      <c r="P3966">
        <v>-0.97648060000000003</v>
      </c>
      <c r="Q3966">
        <v>0.1955751</v>
      </c>
      <c r="R3966">
        <v>9.0754360000000006E-2</v>
      </c>
      <c r="S3966">
        <v>-3.11145</v>
      </c>
      <c r="T3966">
        <v>1.452756E-2</v>
      </c>
      <c r="U3966">
        <v>-0.47822569999999998</v>
      </c>
      <c r="V3966">
        <v>8.967398E-2</v>
      </c>
      <c r="W3966">
        <v>0.2096036</v>
      </c>
      <c r="X3966">
        <v>0.97366569999999997</v>
      </c>
      <c r="Y3966">
        <v>-0.15301970000000001</v>
      </c>
      <c r="Z3966">
        <v>-7.3112079999999998E-4</v>
      </c>
      <c r="AA3966">
        <v>0.98822290000000002</v>
      </c>
      <c r="AB3966">
        <v>42</v>
      </c>
      <c r="AC3966">
        <v>-3.11145</v>
      </c>
      <c r="AD3966">
        <v>1.452756E-2</v>
      </c>
      <c r="AE3966">
        <v>-0.47822569999999998</v>
      </c>
      <c r="AF3966">
        <v>-0.48168357840381498</v>
      </c>
      <c r="AG3966">
        <v>1.452756E-2</v>
      </c>
      <c r="AH3966">
        <v>3.11084872123691</v>
      </c>
      <c r="AI3966">
        <v>89.735583487496001</v>
      </c>
      <c r="AJ3966">
        <v>98.801776248725403</v>
      </c>
      <c r="AK3966">
        <v>3.1479532852513499</v>
      </c>
      <c r="AL3966">
        <v>77.900876710512804</v>
      </c>
      <c r="AM3966">
        <v>84.737940437987007</v>
      </c>
      <c r="AN3966">
        <v>0.99999999358924496</v>
      </c>
    </row>
    <row r="3967" spans="1:40" x14ac:dyDescent="0.25">
      <c r="A3967" t="str">
        <f>"20190303171056658"</f>
        <v>20190303171056658</v>
      </c>
      <c r="B3967" t="str">
        <f>"1551604256644989"</f>
        <v>1551604256644989</v>
      </c>
      <c r="C3967" t="s">
        <v>40</v>
      </c>
      <c r="D3967">
        <v>4.9364790000000003</v>
      </c>
      <c r="E3967">
        <v>0.40939779999999998</v>
      </c>
      <c r="F3967" t="s">
        <v>62</v>
      </c>
      <c r="G3967">
        <v>0</v>
      </c>
      <c r="H3967">
        <v>0</v>
      </c>
      <c r="I3967">
        <v>0</v>
      </c>
      <c r="J3967">
        <v>-376.10750000000002</v>
      </c>
      <c r="K3967">
        <v>1.121019</v>
      </c>
      <c r="L3967">
        <v>141.703</v>
      </c>
      <c r="M3967">
        <v>-0.99989589999999995</v>
      </c>
      <c r="N3967">
        <v>-1.43865E-2</v>
      </c>
      <c r="O3967">
        <v>1.1144569999999999E-3</v>
      </c>
      <c r="P3967">
        <v>-0.97635450000000001</v>
      </c>
      <c r="Q3967">
        <v>0.19562889999999999</v>
      </c>
      <c r="R3967">
        <v>9.1986929999999995E-2</v>
      </c>
      <c r="S3967">
        <v>-3.1119690000000002</v>
      </c>
      <c r="T3967">
        <v>2.3560049999999999E-2</v>
      </c>
      <c r="U3967">
        <v>-0.47792050000000003</v>
      </c>
      <c r="V3967">
        <v>9.0906879999999995E-2</v>
      </c>
      <c r="W3967">
        <v>0.20965310000000001</v>
      </c>
      <c r="X3967">
        <v>0.97354070000000004</v>
      </c>
      <c r="Y3967">
        <v>-0.1529006</v>
      </c>
      <c r="Z3967">
        <v>-5.0656949999999996E-4</v>
      </c>
      <c r="AA3967">
        <v>0.98824140000000005</v>
      </c>
      <c r="AB3967">
        <v>42</v>
      </c>
      <c r="AC3967">
        <v>-3.1119690000000002</v>
      </c>
      <c r="AD3967">
        <v>2.3560049999999999E-2</v>
      </c>
      <c r="AE3967">
        <v>-0.47792050000000003</v>
      </c>
      <c r="AF3967">
        <v>-0.481361763313709</v>
      </c>
      <c r="AG3967">
        <v>2.3560049999999999E-2</v>
      </c>
      <c r="AH3967">
        <v>3.1112601716070101</v>
      </c>
      <c r="AI3967">
        <v>89.571236530862393</v>
      </c>
      <c r="AJ3967">
        <v>98.794842687226705</v>
      </c>
      <c r="AK3967">
        <v>3.1483653025918898</v>
      </c>
      <c r="AL3967">
        <v>77.897976063570496</v>
      </c>
      <c r="AM3967">
        <v>84.665327559404304</v>
      </c>
      <c r="AN3967">
        <v>0.99999998886371699</v>
      </c>
    </row>
    <row r="3968" spans="1:40" x14ac:dyDescent="0.25">
      <c r="A3968" t="str">
        <f>"20190303171056681"</f>
        <v>20190303171056681</v>
      </c>
      <c r="B3968" t="str">
        <f>"1551604256675245"</f>
        <v>1551604256675245</v>
      </c>
      <c r="C3968" t="s">
        <v>40</v>
      </c>
      <c r="D3968">
        <v>4.9946869999999999</v>
      </c>
      <c r="E3968">
        <v>0.40883580000000003</v>
      </c>
      <c r="F3968" t="s">
        <v>62</v>
      </c>
      <c r="G3968">
        <v>0</v>
      </c>
      <c r="H3968">
        <v>0</v>
      </c>
      <c r="I3968">
        <v>0</v>
      </c>
      <c r="J3968">
        <v>-376.5401</v>
      </c>
      <c r="K3968">
        <v>1.121014</v>
      </c>
      <c r="L3968">
        <v>141.70339999999999</v>
      </c>
      <c r="M3968">
        <v>-0.99989600000000001</v>
      </c>
      <c r="N3968">
        <v>-1.438386E-2</v>
      </c>
      <c r="O3968">
        <v>1.114297E-3</v>
      </c>
      <c r="P3968">
        <v>-0.9764581</v>
      </c>
      <c r="Q3968">
        <v>0.1951764</v>
      </c>
      <c r="R3968">
        <v>9.1848079999999999E-2</v>
      </c>
      <c r="S3968">
        <v>-3.1127009999999999</v>
      </c>
      <c r="T3968">
        <v>2.4599309999999999E-2</v>
      </c>
      <c r="U3968">
        <v>-0.47695920000000003</v>
      </c>
      <c r="V3968">
        <v>9.076787E-2</v>
      </c>
      <c r="W3968">
        <v>0.2091993</v>
      </c>
      <c r="X3968">
        <v>0.9736513</v>
      </c>
      <c r="Y3968">
        <v>-0.15256729999999999</v>
      </c>
      <c r="Z3968">
        <v>-4.7961899999999998E-4</v>
      </c>
      <c r="AA3968">
        <v>0.98829299999999998</v>
      </c>
      <c r="AB3968">
        <v>42</v>
      </c>
      <c r="AC3968">
        <v>-3.1127009999999999</v>
      </c>
      <c r="AD3968">
        <v>2.4599309999999999E-2</v>
      </c>
      <c r="AE3968">
        <v>-0.47695920000000003</v>
      </c>
      <c r="AF3968">
        <v>-0.48039842057710103</v>
      </c>
      <c r="AG3968">
        <v>2.4599309999999999E-2</v>
      </c>
      <c r="AH3968">
        <v>3.11197763649389</v>
      </c>
      <c r="AI3968">
        <v>89.552403936344405</v>
      </c>
      <c r="AJ3968">
        <v>98.775523905456794</v>
      </c>
      <c r="AK3968">
        <v>3.14893514994887</v>
      </c>
      <c r="AL3968">
        <v>77.924566728790296</v>
      </c>
      <c r="AM3968">
        <v>84.674039683228003</v>
      </c>
      <c r="AN3968">
        <v>1.0000000036682499</v>
      </c>
    </row>
    <row r="3969" spans="1:40" x14ac:dyDescent="0.25">
      <c r="A3969" t="str">
        <f>"20190303171056704"</f>
        <v>20190303171056704</v>
      </c>
      <c r="B3969" t="str">
        <f>"1551604256694296"</f>
        <v>1551604256694296</v>
      </c>
      <c r="C3969" t="s">
        <v>40</v>
      </c>
      <c r="D3969">
        <v>5.0135969999999999</v>
      </c>
      <c r="E3969">
        <v>0.40858030000000001</v>
      </c>
      <c r="F3969" t="s">
        <v>62</v>
      </c>
      <c r="G3969">
        <v>0</v>
      </c>
      <c r="H3969">
        <v>0</v>
      </c>
      <c r="I3969">
        <v>0</v>
      </c>
      <c r="J3969">
        <v>-376.96249999999998</v>
      </c>
      <c r="K3969">
        <v>1.121005</v>
      </c>
      <c r="L3969">
        <v>141.7039</v>
      </c>
      <c r="M3969">
        <v>-0.99989589999999995</v>
      </c>
      <c r="N3969">
        <v>-1.438127E-2</v>
      </c>
      <c r="O3969">
        <v>1.114316E-3</v>
      </c>
      <c r="P3969">
        <v>-0.9764408</v>
      </c>
      <c r="Q3969">
        <v>0.19494040000000001</v>
      </c>
      <c r="R3969">
        <v>9.2527670000000006E-2</v>
      </c>
      <c r="S3969">
        <v>-3.112946</v>
      </c>
      <c r="T3969">
        <v>2.3532270000000001E-2</v>
      </c>
      <c r="U3969">
        <v>-0.4816742</v>
      </c>
      <c r="V3969">
        <v>9.1447319999999999E-2</v>
      </c>
      <c r="W3969">
        <v>0.20896110000000001</v>
      </c>
      <c r="X3969">
        <v>0.97363889999999997</v>
      </c>
      <c r="Y3969">
        <v>-0.15401779999999901</v>
      </c>
      <c r="Z3969">
        <v>-5.110793E-4</v>
      </c>
      <c r="AA3969">
        <v>0.9880679</v>
      </c>
      <c r="AB3969">
        <v>42</v>
      </c>
      <c r="AC3969">
        <v>-3.112946</v>
      </c>
      <c r="AD3969">
        <v>2.3532270000000001E-2</v>
      </c>
      <c r="AE3969">
        <v>-0.4816742</v>
      </c>
      <c r="AF3969">
        <v>-0.48511599127392102</v>
      </c>
      <c r="AG3969">
        <v>2.3532270000000001E-2</v>
      </c>
      <c r="AH3969">
        <v>3.1122335815486299</v>
      </c>
      <c r="AI3969">
        <v>89.571951174757402</v>
      </c>
      <c r="AJ3969">
        <v>98.859622654777695</v>
      </c>
      <c r="AK3969">
        <v>3.14990303959345</v>
      </c>
      <c r="AL3969">
        <v>77.938523368865404</v>
      </c>
      <c r="AM3969">
        <v>84.634335678825906</v>
      </c>
      <c r="AN3969">
        <v>1.0000000306207999</v>
      </c>
    </row>
    <row r="3970" spans="1:40" x14ac:dyDescent="0.25">
      <c r="A3970" t="str">
        <f>"20190303171056725"</f>
        <v>20190303171056725</v>
      </c>
      <c r="B3970" t="str">
        <f>"1551604256714792"</f>
        <v>1551604256714792</v>
      </c>
      <c r="C3970" t="s">
        <v>40</v>
      </c>
      <c r="D3970">
        <v>5.0139490000000002</v>
      </c>
      <c r="E3970">
        <v>0.40821679999999999</v>
      </c>
      <c r="F3970" t="s">
        <v>62</v>
      </c>
      <c r="G3970">
        <v>0</v>
      </c>
      <c r="H3970">
        <v>0</v>
      </c>
      <c r="I3970">
        <v>0</v>
      </c>
      <c r="J3970">
        <v>-377.3655</v>
      </c>
      <c r="K3970">
        <v>1.1209979999999999</v>
      </c>
      <c r="L3970">
        <v>141.70429999999999</v>
      </c>
      <c r="M3970">
        <v>-0.99989600000000001</v>
      </c>
      <c r="N3970">
        <v>-1.4378800000000001E-2</v>
      </c>
      <c r="O3970">
        <v>1.113976E-3</v>
      </c>
      <c r="P3970">
        <v>-0.97630620000000001</v>
      </c>
      <c r="Q3970">
        <v>0.19483420000000001</v>
      </c>
      <c r="R3970">
        <v>9.4160540000000001E-2</v>
      </c>
      <c r="S3970">
        <v>-3.1131899999999999</v>
      </c>
      <c r="T3970">
        <v>2.4850730000000001E-2</v>
      </c>
      <c r="U3970">
        <v>-0.48283389999999998</v>
      </c>
      <c r="V3970">
        <v>9.3080860000000001E-2</v>
      </c>
      <c r="W3970">
        <v>0.20885010000000001</v>
      </c>
      <c r="X3970">
        <v>0.97350789999999998</v>
      </c>
      <c r="Y3970">
        <v>-0.15436520000000001</v>
      </c>
      <c r="Z3970">
        <v>-4.7923779999999998E-4</v>
      </c>
      <c r="AA3970">
        <v>0.98801369999999999</v>
      </c>
      <c r="AB3970">
        <v>42</v>
      </c>
      <c r="AC3970">
        <v>-3.1131899999999999</v>
      </c>
      <c r="AD3970">
        <v>2.4850730000000001E-2</v>
      </c>
      <c r="AE3970">
        <v>-0.48283389999999998</v>
      </c>
      <c r="AF3970">
        <v>-0.48627172103626498</v>
      </c>
      <c r="AG3970">
        <v>2.4850730000000001E-2</v>
      </c>
      <c r="AH3970">
        <v>3.1124564835695798</v>
      </c>
      <c r="AI3970">
        <v>89.548026703496902</v>
      </c>
      <c r="AJ3970">
        <v>98.879767763855</v>
      </c>
      <c r="AK3970">
        <v>3.1503115889663</v>
      </c>
      <c r="AL3970">
        <v>77.945026573793797</v>
      </c>
      <c r="AM3970">
        <v>84.538331821020606</v>
      </c>
      <c r="AN3970">
        <v>1.0000000210653699</v>
      </c>
    </row>
    <row r="3971" spans="1:40" x14ac:dyDescent="0.25">
      <c r="A3971" t="str">
        <f>"20190303171056747"</f>
        <v>20190303171056747</v>
      </c>
      <c r="B3971" t="str">
        <f>"1551604256734312"</f>
        <v>1551604256734312</v>
      </c>
      <c r="C3971" t="s">
        <v>40</v>
      </c>
      <c r="D3971">
        <v>5.0289400000000004</v>
      </c>
      <c r="E3971">
        <v>0.4078889</v>
      </c>
      <c r="F3971" t="s">
        <v>62</v>
      </c>
      <c r="G3971">
        <v>0</v>
      </c>
      <c r="H3971">
        <v>0</v>
      </c>
      <c r="I3971">
        <v>0</v>
      </c>
      <c r="J3971">
        <v>-377.7715</v>
      </c>
      <c r="K3971">
        <v>1.120994</v>
      </c>
      <c r="L3971">
        <v>141.70480000000001</v>
      </c>
      <c r="M3971">
        <v>-0.99989600000000001</v>
      </c>
      <c r="N3971">
        <v>-1.437631E-2</v>
      </c>
      <c r="O3971">
        <v>1.1138750000000001E-3</v>
      </c>
      <c r="P3971">
        <v>-0.97656100000000001</v>
      </c>
      <c r="Q3971">
        <v>0.1934961</v>
      </c>
      <c r="R3971">
        <v>9.4276150000000003E-2</v>
      </c>
      <c r="S3971">
        <v>-3.113861</v>
      </c>
      <c r="T3971">
        <v>2.759588E-2</v>
      </c>
      <c r="U3971">
        <v>-0.48234559999999999</v>
      </c>
      <c r="V3971">
        <v>9.3196210000000002E-2</v>
      </c>
      <c r="W3971">
        <v>0.2075139</v>
      </c>
      <c r="X3971">
        <v>0.9737825</v>
      </c>
      <c r="Y3971">
        <v>-0.15418129999999999</v>
      </c>
      <c r="Z3971">
        <v>-4.1002649999999997E-4</v>
      </c>
      <c r="AA3971">
        <v>0.98804250000000005</v>
      </c>
      <c r="AB3971">
        <v>42</v>
      </c>
      <c r="AC3971">
        <v>-3.113861</v>
      </c>
      <c r="AD3971">
        <v>2.759588E-2</v>
      </c>
      <c r="AE3971">
        <v>-0.48234559999999999</v>
      </c>
      <c r="AF3971">
        <v>-0.48577685241667101</v>
      </c>
      <c r="AG3971">
        <v>2.759588E-2</v>
      </c>
      <c r="AH3971">
        <v>3.1130829678696399</v>
      </c>
      <c r="AI3971">
        <v>89.498188079070999</v>
      </c>
      <c r="AJ3971">
        <v>98.869117990959893</v>
      </c>
      <c r="AK3971">
        <v>3.1508770600861</v>
      </c>
      <c r="AL3971">
        <v>78.023299359916194</v>
      </c>
      <c r="AM3971">
        <v>84.533137184423893</v>
      </c>
      <c r="AN3971">
        <v>0.99999995477891102</v>
      </c>
    </row>
    <row r="3972" spans="1:40" x14ac:dyDescent="0.25">
      <c r="A3972" t="str">
        <f>"20190303171056769"</f>
        <v>20190303171056769</v>
      </c>
      <c r="B3972" t="str">
        <f>"1551604256754808"</f>
        <v>1551604256754808</v>
      </c>
      <c r="C3972" t="s">
        <v>40</v>
      </c>
      <c r="D3972">
        <v>5.0330599999999999</v>
      </c>
      <c r="E3972">
        <v>0.4006613</v>
      </c>
      <c r="F3972" t="s">
        <v>62</v>
      </c>
      <c r="G3972">
        <v>0</v>
      </c>
      <c r="H3972">
        <v>0</v>
      </c>
      <c r="I3972">
        <v>0</v>
      </c>
      <c r="J3972">
        <v>-378.19110000000001</v>
      </c>
      <c r="K3972">
        <v>1.120987</v>
      </c>
      <c r="L3972">
        <v>141.70519999999999</v>
      </c>
      <c r="M3972">
        <v>-0.99989609999999995</v>
      </c>
      <c r="N3972">
        <v>-1.437371E-2</v>
      </c>
      <c r="O3972">
        <v>1.1137149999999999E-3</v>
      </c>
      <c r="P3972">
        <v>-0.97701280000000001</v>
      </c>
      <c r="Q3972">
        <v>0.19209889999999999</v>
      </c>
      <c r="R3972">
        <v>9.2434359999999993E-2</v>
      </c>
      <c r="S3972">
        <v>-3.1141359999999998</v>
      </c>
      <c r="T3972">
        <v>2.3055320000000001E-2</v>
      </c>
      <c r="U3972">
        <v>-0.48417660000000001</v>
      </c>
      <c r="V3972">
        <v>9.1353950000000003E-2</v>
      </c>
      <c r="W3972">
        <v>0.20612040000000001</v>
      </c>
      <c r="X3972">
        <v>0.97425289999999998</v>
      </c>
      <c r="Y3972">
        <v>-0.1547355</v>
      </c>
      <c r="Z3972">
        <v>-5.2527729999999999E-4</v>
      </c>
      <c r="AA3972">
        <v>0.98795580000000005</v>
      </c>
      <c r="AB3972">
        <v>42</v>
      </c>
      <c r="AC3972">
        <v>-3.1141359999999998</v>
      </c>
      <c r="AD3972">
        <v>2.3055320000000001E-2</v>
      </c>
      <c r="AE3972">
        <v>-0.48417660000000001</v>
      </c>
      <c r="AF3972">
        <v>-0.487618821855685</v>
      </c>
      <c r="AG3972">
        <v>2.3055320000000001E-2</v>
      </c>
      <c r="AH3972">
        <v>3.1134281557199701</v>
      </c>
      <c r="AI3972">
        <v>89.580834990716696</v>
      </c>
      <c r="AJ3972">
        <v>98.901239102493406</v>
      </c>
      <c r="AK3972">
        <v>3.1514660943817998</v>
      </c>
      <c r="AL3972">
        <v>78.104905195491099</v>
      </c>
      <c r="AM3972">
        <v>84.643140723310694</v>
      </c>
      <c r="AN3972">
        <v>0.99999993831758405</v>
      </c>
    </row>
    <row r="3973" spans="1:40" x14ac:dyDescent="0.25">
      <c r="A3973" t="str">
        <f>"20190303171056792"</f>
        <v>20190303171056792</v>
      </c>
      <c r="B3973" t="str">
        <f>"1551604256784550"</f>
        <v>1551604256784550</v>
      </c>
      <c r="C3973" t="s">
        <v>40</v>
      </c>
      <c r="D3973">
        <v>5.0592569999999997</v>
      </c>
      <c r="E3973">
        <v>0.40037840000000002</v>
      </c>
      <c r="F3973" t="s">
        <v>62</v>
      </c>
      <c r="G3973">
        <v>0</v>
      </c>
      <c r="H3973">
        <v>0</v>
      </c>
      <c r="I3973">
        <v>0</v>
      </c>
      <c r="J3973">
        <v>-378.61579999999998</v>
      </c>
      <c r="K3973">
        <v>1.1209849999999999</v>
      </c>
      <c r="L3973">
        <v>141.70570000000001</v>
      </c>
      <c r="M3973">
        <v>-0.99989609999999995</v>
      </c>
      <c r="N3973">
        <v>-1.437104E-2</v>
      </c>
      <c r="O3973">
        <v>1.113555E-3</v>
      </c>
      <c r="P3973">
        <v>-0.97701510000000003</v>
      </c>
      <c r="Q3973">
        <v>0.1927595</v>
      </c>
      <c r="R3973">
        <v>9.1023560000000003E-2</v>
      </c>
      <c r="S3973">
        <v>-3.1188349999999998</v>
      </c>
      <c r="T3973">
        <v>1.7404079999999999E-2</v>
      </c>
      <c r="U3973">
        <v>-0.54583740000000003</v>
      </c>
      <c r="V3973">
        <v>8.9943239999999994E-2</v>
      </c>
      <c r="W3973">
        <v>0.2067782</v>
      </c>
      <c r="X3973">
        <v>0.97424480000000002</v>
      </c>
      <c r="Y3973">
        <v>-0.173493799999999</v>
      </c>
      <c r="Z3973">
        <v>-7.5362580000000001E-4</v>
      </c>
      <c r="AA3973">
        <v>0.98483469999999995</v>
      </c>
      <c r="AB3973">
        <v>42</v>
      </c>
      <c r="AC3973">
        <v>-3.1188349999999998</v>
      </c>
      <c r="AD3973">
        <v>1.7404079999999999E-2</v>
      </c>
      <c r="AE3973">
        <v>-0.54583740000000003</v>
      </c>
      <c r="AF3973">
        <v>-0.54929381793403198</v>
      </c>
      <c r="AG3973">
        <v>1.7404079999999999E-2</v>
      </c>
      <c r="AH3973">
        <v>3.1181309705490001</v>
      </c>
      <c r="AI3973">
        <v>89.685052083875902</v>
      </c>
      <c r="AJ3973">
        <v>99.990789837002694</v>
      </c>
      <c r="AK3973">
        <v>3.1661913002719899</v>
      </c>
      <c r="AL3973">
        <v>78.066386614014107</v>
      </c>
      <c r="AM3973">
        <v>84.725348837831206</v>
      </c>
      <c r="AN3973">
        <v>0.99999997037198796</v>
      </c>
    </row>
    <row r="3974" spans="1:40" x14ac:dyDescent="0.25">
      <c r="A3974" t="str">
        <f>"20190303171056815"</f>
        <v>20190303171056815</v>
      </c>
      <c r="B3974" t="str">
        <f>"1551604256805046"</f>
        <v>1551604256805046</v>
      </c>
      <c r="C3974" t="s">
        <v>40</v>
      </c>
      <c r="D3974">
        <v>5.0823410000000004</v>
      </c>
      <c r="E3974">
        <v>0.4008023</v>
      </c>
      <c r="F3974" t="s">
        <v>62</v>
      </c>
      <c r="G3974">
        <v>0</v>
      </c>
      <c r="H3974">
        <v>0</v>
      </c>
      <c r="I3974">
        <v>0</v>
      </c>
      <c r="J3974">
        <v>-379.04090000000002</v>
      </c>
      <c r="K3974">
        <v>1.1209880000000001</v>
      </c>
      <c r="L3974">
        <v>141.70609999999999</v>
      </c>
      <c r="M3974">
        <v>-0.99989620000000001</v>
      </c>
      <c r="N3974">
        <v>-1.4368179999999999E-2</v>
      </c>
      <c r="O3974">
        <v>1.113218E-3</v>
      </c>
      <c r="P3974">
        <v>-0.9765549</v>
      </c>
      <c r="Q3974">
        <v>0.19519039999999999</v>
      </c>
      <c r="R3974">
        <v>9.0783329999999995E-2</v>
      </c>
      <c r="S3974">
        <v>-3.1176149999999998</v>
      </c>
      <c r="T3974">
        <v>2.225423E-2</v>
      </c>
      <c r="U3974">
        <v>-0.55218509999999998</v>
      </c>
      <c r="V3974">
        <v>8.9704130000000007E-2</v>
      </c>
      <c r="W3974">
        <v>0.20919940000000001</v>
      </c>
      <c r="X3974">
        <v>0.97374989999999995</v>
      </c>
      <c r="Y3974">
        <v>-0.17550370000000001</v>
      </c>
      <c r="Z3974">
        <v>-6.2531570000000001E-4</v>
      </c>
      <c r="AA3974">
        <v>0.98447859999999998</v>
      </c>
      <c r="AB3974">
        <v>42</v>
      </c>
      <c r="AC3974">
        <v>-3.1176149999999998</v>
      </c>
      <c r="AD3974">
        <v>2.225423E-2</v>
      </c>
      <c r="AE3974">
        <v>-0.55218509999999998</v>
      </c>
      <c r="AF3974">
        <v>-0.555628250583595</v>
      </c>
      <c r="AG3974">
        <v>2.225423E-2</v>
      </c>
      <c r="AH3974">
        <v>3.1168443162808801</v>
      </c>
      <c r="AI3974">
        <v>89.597264764810603</v>
      </c>
      <c r="AJ3974">
        <v>100.107727484029</v>
      </c>
      <c r="AK3974">
        <v>3.1660600903223401</v>
      </c>
      <c r="AL3974">
        <v>77.924561361781599</v>
      </c>
      <c r="AM3974">
        <v>84.736633780884702</v>
      </c>
      <c r="AN3974">
        <v>1.0000000438247101</v>
      </c>
    </row>
    <row r="3975" spans="1:40" x14ac:dyDescent="0.25">
      <c r="A3975" t="str">
        <f>"20190303171056836"</f>
        <v>20190303171056836</v>
      </c>
      <c r="B3975" t="str">
        <f>"1551604256824566"</f>
        <v>1551604256824566</v>
      </c>
      <c r="C3975" t="s">
        <v>40</v>
      </c>
      <c r="D3975">
        <v>5.0643159999999998</v>
      </c>
      <c r="E3975">
        <v>0.40070990000000001</v>
      </c>
      <c r="F3975" t="s">
        <v>62</v>
      </c>
      <c r="G3975">
        <v>0</v>
      </c>
      <c r="H3975">
        <v>0</v>
      </c>
      <c r="I3975">
        <v>0</v>
      </c>
      <c r="J3975">
        <v>-379.43709999999999</v>
      </c>
      <c r="K3975">
        <v>1.1209990000000001</v>
      </c>
      <c r="L3975">
        <v>141.70660000000001</v>
      </c>
      <c r="M3975">
        <v>-0.99989620000000001</v>
      </c>
      <c r="N3975">
        <v>-1.43655E-2</v>
      </c>
      <c r="O3975">
        <v>1.113059E-3</v>
      </c>
      <c r="P3975">
        <v>-0.9763039</v>
      </c>
      <c r="Q3975">
        <v>0.19676830000000001</v>
      </c>
      <c r="R3975">
        <v>9.0072200000000005E-2</v>
      </c>
      <c r="S3975">
        <v>-3.1168819999999999</v>
      </c>
      <c r="T3975">
        <v>3.1460290000000002E-2</v>
      </c>
      <c r="U3975">
        <v>-0.55018619999999996</v>
      </c>
      <c r="V3975">
        <v>8.8993340000000004E-2</v>
      </c>
      <c r="W3975">
        <v>0.21077090000000001</v>
      </c>
      <c r="X3975">
        <v>0.97347620000000001</v>
      </c>
      <c r="Y3975">
        <v>-0.17493029999999901</v>
      </c>
      <c r="Z3975">
        <v>-3.63118E-4</v>
      </c>
      <c r="AA3975">
        <v>0.98458080000000003</v>
      </c>
      <c r="AB3975">
        <v>42</v>
      </c>
      <c r="AC3975">
        <v>-3.1168819999999999</v>
      </c>
      <c r="AD3975">
        <v>3.1460290000000002E-2</v>
      </c>
      <c r="AE3975">
        <v>-0.55018619999999996</v>
      </c>
      <c r="AF3975">
        <v>-0.55360079463043599</v>
      </c>
      <c r="AG3975">
        <v>3.1460290000000002E-2</v>
      </c>
      <c r="AH3975">
        <v>3.1159597575080999</v>
      </c>
      <c r="AI3975">
        <v>89.430451320406405</v>
      </c>
      <c r="AJ3975">
        <v>100.07440195241</v>
      </c>
      <c r="AK3975">
        <v>3.1649121314931099</v>
      </c>
      <c r="AL3975">
        <v>77.832467840662403</v>
      </c>
      <c r="AM3975">
        <v>84.776647667738899</v>
      </c>
      <c r="AN3975">
        <v>1.0000000494087999</v>
      </c>
    </row>
    <row r="3976" spans="1:40" x14ac:dyDescent="0.25">
      <c r="A3976" t="str">
        <f>"20190303171056858"</f>
        <v>20190303171056858</v>
      </c>
      <c r="B3976" t="str">
        <f>"1551604256854822"</f>
        <v>1551604256854822</v>
      </c>
      <c r="C3976" t="s">
        <v>40</v>
      </c>
      <c r="D3976">
        <v>5.0913950000000003</v>
      </c>
      <c r="E3976">
        <v>0.40114519999999998</v>
      </c>
      <c r="F3976" t="s">
        <v>62</v>
      </c>
      <c r="G3976">
        <v>0</v>
      </c>
      <c r="H3976">
        <v>0</v>
      </c>
      <c r="I3976">
        <v>0</v>
      </c>
      <c r="J3976">
        <v>-379.85169999999999</v>
      </c>
      <c r="K3976">
        <v>1.1210100000000001</v>
      </c>
      <c r="L3976">
        <v>141.70699999999999</v>
      </c>
      <c r="M3976">
        <v>-0.99989629999999996</v>
      </c>
      <c r="N3976">
        <v>-1.436308E-2</v>
      </c>
      <c r="O3976">
        <v>1.113076E-3</v>
      </c>
      <c r="P3976">
        <v>-0.97649410000000003</v>
      </c>
      <c r="Q3976">
        <v>0.1966608</v>
      </c>
      <c r="R3976">
        <v>8.8226600000000002E-2</v>
      </c>
      <c r="S3976">
        <v>-3.1169739999999999</v>
      </c>
      <c r="T3976">
        <v>3.3811569999999999E-2</v>
      </c>
      <c r="U3976">
        <v>-0.552597</v>
      </c>
      <c r="V3976">
        <v>8.7147530000000001E-2</v>
      </c>
      <c r="W3976">
        <v>0.21066370000000001</v>
      </c>
      <c r="X3976">
        <v>0.97366629999999998</v>
      </c>
      <c r="Y3976">
        <v>-0.1756634</v>
      </c>
      <c r="Z3976">
        <v>-2.9814130000000002E-4</v>
      </c>
      <c r="AA3976">
        <v>0.9844503</v>
      </c>
      <c r="AB3976">
        <v>42</v>
      </c>
      <c r="AC3976">
        <v>-3.1169739999999999</v>
      </c>
      <c r="AD3976">
        <v>3.3811569999999999E-2</v>
      </c>
      <c r="AE3976">
        <v>-0.552597</v>
      </c>
      <c r="AF3976">
        <v>-0.55600301323896995</v>
      </c>
      <c r="AG3976">
        <v>3.3811569999999999E-2</v>
      </c>
      <c r="AH3976">
        <v>3.1160014372642202</v>
      </c>
      <c r="AI3976">
        <v>89.387976864912503</v>
      </c>
      <c r="AJ3976">
        <v>100.117083720623</v>
      </c>
      <c r="AK3976">
        <v>3.1653984788695002</v>
      </c>
      <c r="AL3976">
        <v>77.838750106692103</v>
      </c>
      <c r="AM3976">
        <v>84.885397777341893</v>
      </c>
      <c r="AN3976">
        <v>0.99999997511923999</v>
      </c>
    </row>
    <row r="3977" spans="1:40" x14ac:dyDescent="0.25">
      <c r="A3977" t="str">
        <f>"20190303171056882"</f>
        <v>20190303171056882</v>
      </c>
      <c r="B3977" t="str">
        <f>"1551604256874342"</f>
        <v>1551604256874342</v>
      </c>
      <c r="C3977" t="s">
        <v>40</v>
      </c>
      <c r="D3977">
        <v>5.1121670000000003</v>
      </c>
      <c r="E3977">
        <v>0.40110610000000002</v>
      </c>
      <c r="F3977" t="s">
        <v>62</v>
      </c>
      <c r="G3977">
        <v>0</v>
      </c>
      <c r="H3977">
        <v>0</v>
      </c>
      <c r="I3977">
        <v>0</v>
      </c>
      <c r="J3977">
        <v>-380.31279999999998</v>
      </c>
      <c r="K3977">
        <v>1.1210199999999999</v>
      </c>
      <c r="L3977">
        <v>141.70750000000001</v>
      </c>
      <c r="M3977">
        <v>-0.99989629999999996</v>
      </c>
      <c r="N3977">
        <v>-1.436043E-2</v>
      </c>
      <c r="O3977">
        <v>1.1129759999999999E-3</v>
      </c>
      <c r="P3977">
        <v>-0.97631789999999996</v>
      </c>
      <c r="Q3977">
        <v>0.1976522</v>
      </c>
      <c r="R3977">
        <v>8.7960440000000001E-2</v>
      </c>
      <c r="S3977">
        <v>-3.116333</v>
      </c>
      <c r="T3977">
        <v>2.9227969999999999E-2</v>
      </c>
      <c r="U3977">
        <v>-0.55337519999999996</v>
      </c>
      <c r="V3977">
        <v>8.6881760000000002E-2</v>
      </c>
      <c r="W3977">
        <v>0.21165039999999999</v>
      </c>
      <c r="X3977">
        <v>0.97347609999999996</v>
      </c>
      <c r="Y3977">
        <v>-0.17593710000000001</v>
      </c>
      <c r="Z3977">
        <v>-4.2827289999999998E-4</v>
      </c>
      <c r="AA3977">
        <v>0.98440130000000003</v>
      </c>
      <c r="AB3977">
        <v>42</v>
      </c>
      <c r="AC3977">
        <v>-3.116333</v>
      </c>
      <c r="AD3977">
        <v>2.9227969999999999E-2</v>
      </c>
      <c r="AE3977">
        <v>-0.55337519999999996</v>
      </c>
      <c r="AF3977">
        <v>-0.55679613723718102</v>
      </c>
      <c r="AG3977">
        <v>2.9227969999999999E-2</v>
      </c>
      <c r="AH3977">
        <v>3.1154494395646299</v>
      </c>
      <c r="AI3977">
        <v>89.470871982006898</v>
      </c>
      <c r="AJ3977">
        <v>100.13297460595</v>
      </c>
      <c r="AK3977">
        <v>3.1649488816023799</v>
      </c>
      <c r="AL3977">
        <v>77.780912851713396</v>
      </c>
      <c r="AM3977">
        <v>84.8999221844619</v>
      </c>
      <c r="AN3977">
        <v>1.0000000246560301</v>
      </c>
    </row>
    <row r="3978" spans="1:40" x14ac:dyDescent="0.25">
      <c r="A3978" t="str">
        <f>"20190303171056904"</f>
        <v>20190303171056904</v>
      </c>
      <c r="B3978" t="str">
        <f>"1551604256894369"</f>
        <v>1551604256894369</v>
      </c>
      <c r="C3978" t="s">
        <v>40</v>
      </c>
      <c r="D3978">
        <v>5.2093920000000002</v>
      </c>
      <c r="E3978">
        <v>0.40107880000000001</v>
      </c>
      <c r="F3978" t="s">
        <v>62</v>
      </c>
      <c r="G3978">
        <v>0</v>
      </c>
      <c r="H3978">
        <v>0</v>
      </c>
      <c r="I3978">
        <v>0</v>
      </c>
      <c r="J3978">
        <v>-380.70699999999999</v>
      </c>
      <c r="K3978">
        <v>1.12103</v>
      </c>
      <c r="L3978">
        <v>141.7079</v>
      </c>
      <c r="M3978">
        <v>-0.99989629999999996</v>
      </c>
      <c r="N3978">
        <v>-1.435814E-2</v>
      </c>
      <c r="O3978">
        <v>1.1126350000000001E-3</v>
      </c>
      <c r="P3978">
        <v>-0.9756823</v>
      </c>
      <c r="Q3978">
        <v>0.19989470000000001</v>
      </c>
      <c r="R3978">
        <v>8.9922699999999994E-2</v>
      </c>
      <c r="S3978">
        <v>-3.1161500000000002</v>
      </c>
      <c r="T3978">
        <v>3.2222510000000003E-2</v>
      </c>
      <c r="U3978">
        <v>-0.55398559999999997</v>
      </c>
      <c r="V3978">
        <v>8.8845140000000003E-2</v>
      </c>
      <c r="W3978">
        <v>0.21388080000000001</v>
      </c>
      <c r="X3978">
        <v>0.97281119999999999</v>
      </c>
      <c r="Y3978">
        <v>-0.17613319999999999</v>
      </c>
      <c r="Z3978">
        <v>-3.435507E-4</v>
      </c>
      <c r="AA3978">
        <v>0.98436630000000003</v>
      </c>
      <c r="AB3978">
        <v>42</v>
      </c>
      <c r="AC3978">
        <v>-3.1161500000000002</v>
      </c>
      <c r="AD3978">
        <v>3.2222510000000003E-2</v>
      </c>
      <c r="AE3978">
        <v>-0.55398559999999997</v>
      </c>
      <c r="AF3978">
        <v>-0.55739497813652295</v>
      </c>
      <c r="AG3978">
        <v>3.2222510000000003E-2</v>
      </c>
      <c r="AH3978">
        <v>3.1152087327120102</v>
      </c>
      <c r="AI3978">
        <v>89.416639710785105</v>
      </c>
      <c r="AJ3978">
        <v>100.144414065869</v>
      </c>
      <c r="AK3978">
        <v>3.1648464260004299</v>
      </c>
      <c r="AL3978">
        <v>77.650125951329599</v>
      </c>
      <c r="AM3978">
        <v>84.781753061258399</v>
      </c>
      <c r="AN3978">
        <v>1.00000004317784</v>
      </c>
    </row>
    <row r="3979" spans="1:40" x14ac:dyDescent="0.25">
      <c r="A3979" t="str">
        <f>"20190303171056925"</f>
        <v>20190303171056925</v>
      </c>
      <c r="B3979" t="str">
        <f>"1551604256914865"</f>
        <v>1551604256914865</v>
      </c>
      <c r="C3979" t="s">
        <v>40</v>
      </c>
      <c r="D3979">
        <v>5.1816040000000001</v>
      </c>
      <c r="E3979">
        <v>0.43122490000000002</v>
      </c>
      <c r="F3979" t="s">
        <v>62</v>
      </c>
      <c r="G3979">
        <v>0</v>
      </c>
      <c r="H3979">
        <v>0</v>
      </c>
      <c r="I3979">
        <v>0</v>
      </c>
      <c r="J3979">
        <v>-381.10820000000001</v>
      </c>
      <c r="K3979">
        <v>1.1210370000000001</v>
      </c>
      <c r="L3979">
        <v>141.70840000000001</v>
      </c>
      <c r="M3979">
        <v>-0.99989640000000002</v>
      </c>
      <c r="N3979">
        <v>-1.43557999999999E-2</v>
      </c>
      <c r="O3979">
        <v>1.109589E-3</v>
      </c>
      <c r="P3979">
        <v>-0.97517259999999995</v>
      </c>
      <c r="Q3979">
        <v>0.20153019999999999</v>
      </c>
      <c r="R3979">
        <v>9.1782849999999999E-2</v>
      </c>
      <c r="S3979">
        <v>-3.1171259999999998</v>
      </c>
      <c r="T3979">
        <v>4.0179010000000001E-2</v>
      </c>
      <c r="U3979">
        <v>-0.54862979999999995</v>
      </c>
      <c r="V3979">
        <v>9.0708230000000001E-2</v>
      </c>
      <c r="W3979">
        <v>0.21550710000000001</v>
      </c>
      <c r="X3979">
        <v>0.97228009999999998</v>
      </c>
      <c r="Y3979">
        <v>-0.1744348</v>
      </c>
      <c r="Z3979">
        <v>-1.160912E-4</v>
      </c>
      <c r="AA3979">
        <v>0.98466869999999995</v>
      </c>
      <c r="AB3979">
        <v>42</v>
      </c>
      <c r="AC3979">
        <v>-3.1171259999999998</v>
      </c>
      <c r="AD3979">
        <v>4.0179010000000001E-2</v>
      </c>
      <c r="AE3979">
        <v>-0.54862979999999995</v>
      </c>
      <c r="AF3979">
        <v>-0.55199959033914703</v>
      </c>
      <c r="AG3979">
        <v>4.0179010000000001E-2</v>
      </c>
      <c r="AH3979">
        <v>3.1160131071947901</v>
      </c>
      <c r="AI3979">
        <v>89.272572853346404</v>
      </c>
      <c r="AJ3979">
        <v>100.045689170754</v>
      </c>
      <c r="AK3979">
        <v>3.16478365528971</v>
      </c>
      <c r="AL3979">
        <v>77.554719840444605</v>
      </c>
      <c r="AM3979">
        <v>84.670055998995295</v>
      </c>
      <c r="AN3979">
        <v>0.99999994299807404</v>
      </c>
    </row>
    <row r="3980" spans="1:40" x14ac:dyDescent="0.25">
      <c r="A3980" t="str">
        <f>"20190303171056949"</f>
        <v>20190303171056949</v>
      </c>
      <c r="B3980" t="str">
        <f>"1551604256945121"</f>
        <v>1551604256945121</v>
      </c>
      <c r="C3980" t="s">
        <v>40</v>
      </c>
      <c r="D3980">
        <v>5.1801059999999897</v>
      </c>
      <c r="E3980">
        <v>0.44105549999999999</v>
      </c>
      <c r="F3980" t="s">
        <v>42</v>
      </c>
      <c r="G3980">
        <v>-469.50779999999997</v>
      </c>
      <c r="H3980" s="1">
        <v>-1.0709640000000001E-6</v>
      </c>
      <c r="I3980">
        <v>132.9941</v>
      </c>
      <c r="J3980">
        <v>-381.52820000000003</v>
      </c>
      <c r="K3980">
        <v>1.1210420000000001</v>
      </c>
      <c r="L3980">
        <v>141.7088</v>
      </c>
      <c r="M3980">
        <v>-0.99989649999999997</v>
      </c>
      <c r="N3980">
        <v>-1.435324E-2</v>
      </c>
      <c r="O3980">
        <v>1.0923180000000001E-3</v>
      </c>
      <c r="P3980">
        <v>-0.97525220000000001</v>
      </c>
      <c r="Q3980">
        <v>0.20102819999999999</v>
      </c>
      <c r="R3980">
        <v>9.2038300000000003E-2</v>
      </c>
      <c r="S3980">
        <v>-3.1134339999999998</v>
      </c>
      <c r="T3980">
        <v>-3.9482950000000003E-2</v>
      </c>
      <c r="U3980">
        <v>-0.3069153</v>
      </c>
      <c r="V3980">
        <v>9.0976760000000004E-2</v>
      </c>
      <c r="W3980">
        <v>0.2150051</v>
      </c>
      <c r="X3980">
        <v>0.97236619999999996</v>
      </c>
      <c r="Y3980">
        <v>-9.9172410000000003E-2</v>
      </c>
      <c r="Z3980">
        <v>-1.338999E-3</v>
      </c>
      <c r="AA3980">
        <v>0.99506939999999999</v>
      </c>
      <c r="AB3980">
        <v>42</v>
      </c>
      <c r="AC3980">
        <v>-87.979599999999905</v>
      </c>
      <c r="AD3980">
        <v>-1.121043070964</v>
      </c>
      <c r="AE3980">
        <v>-8.7146999999999899</v>
      </c>
      <c r="AF3980">
        <v>-8.8093899902373192</v>
      </c>
      <c r="AG3980">
        <v>-1.121043070964</v>
      </c>
      <c r="AH3980">
        <v>87.955885483419195</v>
      </c>
      <c r="AI3980">
        <v>90.726589813759702</v>
      </c>
      <c r="AJ3980">
        <v>95.719494450328398</v>
      </c>
      <c r="AK3980">
        <v>88.403053571352402</v>
      </c>
      <c r="AL3980">
        <v>77.584173431138296</v>
      </c>
      <c r="AM3980">
        <v>84.654839257678404</v>
      </c>
      <c r="AN3980">
        <v>0.99999999539427298</v>
      </c>
    </row>
    <row r="3981" spans="1:40" x14ac:dyDescent="0.25">
      <c r="A3981" t="str">
        <f>"20190303171056970"</f>
        <v>20190303171056970</v>
      </c>
      <c r="B3981" t="str">
        <f>"1551604256964641"</f>
        <v>1551604256964641</v>
      </c>
      <c r="C3981" t="s">
        <v>40</v>
      </c>
      <c r="D3981">
        <v>5.1994930000000004</v>
      </c>
      <c r="E3981">
        <v>0.44351940000000001</v>
      </c>
      <c r="F3981" t="s">
        <v>42</v>
      </c>
      <c r="G3981">
        <v>-447.86689999999999</v>
      </c>
      <c r="H3981" s="1">
        <v>-4.2981000000000001E-7</v>
      </c>
      <c r="I3981">
        <v>136.86850000000001</v>
      </c>
      <c r="J3981">
        <v>-381.93779999999998</v>
      </c>
      <c r="K3981">
        <v>1.121054</v>
      </c>
      <c r="L3981">
        <v>141.70920000000001</v>
      </c>
      <c r="M3981">
        <v>-0.99989649999999997</v>
      </c>
      <c r="N3981">
        <v>-1.4350659999999999E-2</v>
      </c>
      <c r="O3981">
        <v>1.047877E-3</v>
      </c>
      <c r="P3981">
        <v>-0.975406</v>
      </c>
      <c r="Q3981">
        <v>0.20027030000000001</v>
      </c>
      <c r="R3981">
        <v>9.2059879999999997E-2</v>
      </c>
      <c r="S3981">
        <v>-3.1083370000000001</v>
      </c>
      <c r="T3981">
        <v>-5.2527070000000002E-2</v>
      </c>
      <c r="U3981">
        <v>-0.2267914</v>
      </c>
      <c r="V3981">
        <v>9.1032500000000002E-2</v>
      </c>
      <c r="W3981">
        <v>0.2142511</v>
      </c>
      <c r="X3981">
        <v>0.97252740000000004</v>
      </c>
      <c r="Y3981">
        <v>-7.3794589999999993E-2</v>
      </c>
      <c r="Z3981">
        <v>-1.1556120000000001E-3</v>
      </c>
      <c r="AA3981">
        <v>0.99727279999999996</v>
      </c>
      <c r="AB3981">
        <v>42</v>
      </c>
      <c r="AC3981">
        <v>-65.929100000000005</v>
      </c>
      <c r="AD3981">
        <v>-1.12105442981</v>
      </c>
      <c r="AE3981">
        <v>-4.8406999999999902</v>
      </c>
      <c r="AF3981">
        <v>-4.9083784732125597</v>
      </c>
      <c r="AG3981">
        <v>-1.12105442981</v>
      </c>
      <c r="AH3981">
        <v>65.905037606030504</v>
      </c>
      <c r="AI3981">
        <v>90.971824703530601</v>
      </c>
      <c r="AJ3981">
        <v>94.259327278038597</v>
      </c>
      <c r="AK3981">
        <v>66.097071978440795</v>
      </c>
      <c r="AL3981">
        <v>77.628405253059597</v>
      </c>
      <c r="AM3981">
        <v>84.652464729105503</v>
      </c>
      <c r="AN3981">
        <v>0.99999999682911</v>
      </c>
    </row>
    <row r="3982" spans="1:40" x14ac:dyDescent="0.25">
      <c r="A3982" t="str">
        <f>"20190303171056993"</f>
        <v>20190303171056993</v>
      </c>
      <c r="B3982" t="str">
        <f>"1551604256984668"</f>
        <v>1551604256984668</v>
      </c>
      <c r="C3982" t="s">
        <v>40</v>
      </c>
      <c r="D3982">
        <v>5.2293770000000004</v>
      </c>
      <c r="E3982">
        <v>0.44483230000000001</v>
      </c>
      <c r="F3982" t="s">
        <v>84</v>
      </c>
      <c r="G3982">
        <v>-439.86540000000002</v>
      </c>
      <c r="H3982" s="1">
        <v>-6.3630449999999997E-6</v>
      </c>
      <c r="I3982">
        <v>137.86330000000001</v>
      </c>
      <c r="J3982">
        <v>-382.36360000000002</v>
      </c>
      <c r="K3982">
        <v>1.121094</v>
      </c>
      <c r="L3982">
        <v>141.70959999999999</v>
      </c>
      <c r="M3982">
        <v>-0.99989669999999997</v>
      </c>
      <c r="N3982">
        <v>-1.4348059999999999E-2</v>
      </c>
      <c r="O3982">
        <v>9.55006E-4</v>
      </c>
      <c r="P3982">
        <v>-0.97514769999999995</v>
      </c>
      <c r="Q3982">
        <v>0.2011319</v>
      </c>
      <c r="R3982">
        <v>9.2914239999999995E-2</v>
      </c>
      <c r="S3982">
        <v>-3.1074519999999999</v>
      </c>
      <c r="T3982">
        <v>-6.0137870000000003E-2</v>
      </c>
      <c r="U3982">
        <v>-0.2063141</v>
      </c>
      <c r="V3982">
        <v>9.1960780000000006E-2</v>
      </c>
      <c r="W3982">
        <v>0.21511359999999999</v>
      </c>
      <c r="X3982">
        <v>0.97224960000000005</v>
      </c>
      <c r="Y3982">
        <v>-6.7178589999999996E-2</v>
      </c>
      <c r="Z3982">
        <v>-1.136618E-3</v>
      </c>
      <c r="AA3982">
        <v>0.99774030000000002</v>
      </c>
      <c r="AB3982">
        <v>42</v>
      </c>
      <c r="AC3982">
        <v>-57.501800000000003</v>
      </c>
      <c r="AD3982">
        <v>-1.121100363045</v>
      </c>
      <c r="AE3982">
        <v>-3.8462999999999798</v>
      </c>
      <c r="AF3982">
        <v>-3.89974267238942</v>
      </c>
      <c r="AG3982">
        <v>-1.121100363045</v>
      </c>
      <c r="AH3982">
        <v>57.476349293988399</v>
      </c>
      <c r="AI3982">
        <v>91.114873976779094</v>
      </c>
      <c r="AJ3982">
        <v>93.881542093569905</v>
      </c>
      <c r="AK3982">
        <v>57.619402870035302</v>
      </c>
      <c r="AL3982">
        <v>77.577807512240497</v>
      </c>
      <c r="AM3982">
        <v>84.596721277337707</v>
      </c>
      <c r="AN3982">
        <v>0.99999996533166302</v>
      </c>
    </row>
    <row r="3983" spans="1:40" x14ac:dyDescent="0.25">
      <c r="A3983" t="str">
        <f>"20190303171057013"</f>
        <v>20190303171057013</v>
      </c>
      <c r="B3983" t="str">
        <f>"1551604257005164"</f>
        <v>1551604257005164</v>
      </c>
      <c r="C3983" t="s">
        <v>40</v>
      </c>
      <c r="D3983">
        <v>5.2372540000000001</v>
      </c>
      <c r="E3983">
        <v>0.44552730000000001</v>
      </c>
      <c r="F3983" t="s">
        <v>42</v>
      </c>
      <c r="G3983">
        <v>-441.14749999999998</v>
      </c>
      <c r="H3983" s="1">
        <v>-3.0474470000000001E-6</v>
      </c>
      <c r="I3983">
        <v>138.03380000000001</v>
      </c>
      <c r="J3983">
        <v>-382.75349999999997</v>
      </c>
      <c r="K3983">
        <v>1.1211439999999999</v>
      </c>
      <c r="L3983">
        <v>141.7099</v>
      </c>
      <c r="M3983">
        <v>-0.99989680000000003</v>
      </c>
      <c r="N3983">
        <v>-1.4345800000000001E-2</v>
      </c>
      <c r="O3983">
        <v>8.0555440000000002E-4</v>
      </c>
      <c r="P3983">
        <v>-0.97474300000000003</v>
      </c>
      <c r="Q3983">
        <v>0.20273659999999999</v>
      </c>
      <c r="R3983">
        <v>9.3669059999999998E-2</v>
      </c>
      <c r="S3983">
        <v>-3.107208</v>
      </c>
      <c r="T3983">
        <v>-5.9259180000000002E-2</v>
      </c>
      <c r="U3983">
        <v>-0.1942902</v>
      </c>
      <c r="V3983">
        <v>9.2837009999999998E-2</v>
      </c>
      <c r="W3983">
        <v>0.2167203</v>
      </c>
      <c r="X3983">
        <v>0.97180940000000005</v>
      </c>
      <c r="Y3983">
        <v>-6.3190930000000006E-2</v>
      </c>
      <c r="Z3983">
        <v>-1.059532E-3</v>
      </c>
      <c r="AA3983">
        <v>0.99800089999999997</v>
      </c>
      <c r="AB3983">
        <v>42</v>
      </c>
      <c r="AC3983">
        <v>-58.393999999999998</v>
      </c>
      <c r="AD3983">
        <v>-1.121147047447</v>
      </c>
      <c r="AE3983">
        <v>-3.6760999999999902</v>
      </c>
      <c r="AF3983">
        <v>-3.7217766538219101</v>
      </c>
      <c r="AG3983">
        <v>-1.121147047447</v>
      </c>
      <c r="AH3983">
        <v>58.369587699805599</v>
      </c>
      <c r="AI3983">
        <v>91.098156788083202</v>
      </c>
      <c r="AJ3983">
        <v>93.648369268328494</v>
      </c>
      <c r="AK3983">
        <v>58.498866317290499</v>
      </c>
      <c r="AL3983">
        <v>77.483526301743595</v>
      </c>
      <c r="AM3983">
        <v>84.543090461802095</v>
      </c>
      <c r="AN3983">
        <v>0.99999995439309397</v>
      </c>
    </row>
    <row r="3984" spans="1:40" x14ac:dyDescent="0.25">
      <c r="A3984" t="str">
        <f>"20190303171057037"</f>
        <v>20190303171057037</v>
      </c>
      <c r="B3984" t="str">
        <f>"1551604257024684"</f>
        <v>1551604257024684</v>
      </c>
      <c r="C3984" t="s">
        <v>40</v>
      </c>
      <c r="D3984">
        <v>5.230283</v>
      </c>
      <c r="E3984">
        <v>0.44598209999999999</v>
      </c>
      <c r="F3984" t="s">
        <v>42</v>
      </c>
      <c r="G3984">
        <v>-446.85500000000002</v>
      </c>
      <c r="H3984" s="1">
        <v>-6.3499660000000001E-7</v>
      </c>
      <c r="I3984">
        <v>137.8305</v>
      </c>
      <c r="J3984">
        <v>-383.17110000000002</v>
      </c>
      <c r="K3984">
        <v>1.1212139999999999</v>
      </c>
      <c r="L3984">
        <v>141.71</v>
      </c>
      <c r="M3984">
        <v>-0.99989709999999998</v>
      </c>
      <c r="N3984">
        <v>-1.43435E-2</v>
      </c>
      <c r="O3984">
        <v>5.4984589999999996E-4</v>
      </c>
      <c r="P3984">
        <v>-0.97482840000000004</v>
      </c>
      <c r="Q3984">
        <v>0.20220759999999999</v>
      </c>
      <c r="R3984">
        <v>9.3925419999999996E-2</v>
      </c>
      <c r="S3984">
        <v>-3.1071170000000001</v>
      </c>
      <c r="T3984">
        <v>-5.434394E-2</v>
      </c>
      <c r="U3984">
        <v>-0.18803410000000001</v>
      </c>
      <c r="V3984">
        <v>9.3304810000000002E-2</v>
      </c>
      <c r="W3984">
        <v>0.21620690000000001</v>
      </c>
      <c r="X3984">
        <v>0.97187900000000005</v>
      </c>
      <c r="Y3984">
        <v>-6.093867E-2</v>
      </c>
      <c r="Z3984">
        <v>-9.7163269999999996E-4</v>
      </c>
      <c r="AA3984">
        <v>0.9981411</v>
      </c>
      <c r="AB3984">
        <v>41</v>
      </c>
      <c r="AC3984">
        <v>-63.683900000000001</v>
      </c>
      <c r="AD3984">
        <v>-1.1212146349965999</v>
      </c>
      <c r="AE3984">
        <v>-3.8795000000000002</v>
      </c>
      <c r="AF3984">
        <v>-3.9133108229290499</v>
      </c>
      <c r="AG3984">
        <v>-1.1212146349965999</v>
      </c>
      <c r="AH3984">
        <v>63.662096710309399</v>
      </c>
      <c r="AI3984">
        <v>91.007086479475106</v>
      </c>
      <c r="AJ3984">
        <v>93.517547160366604</v>
      </c>
      <c r="AK3984">
        <v>63.792113003155599</v>
      </c>
      <c r="AL3984">
        <v>77.513656908861904</v>
      </c>
      <c r="AM3984">
        <v>84.516151009710896</v>
      </c>
      <c r="AN3984">
        <v>1.0000000009088701</v>
      </c>
    </row>
    <row r="3985" spans="1:40" x14ac:dyDescent="0.25">
      <c r="A3985" t="str">
        <f>"20190303171057052"</f>
        <v>20190303171057052</v>
      </c>
      <c r="B3985" t="str">
        <f>"1551604257045180"</f>
        <v>1551604257045180</v>
      </c>
      <c r="C3985" t="s">
        <v>40</v>
      </c>
      <c r="D3985">
        <v>5.2471079999999999</v>
      </c>
      <c r="E3985">
        <v>0.44622879999999998</v>
      </c>
      <c r="F3985" t="s">
        <v>42</v>
      </c>
      <c r="G3985">
        <v>-442.53300000000002</v>
      </c>
      <c r="H3985" s="1">
        <v>-2.4225239999999999E-6</v>
      </c>
      <c r="I3985">
        <v>138.20599999999999</v>
      </c>
      <c r="J3985">
        <v>-383.46379999999999</v>
      </c>
      <c r="K3985">
        <v>1.121281</v>
      </c>
      <c r="L3985">
        <v>141.71</v>
      </c>
      <c r="M3985">
        <v>-0.99989720000000004</v>
      </c>
      <c r="N3985">
        <v>-1.434206E-2</v>
      </c>
      <c r="O3985">
        <v>2.8471030000000002E-4</v>
      </c>
      <c r="P3985">
        <v>-0.97507319999999997</v>
      </c>
      <c r="Q3985">
        <v>0.20119970000000001</v>
      </c>
      <c r="R3985">
        <v>9.3547989999999998E-2</v>
      </c>
      <c r="S3985">
        <v>-3.1073</v>
      </c>
      <c r="T3985">
        <v>-5.8690190000000003E-2</v>
      </c>
      <c r="U3985">
        <v>-0.18341060000000001</v>
      </c>
      <c r="V3985">
        <v>9.3150549999999999E-2</v>
      </c>
      <c r="W3985">
        <v>0.21521599999999999</v>
      </c>
      <c r="X3985">
        <v>0.97211369999999997</v>
      </c>
      <c r="Y3985">
        <v>-5.9188879999999999E-2</v>
      </c>
      <c r="Z3985">
        <v>-9.8463450000000003E-4</v>
      </c>
      <c r="AA3985">
        <v>0.99824630000000003</v>
      </c>
      <c r="AB3985">
        <v>41</v>
      </c>
      <c r="AC3985">
        <v>-59.069200000000002</v>
      </c>
      <c r="AD3985">
        <v>-1.121283422524</v>
      </c>
      <c r="AE3985">
        <v>-3.5039999999999898</v>
      </c>
      <c r="AF3985">
        <v>-3.5195554176947601</v>
      </c>
      <c r="AG3985">
        <v>-1.121283422524</v>
      </c>
      <c r="AH3985">
        <v>59.046997679725798</v>
      </c>
      <c r="AI3985">
        <v>91.085970613522704</v>
      </c>
      <c r="AJ3985">
        <v>93.411136344990496</v>
      </c>
      <c r="AK3985">
        <v>59.162424577102897</v>
      </c>
      <c r="AL3985">
        <v>77.571800128944503</v>
      </c>
      <c r="AM3985">
        <v>84.5264760521016</v>
      </c>
      <c r="AN3985">
        <v>0.99999999867449596</v>
      </c>
    </row>
    <row r="3986" spans="1:40" x14ac:dyDescent="0.25">
      <c r="A3986" t="str">
        <f>"20190303171057071"</f>
        <v>20190303171057071</v>
      </c>
      <c r="B3986" t="str">
        <f>"1551604257064700"</f>
        <v>1551604257064700</v>
      </c>
      <c r="C3986" t="s">
        <v>40</v>
      </c>
      <c r="D3986">
        <v>5.2255599999999998</v>
      </c>
      <c r="E3986">
        <v>0.44623469999999998</v>
      </c>
      <c r="F3986" t="s">
        <v>84</v>
      </c>
      <c r="G3986">
        <v>-438.50240000000002</v>
      </c>
      <c r="H3986" s="1">
        <v>-7.3188119999999996E-6</v>
      </c>
      <c r="I3986">
        <v>138.482</v>
      </c>
      <c r="J3986">
        <v>-383.80360000000002</v>
      </c>
      <c r="K3986">
        <v>1.121362</v>
      </c>
      <c r="L3986">
        <v>141.7097</v>
      </c>
      <c r="M3986">
        <v>-0.99989729999999999</v>
      </c>
      <c r="N3986">
        <v>-1.434058E-2</v>
      </c>
      <c r="O3986" s="1">
        <v>-9.1615470000000002E-5</v>
      </c>
      <c r="P3986">
        <v>-0.9752769</v>
      </c>
      <c r="Q3986">
        <v>0.20036609999999999</v>
      </c>
      <c r="R3986">
        <v>9.3212349999999999E-2</v>
      </c>
      <c r="S3986">
        <v>-3.1072389999999999</v>
      </c>
      <c r="T3986">
        <v>-6.3303109999999996E-2</v>
      </c>
      <c r="U3986">
        <v>-0.1822357</v>
      </c>
      <c r="V3986">
        <v>9.3137579999999998E-2</v>
      </c>
      <c r="W3986">
        <v>0.21440300000000001</v>
      </c>
      <c r="X3986">
        <v>0.97229460000000001</v>
      </c>
      <c r="Y3986">
        <v>-5.8436080000000001E-2</v>
      </c>
      <c r="Z3986">
        <v>-1.013587E-3</v>
      </c>
      <c r="AA3986">
        <v>0.99829069999999998</v>
      </c>
      <c r="AB3986">
        <v>41</v>
      </c>
      <c r="AC3986">
        <v>-54.698799999999999</v>
      </c>
      <c r="AD3986">
        <v>-1.121369318812</v>
      </c>
      <c r="AE3986">
        <v>-3.2276999999999898</v>
      </c>
      <c r="AF3986">
        <v>-3.2213390395658799</v>
      </c>
      <c r="AG3986">
        <v>-1.121369318812</v>
      </c>
      <c r="AH3986">
        <v>54.676195774019298</v>
      </c>
      <c r="AI3986">
        <v>91.172897040894199</v>
      </c>
      <c r="AJ3986">
        <v>93.371778436116102</v>
      </c>
      <c r="AK3986">
        <v>54.782486970526399</v>
      </c>
      <c r="AL3986">
        <v>77.619495285593203</v>
      </c>
      <c r="AM3986">
        <v>84.5282455952769</v>
      </c>
      <c r="AN3986">
        <v>1.0000000222031999</v>
      </c>
    </row>
    <row r="3987" spans="1:40" x14ac:dyDescent="0.25">
      <c r="A3987" t="str">
        <f>"20190303171057093"</f>
        <v>20190303171057093</v>
      </c>
      <c r="B3987" t="str">
        <f>"1551604257085196"</f>
        <v>1551604257085196</v>
      </c>
      <c r="C3987" t="s">
        <v>40</v>
      </c>
      <c r="D3987">
        <v>5.239363</v>
      </c>
      <c r="E3987">
        <v>0.44635190000000002</v>
      </c>
      <c r="F3987" t="s">
        <v>84</v>
      </c>
      <c r="G3987">
        <v>-435.86669999999998</v>
      </c>
      <c r="H3987" s="1">
        <v>-8.5527039999999996E-6</v>
      </c>
      <c r="I3987">
        <v>138.64179999999999</v>
      </c>
      <c r="J3987">
        <v>-384.21319999999997</v>
      </c>
      <c r="K3987">
        <v>1.1214869999999999</v>
      </c>
      <c r="L3987">
        <v>141.70920000000001</v>
      </c>
      <c r="M3987">
        <v>-0.99989689999999998</v>
      </c>
      <c r="N3987">
        <v>-1.433896E-2</v>
      </c>
      <c r="O3987">
        <v>-6.8349269999999998E-4</v>
      </c>
      <c r="P3987">
        <v>-0.97505679999999995</v>
      </c>
      <c r="Q3987">
        <v>0.20125119999999999</v>
      </c>
      <c r="R3987">
        <v>9.3605649999999999E-2</v>
      </c>
      <c r="S3987">
        <v>-3.1073</v>
      </c>
      <c r="T3987">
        <v>-6.6927189999999998E-2</v>
      </c>
      <c r="U3987">
        <v>-0.1831055</v>
      </c>
      <c r="V3987">
        <v>9.4042189999999998E-2</v>
      </c>
      <c r="W3987">
        <v>0.21531149999999999</v>
      </c>
      <c r="X3987">
        <v>0.9720067</v>
      </c>
      <c r="Y3987">
        <v>-5.8120690000000003E-2</v>
      </c>
      <c r="Z3987">
        <v>-1.0375510000000001E-3</v>
      </c>
      <c r="AA3987">
        <v>0.998309</v>
      </c>
      <c r="AB3987">
        <v>41</v>
      </c>
      <c r="AC3987">
        <v>-51.653500000000001</v>
      </c>
      <c r="AD3987">
        <v>-1.121495552704</v>
      </c>
      <c r="AE3987">
        <v>-3.0674000000000201</v>
      </c>
      <c r="AF3987">
        <v>-3.0306672052893502</v>
      </c>
      <c r="AG3987">
        <v>-1.121495552704</v>
      </c>
      <c r="AH3987">
        <v>51.631330876988798</v>
      </c>
      <c r="AI3987">
        <v>91.242201142335404</v>
      </c>
      <c r="AJ3987">
        <v>93.3593056532265</v>
      </c>
      <c r="AK3987">
        <v>51.732359545192303</v>
      </c>
      <c r="AL3987">
        <v>77.566197041593398</v>
      </c>
      <c r="AM3987">
        <v>84.473801538967606</v>
      </c>
      <c r="AN3987">
        <v>1.0000000001885601</v>
      </c>
    </row>
    <row r="3988" spans="1:40" x14ac:dyDescent="0.25">
      <c r="A3988" t="str">
        <f>"20190303171057128"</f>
        <v>20190303171057128</v>
      </c>
      <c r="B3988" t="str">
        <f>"1551604257114475"</f>
        <v>1551604257114475</v>
      </c>
      <c r="C3988" t="s">
        <v>40</v>
      </c>
      <c r="D3988">
        <v>5.2357559999999896</v>
      </c>
      <c r="E3988">
        <v>0.44635730000000001</v>
      </c>
      <c r="F3988" t="s">
        <v>84</v>
      </c>
      <c r="G3988">
        <v>-437.71159999999998</v>
      </c>
      <c r="H3988" s="1">
        <v>-7.7042300000000003E-6</v>
      </c>
      <c r="I3988">
        <v>138.56729999999999</v>
      </c>
      <c r="J3988">
        <v>-384.8329</v>
      </c>
      <c r="K3988">
        <v>1.121742</v>
      </c>
      <c r="L3988">
        <v>141.70750000000001</v>
      </c>
      <c r="M3988">
        <v>-0.99989519999999998</v>
      </c>
      <c r="N3988">
        <v>-1.4337849999999999E-2</v>
      </c>
      <c r="O3988">
        <v>-2.0067150000000001E-3</v>
      </c>
      <c r="P3988">
        <v>-0.97546880000000002</v>
      </c>
      <c r="Q3988">
        <v>0.20014409999999999</v>
      </c>
      <c r="R3988">
        <v>9.1669399999999998E-2</v>
      </c>
      <c r="S3988">
        <v>-3.1076969999999999</v>
      </c>
      <c r="T3988">
        <v>-6.5147040000000003E-2</v>
      </c>
      <c r="U3988">
        <v>-0.18251039999999999</v>
      </c>
      <c r="V3988">
        <v>9.3262999999999999E-2</v>
      </c>
      <c r="W3988">
        <v>0.21426600000000001</v>
      </c>
      <c r="X3988">
        <v>0.97231270000000003</v>
      </c>
      <c r="Y3988">
        <v>-5.6603050000000002E-2</v>
      </c>
      <c r="Z3988">
        <v>-9.8566340000000004E-4</v>
      </c>
      <c r="AA3988">
        <v>0.99839630000000001</v>
      </c>
      <c r="AB3988">
        <v>41</v>
      </c>
      <c r="AC3988">
        <v>-52.878699999999903</v>
      </c>
      <c r="AD3988">
        <v>-1.12174970423</v>
      </c>
      <c r="AE3988">
        <v>-3.1402000000000201</v>
      </c>
      <c r="AF3988">
        <v>-3.0327103078075002</v>
      </c>
      <c r="AG3988">
        <v>-1.12174970423</v>
      </c>
      <c r="AH3988">
        <v>52.861190725755201</v>
      </c>
      <c r="AI3988">
        <v>91.213677034516706</v>
      </c>
      <c r="AJ3988">
        <v>93.283528645687994</v>
      </c>
      <c r="AK3988">
        <v>52.959995649118902</v>
      </c>
      <c r="AL3988">
        <v>77.627530613268107</v>
      </c>
      <c r="AM3988">
        <v>84.5210234592993</v>
      </c>
      <c r="AN3988">
        <v>0.99999994625314303</v>
      </c>
    </row>
    <row r="3989" spans="1:40" x14ac:dyDescent="0.25">
      <c r="A3989" t="str">
        <f>"20190303171057148"</f>
        <v>20190303171057148</v>
      </c>
      <c r="B3989" t="str">
        <f>"1551604257144732"</f>
        <v>1551604257144732</v>
      </c>
      <c r="C3989" t="s">
        <v>40</v>
      </c>
      <c r="D3989">
        <v>5.2557960000000001</v>
      </c>
      <c r="E3989">
        <v>0.44652609999999898</v>
      </c>
      <c r="F3989" t="s">
        <v>84</v>
      </c>
      <c r="G3989">
        <v>-435.55869999999999</v>
      </c>
      <c r="H3989" s="1">
        <v>-8.6765920000000007E-6</v>
      </c>
      <c r="I3989">
        <v>138.61060000000001</v>
      </c>
      <c r="J3989">
        <v>-385.23430000000002</v>
      </c>
      <c r="K3989">
        <v>1.121939</v>
      </c>
      <c r="L3989">
        <v>141.70570000000001</v>
      </c>
      <c r="M3989">
        <v>-0.99989240000000001</v>
      </c>
      <c r="N3989">
        <v>-1.433853E-2</v>
      </c>
      <c r="O3989">
        <v>-3.1514260000000001E-3</v>
      </c>
      <c r="P3989">
        <v>-0.97617540000000003</v>
      </c>
      <c r="Q3989">
        <v>0.19822709999999999</v>
      </c>
      <c r="R3989">
        <v>8.824796E-2</v>
      </c>
      <c r="S3989">
        <v>-3.1073909999999998</v>
      </c>
      <c r="T3989">
        <v>-6.8716879999999994E-2</v>
      </c>
      <c r="U3989">
        <v>-0.18971250000000001</v>
      </c>
      <c r="V3989">
        <v>9.0857789999999994E-2</v>
      </c>
      <c r="W3989">
        <v>0.21239930000000001</v>
      </c>
      <c r="X3989">
        <v>0.97294990000000003</v>
      </c>
      <c r="Y3989">
        <v>-5.7769239999999999E-2</v>
      </c>
      <c r="Z3989">
        <v>-1.0282659999999999E-3</v>
      </c>
      <c r="AA3989">
        <v>0.99832949999999998</v>
      </c>
      <c r="AB3989">
        <v>41</v>
      </c>
      <c r="AC3989">
        <v>-50.324399999999898</v>
      </c>
      <c r="AD3989">
        <v>-1.121947676592</v>
      </c>
      <c r="AE3989">
        <v>-3.0951</v>
      </c>
      <c r="AF3989">
        <v>-2.9350214115370701</v>
      </c>
      <c r="AG3989">
        <v>-1.121947676592</v>
      </c>
      <c r="AH3989">
        <v>50.308993869451903</v>
      </c>
      <c r="AI3989">
        <v>91.275381317842601</v>
      </c>
      <c r="AJ3989">
        <v>93.338845214980793</v>
      </c>
      <c r="AK3989">
        <v>50.407023135985199</v>
      </c>
      <c r="AL3989">
        <v>77.737006152201104</v>
      </c>
      <c r="AM3989">
        <v>84.664972758347901</v>
      </c>
      <c r="AN3989">
        <v>1.0000000542770899</v>
      </c>
    </row>
    <row r="3990" spans="1:40" x14ac:dyDescent="0.25">
      <c r="A3990" t="str">
        <f>"20190303171057172"</f>
        <v>20190303171057172</v>
      </c>
      <c r="B3990" t="str">
        <f>"1551604257165228"</f>
        <v>1551604257165228</v>
      </c>
      <c r="C3990" t="s">
        <v>40</v>
      </c>
      <c r="D3990">
        <v>5.2523279999999897</v>
      </c>
      <c r="E3990">
        <v>0.44658490000000001</v>
      </c>
      <c r="F3990" t="s">
        <v>84</v>
      </c>
      <c r="G3990">
        <v>-430.57780000000002</v>
      </c>
      <c r="H3990" s="1">
        <v>-1.067926E-5</v>
      </c>
      <c r="I3990">
        <v>138.79990000000001</v>
      </c>
      <c r="J3990">
        <v>-385.66399999999999</v>
      </c>
      <c r="K3990">
        <v>1.1221859999999999</v>
      </c>
      <c r="L3990">
        <v>141.70310000000001</v>
      </c>
      <c r="M3990">
        <v>-0.99988639999999995</v>
      </c>
      <c r="N3990">
        <v>-1.4340149999999999E-2</v>
      </c>
      <c r="O3990">
        <v>-4.6674409999999996E-3</v>
      </c>
      <c r="P3990">
        <v>-0.97635130000000003</v>
      </c>
      <c r="Q3990">
        <v>0.19886210000000001</v>
      </c>
      <c r="R3990">
        <v>8.4807170000000001E-2</v>
      </c>
      <c r="S3990">
        <v>-3.1067809999999998</v>
      </c>
      <c r="T3990">
        <v>-7.687223E-2</v>
      </c>
      <c r="U3990">
        <v>-0.19909669999999999</v>
      </c>
      <c r="V3990">
        <v>8.8767139999999994E-2</v>
      </c>
      <c r="W3990">
        <v>0.21308650000000001</v>
      </c>
      <c r="X3990">
        <v>0.97299250000000004</v>
      </c>
      <c r="Y3990">
        <v>-5.9265989999999998E-2</v>
      </c>
      <c r="Z3990">
        <v>-1.109376E-3</v>
      </c>
      <c r="AA3990">
        <v>0.99824159999999995</v>
      </c>
      <c r="AB3990">
        <v>41</v>
      </c>
      <c r="AC3990">
        <v>-44.913800000000002</v>
      </c>
      <c r="AD3990">
        <v>-1.12219667926</v>
      </c>
      <c r="AE3990">
        <v>-2.9031999999999898</v>
      </c>
      <c r="AF3990">
        <v>-2.69184085970211</v>
      </c>
      <c r="AG3990">
        <v>-1.12219667926</v>
      </c>
      <c r="AH3990">
        <v>44.898949758792298</v>
      </c>
      <c r="AI3990">
        <v>91.429177694277897</v>
      </c>
      <c r="AJ3990">
        <v>93.4309650731375</v>
      </c>
      <c r="AK3990">
        <v>44.993566451699003</v>
      </c>
      <c r="AL3990">
        <v>77.696708532664005</v>
      </c>
      <c r="AM3990">
        <v>84.787275196127595</v>
      </c>
      <c r="AN3990">
        <v>0.99999993334113702</v>
      </c>
    </row>
    <row r="3991" spans="1:40" x14ac:dyDescent="0.25">
      <c r="A3991" t="str">
        <f>"20190303171057193"</f>
        <v>20190303171057193</v>
      </c>
      <c r="B3991" t="str">
        <f>"1551604257184748"</f>
        <v>1551604257184748</v>
      </c>
      <c r="C3991" t="s">
        <v>40</v>
      </c>
      <c r="D3991">
        <v>5.2320880000000001</v>
      </c>
      <c r="E3991">
        <v>0.44667000000000001</v>
      </c>
      <c r="F3991" t="s">
        <v>84</v>
      </c>
      <c r="G3991">
        <v>-431.8639</v>
      </c>
      <c r="H3991" s="1">
        <v>-1.0107E-5</v>
      </c>
      <c r="I3991">
        <v>138.57669999999999</v>
      </c>
      <c r="J3991">
        <v>-386.0582</v>
      </c>
      <c r="K3991">
        <v>1.1224670000000001</v>
      </c>
      <c r="L3991">
        <v>141.69990000000001</v>
      </c>
      <c r="M3991">
        <v>-0.9998766</v>
      </c>
      <c r="N3991">
        <v>-1.434303E-2</v>
      </c>
      <c r="O3991">
        <v>-6.404351E-3</v>
      </c>
      <c r="P3991">
        <v>-0.97603589999999996</v>
      </c>
      <c r="Q3991">
        <v>0.20089080000000001</v>
      </c>
      <c r="R3991">
        <v>8.3648349999999996E-2</v>
      </c>
      <c r="S3991">
        <v>-3.1062620000000001</v>
      </c>
      <c r="T3991">
        <v>-7.545114E-2</v>
      </c>
      <c r="U3991">
        <v>-0.21020510000000001</v>
      </c>
      <c r="V3991">
        <v>8.9152949999999995E-2</v>
      </c>
      <c r="W3991">
        <v>0.2151718</v>
      </c>
      <c r="X3991">
        <v>0.97249819999999998</v>
      </c>
      <c r="Y3991">
        <v>-6.1096930000000001E-2</v>
      </c>
      <c r="Z3991">
        <v>-1.1162539999999999E-3</v>
      </c>
      <c r="AA3991">
        <v>0.9981312</v>
      </c>
      <c r="AB3991">
        <v>41</v>
      </c>
      <c r="AC3991">
        <v>-45.805700000000002</v>
      </c>
      <c r="AD3991">
        <v>-1.1224771069999999</v>
      </c>
      <c r="AE3991">
        <v>-3.1232000000000202</v>
      </c>
      <c r="AF3991">
        <v>-2.82805956648957</v>
      </c>
      <c r="AG3991">
        <v>-1.1224771069999999</v>
      </c>
      <c r="AH3991">
        <v>45.7973902927666</v>
      </c>
      <c r="AI3991">
        <v>91.401349040413805</v>
      </c>
      <c r="AJ3991">
        <v>93.533615889699803</v>
      </c>
      <c r="AK3991">
        <v>45.898353275421002</v>
      </c>
      <c r="AL3991">
        <v>77.574392750202193</v>
      </c>
      <c r="AM3991">
        <v>84.762098501051995</v>
      </c>
      <c r="AN3991">
        <v>0.99999995050609003</v>
      </c>
    </row>
    <row r="3992" spans="1:40" x14ac:dyDescent="0.25">
      <c r="A3992" t="str">
        <f>"20190303171057215"</f>
        <v>20190303171057215</v>
      </c>
      <c r="B3992" t="str">
        <f>"1551604257205245"</f>
        <v>1551604257205245</v>
      </c>
      <c r="C3992" t="s">
        <v>40</v>
      </c>
      <c r="D3992">
        <v>5.1229589999999998</v>
      </c>
      <c r="E3992">
        <v>0.44944109999999998</v>
      </c>
      <c r="F3992" t="s">
        <v>84</v>
      </c>
      <c r="G3992">
        <v>-436.899</v>
      </c>
      <c r="H3992" s="1">
        <v>-7.9045769999999992E-6</v>
      </c>
      <c r="I3992">
        <v>138.17449999999999</v>
      </c>
      <c r="J3992">
        <v>-386.45909999999998</v>
      </c>
      <c r="K3992">
        <v>1.122789</v>
      </c>
      <c r="L3992">
        <v>141.69560000000001</v>
      </c>
      <c r="M3992">
        <v>-0.99986039999999998</v>
      </c>
      <c r="N3992">
        <v>-1.4348669999999999E-2</v>
      </c>
      <c r="O3992">
        <v>-8.5552930000000003E-3</v>
      </c>
      <c r="P3992">
        <v>-0.97620269999999998</v>
      </c>
      <c r="Q3992">
        <v>0.2007477</v>
      </c>
      <c r="R3992">
        <v>8.2029350000000001E-2</v>
      </c>
      <c r="S3992">
        <v>-3.1062319999999999</v>
      </c>
      <c r="T3992">
        <v>-6.858003E-2</v>
      </c>
      <c r="U3992">
        <v>-0.2153931</v>
      </c>
      <c r="V3992">
        <v>8.9463000000000001E-2</v>
      </c>
      <c r="W3992">
        <v>0.21510660000000001</v>
      </c>
      <c r="X3992">
        <v>0.97248420000000002</v>
      </c>
      <c r="Y3992">
        <v>-6.061387E-2</v>
      </c>
      <c r="Z3992">
        <v>-1.0377349999999999E-3</v>
      </c>
      <c r="AA3992">
        <v>0.99816070000000001</v>
      </c>
      <c r="AB3992">
        <v>41</v>
      </c>
      <c r="AC3992">
        <v>-50.439900000000002</v>
      </c>
      <c r="AD3992">
        <v>-1.1227969045770001</v>
      </c>
      <c r="AE3992">
        <v>-3.5211000000000099</v>
      </c>
      <c r="AF3992">
        <v>-3.0878758773970398</v>
      </c>
      <c r="AG3992">
        <v>-1.1227969045770001</v>
      </c>
      <c r="AH3992">
        <v>50.443306768382797</v>
      </c>
      <c r="AI3992">
        <v>91.272731129128005</v>
      </c>
      <c r="AJ3992">
        <v>93.502977336374499</v>
      </c>
      <c r="AK3992">
        <v>50.550201266190001</v>
      </c>
      <c r="AL3992">
        <v>77.578218615397105</v>
      </c>
      <c r="AM3992">
        <v>84.743909092935397</v>
      </c>
      <c r="AN3992">
        <v>0.9999999984911</v>
      </c>
    </row>
    <row r="3993" spans="1:40" x14ac:dyDescent="0.25">
      <c r="A3993" t="str">
        <f>"20190303171057238"</f>
        <v>20190303171057238</v>
      </c>
      <c r="B3993" t="str">
        <f>"1551604257224764"</f>
        <v>1551604257224764</v>
      </c>
      <c r="C3993" t="s">
        <v>40</v>
      </c>
      <c r="D3993">
        <v>5.1252329999999997</v>
      </c>
      <c r="E3993">
        <v>0.44969350000000002</v>
      </c>
      <c r="F3993" t="s">
        <v>62</v>
      </c>
      <c r="G3993">
        <v>0</v>
      </c>
      <c r="H3993">
        <v>0</v>
      </c>
      <c r="I3993">
        <v>0</v>
      </c>
      <c r="J3993">
        <v>-386.8648</v>
      </c>
      <c r="K3993">
        <v>1.1231580000000001</v>
      </c>
      <c r="L3993">
        <v>141.69</v>
      </c>
      <c r="M3993">
        <v>-0.99983480000000002</v>
      </c>
      <c r="N3993">
        <v>-1.435818E-2</v>
      </c>
      <c r="O3993">
        <v>-1.1160750000000001E-2</v>
      </c>
      <c r="P3993">
        <v>-0.97701689999999997</v>
      </c>
      <c r="Q3993">
        <v>0.1983142</v>
      </c>
      <c r="R3993">
        <v>7.8167349999999997E-2</v>
      </c>
      <c r="S3993">
        <v>-3.0227050000000002</v>
      </c>
      <c r="T3993">
        <v>0.3167777</v>
      </c>
      <c r="U3993">
        <v>-0.17507929999999999</v>
      </c>
      <c r="V3993">
        <v>8.7970080000000006E-2</v>
      </c>
      <c r="W3993">
        <v>0.21276600000000001</v>
      </c>
      <c r="X3993">
        <v>0.97313510000000003</v>
      </c>
      <c r="Y3993">
        <v>-4.6537500000000002E-2</v>
      </c>
      <c r="Z3993">
        <v>7.6968710000000005E-4</v>
      </c>
      <c r="AA3993">
        <v>0.99891629999999998</v>
      </c>
      <c r="AB3993">
        <v>41</v>
      </c>
      <c r="AC3993">
        <v>-3.0227050000000002</v>
      </c>
      <c r="AD3993">
        <v>0.3167777</v>
      </c>
      <c r="AE3993">
        <v>-0.17507929999999999</v>
      </c>
      <c r="AF3993">
        <v>-0.139798999498324</v>
      </c>
      <c r="AG3993">
        <v>0.3167777</v>
      </c>
      <c r="AH3993">
        <v>2.9917229383816299</v>
      </c>
      <c r="AI3993">
        <v>83.962314074460096</v>
      </c>
      <c r="AJ3993">
        <v>92.675404912830601</v>
      </c>
      <c r="AK3993">
        <v>3.0116935454187299</v>
      </c>
      <c r="AL3993">
        <v>77.715503826706296</v>
      </c>
      <c r="AM3993">
        <v>84.834579939960093</v>
      </c>
      <c r="AN3993">
        <v>1.0000000142915999</v>
      </c>
    </row>
    <row r="3994" spans="1:40" x14ac:dyDescent="0.25">
      <c r="A3994" t="str">
        <f>"20190303171057261"</f>
        <v>20190303171057261</v>
      </c>
      <c r="B3994" t="str">
        <f>"1551604257255020"</f>
        <v>1551604257255020</v>
      </c>
      <c r="C3994" t="s">
        <v>40</v>
      </c>
      <c r="D3994">
        <v>5.1340440000000003</v>
      </c>
      <c r="E3994">
        <v>0.45003339999999997</v>
      </c>
      <c r="F3994" t="s">
        <v>62</v>
      </c>
      <c r="G3994">
        <v>0</v>
      </c>
      <c r="H3994">
        <v>0</v>
      </c>
      <c r="I3994">
        <v>0</v>
      </c>
      <c r="J3994">
        <v>-387.2928</v>
      </c>
      <c r="K3994">
        <v>1.1235660000000001</v>
      </c>
      <c r="L3994">
        <v>141.6824</v>
      </c>
      <c r="M3994">
        <v>-0.99979359999999995</v>
      </c>
      <c r="N3994">
        <v>-1.4371109999999999E-2</v>
      </c>
      <c r="O3994">
        <v>-1.4371409999999999E-2</v>
      </c>
      <c r="P3994">
        <v>-0.97773019999999999</v>
      </c>
      <c r="Q3994">
        <v>0.19701579999999999</v>
      </c>
      <c r="R3994">
        <v>7.2310459999999993E-2</v>
      </c>
      <c r="S3994">
        <v>-3.022675</v>
      </c>
      <c r="T3994">
        <v>0.30911919999999998</v>
      </c>
      <c r="U3994">
        <v>-0.18499760000000001</v>
      </c>
      <c r="V3994">
        <v>8.5053879999999998E-2</v>
      </c>
      <c r="W3994">
        <v>0.2115582</v>
      </c>
      <c r="X3994">
        <v>0.97365749999999995</v>
      </c>
      <c r="Y3994">
        <v>-4.6625800000000002E-2</v>
      </c>
      <c r="Z3994">
        <v>3.6951669999999999E-4</v>
      </c>
      <c r="AA3994">
        <v>0.99891229999999998</v>
      </c>
      <c r="AB3994">
        <v>41</v>
      </c>
      <c r="AC3994">
        <v>-3.022675</v>
      </c>
      <c r="AD3994">
        <v>0.30911919999999998</v>
      </c>
      <c r="AE3994">
        <v>-0.18499760000000001</v>
      </c>
      <c r="AF3994">
        <v>-0.14007440910358701</v>
      </c>
      <c r="AG3994">
        <v>0.30911919999999998</v>
      </c>
      <c r="AH3994">
        <v>2.9938276488670699</v>
      </c>
      <c r="AI3994">
        <v>84.111372712096497</v>
      </c>
      <c r="AJ3994">
        <v>92.678786078663194</v>
      </c>
      <c r="AK3994">
        <v>3.0130017442768402</v>
      </c>
      <c r="AL3994">
        <v>77.786317375206494</v>
      </c>
      <c r="AM3994">
        <v>85.007598571532995</v>
      </c>
      <c r="AN3994">
        <v>0.99999998089827102</v>
      </c>
    </row>
    <row r="3995" spans="1:40" x14ac:dyDescent="0.25">
      <c r="A3995" t="str">
        <f>"20190303171057284"</f>
        <v>20190303171057284</v>
      </c>
      <c r="B3995" t="str">
        <f>"1551604257274540"</f>
        <v>1551604257274540</v>
      </c>
      <c r="C3995" t="s">
        <v>40</v>
      </c>
      <c r="D3995">
        <v>5.1332959999999996</v>
      </c>
      <c r="E3995">
        <v>0.45037759999999999</v>
      </c>
      <c r="F3995" t="s">
        <v>62</v>
      </c>
      <c r="G3995">
        <v>0</v>
      </c>
      <c r="H3995">
        <v>0</v>
      </c>
      <c r="I3995">
        <v>0</v>
      </c>
      <c r="J3995">
        <v>-387.7099</v>
      </c>
      <c r="K3995">
        <v>1.123945</v>
      </c>
      <c r="L3995">
        <v>141.67349999999999</v>
      </c>
      <c r="M3995">
        <v>-0.99973699999999999</v>
      </c>
      <c r="N3995">
        <v>-1.4384030000000001E-2</v>
      </c>
      <c r="O3995">
        <v>-1.7868599999999998E-2</v>
      </c>
      <c r="P3995">
        <v>-0.97794389999999998</v>
      </c>
      <c r="Q3995">
        <v>0.19742950000000001</v>
      </c>
      <c r="R3995">
        <v>6.8173609999999996E-2</v>
      </c>
      <c r="S3995">
        <v>-3.0223080000000002</v>
      </c>
      <c r="T3995">
        <v>0.30189969999999999</v>
      </c>
      <c r="U3995">
        <v>-0.20014950000000001</v>
      </c>
      <c r="V3995">
        <v>8.4138930000000001E-2</v>
      </c>
      <c r="W3995">
        <v>0.2120573</v>
      </c>
      <c r="X3995">
        <v>0.97362850000000001</v>
      </c>
      <c r="Y3995">
        <v>-4.8149339999999999E-2</v>
      </c>
      <c r="Z3995" s="1">
        <v>1.455587E-5</v>
      </c>
      <c r="AA3995">
        <v>0.99884019999999996</v>
      </c>
      <c r="AB3995">
        <v>41</v>
      </c>
      <c r="AC3995">
        <v>-3.0223080000000002</v>
      </c>
      <c r="AD3995">
        <v>0.30189969999999999</v>
      </c>
      <c r="AE3995">
        <v>-0.20014950000000001</v>
      </c>
      <c r="AF3995">
        <v>-0.14467031293518601</v>
      </c>
      <c r="AG3995">
        <v>0.30189969999999999</v>
      </c>
      <c r="AH3995">
        <v>2.9956418300732999</v>
      </c>
      <c r="AI3995">
        <v>84.251836875010497</v>
      </c>
      <c r="AJ3995">
        <v>92.764871022672097</v>
      </c>
      <c r="AK3995">
        <v>3.0142897840768001</v>
      </c>
      <c r="AL3995">
        <v>77.757058122730996</v>
      </c>
      <c r="AM3995">
        <v>85.060889865305001</v>
      </c>
      <c r="AN3995">
        <v>1.0000000570185399</v>
      </c>
    </row>
    <row r="3996" spans="1:40" x14ac:dyDescent="0.25">
      <c r="A3996" t="str">
        <f>"20190303171057304"</f>
        <v>20190303171057304</v>
      </c>
      <c r="B3996" t="str">
        <f>"1551604257295037"</f>
        <v>1551604257295037</v>
      </c>
      <c r="C3996" t="s">
        <v>40</v>
      </c>
      <c r="D3996">
        <v>5.1102980000000002</v>
      </c>
      <c r="E3996">
        <v>0.45060270000000002</v>
      </c>
      <c r="F3996" t="s">
        <v>62</v>
      </c>
      <c r="G3996">
        <v>0</v>
      </c>
      <c r="H3996">
        <v>0</v>
      </c>
      <c r="I3996">
        <v>0</v>
      </c>
      <c r="J3996">
        <v>-388.0917</v>
      </c>
      <c r="K3996">
        <v>1.1242810000000001</v>
      </c>
      <c r="L3996">
        <v>141.66380000000001</v>
      </c>
      <c r="M3996">
        <v>-0.9996678</v>
      </c>
      <c r="N3996">
        <v>-1.4394240000000001E-2</v>
      </c>
      <c r="O3996">
        <v>-2.1378370000000001E-2</v>
      </c>
      <c r="P3996">
        <v>-0.97770179999999995</v>
      </c>
      <c r="Q3996">
        <v>0.19959109999999999</v>
      </c>
      <c r="R3996">
        <v>6.5287780000000004E-2</v>
      </c>
      <c r="S3996">
        <v>-3.0209959999999998</v>
      </c>
      <c r="T3996">
        <v>0.30400339999999998</v>
      </c>
      <c r="U3996">
        <v>-0.21083070000000001</v>
      </c>
      <c r="V3996">
        <v>8.4490930000000006E-2</v>
      </c>
      <c r="W3996">
        <v>0.21429300000000001</v>
      </c>
      <c r="X3996">
        <v>0.97310830000000004</v>
      </c>
      <c r="Y3996">
        <v>-4.820758E-2</v>
      </c>
      <c r="Z3996">
        <v>-3.8094030000000002E-4</v>
      </c>
      <c r="AA3996">
        <v>0.99883730000000004</v>
      </c>
      <c r="AB3996">
        <v>41</v>
      </c>
      <c r="AC3996">
        <v>-3.0209959999999998</v>
      </c>
      <c r="AD3996">
        <v>0.30400339999999998</v>
      </c>
      <c r="AE3996">
        <v>-0.21083070000000001</v>
      </c>
      <c r="AF3996">
        <v>-0.14473331323000399</v>
      </c>
      <c r="AG3996">
        <v>0.30400339999999998</v>
      </c>
      <c r="AH3996">
        <v>2.99463511371978</v>
      </c>
      <c r="AI3996">
        <v>84.210131283078198</v>
      </c>
      <c r="AJ3996">
        <v>92.767001620216703</v>
      </c>
      <c r="AK3996">
        <v>3.01350381839704</v>
      </c>
      <c r="AL3996">
        <v>77.625947330870403</v>
      </c>
      <c r="AM3996">
        <v>85.037691585528194</v>
      </c>
      <c r="AN3996">
        <v>0.99999998531507694</v>
      </c>
    </row>
    <row r="3997" spans="1:40" x14ac:dyDescent="0.25">
      <c r="A3997" t="str">
        <f>"20190303171057327"</f>
        <v>20190303171057327</v>
      </c>
      <c r="B3997" t="str">
        <f>"1551604257314556"</f>
        <v>1551604257314556</v>
      </c>
      <c r="C3997" t="s">
        <v>40</v>
      </c>
      <c r="D3997">
        <v>5.108517</v>
      </c>
      <c r="E3997">
        <v>0.45108769999999998</v>
      </c>
      <c r="F3997" t="s">
        <v>62</v>
      </c>
      <c r="G3997">
        <v>0</v>
      </c>
      <c r="H3997">
        <v>0</v>
      </c>
      <c r="I3997">
        <v>0</v>
      </c>
      <c r="J3997">
        <v>-388.50400000000002</v>
      </c>
      <c r="K3997">
        <v>1.1246119999999999</v>
      </c>
      <c r="L3997">
        <v>141.6516</v>
      </c>
      <c r="M3997">
        <v>-0.99957130000000005</v>
      </c>
      <c r="N3997">
        <v>-1.440424E-2</v>
      </c>
      <c r="O3997">
        <v>-2.5492540000000001E-2</v>
      </c>
      <c r="P3997">
        <v>-0.97793390000000002</v>
      </c>
      <c r="Q3997">
        <v>0.19963149999999999</v>
      </c>
      <c r="R3997">
        <v>6.1586670000000003E-2</v>
      </c>
      <c r="S3997">
        <v>-3.0192260000000002</v>
      </c>
      <c r="T3997">
        <v>0.31239990000000001</v>
      </c>
      <c r="U3997">
        <v>-0.21861269999999999</v>
      </c>
      <c r="V3997">
        <v>8.4637939999999995E-2</v>
      </c>
      <c r="W3997">
        <v>0.2144141</v>
      </c>
      <c r="X3997">
        <v>0.97306890000000001</v>
      </c>
      <c r="Y3997">
        <v>-4.6728119999999998E-2</v>
      </c>
      <c r="Z3997">
        <v>-9.2205610000000002E-4</v>
      </c>
      <c r="AA3997">
        <v>0.9989072</v>
      </c>
      <c r="AB3997">
        <v>41</v>
      </c>
      <c r="AC3997">
        <v>-3.0192260000000002</v>
      </c>
      <c r="AD3997">
        <v>0.31239990000000001</v>
      </c>
      <c r="AE3997">
        <v>-0.21861269999999999</v>
      </c>
      <c r="AF3997">
        <v>-0.14007409517753999</v>
      </c>
      <c r="AG3997">
        <v>0.31239990000000001</v>
      </c>
      <c r="AH3997">
        <v>2.9919531242019399</v>
      </c>
      <c r="AI3997">
        <v>84.045629101194194</v>
      </c>
      <c r="AJ3997">
        <v>92.680455951753999</v>
      </c>
      <c r="AK3997">
        <v>3.0114777015746901</v>
      </c>
      <c r="AL3997">
        <v>77.618844329133097</v>
      </c>
      <c r="AM3997">
        <v>85.028900375293205</v>
      </c>
      <c r="AN3997">
        <v>1.00000003565673</v>
      </c>
    </row>
    <row r="3998" spans="1:40" x14ac:dyDescent="0.25">
      <c r="A3998" t="str">
        <f>"20190303171057351"</f>
        <v>20190303171057351</v>
      </c>
      <c r="B3998" t="str">
        <f>"1551604257344812"</f>
        <v>1551604257344812</v>
      </c>
      <c r="C3998" t="s">
        <v>40</v>
      </c>
      <c r="D3998">
        <v>5.0906039999999999</v>
      </c>
      <c r="E3998">
        <v>0.45166450000000002</v>
      </c>
      <c r="F3998" t="s">
        <v>62</v>
      </c>
      <c r="G3998">
        <v>0</v>
      </c>
      <c r="H3998">
        <v>0</v>
      </c>
      <c r="I3998">
        <v>0</v>
      </c>
      <c r="J3998">
        <v>-388.93630000000002</v>
      </c>
      <c r="K3998">
        <v>1.1249389999999999</v>
      </c>
      <c r="L3998">
        <v>141.63679999999999</v>
      </c>
      <c r="M3998">
        <v>-0.9994421</v>
      </c>
      <c r="N3998">
        <v>-1.441519E-2</v>
      </c>
      <c r="O3998">
        <v>-3.013012E-2</v>
      </c>
      <c r="P3998">
        <v>-0.97874519999999998</v>
      </c>
      <c r="Q3998">
        <v>0.19745499999999999</v>
      </c>
      <c r="R3998">
        <v>5.5403960000000002E-2</v>
      </c>
      <c r="S3998">
        <v>-3.0138240000000001</v>
      </c>
      <c r="T3998">
        <v>0.33305949999999901</v>
      </c>
      <c r="U3998">
        <v>-0.2244263</v>
      </c>
      <c r="V3998">
        <v>8.2854230000000001E-2</v>
      </c>
      <c r="W3998">
        <v>0.21231079999999999</v>
      </c>
      <c r="X3998">
        <v>0.97368339999999998</v>
      </c>
      <c r="Y3998">
        <v>-4.4177099999999997E-2</v>
      </c>
      <c r="Z3998">
        <v>-1.635608E-3</v>
      </c>
      <c r="AA3998">
        <v>0.99902239999999998</v>
      </c>
      <c r="AB3998">
        <v>41</v>
      </c>
      <c r="AC3998">
        <v>-3.0138240000000001</v>
      </c>
      <c r="AD3998">
        <v>0.33305949999999901</v>
      </c>
      <c r="AE3998">
        <v>-0.2244263</v>
      </c>
      <c r="AF3998">
        <v>-0.13190604560641001</v>
      </c>
      <c r="AG3998">
        <v>0.33305949999999901</v>
      </c>
      <c r="AH3998">
        <v>2.9829889533825198</v>
      </c>
      <c r="AI3998">
        <v>83.635312376445995</v>
      </c>
      <c r="AJ3998">
        <v>92.531936798913804</v>
      </c>
      <c r="AK3998">
        <v>3.0044218963737301</v>
      </c>
      <c r="AL3998">
        <v>77.742194891031801</v>
      </c>
      <c r="AM3998">
        <v>85.136212459639495</v>
      </c>
      <c r="AN3998">
        <v>1.0000000313305399</v>
      </c>
    </row>
    <row r="3999" spans="1:40" x14ac:dyDescent="0.25">
      <c r="A3999" t="str">
        <f>"20190303171057372"</f>
        <v>20190303171057372</v>
      </c>
      <c r="B3999" t="str">
        <f>"1551604257365308"</f>
        <v>1551604257365308</v>
      </c>
      <c r="C3999" t="s">
        <v>40</v>
      </c>
      <c r="D3999">
        <v>5.1230949999999904</v>
      </c>
      <c r="E3999">
        <v>0.45196710000000001</v>
      </c>
      <c r="F3999" t="s">
        <v>62</v>
      </c>
      <c r="G3999">
        <v>0</v>
      </c>
      <c r="H3999">
        <v>0</v>
      </c>
      <c r="I3999">
        <v>0</v>
      </c>
      <c r="J3999">
        <v>-389.327</v>
      </c>
      <c r="K3999">
        <v>1.125219</v>
      </c>
      <c r="L3999">
        <v>141.6215</v>
      </c>
      <c r="M3999">
        <v>-0.99929789999999996</v>
      </c>
      <c r="N3999">
        <v>-1.4425500000000001E-2</v>
      </c>
      <c r="O3999">
        <v>-3.4579800000000001E-2</v>
      </c>
      <c r="P3999">
        <v>-0.97954770000000002</v>
      </c>
      <c r="Q3999">
        <v>0.1949168</v>
      </c>
      <c r="R3999">
        <v>4.9940020000000002E-2</v>
      </c>
      <c r="S3999">
        <v>-3.013458</v>
      </c>
      <c r="T3999">
        <v>0.32345180000000001</v>
      </c>
      <c r="U3999">
        <v>-0.2394104</v>
      </c>
      <c r="V3999">
        <v>8.1643069999999998E-2</v>
      </c>
      <c r="W3999">
        <v>0.20984</v>
      </c>
      <c r="X3999">
        <v>0.97432110000000005</v>
      </c>
      <c r="Y3999">
        <v>-4.4708770000000002E-2</v>
      </c>
      <c r="Z3999">
        <v>-2.125105E-3</v>
      </c>
      <c r="AA3999">
        <v>0.99899780000000005</v>
      </c>
      <c r="AB3999">
        <v>41</v>
      </c>
      <c r="AC3999">
        <v>-3.013458</v>
      </c>
      <c r="AD3999">
        <v>0.32345180000000001</v>
      </c>
      <c r="AE3999">
        <v>-0.2394104</v>
      </c>
      <c r="AF3999">
        <v>-0.13352291321777399</v>
      </c>
      <c r="AG3999">
        <v>0.32345180000000001</v>
      </c>
      <c r="AH3999">
        <v>2.9857520332575098</v>
      </c>
      <c r="AI3999">
        <v>83.823283889857194</v>
      </c>
      <c r="AJ3999">
        <v>92.560562808131095</v>
      </c>
      <c r="AK3999">
        <v>3.0061877252391902</v>
      </c>
      <c r="AL3999">
        <v>77.887024133665506</v>
      </c>
      <c r="AM3999">
        <v>85.210099914943299</v>
      </c>
      <c r="AN3999">
        <v>1.0000000111921099</v>
      </c>
    </row>
    <row r="4000" spans="1:40" x14ac:dyDescent="0.25">
      <c r="A4000" t="str">
        <f>"20190303171057393"</f>
        <v>20190303171057393</v>
      </c>
      <c r="B4000" t="str">
        <f>"1551604257384828"</f>
        <v>1551604257384828</v>
      </c>
      <c r="C4000" t="s">
        <v>40</v>
      </c>
      <c r="D4000">
        <v>5.185346</v>
      </c>
      <c r="E4000">
        <v>0.45216479999999998</v>
      </c>
      <c r="F4000" t="s">
        <v>62</v>
      </c>
      <c r="G4000">
        <v>0</v>
      </c>
      <c r="H4000">
        <v>0</v>
      </c>
      <c r="I4000">
        <v>0</v>
      </c>
      <c r="J4000">
        <v>-389.71800000000002</v>
      </c>
      <c r="K4000">
        <v>1.1254980000000001</v>
      </c>
      <c r="L4000">
        <v>141.60429999999999</v>
      </c>
      <c r="M4000">
        <v>-0.99912509999999999</v>
      </c>
      <c r="N4000">
        <v>-1.4435999999999999E-2</v>
      </c>
      <c r="O4000">
        <v>-3.9251250000000001E-2</v>
      </c>
      <c r="P4000">
        <v>-0.98000410000000004</v>
      </c>
      <c r="Q4000">
        <v>0.19401689999999999</v>
      </c>
      <c r="R4000">
        <v>4.4151049999999997E-2</v>
      </c>
      <c r="S4000">
        <v>-3.0178219999999998</v>
      </c>
      <c r="T4000">
        <v>0.29068880000000002</v>
      </c>
      <c r="U4000">
        <v>-0.25532529999999998</v>
      </c>
      <c r="V4000">
        <v>8.0310129999999993E-2</v>
      </c>
      <c r="W4000">
        <v>0.2089975</v>
      </c>
      <c r="X4000">
        <v>0.9746129</v>
      </c>
      <c r="Y4000">
        <v>-4.5186240000000003E-2</v>
      </c>
      <c r="Z4000">
        <v>-2.487642E-3</v>
      </c>
      <c r="AA4000">
        <v>0.99897550000000002</v>
      </c>
      <c r="AB4000">
        <v>41</v>
      </c>
      <c r="AC4000">
        <v>-3.0178219999999998</v>
      </c>
      <c r="AD4000">
        <v>0.29068880000000002</v>
      </c>
      <c r="AE4000">
        <v>-0.25532529999999998</v>
      </c>
      <c r="AF4000">
        <v>-0.13541537193009801</v>
      </c>
      <c r="AG4000">
        <v>0.29068880000000002</v>
      </c>
      <c r="AH4000">
        <v>2.9979009875132299</v>
      </c>
      <c r="AI4000">
        <v>84.467285976620303</v>
      </c>
      <c r="AJ4000">
        <v>92.586295869892695</v>
      </c>
      <c r="AK4000">
        <v>3.01500375328675</v>
      </c>
      <c r="AL4000">
        <v>77.936390196874299</v>
      </c>
      <c r="AM4000">
        <v>85.289351294469199</v>
      </c>
      <c r="AN4000">
        <v>0.99999998841663795</v>
      </c>
    </row>
    <row r="4001" spans="1:40" x14ac:dyDescent="0.25">
      <c r="A4001" t="str">
        <f>"20190303171057417"</f>
        <v>20190303171057417</v>
      </c>
      <c r="B4001" t="str">
        <f>"1551604257405324"</f>
        <v>1551604257405324</v>
      </c>
      <c r="C4001" t="s">
        <v>40</v>
      </c>
      <c r="D4001">
        <v>5.1011810000000004</v>
      </c>
      <c r="E4001">
        <v>0.452432</v>
      </c>
      <c r="F4001" t="s">
        <v>62</v>
      </c>
      <c r="G4001">
        <v>0</v>
      </c>
      <c r="H4001">
        <v>0</v>
      </c>
      <c r="I4001">
        <v>0</v>
      </c>
      <c r="J4001">
        <v>-390.12259999999998</v>
      </c>
      <c r="K4001">
        <v>1.125775</v>
      </c>
      <c r="L4001">
        <v>141.58449999999999</v>
      </c>
      <c r="M4001">
        <v>-0.99891399999999997</v>
      </c>
      <c r="N4001">
        <v>-1.4446850000000001E-2</v>
      </c>
      <c r="O4001">
        <v>-4.4297299999999998E-2</v>
      </c>
      <c r="P4001">
        <v>-0.97997440000000002</v>
      </c>
      <c r="Q4001">
        <v>0.19550819999999999</v>
      </c>
      <c r="R4001">
        <v>3.7776450000000003E-2</v>
      </c>
      <c r="S4001">
        <v>-3.0202939999999998</v>
      </c>
      <c r="T4001">
        <v>0.26885219999999999</v>
      </c>
      <c r="U4001">
        <v>-0.27334589999999998</v>
      </c>
      <c r="V4001">
        <v>7.871831E-2</v>
      </c>
      <c r="W4001">
        <v>0.2105342</v>
      </c>
      <c r="X4001">
        <v>0.97441199999999994</v>
      </c>
      <c r="Y4001">
        <v>-4.6008340000000002E-2</v>
      </c>
      <c r="Z4001">
        <v>-2.8561950000000002E-3</v>
      </c>
      <c r="AA4001">
        <v>0.99893699999999996</v>
      </c>
      <c r="AB4001">
        <v>41</v>
      </c>
      <c r="AC4001">
        <v>-3.0202939999999998</v>
      </c>
      <c r="AD4001">
        <v>0.26885219999999999</v>
      </c>
      <c r="AE4001">
        <v>-0.27334589999999998</v>
      </c>
      <c r="AF4001">
        <v>-0.13818664606147299</v>
      </c>
      <c r="AG4001">
        <v>0.26885219999999999</v>
      </c>
      <c r="AH4001">
        <v>3.0058146710521298</v>
      </c>
      <c r="AI4001">
        <v>84.894199593992596</v>
      </c>
      <c r="AJ4001">
        <v>92.632211754720899</v>
      </c>
      <c r="AK4001">
        <v>3.0209764797672198</v>
      </c>
      <c r="AL4001">
        <v>77.846340241503995</v>
      </c>
      <c r="AM4001">
        <v>85.381364869659393</v>
      </c>
      <c r="AN4001">
        <v>0.99999998372144705</v>
      </c>
    </row>
    <row r="4002" spans="1:40" x14ac:dyDescent="0.25">
      <c r="A4002" t="str">
        <f>"20190303171057439"</f>
        <v>20190303171057439</v>
      </c>
      <c r="B4002" t="str">
        <f>"1551604257434604"</f>
        <v>1551604257434604</v>
      </c>
      <c r="C4002" t="s">
        <v>40</v>
      </c>
      <c r="D4002">
        <v>5.1395929999999996</v>
      </c>
      <c r="E4002">
        <v>0.4528914</v>
      </c>
      <c r="F4002" t="s">
        <v>62</v>
      </c>
      <c r="G4002">
        <v>0</v>
      </c>
      <c r="H4002">
        <v>0</v>
      </c>
      <c r="I4002">
        <v>0</v>
      </c>
      <c r="J4002">
        <v>-390.53059999999999</v>
      </c>
      <c r="K4002">
        <v>1.1260300000000001</v>
      </c>
      <c r="L4002">
        <v>141.56200000000001</v>
      </c>
      <c r="M4002">
        <v>-0.99866390000000005</v>
      </c>
      <c r="N4002">
        <v>-1.445808E-2</v>
      </c>
      <c r="O4002">
        <v>-4.9613419999999998E-2</v>
      </c>
      <c r="P4002">
        <v>-0.98021970000000003</v>
      </c>
      <c r="Q4002">
        <v>0.19533139999999999</v>
      </c>
      <c r="R4002">
        <v>3.185851E-2</v>
      </c>
      <c r="S4002">
        <v>-3.0171510000000001</v>
      </c>
      <c r="T4002">
        <v>0.27762219999999999</v>
      </c>
      <c r="U4002">
        <v>-0.29154970000000002</v>
      </c>
      <c r="V4002">
        <v>7.7887129999999999E-2</v>
      </c>
      <c r="W4002">
        <v>0.21041199999999999</v>
      </c>
      <c r="X4002">
        <v>0.97450519999999996</v>
      </c>
      <c r="Y4002">
        <v>-4.6788900000000001E-2</v>
      </c>
      <c r="Z4002">
        <v>-3.4520100000000001E-3</v>
      </c>
      <c r="AA4002">
        <v>0.99889890000000003</v>
      </c>
      <c r="AB4002">
        <v>41</v>
      </c>
      <c r="AC4002">
        <v>-3.0171510000000001</v>
      </c>
      <c r="AD4002">
        <v>0.27762219999999999</v>
      </c>
      <c r="AE4002">
        <v>-0.29154970000000002</v>
      </c>
      <c r="AF4002">
        <v>-0.14030681479843701</v>
      </c>
      <c r="AG4002">
        <v>0.27762219999999999</v>
      </c>
      <c r="AH4002">
        <v>3.0027129935083399</v>
      </c>
      <c r="AI4002">
        <v>84.723339625389499</v>
      </c>
      <c r="AJ4002">
        <v>92.675295729338202</v>
      </c>
      <c r="AK4002">
        <v>3.0187821070086498</v>
      </c>
      <c r="AL4002">
        <v>77.853502414860102</v>
      </c>
      <c r="AM4002">
        <v>85.430360195822203</v>
      </c>
      <c r="AN4002">
        <v>0.99999999979533805</v>
      </c>
    </row>
    <row r="4003" spans="1:40" x14ac:dyDescent="0.25">
      <c r="A4003" t="str">
        <f>"20190303171057461"</f>
        <v>20190303171057461</v>
      </c>
      <c r="B4003" t="str">
        <f>"1551604257455100"</f>
        <v>1551604257455100</v>
      </c>
      <c r="C4003" t="s">
        <v>40</v>
      </c>
      <c r="D4003">
        <v>5.1597369999999998</v>
      </c>
      <c r="E4003">
        <v>0.4533972</v>
      </c>
      <c r="F4003" t="s">
        <v>62</v>
      </c>
      <c r="G4003">
        <v>0</v>
      </c>
      <c r="H4003">
        <v>0</v>
      </c>
      <c r="I4003">
        <v>0</v>
      </c>
      <c r="J4003">
        <v>-390.94619999999998</v>
      </c>
      <c r="K4003">
        <v>1.1262639999999999</v>
      </c>
      <c r="L4003">
        <v>141.5368</v>
      </c>
      <c r="M4003">
        <v>-0.99837039999999999</v>
      </c>
      <c r="N4003">
        <v>-1.446947E-2</v>
      </c>
      <c r="O4003">
        <v>-5.5204120000000002E-2</v>
      </c>
      <c r="P4003">
        <v>-0.98057819999999996</v>
      </c>
      <c r="Q4003">
        <v>0.1944379</v>
      </c>
      <c r="R4003">
        <v>2.569801E-2</v>
      </c>
      <c r="S4003">
        <v>-3.0212400000000001</v>
      </c>
      <c r="T4003">
        <v>0.2476652</v>
      </c>
      <c r="U4003">
        <v>-0.30845640000000002</v>
      </c>
      <c r="V4003">
        <v>7.7113520000000005E-2</v>
      </c>
      <c r="W4003">
        <v>0.20957100000000001</v>
      </c>
      <c r="X4003">
        <v>0.9747479</v>
      </c>
      <c r="Y4003">
        <v>-4.6615009999999998E-2</v>
      </c>
      <c r="Z4003">
        <v>-3.7333729999999999E-3</v>
      </c>
      <c r="AA4003">
        <v>0.99890599999999996</v>
      </c>
      <c r="AB4003">
        <v>41</v>
      </c>
      <c r="AC4003">
        <v>-3.0212400000000001</v>
      </c>
      <c r="AD4003">
        <v>0.2476652</v>
      </c>
      <c r="AE4003">
        <v>-0.30845640000000002</v>
      </c>
      <c r="AF4003">
        <v>-0.14025085979551599</v>
      </c>
      <c r="AG4003">
        <v>0.2476652</v>
      </c>
      <c r="AH4003">
        <v>3.0136196028692401</v>
      </c>
      <c r="AI4003">
        <v>85.306934581721293</v>
      </c>
      <c r="AJ4003">
        <v>92.664566008406197</v>
      </c>
      <c r="AK4003">
        <v>3.0270301395529899</v>
      </c>
      <c r="AL4003">
        <v>77.902786859697301</v>
      </c>
      <c r="AM4003">
        <v>85.476680380571807</v>
      </c>
      <c r="AN4003">
        <v>0.9999999837811</v>
      </c>
    </row>
    <row r="4004" spans="1:40" x14ac:dyDescent="0.25">
      <c r="A4004" t="str">
        <f>"20190303171057484"</f>
        <v>20190303171057484</v>
      </c>
      <c r="B4004" t="str">
        <f>"1551604257474621"</f>
        <v>1551604257474621</v>
      </c>
      <c r="C4004" t="s">
        <v>40</v>
      </c>
      <c r="D4004">
        <v>5.1403980000000002</v>
      </c>
      <c r="E4004">
        <v>0.4539916</v>
      </c>
      <c r="F4004" t="s">
        <v>62</v>
      </c>
      <c r="G4004">
        <v>0</v>
      </c>
      <c r="H4004">
        <v>0</v>
      </c>
      <c r="I4004">
        <v>0</v>
      </c>
      <c r="J4004">
        <v>-391.34969999999998</v>
      </c>
      <c r="K4004">
        <v>1.126466</v>
      </c>
      <c r="L4004">
        <v>141.51</v>
      </c>
      <c r="M4004">
        <v>-0.99804499999999996</v>
      </c>
      <c r="N4004">
        <v>-1.4479570000000001E-2</v>
      </c>
      <c r="O4004">
        <v>-6.0800220000000002E-2</v>
      </c>
      <c r="P4004">
        <v>-0.98082150000000001</v>
      </c>
      <c r="Q4004">
        <v>0.1938164</v>
      </c>
      <c r="R4004">
        <v>2.0600239999999999E-2</v>
      </c>
      <c r="S4004">
        <v>-3.0185849999999999</v>
      </c>
      <c r="T4004">
        <v>0.2487143</v>
      </c>
      <c r="U4004">
        <v>-0.32328800000000002</v>
      </c>
      <c r="V4004">
        <v>7.7416550000000001E-2</v>
      </c>
      <c r="W4004">
        <v>0.20900679999999999</v>
      </c>
      <c r="X4004">
        <v>0.97484510000000002</v>
      </c>
      <c r="Y4004">
        <v>-4.5986909999999999E-2</v>
      </c>
      <c r="Z4004">
        <v>-4.3062700000000001E-3</v>
      </c>
      <c r="AA4004">
        <v>0.99893279999999995</v>
      </c>
      <c r="AB4004">
        <v>41</v>
      </c>
      <c r="AC4004">
        <v>-3.0185849999999999</v>
      </c>
      <c r="AD4004">
        <v>0.2487143</v>
      </c>
      <c r="AE4004">
        <v>-0.32328800000000002</v>
      </c>
      <c r="AF4004">
        <v>-0.13821225778218199</v>
      </c>
      <c r="AG4004">
        <v>0.2487143</v>
      </c>
      <c r="AH4004">
        <v>3.0124383486088901</v>
      </c>
      <c r="AI4004">
        <v>85.285162089063405</v>
      </c>
      <c r="AJ4004">
        <v>92.626918328600894</v>
      </c>
      <c r="AK4004">
        <v>3.0258463667865199</v>
      </c>
      <c r="AL4004">
        <v>77.935846272632105</v>
      </c>
      <c r="AM4004">
        <v>85.459430348722407</v>
      </c>
      <c r="AN4004">
        <v>1.0000000668270701</v>
      </c>
    </row>
    <row r="4005" spans="1:40" x14ac:dyDescent="0.25">
      <c r="A4005" t="str">
        <f>"20190303171057505"</f>
        <v>20190303171057505</v>
      </c>
      <c r="B4005" t="str">
        <f>"1551604257495117"</f>
        <v>1551604257495117</v>
      </c>
      <c r="C4005" t="s">
        <v>40</v>
      </c>
      <c r="D4005">
        <v>5.1553469999999999</v>
      </c>
      <c r="E4005">
        <v>0.45433249999999997</v>
      </c>
      <c r="F4005" t="s">
        <v>62</v>
      </c>
      <c r="G4005">
        <v>0</v>
      </c>
      <c r="H4005">
        <v>0</v>
      </c>
      <c r="I4005">
        <v>0</v>
      </c>
      <c r="J4005">
        <v>-391.73410000000001</v>
      </c>
      <c r="K4005">
        <v>1.126654</v>
      </c>
      <c r="L4005">
        <v>141.48220000000001</v>
      </c>
      <c r="M4005">
        <v>-0.99769529999999995</v>
      </c>
      <c r="N4005">
        <v>-1.4489169999999999E-2</v>
      </c>
      <c r="O4005">
        <v>-6.6288280000000005E-2</v>
      </c>
      <c r="P4005">
        <v>-0.98107390000000005</v>
      </c>
      <c r="Q4005">
        <v>0.1930713</v>
      </c>
      <c r="R4005">
        <v>1.475595E-2</v>
      </c>
      <c r="S4005">
        <v>-3.0164179999999998</v>
      </c>
      <c r="T4005">
        <v>0.24961269999999999</v>
      </c>
      <c r="U4005">
        <v>-0.33381650000000002</v>
      </c>
      <c r="V4005">
        <v>7.6887289999999997E-2</v>
      </c>
      <c r="W4005">
        <v>0.20830489999999999</v>
      </c>
      <c r="X4005">
        <v>0.97503709999999999</v>
      </c>
      <c r="Y4005">
        <v>-4.4046370000000001E-2</v>
      </c>
      <c r="Z4005">
        <v>-4.9153110000000003E-3</v>
      </c>
      <c r="AA4005">
        <v>0.99901740000000006</v>
      </c>
      <c r="AB4005">
        <v>41</v>
      </c>
      <c r="AC4005">
        <v>-3.0164179999999998</v>
      </c>
      <c r="AD4005">
        <v>0.24961269999999999</v>
      </c>
      <c r="AE4005">
        <v>-0.33381650000000002</v>
      </c>
      <c r="AF4005">
        <v>-0.13221354965228099</v>
      </c>
      <c r="AG4005">
        <v>0.24961269999999999</v>
      </c>
      <c r="AH4005">
        <v>3.0115396016620899</v>
      </c>
      <c r="AI4005">
        <v>85.266385143038505</v>
      </c>
      <c r="AJ4005">
        <v>92.513802942969505</v>
      </c>
      <c r="AK4005">
        <v>3.0247574605399401</v>
      </c>
      <c r="AL4005">
        <v>77.976966064183898</v>
      </c>
      <c r="AM4005">
        <v>85.491227934469293</v>
      </c>
      <c r="AN4005">
        <v>0.99999996655198098</v>
      </c>
    </row>
    <row r="4006" spans="1:40" x14ac:dyDescent="0.25">
      <c r="A4006" t="str">
        <f>"20190303171057529"</f>
        <v>20190303171057529</v>
      </c>
      <c r="B4006" t="str">
        <f>"1551604257514636"</f>
        <v>1551604257514636</v>
      </c>
      <c r="C4006" t="s">
        <v>40</v>
      </c>
      <c r="D4006">
        <v>5.1600659999999996</v>
      </c>
      <c r="E4006">
        <v>0.45465630000000001</v>
      </c>
      <c r="F4006" t="s">
        <v>62</v>
      </c>
      <c r="G4006">
        <v>0</v>
      </c>
      <c r="H4006">
        <v>0</v>
      </c>
      <c r="I4006">
        <v>0</v>
      </c>
      <c r="J4006">
        <v>-392.1472</v>
      </c>
      <c r="K4006">
        <v>1.1268549999999999</v>
      </c>
      <c r="L4006">
        <v>141.44990000000001</v>
      </c>
      <c r="M4006">
        <v>-0.99727279999999996</v>
      </c>
      <c r="N4006">
        <v>-1.450069E-2</v>
      </c>
      <c r="O4006">
        <v>-7.2365520000000003E-2</v>
      </c>
      <c r="P4006">
        <v>-0.98138519999999896</v>
      </c>
      <c r="Q4006">
        <v>0.1919015</v>
      </c>
      <c r="R4006">
        <v>7.5411250000000001E-3</v>
      </c>
      <c r="S4006">
        <v>-3.0140690000000001</v>
      </c>
      <c r="T4006">
        <v>0.2490848</v>
      </c>
      <c r="U4006">
        <v>-0.34957890000000003</v>
      </c>
      <c r="V4006">
        <v>7.5579779999999999E-2</v>
      </c>
      <c r="W4006">
        <v>0.20717379999999999</v>
      </c>
      <c r="X4006">
        <v>0.97538029999999998</v>
      </c>
      <c r="Y4006">
        <v>-4.3232960000000001E-2</v>
      </c>
      <c r="Z4006">
        <v>-5.523338E-3</v>
      </c>
      <c r="AA4006">
        <v>0.99904970000000004</v>
      </c>
      <c r="AB4006">
        <v>41</v>
      </c>
      <c r="AC4006">
        <v>-3.0140690000000001</v>
      </c>
      <c r="AD4006">
        <v>0.2490848</v>
      </c>
      <c r="AE4006">
        <v>-0.34957890000000003</v>
      </c>
      <c r="AF4006">
        <v>-0.129650880282624</v>
      </c>
      <c r="AG4006">
        <v>0.2490848</v>
      </c>
      <c r="AH4006">
        <v>3.0111732995672602</v>
      </c>
      <c r="AI4006">
        <v>85.275606179198903</v>
      </c>
      <c r="AJ4006">
        <v>92.465438601595096</v>
      </c>
      <c r="AK4006">
        <v>3.0242382889540802</v>
      </c>
      <c r="AL4006">
        <v>78.043219183425407</v>
      </c>
      <c r="AM4006">
        <v>85.569147263688905</v>
      </c>
      <c r="AN4006">
        <v>1.00000000808968</v>
      </c>
    </row>
    <row r="4007" spans="1:40" x14ac:dyDescent="0.25">
      <c r="A4007" t="str">
        <f>"20190303171057551"</f>
        <v>20190303171057551</v>
      </c>
      <c r="B4007" t="str">
        <f>"1551604257544892"</f>
        <v>1551604257544892</v>
      </c>
      <c r="C4007" t="s">
        <v>40</v>
      </c>
      <c r="D4007">
        <v>5.2689510000000004</v>
      </c>
      <c r="E4007">
        <v>0.4539494</v>
      </c>
      <c r="F4007" t="s">
        <v>62</v>
      </c>
      <c r="G4007">
        <v>0</v>
      </c>
      <c r="H4007">
        <v>0</v>
      </c>
      <c r="I4007">
        <v>0</v>
      </c>
      <c r="J4007">
        <v>-392.55180000000001</v>
      </c>
      <c r="K4007">
        <v>1.127048</v>
      </c>
      <c r="L4007">
        <v>141.41569999999999</v>
      </c>
      <c r="M4007">
        <v>-0.99680829999999998</v>
      </c>
      <c r="N4007">
        <v>-1.4513740000000001E-2</v>
      </c>
      <c r="O4007">
        <v>-7.8501979999999999E-2</v>
      </c>
      <c r="P4007">
        <v>-0.98154969999999997</v>
      </c>
      <c r="Q4007">
        <v>0.19120760000000001</v>
      </c>
      <c r="R4007" s="1">
        <v>5.6970169999999997E-5</v>
      </c>
      <c r="S4007">
        <v>-3.011444</v>
      </c>
      <c r="T4007">
        <v>0.2470531</v>
      </c>
      <c r="U4007">
        <v>-0.36972050000000001</v>
      </c>
      <c r="V4007">
        <v>7.4056360000000002E-2</v>
      </c>
      <c r="W4007">
        <v>0.20651320000000001</v>
      </c>
      <c r="X4007">
        <v>0.97563719999999998</v>
      </c>
      <c r="Y4007">
        <v>-4.3795809999999998E-2</v>
      </c>
      <c r="Z4007">
        <v>-6.0606810000000001E-3</v>
      </c>
      <c r="AA4007">
        <v>0.99902210000000002</v>
      </c>
      <c r="AB4007">
        <v>41</v>
      </c>
      <c r="AC4007">
        <v>-3.011444</v>
      </c>
      <c r="AD4007">
        <v>0.2470531</v>
      </c>
      <c r="AE4007">
        <v>-0.36972050000000001</v>
      </c>
      <c r="AF4007">
        <v>-0.13127964137567899</v>
      </c>
      <c r="AG4007">
        <v>0.2470531</v>
      </c>
      <c r="AH4007">
        <v>3.0112101892082301</v>
      </c>
      <c r="AI4007">
        <v>85.314135306863307</v>
      </c>
      <c r="AJ4007">
        <v>92.496341606838399</v>
      </c>
      <c r="AK4007">
        <v>3.0241786293224799</v>
      </c>
      <c r="AL4007">
        <v>78.081905257743401</v>
      </c>
      <c r="AM4007">
        <v>85.659251419910703</v>
      </c>
      <c r="AN4007">
        <v>0.99999999612726398</v>
      </c>
    </row>
    <row r="4008" spans="1:40" x14ac:dyDescent="0.25">
      <c r="A4008" t="str">
        <f>"20190303171057573"</f>
        <v>20190303171057573</v>
      </c>
      <c r="B4008" t="str">
        <f>"1551604257565388"</f>
        <v>1551604257565388</v>
      </c>
      <c r="C4008" t="s">
        <v>40</v>
      </c>
      <c r="D4008">
        <v>5.2092720000000003</v>
      </c>
      <c r="E4008">
        <v>0.39800150000000001</v>
      </c>
      <c r="F4008" t="s">
        <v>62</v>
      </c>
      <c r="G4008">
        <v>0</v>
      </c>
      <c r="H4008">
        <v>0</v>
      </c>
      <c r="I4008">
        <v>0</v>
      </c>
      <c r="J4008">
        <v>-392.94319999999999</v>
      </c>
      <c r="K4008">
        <v>1.1272409999999999</v>
      </c>
      <c r="L4008">
        <v>141.38</v>
      </c>
      <c r="M4008">
        <v>-0.99630799999999997</v>
      </c>
      <c r="N4008">
        <v>-1.452757E-2</v>
      </c>
      <c r="O4008">
        <v>-8.4613110000000005E-2</v>
      </c>
      <c r="P4008">
        <v>-0.98149949999999997</v>
      </c>
      <c r="Q4008">
        <v>0.1913039</v>
      </c>
      <c r="R4008">
        <v>-7.866385E-3</v>
      </c>
      <c r="S4008">
        <v>-3.008057</v>
      </c>
      <c r="T4008">
        <v>0.24821199999999999</v>
      </c>
      <c r="U4008">
        <v>-0.3979645</v>
      </c>
      <c r="V4008">
        <v>7.2053110000000004E-2</v>
      </c>
      <c r="W4008">
        <v>0.20663219999999999</v>
      </c>
      <c r="X4008">
        <v>0.97576200000000002</v>
      </c>
      <c r="Y4008">
        <v>-4.7056140000000003E-2</v>
      </c>
      <c r="Z4008">
        <v>-6.5624730000000001E-3</v>
      </c>
      <c r="AA4008">
        <v>0.9988707</v>
      </c>
      <c r="AB4008">
        <v>41</v>
      </c>
      <c r="AC4008">
        <v>-3.008057</v>
      </c>
      <c r="AD4008">
        <v>0.24821199999999999</v>
      </c>
      <c r="AE4008">
        <v>-0.3979645</v>
      </c>
      <c r="AF4008">
        <v>-0.141045301784816</v>
      </c>
      <c r="AG4008">
        <v>0.24821199999999999</v>
      </c>
      <c r="AH4008">
        <v>3.0107966317920498</v>
      </c>
      <c r="AI4008">
        <v>85.292296567709897</v>
      </c>
      <c r="AJ4008">
        <v>92.682146137592099</v>
      </c>
      <c r="AK4008">
        <v>3.0243014618437001</v>
      </c>
      <c r="AL4008">
        <v>78.074936789173293</v>
      </c>
      <c r="AM4008">
        <v>85.776777614011493</v>
      </c>
      <c r="AN4008">
        <v>0.99999999869075595</v>
      </c>
    </row>
    <row r="4009" spans="1:40" x14ac:dyDescent="0.25">
      <c r="A4009" t="str">
        <f>"20190303171057595"</f>
        <v>20190303171057595</v>
      </c>
      <c r="B4009" t="str">
        <f>"1551604257584909"</f>
        <v>1551604257584909</v>
      </c>
      <c r="C4009" t="s">
        <v>40</v>
      </c>
      <c r="D4009">
        <v>5.0098770000000004</v>
      </c>
      <c r="E4009">
        <v>0.3839747</v>
      </c>
      <c r="F4009" t="s">
        <v>69</v>
      </c>
      <c r="G4009">
        <v>-468.58909999999997</v>
      </c>
      <c r="H4009">
        <v>6.1194730000000002</v>
      </c>
      <c r="I4009">
        <v>119.395</v>
      </c>
      <c r="J4009">
        <v>-393.33859999999999</v>
      </c>
      <c r="K4009">
        <v>1.1274379999999999</v>
      </c>
      <c r="L4009">
        <v>141.34139999999999</v>
      </c>
      <c r="M4009">
        <v>-0.99574799999999997</v>
      </c>
      <c r="N4009">
        <v>-1.454223E-2</v>
      </c>
      <c r="O4009">
        <v>-9.0964630000000005E-2</v>
      </c>
      <c r="P4009">
        <v>-0.9814773</v>
      </c>
      <c r="Q4009">
        <v>0.1909979</v>
      </c>
      <c r="R4009">
        <v>-1.490583E-2</v>
      </c>
      <c r="S4009">
        <v>-3.0108030000000001</v>
      </c>
      <c r="T4009">
        <v>0.19869790000000001</v>
      </c>
      <c r="U4009">
        <v>-0.87503050000000004</v>
      </c>
      <c r="V4009">
        <v>7.1183239999999995E-2</v>
      </c>
      <c r="W4009">
        <v>0.2063653</v>
      </c>
      <c r="X4009">
        <v>0.97588229999999998</v>
      </c>
      <c r="Y4009">
        <v>-0.1905452</v>
      </c>
      <c r="Z4009">
        <v>-2.4116329999999998E-3</v>
      </c>
      <c r="AA4009">
        <v>0.98167539999999998</v>
      </c>
      <c r="AB4009">
        <v>41</v>
      </c>
      <c r="AC4009">
        <v>-75.250499999999903</v>
      </c>
      <c r="AD4009">
        <v>4.9920349999999996</v>
      </c>
      <c r="AE4009">
        <v>-21.946400000000001</v>
      </c>
      <c r="AF4009">
        <v>-14.948905457676201</v>
      </c>
      <c r="AG4009">
        <v>4.9920349999999996</v>
      </c>
      <c r="AH4009">
        <v>76.624233845179205</v>
      </c>
      <c r="AI4009">
        <v>86.341258873339996</v>
      </c>
      <c r="AJ4009">
        <v>101.03938098370701</v>
      </c>
      <c r="AK4009">
        <v>78.228277497235496</v>
      </c>
      <c r="AL4009">
        <v>78.090565627729205</v>
      </c>
      <c r="AM4009">
        <v>85.828094357652404</v>
      </c>
      <c r="AN4009">
        <v>0.99999997707713795</v>
      </c>
    </row>
    <row r="4010" spans="1:40" x14ac:dyDescent="0.25">
      <c r="A4010" t="str">
        <f>"20190303171057619"</f>
        <v>20190303171057619</v>
      </c>
      <c r="B4010" t="str">
        <f>"1551604257605405"</f>
        <v>1551604257605405</v>
      </c>
      <c r="C4010" t="s">
        <v>40</v>
      </c>
      <c r="D4010">
        <v>5.0966269999999998</v>
      </c>
      <c r="E4010">
        <v>0.37978529999999999</v>
      </c>
      <c r="F4010" t="s">
        <v>69</v>
      </c>
      <c r="G4010">
        <v>-458.85570000000001</v>
      </c>
      <c r="H4010">
        <v>7.7914219999999998</v>
      </c>
      <c r="I4010">
        <v>119.395</v>
      </c>
      <c r="J4010">
        <v>-393.74790000000002</v>
      </c>
      <c r="K4010">
        <v>1.1276440000000001</v>
      </c>
      <c r="L4010">
        <v>141.29859999999999</v>
      </c>
      <c r="M4010">
        <v>-0.99510609999999999</v>
      </c>
      <c r="N4010">
        <v>-1.455802E-2</v>
      </c>
      <c r="O4010">
        <v>-9.7734119999999994E-2</v>
      </c>
      <c r="P4010">
        <v>-0.98132470000000005</v>
      </c>
      <c r="Q4010">
        <v>0.19105459999999999</v>
      </c>
      <c r="R4010">
        <v>-2.2360910000000001E-2</v>
      </c>
      <c r="S4010">
        <v>-2.9824519999999999</v>
      </c>
      <c r="T4010">
        <v>0.30335709999999999</v>
      </c>
      <c r="U4010">
        <v>-0.99903869999999895</v>
      </c>
      <c r="V4010">
        <v>7.0300269999999998E-2</v>
      </c>
      <c r="W4010">
        <v>0.20646049999999999</v>
      </c>
      <c r="X4010">
        <v>0.97592619999999997</v>
      </c>
      <c r="Y4010">
        <v>-0.22314300000000001</v>
      </c>
      <c r="Z4010">
        <v>-1.643002E-3</v>
      </c>
      <c r="AA4010">
        <v>0.9747844</v>
      </c>
      <c r="AB4010">
        <v>41</v>
      </c>
      <c r="AC4010">
        <v>-65.107799999999997</v>
      </c>
      <c r="AD4010">
        <v>6.6637779999999998</v>
      </c>
      <c r="AE4010">
        <v>-21.903600000000001</v>
      </c>
      <c r="AF4010">
        <v>-15.2908936818579</v>
      </c>
      <c r="AG4010">
        <v>6.6637779999999998</v>
      </c>
      <c r="AH4010">
        <v>66.312955760176095</v>
      </c>
      <c r="AI4010">
        <v>84.407407952091404</v>
      </c>
      <c r="AJ4010">
        <v>102.98469354057301</v>
      </c>
      <c r="AK4010">
        <v>68.378545381385806</v>
      </c>
      <c r="AL4010">
        <v>78.084991381060703</v>
      </c>
      <c r="AM4010">
        <v>85.879848805254596</v>
      </c>
      <c r="AN4010">
        <v>1.00000000693438</v>
      </c>
    </row>
    <row r="4011" spans="1:40" x14ac:dyDescent="0.25">
      <c r="A4011" t="str">
        <f>"20190303171057641"</f>
        <v>20190303171057641</v>
      </c>
      <c r="B4011" t="str">
        <f>"1551604257634685"</f>
        <v>1551604257634685</v>
      </c>
      <c r="C4011" t="s">
        <v>40</v>
      </c>
      <c r="D4011">
        <v>5.1939919999999997</v>
      </c>
      <c r="E4011">
        <v>0.37530350000000001</v>
      </c>
      <c r="F4011" t="s">
        <v>69</v>
      </c>
      <c r="G4011">
        <v>-455.5052</v>
      </c>
      <c r="H4011">
        <v>7.9621519999999997</v>
      </c>
      <c r="I4011">
        <v>119.395</v>
      </c>
      <c r="J4011">
        <v>-394.16419999999999</v>
      </c>
      <c r="K4011">
        <v>1.1278410000000001</v>
      </c>
      <c r="L4011">
        <v>141.2518</v>
      </c>
      <c r="M4011">
        <v>-0.9943843</v>
      </c>
      <c r="N4011">
        <v>-1.457462E-2</v>
      </c>
      <c r="O4011">
        <v>-0.104820899999999</v>
      </c>
      <c r="P4011">
        <v>-0.98120870000000004</v>
      </c>
      <c r="Q4011">
        <v>0.190417</v>
      </c>
      <c r="R4011">
        <v>-3.116116E-2</v>
      </c>
      <c r="S4011">
        <v>-2.969147</v>
      </c>
      <c r="T4011">
        <v>0.32858749999999998</v>
      </c>
      <c r="U4011">
        <v>-1.05307</v>
      </c>
      <c r="V4011">
        <v>6.8419170000000001E-2</v>
      </c>
      <c r="W4011">
        <v>0.20584649999999999</v>
      </c>
      <c r="X4011">
        <v>0.97618959999999999</v>
      </c>
      <c r="Y4011">
        <v>-0.23327490000000001</v>
      </c>
      <c r="Z4011">
        <v>-1.91029E-3</v>
      </c>
      <c r="AA4011">
        <v>0.97240899999999997</v>
      </c>
      <c r="AB4011">
        <v>40</v>
      </c>
      <c r="AC4011">
        <v>-61.341000000000001</v>
      </c>
      <c r="AD4011">
        <v>6.8343109999999996</v>
      </c>
      <c r="AE4011">
        <v>-21.8568</v>
      </c>
      <c r="AF4011">
        <v>-15.139110738576401</v>
      </c>
      <c r="AG4011">
        <v>6.8343109999999996</v>
      </c>
      <c r="AH4011">
        <v>62.604718504423502</v>
      </c>
      <c r="AI4011">
        <v>83.943139638754602</v>
      </c>
      <c r="AJ4011">
        <v>103.594324098727</v>
      </c>
      <c r="AK4011">
        <v>64.770759296288205</v>
      </c>
      <c r="AL4011">
        <v>78.120943764466702</v>
      </c>
      <c r="AM4011">
        <v>85.990810037369101</v>
      </c>
      <c r="AN4011">
        <v>1.0000000497669399</v>
      </c>
    </row>
    <row r="4012" spans="1:40" x14ac:dyDescent="0.25">
      <c r="A4012" t="str">
        <f>"20190303171057663"</f>
        <v>20190303171057663</v>
      </c>
      <c r="B4012" t="str">
        <f>"1551604257655180"</f>
        <v>1551604257655180</v>
      </c>
      <c r="C4012" t="s">
        <v>40</v>
      </c>
      <c r="D4012">
        <v>5.0064140000000004</v>
      </c>
      <c r="E4012">
        <v>0.37457249999999997</v>
      </c>
      <c r="F4012" t="s">
        <v>69</v>
      </c>
      <c r="G4012">
        <v>-450.93020000000001</v>
      </c>
      <c r="H4012">
        <v>6.173737</v>
      </c>
      <c r="I4012">
        <v>119.8177</v>
      </c>
      <c r="J4012">
        <v>-394.5652</v>
      </c>
      <c r="K4012">
        <v>1.1280110000000001</v>
      </c>
      <c r="L4012">
        <v>141.2038</v>
      </c>
      <c r="M4012">
        <v>-0.99362360000000005</v>
      </c>
      <c r="N4012">
        <v>-1.45901E-2</v>
      </c>
      <c r="O4012">
        <v>-0.11180030000000001</v>
      </c>
      <c r="P4012">
        <v>-0.9808076</v>
      </c>
      <c r="Q4012">
        <v>0.19080630000000001</v>
      </c>
      <c r="R4012">
        <v>-4.0115779999999997E-2</v>
      </c>
      <c r="S4012">
        <v>-2.970612</v>
      </c>
      <c r="T4012">
        <v>0.26405669999999998</v>
      </c>
      <c r="U4012">
        <v>-1.121658</v>
      </c>
      <c r="V4012">
        <v>6.625491E-2</v>
      </c>
      <c r="W4012">
        <v>0.2062454</v>
      </c>
      <c r="X4012">
        <v>0.97625459999999997</v>
      </c>
      <c r="Y4012">
        <v>-0.24625340000000001</v>
      </c>
      <c r="Z4012">
        <v>-2.4086659999999998E-3</v>
      </c>
      <c r="AA4012">
        <v>0.96920249999999997</v>
      </c>
      <c r="AB4012">
        <v>40</v>
      </c>
      <c r="AC4012">
        <v>-56.365000000000002</v>
      </c>
      <c r="AD4012">
        <v>5.0457260000000002</v>
      </c>
      <c r="AE4012">
        <v>-21.386099999999999</v>
      </c>
      <c r="AF4012">
        <v>-14.845704430352001</v>
      </c>
      <c r="AG4012">
        <v>5.0457260000000002</v>
      </c>
      <c r="AH4012">
        <v>57.9965080142833</v>
      </c>
      <c r="AI4012">
        <v>85.182322731878898</v>
      </c>
      <c r="AJ4012">
        <v>104.35803701555599</v>
      </c>
      <c r="AK4012">
        <v>60.0786920026666</v>
      </c>
      <c r="AL4012">
        <v>78.0975862323439</v>
      </c>
      <c r="AM4012">
        <v>86.117493698773004</v>
      </c>
      <c r="AN4012">
        <v>0.99999996107071298</v>
      </c>
    </row>
    <row r="4013" spans="1:40" x14ac:dyDescent="0.25">
      <c r="A4013" t="str">
        <f>"20190303171057684"</f>
        <v>20190303171057684</v>
      </c>
      <c r="B4013" t="str">
        <f>"1551604257674701"</f>
        <v>1551604257674701</v>
      </c>
      <c r="C4013" t="s">
        <v>40</v>
      </c>
      <c r="D4013">
        <v>5.0693630000000001</v>
      </c>
      <c r="E4013">
        <v>0.37370239999999999</v>
      </c>
      <c r="F4013" t="s">
        <v>69</v>
      </c>
      <c r="G4013">
        <v>-448.39530000000002</v>
      </c>
      <c r="H4013">
        <v>6.4214640000000003</v>
      </c>
      <c r="I4013">
        <v>120.22029999999999</v>
      </c>
      <c r="J4013">
        <v>-394.92899999999997</v>
      </c>
      <c r="K4013">
        <v>1.1281600000000001</v>
      </c>
      <c r="L4013">
        <v>141.15780000000001</v>
      </c>
      <c r="M4013">
        <v>-0.99287530000000002</v>
      </c>
      <c r="N4013">
        <v>-1.460291E-2</v>
      </c>
      <c r="O4013">
        <v>-0.1182598</v>
      </c>
      <c r="P4013">
        <v>-0.98034949999999998</v>
      </c>
      <c r="Q4013">
        <v>0.1913155</v>
      </c>
      <c r="R4013">
        <v>-4.8100039999999997E-2</v>
      </c>
      <c r="S4013">
        <v>-2.9550480000000001</v>
      </c>
      <c r="T4013">
        <v>0.29058889999999998</v>
      </c>
      <c r="U4013">
        <v>-1.1519010000000001</v>
      </c>
      <c r="V4013">
        <v>6.4556740000000001E-2</v>
      </c>
      <c r="W4013">
        <v>0.2067619</v>
      </c>
      <c r="X4013">
        <v>0.97625919999999999</v>
      </c>
      <c r="Y4013">
        <v>-0.25022610000000001</v>
      </c>
      <c r="Z4013">
        <v>-2.839743E-3</v>
      </c>
      <c r="AA4013">
        <v>0.96818329999999997</v>
      </c>
      <c r="AB4013">
        <v>40</v>
      </c>
      <c r="AC4013">
        <v>-53.466299999999897</v>
      </c>
      <c r="AD4013">
        <v>5.293304</v>
      </c>
      <c r="AE4013">
        <v>-20.9375</v>
      </c>
      <c r="AF4013">
        <v>-14.345046961911301</v>
      </c>
      <c r="AG4013">
        <v>5.293304</v>
      </c>
      <c r="AH4013">
        <v>55.099110414471703</v>
      </c>
      <c r="AI4013">
        <v>84.6885025043143</v>
      </c>
      <c r="AJ4013">
        <v>104.592992072011</v>
      </c>
      <c r="AK4013">
        <v>57.181390399692198</v>
      </c>
      <c r="AL4013">
        <v>78.067342015965494</v>
      </c>
      <c r="AM4013">
        <v>86.216730646392094</v>
      </c>
      <c r="AN4013">
        <v>1.00000004077783</v>
      </c>
    </row>
    <row r="4014" spans="1:40" x14ac:dyDescent="0.25">
      <c r="A4014" t="str">
        <f>"20190303171057706"</f>
        <v>20190303171057706</v>
      </c>
      <c r="B4014" t="str">
        <f>"1551604257695196"</f>
        <v>1551604257695196</v>
      </c>
      <c r="C4014" t="s">
        <v>40</v>
      </c>
      <c r="D4014">
        <v>5.0497139999999998</v>
      </c>
      <c r="E4014">
        <v>0.37276920000000002</v>
      </c>
      <c r="F4014" t="s">
        <v>69</v>
      </c>
      <c r="G4014">
        <v>-447.0462</v>
      </c>
      <c r="H4014">
        <v>6.3126600000000002</v>
      </c>
      <c r="I4014">
        <v>120.22029999999999</v>
      </c>
      <c r="J4014">
        <v>-395.32440000000003</v>
      </c>
      <c r="K4014">
        <v>1.1283019999999999</v>
      </c>
      <c r="L4014">
        <v>141.10489999999999</v>
      </c>
      <c r="M4014">
        <v>-0.99199709999999997</v>
      </c>
      <c r="N4014">
        <v>-1.461614E-2</v>
      </c>
      <c r="O4014">
        <v>-0.12541189999999999</v>
      </c>
      <c r="P4014">
        <v>-0.97977729999999996</v>
      </c>
      <c r="Q4014">
        <v>0.19173860000000001</v>
      </c>
      <c r="R4014">
        <v>-5.720691E-2</v>
      </c>
      <c r="S4014">
        <v>-2.9449459999999998</v>
      </c>
      <c r="T4014">
        <v>0.29295670000000001</v>
      </c>
      <c r="U4014">
        <v>-1.18309</v>
      </c>
      <c r="V4014">
        <v>6.2422100000000001E-2</v>
      </c>
      <c r="W4014">
        <v>0.20718549999999999</v>
      </c>
      <c r="X4014">
        <v>0.97630819999999996</v>
      </c>
      <c r="Y4014">
        <v>-0.25325510000000001</v>
      </c>
      <c r="Z4014">
        <v>-3.486996E-3</v>
      </c>
      <c r="AA4014">
        <v>0.96739319999999895</v>
      </c>
      <c r="AB4014">
        <v>40</v>
      </c>
      <c r="AC4014">
        <v>-51.721799999999902</v>
      </c>
      <c r="AD4014">
        <v>5.1843579999999996</v>
      </c>
      <c r="AE4014">
        <v>-20.884599999999899</v>
      </c>
      <c r="AF4014">
        <v>-14.110557248636599</v>
      </c>
      <c r="AG4014">
        <v>5.1843579999999996</v>
      </c>
      <c r="AH4014">
        <v>53.470896496747798</v>
      </c>
      <c r="AI4014">
        <v>84.644327003092599</v>
      </c>
      <c r="AJ4014">
        <v>104.782908148684</v>
      </c>
      <c r="AK4014">
        <v>55.543876043224898</v>
      </c>
      <c r="AL4014">
        <v>78.042534168838003</v>
      </c>
      <c r="AM4014">
        <v>86.341666209006405</v>
      </c>
      <c r="AN4014">
        <v>1.00000002568294</v>
      </c>
    </row>
    <row r="4015" spans="1:40" x14ac:dyDescent="0.25">
      <c r="A4015" t="str">
        <f>"20190303171057730"</f>
        <v>20190303171057730</v>
      </c>
      <c r="B4015" t="str">
        <f>"1551604257714716"</f>
        <v>1551604257714716</v>
      </c>
      <c r="C4015" t="s">
        <v>40</v>
      </c>
      <c r="D4015">
        <v>5.0787469999999999</v>
      </c>
      <c r="E4015">
        <v>0.372249</v>
      </c>
      <c r="F4015" t="s">
        <v>69</v>
      </c>
      <c r="G4015">
        <v>-446.46469999999999</v>
      </c>
      <c r="H4015">
        <v>6.3067830000000002</v>
      </c>
      <c r="I4015">
        <v>119.8753</v>
      </c>
      <c r="J4015">
        <v>-395.73579999999998</v>
      </c>
      <c r="K4015">
        <v>1.128444</v>
      </c>
      <c r="L4015">
        <v>141.04679999999999</v>
      </c>
      <c r="M4015">
        <v>-0.99100960000000005</v>
      </c>
      <c r="N4015">
        <v>-1.462985E-2</v>
      </c>
      <c r="O4015">
        <v>-0.1329881</v>
      </c>
      <c r="P4015">
        <v>-0.97912969999999999</v>
      </c>
      <c r="Q4015">
        <v>0.19171150000000001</v>
      </c>
      <c r="R4015">
        <v>-6.7466650000000003E-2</v>
      </c>
      <c r="S4015">
        <v>-2.932709</v>
      </c>
      <c r="T4015">
        <v>0.2969675</v>
      </c>
      <c r="U4015">
        <v>-1.217438</v>
      </c>
      <c r="V4015">
        <v>5.9574439999999999E-2</v>
      </c>
      <c r="W4015">
        <v>0.20714579999999999</v>
      </c>
      <c r="X4015">
        <v>0.97649450000000004</v>
      </c>
      <c r="Y4015">
        <v>-0.2569805</v>
      </c>
      <c r="Z4015">
        <v>-4.1625029999999997E-3</v>
      </c>
      <c r="AA4015">
        <v>0.96640769999999998</v>
      </c>
      <c r="AB4015">
        <v>40</v>
      </c>
      <c r="AC4015">
        <v>-50.728900000000003</v>
      </c>
      <c r="AD4015">
        <v>5.1783390000000002</v>
      </c>
      <c r="AE4015">
        <v>-21.171499999999899</v>
      </c>
      <c r="AF4015">
        <v>-14.111117163237299</v>
      </c>
      <c r="AG4015">
        <v>5.1783390000000002</v>
      </c>
      <c r="AH4015">
        <v>52.627039034788503</v>
      </c>
      <c r="AI4015">
        <v>84.570931301546693</v>
      </c>
      <c r="AJ4015">
        <v>105.00989790096</v>
      </c>
      <c r="AK4015">
        <v>54.731563653550801</v>
      </c>
      <c r="AL4015">
        <v>78.044858969934396</v>
      </c>
      <c r="AM4015">
        <v>86.508799050440899</v>
      </c>
      <c r="AN4015">
        <v>1.0000000024446001</v>
      </c>
    </row>
    <row r="4016" spans="1:40" x14ac:dyDescent="0.25">
      <c r="A4016" t="str">
        <f>"20190303171057755"</f>
        <v>20190303171057755</v>
      </c>
      <c r="B4016" t="str">
        <f>"1551604257744972"</f>
        <v>1551604257744972</v>
      </c>
      <c r="C4016" t="s">
        <v>40</v>
      </c>
      <c r="D4016">
        <v>5.2388379999999897</v>
      </c>
      <c r="E4016">
        <v>0.37220520000000001</v>
      </c>
      <c r="F4016" t="s">
        <v>69</v>
      </c>
      <c r="G4016">
        <v>-446.21879999999999</v>
      </c>
      <c r="H4016">
        <v>6.2721099999999996</v>
      </c>
      <c r="I4016">
        <v>119.395</v>
      </c>
      <c r="J4016">
        <v>-396.17790000000002</v>
      </c>
      <c r="K4016">
        <v>1.1285889999999901</v>
      </c>
      <c r="L4016">
        <v>140.98079999999999</v>
      </c>
      <c r="M4016">
        <v>-0.98986289999999999</v>
      </c>
      <c r="N4016">
        <v>-1.464447E-2</v>
      </c>
      <c r="O4016">
        <v>-0.14126910000000001</v>
      </c>
      <c r="P4016">
        <v>-0.9783482</v>
      </c>
      <c r="Q4016">
        <v>0.19166839999999999</v>
      </c>
      <c r="R4016">
        <v>-7.8091480000000005E-2</v>
      </c>
      <c r="S4016">
        <v>-2.919403</v>
      </c>
      <c r="T4016">
        <v>0.29745630000000001</v>
      </c>
      <c r="U4016">
        <v>-1.2521059999999999</v>
      </c>
      <c r="V4016">
        <v>5.7057070000000001E-2</v>
      </c>
      <c r="W4016">
        <v>0.2070959</v>
      </c>
      <c r="X4016">
        <v>0.97665539999999995</v>
      </c>
      <c r="Y4016">
        <v>-0.26022610000000002</v>
      </c>
      <c r="Z4016">
        <v>-4.9399689999999998E-3</v>
      </c>
      <c r="AA4016">
        <v>0.96553500000000003</v>
      </c>
      <c r="AB4016">
        <v>40</v>
      </c>
      <c r="AC4016">
        <v>-50.040899999999901</v>
      </c>
      <c r="AD4016">
        <v>5.1435209999999998</v>
      </c>
      <c r="AE4016">
        <v>-21.5857999999999</v>
      </c>
      <c r="AF4016">
        <v>-14.173035993014301</v>
      </c>
      <c r="AG4016">
        <v>5.1435209999999998</v>
      </c>
      <c r="AH4016">
        <v>52.124375632358401</v>
      </c>
      <c r="AI4016">
        <v>84.560662022661404</v>
      </c>
      <c r="AJ4016">
        <v>105.21141979951101</v>
      </c>
      <c r="AK4016">
        <v>54.261231948785699</v>
      </c>
      <c r="AL4016">
        <v>78.047781319273497</v>
      </c>
      <c r="AM4016">
        <v>86.656530316485203</v>
      </c>
      <c r="AN4016">
        <v>0.99999999569147702</v>
      </c>
    </row>
    <row r="4017" spans="1:40" x14ac:dyDescent="0.25">
      <c r="A4017" t="str">
        <f>"20190303171057774"</f>
        <v>20190303171057774</v>
      </c>
      <c r="B4017" t="str">
        <f>"1551604257764493"</f>
        <v>1551604257764493</v>
      </c>
      <c r="C4017" t="s">
        <v>40</v>
      </c>
      <c r="D4017">
        <v>5.1112099999999998</v>
      </c>
      <c r="E4017">
        <v>0.37230419999999997</v>
      </c>
      <c r="F4017" t="s">
        <v>69</v>
      </c>
      <c r="G4017">
        <v>-445.0428</v>
      </c>
      <c r="H4017">
        <v>6.2203309999999998</v>
      </c>
      <c r="I4017">
        <v>119.395</v>
      </c>
      <c r="J4017">
        <v>-396.51190000000003</v>
      </c>
      <c r="K4017">
        <v>1.1286929999999999</v>
      </c>
      <c r="L4017">
        <v>140.9281</v>
      </c>
      <c r="M4017">
        <v>-0.98893439999999999</v>
      </c>
      <c r="N4017">
        <v>-1.465529E-2</v>
      </c>
      <c r="O4017">
        <v>-0.147627799999999</v>
      </c>
      <c r="P4017">
        <v>-0.97747589999999995</v>
      </c>
      <c r="Q4017">
        <v>0.19263859999999999</v>
      </c>
      <c r="R4017">
        <v>-8.6206409999999997E-2</v>
      </c>
      <c r="S4017">
        <v>-2.9046630000000002</v>
      </c>
      <c r="T4017">
        <v>0.30266789999999999</v>
      </c>
      <c r="U4017">
        <v>-1.283112</v>
      </c>
      <c r="V4017">
        <v>5.5122860000000003E-2</v>
      </c>
      <c r="W4017">
        <v>0.20805499999999999</v>
      </c>
      <c r="X4017">
        <v>0.97656259999999995</v>
      </c>
      <c r="Y4017">
        <v>-0.26445829999999998</v>
      </c>
      <c r="Z4017">
        <v>-5.4898380000000004E-3</v>
      </c>
      <c r="AA4017">
        <v>0.9643815</v>
      </c>
      <c r="AB4017">
        <v>40</v>
      </c>
      <c r="AC4017">
        <v>-48.530899999999903</v>
      </c>
      <c r="AD4017">
        <v>5.0916379999999997</v>
      </c>
      <c r="AE4017">
        <v>-21.533100000000001</v>
      </c>
      <c r="AF4017">
        <v>-14.0030492635907</v>
      </c>
      <c r="AG4017">
        <v>5.0916379999999997</v>
      </c>
      <c r="AH4017">
        <v>50.711875360737302</v>
      </c>
      <c r="AI4017">
        <v>84.472052554596999</v>
      </c>
      <c r="AJ4017">
        <v>105.436404118827</v>
      </c>
      <c r="AK4017">
        <v>52.8555055675806</v>
      </c>
      <c r="AL4017">
        <v>77.991604958622801</v>
      </c>
      <c r="AM4017">
        <v>86.769321933216901</v>
      </c>
      <c r="AN4017">
        <v>0.99999996221916898</v>
      </c>
    </row>
    <row r="4018" spans="1:40" x14ac:dyDescent="0.25">
      <c r="A4018" t="str">
        <f>"20190303171057795"</f>
        <v>20190303171057795</v>
      </c>
      <c r="B4018" t="str">
        <f>"1551604257784989"</f>
        <v>1551604257784989</v>
      </c>
      <c r="C4018" t="s">
        <v>40</v>
      </c>
      <c r="D4018">
        <v>5.2324489999999999</v>
      </c>
      <c r="E4018">
        <v>0.37274210000000002</v>
      </c>
      <c r="F4018" t="s">
        <v>69</v>
      </c>
      <c r="G4018">
        <v>-444.19990000000001</v>
      </c>
      <c r="H4018">
        <v>6.1069930000000001</v>
      </c>
      <c r="I4018">
        <v>119.395</v>
      </c>
      <c r="J4018">
        <v>-396.89760000000001</v>
      </c>
      <c r="K4018">
        <v>1.1288149999999999</v>
      </c>
      <c r="L4018">
        <v>140.8647</v>
      </c>
      <c r="M4018">
        <v>-0.98779589999999995</v>
      </c>
      <c r="N4018">
        <v>-1.4667390000000001E-2</v>
      </c>
      <c r="O4018">
        <v>-0.1550619</v>
      </c>
      <c r="P4018">
        <v>-0.97649490000000005</v>
      </c>
      <c r="Q4018">
        <v>0.1932294</v>
      </c>
      <c r="R4018">
        <v>-9.5501180000000005E-2</v>
      </c>
      <c r="S4018">
        <v>-2.8943180000000002</v>
      </c>
      <c r="T4018">
        <v>0.30214740000000001</v>
      </c>
      <c r="U4018">
        <v>-1.3069</v>
      </c>
      <c r="V4018">
        <v>5.3080780000000001E-2</v>
      </c>
      <c r="W4018">
        <v>0.20863599999999999</v>
      </c>
      <c r="X4018">
        <v>0.97655179999999997</v>
      </c>
      <c r="Y4018">
        <v>-0.26512360000000001</v>
      </c>
      <c r="Z4018">
        <v>-6.2896319999999999E-3</v>
      </c>
      <c r="AA4018">
        <v>0.96419390000000005</v>
      </c>
      <c r="AB4018">
        <v>40</v>
      </c>
      <c r="AC4018">
        <v>-47.302300000000002</v>
      </c>
      <c r="AD4018">
        <v>4.9781779999999998</v>
      </c>
      <c r="AE4018">
        <v>-21.4697</v>
      </c>
      <c r="AF4018">
        <v>-13.748128189641699</v>
      </c>
      <c r="AG4018">
        <v>4.9781779999999998</v>
      </c>
      <c r="AH4018">
        <v>49.603977533256199</v>
      </c>
      <c r="AI4018">
        <v>84.475955888705599</v>
      </c>
      <c r="AJ4018">
        <v>105.49112700654</v>
      </c>
      <c r="AK4018">
        <v>51.714097420706203</v>
      </c>
      <c r="AL4018">
        <v>77.957569469043406</v>
      </c>
      <c r="AM4018">
        <v>86.888731568330599</v>
      </c>
      <c r="AN4018">
        <v>0.99999998389232403</v>
      </c>
    </row>
    <row r="4019" spans="1:40" x14ac:dyDescent="0.25">
      <c r="A4019" t="str">
        <f>"20190303171057820"</f>
        <v>20190303171057820</v>
      </c>
      <c r="B4019" t="str">
        <f>"1551604257815245"</f>
        <v>1551604257815245</v>
      </c>
      <c r="C4019" t="s">
        <v>40</v>
      </c>
      <c r="D4019">
        <v>5.1189090000000004</v>
      </c>
      <c r="E4019">
        <v>0.37379810000000002</v>
      </c>
      <c r="F4019" t="s">
        <v>69</v>
      </c>
      <c r="G4019">
        <v>-442.45530000000002</v>
      </c>
      <c r="H4019">
        <v>5.866466</v>
      </c>
      <c r="I4019">
        <v>119.8177</v>
      </c>
      <c r="J4019">
        <v>-397.30360000000002</v>
      </c>
      <c r="K4019">
        <v>1.128932</v>
      </c>
      <c r="L4019">
        <v>140.7944</v>
      </c>
      <c r="M4019">
        <v>-0.98651610000000001</v>
      </c>
      <c r="N4019">
        <v>-1.468008E-2</v>
      </c>
      <c r="O4019">
        <v>-0.16300539999999999</v>
      </c>
      <c r="P4019">
        <v>-0.97543570000000002</v>
      </c>
      <c r="Q4019">
        <v>0.19338649999999999</v>
      </c>
      <c r="R4019">
        <v>-0.1054857</v>
      </c>
      <c r="S4019">
        <v>-2.8826900000000002</v>
      </c>
      <c r="T4019">
        <v>0.29977880000000001</v>
      </c>
      <c r="U4019">
        <v>-1.3317570000000001</v>
      </c>
      <c r="V4019">
        <v>5.087154E-2</v>
      </c>
      <c r="W4019">
        <v>0.20878060000000001</v>
      </c>
      <c r="X4019">
        <v>0.97663849999999996</v>
      </c>
      <c r="Y4019">
        <v>-0.26574379999999997</v>
      </c>
      <c r="Z4019">
        <v>-7.129921E-3</v>
      </c>
      <c r="AA4019">
        <v>0.96401729999999997</v>
      </c>
      <c r="AB4019">
        <v>40</v>
      </c>
      <c r="AC4019">
        <v>-45.151699999999998</v>
      </c>
      <c r="AD4019">
        <v>4.7375339999999904</v>
      </c>
      <c r="AE4019">
        <v>-20.976699999999902</v>
      </c>
      <c r="AF4019">
        <v>-13.215650789676801</v>
      </c>
      <c r="AG4019">
        <v>4.7375339999999904</v>
      </c>
      <c r="AH4019">
        <v>47.536917042121999</v>
      </c>
      <c r="AI4019">
        <v>84.5153543593308</v>
      </c>
      <c r="AJ4019">
        <v>105.53636458878999</v>
      </c>
      <c r="AK4019">
        <v>49.566683730762399</v>
      </c>
      <c r="AL4019">
        <v>77.949098210245197</v>
      </c>
      <c r="AM4019">
        <v>87.018249082147705</v>
      </c>
      <c r="AN4019">
        <v>1.0000000061002901</v>
      </c>
    </row>
    <row r="4020" spans="1:40" x14ac:dyDescent="0.25">
      <c r="A4020" t="str">
        <f>"20190303171057841"</f>
        <v>20190303171057841</v>
      </c>
      <c r="B4020" t="str">
        <f>"1551604257834765"</f>
        <v>1551604257834765</v>
      </c>
      <c r="C4020" t="s">
        <v>40</v>
      </c>
      <c r="D4020">
        <v>5.24268</v>
      </c>
      <c r="E4020">
        <v>0.3744712</v>
      </c>
      <c r="F4020" t="s">
        <v>69</v>
      </c>
      <c r="G4020">
        <v>-441.803</v>
      </c>
      <c r="H4020">
        <v>5.7731700000000004</v>
      </c>
      <c r="I4020">
        <v>119.8177</v>
      </c>
      <c r="J4020">
        <v>-397.69659999999999</v>
      </c>
      <c r="K4020">
        <v>1.129049</v>
      </c>
      <c r="L4020">
        <v>140.72299999999899</v>
      </c>
      <c r="M4020">
        <v>-0.98519710000000005</v>
      </c>
      <c r="N4020">
        <v>-1.469231E-2</v>
      </c>
      <c r="O4020">
        <v>-0.17079430000000001</v>
      </c>
      <c r="P4020">
        <v>-0.97430439999999996</v>
      </c>
      <c r="Q4020">
        <v>0.19332779999999999</v>
      </c>
      <c r="R4020">
        <v>-0.115564899999999</v>
      </c>
      <c r="S4020">
        <v>-2.869904</v>
      </c>
      <c r="T4020">
        <v>0.29952220000000002</v>
      </c>
      <c r="U4020">
        <v>-1.3528439999999999</v>
      </c>
      <c r="V4020">
        <v>4.8428659999999998E-2</v>
      </c>
      <c r="W4020">
        <v>0.20870269999999999</v>
      </c>
      <c r="X4020">
        <v>0.97677930000000002</v>
      </c>
      <c r="Y4020">
        <v>-0.26561770000000001</v>
      </c>
      <c r="Z4020">
        <v>-8.0006219999999902E-3</v>
      </c>
      <c r="AA4020">
        <v>0.96404520000000005</v>
      </c>
      <c r="AB4020">
        <v>40</v>
      </c>
      <c r="AC4020">
        <v>-44.106400000000001</v>
      </c>
      <c r="AD4020">
        <v>4.6441209999999904</v>
      </c>
      <c r="AE4020">
        <v>-20.905299999999901</v>
      </c>
      <c r="AF4020">
        <v>-12.946921955773</v>
      </c>
      <c r="AG4020">
        <v>4.6441209999999904</v>
      </c>
      <c r="AH4020">
        <v>46.607149126133201</v>
      </c>
      <c r="AI4020">
        <v>84.515928075090201</v>
      </c>
      <c r="AJ4020">
        <v>105.52467209423401</v>
      </c>
      <c r="AK4020">
        <v>48.594413235032903</v>
      </c>
      <c r="AL4020">
        <v>77.953661728080903</v>
      </c>
      <c r="AM4020">
        <v>87.161602868086902</v>
      </c>
      <c r="AN4020">
        <v>0.99999997650258698</v>
      </c>
    </row>
    <row r="4021" spans="1:40" x14ac:dyDescent="0.25">
      <c r="A4021" t="str">
        <f>"20190303171057864"</f>
        <v>20190303171057864</v>
      </c>
      <c r="B4021" t="str">
        <f>"1551604257855261"</f>
        <v>1551604257855261</v>
      </c>
      <c r="C4021" t="s">
        <v>40</v>
      </c>
      <c r="D4021">
        <v>5.2404950000000001</v>
      </c>
      <c r="E4021">
        <v>0.3751371</v>
      </c>
      <c r="F4021" t="s">
        <v>69</v>
      </c>
      <c r="G4021">
        <v>-441.04180000000002</v>
      </c>
      <c r="H4021">
        <v>5.4457079999999998</v>
      </c>
      <c r="I4021">
        <v>119.8177</v>
      </c>
      <c r="J4021">
        <v>-398.08640000000003</v>
      </c>
      <c r="K4021">
        <v>1.129148</v>
      </c>
      <c r="L4021">
        <v>140.6491</v>
      </c>
      <c r="M4021">
        <v>-0.9838112</v>
      </c>
      <c r="N4021">
        <v>-1.4703799999999901E-2</v>
      </c>
      <c r="O4021">
        <v>-0.17860429999999999</v>
      </c>
      <c r="P4021">
        <v>-0.97310180000000002</v>
      </c>
      <c r="Q4021">
        <v>0.19328770000000001</v>
      </c>
      <c r="R4021">
        <v>-0.12535109999999999</v>
      </c>
      <c r="S4021">
        <v>-2.85907</v>
      </c>
      <c r="T4021">
        <v>0.28473009999999999</v>
      </c>
      <c r="U4021">
        <v>-1.378922</v>
      </c>
      <c r="V4021">
        <v>4.6304680000000001E-2</v>
      </c>
      <c r="W4021">
        <v>0.2086459</v>
      </c>
      <c r="X4021">
        <v>0.97689440000000005</v>
      </c>
      <c r="Y4021">
        <v>-0.2665941</v>
      </c>
      <c r="Z4021">
        <v>-8.6185889999999994E-3</v>
      </c>
      <c r="AA4021">
        <v>0.96377040000000003</v>
      </c>
      <c r="AB4021">
        <v>40</v>
      </c>
      <c r="AC4021">
        <v>-42.955399999999997</v>
      </c>
      <c r="AD4021">
        <v>4.31656</v>
      </c>
      <c r="AE4021">
        <v>-20.831399999999999</v>
      </c>
      <c r="AF4021">
        <v>-12.719543179636499</v>
      </c>
      <c r="AG4021">
        <v>4.31656</v>
      </c>
      <c r="AH4021">
        <v>45.6126464330139</v>
      </c>
      <c r="AI4021">
        <v>84.7914733006143</v>
      </c>
      <c r="AJ4021">
        <v>105.58166063074</v>
      </c>
      <c r="AK4021">
        <v>47.549269011787899</v>
      </c>
      <c r="AL4021">
        <v>77.956989085020098</v>
      </c>
      <c r="AM4021">
        <v>87.286217949484495</v>
      </c>
      <c r="AN4021">
        <v>0.99999995186403501</v>
      </c>
    </row>
    <row r="4022" spans="1:40" x14ac:dyDescent="0.25">
      <c r="A4022" t="str">
        <f>"20190303171057885"</f>
        <v>20190303171057885</v>
      </c>
      <c r="B4022" t="str">
        <f>"1551604257874780"</f>
        <v>1551604257874780</v>
      </c>
      <c r="C4022" t="s">
        <v>40</v>
      </c>
      <c r="D4022">
        <v>5.2446979999999996</v>
      </c>
      <c r="E4022">
        <v>0.3759633</v>
      </c>
      <c r="F4022" t="s">
        <v>69</v>
      </c>
      <c r="G4022">
        <v>-440.3553</v>
      </c>
      <c r="H4022">
        <v>5.1476410000000001</v>
      </c>
      <c r="I4022">
        <v>119.8177</v>
      </c>
      <c r="J4022">
        <v>-398.46179999999998</v>
      </c>
      <c r="K4022">
        <v>1.1292310000000001</v>
      </c>
      <c r="L4022">
        <v>140.57480000000001</v>
      </c>
      <c r="M4022">
        <v>-0.98240070000000002</v>
      </c>
      <c r="N4022">
        <v>-1.4713759999999999E-2</v>
      </c>
      <c r="O4022">
        <v>-0.1862046</v>
      </c>
      <c r="P4022">
        <v>-0.97194709999999995</v>
      </c>
      <c r="Q4022">
        <v>0.1930366</v>
      </c>
      <c r="R4022">
        <v>-0.13437170000000001</v>
      </c>
      <c r="S4022">
        <v>-2.8483580000000002</v>
      </c>
      <c r="T4022">
        <v>0.27079309999999901</v>
      </c>
      <c r="U4022">
        <v>-1.403748</v>
      </c>
      <c r="V4022">
        <v>4.4760069999999999E-2</v>
      </c>
      <c r="W4022">
        <v>0.2083856</v>
      </c>
      <c r="X4022">
        <v>0.97702199999999995</v>
      </c>
      <c r="Y4022">
        <v>-0.26738970000000001</v>
      </c>
      <c r="Z4022">
        <v>-9.1666830000000001E-3</v>
      </c>
      <c r="AA4022">
        <v>0.96354479999999998</v>
      </c>
      <c r="AB4022">
        <v>40</v>
      </c>
      <c r="AC4022">
        <v>-41.893500000000003</v>
      </c>
      <c r="AD4022">
        <v>4.0184100000000003</v>
      </c>
      <c r="AE4022">
        <v>-20.757100000000001</v>
      </c>
      <c r="AF4022">
        <v>-12.500052607970099</v>
      </c>
      <c r="AG4022">
        <v>4.0184100000000003</v>
      </c>
      <c r="AH4022">
        <v>44.6959768796875</v>
      </c>
      <c r="AI4022">
        <v>85.051493588800199</v>
      </c>
      <c r="AJ4022">
        <v>105.624627231742</v>
      </c>
      <c r="AK4022">
        <v>46.584646433773401</v>
      </c>
      <c r="AL4022">
        <v>77.972239024216094</v>
      </c>
      <c r="AM4022">
        <v>87.376956524992707</v>
      </c>
      <c r="AN4022">
        <v>1.00000000531888</v>
      </c>
    </row>
    <row r="4023" spans="1:40" x14ac:dyDescent="0.25">
      <c r="A4023" t="str">
        <f>"20190303171057908"</f>
        <v>20190303171057908</v>
      </c>
      <c r="B4023" t="str">
        <f>"1551604257895277"</f>
        <v>1551604257895277</v>
      </c>
      <c r="C4023" t="s">
        <v>40</v>
      </c>
      <c r="D4023">
        <v>5.2413119999999997</v>
      </c>
      <c r="E4023">
        <v>0.37644319999999998</v>
      </c>
      <c r="F4023" t="s">
        <v>69</v>
      </c>
      <c r="G4023">
        <v>-440.20710000000003</v>
      </c>
      <c r="H4023">
        <v>4.910679</v>
      </c>
      <c r="I4023">
        <v>119.6199</v>
      </c>
      <c r="J4023">
        <v>-398.84789999999998</v>
      </c>
      <c r="K4023">
        <v>1.1293089999999999</v>
      </c>
      <c r="L4023">
        <v>140.49520000000001</v>
      </c>
      <c r="M4023">
        <v>-0.98087150000000001</v>
      </c>
      <c r="N4023">
        <v>-1.472325E-2</v>
      </c>
      <c r="O4023">
        <v>-0.19409960000000001</v>
      </c>
      <c r="P4023">
        <v>-0.97079559999999998</v>
      </c>
      <c r="Q4023">
        <v>0.19260089999999999</v>
      </c>
      <c r="R4023">
        <v>-0.14304359999999999</v>
      </c>
      <c r="S4023">
        <v>-2.8385009999999999</v>
      </c>
      <c r="T4023">
        <v>0.25712309999999999</v>
      </c>
      <c r="U4023">
        <v>-1.4248350000000001</v>
      </c>
      <c r="V4023">
        <v>4.3874469999999999E-2</v>
      </c>
      <c r="W4023">
        <v>0.20795330000000001</v>
      </c>
      <c r="X4023">
        <v>0.97715430000000003</v>
      </c>
      <c r="Y4023">
        <v>-0.26674540000000002</v>
      </c>
      <c r="Z4023">
        <v>-9.7346169999999992E-3</v>
      </c>
      <c r="AA4023">
        <v>0.96371790000000002</v>
      </c>
      <c r="AB4023">
        <v>40</v>
      </c>
      <c r="AC4023">
        <v>-41.359200000000001</v>
      </c>
      <c r="AD4023">
        <v>3.7813699999999999</v>
      </c>
      <c r="AE4023">
        <v>-20.875299999999999</v>
      </c>
      <c r="AF4023">
        <v>-12.36714188392</v>
      </c>
      <c r="AG4023">
        <v>3.7813699999999999</v>
      </c>
      <c r="AH4023">
        <v>44.329460968984598</v>
      </c>
      <c r="AI4023">
        <v>85.302902980593302</v>
      </c>
      <c r="AJ4023">
        <v>105.58816969543901</v>
      </c>
      <c r="AK4023">
        <v>46.177332829588998</v>
      </c>
      <c r="AL4023">
        <v>77.997563124781195</v>
      </c>
      <c r="AM4023">
        <v>87.429132037286607</v>
      </c>
      <c r="AN4023">
        <v>1.00000003505357</v>
      </c>
    </row>
    <row r="4024" spans="1:40" x14ac:dyDescent="0.25">
      <c r="A4024" t="str">
        <f>"20190303171057932"</f>
        <v>20190303171057932</v>
      </c>
      <c r="B4024" t="str">
        <f>"1551604257924557"</f>
        <v>1551604257924557</v>
      </c>
      <c r="C4024" t="s">
        <v>40</v>
      </c>
      <c r="D4024">
        <v>5.1223839999999896</v>
      </c>
      <c r="E4024">
        <v>0.3753165</v>
      </c>
      <c r="F4024" t="s">
        <v>69</v>
      </c>
      <c r="G4024">
        <v>-440.20710000000003</v>
      </c>
      <c r="H4024">
        <v>4.7121680000000001</v>
      </c>
      <c r="I4024">
        <v>119.3394</v>
      </c>
      <c r="J4024">
        <v>-399.2577</v>
      </c>
      <c r="K4024">
        <v>1.1293930000000001</v>
      </c>
      <c r="L4024">
        <v>140.40719999999999</v>
      </c>
      <c r="M4024">
        <v>-0.97915850000000004</v>
      </c>
      <c r="N4024">
        <v>-1.473328E-2</v>
      </c>
      <c r="O4024">
        <v>-0.2025632</v>
      </c>
      <c r="P4024">
        <v>-0.96956430000000005</v>
      </c>
      <c r="Q4024">
        <v>0.1915144</v>
      </c>
      <c r="R4024">
        <v>-0.15253620000000001</v>
      </c>
      <c r="S4024">
        <v>-2.8284609999999999</v>
      </c>
      <c r="T4024">
        <v>0.24502460000000001</v>
      </c>
      <c r="U4024">
        <v>-1.446793</v>
      </c>
      <c r="V4024">
        <v>4.2769380000000003E-2</v>
      </c>
      <c r="W4024">
        <v>0.2068682</v>
      </c>
      <c r="X4024">
        <v>0.97743349999999996</v>
      </c>
      <c r="Y4024">
        <v>-0.26578079999999998</v>
      </c>
      <c r="Z4024">
        <v>-1.032772E-2</v>
      </c>
      <c r="AA4024">
        <v>0.96397820000000001</v>
      </c>
      <c r="AB4024">
        <v>40</v>
      </c>
      <c r="AC4024">
        <v>-40.949399999999997</v>
      </c>
      <c r="AD4024">
        <v>3.5827749999999998</v>
      </c>
      <c r="AE4024">
        <v>-21.067799999999899</v>
      </c>
      <c r="AF4024">
        <v>-12.260997272229799</v>
      </c>
      <c r="AG4024">
        <v>3.5827749999999998</v>
      </c>
      <c r="AH4024">
        <v>44.1013851281241</v>
      </c>
      <c r="AI4024">
        <v>85.524534254608795</v>
      </c>
      <c r="AJ4024">
        <v>105.536910152449</v>
      </c>
      <c r="AK4024">
        <v>45.914055593351598</v>
      </c>
      <c r="AL4024">
        <v>78.061115903036594</v>
      </c>
      <c r="AM4024">
        <v>87.494517222880603</v>
      </c>
      <c r="AN4024">
        <v>0.99999995947953602</v>
      </c>
    </row>
    <row r="4025" spans="1:40" x14ac:dyDescent="0.25">
      <c r="A4025" t="str">
        <f>"20190303171057953"</f>
        <v>20190303171057953</v>
      </c>
      <c r="B4025" t="str">
        <f>"1551604257945053"</f>
        <v>1551604257945053</v>
      </c>
      <c r="C4025" t="s">
        <v>40</v>
      </c>
      <c r="D4025">
        <v>4.9785810000000001</v>
      </c>
      <c r="E4025">
        <v>0.31683260000000002</v>
      </c>
      <c r="F4025" t="s">
        <v>69</v>
      </c>
      <c r="G4025">
        <v>-440.20710000000003</v>
      </c>
      <c r="H4025">
        <v>4.5394809999999897</v>
      </c>
      <c r="I4025">
        <v>118.8188</v>
      </c>
      <c r="J4025">
        <v>-399.64370000000002</v>
      </c>
      <c r="K4025">
        <v>1.129464</v>
      </c>
      <c r="L4025">
        <v>140.32079999999999</v>
      </c>
      <c r="M4025">
        <v>-0.97745780000000004</v>
      </c>
      <c r="N4025">
        <v>-1.47431E-2</v>
      </c>
      <c r="O4025">
        <v>-0.2106162</v>
      </c>
      <c r="P4025">
        <v>-0.96814869999999997</v>
      </c>
      <c r="Q4025">
        <v>0.19106770000000001</v>
      </c>
      <c r="R4025">
        <v>-0.1618067</v>
      </c>
      <c r="S4025">
        <v>-2.8144840000000002</v>
      </c>
      <c r="T4025">
        <v>0.23437910000000001</v>
      </c>
      <c r="U4025">
        <v>-1.4837800000000001</v>
      </c>
      <c r="V4025">
        <v>4.1445580000000003E-2</v>
      </c>
      <c r="W4025">
        <v>0.20641480000000001</v>
      </c>
      <c r="X4025">
        <v>0.97758639999999997</v>
      </c>
      <c r="Y4025">
        <v>-0.26976999999999901</v>
      </c>
      <c r="Z4025">
        <v>-1.069323E-2</v>
      </c>
      <c r="AA4025">
        <v>0.96286539999999998</v>
      </c>
      <c r="AB4025">
        <v>40</v>
      </c>
      <c r="AC4025">
        <v>-40.563400000000001</v>
      </c>
      <c r="AD4025">
        <v>3.4100169999999901</v>
      </c>
      <c r="AE4025">
        <v>-21.501999999999899</v>
      </c>
      <c r="AF4025">
        <v>-12.4068942889201</v>
      </c>
      <c r="AG4025">
        <v>3.4100169999999901</v>
      </c>
      <c r="AH4025">
        <v>43.940061636761001</v>
      </c>
      <c r="AI4025">
        <v>85.728740048993004</v>
      </c>
      <c r="AJ4025">
        <v>105.767531137207</v>
      </c>
      <c r="AK4025">
        <v>45.785240618337703</v>
      </c>
      <c r="AL4025">
        <v>78.0876672076093</v>
      </c>
      <c r="AM4025">
        <v>87.572352065045706</v>
      </c>
      <c r="AN4025">
        <v>0.99999998761276798</v>
      </c>
    </row>
    <row r="4026" spans="1:40" x14ac:dyDescent="0.25">
      <c r="A4026" t="str">
        <f>"20190303171057975"</f>
        <v>20190303171057975</v>
      </c>
      <c r="B4026" t="str">
        <f>"1551604257964573"</f>
        <v>1551604257964573</v>
      </c>
      <c r="C4026" t="s">
        <v>40</v>
      </c>
      <c r="D4026">
        <v>5.2420669999999996</v>
      </c>
      <c r="E4026">
        <v>0.32969399999999999</v>
      </c>
      <c r="F4026" t="s">
        <v>69</v>
      </c>
      <c r="G4026">
        <v>-439.84660000000002</v>
      </c>
      <c r="H4026">
        <v>6.4322160000000004</v>
      </c>
      <c r="I4026">
        <v>111.18640000000001</v>
      </c>
      <c r="J4026">
        <v>-400.00380000000001</v>
      </c>
      <c r="K4026">
        <v>1.129532</v>
      </c>
      <c r="L4026">
        <v>140.2372</v>
      </c>
      <c r="M4026">
        <v>-0.97579249999999995</v>
      </c>
      <c r="N4026">
        <v>-1.4752309999999999E-2</v>
      </c>
      <c r="O4026">
        <v>-0.21820049999999999</v>
      </c>
      <c r="P4026">
        <v>-0.96667329999999996</v>
      </c>
      <c r="Q4026">
        <v>0.191106</v>
      </c>
      <c r="R4026">
        <v>-0.1703566</v>
      </c>
      <c r="S4026">
        <v>-2.7012330000000002</v>
      </c>
      <c r="T4026">
        <v>0.35629260000000001</v>
      </c>
      <c r="U4026">
        <v>-1.957535</v>
      </c>
      <c r="V4026">
        <v>4.0354660000000001E-2</v>
      </c>
      <c r="W4026">
        <v>0.20644789999999999</v>
      </c>
      <c r="X4026">
        <v>0.97762510000000002</v>
      </c>
      <c r="Y4026">
        <v>-0.39559119999999998</v>
      </c>
      <c r="Z4026">
        <v>-7.9909639999999997E-3</v>
      </c>
      <c r="AA4026">
        <v>0.91839190000000004</v>
      </c>
      <c r="AB4026">
        <v>40</v>
      </c>
      <c r="AC4026">
        <v>-39.842799999999997</v>
      </c>
      <c r="AD4026">
        <v>5.3026839999999904</v>
      </c>
      <c r="AE4026">
        <v>-29.050799999999899</v>
      </c>
      <c r="AF4026">
        <v>-19.431254748732901</v>
      </c>
      <c r="AG4026">
        <v>5.3026839999999904</v>
      </c>
      <c r="AH4026">
        <v>44.705120905287799</v>
      </c>
      <c r="AI4026">
        <v>83.791600332718204</v>
      </c>
      <c r="AJ4026">
        <v>113.492362895874</v>
      </c>
      <c r="AK4026">
        <v>49.0330496081002</v>
      </c>
      <c r="AL4026">
        <v>78.085729543505593</v>
      </c>
      <c r="AM4026">
        <v>87.636272000627699</v>
      </c>
      <c r="AN4026">
        <v>1.0000000350740601</v>
      </c>
    </row>
    <row r="4027" spans="1:40" x14ac:dyDescent="0.25">
      <c r="A4027" t="str">
        <f>"20190303171057997"</f>
        <v>20190303171057997</v>
      </c>
      <c r="B4027" t="str">
        <f>"1551604257994823"</f>
        <v>1551604257994823</v>
      </c>
      <c r="C4027" t="s">
        <v>40</v>
      </c>
      <c r="D4027">
        <v>5.2065109999999999</v>
      </c>
      <c r="E4027">
        <v>0.33614159999999998</v>
      </c>
      <c r="F4027" t="s">
        <v>69</v>
      </c>
      <c r="G4027">
        <v>-440.75</v>
      </c>
      <c r="H4027">
        <v>5.3381749999999997</v>
      </c>
      <c r="I4027">
        <v>111.89060000000001</v>
      </c>
      <c r="J4027">
        <v>-400.38479999999998</v>
      </c>
      <c r="K4027">
        <v>1.1296079999999999</v>
      </c>
      <c r="L4027">
        <v>140.1454</v>
      </c>
      <c r="M4027">
        <v>-0.97394689999999995</v>
      </c>
      <c r="N4027">
        <v>-1.4761959999999999E-2</v>
      </c>
      <c r="O4027">
        <v>-0.226296</v>
      </c>
      <c r="P4027">
        <v>-0.96507390000000004</v>
      </c>
      <c r="Q4027">
        <v>0.1905085</v>
      </c>
      <c r="R4027">
        <v>-0.179831399999999</v>
      </c>
      <c r="S4027">
        <v>-2.7150880000000002</v>
      </c>
      <c r="T4027">
        <v>0.28044029999999998</v>
      </c>
      <c r="U4027">
        <v>-1.8888400000000001</v>
      </c>
      <c r="V4027">
        <v>3.8879459999999998E-2</v>
      </c>
      <c r="W4027">
        <v>0.20583950000000001</v>
      </c>
      <c r="X4027">
        <v>0.97781309999999999</v>
      </c>
      <c r="Y4027">
        <v>-0.37046299999999999</v>
      </c>
      <c r="Z4027">
        <v>-9.4180389999999996E-3</v>
      </c>
      <c r="AA4027">
        <v>0.9287995</v>
      </c>
      <c r="AB4027">
        <v>40</v>
      </c>
      <c r="AC4027">
        <v>-40.365200000000002</v>
      </c>
      <c r="AD4027">
        <v>4.2085670000000004</v>
      </c>
      <c r="AE4027">
        <v>-28.2547999999999</v>
      </c>
      <c r="AF4027">
        <v>-18.2530202145442</v>
      </c>
      <c r="AG4027">
        <v>4.2085670000000004</v>
      </c>
      <c r="AH4027">
        <v>45.3813861757436</v>
      </c>
      <c r="AI4027">
        <v>85.082439627410196</v>
      </c>
      <c r="AJ4027">
        <v>111.910672445662</v>
      </c>
      <c r="AK4027">
        <v>49.095366322882498</v>
      </c>
      <c r="AL4027">
        <v>78.121352835440007</v>
      </c>
      <c r="AM4027">
        <v>87.723024852016394</v>
      </c>
      <c r="AN4027">
        <v>0.99999998535087498</v>
      </c>
    </row>
    <row r="4028" spans="1:40" x14ac:dyDescent="0.25">
      <c r="A4028" t="str">
        <f>"20190303171058020"</f>
        <v>20190303171058020</v>
      </c>
      <c r="B4028" t="str">
        <f>"1551604258015319"</f>
        <v>1551604258015319</v>
      </c>
      <c r="C4028" t="s">
        <v>40</v>
      </c>
      <c r="D4028">
        <v>5.1671630000000004</v>
      </c>
      <c r="E4028">
        <v>0.33869559999999999</v>
      </c>
      <c r="F4028" t="s">
        <v>69</v>
      </c>
      <c r="G4028">
        <v>-440.75</v>
      </c>
      <c r="H4028">
        <v>4.7230109999999996</v>
      </c>
      <c r="I4028">
        <v>112.33710000000001</v>
      </c>
      <c r="J4028">
        <v>-400.76569999999998</v>
      </c>
      <c r="K4028">
        <v>1.1296759999999999</v>
      </c>
      <c r="L4028">
        <v>140.05000000000001</v>
      </c>
      <c r="M4028">
        <v>-0.97201219999999999</v>
      </c>
      <c r="N4028">
        <v>-1.4771569999999999E-2</v>
      </c>
      <c r="O4028">
        <v>-0.2344656</v>
      </c>
      <c r="P4028">
        <v>-0.96346050000000005</v>
      </c>
      <c r="Q4028">
        <v>0.1895347</v>
      </c>
      <c r="R4028">
        <v>-0.1892633</v>
      </c>
      <c r="S4028">
        <v>-2.7126769999999998</v>
      </c>
      <c r="T4028">
        <v>0.2414896</v>
      </c>
      <c r="U4028">
        <v>-1.868805</v>
      </c>
      <c r="V4028">
        <v>3.7550069999999998E-2</v>
      </c>
      <c r="W4028">
        <v>0.2048576</v>
      </c>
      <c r="X4028">
        <v>0.97807120000000003</v>
      </c>
      <c r="Y4028">
        <v>-0.3585004</v>
      </c>
      <c r="Z4028">
        <v>-1.009256E-2</v>
      </c>
      <c r="AA4028">
        <v>0.93347500000000005</v>
      </c>
      <c r="AB4028">
        <v>40</v>
      </c>
      <c r="AC4028">
        <v>-39.984299999999998</v>
      </c>
      <c r="AD4028">
        <v>3.5933350000000002</v>
      </c>
      <c r="AE4028">
        <v>-27.712900000000001</v>
      </c>
      <c r="AF4028">
        <v>-17.468946335648699</v>
      </c>
      <c r="AG4028">
        <v>3.5933350000000002</v>
      </c>
      <c r="AH4028">
        <v>45.121731754529101</v>
      </c>
      <c r="AI4028">
        <v>85.752722727490493</v>
      </c>
      <c r="AJ4028">
        <v>111.16398693424701</v>
      </c>
      <c r="AK4028">
        <v>48.518520371376603</v>
      </c>
      <c r="AL4028">
        <v>78.178836280822395</v>
      </c>
      <c r="AM4028">
        <v>87.801382535169694</v>
      </c>
      <c r="AN4028">
        <v>0.99999995815210097</v>
      </c>
    </row>
    <row r="4029" spans="1:40" x14ac:dyDescent="0.25">
      <c r="A4029" t="str">
        <f>"20190303171058042"</f>
        <v>20190303171058042</v>
      </c>
      <c r="B4029" t="str">
        <f>"1551604258034839"</f>
        <v>1551604258034839</v>
      </c>
      <c r="C4029" t="s">
        <v>40</v>
      </c>
      <c r="D4029">
        <v>5.1565969999999997</v>
      </c>
      <c r="E4029">
        <v>0.34056740000000002</v>
      </c>
      <c r="F4029" t="s">
        <v>69</v>
      </c>
      <c r="G4029">
        <v>-440.75</v>
      </c>
      <c r="H4029">
        <v>4.4722089999999897</v>
      </c>
      <c r="I4029">
        <v>112.2634</v>
      </c>
      <c r="J4029">
        <v>-401.15839999999997</v>
      </c>
      <c r="K4029">
        <v>1.1297360000000001</v>
      </c>
      <c r="L4029">
        <v>139.94810000000001</v>
      </c>
      <c r="M4029">
        <v>-0.96992590000000001</v>
      </c>
      <c r="N4029">
        <v>-1.478061E-2</v>
      </c>
      <c r="O4029">
        <v>-0.242951</v>
      </c>
      <c r="P4029">
        <v>-0.96171329999999999</v>
      </c>
      <c r="Q4029">
        <v>0.18850310000000001</v>
      </c>
      <c r="R4029">
        <v>-0.1989329</v>
      </c>
      <c r="S4029">
        <v>-2.7007140000000001</v>
      </c>
      <c r="T4029">
        <v>0.22576979999999999</v>
      </c>
      <c r="U4029">
        <v>-1.876816</v>
      </c>
      <c r="V4029">
        <v>3.6306249999999998E-2</v>
      </c>
      <c r="W4029">
        <v>0.2038181</v>
      </c>
      <c r="X4029">
        <v>0.97833530000000002</v>
      </c>
      <c r="Y4029">
        <v>-0.35418460000000002</v>
      </c>
      <c r="Z4029">
        <v>-1.0697069999999999E-2</v>
      </c>
      <c r="AA4029">
        <v>0.93511440000000001</v>
      </c>
      <c r="AB4029">
        <v>40</v>
      </c>
      <c r="AC4029">
        <v>-39.5916</v>
      </c>
      <c r="AD4029">
        <v>3.3424729999999898</v>
      </c>
      <c r="AE4029">
        <v>-27.684699999999999</v>
      </c>
      <c r="AF4029">
        <v>-17.153063778665398</v>
      </c>
      <c r="AG4029">
        <v>3.3424729999999898</v>
      </c>
      <c r="AH4029">
        <v>44.916867376821301</v>
      </c>
      <c r="AI4029">
        <v>86.023310214088298</v>
      </c>
      <c r="AJ4029">
        <v>110.90109099545001</v>
      </c>
      <c r="AK4029">
        <v>48.196729118246701</v>
      </c>
      <c r="AL4029">
        <v>78.239679032408702</v>
      </c>
      <c r="AM4029">
        <v>87.874715594577395</v>
      </c>
      <c r="AN4029">
        <v>0.99999996045137995</v>
      </c>
    </row>
    <row r="4030" spans="1:40" x14ac:dyDescent="0.25">
      <c r="A4030" t="str">
        <f>"20190303171058064"</f>
        <v>20190303171058064</v>
      </c>
      <c r="B4030" t="str">
        <f>"1551604258054359"</f>
        <v>1551604258054359</v>
      </c>
      <c r="C4030" t="s">
        <v>40</v>
      </c>
      <c r="D4030">
        <v>5.1468220000000002</v>
      </c>
      <c r="E4030">
        <v>0.34211599999999998</v>
      </c>
      <c r="F4030" t="s">
        <v>69</v>
      </c>
      <c r="G4030">
        <v>-440.75</v>
      </c>
      <c r="H4030">
        <v>4.2702070000000001</v>
      </c>
      <c r="I4030">
        <v>112.0909</v>
      </c>
      <c r="J4030">
        <v>-401.52640000000002</v>
      </c>
      <c r="K4030">
        <v>1.1297889999999999</v>
      </c>
      <c r="L4030">
        <v>139.8492</v>
      </c>
      <c r="M4030">
        <v>-0.96788490000000005</v>
      </c>
      <c r="N4030">
        <v>-1.4787939999999999E-2</v>
      </c>
      <c r="O4030">
        <v>-0.25095840000000003</v>
      </c>
      <c r="P4030">
        <v>-0.95993130000000004</v>
      </c>
      <c r="Q4030">
        <v>0.18814420000000001</v>
      </c>
      <c r="R4030">
        <v>-0.2076868</v>
      </c>
      <c r="S4030">
        <v>-2.6866759999999998</v>
      </c>
      <c r="T4030">
        <v>0.21311240000000001</v>
      </c>
      <c r="U4030">
        <v>-1.890366</v>
      </c>
      <c r="V4030">
        <v>3.5473159999999997E-2</v>
      </c>
      <c r="W4030">
        <v>0.20345530000000001</v>
      </c>
      <c r="X4030">
        <v>0.97844140000000002</v>
      </c>
      <c r="Y4030">
        <v>-0.35193439999999998</v>
      </c>
      <c r="Z4030">
        <v>-1.117023E-2</v>
      </c>
      <c r="AA4030">
        <v>0.93595799999999996</v>
      </c>
      <c r="AB4030">
        <v>40</v>
      </c>
      <c r="AC4030">
        <v>-39.223599999999898</v>
      </c>
      <c r="AD4030">
        <v>3.1404179999999999</v>
      </c>
      <c r="AE4030">
        <v>-27.758299999999899</v>
      </c>
      <c r="AF4030">
        <v>-16.952800802862001</v>
      </c>
      <c r="AG4030">
        <v>3.1404179999999999</v>
      </c>
      <c r="AH4030">
        <v>44.743913157763402</v>
      </c>
      <c r="AI4030">
        <v>86.244866701248</v>
      </c>
      <c r="AJ4030">
        <v>110.75095017922899</v>
      </c>
      <c r="AK4030">
        <v>47.950781484202302</v>
      </c>
      <c r="AL4030">
        <v>78.260911158427604</v>
      </c>
      <c r="AM4030">
        <v>87.923664553796002</v>
      </c>
      <c r="AN4030">
        <v>0.99999998870621698</v>
      </c>
    </row>
    <row r="4031" spans="1:40" x14ac:dyDescent="0.25">
      <c r="A4031" t="str">
        <f>"20190303171058086"</f>
        <v>20190303171058086</v>
      </c>
      <c r="B4031" t="str">
        <f>"1551604258074855"</f>
        <v>1551604258074855</v>
      </c>
      <c r="C4031" t="s">
        <v>40</v>
      </c>
      <c r="D4031">
        <v>5.1294209999999998</v>
      </c>
      <c r="E4031">
        <v>0.34360859999999999</v>
      </c>
      <c r="F4031" t="s">
        <v>69</v>
      </c>
      <c r="G4031">
        <v>-440.75</v>
      </c>
      <c r="H4031">
        <v>4.133794</v>
      </c>
      <c r="I4031">
        <v>111.919</v>
      </c>
      <c r="J4031">
        <v>-401.899</v>
      </c>
      <c r="K4031">
        <v>1.1298360000000001</v>
      </c>
      <c r="L4031">
        <v>139.7458</v>
      </c>
      <c r="M4031">
        <v>-0.96573229999999999</v>
      </c>
      <c r="N4031">
        <v>-1.479461E-2</v>
      </c>
      <c r="O4031">
        <v>-0.25911820000000002</v>
      </c>
      <c r="P4031">
        <v>-0.95808349999999998</v>
      </c>
      <c r="Q4031">
        <v>0.18804190000000001</v>
      </c>
      <c r="R4031">
        <v>-0.21613969999999999</v>
      </c>
      <c r="S4031">
        <v>-2.6732480000000001</v>
      </c>
      <c r="T4031">
        <v>0.2047361</v>
      </c>
      <c r="U4031">
        <v>-1.9035489999999999</v>
      </c>
      <c r="V4031">
        <v>3.508762E-2</v>
      </c>
      <c r="W4031">
        <v>0.20335639999999999</v>
      </c>
      <c r="X4031">
        <v>0.97847589999999995</v>
      </c>
      <c r="Y4031">
        <v>-0.34933779999999998</v>
      </c>
      <c r="Z4031">
        <v>-1.1700729999999999E-2</v>
      </c>
      <c r="AA4031">
        <v>0.93692379999999997</v>
      </c>
      <c r="AB4031">
        <v>40</v>
      </c>
      <c r="AC4031">
        <v>-38.850999999999999</v>
      </c>
      <c r="AD4031">
        <v>3.0039579999999999</v>
      </c>
      <c r="AE4031">
        <v>-27.826799999999999</v>
      </c>
      <c r="AF4031">
        <v>-16.741925191193499</v>
      </c>
      <c r="AG4031">
        <v>3.0039579999999999</v>
      </c>
      <c r="AH4031">
        <v>44.558925250643398</v>
      </c>
      <c r="AI4031">
        <v>86.388969781602597</v>
      </c>
      <c r="AJ4031">
        <v>110.592480593001</v>
      </c>
      <c r="AK4031">
        <v>47.695006470968302</v>
      </c>
      <c r="AL4031">
        <v>78.266699154540206</v>
      </c>
      <c r="AM4031">
        <v>87.946284124114698</v>
      </c>
      <c r="AN4031">
        <v>1.0000000266895099</v>
      </c>
    </row>
    <row r="4032" spans="1:40" x14ac:dyDescent="0.25">
      <c r="A4032" t="str">
        <f>"20190303171058109"</f>
        <v>20190303171058109</v>
      </c>
      <c r="B4032" t="str">
        <f>"1551604258105112"</f>
        <v>1551604258105112</v>
      </c>
      <c r="C4032" t="s">
        <v>40</v>
      </c>
      <c r="D4032">
        <v>5.1611830000000003</v>
      </c>
      <c r="E4032">
        <v>0.34538200000000002</v>
      </c>
      <c r="F4032" t="s">
        <v>69</v>
      </c>
      <c r="G4032">
        <v>-440.75</v>
      </c>
      <c r="H4032">
        <v>4.0077910000000001</v>
      </c>
      <c r="I4032">
        <v>111.7594</v>
      </c>
      <c r="J4032">
        <v>-402.28289999999998</v>
      </c>
      <c r="K4032">
        <v>1.129877</v>
      </c>
      <c r="L4032">
        <v>139.63570000000001</v>
      </c>
      <c r="M4032">
        <v>-0.96342139999999998</v>
      </c>
      <c r="N4032">
        <v>-1.480124E-2</v>
      </c>
      <c r="O4032">
        <v>-0.2675824</v>
      </c>
      <c r="P4032">
        <v>-0.95606429999999998</v>
      </c>
      <c r="Q4032">
        <v>0.18744559999999999</v>
      </c>
      <c r="R4032">
        <v>-0.22540060000000001</v>
      </c>
      <c r="S4032">
        <v>-2.6602480000000002</v>
      </c>
      <c r="T4032">
        <v>0.19706319999999999</v>
      </c>
      <c r="U4032">
        <v>-1.9163060000000001</v>
      </c>
      <c r="V4032">
        <v>3.4222200000000001E-2</v>
      </c>
      <c r="W4032">
        <v>0.2027545</v>
      </c>
      <c r="X4032">
        <v>0.97863140000000004</v>
      </c>
      <c r="Y4032">
        <v>-0.3462616</v>
      </c>
      <c r="Z4032">
        <v>-1.223666E-2</v>
      </c>
      <c r="AA4032">
        <v>0.93805819999999995</v>
      </c>
      <c r="AB4032">
        <v>40</v>
      </c>
      <c r="AC4032">
        <v>-38.467100000000002</v>
      </c>
      <c r="AD4032">
        <v>2.8779140000000001</v>
      </c>
      <c r="AE4032">
        <v>-27.876300000000001</v>
      </c>
      <c r="AF4032">
        <v>-16.504746148675199</v>
      </c>
      <c r="AG4032">
        <v>2.8779140000000001</v>
      </c>
      <c r="AH4032">
        <v>44.361303008828898</v>
      </c>
      <c r="AI4032">
        <v>86.520555326384596</v>
      </c>
      <c r="AJ4032">
        <v>110.40785750015399</v>
      </c>
      <c r="AK4032">
        <v>47.419555449885301</v>
      </c>
      <c r="AL4032">
        <v>78.301918680674206</v>
      </c>
      <c r="AM4032">
        <v>87.997214320108199</v>
      </c>
      <c r="AN4032">
        <v>0.99999998165452497</v>
      </c>
    </row>
    <row r="4033" spans="1:40" x14ac:dyDescent="0.25">
      <c r="A4033" t="str">
        <f>"20190303171058132"</f>
        <v>20190303171058132</v>
      </c>
      <c r="B4033" t="str">
        <f>"1551604258124631"</f>
        <v>1551604258124631</v>
      </c>
      <c r="C4033" t="s">
        <v>40</v>
      </c>
      <c r="D4033">
        <v>5.1205270000000001</v>
      </c>
      <c r="E4033">
        <v>0.34637859999999998</v>
      </c>
      <c r="F4033" t="s">
        <v>69</v>
      </c>
      <c r="G4033">
        <v>-440.75</v>
      </c>
      <c r="H4033">
        <v>3.847566</v>
      </c>
      <c r="I4033">
        <v>111.59610000000001</v>
      </c>
      <c r="J4033">
        <v>-402.68360000000001</v>
      </c>
      <c r="K4033">
        <v>1.12992</v>
      </c>
      <c r="L4033">
        <v>139.51689999999999</v>
      </c>
      <c r="M4033">
        <v>-0.96090880000000001</v>
      </c>
      <c r="N4033">
        <v>-1.480806E-2</v>
      </c>
      <c r="O4033">
        <v>-0.27646949999999998</v>
      </c>
      <c r="P4033">
        <v>-0.95378090000000004</v>
      </c>
      <c r="Q4033">
        <v>0.1859962</v>
      </c>
      <c r="R4033">
        <v>-0.2360245</v>
      </c>
      <c r="S4033">
        <v>-2.646423</v>
      </c>
      <c r="T4033">
        <v>0.1869701</v>
      </c>
      <c r="U4033">
        <v>-1.9290309999999999</v>
      </c>
      <c r="V4033">
        <v>3.245265E-2</v>
      </c>
      <c r="W4033">
        <v>0.2012825</v>
      </c>
      <c r="X4033">
        <v>0.97899550000000002</v>
      </c>
      <c r="Y4033">
        <v>-0.34288570000000002</v>
      </c>
      <c r="Z4033">
        <v>-1.268562E-2</v>
      </c>
      <c r="AA4033">
        <v>0.93929149999999995</v>
      </c>
      <c r="AB4033">
        <v>40</v>
      </c>
      <c r="AC4033">
        <v>-38.066399999999902</v>
      </c>
      <c r="AD4033">
        <v>2.7176459999999998</v>
      </c>
      <c r="AE4033">
        <v>-27.9207999999999</v>
      </c>
      <c r="AF4033">
        <v>-16.2530664129165</v>
      </c>
      <c r="AG4033">
        <v>2.7176459999999998</v>
      </c>
      <c r="AH4033">
        <v>44.156105106888397</v>
      </c>
      <c r="AI4033">
        <v>86.694387449483699</v>
      </c>
      <c r="AJ4033">
        <v>110.207751723977</v>
      </c>
      <c r="AK4033">
        <v>47.130768992395701</v>
      </c>
      <c r="AL4033">
        <v>78.388033886836695</v>
      </c>
      <c r="AM4033">
        <v>88.101401630871194</v>
      </c>
      <c r="AN4033">
        <v>1.00000000415926</v>
      </c>
    </row>
    <row r="4034" spans="1:40" x14ac:dyDescent="0.25">
      <c r="A4034" t="str">
        <f>"20190303171058165"</f>
        <v>20190303171058165</v>
      </c>
      <c r="B4034" t="str">
        <f>"1551604258154887"</f>
        <v>1551604258154887</v>
      </c>
      <c r="C4034" t="s">
        <v>40</v>
      </c>
      <c r="D4034">
        <v>4.9877890000000003</v>
      </c>
      <c r="E4034">
        <v>0.34587309999999999</v>
      </c>
      <c r="F4034" t="s">
        <v>69</v>
      </c>
      <c r="G4034">
        <v>-440.75</v>
      </c>
      <c r="H4034">
        <v>3.7015389999999999</v>
      </c>
      <c r="I4034">
        <v>111.2497</v>
      </c>
      <c r="J4034">
        <v>-403.22559999999999</v>
      </c>
      <c r="K4034">
        <v>1.129972</v>
      </c>
      <c r="L4034">
        <v>139.3494</v>
      </c>
      <c r="M4034">
        <v>-0.95734180000000002</v>
      </c>
      <c r="N4034">
        <v>-1.4816620000000001E-2</v>
      </c>
      <c r="O4034">
        <v>-0.2885779</v>
      </c>
      <c r="P4034">
        <v>-0.95046310000000001</v>
      </c>
      <c r="Q4034">
        <v>0.18547540000000001</v>
      </c>
      <c r="R4034">
        <v>-0.24943760000000001</v>
      </c>
      <c r="S4034">
        <v>-2.6278380000000001</v>
      </c>
      <c r="T4034">
        <v>0.17752780000000001</v>
      </c>
      <c r="U4034">
        <v>-1.951355</v>
      </c>
      <c r="V4034">
        <v>3.1026359999999999E-2</v>
      </c>
      <c r="W4034">
        <v>0.2007458</v>
      </c>
      <c r="X4034">
        <v>0.97915189999999996</v>
      </c>
      <c r="Y4034">
        <v>-0.339364099999999</v>
      </c>
      <c r="Z4034">
        <v>-1.3319249999999999E-2</v>
      </c>
      <c r="AA4034">
        <v>0.94056079999999997</v>
      </c>
      <c r="AB4034">
        <v>40</v>
      </c>
      <c r="AC4034">
        <v>-37.5244</v>
      </c>
      <c r="AD4034">
        <v>2.5715669999999999</v>
      </c>
      <c r="AE4034">
        <v>-28.099699999999999</v>
      </c>
      <c r="AF4034">
        <v>-16.025845928303202</v>
      </c>
      <c r="AG4034">
        <v>2.5715669999999999</v>
      </c>
      <c r="AH4034">
        <v>43.905347533362203</v>
      </c>
      <c r="AI4034">
        <v>86.850757752929198</v>
      </c>
      <c r="AJ4034">
        <v>110.05253595257599</v>
      </c>
      <c r="AK4034">
        <v>46.809403292271497</v>
      </c>
      <c r="AL4034">
        <v>78.419424966664806</v>
      </c>
      <c r="AM4034">
        <v>88.1850774413262</v>
      </c>
      <c r="AN4034">
        <v>0.99999997725304901</v>
      </c>
    </row>
    <row r="4035" spans="1:40" x14ac:dyDescent="0.25">
      <c r="A4035" t="str">
        <f>"20190303171058187"</f>
        <v>20190303171058187</v>
      </c>
      <c r="B4035" t="str">
        <f>"1551604258174409"</f>
        <v>1551604258174409</v>
      </c>
      <c r="C4035" t="s">
        <v>40</v>
      </c>
      <c r="D4035">
        <v>4.9947569999999999</v>
      </c>
      <c r="E4035">
        <v>0.3457886</v>
      </c>
      <c r="F4035" t="s">
        <v>69</v>
      </c>
      <c r="G4035">
        <v>-440.75</v>
      </c>
      <c r="H4035">
        <v>3.7872819999999998</v>
      </c>
      <c r="I4035">
        <v>110.5928</v>
      </c>
      <c r="J4035">
        <v>-403.59350000000001</v>
      </c>
      <c r="K4035">
        <v>1.130017</v>
      </c>
      <c r="L4035">
        <v>139.23140000000001</v>
      </c>
      <c r="M4035">
        <v>-0.95481039999999995</v>
      </c>
      <c r="N4035">
        <v>-1.482165E-2</v>
      </c>
      <c r="O4035">
        <v>-0.2968459</v>
      </c>
      <c r="P4035">
        <v>-0.94786000000000004</v>
      </c>
      <c r="Q4035">
        <v>0.1860638</v>
      </c>
      <c r="R4035">
        <v>-0.2587315</v>
      </c>
      <c r="S4035">
        <v>-2.5979610000000002</v>
      </c>
      <c r="T4035">
        <v>0.1839769</v>
      </c>
      <c r="U4035">
        <v>-1.9909209999999999</v>
      </c>
      <c r="V4035">
        <v>2.983831E-2</v>
      </c>
      <c r="W4035">
        <v>0.20131479999999999</v>
      </c>
      <c r="X4035">
        <v>0.97907200000000005</v>
      </c>
      <c r="Y4035">
        <v>-0.34548659999999998</v>
      </c>
      <c r="Z4035">
        <v>-1.403189E-2</v>
      </c>
      <c r="AA4035">
        <v>0.93831869999999995</v>
      </c>
      <c r="AB4035">
        <v>39</v>
      </c>
      <c r="AC4035">
        <v>-37.156500000000001</v>
      </c>
      <c r="AD4035">
        <v>2.6572650000000002</v>
      </c>
      <c r="AE4035">
        <v>-28.6386</v>
      </c>
      <c r="AF4035">
        <v>-16.2642871683009</v>
      </c>
      <c r="AG4035">
        <v>2.6572650000000002</v>
      </c>
      <c r="AH4035">
        <v>43.842826390809002</v>
      </c>
      <c r="AI4035">
        <v>86.747674057992995</v>
      </c>
      <c r="AJ4035">
        <v>110.353243923411</v>
      </c>
      <c r="AK4035">
        <v>46.837821472692298</v>
      </c>
      <c r="AL4035">
        <v>78.386144242326793</v>
      </c>
      <c r="AM4035">
        <v>88.254387589230205</v>
      </c>
      <c r="AN4035">
        <v>0.999999977313347</v>
      </c>
    </row>
    <row r="4036" spans="1:40" x14ac:dyDescent="0.25">
      <c r="A4036" t="str">
        <f>"20190303171058209"</f>
        <v>20190303171058209</v>
      </c>
      <c r="B4036" t="str">
        <f>"1551604258204663"</f>
        <v>1551604258204663</v>
      </c>
      <c r="C4036" t="s">
        <v>40</v>
      </c>
      <c r="D4036">
        <v>4.9648029999999999</v>
      </c>
      <c r="E4036">
        <v>0.34613050000000001</v>
      </c>
      <c r="F4036" t="s">
        <v>69</v>
      </c>
      <c r="G4036">
        <v>-440.75</v>
      </c>
      <c r="H4036">
        <v>3.8733849999999999</v>
      </c>
      <c r="I4036">
        <v>110.15219999999999</v>
      </c>
      <c r="J4036">
        <v>-403.95920000000001</v>
      </c>
      <c r="K4036">
        <v>1.130053</v>
      </c>
      <c r="L4036">
        <v>139.11070000000001</v>
      </c>
      <c r="M4036">
        <v>-0.95220490000000002</v>
      </c>
      <c r="N4036">
        <v>-1.48261E-2</v>
      </c>
      <c r="O4036">
        <v>-0.30509960000000003</v>
      </c>
      <c r="P4036">
        <v>-0.94546370000000002</v>
      </c>
      <c r="Q4036">
        <v>0.18581710000000001</v>
      </c>
      <c r="R4036">
        <v>-0.267526599999999</v>
      </c>
      <c r="S4036">
        <v>-2.5771480000000002</v>
      </c>
      <c r="T4036">
        <v>0.19027920000000001</v>
      </c>
      <c r="U4036">
        <v>-2.0169069999999998</v>
      </c>
      <c r="V4036">
        <v>2.921909E-2</v>
      </c>
      <c r="W4036">
        <v>0.20106250000000001</v>
      </c>
      <c r="X4036">
        <v>0.97914250000000003</v>
      </c>
      <c r="Y4036">
        <v>-0.3469296</v>
      </c>
      <c r="Z4036">
        <v>-1.486723E-2</v>
      </c>
      <c r="AA4036">
        <v>0.93777330000000003</v>
      </c>
      <c r="AB4036">
        <v>39</v>
      </c>
      <c r="AC4036">
        <v>-36.790799999999898</v>
      </c>
      <c r="AD4036">
        <v>2.7433320000000001</v>
      </c>
      <c r="AE4036">
        <v>-28.958500000000001</v>
      </c>
      <c r="AF4036">
        <v>-16.295422870924899</v>
      </c>
      <c r="AG4036">
        <v>2.7433320000000001</v>
      </c>
      <c r="AH4036">
        <v>43.722331788984803</v>
      </c>
      <c r="AI4036">
        <v>86.635241774368495</v>
      </c>
      <c r="AJ4036">
        <v>110.440550893775</v>
      </c>
      <c r="AK4036">
        <v>46.740870489011698</v>
      </c>
      <c r="AL4036">
        <v>78.4009015142896</v>
      </c>
      <c r="AM4036">
        <v>88.290714725311901</v>
      </c>
      <c r="AN4036">
        <v>0.99999995971646305</v>
      </c>
    </row>
    <row r="4037" spans="1:40" x14ac:dyDescent="0.25">
      <c r="A4037" t="str">
        <f>"20190303171058231"</f>
        <v>20190303171058231</v>
      </c>
      <c r="B4037" t="str">
        <f>"1551604258225159"</f>
        <v>1551604258225159</v>
      </c>
      <c r="C4037" t="s">
        <v>40</v>
      </c>
      <c r="D4037">
        <v>4.9753280000000002</v>
      </c>
      <c r="E4037">
        <v>0.34659119999999999</v>
      </c>
      <c r="F4037" t="s">
        <v>69</v>
      </c>
      <c r="G4037">
        <v>-440.75</v>
      </c>
      <c r="H4037">
        <v>3.881224</v>
      </c>
      <c r="I4037">
        <v>109.80410000000001</v>
      </c>
      <c r="J4037">
        <v>-404.33499999999998</v>
      </c>
      <c r="K4037">
        <v>1.130088</v>
      </c>
      <c r="L4037">
        <v>138.9829</v>
      </c>
      <c r="M4037">
        <v>-0.94943049999999996</v>
      </c>
      <c r="N4037">
        <v>-1.4830350000000001E-2</v>
      </c>
      <c r="O4037">
        <v>-0.31362659999999998</v>
      </c>
      <c r="P4037">
        <v>-0.94271559999999999</v>
      </c>
      <c r="Q4037">
        <v>0.18579090000000001</v>
      </c>
      <c r="R4037">
        <v>-0.2770724</v>
      </c>
      <c r="S4037">
        <v>-2.558716</v>
      </c>
      <c r="T4037">
        <v>0.1913388</v>
      </c>
      <c r="U4037">
        <v>-2.0381930000000001</v>
      </c>
      <c r="V4037">
        <v>2.8082119999999999E-2</v>
      </c>
      <c r="W4037">
        <v>0.20101810000000001</v>
      </c>
      <c r="X4037">
        <v>0.97918490000000002</v>
      </c>
      <c r="Y4037">
        <v>-0.34660089999999999</v>
      </c>
      <c r="Z4037">
        <v>-1.5569370000000001E-2</v>
      </c>
      <c r="AA4037">
        <v>0.93788340000000003</v>
      </c>
      <c r="AB4037">
        <v>39</v>
      </c>
      <c r="AC4037">
        <v>-36.414999999999999</v>
      </c>
      <c r="AD4037">
        <v>2.7511359999999998</v>
      </c>
      <c r="AE4037">
        <v>-29.178799999999899</v>
      </c>
      <c r="AF4037">
        <v>-16.227914458567302</v>
      </c>
      <c r="AG4037">
        <v>2.7511359999999998</v>
      </c>
      <c r="AH4037">
        <v>43.578095989023801</v>
      </c>
      <c r="AI4037">
        <v>86.614200959367807</v>
      </c>
      <c r="AJ4037">
        <v>110.42467432011701</v>
      </c>
      <c r="AK4037">
        <v>46.582876757384199</v>
      </c>
      <c r="AL4037">
        <v>78.4034986510338</v>
      </c>
      <c r="AM4037">
        <v>88.357260157523399</v>
      </c>
      <c r="AN4037">
        <v>0.999999975189656</v>
      </c>
    </row>
    <row r="4038" spans="1:40" x14ac:dyDescent="0.25">
      <c r="A4038" t="str">
        <f>"20190303171058253"</f>
        <v>20190303171058253</v>
      </c>
      <c r="B4038" t="str">
        <f>"1551604258244679"</f>
        <v>1551604258244679</v>
      </c>
      <c r="C4038" t="s">
        <v>40</v>
      </c>
      <c r="D4038">
        <v>4.9943720000000003</v>
      </c>
      <c r="E4038">
        <v>0.34702149999999998</v>
      </c>
      <c r="F4038" t="s">
        <v>69</v>
      </c>
      <c r="G4038">
        <v>-440.3895</v>
      </c>
      <c r="H4038">
        <v>3.8344999999999998</v>
      </c>
      <c r="I4038">
        <v>109.7255</v>
      </c>
      <c r="J4038">
        <v>-404.69009999999997</v>
      </c>
      <c r="K4038">
        <v>1.130126</v>
      </c>
      <c r="L4038">
        <v>138.8587</v>
      </c>
      <c r="M4038">
        <v>-0.94671570000000005</v>
      </c>
      <c r="N4038">
        <v>-1.483464E-2</v>
      </c>
      <c r="O4038">
        <v>-0.32172889999999998</v>
      </c>
      <c r="P4038">
        <v>-0.94013610000000003</v>
      </c>
      <c r="Q4038">
        <v>0.18667790000000001</v>
      </c>
      <c r="R4038">
        <v>-0.28512459999999901</v>
      </c>
      <c r="S4038">
        <v>-2.5391539999999999</v>
      </c>
      <c r="T4038">
        <v>0.1904603</v>
      </c>
      <c r="U4038">
        <v>-2.0604550000000001</v>
      </c>
      <c r="V4038">
        <v>2.7982190000000001E-2</v>
      </c>
      <c r="W4038">
        <v>0.20190739999999999</v>
      </c>
      <c r="X4038">
        <v>0.97900480000000001</v>
      </c>
      <c r="Y4038">
        <v>-0.34709079999999998</v>
      </c>
      <c r="Z4038">
        <v>-1.6137700000000001E-2</v>
      </c>
      <c r="AA4038">
        <v>0.93769270000000005</v>
      </c>
      <c r="AB4038">
        <v>39</v>
      </c>
      <c r="AC4038">
        <v>-35.699399999999997</v>
      </c>
      <c r="AD4038">
        <v>2.7043740000000001</v>
      </c>
      <c r="AE4038">
        <v>-29.133199999999999</v>
      </c>
      <c r="AF4038">
        <v>-16.041840642976499</v>
      </c>
      <c r="AG4038">
        <v>2.7043740000000001</v>
      </c>
      <c r="AH4038">
        <v>43.026710389794196</v>
      </c>
      <c r="AI4038">
        <v>86.629557123173399</v>
      </c>
      <c r="AJ4038">
        <v>110.447188986629</v>
      </c>
      <c r="AK4038">
        <v>45.999479311332998</v>
      </c>
      <c r="AL4038">
        <v>78.351479197820893</v>
      </c>
      <c r="AM4038">
        <v>88.362801684586799</v>
      </c>
      <c r="AN4038">
        <v>0.99999999977749798</v>
      </c>
    </row>
    <row r="4039" spans="1:40" x14ac:dyDescent="0.25">
      <c r="A4039" t="str">
        <f>"20190303171058275"</f>
        <v>20190303171058275</v>
      </c>
      <c r="B4039" t="str">
        <f>"1551604258265175"</f>
        <v>1551604258265175</v>
      </c>
      <c r="C4039" t="s">
        <v>40</v>
      </c>
      <c r="D4039">
        <v>4.9782900000000003</v>
      </c>
      <c r="E4039">
        <v>0.34764129999999999</v>
      </c>
      <c r="F4039" t="s">
        <v>69</v>
      </c>
      <c r="G4039">
        <v>-440.20710000000003</v>
      </c>
      <c r="H4039">
        <v>3.8561009999999998</v>
      </c>
      <c r="I4039">
        <v>109.57769999999999</v>
      </c>
      <c r="J4039">
        <v>-405.05430000000001</v>
      </c>
      <c r="K4039">
        <v>1.130169</v>
      </c>
      <c r="L4039">
        <v>138.7278</v>
      </c>
      <c r="M4039">
        <v>-0.94383010000000001</v>
      </c>
      <c r="N4039">
        <v>-1.48399E-2</v>
      </c>
      <c r="O4039">
        <v>-0.330098</v>
      </c>
      <c r="P4039">
        <v>-0.93734229999999996</v>
      </c>
      <c r="Q4039">
        <v>0.1881563</v>
      </c>
      <c r="R4039">
        <v>-0.29323490000000002</v>
      </c>
      <c r="S4039">
        <v>-2.521973</v>
      </c>
      <c r="T4039">
        <v>0.1935655</v>
      </c>
      <c r="U4039">
        <v>-2.0791629999999999</v>
      </c>
      <c r="V4039">
        <v>2.8041529999999999E-2</v>
      </c>
      <c r="W4039">
        <v>0.20339180000000001</v>
      </c>
      <c r="X4039">
        <v>0.9786958</v>
      </c>
      <c r="Y4039">
        <v>-0.34608470000000002</v>
      </c>
      <c r="Z4039">
        <v>-1.6953369999999999E-2</v>
      </c>
      <c r="AA4039">
        <v>0.9380501</v>
      </c>
      <c r="AB4039">
        <v>39</v>
      </c>
      <c r="AC4039">
        <v>-35.152799999999999</v>
      </c>
      <c r="AD4039">
        <v>2.7259319999999998</v>
      </c>
      <c r="AE4039">
        <v>-29.150099999999998</v>
      </c>
      <c r="AF4039">
        <v>-15.8541332910379</v>
      </c>
      <c r="AG4039">
        <v>2.7259319999999998</v>
      </c>
      <c r="AH4039">
        <v>42.653391175339799</v>
      </c>
      <c r="AI4039">
        <v>86.571816943341005</v>
      </c>
      <c r="AJ4039">
        <v>110.389944283951</v>
      </c>
      <c r="AK4039">
        <v>45.586138533935703</v>
      </c>
      <c r="AL4039">
        <v>78.264627395828995</v>
      </c>
      <c r="AM4039">
        <v>88.358813961906193</v>
      </c>
      <c r="AN4039">
        <v>1.0000000103248099</v>
      </c>
    </row>
    <row r="4040" spans="1:40" x14ac:dyDescent="0.25">
      <c r="A4040" t="str">
        <f>"20190303171058298"</f>
        <v>20190303171058298</v>
      </c>
      <c r="B4040" t="str">
        <f>"1551604258295083"</f>
        <v>1551604258295083</v>
      </c>
      <c r="C4040" t="s">
        <v>40</v>
      </c>
      <c r="D4040">
        <v>4.9728089999999998</v>
      </c>
      <c r="E4040">
        <v>0.34832940000000001</v>
      </c>
      <c r="F4040" t="s">
        <v>69</v>
      </c>
      <c r="G4040">
        <v>-440.20710000000003</v>
      </c>
      <c r="H4040">
        <v>3.905268</v>
      </c>
      <c r="I4040">
        <v>109.2974</v>
      </c>
      <c r="J4040">
        <v>-405.42610000000002</v>
      </c>
      <c r="K4040">
        <v>1.130225</v>
      </c>
      <c r="L4040">
        <v>138.59</v>
      </c>
      <c r="M4040">
        <v>-0.94076820000000005</v>
      </c>
      <c r="N4040">
        <v>-1.484657E-2</v>
      </c>
      <c r="O4040">
        <v>-0.33872540000000001</v>
      </c>
      <c r="P4040">
        <v>-0.93429240000000002</v>
      </c>
      <c r="Q4040">
        <v>0.18898619999999999</v>
      </c>
      <c r="R4040">
        <v>-0.30229440000000002</v>
      </c>
      <c r="S4040">
        <v>-2.5048219999999999</v>
      </c>
      <c r="T4040">
        <v>0.19774130000000001</v>
      </c>
      <c r="U4040">
        <v>-2.0970610000000001</v>
      </c>
      <c r="V4040">
        <v>2.7424879999999999E-2</v>
      </c>
      <c r="W4040">
        <v>0.20421629999999999</v>
      </c>
      <c r="X4040">
        <v>0.97854160000000001</v>
      </c>
      <c r="Y4040">
        <v>-0.3446207</v>
      </c>
      <c r="Z4040">
        <v>-1.78765E-2</v>
      </c>
      <c r="AA4040">
        <v>0.93857179999999996</v>
      </c>
      <c r="AB4040">
        <v>39</v>
      </c>
      <c r="AC4040">
        <v>-34.780999999999999</v>
      </c>
      <c r="AD4040">
        <v>2.7750430000000001</v>
      </c>
      <c r="AE4040">
        <v>-29.2926</v>
      </c>
      <c r="AF4040">
        <v>-15.7195333377549</v>
      </c>
      <c r="AG4040">
        <v>2.7750430000000001</v>
      </c>
      <c r="AH4040">
        <v>42.489463801751398</v>
      </c>
      <c r="AI4040">
        <v>86.494799194152904</v>
      </c>
      <c r="AJ4040">
        <v>110.302613573264</v>
      </c>
      <c r="AK4040">
        <v>45.3889758219877</v>
      </c>
      <c r="AL4040">
        <v>78.216374653110606</v>
      </c>
      <c r="AM4040">
        <v>88.3946327275264</v>
      </c>
      <c r="AN4040">
        <v>1.00000004207963</v>
      </c>
    </row>
    <row r="4041" spans="1:40" x14ac:dyDescent="0.25">
      <c r="A4041" t="str">
        <f>"20190303171058321"</f>
        <v>20190303171058321</v>
      </c>
      <c r="B4041" t="str">
        <f>"1551604258314603"</f>
        <v>1551604258314603</v>
      </c>
      <c r="C4041" t="s">
        <v>40</v>
      </c>
      <c r="D4041">
        <v>5.0023499999999999</v>
      </c>
      <c r="E4041">
        <v>0.36036259999999998</v>
      </c>
      <c r="F4041" t="s">
        <v>69</v>
      </c>
      <c r="G4041">
        <v>-440.20710000000003</v>
      </c>
      <c r="H4041">
        <v>3.92157</v>
      </c>
      <c r="I4041">
        <v>108.9671</v>
      </c>
      <c r="J4041">
        <v>-405.7987</v>
      </c>
      <c r="K4041">
        <v>1.1302859999999999</v>
      </c>
      <c r="L4041">
        <v>138.4479</v>
      </c>
      <c r="M4041">
        <v>-0.93757809999999997</v>
      </c>
      <c r="N4041">
        <v>-1.4854549999999999E-2</v>
      </c>
      <c r="O4041">
        <v>-0.34745740000000003</v>
      </c>
      <c r="P4041">
        <v>-0.93141629999999997</v>
      </c>
      <c r="Q4041">
        <v>0.18933929999999999</v>
      </c>
      <c r="R4041">
        <v>-0.3108284</v>
      </c>
      <c r="S4041">
        <v>-2.485687</v>
      </c>
      <c r="T4041">
        <v>0.19948979999999999</v>
      </c>
      <c r="U4041">
        <v>-2.1170499999999999</v>
      </c>
      <c r="V4041">
        <v>2.7507380000000001E-2</v>
      </c>
      <c r="W4041">
        <v>0.20458319999999999</v>
      </c>
      <c r="X4041">
        <v>0.97846259999999996</v>
      </c>
      <c r="Y4041">
        <v>-0.34385359999999998</v>
      </c>
      <c r="Z4041">
        <v>-1.8684269999999999E-2</v>
      </c>
      <c r="AA4041">
        <v>0.93883729999999999</v>
      </c>
      <c r="AB4041">
        <v>39</v>
      </c>
      <c r="AC4041">
        <v>-34.4084</v>
      </c>
      <c r="AD4041">
        <v>2.7912839999999899</v>
      </c>
      <c r="AE4041">
        <v>-29.480799999999999</v>
      </c>
      <c r="AF4041">
        <v>-15.6275242347141</v>
      </c>
      <c r="AG4041">
        <v>2.7912839999999899</v>
      </c>
      <c r="AH4041">
        <v>42.347866164748297</v>
      </c>
      <c r="AI4041">
        <v>86.461504242055597</v>
      </c>
      <c r="AJ4041">
        <v>110.25544410161299</v>
      </c>
      <c r="AK4041">
        <v>45.2255740569721</v>
      </c>
      <c r="AL4041">
        <v>78.194898940671493</v>
      </c>
      <c r="AM4041">
        <v>88.389676035517198</v>
      </c>
      <c r="AN4041">
        <v>1.0000000006377301</v>
      </c>
    </row>
    <row r="4042" spans="1:40" x14ac:dyDescent="0.25">
      <c r="A4042" t="str">
        <f>"20190303171058343"</f>
        <v>20190303171058343</v>
      </c>
      <c r="B4042" t="str">
        <f>"1551604258335098"</f>
        <v>1551604258335098</v>
      </c>
      <c r="C4042" t="s">
        <v>40</v>
      </c>
      <c r="D4042">
        <v>4.9618129999999896</v>
      </c>
      <c r="E4042">
        <v>0.36192639999999998</v>
      </c>
      <c r="F4042" t="s">
        <v>69</v>
      </c>
      <c r="G4042">
        <v>-440.75</v>
      </c>
      <c r="H4042">
        <v>3.3491249999999999</v>
      </c>
      <c r="I4042">
        <v>109.7469</v>
      </c>
      <c r="J4042">
        <v>-406.15839999999997</v>
      </c>
      <c r="K4042">
        <v>1.130341</v>
      </c>
      <c r="L4042">
        <v>138.30690000000001</v>
      </c>
      <c r="M4042">
        <v>-0.9343804</v>
      </c>
      <c r="N4042">
        <v>-1.486315E-2</v>
      </c>
      <c r="O4042">
        <v>-0.3559677</v>
      </c>
      <c r="P4042">
        <v>-0.92883579999999999</v>
      </c>
      <c r="Q4042">
        <v>0.18798390000000001</v>
      </c>
      <c r="R4042">
        <v>-0.31925969999999998</v>
      </c>
      <c r="S4042">
        <v>-2.5027469999999998</v>
      </c>
      <c r="T4042">
        <v>0.158885</v>
      </c>
      <c r="U4042">
        <v>-2.0551759999999999</v>
      </c>
      <c r="V4042">
        <v>2.7631059999999999E-2</v>
      </c>
      <c r="W4042">
        <v>0.2032476</v>
      </c>
      <c r="X4042">
        <v>0.97873739999999998</v>
      </c>
      <c r="Y4042">
        <v>-0.3182835</v>
      </c>
      <c r="Z4042">
        <v>-1.7523259999999999E-2</v>
      </c>
      <c r="AA4042">
        <v>0.94783360000000005</v>
      </c>
      <c r="AB4042">
        <v>39</v>
      </c>
      <c r="AC4042">
        <v>-34.5916</v>
      </c>
      <c r="AD4042">
        <v>2.2187839999999999</v>
      </c>
      <c r="AE4042">
        <v>-28.56</v>
      </c>
      <c r="AF4042">
        <v>-14.3389147143785</v>
      </c>
      <c r="AG4042">
        <v>2.2187839999999999</v>
      </c>
      <c r="AH4042">
        <v>42.3891250861004</v>
      </c>
      <c r="AI4042">
        <v>87.161413611329294</v>
      </c>
      <c r="AJ4042">
        <v>108.689069592555</v>
      </c>
      <c r="AK4042">
        <v>44.803631584838598</v>
      </c>
      <c r="AL4042">
        <v>78.273065345659106</v>
      </c>
      <c r="AM4042">
        <v>88.382893378889406</v>
      </c>
      <c r="AN4042">
        <v>0.99999998027062098</v>
      </c>
    </row>
    <row r="4043" spans="1:40" x14ac:dyDescent="0.25">
      <c r="A4043" t="str">
        <f>"20190303171058366"</f>
        <v>20190303171058366</v>
      </c>
      <c r="B4043" t="str">
        <f>"1551604258354619"</f>
        <v>1551604258354619</v>
      </c>
      <c r="C4043" t="s">
        <v>40</v>
      </c>
      <c r="D4043">
        <v>4.8769799999999996</v>
      </c>
      <c r="E4043">
        <v>0.3615295</v>
      </c>
      <c r="F4043" t="s">
        <v>69</v>
      </c>
      <c r="G4043">
        <v>-440.58569999999997</v>
      </c>
      <c r="H4043">
        <v>3.1905209999999999</v>
      </c>
      <c r="I4043">
        <v>109.7255</v>
      </c>
      <c r="J4043">
        <v>-406.51209999999998</v>
      </c>
      <c r="K4043">
        <v>1.130398</v>
      </c>
      <c r="L4043">
        <v>138.16460000000001</v>
      </c>
      <c r="M4043">
        <v>-0.93111489999999997</v>
      </c>
      <c r="N4043">
        <v>-1.487166E-2</v>
      </c>
      <c r="O4043">
        <v>-0.36442239999999998</v>
      </c>
      <c r="P4043">
        <v>-0.926006</v>
      </c>
      <c r="Q4043">
        <v>0.18657070000000001</v>
      </c>
      <c r="R4043">
        <v>-0.32818340000000001</v>
      </c>
      <c r="S4043">
        <v>-2.4893489999999998</v>
      </c>
      <c r="T4043">
        <v>0.1489675</v>
      </c>
      <c r="U4043">
        <v>-2.0666350000000002</v>
      </c>
      <c r="V4043">
        <v>2.718659E-2</v>
      </c>
      <c r="W4043">
        <v>0.2018411</v>
      </c>
      <c r="X4043">
        <v>0.97904089999999999</v>
      </c>
      <c r="Y4043">
        <v>-0.3147643</v>
      </c>
      <c r="Z4043">
        <v>-1.7501849999999999E-2</v>
      </c>
      <c r="AA4043">
        <v>0.94900850000000003</v>
      </c>
      <c r="AB4043">
        <v>39</v>
      </c>
      <c r="AC4043">
        <v>-34.073599999999999</v>
      </c>
      <c r="AD4043">
        <v>2.0601229999999999</v>
      </c>
      <c r="AE4043">
        <v>-28.4391</v>
      </c>
      <c r="AF4043">
        <v>-14.034205345372399</v>
      </c>
      <c r="AG4043">
        <v>2.0601229999999999</v>
      </c>
      <c r="AH4043">
        <v>42.004438419635598</v>
      </c>
      <c r="AI4043">
        <v>87.336655839531602</v>
      </c>
      <c r="AJ4043">
        <v>108.475114918839</v>
      </c>
      <c r="AK4043">
        <v>44.334815590009697</v>
      </c>
      <c r="AL4043">
        <v>78.3553579075069</v>
      </c>
      <c r="AM4043">
        <v>88.409385471761198</v>
      </c>
      <c r="AN4043">
        <v>1.0000000120989201</v>
      </c>
    </row>
    <row r="4044" spans="1:40" x14ac:dyDescent="0.25">
      <c r="A4044" t="str">
        <f>"20190303171058387"</f>
        <v>20190303171058387</v>
      </c>
      <c r="B4044" t="str">
        <f>"1551604258375115"</f>
        <v>1551604258375115</v>
      </c>
      <c r="C4044" t="s">
        <v>40</v>
      </c>
      <c r="D4044">
        <v>5.0006149999999998</v>
      </c>
      <c r="E4044">
        <v>0.36227720000000002</v>
      </c>
      <c r="F4044" t="s">
        <v>69</v>
      </c>
      <c r="G4044">
        <v>-440.20710000000003</v>
      </c>
      <c r="H4044">
        <v>3.2745769999999998</v>
      </c>
      <c r="I4044">
        <v>109.5954</v>
      </c>
      <c r="J4044">
        <v>-406.86309999999997</v>
      </c>
      <c r="K4044">
        <v>1.130463</v>
      </c>
      <c r="L4044">
        <v>138.01949999999999</v>
      </c>
      <c r="M4044">
        <v>-0.92774650000000003</v>
      </c>
      <c r="N4044">
        <v>-1.4880610000000001E-2</v>
      </c>
      <c r="O4044">
        <v>-0.37291429999999998</v>
      </c>
      <c r="P4044">
        <v>-0.92274290000000003</v>
      </c>
      <c r="Q4044">
        <v>0.18576139999999999</v>
      </c>
      <c r="R4044">
        <v>-0.33769579999999999</v>
      </c>
      <c r="S4044">
        <v>-2.4668269999999999</v>
      </c>
      <c r="T4044">
        <v>0.15697739999999999</v>
      </c>
      <c r="U4044">
        <v>-2.0915530000000002</v>
      </c>
      <c r="V4044">
        <v>2.6097550000000001E-2</v>
      </c>
      <c r="W4044">
        <v>0.2010238</v>
      </c>
      <c r="X4044">
        <v>0.97923870000000002</v>
      </c>
      <c r="Y4044">
        <v>-0.31597199999999998</v>
      </c>
      <c r="Z4044">
        <v>-1.857495E-2</v>
      </c>
      <c r="AA4044">
        <v>0.94858659999999995</v>
      </c>
      <c r="AB4044">
        <v>39</v>
      </c>
      <c r="AC4044">
        <v>-33.344000000000001</v>
      </c>
      <c r="AD4044">
        <v>2.1441140000000001</v>
      </c>
      <c r="AE4044">
        <v>-28.424099999999999</v>
      </c>
      <c r="AF4044">
        <v>-13.904151293314399</v>
      </c>
      <c r="AG4044">
        <v>2.1441140000000001</v>
      </c>
      <c r="AH4044">
        <v>41.439894373459602</v>
      </c>
      <c r="AI4044">
        <v>87.191730671954204</v>
      </c>
      <c r="AJ4044">
        <v>108.54792853596101</v>
      </c>
      <c r="AK4044">
        <v>43.762855182401701</v>
      </c>
      <c r="AL4044">
        <v>78.403166032507301</v>
      </c>
      <c r="AM4044">
        <v>88.473379774550494</v>
      </c>
      <c r="AN4044">
        <v>1.00000004093006</v>
      </c>
    </row>
    <row r="4045" spans="1:40" x14ac:dyDescent="0.25">
      <c r="A4045" t="str">
        <f>"20190303171058411"</f>
        <v>20190303171058411</v>
      </c>
      <c r="B4045" t="str">
        <f>"1551604258404988"</f>
        <v>1551604258404988</v>
      </c>
      <c r="C4045" t="s">
        <v>40</v>
      </c>
      <c r="D4045">
        <v>5.0246709999999997</v>
      </c>
      <c r="E4045">
        <v>0.36286659999999998</v>
      </c>
      <c r="F4045" t="s">
        <v>69</v>
      </c>
      <c r="G4045">
        <v>-440.20710000000003</v>
      </c>
      <c r="H4045">
        <v>3.2331569999999998</v>
      </c>
      <c r="I4045">
        <v>109.25660000000001</v>
      </c>
      <c r="J4045">
        <v>-407.23430000000002</v>
      </c>
      <c r="K4045">
        <v>1.1305449999999999</v>
      </c>
      <c r="L4045">
        <v>137.86189999999999</v>
      </c>
      <c r="M4045">
        <v>-0.92403690000000005</v>
      </c>
      <c r="N4045">
        <v>-1.489149E-2</v>
      </c>
      <c r="O4045">
        <v>-0.38201309999999999</v>
      </c>
      <c r="P4045">
        <v>-0.91904909999999995</v>
      </c>
      <c r="Q4045">
        <v>0.1856295</v>
      </c>
      <c r="R4045">
        <v>-0.34769319999999998</v>
      </c>
      <c r="S4045">
        <v>-2.447479</v>
      </c>
      <c r="T4045">
        <v>0.1543407</v>
      </c>
      <c r="U4045">
        <v>-2.1112060000000001</v>
      </c>
      <c r="V4045">
        <v>2.5058540000000001E-2</v>
      </c>
      <c r="W4045">
        <v>0.20088510000000001</v>
      </c>
      <c r="X4045">
        <v>0.9792942</v>
      </c>
      <c r="Y4045">
        <v>-0.31472739999999999</v>
      </c>
      <c r="Z4045">
        <v>-1.9015730000000002E-2</v>
      </c>
      <c r="AA4045">
        <v>0.94899160000000005</v>
      </c>
      <c r="AB4045">
        <v>39</v>
      </c>
      <c r="AC4045">
        <v>-32.972799999999999</v>
      </c>
      <c r="AD4045">
        <v>2.1026120000000001</v>
      </c>
      <c r="AE4045">
        <v>-28.6052999999999</v>
      </c>
      <c r="AF4045">
        <v>-13.8058142975745</v>
      </c>
      <c r="AG4045">
        <v>2.1026120000000001</v>
      </c>
      <c r="AH4045">
        <v>41.304442160198498</v>
      </c>
      <c r="AI4045">
        <v>87.235922447756096</v>
      </c>
      <c r="AJ4045">
        <v>108.481960905382</v>
      </c>
      <c r="AK4045">
        <v>43.6013580958993</v>
      </c>
      <c r="AL4045">
        <v>78.411277282787196</v>
      </c>
      <c r="AM4045">
        <v>88.534214389595206</v>
      </c>
      <c r="AN4045">
        <v>0.99999994199128905</v>
      </c>
    </row>
    <row r="4046" spans="1:40" x14ac:dyDescent="0.25">
      <c r="A4046" t="str">
        <f>"20190303171058433"</f>
        <v>20190303171058433</v>
      </c>
      <c r="B4046" t="str">
        <f>"1551604258424508"</f>
        <v>1551604258424508</v>
      </c>
      <c r="C4046" t="s">
        <v>40</v>
      </c>
      <c r="D4046">
        <v>5.0690210000000002</v>
      </c>
      <c r="E4046">
        <v>0.36349199999999998</v>
      </c>
      <c r="F4046" t="s">
        <v>69</v>
      </c>
      <c r="G4046">
        <v>-440.20710000000003</v>
      </c>
      <c r="H4046">
        <v>3.304745</v>
      </c>
      <c r="I4046">
        <v>108.85680000000001</v>
      </c>
      <c r="J4046">
        <v>-407.58449999999999</v>
      </c>
      <c r="K4046">
        <v>1.1306350000000001</v>
      </c>
      <c r="L4046">
        <v>137.70920000000001</v>
      </c>
      <c r="M4046">
        <v>-0.92038989999999998</v>
      </c>
      <c r="N4046">
        <v>-1.490345E-2</v>
      </c>
      <c r="O4046">
        <v>-0.39071790000000001</v>
      </c>
      <c r="P4046">
        <v>-0.91517170000000003</v>
      </c>
      <c r="Q4046">
        <v>0.18565309999999999</v>
      </c>
      <c r="R4046">
        <v>-0.35776239999999998</v>
      </c>
      <c r="S4046">
        <v>-2.4249269999999998</v>
      </c>
      <c r="T4046">
        <v>0.15989900000000001</v>
      </c>
      <c r="U4046">
        <v>-2.1331180000000001</v>
      </c>
      <c r="V4046">
        <v>2.3499860000000001E-2</v>
      </c>
      <c r="W4046">
        <v>0.20089019999999999</v>
      </c>
      <c r="X4046">
        <v>0.97933190000000003</v>
      </c>
      <c r="Y4046">
        <v>-0.31500149999999999</v>
      </c>
      <c r="Z4046">
        <v>-2.0006429999999999E-2</v>
      </c>
      <c r="AA4046">
        <v>0.94888030000000001</v>
      </c>
      <c r="AB4046">
        <v>39</v>
      </c>
      <c r="AC4046">
        <v>-32.622599999999998</v>
      </c>
      <c r="AD4046">
        <v>2.1741100000000002</v>
      </c>
      <c r="AE4046">
        <v>-28.852399999999999</v>
      </c>
      <c r="AF4046">
        <v>-13.7764243200252</v>
      </c>
      <c r="AG4046">
        <v>2.1741100000000002</v>
      </c>
      <c r="AH4046">
        <v>41.200568715368199</v>
      </c>
      <c r="AI4046">
        <v>87.135002960327597</v>
      </c>
      <c r="AJ4046">
        <v>108.488627001862</v>
      </c>
      <c r="AK4046">
        <v>43.497166388251799</v>
      </c>
      <c r="AL4046">
        <v>78.410980181647403</v>
      </c>
      <c r="AM4046">
        <v>88.625405279168703</v>
      </c>
      <c r="AN4046">
        <v>1.0000000431168301</v>
      </c>
    </row>
    <row r="4047" spans="1:40" x14ac:dyDescent="0.25">
      <c r="A4047" t="str">
        <f>"20190303171058455"</f>
        <v>20190303171058455</v>
      </c>
      <c r="B4047" t="str">
        <f>"1551604258445004"</f>
        <v>1551604258445004</v>
      </c>
      <c r="C4047" t="s">
        <v>40</v>
      </c>
      <c r="D4047">
        <v>5.0454129999999999</v>
      </c>
      <c r="E4047">
        <v>0.3645641</v>
      </c>
      <c r="F4047" t="s">
        <v>69</v>
      </c>
      <c r="G4047">
        <v>-440.20710000000003</v>
      </c>
      <c r="H4047">
        <v>3.3298540000000001</v>
      </c>
      <c r="I4047">
        <v>108.4545</v>
      </c>
      <c r="J4047">
        <v>-407.93029999999999</v>
      </c>
      <c r="K4047">
        <v>1.130733</v>
      </c>
      <c r="L4047">
        <v>137.55449999999999</v>
      </c>
      <c r="M4047">
        <v>-0.91663729999999999</v>
      </c>
      <c r="N4047">
        <v>-1.4917069999999999E-2</v>
      </c>
      <c r="O4047">
        <v>-0.3994415</v>
      </c>
      <c r="P4047">
        <v>-0.91109969999999996</v>
      </c>
      <c r="Q4047">
        <v>0.1857472</v>
      </c>
      <c r="R4047">
        <v>-0.36796109999999999</v>
      </c>
      <c r="S4047">
        <v>-2.402863</v>
      </c>
      <c r="T4047">
        <v>0.16198779999999999</v>
      </c>
      <c r="U4047">
        <v>-2.154785</v>
      </c>
      <c r="V4047">
        <v>2.1800119999999999E-2</v>
      </c>
      <c r="W4047">
        <v>0.200964</v>
      </c>
      <c r="X4047">
        <v>0.97935609999999995</v>
      </c>
      <c r="Y4047">
        <v>-0.31507540000000001</v>
      </c>
      <c r="Z4047">
        <v>-2.0765220000000001E-2</v>
      </c>
      <c r="AA4047">
        <v>0.9488394</v>
      </c>
      <c r="AB4047">
        <v>39</v>
      </c>
      <c r="AC4047">
        <v>-32.276800000000001</v>
      </c>
      <c r="AD4047">
        <v>2.1991209999999999</v>
      </c>
      <c r="AE4047">
        <v>-29.099999999999898</v>
      </c>
      <c r="AF4047">
        <v>-13.747781922360399</v>
      </c>
      <c r="AG4047">
        <v>2.1991209999999999</v>
      </c>
      <c r="AH4047">
        <v>41.109184731093599</v>
      </c>
      <c r="AI4047">
        <v>87.095709554437704</v>
      </c>
      <c r="AJ4047">
        <v>108.49102644345101</v>
      </c>
      <c r="AK4047">
        <v>43.402796110534098</v>
      </c>
      <c r="AL4047">
        <v>78.406664070496404</v>
      </c>
      <c r="AM4047">
        <v>88.724826821052403</v>
      </c>
      <c r="AN4047">
        <v>1.0000000725675999</v>
      </c>
    </row>
    <row r="4048" spans="1:40" x14ac:dyDescent="0.25">
      <c r="A4048" t="str">
        <f>"20190303171058478"</f>
        <v>20190303171058478</v>
      </c>
      <c r="B4048" t="str">
        <f>"1551604258475261"</f>
        <v>1551604258475261</v>
      </c>
      <c r="C4048" t="s">
        <v>40</v>
      </c>
      <c r="D4048">
        <v>5.0905690000000003</v>
      </c>
      <c r="E4048">
        <v>0.37534919999999999</v>
      </c>
      <c r="F4048" t="s">
        <v>69</v>
      </c>
      <c r="G4048">
        <v>-440.20710000000003</v>
      </c>
      <c r="H4048">
        <v>3.2653819999999998</v>
      </c>
      <c r="I4048">
        <v>108.09139999999999</v>
      </c>
      <c r="J4048">
        <v>-408.27260000000001</v>
      </c>
      <c r="K4048">
        <v>1.1308419999999999</v>
      </c>
      <c r="L4048">
        <v>137.3972</v>
      </c>
      <c r="M4048">
        <v>-0.91276330000000006</v>
      </c>
      <c r="N4048">
        <v>-1.4932010000000001E-2</v>
      </c>
      <c r="O4048">
        <v>-0.40821619999999997</v>
      </c>
      <c r="P4048">
        <v>-0.90701140000000002</v>
      </c>
      <c r="Q4048">
        <v>0.18622720000000001</v>
      </c>
      <c r="R4048">
        <v>-0.37769019999999998</v>
      </c>
      <c r="S4048">
        <v>-2.3823240000000001</v>
      </c>
      <c r="T4048">
        <v>0.1575578</v>
      </c>
      <c r="U4048">
        <v>-2.1746370000000002</v>
      </c>
      <c r="V4048">
        <v>2.060654E-2</v>
      </c>
      <c r="W4048">
        <v>0.20143520000000001</v>
      </c>
      <c r="X4048">
        <v>0.97928510000000002</v>
      </c>
      <c r="Y4048">
        <v>-0.31435279999999999</v>
      </c>
      <c r="Z4048">
        <v>-2.102917E-2</v>
      </c>
      <c r="AA4048">
        <v>0.94907330000000001</v>
      </c>
      <c r="AB4048">
        <v>39</v>
      </c>
      <c r="AC4048">
        <v>-31.9345</v>
      </c>
      <c r="AD4048">
        <v>2.1345399999999999</v>
      </c>
      <c r="AE4048">
        <v>-29.305800000000001</v>
      </c>
      <c r="AF4048">
        <v>-13.681424145629499</v>
      </c>
      <c r="AG4048">
        <v>2.1345399999999999</v>
      </c>
      <c r="AH4048">
        <v>41.016842384133</v>
      </c>
      <c r="AI4048">
        <v>87.173789671433298</v>
      </c>
      <c r="AJ4048">
        <v>108.44644303637099</v>
      </c>
      <c r="AK4048">
        <v>43.291095930098898</v>
      </c>
      <c r="AL4048">
        <v>78.3791022726341</v>
      </c>
      <c r="AM4048">
        <v>88.794535362167395</v>
      </c>
      <c r="AN4048">
        <v>1.00000003818591</v>
      </c>
    </row>
    <row r="4049" spans="1:40" x14ac:dyDescent="0.25">
      <c r="A4049" t="str">
        <f>"20190303171058499"</f>
        <v>20190303171058499</v>
      </c>
      <c r="B4049" t="str">
        <f>"1551604258494781"</f>
        <v>1551604258494781</v>
      </c>
      <c r="C4049" t="s">
        <v>40</v>
      </c>
      <c r="D4049">
        <v>5.0896359999999996</v>
      </c>
      <c r="E4049">
        <v>0.37620340000000002</v>
      </c>
      <c r="F4049" t="s">
        <v>69</v>
      </c>
      <c r="G4049">
        <v>-440.20710000000003</v>
      </c>
      <c r="H4049">
        <v>2.6020789999999998</v>
      </c>
      <c r="I4049">
        <v>109.0534</v>
      </c>
      <c r="J4049">
        <v>-408.6234</v>
      </c>
      <c r="K4049">
        <v>1.1309629999999999</v>
      </c>
      <c r="L4049">
        <v>137.23150000000001</v>
      </c>
      <c r="M4049">
        <v>-0.90861789999999998</v>
      </c>
      <c r="N4049">
        <v>-1.4948700000000001E-2</v>
      </c>
      <c r="O4049">
        <v>-0.41736089999999998</v>
      </c>
      <c r="P4049">
        <v>-0.90294229999999998</v>
      </c>
      <c r="Q4049">
        <v>0.18676580000000001</v>
      </c>
      <c r="R4049">
        <v>-0.38705800000000001</v>
      </c>
      <c r="S4049">
        <v>-2.3984070000000002</v>
      </c>
      <c r="T4049">
        <v>0.1104972</v>
      </c>
      <c r="U4049">
        <v>-2.1287229999999999</v>
      </c>
      <c r="V4049">
        <v>2.0185209999999999E-2</v>
      </c>
      <c r="W4049">
        <v>0.2019859</v>
      </c>
      <c r="X4049">
        <v>0.97918039999999995</v>
      </c>
      <c r="Y4049">
        <v>-0.29135620000000001</v>
      </c>
      <c r="Z4049">
        <v>-1.797437E-2</v>
      </c>
      <c r="AA4049">
        <v>0.95644580000000001</v>
      </c>
      <c r="AB4049">
        <v>39</v>
      </c>
      <c r="AC4049">
        <v>-31.5837</v>
      </c>
      <c r="AD4049">
        <v>1.4711160000000001</v>
      </c>
      <c r="AE4049">
        <v>-28.178100000000001</v>
      </c>
      <c r="AF4049">
        <v>-12.4077236468578</v>
      </c>
      <c r="AG4049">
        <v>1.4711160000000001</v>
      </c>
      <c r="AH4049">
        <v>40.413652211134703</v>
      </c>
      <c r="AI4049">
        <v>88.007006157968107</v>
      </c>
      <c r="AJ4049">
        <v>107.06743514426699</v>
      </c>
      <c r="AK4049">
        <v>42.301052864258601</v>
      </c>
      <c r="AL4049">
        <v>78.346886876921602</v>
      </c>
      <c r="AM4049">
        <v>88.819049523453401</v>
      </c>
      <c r="AN4049">
        <v>1.00000000112285</v>
      </c>
    </row>
    <row r="4050" spans="1:40" x14ac:dyDescent="0.25">
      <c r="A4050" t="str">
        <f>"20190303171058522"</f>
        <v>20190303171058522</v>
      </c>
      <c r="B4050" t="str">
        <f>"1551604258515276"</f>
        <v>1551604258515276</v>
      </c>
      <c r="C4050" t="s">
        <v>40</v>
      </c>
      <c r="D4050">
        <v>5.1019990000000002</v>
      </c>
      <c r="E4050">
        <v>0.37734780000000001</v>
      </c>
      <c r="F4050" t="s">
        <v>69</v>
      </c>
      <c r="G4050">
        <v>-440.20710000000003</v>
      </c>
      <c r="H4050">
        <v>2.5937489999999999</v>
      </c>
      <c r="I4050">
        <v>108.7141</v>
      </c>
      <c r="J4050">
        <v>-408.97340000000003</v>
      </c>
      <c r="K4050">
        <v>1.131076</v>
      </c>
      <c r="L4050">
        <v>137.06180000000001</v>
      </c>
      <c r="M4050">
        <v>-0.90430639999999995</v>
      </c>
      <c r="N4050">
        <v>-1.496635E-2</v>
      </c>
      <c r="O4050">
        <v>-0.4266218</v>
      </c>
      <c r="P4050">
        <v>-0.89869920000000003</v>
      </c>
      <c r="Q4050">
        <v>0.18720310000000001</v>
      </c>
      <c r="R4050">
        <v>-0.39660469999999998</v>
      </c>
      <c r="S4050">
        <v>-2.3789370000000001</v>
      </c>
      <c r="T4050">
        <v>0.1101809</v>
      </c>
      <c r="U4050">
        <v>-2.147964</v>
      </c>
      <c r="V4050">
        <v>1.9704320000000001E-2</v>
      </c>
      <c r="W4050">
        <v>0.2024347</v>
      </c>
      <c r="X4050">
        <v>0.97909749999999995</v>
      </c>
      <c r="Y4050">
        <v>-0.28974139999999998</v>
      </c>
      <c r="Z4050">
        <v>-1.8445710000000001E-2</v>
      </c>
      <c r="AA4050">
        <v>0.95692719999999998</v>
      </c>
      <c r="AB4050">
        <v>39</v>
      </c>
      <c r="AC4050">
        <v>-31.233699999999999</v>
      </c>
      <c r="AD4050">
        <v>1.4626729999999999</v>
      </c>
      <c r="AE4050">
        <v>-28.3477</v>
      </c>
      <c r="AF4050">
        <v>-12.2966200947868</v>
      </c>
      <c r="AG4050">
        <v>1.4626729999999999</v>
      </c>
      <c r="AH4050">
        <v>40.294641407918498</v>
      </c>
      <c r="AI4050">
        <v>88.011558549288495</v>
      </c>
      <c r="AJ4050">
        <v>106.97049238634899</v>
      </c>
      <c r="AK4050">
        <v>42.154530056130199</v>
      </c>
      <c r="AL4050">
        <v>78.320630005098494</v>
      </c>
      <c r="AM4050">
        <v>88.847079076344698</v>
      </c>
      <c r="AN4050">
        <v>0.99999999124850103</v>
      </c>
    </row>
    <row r="4051" spans="1:40" x14ac:dyDescent="0.25">
      <c r="A4051" t="str">
        <f>"20190303171058544"</f>
        <v>20190303171058544</v>
      </c>
      <c r="B4051" t="str">
        <f>"1551604258534796"</f>
        <v>1551604258534796</v>
      </c>
      <c r="C4051" t="s">
        <v>40</v>
      </c>
      <c r="D4051">
        <v>5.138401</v>
      </c>
      <c r="E4051">
        <v>0.37790570000000001</v>
      </c>
      <c r="F4051" t="s">
        <v>69</v>
      </c>
      <c r="G4051">
        <v>-440.20710000000003</v>
      </c>
      <c r="H4051">
        <v>2.528343</v>
      </c>
      <c r="I4051">
        <v>108.39830000000001</v>
      </c>
      <c r="J4051">
        <v>-409.31369999999998</v>
      </c>
      <c r="K4051">
        <v>1.1311899999999999</v>
      </c>
      <c r="L4051">
        <v>136.89250000000001</v>
      </c>
      <c r="M4051">
        <v>-0.89994010000000002</v>
      </c>
      <c r="N4051">
        <v>-1.4982860000000001E-2</v>
      </c>
      <c r="O4051">
        <v>-0.43575589999999997</v>
      </c>
      <c r="P4051">
        <v>-0.8946866</v>
      </c>
      <c r="Q4051">
        <v>0.18717900000000001</v>
      </c>
      <c r="R4051">
        <v>-0.4055861</v>
      </c>
      <c r="S4051">
        <v>-2.3602910000000001</v>
      </c>
      <c r="T4051">
        <v>0.10559109999999999</v>
      </c>
      <c r="U4051">
        <v>-2.1660460000000001</v>
      </c>
      <c r="V4051">
        <v>1.9757739999999999E-2</v>
      </c>
      <c r="W4051">
        <v>0.20243510000000001</v>
      </c>
      <c r="X4051">
        <v>0.97909639999999998</v>
      </c>
      <c r="Y4051">
        <v>-0.2877847</v>
      </c>
      <c r="Z4051">
        <v>-1.85075E-2</v>
      </c>
      <c r="AA4051">
        <v>0.95751629999999999</v>
      </c>
      <c r="AB4051">
        <v>39</v>
      </c>
      <c r="AC4051">
        <v>-30.8934</v>
      </c>
      <c r="AD4051">
        <v>1.3971530000000001</v>
      </c>
      <c r="AE4051">
        <v>-28.494199999999999</v>
      </c>
      <c r="AF4051">
        <v>-12.169011628652999</v>
      </c>
      <c r="AG4051">
        <v>1.3971530000000001</v>
      </c>
      <c r="AH4051">
        <v>40.178839486492201</v>
      </c>
      <c r="AI4051">
        <v>88.093876042316694</v>
      </c>
      <c r="AJ4051">
        <v>106.8500469338</v>
      </c>
      <c r="AK4051">
        <v>42.0044762258144</v>
      </c>
      <c r="AL4051">
        <v>78.320607289180799</v>
      </c>
      <c r="AM4051">
        <v>88.843952963426005</v>
      </c>
      <c r="AN4051">
        <v>1.0000000492474299</v>
      </c>
    </row>
    <row r="4052" spans="1:40" x14ac:dyDescent="0.25">
      <c r="A4052" t="str">
        <f>"20190303171058567"</f>
        <v>20190303171058567</v>
      </c>
      <c r="B4052" t="str">
        <f>"1551604258555293"</f>
        <v>1551604258555293</v>
      </c>
      <c r="C4052" t="s">
        <v>40</v>
      </c>
      <c r="D4052">
        <v>5.1321349999999999</v>
      </c>
      <c r="E4052">
        <v>0.38500069999999997</v>
      </c>
      <c r="F4052" t="s">
        <v>69</v>
      </c>
      <c r="G4052">
        <v>-440.20710000000003</v>
      </c>
      <c r="H4052">
        <v>2.4954890000000001</v>
      </c>
      <c r="I4052">
        <v>108.0401</v>
      </c>
      <c r="J4052">
        <v>-409.6619</v>
      </c>
      <c r="K4052">
        <v>1.1313059999999999</v>
      </c>
      <c r="L4052">
        <v>136.71459999999999</v>
      </c>
      <c r="M4052">
        <v>-0.89528030000000003</v>
      </c>
      <c r="N4052">
        <v>-1.499997E-2</v>
      </c>
      <c r="O4052">
        <v>-0.4452508</v>
      </c>
      <c r="P4052">
        <v>-0.89052919999999902</v>
      </c>
      <c r="Q4052">
        <v>0.1867954</v>
      </c>
      <c r="R4052">
        <v>-0.41480739999999999</v>
      </c>
      <c r="S4052">
        <v>-2.340576</v>
      </c>
      <c r="T4052">
        <v>0.1033647</v>
      </c>
      <c r="U4052">
        <v>-2.1859280000000001</v>
      </c>
      <c r="V4052">
        <v>1.9985679999999999E-2</v>
      </c>
      <c r="W4052">
        <v>0.2020826</v>
      </c>
      <c r="X4052">
        <v>0.97916449999999999</v>
      </c>
      <c r="Y4052">
        <v>-0.28601929999999998</v>
      </c>
      <c r="Z4052">
        <v>-1.878463E-2</v>
      </c>
      <c r="AA4052">
        <v>0.95803970000000005</v>
      </c>
      <c r="AB4052">
        <v>39</v>
      </c>
      <c r="AC4052">
        <v>-30.545200000000001</v>
      </c>
      <c r="AD4052">
        <v>1.3641829999999999</v>
      </c>
      <c r="AE4052">
        <v>-28.674499999999899</v>
      </c>
      <c r="AF4052">
        <v>-12.0600112774426</v>
      </c>
      <c r="AG4052">
        <v>1.3641829999999999</v>
      </c>
      <c r="AH4052">
        <v>40.075881048156702</v>
      </c>
      <c r="AI4052">
        <v>88.133044532502097</v>
      </c>
      <c r="AJ4052">
        <v>106.748086155241</v>
      </c>
      <c r="AK4052">
        <v>41.873393808665</v>
      </c>
      <c r="AL4052">
        <v>78.341229245370698</v>
      </c>
      <c r="AM4052">
        <v>88.830700933059703</v>
      </c>
      <c r="AN4052">
        <v>0.99999996134403502</v>
      </c>
    </row>
    <row r="4053" spans="1:40" x14ac:dyDescent="0.25">
      <c r="A4053" t="str">
        <f>"20190303171058589"</f>
        <v>20190303171058589</v>
      </c>
      <c r="B4053" t="str">
        <f>"1551604258574812"</f>
        <v>1551604258574812</v>
      </c>
      <c r="C4053" t="s">
        <v>40</v>
      </c>
      <c r="D4053">
        <v>5.1400589999999999</v>
      </c>
      <c r="E4053">
        <v>0.38585589999999997</v>
      </c>
      <c r="F4053" t="s">
        <v>69</v>
      </c>
      <c r="G4053">
        <v>-440.20710000000003</v>
      </c>
      <c r="H4053">
        <v>2.0329009999999998</v>
      </c>
      <c r="I4053">
        <v>108.5314</v>
      </c>
      <c r="J4053">
        <v>-409.99459999999999</v>
      </c>
      <c r="K4053">
        <v>1.131419</v>
      </c>
      <c r="L4053">
        <v>136.5403</v>
      </c>
      <c r="M4053">
        <v>-0.89063729999999997</v>
      </c>
      <c r="N4053">
        <v>-1.5017819999999999E-2</v>
      </c>
      <c r="O4053">
        <v>-0.4544668</v>
      </c>
      <c r="P4053">
        <v>-0.88617969999999902</v>
      </c>
      <c r="Q4053">
        <v>0.1860028</v>
      </c>
      <c r="R4053">
        <v>-0.4243691</v>
      </c>
      <c r="S4053">
        <v>-2.3460079999999999</v>
      </c>
      <c r="T4053">
        <v>6.9248080000000004E-2</v>
      </c>
      <c r="U4053">
        <v>-2.1645810000000001</v>
      </c>
      <c r="V4053">
        <v>1.958623E-2</v>
      </c>
      <c r="W4053">
        <v>0.20130680000000001</v>
      </c>
      <c r="X4053">
        <v>0.97933239999999999</v>
      </c>
      <c r="Y4053">
        <v>-0.2701904</v>
      </c>
      <c r="Z4053">
        <v>-1.5863740000000001E-2</v>
      </c>
      <c r="AA4053">
        <v>0.96267619999999998</v>
      </c>
      <c r="AB4053">
        <v>39</v>
      </c>
      <c r="AC4053">
        <v>-30.212499999999999</v>
      </c>
      <c r="AD4053">
        <v>0.90148200000000001</v>
      </c>
      <c r="AE4053">
        <v>-28.008900000000001</v>
      </c>
      <c r="AF4053">
        <v>-11.2110876088318</v>
      </c>
      <c r="AG4053">
        <v>0.90148200000000001</v>
      </c>
      <c r="AH4053">
        <v>39.622985463952801</v>
      </c>
      <c r="AI4053">
        <v>88.745878172624103</v>
      </c>
      <c r="AJ4053">
        <v>105.798544530982</v>
      </c>
      <c r="AK4053">
        <v>41.188373750924399</v>
      </c>
      <c r="AL4053">
        <v>78.386612442955197</v>
      </c>
      <c r="AM4053">
        <v>88.854261607110203</v>
      </c>
      <c r="AN4053">
        <v>0.99999999891080604</v>
      </c>
    </row>
    <row r="4054" spans="1:40" x14ac:dyDescent="0.25">
      <c r="A4054" t="str">
        <f>"20190303171058613"</f>
        <v>20190303171058613</v>
      </c>
      <c r="B4054" t="str">
        <f>"1551604258604599"</f>
        <v>1551604258604599</v>
      </c>
      <c r="C4054" t="s">
        <v>40</v>
      </c>
      <c r="D4054">
        <v>5.19001</v>
      </c>
      <c r="E4054">
        <v>0.38627879999999998</v>
      </c>
      <c r="F4054" t="s">
        <v>69</v>
      </c>
      <c r="G4054">
        <v>-440.20710000000003</v>
      </c>
      <c r="H4054">
        <v>1.9609939999999999</v>
      </c>
      <c r="I4054">
        <v>108.1726</v>
      </c>
      <c r="J4054">
        <v>-410.34949999999998</v>
      </c>
      <c r="K4054">
        <v>1.1315459999999999</v>
      </c>
      <c r="L4054">
        <v>136.3494</v>
      </c>
      <c r="M4054">
        <v>-0.88547019999999999</v>
      </c>
      <c r="N4054">
        <v>-1.5038640000000001E-2</v>
      </c>
      <c r="O4054">
        <v>-0.46445310000000001</v>
      </c>
      <c r="P4054">
        <v>-0.88076949999999998</v>
      </c>
      <c r="Q4054">
        <v>0.18548519999999999</v>
      </c>
      <c r="R4054">
        <v>-0.43570710000000001</v>
      </c>
      <c r="S4054">
        <v>-2.32605</v>
      </c>
      <c r="T4054">
        <v>6.3870430000000006E-2</v>
      </c>
      <c r="U4054">
        <v>-2.1840060000000001</v>
      </c>
      <c r="V4054">
        <v>1.8022440000000001E-2</v>
      </c>
      <c r="W4054">
        <v>0.2007785</v>
      </c>
      <c r="X4054">
        <v>0.97947079999999997</v>
      </c>
      <c r="Y4054">
        <v>-0.2677408</v>
      </c>
      <c r="Z4054">
        <v>-1.5679249999999999E-2</v>
      </c>
      <c r="AA4054">
        <v>0.96336339999999998</v>
      </c>
      <c r="AB4054">
        <v>39</v>
      </c>
      <c r="AC4054">
        <v>-29.857600000000001</v>
      </c>
      <c r="AD4054">
        <v>0.82944799999999996</v>
      </c>
      <c r="AE4054">
        <v>-28.1768</v>
      </c>
      <c r="AF4054">
        <v>-11.078991043272101</v>
      </c>
      <c r="AG4054">
        <v>0.82944799999999996</v>
      </c>
      <c r="AH4054">
        <v>39.5131518300038</v>
      </c>
      <c r="AI4054">
        <v>88.842083240189794</v>
      </c>
      <c r="AJ4054">
        <v>105.662828614395</v>
      </c>
      <c r="AK4054">
        <v>41.0453553287402</v>
      </c>
      <c r="AL4054">
        <v>78.417511915488106</v>
      </c>
      <c r="AM4054">
        <v>88.945866240779907</v>
      </c>
      <c r="AN4054">
        <v>0.99999993122921904</v>
      </c>
    </row>
    <row r="4055" spans="1:40" x14ac:dyDescent="0.25">
      <c r="A4055" t="str">
        <f>"20190303171058633"</f>
        <v>20190303171058633</v>
      </c>
      <c r="B4055" t="str">
        <f>"1551604258625096"</f>
        <v>1551604258625096</v>
      </c>
      <c r="C4055" t="s">
        <v>40</v>
      </c>
      <c r="D4055">
        <v>5.166512</v>
      </c>
      <c r="E4055">
        <v>0.39235439999999999</v>
      </c>
      <c r="F4055" t="s">
        <v>69</v>
      </c>
      <c r="G4055">
        <v>-440.20710000000003</v>
      </c>
      <c r="H4055">
        <v>1.9695860000000001</v>
      </c>
      <c r="I4055">
        <v>107.6467</v>
      </c>
      <c r="J4055">
        <v>-410.6678</v>
      </c>
      <c r="K4055">
        <v>1.1316759999999999</v>
      </c>
      <c r="L4055">
        <v>136.17359999999999</v>
      </c>
      <c r="M4055">
        <v>-0.88063570000000002</v>
      </c>
      <c r="N4055">
        <v>-1.505854E-2</v>
      </c>
      <c r="O4055">
        <v>-0.47355510000000001</v>
      </c>
      <c r="P4055">
        <v>-0.87550799999999995</v>
      </c>
      <c r="Q4055">
        <v>0.18531449999999999</v>
      </c>
      <c r="R4055">
        <v>-0.44625629999999999</v>
      </c>
      <c r="S4055">
        <v>-2.2991329999999999</v>
      </c>
      <c r="T4055">
        <v>6.4533590000000002E-2</v>
      </c>
      <c r="U4055">
        <v>-2.2101899999999999</v>
      </c>
      <c r="V4055">
        <v>1.63056E-2</v>
      </c>
      <c r="W4055">
        <v>0.2005903</v>
      </c>
      <c r="X4055">
        <v>0.97953950000000001</v>
      </c>
      <c r="Y4055">
        <v>-0.26914719999999998</v>
      </c>
      <c r="Z4055">
        <v>-1.6086710000000001E-2</v>
      </c>
      <c r="AA4055">
        <v>0.96296470000000001</v>
      </c>
      <c r="AB4055">
        <v>39</v>
      </c>
      <c r="AC4055">
        <v>-29.539300000000001</v>
      </c>
      <c r="AD4055">
        <v>0.83790999999999904</v>
      </c>
      <c r="AE4055">
        <v>-28.526900000000001</v>
      </c>
      <c r="AF4055">
        <v>-11.129946688951501</v>
      </c>
      <c r="AG4055">
        <v>0.83790999999999904</v>
      </c>
      <c r="AH4055">
        <v>39.5104447570804</v>
      </c>
      <c r="AI4055">
        <v>88.830591993181102</v>
      </c>
      <c r="AJ4055">
        <v>105.732332526923</v>
      </c>
      <c r="AK4055">
        <v>41.056705315567001</v>
      </c>
      <c r="AL4055">
        <v>78.428519557881103</v>
      </c>
      <c r="AM4055">
        <v>89.046331684111706</v>
      </c>
      <c r="AN4055">
        <v>0.99999998655284905</v>
      </c>
    </row>
    <row r="4056" spans="1:40" x14ac:dyDescent="0.25">
      <c r="A4056" t="str">
        <f>"20190303171058656"</f>
        <v>20190303171058656</v>
      </c>
      <c r="B4056" t="str">
        <f>"1551604258644615"</f>
        <v>1551604258644615</v>
      </c>
      <c r="C4056" t="s">
        <v>40</v>
      </c>
      <c r="D4056">
        <v>5.1736510000000004</v>
      </c>
      <c r="E4056">
        <v>0.39375349999999998</v>
      </c>
      <c r="F4056" t="s">
        <v>69</v>
      </c>
      <c r="G4056">
        <v>-440.20710000000003</v>
      </c>
      <c r="H4056">
        <v>1.5633060000000001</v>
      </c>
      <c r="I4056">
        <v>107.90389999999999</v>
      </c>
      <c r="J4056">
        <v>-410.99329999999998</v>
      </c>
      <c r="K4056">
        <v>1.131812</v>
      </c>
      <c r="L4056">
        <v>135.98939999999999</v>
      </c>
      <c r="M4056">
        <v>-0.87548780000000004</v>
      </c>
      <c r="N4056">
        <v>-1.507988E-2</v>
      </c>
      <c r="O4056">
        <v>-0.48300500000000002</v>
      </c>
      <c r="P4056">
        <v>-0.86979779999999995</v>
      </c>
      <c r="Q4056">
        <v>0.1860889</v>
      </c>
      <c r="R4056">
        <v>-0.45697159999999898</v>
      </c>
      <c r="S4056">
        <v>-2.2983090000000002</v>
      </c>
      <c r="T4056">
        <v>3.3584950000000002E-2</v>
      </c>
      <c r="U4056">
        <v>-2.1995239999999998</v>
      </c>
      <c r="V4056">
        <v>1.464941E-2</v>
      </c>
      <c r="W4056">
        <v>0.201347</v>
      </c>
      <c r="X4056">
        <v>0.97941040000000001</v>
      </c>
      <c r="Y4056">
        <v>-0.25651259999999998</v>
      </c>
      <c r="Z4056">
        <v>-1.289942E-2</v>
      </c>
      <c r="AA4056">
        <v>0.96645479999999995</v>
      </c>
      <c r="AB4056">
        <v>39</v>
      </c>
      <c r="AC4056">
        <v>-29.213799999999999</v>
      </c>
      <c r="AD4056">
        <v>0.43149399999999899</v>
      </c>
      <c r="AE4056">
        <v>-28.0855</v>
      </c>
      <c r="AF4056">
        <v>-10.4781041409592</v>
      </c>
      <c r="AG4056">
        <v>0.43149399999999899</v>
      </c>
      <c r="AH4056">
        <v>39.141773637301498</v>
      </c>
      <c r="AI4056">
        <v>89.389884986553497</v>
      </c>
      <c r="AJ4056">
        <v>104.986474859003</v>
      </c>
      <c r="AK4056">
        <v>40.522281487282697</v>
      </c>
      <c r="AL4056">
        <v>78.384260730577694</v>
      </c>
      <c r="AM4056">
        <v>89.143069361109596</v>
      </c>
      <c r="AN4056">
        <v>0.999999975625253</v>
      </c>
    </row>
    <row r="4057" spans="1:40" x14ac:dyDescent="0.25">
      <c r="A4057" t="str">
        <f>"20190303171058678"</f>
        <v>20190303171058678</v>
      </c>
      <c r="B4057" t="str">
        <f>"1551604258665112"</f>
        <v>1551604258665112</v>
      </c>
      <c r="C4057" t="s">
        <v>40</v>
      </c>
      <c r="D4057">
        <v>5.18262</v>
      </c>
      <c r="E4057">
        <v>0.3949666</v>
      </c>
      <c r="F4057" t="s">
        <v>69</v>
      </c>
      <c r="G4057">
        <v>-440.20710000000003</v>
      </c>
      <c r="H4057">
        <v>1.4750479999999999</v>
      </c>
      <c r="I4057">
        <v>107.5218</v>
      </c>
      <c r="J4057">
        <v>-411.32260000000002</v>
      </c>
      <c r="K4057">
        <v>1.1319520000000001</v>
      </c>
      <c r="L4057">
        <v>135.7979</v>
      </c>
      <c r="M4057">
        <v>-0.87004869999999901</v>
      </c>
      <c r="N4057">
        <v>-1.51028E-2</v>
      </c>
      <c r="O4057">
        <v>-0.49273430000000001</v>
      </c>
      <c r="P4057">
        <v>-0.86392289999999905</v>
      </c>
      <c r="Q4057">
        <v>0.1864181</v>
      </c>
      <c r="R4057">
        <v>-0.46785179999999998</v>
      </c>
      <c r="S4057">
        <v>-2.2774049999999999</v>
      </c>
      <c r="T4057">
        <v>2.6759270000000002E-2</v>
      </c>
      <c r="U4057">
        <v>-2.2192229999999999</v>
      </c>
      <c r="V4057">
        <v>1.315711E-2</v>
      </c>
      <c r="W4057">
        <v>0.2016646</v>
      </c>
      <c r="X4057">
        <v>0.97936619999999996</v>
      </c>
      <c r="Y4057">
        <v>-0.25443830000000001</v>
      </c>
      <c r="Z4057">
        <v>-1.2341080000000001E-2</v>
      </c>
      <c r="AA4057">
        <v>0.96701029999999999</v>
      </c>
      <c r="AB4057">
        <v>39</v>
      </c>
      <c r="AC4057">
        <v>-28.884499999999999</v>
      </c>
      <c r="AD4057">
        <v>0.34309599999999901</v>
      </c>
      <c r="AE4057">
        <v>-28.2761</v>
      </c>
      <c r="AF4057">
        <v>-10.369636220676499</v>
      </c>
      <c r="AG4057">
        <v>0.34309599999999901</v>
      </c>
      <c r="AH4057">
        <v>39.065168780143701</v>
      </c>
      <c r="AI4057">
        <v>89.513645694353002</v>
      </c>
      <c r="AJ4057">
        <v>104.866024054973</v>
      </c>
      <c r="AK4057">
        <v>40.419481466682598</v>
      </c>
      <c r="AL4057">
        <v>78.365682046364398</v>
      </c>
      <c r="AM4057">
        <v>89.230316987768404</v>
      </c>
      <c r="AN4057">
        <v>0.99999993706957402</v>
      </c>
    </row>
    <row r="4058" spans="1:40" x14ac:dyDescent="0.25">
      <c r="A4058" t="str">
        <f>"20190303171058701"</f>
        <v>20190303171058701</v>
      </c>
      <c r="B4058" t="str">
        <f>"1551604258694392"</f>
        <v>1551604258694392</v>
      </c>
      <c r="C4058" t="s">
        <v>40</v>
      </c>
      <c r="D4058">
        <v>5.1643280000000003</v>
      </c>
      <c r="E4058">
        <v>0.40176800000000001</v>
      </c>
      <c r="F4058" t="s">
        <v>69</v>
      </c>
      <c r="G4058">
        <v>-440.20710000000003</v>
      </c>
      <c r="H4058">
        <v>1.4429399999999999</v>
      </c>
      <c r="I4058">
        <v>107.0907</v>
      </c>
      <c r="J4058">
        <v>-411.65170000000001</v>
      </c>
      <c r="K4058">
        <v>1.13209</v>
      </c>
      <c r="L4058">
        <v>135.60130000000001</v>
      </c>
      <c r="M4058">
        <v>-0.86437759999999997</v>
      </c>
      <c r="N4058">
        <v>-1.5127160000000001E-2</v>
      </c>
      <c r="O4058">
        <v>-0.50261579999999995</v>
      </c>
      <c r="P4058">
        <v>-0.85774789999999901</v>
      </c>
      <c r="Q4058">
        <v>0.18582360000000001</v>
      </c>
      <c r="R4058">
        <v>-0.47931020000000002</v>
      </c>
      <c r="S4058">
        <v>-2.254089</v>
      </c>
      <c r="T4058">
        <v>2.4270529999999998E-2</v>
      </c>
      <c r="U4058">
        <v>-2.2402340000000001</v>
      </c>
      <c r="V4058">
        <v>1.1284280000000001E-2</v>
      </c>
      <c r="W4058">
        <v>0.2010509</v>
      </c>
      <c r="X4058">
        <v>0.97951580000000005</v>
      </c>
      <c r="Y4058">
        <v>-0.25294349999999999</v>
      </c>
      <c r="Z4058">
        <v>-1.2274439999999999E-2</v>
      </c>
      <c r="AA4058">
        <v>0.96740320000000002</v>
      </c>
      <c r="AB4058">
        <v>39</v>
      </c>
      <c r="AC4058">
        <v>-28.555399999999999</v>
      </c>
      <c r="AD4058">
        <v>0.31084999999999902</v>
      </c>
      <c r="AE4058">
        <v>-28.5106</v>
      </c>
      <c r="AF4058">
        <v>-10.292095165969499</v>
      </c>
      <c r="AG4058">
        <v>0.31084999999999902</v>
      </c>
      <c r="AH4058">
        <v>39.014673141922898</v>
      </c>
      <c r="AI4058">
        <v>89.558604281392903</v>
      </c>
      <c r="AJ4058">
        <v>104.777998039962</v>
      </c>
      <c r="AK4058">
        <v>40.350570888141803</v>
      </c>
      <c r="AL4058">
        <v>78.401580484701</v>
      </c>
      <c r="AM4058">
        <v>89.339966727559499</v>
      </c>
      <c r="AN4058">
        <v>1.0000000009077801</v>
      </c>
    </row>
    <row r="4059" spans="1:40" x14ac:dyDescent="0.25">
      <c r="A4059" t="str">
        <f>"20190303171058722"</f>
        <v>20190303171058722</v>
      </c>
      <c r="B4059" t="str">
        <f>"1551604258714887"</f>
        <v>1551604258714887</v>
      </c>
      <c r="C4059" t="s">
        <v>40</v>
      </c>
      <c r="D4059">
        <v>5.1495829999999998</v>
      </c>
      <c r="E4059">
        <v>0.40222839999999999</v>
      </c>
      <c r="F4059" t="s">
        <v>69</v>
      </c>
      <c r="G4059">
        <v>-440.20710000000003</v>
      </c>
      <c r="H4059">
        <v>1.042327</v>
      </c>
      <c r="I4059">
        <v>107.3745</v>
      </c>
      <c r="J4059">
        <v>-411.9742</v>
      </c>
      <c r="K4059">
        <v>1.132225</v>
      </c>
      <c r="L4059">
        <v>135.40350000000001</v>
      </c>
      <c r="M4059">
        <v>-0.85858989999999902</v>
      </c>
      <c r="N4059">
        <v>-1.5151390000000001E-2</v>
      </c>
      <c r="O4059">
        <v>-0.51243939999999999</v>
      </c>
      <c r="P4059">
        <v>-0.85120750000000001</v>
      </c>
      <c r="Q4059">
        <v>0.18554290000000001</v>
      </c>
      <c r="R4059">
        <v>-0.49093789999999998</v>
      </c>
      <c r="S4059">
        <v>-2.2540279999999999</v>
      </c>
      <c r="T4059">
        <v>-7.0834160000000004E-3</v>
      </c>
      <c r="U4059">
        <v>-2.2280730000000002</v>
      </c>
      <c r="V4059">
        <v>9.0904379999999993E-3</v>
      </c>
      <c r="W4059">
        <v>0.20073930000000001</v>
      </c>
      <c r="X4059">
        <v>0.97960250000000004</v>
      </c>
      <c r="Y4059">
        <v>-0.2391894</v>
      </c>
      <c r="Z4059">
        <v>-8.4314779999999992E-3</v>
      </c>
      <c r="AA4059">
        <v>0.97093640000000003</v>
      </c>
      <c r="AB4059">
        <v>38</v>
      </c>
      <c r="AC4059">
        <v>-28.232900000000001</v>
      </c>
      <c r="AD4059">
        <v>-8.9898000000000006E-2</v>
      </c>
      <c r="AE4059">
        <v>-28.029</v>
      </c>
      <c r="AF4059">
        <v>-9.5988172664670603</v>
      </c>
      <c r="AG4059">
        <v>-8.9898000000000006E-2</v>
      </c>
      <c r="AH4059">
        <v>38.607875198176401</v>
      </c>
      <c r="AI4059">
        <v>90.129470818029603</v>
      </c>
      <c r="AJ4059">
        <v>103.961980201217</v>
      </c>
      <c r="AK4059">
        <v>39.783330703743196</v>
      </c>
      <c r="AL4059">
        <v>78.419805163759193</v>
      </c>
      <c r="AM4059">
        <v>89.468326406285399</v>
      </c>
      <c r="AN4059">
        <v>0.99999998031688497</v>
      </c>
    </row>
    <row r="4060" spans="1:40" x14ac:dyDescent="0.25">
      <c r="A4060" t="str">
        <f>"20190303171058745"</f>
        <v>20190303171058745</v>
      </c>
      <c r="B4060" t="str">
        <f>"1551604258734407"</f>
        <v>1551604258734407</v>
      </c>
      <c r="C4060" t="s">
        <v>40</v>
      </c>
      <c r="D4060">
        <v>5.1695570000000002</v>
      </c>
      <c r="E4060">
        <v>0.40268080000000001</v>
      </c>
      <c r="F4060" t="s">
        <v>69</v>
      </c>
      <c r="G4060">
        <v>-440.75</v>
      </c>
      <c r="H4060">
        <v>1.0723929999999999</v>
      </c>
      <c r="I4060">
        <v>106.254</v>
      </c>
      <c r="J4060">
        <v>-412.28949999999998</v>
      </c>
      <c r="K4060">
        <v>1.1323449999999999</v>
      </c>
      <c r="L4060">
        <v>135.20519999999999</v>
      </c>
      <c r="M4060">
        <v>-0.85270669999999904</v>
      </c>
      <c r="N4060">
        <v>-1.517402E-2</v>
      </c>
      <c r="O4060">
        <v>-0.52216969999999996</v>
      </c>
      <c r="P4060">
        <v>-0.84477369999999996</v>
      </c>
      <c r="Q4060">
        <v>0.1860107</v>
      </c>
      <c r="R4060">
        <v>-0.50175449999999999</v>
      </c>
      <c r="S4060">
        <v>-2.2252809999999998</v>
      </c>
      <c r="T4060">
        <v>-4.6248440000000004E-3</v>
      </c>
      <c r="U4060">
        <v>-2.2541660000000001</v>
      </c>
      <c r="V4060">
        <v>7.6015229999999998E-3</v>
      </c>
      <c r="W4060">
        <v>0.2011915</v>
      </c>
      <c r="X4060">
        <v>0.97952249999999996</v>
      </c>
      <c r="Y4060">
        <v>-0.24003659999999999</v>
      </c>
      <c r="Z4060">
        <v>-8.8896140000000005E-3</v>
      </c>
      <c r="AA4060">
        <v>0.97072320000000001</v>
      </c>
      <c r="AB4060">
        <v>38</v>
      </c>
      <c r="AC4060">
        <v>-28.4605</v>
      </c>
      <c r="AD4060">
        <v>-5.99520000000002E-2</v>
      </c>
      <c r="AE4060">
        <v>-28.9512</v>
      </c>
      <c r="AF4060">
        <v>-9.8267806170125507</v>
      </c>
      <c r="AG4060">
        <v>-5.99520000000002E-2</v>
      </c>
      <c r="AH4060">
        <v>39.390344450563099</v>
      </c>
      <c r="AI4060">
        <v>90.084610774045899</v>
      </c>
      <c r="AJ4060">
        <v>104.00775717586799</v>
      </c>
      <c r="AK4060">
        <v>40.597640910171201</v>
      </c>
      <c r="AL4060">
        <v>78.393357414499306</v>
      </c>
      <c r="AM4060">
        <v>89.555368618068897</v>
      </c>
      <c r="AN4060">
        <v>1.0000000654151999</v>
      </c>
    </row>
    <row r="4061" spans="1:40" x14ac:dyDescent="0.25">
      <c r="A4061" t="str">
        <f>"20190303171058770"</f>
        <v>20190303171058770</v>
      </c>
      <c r="B4061" t="str">
        <f>"1551604258754904"</f>
        <v>1551604258754904</v>
      </c>
      <c r="C4061" t="s">
        <v>40</v>
      </c>
      <c r="D4061">
        <v>5.0900559999999997</v>
      </c>
      <c r="E4061">
        <v>0.3851946</v>
      </c>
      <c r="F4061" t="s">
        <v>69</v>
      </c>
      <c r="G4061">
        <v>-440.75</v>
      </c>
      <c r="H4061">
        <v>1.1262049999999999</v>
      </c>
      <c r="I4061">
        <v>105.6981</v>
      </c>
      <c r="J4061">
        <v>-412.6318</v>
      </c>
      <c r="K4061">
        <v>1.132479</v>
      </c>
      <c r="L4061">
        <v>134.98410000000001</v>
      </c>
      <c r="M4061">
        <v>-0.84604780000000002</v>
      </c>
      <c r="N4061">
        <v>-1.5198329999999999E-2</v>
      </c>
      <c r="O4061">
        <v>-0.53289059999999999</v>
      </c>
      <c r="P4061">
        <v>-0.83814439999999901</v>
      </c>
      <c r="Q4061">
        <v>0.18639439999999999</v>
      </c>
      <c r="R4061">
        <v>-0.51261159999999995</v>
      </c>
      <c r="S4061">
        <v>-2.1979060000000001</v>
      </c>
      <c r="T4061">
        <v>-4.723072E-4</v>
      </c>
      <c r="U4061">
        <v>-2.2787169999999999</v>
      </c>
      <c r="V4061">
        <v>7.2002890000000003E-3</v>
      </c>
      <c r="W4061">
        <v>0.20159079999999999</v>
      </c>
      <c r="X4061">
        <v>0.97944339999999996</v>
      </c>
      <c r="Y4061">
        <v>-0.2390555</v>
      </c>
      <c r="Z4061">
        <v>-9.5954030000000006E-3</v>
      </c>
      <c r="AA4061">
        <v>0.97095849999999995</v>
      </c>
      <c r="AB4061">
        <v>38</v>
      </c>
      <c r="AC4061">
        <v>-28.118200000000002</v>
      </c>
      <c r="AD4061">
        <v>-6.2740000000001102E-3</v>
      </c>
      <c r="AE4061">
        <v>-29.286000000000001</v>
      </c>
      <c r="AF4061">
        <v>-9.7945611756216699</v>
      </c>
      <c r="AG4061">
        <v>-6.2740000000001102E-3</v>
      </c>
      <c r="AH4061">
        <v>39.400120049193397</v>
      </c>
      <c r="AI4061">
        <v>90.008854185846999</v>
      </c>
      <c r="AJ4061">
        <v>103.96030027752199</v>
      </c>
      <c r="AK4061">
        <v>40.599297135257501</v>
      </c>
      <c r="AL4061">
        <v>78.370000285233502</v>
      </c>
      <c r="AM4061">
        <v>89.578802879837895</v>
      </c>
      <c r="AN4061">
        <v>1.00000003430494</v>
      </c>
    </row>
    <row r="4062" spans="1:40" x14ac:dyDescent="0.25">
      <c r="A4062" t="str">
        <f>"20190303171058803"</f>
        <v>20190303171058803</v>
      </c>
      <c r="B4062" t="str">
        <f>"1551604258794451"</f>
        <v>1551604258794451</v>
      </c>
      <c r="C4062" t="s">
        <v>40</v>
      </c>
      <c r="D4062">
        <v>5.032724</v>
      </c>
      <c r="E4062">
        <v>0.37354229999999999</v>
      </c>
      <c r="F4062" t="s">
        <v>69</v>
      </c>
      <c r="G4062">
        <v>-440.75</v>
      </c>
      <c r="H4062">
        <v>1.8688100000000001</v>
      </c>
      <c r="I4062">
        <v>102.4646</v>
      </c>
      <c r="J4062">
        <v>-413.10270000000003</v>
      </c>
      <c r="K4062">
        <v>1.1326719999999999</v>
      </c>
      <c r="L4062">
        <v>134.66970000000001</v>
      </c>
      <c r="M4062">
        <v>-0.83640219999999899</v>
      </c>
      <c r="N4062">
        <v>-1.523418E-2</v>
      </c>
      <c r="O4062">
        <v>-0.54790439999999996</v>
      </c>
      <c r="P4062">
        <v>-0.82853480000000002</v>
      </c>
      <c r="Q4062">
        <v>0.1864411</v>
      </c>
      <c r="R4062">
        <v>-0.52798679999999998</v>
      </c>
      <c r="S4062">
        <v>-2.0892940000000002</v>
      </c>
      <c r="T4062">
        <v>5.4713730000000002E-2</v>
      </c>
      <c r="U4062">
        <v>-2.4163209999999999</v>
      </c>
      <c r="V4062">
        <v>6.5033919999999898E-3</v>
      </c>
      <c r="W4062">
        <v>0.201659</v>
      </c>
      <c r="X4062">
        <v>0.97943420000000003</v>
      </c>
      <c r="Y4062">
        <v>-0.27454289999999998</v>
      </c>
      <c r="Z4062">
        <v>-1.7508619999999999E-2</v>
      </c>
      <c r="AA4062">
        <v>0.96141549999999998</v>
      </c>
      <c r="AB4062">
        <v>38</v>
      </c>
      <c r="AC4062">
        <v>-27.647299999999898</v>
      </c>
      <c r="AD4062">
        <v>0.73613799999999996</v>
      </c>
      <c r="AE4062">
        <v>-32.205100000000002</v>
      </c>
      <c r="AF4062">
        <v>-11.7861623671921</v>
      </c>
      <c r="AG4062">
        <v>0.73613799999999996</v>
      </c>
      <c r="AH4062">
        <v>40.762050125744501</v>
      </c>
      <c r="AI4062">
        <v>89.006090678247801</v>
      </c>
      <c r="AJ4062">
        <v>106.126986218223</v>
      </c>
      <c r="AK4062">
        <v>42.438193328116199</v>
      </c>
      <c r="AL4062">
        <v>78.366010366568801</v>
      </c>
      <c r="AM4062">
        <v>89.619564603550501</v>
      </c>
      <c r="AN4062">
        <v>0.99999999925907201</v>
      </c>
    </row>
    <row r="4063" spans="1:40" x14ac:dyDescent="0.25">
      <c r="A4063" t="str">
        <f>"20190303171058824"</f>
        <v>20190303171058824</v>
      </c>
      <c r="B4063" t="str">
        <f>"1551604258814947"</f>
        <v>1551604258814947</v>
      </c>
      <c r="C4063" t="s">
        <v>40</v>
      </c>
      <c r="D4063">
        <v>5.002281</v>
      </c>
      <c r="E4063">
        <v>0.37282609999999999</v>
      </c>
      <c r="F4063" t="s">
        <v>69</v>
      </c>
      <c r="G4063">
        <v>-440.75</v>
      </c>
      <c r="H4063">
        <v>2.8325269999999998</v>
      </c>
      <c r="I4063">
        <v>99.603620000000006</v>
      </c>
      <c r="J4063">
        <v>-413.40879999999999</v>
      </c>
      <c r="K4063">
        <v>1.132792</v>
      </c>
      <c r="L4063">
        <v>134.45849999999999</v>
      </c>
      <c r="M4063">
        <v>-0.82981059999999995</v>
      </c>
      <c r="N4063">
        <v>-1.5259379999999999E-2</v>
      </c>
      <c r="O4063">
        <v>-0.55783669999999996</v>
      </c>
      <c r="P4063">
        <v>-0.82219189999999998</v>
      </c>
      <c r="Q4063">
        <v>0.18600949999999999</v>
      </c>
      <c r="R4063">
        <v>-0.53796009999999905</v>
      </c>
      <c r="S4063">
        <v>-1.9871829999999999</v>
      </c>
      <c r="T4063">
        <v>0.12218</v>
      </c>
      <c r="U4063">
        <v>-2.5204010000000001</v>
      </c>
      <c r="V4063">
        <v>6.3453340000000002E-3</v>
      </c>
      <c r="W4063">
        <v>0.20125219999999999</v>
      </c>
      <c r="X4063">
        <v>0.97951889999999997</v>
      </c>
      <c r="Y4063">
        <v>-0.30672690000000002</v>
      </c>
      <c r="Z4063">
        <v>-2.6760550000000001E-2</v>
      </c>
      <c r="AA4063">
        <v>0.95142130000000003</v>
      </c>
      <c r="AB4063">
        <v>38</v>
      </c>
      <c r="AC4063">
        <v>-27.341200000000001</v>
      </c>
      <c r="AD4063">
        <v>1.699735</v>
      </c>
      <c r="AE4063">
        <v>-34.854879999999902</v>
      </c>
      <c r="AF4063">
        <v>-13.6525146470142</v>
      </c>
      <c r="AG4063">
        <v>1.699735</v>
      </c>
      <c r="AH4063">
        <v>42.074306389202498</v>
      </c>
      <c r="AI4063">
        <v>87.799431235664798</v>
      </c>
      <c r="AJ4063">
        <v>107.977510273939</v>
      </c>
      <c r="AK4063">
        <v>44.266550728395899</v>
      </c>
      <c r="AL4063">
        <v>78.389806090212105</v>
      </c>
      <c r="AM4063">
        <v>89.628842514050405</v>
      </c>
      <c r="AN4063">
        <v>0.99999999336280998</v>
      </c>
    </row>
    <row r="4064" spans="1:40" x14ac:dyDescent="0.25">
      <c r="A4064" t="str">
        <f>"20190303171058846"</f>
        <v>20190303171058846</v>
      </c>
      <c r="B4064" t="str">
        <f>"1551604258834467"</f>
        <v>1551604258834467</v>
      </c>
      <c r="C4064" t="s">
        <v>40</v>
      </c>
      <c r="D4064">
        <v>4.9526159999999999</v>
      </c>
      <c r="E4064">
        <v>0.37315379999999998</v>
      </c>
      <c r="F4064" t="s">
        <v>69</v>
      </c>
      <c r="G4064">
        <v>-440.49970000000002</v>
      </c>
      <c r="H4064">
        <v>2.8837139999999999</v>
      </c>
      <c r="I4064">
        <v>99.129630000000006</v>
      </c>
      <c r="J4064">
        <v>-413.69929999999999</v>
      </c>
      <c r="K4064">
        <v>1.132917</v>
      </c>
      <c r="L4064">
        <v>134.25290000000001</v>
      </c>
      <c r="M4064">
        <v>-0.8233142</v>
      </c>
      <c r="N4064">
        <v>-1.5283700000000001E-2</v>
      </c>
      <c r="O4064">
        <v>-0.5673802</v>
      </c>
      <c r="P4064">
        <v>-0.81557100000000005</v>
      </c>
      <c r="Q4064">
        <v>0.1857289</v>
      </c>
      <c r="R4064">
        <v>-0.54804079999999999</v>
      </c>
      <c r="S4064">
        <v>-1.95343</v>
      </c>
      <c r="T4064">
        <v>0.1262537</v>
      </c>
      <c r="U4064">
        <v>-2.5474239999999999</v>
      </c>
      <c r="V4064">
        <v>5.5773519999999998E-3</v>
      </c>
      <c r="W4064">
        <v>0.2009775</v>
      </c>
      <c r="X4064">
        <v>0.97958000000000001</v>
      </c>
      <c r="Y4064">
        <v>-0.308577299999999</v>
      </c>
      <c r="Z4064">
        <v>-2.7841029999999999E-2</v>
      </c>
      <c r="AA4064">
        <v>0.95079170000000002</v>
      </c>
      <c r="AB4064">
        <v>38</v>
      </c>
      <c r="AC4064">
        <v>-26.8004</v>
      </c>
      <c r="AD4064">
        <v>1.7507969999999999</v>
      </c>
      <c r="AE4064">
        <v>-35.123269999999998</v>
      </c>
      <c r="AF4064">
        <v>-13.6915699245681</v>
      </c>
      <c r="AG4064">
        <v>1.7507969999999999</v>
      </c>
      <c r="AH4064">
        <v>41.932449004109998</v>
      </c>
      <c r="AI4064">
        <v>87.727088037972294</v>
      </c>
      <c r="AJ4064">
        <v>108.082632527874</v>
      </c>
      <c r="AK4064">
        <v>44.145833966715799</v>
      </c>
      <c r="AL4064">
        <v>78.405873842240396</v>
      </c>
      <c r="AM4064">
        <v>89.673783379148901</v>
      </c>
      <c r="AN4064">
        <v>1.0000000193807901</v>
      </c>
    </row>
    <row r="4065" spans="1:40" x14ac:dyDescent="0.25">
      <c r="A4065" t="str">
        <f>"20190303171058868"</f>
        <v>20190303171058868</v>
      </c>
      <c r="B4065" t="str">
        <f>"1551604258864723"</f>
        <v>1551604258864723</v>
      </c>
      <c r="C4065" t="s">
        <v>40</v>
      </c>
      <c r="D4065">
        <v>4.9073339999999996</v>
      </c>
      <c r="E4065">
        <v>0.37425249999999999</v>
      </c>
      <c r="F4065" t="s">
        <v>69</v>
      </c>
      <c r="G4065">
        <v>-440.20710000000003</v>
      </c>
      <c r="H4065">
        <v>2.7938139999999998</v>
      </c>
      <c r="I4065">
        <v>98.845389999999995</v>
      </c>
      <c r="J4065">
        <v>-413.99810000000002</v>
      </c>
      <c r="K4065">
        <v>1.133041</v>
      </c>
      <c r="L4065">
        <v>134.036</v>
      </c>
      <c r="M4065">
        <v>-0.81637009999999999</v>
      </c>
      <c r="N4065">
        <v>-1.5308270000000001E-2</v>
      </c>
      <c r="O4065">
        <v>-0.57732640000000002</v>
      </c>
      <c r="P4065">
        <v>-0.80856879999999998</v>
      </c>
      <c r="Q4065">
        <v>0.1849838</v>
      </c>
      <c r="R4065">
        <v>-0.55856740000000005</v>
      </c>
      <c r="S4065">
        <v>-1.9240109999999999</v>
      </c>
      <c r="T4065">
        <v>0.1205536</v>
      </c>
      <c r="U4065">
        <v>-2.5699619999999999</v>
      </c>
      <c r="V4065">
        <v>4.8176139999999996E-3</v>
      </c>
      <c r="W4065">
        <v>0.20023940000000001</v>
      </c>
      <c r="X4065">
        <v>0.97973509999999997</v>
      </c>
      <c r="Y4065">
        <v>-0.3079962</v>
      </c>
      <c r="Z4065">
        <v>-2.7638019999999999E-2</v>
      </c>
      <c r="AA4065">
        <v>0.95098609999999995</v>
      </c>
      <c r="AB4065">
        <v>38</v>
      </c>
      <c r="AC4065">
        <v>-26.209</v>
      </c>
      <c r="AD4065">
        <v>1.6607729999999901</v>
      </c>
      <c r="AE4065">
        <v>-35.1906099999999</v>
      </c>
      <c r="AF4065">
        <v>-13.5795519260377</v>
      </c>
      <c r="AG4065">
        <v>1.6607729999999901</v>
      </c>
      <c r="AH4065">
        <v>41.657916176560597</v>
      </c>
      <c r="AI4065">
        <v>87.829305933565095</v>
      </c>
      <c r="AJ4065">
        <v>108.05481375487901</v>
      </c>
      <c r="AK4065">
        <v>43.846828592759501</v>
      </c>
      <c r="AL4065">
        <v>78.449040534713404</v>
      </c>
      <c r="AM4065">
        <v>89.718263921736096</v>
      </c>
      <c r="AN4065">
        <v>0.99999994644450996</v>
      </c>
    </row>
    <row r="4066" spans="1:40" x14ac:dyDescent="0.25">
      <c r="A4066" t="str">
        <f>"20190303171058891"</f>
        <v>20190303171058891</v>
      </c>
      <c r="B4066" t="str">
        <f>"1551604258885219"</f>
        <v>1551604258885219</v>
      </c>
      <c r="C4066" t="s">
        <v>40</v>
      </c>
      <c r="D4066">
        <v>4.9330780000000001</v>
      </c>
      <c r="E4066">
        <v>0.3752202</v>
      </c>
      <c r="F4066" t="s">
        <v>69</v>
      </c>
      <c r="G4066">
        <v>-440.20710000000003</v>
      </c>
      <c r="H4066">
        <v>2.6604679999999998</v>
      </c>
      <c r="I4066">
        <v>98.260040000000004</v>
      </c>
      <c r="J4066">
        <v>-414.32060000000001</v>
      </c>
      <c r="K4066">
        <v>1.133178</v>
      </c>
      <c r="L4066">
        <v>133.79570000000001</v>
      </c>
      <c r="M4066">
        <v>-0.80857440000000003</v>
      </c>
      <c r="N4066">
        <v>-1.5335440000000001E-2</v>
      </c>
      <c r="O4066">
        <v>-0.58819440000000001</v>
      </c>
      <c r="P4066">
        <v>-0.80041969999999996</v>
      </c>
      <c r="Q4066">
        <v>0.1846903</v>
      </c>
      <c r="R4066">
        <v>-0.57027919999999999</v>
      </c>
      <c r="S4066">
        <v>-1.8965449999999999</v>
      </c>
      <c r="T4066">
        <v>0.1105295</v>
      </c>
      <c r="U4066">
        <v>-2.5888209999999998</v>
      </c>
      <c r="V4066">
        <v>3.6365400000000002E-3</v>
      </c>
      <c r="W4066">
        <v>0.19994139999999999</v>
      </c>
      <c r="X4066">
        <v>0.97980109999999998</v>
      </c>
      <c r="Y4066">
        <v>-0.30509789999999998</v>
      </c>
      <c r="Z4066">
        <v>-2.685355E-2</v>
      </c>
      <c r="AA4066">
        <v>0.95194230000000002</v>
      </c>
      <c r="AB4066">
        <v>38</v>
      </c>
      <c r="AC4066">
        <v>-25.886500000000002</v>
      </c>
      <c r="AD4066">
        <v>1.52728999999999</v>
      </c>
      <c r="AE4066">
        <v>-35.53566</v>
      </c>
      <c r="AF4066">
        <v>-13.4922341199225</v>
      </c>
      <c r="AG4066">
        <v>1.52728999999999</v>
      </c>
      <c r="AH4066">
        <v>41.787520078063899</v>
      </c>
      <c r="AI4066">
        <v>88.008002091824295</v>
      </c>
      <c r="AJ4066">
        <v>107.894080987553</v>
      </c>
      <c r="AK4066">
        <v>43.938250199177197</v>
      </c>
      <c r="AL4066">
        <v>78.466467616775205</v>
      </c>
      <c r="AM4066">
        <v>89.787347210259597</v>
      </c>
      <c r="AN4066">
        <v>0.99999999170916998</v>
      </c>
    </row>
    <row r="4067" spans="1:40" x14ac:dyDescent="0.25">
      <c r="A4067" t="str">
        <f>"20190303171058913"</f>
        <v>20190303171058913</v>
      </c>
      <c r="B4067" t="str">
        <f>"1551604258905246"</f>
        <v>1551604258905246</v>
      </c>
      <c r="C4067" t="s">
        <v>40</v>
      </c>
      <c r="D4067">
        <v>4.898104</v>
      </c>
      <c r="E4067">
        <v>0.37616719999999998</v>
      </c>
      <c r="F4067" t="s">
        <v>69</v>
      </c>
      <c r="G4067">
        <v>-440.20710000000003</v>
      </c>
      <c r="H4067">
        <v>2.5801850000000002</v>
      </c>
      <c r="I4067">
        <v>97.546549999999996</v>
      </c>
      <c r="J4067">
        <v>-414.6071</v>
      </c>
      <c r="K4067">
        <v>1.133294</v>
      </c>
      <c r="L4067">
        <v>133.5763</v>
      </c>
      <c r="M4067">
        <v>-0.80136149999999995</v>
      </c>
      <c r="N4067">
        <v>-1.5360769999999999E-2</v>
      </c>
      <c r="O4067">
        <v>-0.59798309999999999</v>
      </c>
      <c r="P4067">
        <v>-0.79260439999999999</v>
      </c>
      <c r="Q4067">
        <v>0.18481919999999999</v>
      </c>
      <c r="R4067">
        <v>-0.58105090000000004</v>
      </c>
      <c r="S4067">
        <v>-1.864136</v>
      </c>
      <c r="T4067">
        <v>0.10420260000000001</v>
      </c>
      <c r="U4067">
        <v>-2.6103519999999998</v>
      </c>
      <c r="V4067">
        <v>2.2144259999999998E-3</v>
      </c>
      <c r="W4067">
        <v>0.20005439999999999</v>
      </c>
      <c r="X4067">
        <v>0.97978229999999999</v>
      </c>
      <c r="Y4067">
        <v>-0.30503170000000002</v>
      </c>
      <c r="Z4067">
        <v>-2.6457850000000002E-2</v>
      </c>
      <c r="AA4067">
        <v>0.9519746</v>
      </c>
      <c r="AB4067">
        <v>38</v>
      </c>
      <c r="AC4067">
        <v>-25.6</v>
      </c>
      <c r="AD4067">
        <v>1.4468909999999899</v>
      </c>
      <c r="AE4067">
        <v>-36.02975</v>
      </c>
      <c r="AF4067">
        <v>-13.5515650667482</v>
      </c>
      <c r="AG4067">
        <v>1.4468909999999899</v>
      </c>
      <c r="AH4067">
        <v>42.019967909514698</v>
      </c>
      <c r="AI4067">
        <v>88.123013334472205</v>
      </c>
      <c r="AJ4067">
        <v>107.874666265926</v>
      </c>
      <c r="AK4067">
        <v>44.174835737564798</v>
      </c>
      <c r="AL4067">
        <v>78.459859915099102</v>
      </c>
      <c r="AM4067">
        <v>89.870504858263999</v>
      </c>
      <c r="AN4067">
        <v>1.00000001101757</v>
      </c>
    </row>
    <row r="4068" spans="1:40" x14ac:dyDescent="0.25">
      <c r="A4068" t="str">
        <f>"20190303171058935"</f>
        <v>20190303171058935</v>
      </c>
      <c r="B4068" t="str">
        <f>"1551604258924767"</f>
        <v>1551604258924767</v>
      </c>
      <c r="C4068" t="s">
        <v>40</v>
      </c>
      <c r="D4068">
        <v>4.8763040000000002</v>
      </c>
      <c r="E4068">
        <v>0.37728339999999999</v>
      </c>
      <c r="F4068" t="s">
        <v>69</v>
      </c>
      <c r="G4068">
        <v>-440.20710000000003</v>
      </c>
      <c r="H4068">
        <v>2.5270169999999998</v>
      </c>
      <c r="I4068">
        <v>96.854609999999994</v>
      </c>
      <c r="J4068">
        <v>-414.89870000000002</v>
      </c>
      <c r="K4068">
        <v>1.1334139999999999</v>
      </c>
      <c r="L4068">
        <v>133.34719999999999</v>
      </c>
      <c r="M4068">
        <v>-0.79373640000000001</v>
      </c>
      <c r="N4068">
        <v>-1.538719E-2</v>
      </c>
      <c r="O4068">
        <v>-0.60806749999999998</v>
      </c>
      <c r="P4068">
        <v>-0.78451850000000001</v>
      </c>
      <c r="Q4068">
        <v>0.18507199999999999</v>
      </c>
      <c r="R4068">
        <v>-0.59184429999999999</v>
      </c>
      <c r="S4068">
        <v>-1.8335570000000001</v>
      </c>
      <c r="T4068">
        <v>9.9824070000000001E-2</v>
      </c>
      <c r="U4068">
        <v>-2.630112</v>
      </c>
      <c r="V4068">
        <v>1.0843910000000001E-3</v>
      </c>
      <c r="W4068">
        <v>0.20030020000000001</v>
      </c>
      <c r="X4068">
        <v>0.97973399999999999</v>
      </c>
      <c r="Y4068">
        <v>-0.30377609999999999</v>
      </c>
      <c r="Z4068">
        <v>-2.6335529999999999E-2</v>
      </c>
      <c r="AA4068">
        <v>0.95237939999999999</v>
      </c>
      <c r="AB4068">
        <v>38</v>
      </c>
      <c r="AC4068">
        <v>-25.308399999999999</v>
      </c>
      <c r="AD4068">
        <v>1.3936029999999999</v>
      </c>
      <c r="AE4068">
        <v>-36.4925899999999</v>
      </c>
      <c r="AF4068">
        <v>-13.5645292447026</v>
      </c>
      <c r="AG4068">
        <v>1.3936029999999999</v>
      </c>
      <c r="AH4068">
        <v>42.241558365564799</v>
      </c>
      <c r="AI4068">
        <v>88.200846406241993</v>
      </c>
      <c r="AJ4068">
        <v>107.80276486278299</v>
      </c>
      <c r="AK4068">
        <v>44.3879244401382</v>
      </c>
      <c r="AL4068">
        <v>78.445485876992507</v>
      </c>
      <c r="AM4068">
        <v>89.936583805123902</v>
      </c>
      <c r="AN4068">
        <v>1.00000002838994</v>
      </c>
    </row>
    <row r="4069" spans="1:40" x14ac:dyDescent="0.25">
      <c r="A4069" t="str">
        <f>"20190303171058961"</f>
        <v>20190303171058961</v>
      </c>
      <c r="B4069" t="str">
        <f>"1551604258955023"</f>
        <v>1551604258955023</v>
      </c>
      <c r="C4069" t="s">
        <v>40</v>
      </c>
      <c r="D4069">
        <v>4.8788790000000004</v>
      </c>
      <c r="E4069">
        <v>0.37829289999999999</v>
      </c>
      <c r="F4069" t="s">
        <v>69</v>
      </c>
      <c r="G4069">
        <v>-440.75</v>
      </c>
      <c r="H4069">
        <v>2.5039530000000001</v>
      </c>
      <c r="I4069">
        <v>95.376589999999993</v>
      </c>
      <c r="J4069">
        <v>-415.20769999999999</v>
      </c>
      <c r="K4069">
        <v>1.133548</v>
      </c>
      <c r="L4069">
        <v>133.09739999999999</v>
      </c>
      <c r="M4069">
        <v>-0.78532199999999996</v>
      </c>
      <c r="N4069">
        <v>-1.5415420000000001E-2</v>
      </c>
      <c r="O4069">
        <v>-0.61889569999999905</v>
      </c>
      <c r="P4069">
        <v>-0.77556179999999997</v>
      </c>
      <c r="Q4069">
        <v>0.1851612</v>
      </c>
      <c r="R4069">
        <v>-0.60350590000000004</v>
      </c>
      <c r="S4069">
        <v>-1.8032840000000001</v>
      </c>
      <c r="T4069">
        <v>9.5604419999999996E-2</v>
      </c>
      <c r="U4069">
        <v>-2.648666</v>
      </c>
      <c r="V4069">
        <v>-2.091192E-4</v>
      </c>
      <c r="W4069">
        <v>0.20037859999999999</v>
      </c>
      <c r="X4069">
        <v>0.97971850000000005</v>
      </c>
      <c r="Y4069">
        <v>-0.3012321</v>
      </c>
      <c r="Z4069">
        <v>-2.6252020000000001E-2</v>
      </c>
      <c r="AA4069">
        <v>0.95318939999999996</v>
      </c>
      <c r="AB4069">
        <v>38</v>
      </c>
      <c r="AC4069">
        <v>-25.542300000000001</v>
      </c>
      <c r="AD4069">
        <v>1.3704049999999901</v>
      </c>
      <c r="AE4069">
        <v>-37.720809999999901</v>
      </c>
      <c r="AF4069">
        <v>-13.804110915872</v>
      </c>
      <c r="AG4069">
        <v>1.3704049999999901</v>
      </c>
      <c r="AH4069">
        <v>43.370084053393903</v>
      </c>
      <c r="AI4069">
        <v>88.275369526490195</v>
      </c>
      <c r="AJ4069">
        <v>107.65556887659601</v>
      </c>
      <c r="AK4069">
        <v>45.534554778104201</v>
      </c>
      <c r="AL4069">
        <v>78.440900405375103</v>
      </c>
      <c r="AM4069">
        <v>90.012229683723604</v>
      </c>
      <c r="AN4069">
        <v>0.99999998315552396</v>
      </c>
    </row>
    <row r="4070" spans="1:40" x14ac:dyDescent="0.25">
      <c r="A4070" t="str">
        <f>"20190303171058982"</f>
        <v>20190303171058982</v>
      </c>
      <c r="B4070" t="str">
        <f>"1551604258974542"</f>
        <v>1551604258974542</v>
      </c>
      <c r="C4070" t="s">
        <v>40</v>
      </c>
      <c r="D4070">
        <v>4.8645110000000003</v>
      </c>
      <c r="E4070">
        <v>0.39254830000000002</v>
      </c>
      <c r="F4070" t="s">
        <v>69</v>
      </c>
      <c r="G4070">
        <v>-440.75</v>
      </c>
      <c r="H4070">
        <v>2.4583439999999999</v>
      </c>
      <c r="I4070">
        <v>94.541409999999999</v>
      </c>
      <c r="J4070">
        <v>-415.50479999999999</v>
      </c>
      <c r="K4070">
        <v>1.133669</v>
      </c>
      <c r="L4070">
        <v>132.85040000000001</v>
      </c>
      <c r="M4070">
        <v>-0.77689799999999998</v>
      </c>
      <c r="N4070">
        <v>-1.544272E-2</v>
      </c>
      <c r="O4070">
        <v>-0.62943709999999997</v>
      </c>
      <c r="P4070">
        <v>-0.76672390000000001</v>
      </c>
      <c r="Q4070">
        <v>0.18553120000000001</v>
      </c>
      <c r="R4070">
        <v>-0.61458330000000005</v>
      </c>
      <c r="S4070">
        <v>-1.768707</v>
      </c>
      <c r="T4070">
        <v>9.1738100000000003E-2</v>
      </c>
      <c r="U4070">
        <v>-2.6698460000000002</v>
      </c>
      <c r="V4070">
        <v>-1.1914779999999999E-3</v>
      </c>
      <c r="W4070">
        <v>0.2007458</v>
      </c>
      <c r="X4070">
        <v>0.97964260000000003</v>
      </c>
      <c r="Y4070">
        <v>-0.30040709999999998</v>
      </c>
      <c r="Z4070">
        <v>-2.6166189999999999E-2</v>
      </c>
      <c r="AA4070">
        <v>0.95345210000000002</v>
      </c>
      <c r="AB4070">
        <v>38</v>
      </c>
      <c r="AC4070">
        <v>-25.245200000000001</v>
      </c>
      <c r="AD4070">
        <v>1.3246749999999901</v>
      </c>
      <c r="AE4070">
        <v>-38.308990000000001</v>
      </c>
      <c r="AF4070">
        <v>-13.862010141647501</v>
      </c>
      <c r="AG4070">
        <v>1.3246749999999901</v>
      </c>
      <c r="AH4070">
        <v>43.694832288529099</v>
      </c>
      <c r="AI4070">
        <v>88.344773546864303</v>
      </c>
      <c r="AJ4070">
        <v>107.601421163558</v>
      </c>
      <c r="AK4070">
        <v>45.8600965736603</v>
      </c>
      <c r="AL4070">
        <v>78.419424761587393</v>
      </c>
      <c r="AM4070">
        <v>90.069685237373207</v>
      </c>
      <c r="AN4070">
        <v>0.999999959786111</v>
      </c>
    </row>
    <row r="4071" spans="1:40" x14ac:dyDescent="0.25">
      <c r="A4071" t="str">
        <f>"20190303171059005"</f>
        <v>20190303171059005</v>
      </c>
      <c r="B4071" t="str">
        <f>"1551604258994571"</f>
        <v>1551604258994571</v>
      </c>
      <c r="C4071" t="s">
        <v>40</v>
      </c>
      <c r="D4071">
        <v>4.8775740000000001</v>
      </c>
      <c r="E4071">
        <v>0.3938198</v>
      </c>
      <c r="F4071" t="s">
        <v>69</v>
      </c>
      <c r="G4071">
        <v>-440.20710000000003</v>
      </c>
      <c r="H4071">
        <v>1.5109709999999901</v>
      </c>
      <c r="I4071">
        <v>97.052959999999999</v>
      </c>
      <c r="J4071">
        <v>-415.80110000000002</v>
      </c>
      <c r="K4071">
        <v>1.133778</v>
      </c>
      <c r="L4071">
        <v>132.59710000000001</v>
      </c>
      <c r="M4071">
        <v>-0.76816680000000004</v>
      </c>
      <c r="N4071">
        <v>-1.5469439999999999E-2</v>
      </c>
      <c r="O4071">
        <v>-0.64006280000000004</v>
      </c>
      <c r="P4071">
        <v>-0.75752159999999902</v>
      </c>
      <c r="Q4071">
        <v>0.1849324</v>
      </c>
      <c r="R4071">
        <v>-0.62606799999999996</v>
      </c>
      <c r="S4071">
        <v>-1.807037</v>
      </c>
      <c r="T4071">
        <v>2.7602080000000001E-2</v>
      </c>
      <c r="U4071">
        <v>-2.618652</v>
      </c>
      <c r="V4071">
        <v>-2.428281E-3</v>
      </c>
      <c r="W4071">
        <v>0.2001366</v>
      </c>
      <c r="X4071">
        <v>0.979765</v>
      </c>
      <c r="Y4071">
        <v>-0.26884720000000001</v>
      </c>
      <c r="Z4071">
        <v>-1.616948E-2</v>
      </c>
      <c r="AA4071">
        <v>0.96304710000000004</v>
      </c>
      <c r="AB4071">
        <v>38</v>
      </c>
      <c r="AC4071">
        <v>-24.405999999999999</v>
      </c>
      <c r="AD4071">
        <v>0.377192999999999</v>
      </c>
      <c r="AE4071">
        <v>-35.544139999999999</v>
      </c>
      <c r="AF4071">
        <v>-11.6829599950984</v>
      </c>
      <c r="AG4071">
        <v>0.377192999999999</v>
      </c>
      <c r="AH4071">
        <v>41.500152453166301</v>
      </c>
      <c r="AI4071">
        <v>89.498738679171296</v>
      </c>
      <c r="AJ4071">
        <v>105.722764273389</v>
      </c>
      <c r="AK4071">
        <v>43.114921807216199</v>
      </c>
      <c r="AL4071">
        <v>78.455052920818005</v>
      </c>
      <c r="AM4071">
        <v>90.142003406835101</v>
      </c>
      <c r="AN4071">
        <v>1.0000000052165801</v>
      </c>
    </row>
    <row r="4072" spans="1:40" x14ac:dyDescent="0.25">
      <c r="A4072" t="str">
        <f>"20190303171059024"</f>
        <v>20190303171059024</v>
      </c>
      <c r="B4072" t="str">
        <f>"1551604259015067"</f>
        <v>1551604259015067</v>
      </c>
      <c r="C4072" t="s">
        <v>40</v>
      </c>
      <c r="D4072">
        <v>4.8588500000000003</v>
      </c>
      <c r="E4072">
        <v>0.39497660000000001</v>
      </c>
      <c r="F4072" t="s">
        <v>69</v>
      </c>
      <c r="G4072">
        <v>-440.75</v>
      </c>
      <c r="H4072">
        <v>1.433673</v>
      </c>
      <c r="I4072">
        <v>95.510249999999999</v>
      </c>
      <c r="J4072">
        <v>-416.03730000000002</v>
      </c>
      <c r="K4072">
        <v>1.1338619999999999</v>
      </c>
      <c r="L4072">
        <v>132.38999999999999</v>
      </c>
      <c r="M4072">
        <v>-0.76096119999999901</v>
      </c>
      <c r="N4072">
        <v>-1.548969E-2</v>
      </c>
      <c r="O4072">
        <v>-0.64861250000000004</v>
      </c>
      <c r="P4072">
        <v>-0.7494828</v>
      </c>
      <c r="Q4072">
        <v>0.18430070000000001</v>
      </c>
      <c r="R4072">
        <v>-0.6358528</v>
      </c>
      <c r="S4072">
        <v>-1.7747189999999999</v>
      </c>
      <c r="T4072">
        <v>2.133417E-2</v>
      </c>
      <c r="U4072">
        <v>-2.6381230000000002</v>
      </c>
      <c r="V4072">
        <v>-4.1238029999999997E-3</v>
      </c>
      <c r="W4072">
        <v>0.19947319999999999</v>
      </c>
      <c r="X4072">
        <v>0.97989459999999995</v>
      </c>
      <c r="Y4072">
        <v>-0.26946490000000001</v>
      </c>
      <c r="Z4072">
        <v>-1.531684E-2</v>
      </c>
      <c r="AA4072">
        <v>0.96288839999999998</v>
      </c>
      <c r="AB4072">
        <v>38</v>
      </c>
      <c r="AC4072">
        <v>-24.712699999999899</v>
      </c>
      <c r="AD4072">
        <v>0.29981099999999899</v>
      </c>
      <c r="AE4072">
        <v>-36.879749999999902</v>
      </c>
      <c r="AF4072">
        <v>-12.035987474709</v>
      </c>
      <c r="AG4072">
        <v>0.29981099999999899</v>
      </c>
      <c r="AH4072">
        <v>42.729249301710396</v>
      </c>
      <c r="AI4072">
        <v>89.613046809873097</v>
      </c>
      <c r="AJ4072">
        <v>105.731482038987</v>
      </c>
      <c r="AK4072">
        <v>44.393058320133697</v>
      </c>
      <c r="AL4072">
        <v>78.493845042892104</v>
      </c>
      <c r="AM4072">
        <v>90.241122986676004</v>
      </c>
      <c r="AN4072">
        <v>0.99999999518929095</v>
      </c>
    </row>
    <row r="4073" spans="1:40" x14ac:dyDescent="0.25">
      <c r="A4073" t="str">
        <f>"20190303171059047"</f>
        <v>20190303171059047</v>
      </c>
      <c r="B4073" t="str">
        <f>"1551604259034587"</f>
        <v>1551604259034587</v>
      </c>
      <c r="C4073" t="s">
        <v>40</v>
      </c>
      <c r="D4073">
        <v>4.8446759999999998</v>
      </c>
      <c r="E4073">
        <v>0.4019489</v>
      </c>
      <c r="F4073" t="s">
        <v>69</v>
      </c>
      <c r="G4073">
        <v>-440.75</v>
      </c>
      <c r="H4073">
        <v>1.354344</v>
      </c>
      <c r="I4073">
        <v>94.83417</v>
      </c>
      <c r="J4073">
        <v>-416.3125</v>
      </c>
      <c r="K4073">
        <v>1.1339589999999999</v>
      </c>
      <c r="L4073">
        <v>132.14279999999999</v>
      </c>
      <c r="M4073">
        <v>-0.75227559999999905</v>
      </c>
      <c r="N4073">
        <v>-1.5512740000000001E-2</v>
      </c>
      <c r="O4073">
        <v>-0.65866579999999997</v>
      </c>
      <c r="P4073">
        <v>-0.74002849999999998</v>
      </c>
      <c r="Q4073">
        <v>0.18456729999999999</v>
      </c>
      <c r="R4073">
        <v>-0.64675569999999905</v>
      </c>
      <c r="S4073">
        <v>-1.746796</v>
      </c>
      <c r="T4073">
        <v>1.558614E-2</v>
      </c>
      <c r="U4073">
        <v>-2.6545869999999998</v>
      </c>
      <c r="V4073">
        <v>-5.5537709999999999E-3</v>
      </c>
      <c r="W4073">
        <v>0.19971620000000001</v>
      </c>
      <c r="X4073">
        <v>0.97983810000000005</v>
      </c>
      <c r="Y4073">
        <v>-0.26645740000000001</v>
      </c>
      <c r="Z4073">
        <v>-1.4532089999999999E-2</v>
      </c>
      <c r="AA4073">
        <v>0.96373710000000001</v>
      </c>
      <c r="AB4073">
        <v>38</v>
      </c>
      <c r="AC4073">
        <v>-24.4375</v>
      </c>
      <c r="AD4073">
        <v>0.220385</v>
      </c>
      <c r="AE4073">
        <v>-37.308630000000001</v>
      </c>
      <c r="AF4073">
        <v>-11.971375608496</v>
      </c>
      <c r="AG4073">
        <v>0.220385</v>
      </c>
      <c r="AH4073">
        <v>42.961777305280101</v>
      </c>
      <c r="AI4073">
        <v>89.716873405403305</v>
      </c>
      <c r="AJ4073">
        <v>105.570589862014</v>
      </c>
      <c r="AK4073">
        <v>44.599066276508502</v>
      </c>
      <c r="AL4073">
        <v>78.479636948764806</v>
      </c>
      <c r="AM4073">
        <v>90.324751845314907</v>
      </c>
      <c r="AN4073">
        <v>1.0000000535631799</v>
      </c>
    </row>
    <row r="4074" spans="1:40" x14ac:dyDescent="0.25">
      <c r="A4074" t="str">
        <f>"20190303171059068"</f>
        <v>20190303171059068</v>
      </c>
      <c r="B4074" t="str">
        <f>"1551604259055084"</f>
        <v>1551604259055084</v>
      </c>
      <c r="C4074" t="s">
        <v>40</v>
      </c>
      <c r="D4074">
        <v>4.8612830000000002</v>
      </c>
      <c r="E4074">
        <v>0.40296159999999998</v>
      </c>
      <c r="F4074" t="s">
        <v>69</v>
      </c>
      <c r="G4074">
        <v>-440.75</v>
      </c>
      <c r="H4074">
        <v>1.1107039999999999</v>
      </c>
      <c r="I4074">
        <v>95.163669999999996</v>
      </c>
      <c r="J4074">
        <v>-416.58749999999998</v>
      </c>
      <c r="K4074">
        <v>1.1340629999999901</v>
      </c>
      <c r="L4074">
        <v>131.8888</v>
      </c>
      <c r="M4074">
        <v>-0.74326930000000002</v>
      </c>
      <c r="N4074">
        <v>-1.5536080000000001E-2</v>
      </c>
      <c r="O4074">
        <v>-0.66881219999999997</v>
      </c>
      <c r="P4074">
        <v>-0.72993989999999997</v>
      </c>
      <c r="Q4074">
        <v>0.18522069999999999</v>
      </c>
      <c r="R4074">
        <v>-0.65793729999999995</v>
      </c>
      <c r="S4074">
        <v>-1.7456970000000001</v>
      </c>
      <c r="T4074">
        <v>-1.6596320000000001E-3</v>
      </c>
      <c r="U4074">
        <v>-2.6415860000000002</v>
      </c>
      <c r="V4074">
        <v>-7.348823E-3</v>
      </c>
      <c r="W4074">
        <v>0.20033239999999999</v>
      </c>
      <c r="X4074">
        <v>0.97970040000000003</v>
      </c>
      <c r="Y4074">
        <v>-0.25140800000000002</v>
      </c>
      <c r="Z4074">
        <v>-1.156654E-2</v>
      </c>
      <c r="AA4074">
        <v>0.96781209999999995</v>
      </c>
      <c r="AB4074">
        <v>38</v>
      </c>
      <c r="AC4074">
        <v>-24.162500000000001</v>
      </c>
      <c r="AD4074">
        <v>-2.3358999999999599E-2</v>
      </c>
      <c r="AE4074">
        <v>-36.72513</v>
      </c>
      <c r="AF4074">
        <v>-11.137825867271999</v>
      </c>
      <c r="AG4074">
        <v>-2.3358999999999599E-2</v>
      </c>
      <c r="AH4074">
        <v>42.5265719689693</v>
      </c>
      <c r="AI4074">
        <v>90.030444601245705</v>
      </c>
      <c r="AJ4074">
        <v>104.67628491091</v>
      </c>
      <c r="AK4074">
        <v>43.960903472568397</v>
      </c>
      <c r="AL4074">
        <v>78.443602156357102</v>
      </c>
      <c r="AM4074">
        <v>90.429772862648207</v>
      </c>
      <c r="AN4074">
        <v>0.99999997472470203</v>
      </c>
    </row>
    <row r="4075" spans="1:40" x14ac:dyDescent="0.25">
      <c r="A4075" t="str">
        <f>"20190303171059092"</f>
        <v>20190303171059092</v>
      </c>
      <c r="B4075" t="str">
        <f>"1551604259085338"</f>
        <v>1551604259085338</v>
      </c>
      <c r="C4075" t="s">
        <v>40</v>
      </c>
      <c r="D4075">
        <v>4.877561</v>
      </c>
      <c r="E4075">
        <v>0.40459970000000001</v>
      </c>
      <c r="F4075" t="s">
        <v>69</v>
      </c>
      <c r="G4075">
        <v>-440.75</v>
      </c>
      <c r="H4075">
        <v>1.048851</v>
      </c>
      <c r="I4075">
        <v>94.282749999999993</v>
      </c>
      <c r="J4075">
        <v>-416.86989999999997</v>
      </c>
      <c r="K4075">
        <v>1.13416299999999</v>
      </c>
      <c r="L4075">
        <v>131.62090000000001</v>
      </c>
      <c r="M4075">
        <v>-0.73366750000000003</v>
      </c>
      <c r="N4075">
        <v>-1.556073E-2</v>
      </c>
      <c r="O4075">
        <v>-0.67933069999999995</v>
      </c>
      <c r="P4075">
        <v>-0.71954790000000002</v>
      </c>
      <c r="Q4075">
        <v>0.1857162</v>
      </c>
      <c r="R4075">
        <v>-0.669149199999999</v>
      </c>
      <c r="S4075">
        <v>-1.71109</v>
      </c>
      <c r="T4075">
        <v>-6.0327050000000002E-3</v>
      </c>
      <c r="U4075">
        <v>-2.6630859999999998</v>
      </c>
      <c r="V4075">
        <v>-8.7064489999999998E-3</v>
      </c>
      <c r="W4075">
        <v>0.20080609999999999</v>
      </c>
      <c r="X4075">
        <v>0.97959229999999997</v>
      </c>
      <c r="Y4075">
        <v>-0.25006349999999999</v>
      </c>
      <c r="Z4075">
        <v>-1.0905730000000001E-2</v>
      </c>
      <c r="AA4075">
        <v>0.96816800000000003</v>
      </c>
      <c r="AB4075">
        <v>38</v>
      </c>
      <c r="AC4075">
        <v>-23.880099999999999</v>
      </c>
      <c r="AD4075">
        <v>-8.5311999999999805E-2</v>
      </c>
      <c r="AE4075">
        <v>-37.338149999999999</v>
      </c>
      <c r="AF4075">
        <v>-11.1726115737667</v>
      </c>
      <c r="AG4075">
        <v>-8.5311999999999805E-2</v>
      </c>
      <c r="AH4075">
        <v>42.8900316607535</v>
      </c>
      <c r="AI4075">
        <v>90.110285708936502</v>
      </c>
      <c r="AJ4075">
        <v>104.60074451531</v>
      </c>
      <c r="AK4075">
        <v>44.321432099787202</v>
      </c>
      <c r="AL4075">
        <v>78.415898285608606</v>
      </c>
      <c r="AM4075">
        <v>90.509221691263605</v>
      </c>
      <c r="AN4075">
        <v>0.99999998313534399</v>
      </c>
    </row>
    <row r="4076" spans="1:40" x14ac:dyDescent="0.25">
      <c r="A4076" t="str">
        <f>"20190303171059113"</f>
        <v>20190303171059113</v>
      </c>
      <c r="B4076" t="str">
        <f>"1551604259104859"</f>
        <v>1551604259104859</v>
      </c>
      <c r="C4076" t="s">
        <v>40</v>
      </c>
      <c r="D4076">
        <v>4.8752279999999999</v>
      </c>
      <c r="E4076">
        <v>0.41051189999999999</v>
      </c>
      <c r="F4076" t="s">
        <v>69</v>
      </c>
      <c r="G4076">
        <v>-440.75</v>
      </c>
      <c r="H4076">
        <v>1.0695140000000001</v>
      </c>
      <c r="I4076">
        <v>93.497600000000006</v>
      </c>
      <c r="J4076">
        <v>-417.11959999999999</v>
      </c>
      <c r="K4076">
        <v>1.1342509999999999</v>
      </c>
      <c r="L4076">
        <v>131.37729999999999</v>
      </c>
      <c r="M4076">
        <v>-0.72485359999999999</v>
      </c>
      <c r="N4076">
        <v>-1.5583369999999999E-2</v>
      </c>
      <c r="O4076">
        <v>-0.68872679999999997</v>
      </c>
      <c r="P4076">
        <v>-0.71017839999999999</v>
      </c>
      <c r="Q4076">
        <v>0.1851804</v>
      </c>
      <c r="R4076">
        <v>-0.67923149999999999</v>
      </c>
      <c r="S4076">
        <v>-1.6784969999999999</v>
      </c>
      <c r="T4076">
        <v>-4.5424699999999998E-3</v>
      </c>
      <c r="U4076">
        <v>-2.679611</v>
      </c>
      <c r="V4076">
        <v>-9.8375029999999992E-3</v>
      </c>
      <c r="W4076">
        <v>0.2002562</v>
      </c>
      <c r="X4076">
        <v>0.97969419999999996</v>
      </c>
      <c r="Y4076">
        <v>-0.24872340000000001</v>
      </c>
      <c r="Z4076">
        <v>-1.130342E-2</v>
      </c>
      <c r="AA4076">
        <v>0.96850860000000005</v>
      </c>
      <c r="AB4076">
        <v>38</v>
      </c>
      <c r="AC4076">
        <v>-23.630400000000002</v>
      </c>
      <c r="AD4076">
        <v>-6.4737000000000197E-2</v>
      </c>
      <c r="AE4076">
        <v>-37.8796999999999</v>
      </c>
      <c r="AF4076">
        <v>-11.1836805882749</v>
      </c>
      <c r="AG4076">
        <v>-6.4737000000000197E-2</v>
      </c>
      <c r="AH4076">
        <v>43.222498574440799</v>
      </c>
      <c r="AI4076">
        <v>90.083079336725007</v>
      </c>
      <c r="AJ4076">
        <v>104.506935928893</v>
      </c>
      <c r="AK4076">
        <v>44.645977258844503</v>
      </c>
      <c r="AL4076">
        <v>78.448058971952705</v>
      </c>
      <c r="AM4076">
        <v>90.575310601870896</v>
      </c>
      <c r="AN4076">
        <v>1.0000000238086699</v>
      </c>
    </row>
    <row r="4077" spans="1:40" x14ac:dyDescent="0.25">
      <c r="A4077" t="str">
        <f>"20190303171059136"</f>
        <v>20190303171059136</v>
      </c>
      <c r="B4077" t="str">
        <f>"1551604259124379"</f>
        <v>1551604259124379</v>
      </c>
      <c r="C4077" t="s">
        <v>40</v>
      </c>
      <c r="D4077">
        <v>4.8759169999999896</v>
      </c>
      <c r="E4077">
        <v>0.41235719999999998</v>
      </c>
      <c r="F4077" t="s">
        <v>69</v>
      </c>
      <c r="G4077">
        <v>-440.75</v>
      </c>
      <c r="H4077">
        <v>0.78528199999999904</v>
      </c>
      <c r="I4077">
        <v>93.678089999999997</v>
      </c>
      <c r="J4077">
        <v>-417.3809</v>
      </c>
      <c r="K4077">
        <v>1.134344</v>
      </c>
      <c r="L4077">
        <v>131.1156</v>
      </c>
      <c r="M4077">
        <v>-0.71529240000000005</v>
      </c>
      <c r="N4077">
        <v>-1.560755E-2</v>
      </c>
      <c r="O4077">
        <v>-0.69865109999999997</v>
      </c>
      <c r="P4077">
        <v>-0.70032950000000005</v>
      </c>
      <c r="Q4077">
        <v>0.18496460000000001</v>
      </c>
      <c r="R4077">
        <v>-0.68943980000000005</v>
      </c>
      <c r="S4077">
        <v>-1.674957</v>
      </c>
      <c r="T4077">
        <v>-2.4733660000000001E-2</v>
      </c>
      <c r="U4077">
        <v>-2.6721499999999998</v>
      </c>
      <c r="V4077">
        <v>-1.052048E-2</v>
      </c>
      <c r="W4077">
        <v>0.20004130000000001</v>
      </c>
      <c r="X4077">
        <v>0.97973100000000002</v>
      </c>
      <c r="Y4077">
        <v>-0.2350149</v>
      </c>
      <c r="Z4077">
        <v>-7.4254730000000001E-3</v>
      </c>
      <c r="AA4077">
        <v>0.97196340000000003</v>
      </c>
      <c r="AB4077">
        <v>38</v>
      </c>
      <c r="AC4077">
        <v>-23.3691</v>
      </c>
      <c r="AD4077">
        <v>-0.34906199999999998</v>
      </c>
      <c r="AE4077">
        <v>-37.437509999999897</v>
      </c>
      <c r="AF4077">
        <v>-10.452537411569599</v>
      </c>
      <c r="AG4077">
        <v>-0.34906199999999998</v>
      </c>
      <c r="AH4077">
        <v>42.8740339340196</v>
      </c>
      <c r="AI4077">
        <v>90.453194146432097</v>
      </c>
      <c r="AJ4077">
        <v>103.70122929137599</v>
      </c>
      <c r="AK4077">
        <v>44.1311700320258</v>
      </c>
      <c r="AL4077">
        <v>78.460626048128503</v>
      </c>
      <c r="AM4077">
        <v>90.615225950536598</v>
      </c>
      <c r="AN4077">
        <v>1.0000000172830601</v>
      </c>
    </row>
    <row r="4078" spans="1:40" x14ac:dyDescent="0.25">
      <c r="A4078" t="str">
        <f>"20190303171059159"</f>
        <v>20190303171059159</v>
      </c>
      <c r="B4078" t="str">
        <f>"1551604259144875"</f>
        <v>1551604259144875</v>
      </c>
      <c r="C4078" t="s">
        <v>40</v>
      </c>
      <c r="D4078">
        <v>4.8756069999999996</v>
      </c>
      <c r="E4078">
        <v>0.41295700000000002</v>
      </c>
      <c r="F4078" t="s">
        <v>69</v>
      </c>
      <c r="G4078">
        <v>-440.75</v>
      </c>
      <c r="H4078">
        <v>0.70155669999999903</v>
      </c>
      <c r="I4078">
        <v>92.993120000000005</v>
      </c>
      <c r="J4078">
        <v>-417.64139999999998</v>
      </c>
      <c r="K4078">
        <v>1.1344379999999901</v>
      </c>
      <c r="L4078">
        <v>130.8467</v>
      </c>
      <c r="M4078">
        <v>-0.705376</v>
      </c>
      <c r="N4078">
        <v>-1.5632719999999999E-2</v>
      </c>
      <c r="O4078">
        <v>-0.70866099999999999</v>
      </c>
      <c r="P4078">
        <v>-0.69064130000000001</v>
      </c>
      <c r="Q4078">
        <v>0.18496770000000001</v>
      </c>
      <c r="R4078">
        <v>-0.69914370000000003</v>
      </c>
      <c r="S4078">
        <v>-1.6469119999999999</v>
      </c>
      <c r="T4078">
        <v>-3.049874E-2</v>
      </c>
      <c r="U4078">
        <v>-2.6866150000000002</v>
      </c>
      <c r="V4078">
        <v>-1.043446E-2</v>
      </c>
      <c r="W4078">
        <v>0.20007079999999999</v>
      </c>
      <c r="X4078">
        <v>0.97972590000000004</v>
      </c>
      <c r="Y4078">
        <v>-0.23100589999999999</v>
      </c>
      <c r="Z4078">
        <v>-6.3116190000000001E-3</v>
      </c>
      <c r="AA4078">
        <v>0.97293189999999996</v>
      </c>
      <c r="AB4078">
        <v>38</v>
      </c>
      <c r="AC4078">
        <v>-23.108599999999999</v>
      </c>
      <c r="AD4078">
        <v>-0.43288129999999903</v>
      </c>
      <c r="AE4078">
        <v>-37.853580000000001</v>
      </c>
      <c r="AF4078">
        <v>-10.3251209263638</v>
      </c>
      <c r="AG4078">
        <v>-0.43288129999999903</v>
      </c>
      <c r="AH4078">
        <v>43.126767462244501</v>
      </c>
      <c r="AI4078">
        <v>90.559278077230303</v>
      </c>
      <c r="AJ4078">
        <v>103.463943420276</v>
      </c>
      <c r="AK4078">
        <v>44.347644583522602</v>
      </c>
      <c r="AL4078">
        <v>78.458900992905797</v>
      </c>
      <c r="AM4078">
        <v>90.610199154845304</v>
      </c>
      <c r="AN4078">
        <v>1.0000000210494699</v>
      </c>
    </row>
    <row r="4079" spans="1:40" x14ac:dyDescent="0.25">
      <c r="A4079" t="str">
        <f>"20190303171059182"</f>
        <v>20190303171059182</v>
      </c>
      <c r="B4079" t="str">
        <f>"1551604259175131"</f>
        <v>1551604259175131</v>
      </c>
      <c r="C4079" t="s">
        <v>40</v>
      </c>
      <c r="D4079">
        <v>4.9021800000000004</v>
      </c>
      <c r="E4079">
        <v>0.42141390000000001</v>
      </c>
      <c r="F4079" t="s">
        <v>69</v>
      </c>
      <c r="G4079">
        <v>-440.75</v>
      </c>
      <c r="H4079">
        <v>0.65874969999999999</v>
      </c>
      <c r="I4079">
        <v>92.072000000000003</v>
      </c>
      <c r="J4079">
        <v>-417.91800000000001</v>
      </c>
      <c r="K4079">
        <v>1.134539</v>
      </c>
      <c r="L4079">
        <v>130.55240000000001</v>
      </c>
      <c r="M4079">
        <v>-0.6944167</v>
      </c>
      <c r="N4079">
        <v>-1.5660239999999999E-2</v>
      </c>
      <c r="O4079">
        <v>-0.71940280000000001</v>
      </c>
      <c r="P4079">
        <v>-0.67959309999999995</v>
      </c>
      <c r="Q4079">
        <v>0.18460509999999999</v>
      </c>
      <c r="R4079">
        <v>-0.70998190000000005</v>
      </c>
      <c r="S4079">
        <v>-1.612976</v>
      </c>
      <c r="T4079">
        <v>-3.3201340000000003E-2</v>
      </c>
      <c r="U4079">
        <v>-2.7064509999999999</v>
      </c>
      <c r="V4079">
        <v>-1.086785E-2</v>
      </c>
      <c r="W4079">
        <v>0.19972039999999999</v>
      </c>
      <c r="X4079">
        <v>0.97979269999999996</v>
      </c>
      <c r="Y4079">
        <v>-0.22820460000000001</v>
      </c>
      <c r="Z4079">
        <v>-5.7901369999999999E-3</v>
      </c>
      <c r="AA4079">
        <v>0.97359600000000002</v>
      </c>
      <c r="AB4079">
        <v>38</v>
      </c>
      <c r="AC4079">
        <v>-22.831999999999901</v>
      </c>
      <c r="AD4079">
        <v>-0.47578930000000003</v>
      </c>
      <c r="AE4079">
        <v>-38.480400000000003</v>
      </c>
      <c r="AF4079">
        <v>-10.2961252408269</v>
      </c>
      <c r="AG4079">
        <v>-0.47578930000000003</v>
      </c>
      <c r="AH4079">
        <v>43.538242259512799</v>
      </c>
      <c r="AI4079">
        <v>90.609303268237795</v>
      </c>
      <c r="AJ4079">
        <v>103.305135931973</v>
      </c>
      <c r="AK4079">
        <v>44.741648488637701</v>
      </c>
      <c r="AL4079">
        <v>78.479391219637705</v>
      </c>
      <c r="AM4079">
        <v>90.635498103444107</v>
      </c>
      <c r="AN4079">
        <v>1.00000004165653</v>
      </c>
    </row>
    <row r="4080" spans="1:40" x14ac:dyDescent="0.25">
      <c r="A4080" t="str">
        <f>"20190303171059214"</f>
        <v>20190303171059214</v>
      </c>
      <c r="B4080" t="str">
        <f>"1551604259204412"</f>
        <v>1551604259204412</v>
      </c>
      <c r="C4080" t="s">
        <v>40</v>
      </c>
      <c r="D4080">
        <v>4.8657120000000003</v>
      </c>
      <c r="E4080">
        <v>0.421429</v>
      </c>
      <c r="F4080" t="s">
        <v>69</v>
      </c>
      <c r="G4080">
        <v>-440.75</v>
      </c>
      <c r="H4080">
        <v>0.2140321</v>
      </c>
      <c r="I4080">
        <v>92.664410000000004</v>
      </c>
      <c r="J4080">
        <v>-418.26799999999997</v>
      </c>
      <c r="K4080">
        <v>1.1346620000000001</v>
      </c>
      <c r="L4080">
        <v>130.16739999999999</v>
      </c>
      <c r="M4080">
        <v>-0.67991610000000002</v>
      </c>
      <c r="N4080">
        <v>-1.5694039999999999E-2</v>
      </c>
      <c r="O4080">
        <v>-0.7331221</v>
      </c>
      <c r="P4080">
        <v>-0.66453580000000001</v>
      </c>
      <c r="Q4080">
        <v>0.18400359999999999</v>
      </c>
      <c r="R4080">
        <v>-0.7242478</v>
      </c>
      <c r="S4080">
        <v>-1.6213379999999999</v>
      </c>
      <c r="T4080">
        <v>-6.5364839999999994E-2</v>
      </c>
      <c r="U4080">
        <v>-2.6904750000000002</v>
      </c>
      <c r="V4080">
        <v>-1.2029420000000001E-2</v>
      </c>
      <c r="W4080">
        <v>0.19911290000000001</v>
      </c>
      <c r="X4080">
        <v>0.97990270000000002</v>
      </c>
      <c r="Y4080">
        <v>-0.20391239999999999</v>
      </c>
      <c r="Z4080">
        <v>1.1898989999999999E-3</v>
      </c>
      <c r="AA4080">
        <v>0.97898839999999998</v>
      </c>
      <c r="AB4080">
        <v>37</v>
      </c>
      <c r="AC4080">
        <v>-22.4819999999999</v>
      </c>
      <c r="AD4080">
        <v>-0.9206299</v>
      </c>
      <c r="AE4080">
        <v>-37.502989999999897</v>
      </c>
      <c r="AF4080">
        <v>-9.0139493788069807</v>
      </c>
      <c r="AG4080">
        <v>-0.9206299</v>
      </c>
      <c r="AH4080">
        <v>42.766450720447303</v>
      </c>
      <c r="AI4080">
        <v>91.206706709986705</v>
      </c>
      <c r="AJ4080">
        <v>101.90210971946701</v>
      </c>
      <c r="AK4080">
        <v>43.715765463284697</v>
      </c>
      <c r="AL4080">
        <v>78.514911099150893</v>
      </c>
      <c r="AM4080">
        <v>90.703335520695006</v>
      </c>
      <c r="AN4080">
        <v>0.99999997767961701</v>
      </c>
    </row>
    <row r="4081" spans="1:40" x14ac:dyDescent="0.25">
      <c r="A4081" t="str">
        <f>"20190303171059236"</f>
        <v>20190303171059236</v>
      </c>
      <c r="B4081" t="str">
        <f>"1551604259224907"</f>
        <v>1551604259224907</v>
      </c>
      <c r="C4081" t="s">
        <v>40</v>
      </c>
      <c r="D4081">
        <v>4.8063099999999999</v>
      </c>
      <c r="E4081">
        <v>0.37879819999999997</v>
      </c>
      <c r="F4081" t="s">
        <v>69</v>
      </c>
      <c r="G4081">
        <v>-440.75</v>
      </c>
      <c r="H4081">
        <v>0.17390999999999901</v>
      </c>
      <c r="I4081">
        <v>91.040989999999994</v>
      </c>
      <c r="J4081">
        <v>-418.5034</v>
      </c>
      <c r="K4081">
        <v>1.134735</v>
      </c>
      <c r="L4081">
        <v>129.89940000000001</v>
      </c>
      <c r="M4081">
        <v>-0.66971910000000001</v>
      </c>
      <c r="N4081">
        <v>-1.5715639999999999E-2</v>
      </c>
      <c r="O4081">
        <v>-0.74244840000000001</v>
      </c>
      <c r="P4081">
        <v>-0.65402439999999995</v>
      </c>
      <c r="Q4081">
        <v>0.1841275</v>
      </c>
      <c r="R4081">
        <v>-0.73372299999999901</v>
      </c>
      <c r="S4081">
        <v>-1.5648500000000001</v>
      </c>
      <c r="T4081">
        <v>-6.6870810000000003E-2</v>
      </c>
      <c r="U4081">
        <v>-2.7233580000000002</v>
      </c>
      <c r="V4081">
        <v>-1.264026E-2</v>
      </c>
      <c r="W4081">
        <v>0.19923540000000001</v>
      </c>
      <c r="X4081">
        <v>0.97987009999999997</v>
      </c>
      <c r="Y4081">
        <v>-0.2107455</v>
      </c>
      <c r="Z4081">
        <v>1.495084E-3</v>
      </c>
      <c r="AA4081">
        <v>0.97753979999999996</v>
      </c>
      <c r="AB4081">
        <v>37</v>
      </c>
      <c r="AC4081">
        <v>-22.246600000000001</v>
      </c>
      <c r="AD4081">
        <v>-0.96082500000000004</v>
      </c>
      <c r="AE4081">
        <v>-38.858409999999999</v>
      </c>
      <c r="AF4081">
        <v>-9.5040634287888395</v>
      </c>
      <c r="AG4081">
        <v>-0.96082500000000004</v>
      </c>
      <c r="AH4081">
        <v>43.7345964057575</v>
      </c>
      <c r="AI4081">
        <v>91.229858581843303</v>
      </c>
      <c r="AJ4081">
        <v>102.260448426525</v>
      </c>
      <c r="AK4081">
        <v>44.765671324281101</v>
      </c>
      <c r="AL4081">
        <v>78.5077487378597</v>
      </c>
      <c r="AM4081">
        <v>90.739070802479006</v>
      </c>
      <c r="AN4081">
        <v>0.99999996683001802</v>
      </c>
    </row>
    <row r="4082" spans="1:40" x14ac:dyDescent="0.25">
      <c r="A4082" t="str">
        <f>"20190303171059260"</f>
        <v>20190303171059260</v>
      </c>
      <c r="B4082" t="str">
        <f>"1551604259255163"</f>
        <v>1551604259255163</v>
      </c>
      <c r="C4082" t="s">
        <v>40</v>
      </c>
      <c r="D4082">
        <v>4.9096399999999996</v>
      </c>
      <c r="E4082">
        <v>0.32750580000000001</v>
      </c>
      <c r="F4082" t="s">
        <v>67</v>
      </c>
      <c r="G4082">
        <v>-446.56909999999999</v>
      </c>
      <c r="H4082">
        <v>2.895416</v>
      </c>
      <c r="I4082">
        <v>64.450009999999907</v>
      </c>
      <c r="J4082">
        <v>-418.74869999999999</v>
      </c>
      <c r="K4082">
        <v>1.134817</v>
      </c>
      <c r="L4082">
        <v>129.6113</v>
      </c>
      <c r="M4082">
        <v>-0.65866849999999999</v>
      </c>
      <c r="N4082">
        <v>-1.573832E-2</v>
      </c>
      <c r="O4082">
        <v>-0.75226899999999997</v>
      </c>
      <c r="P4082">
        <v>-0.64283459999999903</v>
      </c>
      <c r="Q4082">
        <v>0.18434619999999999</v>
      </c>
      <c r="R4082">
        <v>-0.74349209999999999</v>
      </c>
      <c r="S4082">
        <v>-1.2622990000000001</v>
      </c>
      <c r="T4082">
        <v>7.9189899999999994E-2</v>
      </c>
      <c r="U4082">
        <v>-2.9436800000000001</v>
      </c>
      <c r="V4082">
        <v>-1.301064E-2</v>
      </c>
      <c r="W4082">
        <v>0.199462</v>
      </c>
      <c r="X4082">
        <v>0.9798192</v>
      </c>
      <c r="Y4082">
        <v>-0.3091682</v>
      </c>
      <c r="Z4082">
        <v>-2.9494389999999999E-2</v>
      </c>
      <c r="AA4082">
        <v>0.95054989999999995</v>
      </c>
      <c r="AB4082">
        <v>37</v>
      </c>
      <c r="AC4082">
        <v>-27.820399999999999</v>
      </c>
      <c r="AD4082">
        <v>1.760599</v>
      </c>
      <c r="AE4082">
        <v>-65.161289999999994</v>
      </c>
      <c r="AF4082">
        <v>-21.980410454459001</v>
      </c>
      <c r="AG4082">
        <v>1.760599</v>
      </c>
      <c r="AH4082">
        <v>67.310001087963002</v>
      </c>
      <c r="AI4082">
        <v>88.575668099564396</v>
      </c>
      <c r="AJ4082">
        <v>108.08470271253501</v>
      </c>
      <c r="AK4082">
        <v>70.829897635439707</v>
      </c>
      <c r="AL4082">
        <v>78.494500151884594</v>
      </c>
      <c r="AM4082">
        <v>90.760763773713407</v>
      </c>
      <c r="AN4082">
        <v>1.0000000154429201</v>
      </c>
    </row>
    <row r="4083" spans="1:40" x14ac:dyDescent="0.25">
      <c r="A4083" t="str">
        <f>"20190303171059281"</f>
        <v>20190303171059281</v>
      </c>
      <c r="B4083" t="str">
        <f>"1551604259274683"</f>
        <v>1551604259274683</v>
      </c>
      <c r="C4083" t="s">
        <v>40</v>
      </c>
      <c r="D4083">
        <v>4.9113930000000003</v>
      </c>
      <c r="E4083">
        <v>0.33319090000000001</v>
      </c>
      <c r="F4083" t="s">
        <v>67</v>
      </c>
      <c r="G4083">
        <v>-442.32799999999997</v>
      </c>
      <c r="H4083">
        <v>8.5088799999999996</v>
      </c>
      <c r="I4083">
        <v>45.777410000000003</v>
      </c>
      <c r="J4083">
        <v>-418.98360000000002</v>
      </c>
      <c r="K4083">
        <v>1.1348990000000001</v>
      </c>
      <c r="L4083">
        <v>129.3271</v>
      </c>
      <c r="M4083">
        <v>-0.647675</v>
      </c>
      <c r="N4083">
        <v>-1.5760929999999999E-2</v>
      </c>
      <c r="O4083">
        <v>-0.76175369999999998</v>
      </c>
      <c r="P4083">
        <v>-0.63162240000000003</v>
      </c>
      <c r="Q4083">
        <v>0.1850059</v>
      </c>
      <c r="R4083">
        <v>-0.75287869999999901</v>
      </c>
      <c r="S4083">
        <v>-0.89715579999999995</v>
      </c>
      <c r="T4083">
        <v>0.28057130000000002</v>
      </c>
      <c r="U4083">
        <v>-3.189743</v>
      </c>
      <c r="V4083">
        <v>-1.34232E-2</v>
      </c>
      <c r="W4083">
        <v>0.20012679999999999</v>
      </c>
      <c r="X4083">
        <v>0.97967800000000005</v>
      </c>
      <c r="Y4083">
        <v>-0.41820079999999998</v>
      </c>
      <c r="Z4083">
        <v>-6.6529550000000007E-2</v>
      </c>
      <c r="AA4083">
        <v>0.90591500000000003</v>
      </c>
      <c r="AB4083">
        <v>37</v>
      </c>
      <c r="AC4083">
        <v>-23.3444</v>
      </c>
      <c r="AD4083">
        <v>7.3739809999999997</v>
      </c>
      <c r="AE4083">
        <v>-83.549689999999998</v>
      </c>
      <c r="AF4083">
        <v>-36.074221039323803</v>
      </c>
      <c r="AG4083">
        <v>7.3739809999999997</v>
      </c>
      <c r="AH4083">
        <v>78.208557808375801</v>
      </c>
      <c r="AI4083">
        <v>85.106433115787894</v>
      </c>
      <c r="AJ4083">
        <v>114.76183024533201</v>
      </c>
      <c r="AK4083">
        <v>86.442486855992399</v>
      </c>
      <c r="AL4083">
        <v>78.455625379541004</v>
      </c>
      <c r="AM4083">
        <v>90.784997299543804</v>
      </c>
      <c r="AN4083">
        <v>0.99999995103023798</v>
      </c>
    </row>
    <row r="4084" spans="1:40" x14ac:dyDescent="0.25">
      <c r="A4084" t="str">
        <f>"20190303171059302"</f>
        <v>20190303171059302</v>
      </c>
      <c r="B4084" t="str">
        <f>"1551604259295179"</f>
        <v>1551604259295179</v>
      </c>
      <c r="C4084" t="s">
        <v>40</v>
      </c>
      <c r="D4084">
        <v>4.8981180000000002</v>
      </c>
      <c r="E4084">
        <v>0.33614870000000002</v>
      </c>
      <c r="F4084" t="s">
        <v>67</v>
      </c>
      <c r="G4084">
        <v>-440.5761</v>
      </c>
      <c r="H4084">
        <v>7.2063360000000003</v>
      </c>
      <c r="I4084">
        <v>51.799320000000002</v>
      </c>
      <c r="J4084">
        <v>-419.20479999999998</v>
      </c>
      <c r="K4084">
        <v>1.1349720000000001</v>
      </c>
      <c r="L4084">
        <v>129.05160000000001</v>
      </c>
      <c r="M4084">
        <v>-0.63693769999999905</v>
      </c>
      <c r="N4084">
        <v>-1.5782399999999999E-2</v>
      </c>
      <c r="O4084">
        <v>-0.77075389999999999</v>
      </c>
      <c r="P4084">
        <v>-0.62118519999999999</v>
      </c>
      <c r="Q4084">
        <v>0.1857065</v>
      </c>
      <c r="R4084">
        <v>-0.76134219999999997</v>
      </c>
      <c r="S4084">
        <v>-0.88577269999999897</v>
      </c>
      <c r="T4084">
        <v>0.24906400000000001</v>
      </c>
      <c r="U4084">
        <v>-3.1803590000000002</v>
      </c>
      <c r="V4084">
        <v>-1.3150729999999999E-2</v>
      </c>
      <c r="W4084">
        <v>0.2008547</v>
      </c>
      <c r="X4084">
        <v>0.97953279999999998</v>
      </c>
      <c r="Y4084">
        <v>-0.407634</v>
      </c>
      <c r="Z4084">
        <v>-6.2067850000000001E-2</v>
      </c>
      <c r="AA4084">
        <v>0.91103350000000005</v>
      </c>
      <c r="AB4084">
        <v>37</v>
      </c>
      <c r="AC4084">
        <v>-21.371300000000002</v>
      </c>
      <c r="AD4084">
        <v>6.071364</v>
      </c>
      <c r="AE4084">
        <v>-77.252279999999999</v>
      </c>
      <c r="AF4084">
        <v>-32.550192349519897</v>
      </c>
      <c r="AG4084">
        <v>6.071364</v>
      </c>
      <c r="AH4084">
        <v>72.746401593275905</v>
      </c>
      <c r="AI4084">
        <v>85.643568746308304</v>
      </c>
      <c r="AJ4084">
        <v>114.106007610647</v>
      </c>
      <c r="AK4084">
        <v>79.927563628459396</v>
      </c>
      <c r="AL4084">
        <v>78.413056339563497</v>
      </c>
      <c r="AM4084">
        <v>90.769179001612301</v>
      </c>
      <c r="AN4084">
        <v>1.0000000292437301</v>
      </c>
    </row>
    <row r="4085" spans="1:40" x14ac:dyDescent="0.25">
      <c r="A4085" t="str">
        <f>"20190303171059326"</f>
        <v>20190303171059326</v>
      </c>
      <c r="B4085" t="str">
        <f>"1551604259314699"</f>
        <v>1551604259314699</v>
      </c>
      <c r="C4085" t="s">
        <v>40</v>
      </c>
      <c r="D4085">
        <v>4.8979229999999996</v>
      </c>
      <c r="E4085">
        <v>0.33792080000000002</v>
      </c>
      <c r="F4085" t="s">
        <v>67</v>
      </c>
      <c r="G4085">
        <v>-440.57600000000002</v>
      </c>
      <c r="H4085">
        <v>6.9705529999999998</v>
      </c>
      <c r="I4085">
        <v>50.126240000000003</v>
      </c>
      <c r="J4085">
        <v>-419.4316</v>
      </c>
      <c r="K4085">
        <v>1.1350309999999999</v>
      </c>
      <c r="L4085">
        <v>128.76070000000001</v>
      </c>
      <c r="M4085">
        <v>-0.6255172</v>
      </c>
      <c r="N4085">
        <v>-1.580355E-2</v>
      </c>
      <c r="O4085">
        <v>-0.78005049999999998</v>
      </c>
      <c r="P4085">
        <v>-0.61002190000000001</v>
      </c>
      <c r="Q4085">
        <v>0.18569840000000001</v>
      </c>
      <c r="R4085">
        <v>-0.77031819999999995</v>
      </c>
      <c r="S4085">
        <v>-0.86117549999999898</v>
      </c>
      <c r="T4085">
        <v>0.23515079999999999</v>
      </c>
      <c r="U4085">
        <v>-3.180374</v>
      </c>
      <c r="V4085">
        <v>-1.303905E-2</v>
      </c>
      <c r="W4085">
        <v>0.20087060000000001</v>
      </c>
      <c r="X4085">
        <v>0.97953100000000004</v>
      </c>
      <c r="Y4085">
        <v>-0.40068019999999999</v>
      </c>
      <c r="Z4085">
        <v>-6.0601000000000002E-2</v>
      </c>
      <c r="AA4085">
        <v>0.91421160000000001</v>
      </c>
      <c r="AB4085">
        <v>37</v>
      </c>
      <c r="AC4085">
        <v>-21.144399999999901</v>
      </c>
      <c r="AD4085">
        <v>5.8355220000000001</v>
      </c>
      <c r="AE4085">
        <v>-78.634460000000004</v>
      </c>
      <c r="AF4085">
        <v>-32.530512855743297</v>
      </c>
      <c r="AG4085">
        <v>5.8355220000000001</v>
      </c>
      <c r="AH4085">
        <v>74.193289199003402</v>
      </c>
      <c r="AI4085">
        <v>85.879919567178405</v>
      </c>
      <c r="AJ4085">
        <v>113.675349456438</v>
      </c>
      <c r="AK4085">
        <v>81.221498052160598</v>
      </c>
      <c r="AL4085">
        <v>78.412126009124606</v>
      </c>
      <c r="AM4085">
        <v>90.762649075636901</v>
      </c>
      <c r="AN4085">
        <v>0.99999999736513101</v>
      </c>
    </row>
    <row r="4086" spans="1:40" x14ac:dyDescent="0.25">
      <c r="A4086" t="str">
        <f>"20190303171059347"</f>
        <v>20190303171059347</v>
      </c>
      <c r="B4086" t="str">
        <f>"1551604259335195"</f>
        <v>1551604259335195</v>
      </c>
      <c r="C4086" t="s">
        <v>40</v>
      </c>
      <c r="D4086">
        <v>4.9047169999999998</v>
      </c>
      <c r="E4086">
        <v>0.33989399999999997</v>
      </c>
      <c r="F4086" t="s">
        <v>67</v>
      </c>
      <c r="G4086">
        <v>-440.57600000000002</v>
      </c>
      <c r="H4086">
        <v>6.8962369999999904</v>
      </c>
      <c r="I4086">
        <v>47.249690000000001</v>
      </c>
      <c r="J4086">
        <v>-419.65410000000003</v>
      </c>
      <c r="K4086">
        <v>1.1350979999999999</v>
      </c>
      <c r="L4086">
        <v>128.46639999999999</v>
      </c>
      <c r="M4086">
        <v>-0.61388149999999997</v>
      </c>
      <c r="N4086">
        <v>-1.5823609999999998E-2</v>
      </c>
      <c r="O4086">
        <v>-0.78923980000000005</v>
      </c>
      <c r="P4086">
        <v>-0.59868509999999997</v>
      </c>
      <c r="Q4086">
        <v>0.18573480000000001</v>
      </c>
      <c r="R4086">
        <v>-0.77915299999999998</v>
      </c>
      <c r="S4086">
        <v>-0.82641600000000004</v>
      </c>
      <c r="T4086">
        <v>0.2251725</v>
      </c>
      <c r="U4086">
        <v>-3.185791</v>
      </c>
      <c r="V4086">
        <v>-1.2876810000000001E-2</v>
      </c>
      <c r="W4086">
        <v>0.20093079999999999</v>
      </c>
      <c r="X4086">
        <v>0.97952079999999997</v>
      </c>
      <c r="Y4086">
        <v>-0.3967717</v>
      </c>
      <c r="Z4086">
        <v>-5.9687659999999997E-2</v>
      </c>
      <c r="AA4086">
        <v>0.91597470000000003</v>
      </c>
      <c r="AB4086">
        <v>37</v>
      </c>
      <c r="AC4086">
        <v>-20.921899999999901</v>
      </c>
      <c r="AD4086">
        <v>5.7611389999999902</v>
      </c>
      <c r="AE4086">
        <v>-81.216709999999907</v>
      </c>
      <c r="AF4086">
        <v>-33.192583576245298</v>
      </c>
      <c r="AG4086">
        <v>5.7611389999999902</v>
      </c>
      <c r="AH4086">
        <v>76.591238043098798</v>
      </c>
      <c r="AI4086">
        <v>86.051884480725803</v>
      </c>
      <c r="AJ4086">
        <v>113.43061186388699</v>
      </c>
      <c r="AK4086">
        <v>83.672911219928196</v>
      </c>
      <c r="AL4086">
        <v>78.408605024778595</v>
      </c>
      <c r="AM4086">
        <v>90.753168661677293</v>
      </c>
      <c r="AN4086">
        <v>0.99999999812852702</v>
      </c>
    </row>
    <row r="4087" spans="1:40" x14ac:dyDescent="0.25">
      <c r="A4087" t="str">
        <f>"20190303171059371"</f>
        <v>20190303171059371</v>
      </c>
      <c r="B4087" t="str">
        <f>"1551604259364475"</f>
        <v>1551604259364475</v>
      </c>
      <c r="C4087" t="s">
        <v>40</v>
      </c>
      <c r="D4087">
        <v>4.8945080000000001</v>
      </c>
      <c r="E4087">
        <v>0.34240609999999999</v>
      </c>
      <c r="F4087" t="s">
        <v>67</v>
      </c>
      <c r="G4087">
        <v>-440.57600000000002</v>
      </c>
      <c r="H4087">
        <v>6.8633229999999896</v>
      </c>
      <c r="I4087">
        <v>44.244880000000002</v>
      </c>
      <c r="J4087">
        <v>-419.87419999999997</v>
      </c>
      <c r="K4087">
        <v>1.1351549999999999</v>
      </c>
      <c r="L4087">
        <v>128.1662</v>
      </c>
      <c r="M4087">
        <v>-0.60193050000000003</v>
      </c>
      <c r="N4087">
        <v>-1.5843179999999998E-2</v>
      </c>
      <c r="O4087">
        <v>-0.79839119999999997</v>
      </c>
      <c r="P4087">
        <v>-0.58707690000000001</v>
      </c>
      <c r="Q4087">
        <v>0.1845666</v>
      </c>
      <c r="R4087">
        <v>-0.78821059999999998</v>
      </c>
      <c r="S4087">
        <v>-0.79238889999999995</v>
      </c>
      <c r="T4087">
        <v>0.216949</v>
      </c>
      <c r="U4087">
        <v>-3.1897739999999999</v>
      </c>
      <c r="V4087">
        <v>-1.2797660000000001E-2</v>
      </c>
      <c r="W4087">
        <v>0.19978670000000001</v>
      </c>
      <c r="X4087">
        <v>0.97975579999999995</v>
      </c>
      <c r="Y4087">
        <v>-0.39238250000000002</v>
      </c>
      <c r="Z4087">
        <v>-5.9067519999999998E-2</v>
      </c>
      <c r="AA4087">
        <v>0.91790360000000004</v>
      </c>
      <c r="AB4087">
        <v>37</v>
      </c>
      <c r="AC4087">
        <v>-20.701799999999899</v>
      </c>
      <c r="AD4087">
        <v>5.7281679999999904</v>
      </c>
      <c r="AE4087">
        <v>-83.921319999999994</v>
      </c>
      <c r="AF4087">
        <v>-33.842310956713902</v>
      </c>
      <c r="AG4087">
        <v>5.7281679999999904</v>
      </c>
      <c r="AH4087">
        <v>79.125573791613505</v>
      </c>
      <c r="AI4087">
        <v>86.1919578365424</v>
      </c>
      <c r="AJ4087">
        <v>113.15658116509201</v>
      </c>
      <c r="AK4087">
        <v>86.249465780254098</v>
      </c>
      <c r="AL4087">
        <v>78.475513499726901</v>
      </c>
      <c r="AM4087">
        <v>90.748360160626603</v>
      </c>
      <c r="AN4087">
        <v>0.99999996661600199</v>
      </c>
    </row>
    <row r="4088" spans="1:40" x14ac:dyDescent="0.25">
      <c r="A4088" t="str">
        <f>"20190303171059393"</f>
        <v>20190303171059393</v>
      </c>
      <c r="B4088" t="str">
        <f>"1551604259384970"</f>
        <v>1551604259384970</v>
      </c>
      <c r="C4088" t="s">
        <v>40</v>
      </c>
      <c r="D4088">
        <v>4.9582649999999999</v>
      </c>
      <c r="E4088">
        <v>0.34364790000000001</v>
      </c>
      <c r="F4088" t="s">
        <v>67</v>
      </c>
      <c r="G4088">
        <v>-440.57589999999999</v>
      </c>
      <c r="H4088">
        <v>6.6319339999999896</v>
      </c>
      <c r="I4088">
        <v>41.29504</v>
      </c>
      <c r="J4088">
        <v>-420.08600000000001</v>
      </c>
      <c r="K4088">
        <v>1.135213</v>
      </c>
      <c r="L4088">
        <v>127.8681</v>
      </c>
      <c r="M4088">
        <v>-0.58998779999999995</v>
      </c>
      <c r="N4088">
        <v>-1.5861730000000001E-2</v>
      </c>
      <c r="O4088">
        <v>-0.80725649999999904</v>
      </c>
      <c r="P4088">
        <v>-0.57508590000000004</v>
      </c>
      <c r="Q4088">
        <v>0.183923</v>
      </c>
      <c r="R4088">
        <v>-0.79715059999999904</v>
      </c>
      <c r="S4088">
        <v>-0.76071169999999899</v>
      </c>
      <c r="T4088">
        <v>0.2019861</v>
      </c>
      <c r="U4088">
        <v>-3.1921840000000001</v>
      </c>
      <c r="V4088">
        <v>-1.314091E-2</v>
      </c>
      <c r="W4088">
        <v>0.19914979999999999</v>
      </c>
      <c r="X4088">
        <v>0.97988090000000005</v>
      </c>
      <c r="Y4088">
        <v>-0.38740520000000001</v>
      </c>
      <c r="Z4088">
        <v>-5.696582E-2</v>
      </c>
      <c r="AA4088">
        <v>0.92014790000000002</v>
      </c>
      <c r="AB4088">
        <v>37</v>
      </c>
      <c r="AC4088">
        <v>-20.489899999999899</v>
      </c>
      <c r="AD4088">
        <v>5.4967209999999902</v>
      </c>
      <c r="AE4088">
        <v>-86.573059999999998</v>
      </c>
      <c r="AF4088">
        <v>-34.409429608505</v>
      </c>
      <c r="AG4088">
        <v>5.4967209999999902</v>
      </c>
      <c r="AH4088">
        <v>81.673975392410796</v>
      </c>
      <c r="AI4088">
        <v>86.450991362424205</v>
      </c>
      <c r="AJ4088">
        <v>112.84580145551099</v>
      </c>
      <c r="AK4088">
        <v>88.796740053532503</v>
      </c>
      <c r="AL4088">
        <v>78.512753381887293</v>
      </c>
      <c r="AM4088">
        <v>90.768331692142297</v>
      </c>
      <c r="AN4088">
        <v>0.99999995227023797</v>
      </c>
    </row>
    <row r="4089" spans="1:40" x14ac:dyDescent="0.25">
      <c r="A4089" t="str">
        <f>"20190303171059415"</f>
        <v>20190303171059415</v>
      </c>
      <c r="B4089" t="str">
        <f>"1551604259404491"</f>
        <v>1551604259404491</v>
      </c>
      <c r="C4089" t="s">
        <v>40</v>
      </c>
      <c r="D4089">
        <v>4.8669209999999996</v>
      </c>
      <c r="E4089">
        <v>0.34323409999999999</v>
      </c>
      <c r="F4089" t="s">
        <v>67</v>
      </c>
      <c r="G4089">
        <v>-440.57589999999999</v>
      </c>
      <c r="H4089">
        <v>6.5951029999999999</v>
      </c>
      <c r="I4089">
        <v>36.9129</v>
      </c>
      <c r="J4089">
        <v>-420.28530000000001</v>
      </c>
      <c r="K4089">
        <v>1.1352599999999999</v>
      </c>
      <c r="L4089">
        <v>127.57859999999999</v>
      </c>
      <c r="M4089">
        <v>-0.57832320000000004</v>
      </c>
      <c r="N4089">
        <v>-1.5878409999999999E-2</v>
      </c>
      <c r="O4089">
        <v>-0.81565330000000003</v>
      </c>
      <c r="P4089">
        <v>-0.5630484</v>
      </c>
      <c r="Q4089">
        <v>0.18406239999999999</v>
      </c>
      <c r="R4089">
        <v>-0.80566599999999999</v>
      </c>
      <c r="S4089">
        <v>-0.72070310000000004</v>
      </c>
      <c r="T4089">
        <v>0.1920432</v>
      </c>
      <c r="U4089">
        <v>-3.1992029999999998</v>
      </c>
      <c r="V4089">
        <v>-1.3787199999999999E-2</v>
      </c>
      <c r="W4089">
        <v>0.19928109999999999</v>
      </c>
      <c r="X4089">
        <v>0.97984530000000003</v>
      </c>
      <c r="Y4089">
        <v>-0.3854977</v>
      </c>
      <c r="Z4089">
        <v>-5.5684749999999998E-2</v>
      </c>
      <c r="AA4089">
        <v>0.92102700000000004</v>
      </c>
      <c r="AB4089">
        <v>37</v>
      </c>
      <c r="AC4089">
        <v>-20.290599999999898</v>
      </c>
      <c r="AD4089">
        <v>5.4598430000000002</v>
      </c>
      <c r="AE4089">
        <v>-90.665700000000001</v>
      </c>
      <c r="AF4089">
        <v>-35.7649928994094</v>
      </c>
      <c r="AG4089">
        <v>5.4598430000000002</v>
      </c>
      <c r="AH4089">
        <v>85.402169405855901</v>
      </c>
      <c r="AI4089">
        <v>86.625245247489104</v>
      </c>
      <c r="AJ4089">
        <v>112.72311605162101</v>
      </c>
      <c r="AK4089">
        <v>92.749529065682907</v>
      </c>
      <c r="AL4089">
        <v>78.505076284518793</v>
      </c>
      <c r="AM4089">
        <v>90.806143831349303</v>
      </c>
      <c r="AN4089">
        <v>0.99999992781656699</v>
      </c>
    </row>
    <row r="4090" spans="1:40" x14ac:dyDescent="0.25">
      <c r="A4090" t="str">
        <f>"20190303171059437"</f>
        <v>20190303171059437</v>
      </c>
      <c r="B4090" t="str">
        <f>"1551604259424987"</f>
        <v>1551604259424987</v>
      </c>
      <c r="C4090" t="s">
        <v>40</v>
      </c>
      <c r="D4090">
        <v>4.8535370000000002</v>
      </c>
      <c r="E4090">
        <v>0.34515319999999999</v>
      </c>
      <c r="F4090" t="s">
        <v>67</v>
      </c>
      <c r="G4090">
        <v>-440.57600000000002</v>
      </c>
      <c r="H4090">
        <v>7.0705229999999997</v>
      </c>
      <c r="I4090">
        <v>30.348510000000001</v>
      </c>
      <c r="J4090">
        <v>-420.48579999999998</v>
      </c>
      <c r="K4090">
        <v>1.135303</v>
      </c>
      <c r="L4090">
        <v>127.2778</v>
      </c>
      <c r="M4090">
        <v>-0.56614919999999902</v>
      </c>
      <c r="N4090">
        <v>-1.5893939999999999E-2</v>
      </c>
      <c r="O4090">
        <v>-0.82414959999999904</v>
      </c>
      <c r="P4090">
        <v>-0.55091579999999996</v>
      </c>
      <c r="Q4090">
        <v>0.18397160000000001</v>
      </c>
      <c r="R4090">
        <v>-0.8140309</v>
      </c>
      <c r="S4090">
        <v>-0.67001339999999998</v>
      </c>
      <c r="T4090">
        <v>0.19598570000000001</v>
      </c>
      <c r="U4090">
        <v>-3.2105869999999999</v>
      </c>
      <c r="V4090">
        <v>-1.3950499999999999E-2</v>
      </c>
      <c r="W4090">
        <v>0.1991994</v>
      </c>
      <c r="X4090">
        <v>0.9798597</v>
      </c>
      <c r="Y4090">
        <v>-0.38640609999999997</v>
      </c>
      <c r="Z4090">
        <v>-5.7266070000000002E-2</v>
      </c>
      <c r="AA4090">
        <v>0.92054930000000001</v>
      </c>
      <c r="AB4090">
        <v>37</v>
      </c>
      <c r="AC4090">
        <v>-20.0901999999999</v>
      </c>
      <c r="AD4090">
        <v>5.9352199999999904</v>
      </c>
      <c r="AE4090">
        <v>-96.929289999999995</v>
      </c>
      <c r="AF4090">
        <v>-38.186668575213702</v>
      </c>
      <c r="AG4090">
        <v>5.9352199999999904</v>
      </c>
      <c r="AH4090">
        <v>90.942873125385304</v>
      </c>
      <c r="AI4090">
        <v>86.556454380386</v>
      </c>
      <c r="AJ4090">
        <v>112.777404520052</v>
      </c>
      <c r="AK4090">
        <v>98.813231227510897</v>
      </c>
      <c r="AL4090">
        <v>78.509854249035001</v>
      </c>
      <c r="AM4090">
        <v>90.815678788048302</v>
      </c>
      <c r="AN4090">
        <v>1.0000000245473399</v>
      </c>
    </row>
    <row r="4091" spans="1:40" x14ac:dyDescent="0.25">
      <c r="A4091" t="str">
        <f>"20190303171059461"</f>
        <v>20190303171059461</v>
      </c>
      <c r="B4091" t="str">
        <f>"1551604259455243"</f>
        <v>1551604259455243</v>
      </c>
      <c r="C4091" t="s">
        <v>40</v>
      </c>
      <c r="D4091">
        <v>4.7710980000000003</v>
      </c>
      <c r="E4091">
        <v>0.34550380000000003</v>
      </c>
      <c r="F4091" t="s">
        <v>67</v>
      </c>
      <c r="G4091">
        <v>-440.57600000000002</v>
      </c>
      <c r="H4091">
        <v>7.0753690000000002</v>
      </c>
      <c r="I4091">
        <v>25.52439</v>
      </c>
      <c r="J4091">
        <v>-420.68880000000001</v>
      </c>
      <c r="K4091">
        <v>1.1353439999999999</v>
      </c>
      <c r="L4091">
        <v>126.9624</v>
      </c>
      <c r="M4091">
        <v>-0.55332720000000002</v>
      </c>
      <c r="N4091">
        <v>-1.5907859999999999E-2</v>
      </c>
      <c r="O4091">
        <v>-0.832812199999999</v>
      </c>
      <c r="P4091">
        <v>-0.53802030000000001</v>
      </c>
      <c r="Q4091">
        <v>0.1838255</v>
      </c>
      <c r="R4091">
        <v>-0.82264380000000004</v>
      </c>
      <c r="S4091">
        <v>-0.63449100000000003</v>
      </c>
      <c r="T4091">
        <v>0.1875985</v>
      </c>
      <c r="U4091">
        <v>-3.213562</v>
      </c>
      <c r="V4091">
        <v>-1.4260220000000001E-2</v>
      </c>
      <c r="W4091">
        <v>0.19905590000000001</v>
      </c>
      <c r="X4091">
        <v>0.97988439999999999</v>
      </c>
      <c r="Y4091">
        <v>-0.38204729999999998</v>
      </c>
      <c r="Z4091">
        <v>-5.631891E-2</v>
      </c>
      <c r="AA4091">
        <v>0.9224251</v>
      </c>
      <c r="AB4091">
        <v>37</v>
      </c>
      <c r="AC4091">
        <v>-19.887199999999901</v>
      </c>
      <c r="AD4091">
        <v>5.9400250000000003</v>
      </c>
      <c r="AE4091">
        <v>-101.438009999999</v>
      </c>
      <c r="AF4091">
        <v>-39.4408711831259</v>
      </c>
      <c r="AG4091">
        <v>5.9400250000000003</v>
      </c>
      <c r="AH4091">
        <v>95.180714890506906</v>
      </c>
      <c r="AI4091">
        <v>86.700323160608903</v>
      </c>
      <c r="AJ4091">
        <v>112.508080867491</v>
      </c>
      <c r="AK4091">
        <v>103.199974339883</v>
      </c>
      <c r="AL4091">
        <v>78.5182441763166</v>
      </c>
      <c r="AM4091">
        <v>90.833764419126496</v>
      </c>
      <c r="AN4091">
        <v>1.0000000212813001</v>
      </c>
    </row>
    <row r="4092" spans="1:40" x14ac:dyDescent="0.25">
      <c r="A4092" t="str">
        <f>"20190303171059482"</f>
        <v>20190303171059482</v>
      </c>
      <c r="B4092" t="str">
        <f>"1551604259474762"</f>
        <v>1551604259474762</v>
      </c>
      <c r="C4092" t="s">
        <v>40</v>
      </c>
      <c r="D4092">
        <v>4.7455819999999997</v>
      </c>
      <c r="E4092">
        <v>0.34632449999999998</v>
      </c>
      <c r="F4092" t="s">
        <v>67</v>
      </c>
      <c r="G4092">
        <v>-442.2199</v>
      </c>
      <c r="H4092">
        <v>8.1071410000000004</v>
      </c>
      <c r="I4092">
        <v>8.8460009999999993</v>
      </c>
      <c r="J4092">
        <v>-420.87549999999999</v>
      </c>
      <c r="K4092">
        <v>1.1353719999999901</v>
      </c>
      <c r="L4092">
        <v>126.6627</v>
      </c>
      <c r="M4092">
        <v>-0.54110209999999903</v>
      </c>
      <c r="N4092">
        <v>-1.5918939999999999E-2</v>
      </c>
      <c r="O4092">
        <v>-0.84080639999999995</v>
      </c>
      <c r="P4092">
        <v>-0.52499439999999997</v>
      </c>
      <c r="Q4092">
        <v>0.184618</v>
      </c>
      <c r="R4092">
        <v>-0.83084119999999995</v>
      </c>
      <c r="S4092">
        <v>-0.58703609999999995</v>
      </c>
      <c r="T4092">
        <v>0.19008259999999999</v>
      </c>
      <c r="U4092">
        <v>-3.220383</v>
      </c>
      <c r="V4092">
        <v>-1.533432E-2</v>
      </c>
      <c r="W4092">
        <v>0.199818</v>
      </c>
      <c r="X4092">
        <v>0.97971299999999995</v>
      </c>
      <c r="Y4092">
        <v>-0.38205070000000002</v>
      </c>
      <c r="Z4092">
        <v>-5.7594060000000002E-2</v>
      </c>
      <c r="AA4092">
        <v>0.92234490000000002</v>
      </c>
      <c r="AB4092">
        <v>37</v>
      </c>
      <c r="AC4092">
        <v>-21.3444</v>
      </c>
      <c r="AD4092">
        <v>6.9717690000000001</v>
      </c>
      <c r="AE4092">
        <v>-117.816699</v>
      </c>
      <c r="AF4092">
        <v>-45.655364513222899</v>
      </c>
      <c r="AG4092">
        <v>6.9717690000000001</v>
      </c>
      <c r="AH4092">
        <v>110.250744609756</v>
      </c>
      <c r="AI4092">
        <v>86.656335293693701</v>
      </c>
      <c r="AJ4092">
        <v>112.49468164334699</v>
      </c>
      <c r="AK4092">
        <v>119.533445356646</v>
      </c>
      <c r="AL4092">
        <v>78.473683257960502</v>
      </c>
      <c r="AM4092">
        <v>90.896711672018398</v>
      </c>
      <c r="AN4092">
        <v>0.99999996843143002</v>
      </c>
    </row>
    <row r="4093" spans="1:40" x14ac:dyDescent="0.25">
      <c r="A4093" t="str">
        <f>"20190303171059504"</f>
        <v>20190303171059504</v>
      </c>
      <c r="B4093" t="str">
        <f>"1551604259495259"</f>
        <v>1551604259495259</v>
      </c>
      <c r="C4093" t="s">
        <v>40</v>
      </c>
      <c r="D4093">
        <v>4.7185739999999896</v>
      </c>
      <c r="E4093">
        <v>0.34718199999999999</v>
      </c>
      <c r="F4093" t="s">
        <v>92</v>
      </c>
      <c r="G4093">
        <v>-444.52710000000002</v>
      </c>
      <c r="H4093">
        <v>9.3568549999999995</v>
      </c>
      <c r="I4093">
        <v>-13.965769999999999</v>
      </c>
      <c r="J4093">
        <v>-421.05930000000001</v>
      </c>
      <c r="K4093">
        <v>1.1353979999999999</v>
      </c>
      <c r="L4093">
        <v>126.3579</v>
      </c>
      <c r="M4093">
        <v>-0.52862219999999904</v>
      </c>
      <c r="N4093">
        <v>-1.5928299999999999E-2</v>
      </c>
      <c r="O4093">
        <v>-0.84870780000000001</v>
      </c>
      <c r="P4093">
        <v>-0.51194700000000004</v>
      </c>
      <c r="Q4093">
        <v>0.18559919999999999</v>
      </c>
      <c r="R4093">
        <v>-0.83872729999999995</v>
      </c>
      <c r="S4093">
        <v>-0.54257200000000005</v>
      </c>
      <c r="T4093">
        <v>0.18860170000000001</v>
      </c>
      <c r="U4093">
        <v>-3.2260439999999999</v>
      </c>
      <c r="V4093">
        <v>-1.6106120000000002E-2</v>
      </c>
      <c r="W4093">
        <v>0.2007776</v>
      </c>
      <c r="X4093">
        <v>0.9795045</v>
      </c>
      <c r="Y4093">
        <v>-0.38101699999999999</v>
      </c>
      <c r="Z4093">
        <v>-5.7995940000000003E-2</v>
      </c>
      <c r="AA4093">
        <v>0.92274730000000005</v>
      </c>
      <c r="AB4093">
        <v>37</v>
      </c>
      <c r="AC4093">
        <v>-23.4678</v>
      </c>
      <c r="AD4093">
        <v>8.2214569999999991</v>
      </c>
      <c r="AE4093">
        <v>-140.32366999999999</v>
      </c>
      <c r="AF4093">
        <v>-54.087171581855202</v>
      </c>
      <c r="AG4093">
        <v>8.2214569999999991</v>
      </c>
      <c r="AH4093">
        <v>131.07836316586301</v>
      </c>
      <c r="AI4093">
        <v>86.681725714036403</v>
      </c>
      <c r="AJ4093">
        <v>112.422627050644</v>
      </c>
      <c r="AK4093">
        <v>142.037149278524</v>
      </c>
      <c r="AL4093">
        <v>78.417566049759102</v>
      </c>
      <c r="AM4093">
        <v>90.942037065532205</v>
      </c>
      <c r="AN4093">
        <v>1.0000000586417299</v>
      </c>
    </row>
    <row r="4094" spans="1:40" x14ac:dyDescent="0.25">
      <c r="A4094" t="str">
        <f>"20190303171059526"</f>
        <v>20190303171059526</v>
      </c>
      <c r="B4094" t="str">
        <f>"1551604259514779"</f>
        <v>1551604259514779</v>
      </c>
      <c r="C4094" t="s">
        <v>40</v>
      </c>
      <c r="D4094">
        <v>4.7554410000000003</v>
      </c>
      <c r="E4094">
        <v>0.34800399999999998</v>
      </c>
      <c r="F4094" t="s">
        <v>92</v>
      </c>
      <c r="G4094">
        <v>-442.41129999999998</v>
      </c>
      <c r="H4094">
        <v>9.2464040000000001</v>
      </c>
      <c r="I4094">
        <v>-12.23404</v>
      </c>
      <c r="J4094">
        <v>-421.2398</v>
      </c>
      <c r="K4094">
        <v>1.1354169999999999</v>
      </c>
      <c r="L4094">
        <v>126.04819999999999</v>
      </c>
      <c r="M4094">
        <v>-0.51590809999999998</v>
      </c>
      <c r="N4094">
        <v>-1.5936099999999901E-2</v>
      </c>
      <c r="O4094">
        <v>-0.85649589999999998</v>
      </c>
      <c r="P4094">
        <v>-0.49919479999999999</v>
      </c>
      <c r="Q4094">
        <v>0.1869845</v>
      </c>
      <c r="R4094">
        <v>-0.84607449999999995</v>
      </c>
      <c r="S4094">
        <v>-0.49780269999999999</v>
      </c>
      <c r="T4094">
        <v>0.18909980000000001</v>
      </c>
      <c r="U4094">
        <v>-3.2311399999999999</v>
      </c>
      <c r="V4094">
        <v>-1.6227979999999999E-2</v>
      </c>
      <c r="W4094">
        <v>0.20216200000000001</v>
      </c>
      <c r="X4094">
        <v>0.97921760000000002</v>
      </c>
      <c r="Y4094">
        <v>-0.37993450000000001</v>
      </c>
      <c r="Z4094">
        <v>-5.8834909999999997E-2</v>
      </c>
      <c r="AA4094">
        <v>0.92314039999999997</v>
      </c>
      <c r="AB4094">
        <v>37</v>
      </c>
      <c r="AC4094">
        <v>-21.171499999999899</v>
      </c>
      <c r="AD4094">
        <v>8.1109869999999997</v>
      </c>
      <c r="AE4094">
        <v>-138.28224</v>
      </c>
      <c r="AF4094">
        <v>-53.036084399332402</v>
      </c>
      <c r="AG4094">
        <v>8.1109869999999997</v>
      </c>
      <c r="AH4094">
        <v>128.94366347593601</v>
      </c>
      <c r="AI4094">
        <v>86.670593074356304</v>
      </c>
      <c r="AJ4094">
        <v>112.35795679341</v>
      </c>
      <c r="AK4094">
        <v>139.660598269958</v>
      </c>
      <c r="AL4094">
        <v>78.336584127171804</v>
      </c>
      <c r="AM4094">
        <v>90.949441326543905</v>
      </c>
      <c r="AN4094">
        <v>0.99999996486431897</v>
      </c>
    </row>
    <row r="4095" spans="1:40" x14ac:dyDescent="0.25">
      <c r="A4095" t="str">
        <f>"20190303171059548"</f>
        <v>20190303171059548</v>
      </c>
      <c r="B4095" t="str">
        <f>"1551604259535275"</f>
        <v>1551604259535275</v>
      </c>
      <c r="C4095" t="s">
        <v>40</v>
      </c>
      <c r="D4095">
        <v>4.5649670000000002</v>
      </c>
      <c r="E4095">
        <v>0.36208889999999999</v>
      </c>
      <c r="F4095" t="s">
        <v>92</v>
      </c>
      <c r="G4095">
        <v>-440.31830000000002</v>
      </c>
      <c r="H4095">
        <v>9.2771729999999994</v>
      </c>
      <c r="I4095">
        <v>-9.7657910000000001</v>
      </c>
      <c r="J4095">
        <v>-421.41919999999999</v>
      </c>
      <c r="K4095">
        <v>1.1354340000000001</v>
      </c>
      <c r="L4095">
        <v>125.7295</v>
      </c>
      <c r="M4095">
        <v>-0.50279079999999998</v>
      </c>
      <c r="N4095">
        <v>-1.5942580000000001E-2</v>
      </c>
      <c r="O4095">
        <v>-0.86426119999999995</v>
      </c>
      <c r="P4095">
        <v>-0.48631609999999997</v>
      </c>
      <c r="Q4095">
        <v>0.18737519999999999</v>
      </c>
      <c r="R4095">
        <v>-0.85345629999999995</v>
      </c>
      <c r="S4095">
        <v>-0.4544067</v>
      </c>
      <c r="T4095">
        <v>0.1939179</v>
      </c>
      <c r="U4095">
        <v>-3.2347869999999999</v>
      </c>
      <c r="V4095">
        <v>-1.6117349999999999E-2</v>
      </c>
      <c r="W4095">
        <v>0.20256170000000001</v>
      </c>
      <c r="X4095">
        <v>0.97913689999999998</v>
      </c>
      <c r="Y4095">
        <v>-0.37812639999999997</v>
      </c>
      <c r="Z4095">
        <v>-6.0701489999999997E-2</v>
      </c>
      <c r="AA4095">
        <v>0.92376170000000002</v>
      </c>
      <c r="AB4095">
        <v>37</v>
      </c>
      <c r="AC4095">
        <v>-18.899100000000001</v>
      </c>
      <c r="AD4095">
        <v>8.1417389999999994</v>
      </c>
      <c r="AE4095">
        <v>-135.49529099999901</v>
      </c>
      <c r="AF4095">
        <v>-51.615795268985998</v>
      </c>
      <c r="AG4095">
        <v>8.1417389999999994</v>
      </c>
      <c r="AH4095">
        <v>126.174818125499</v>
      </c>
      <c r="AI4095">
        <v>86.582162318232506</v>
      </c>
      <c r="AJ4095">
        <v>112.248566279271</v>
      </c>
      <c r="AK4095">
        <v>136.56706398028999</v>
      </c>
      <c r="AL4095">
        <v>78.313200079637696</v>
      </c>
      <c r="AM4095">
        <v>90.943047637001101</v>
      </c>
      <c r="AN4095">
        <v>1.00000004010976</v>
      </c>
    </row>
    <row r="4096" spans="1:40" x14ac:dyDescent="0.25">
      <c r="A4096" t="str">
        <f>"20190303171059572"</f>
        <v>20190303171059572</v>
      </c>
      <c r="B4096" t="str">
        <f>"1551604259564555"</f>
        <v>1551604259564555</v>
      </c>
      <c r="C4096" t="s">
        <v>40</v>
      </c>
      <c r="D4096">
        <v>4.5626470000000001</v>
      </c>
      <c r="E4096">
        <v>0.36547990000000002</v>
      </c>
      <c r="F4096" t="s">
        <v>92</v>
      </c>
      <c r="G4096">
        <v>-443.5403</v>
      </c>
      <c r="H4096">
        <v>19.006640000000001</v>
      </c>
      <c r="I4096">
        <v>-13.15549</v>
      </c>
      <c r="J4096">
        <v>-421.59719999999999</v>
      </c>
      <c r="K4096">
        <v>1.1354489999999999</v>
      </c>
      <c r="L4096">
        <v>125.40170000000001</v>
      </c>
      <c r="M4096">
        <v>-0.48926839999999999</v>
      </c>
      <c r="N4096">
        <v>-1.5947860000000001E-2</v>
      </c>
      <c r="O4096">
        <v>-0.87198750000000003</v>
      </c>
      <c r="P4096">
        <v>-0.47233419999999998</v>
      </c>
      <c r="Q4096">
        <v>0.18601019999999999</v>
      </c>
      <c r="R4096">
        <v>-0.86156860000000002</v>
      </c>
      <c r="S4096">
        <v>-0.50033570000000005</v>
      </c>
      <c r="T4096">
        <v>0.40420990000000001</v>
      </c>
      <c r="U4096">
        <v>-3.1412960000000001</v>
      </c>
      <c r="V4096">
        <v>-1.693654E-2</v>
      </c>
      <c r="W4096">
        <v>0.20117560000000001</v>
      </c>
      <c r="X4096">
        <v>0.97940879999999997</v>
      </c>
      <c r="Y4096">
        <v>-0.34743610000000003</v>
      </c>
      <c r="Z4096">
        <v>-0.11412650000000001</v>
      </c>
      <c r="AA4096">
        <v>0.93073269999999997</v>
      </c>
      <c r="AB4096">
        <v>37</v>
      </c>
      <c r="AC4096">
        <v>-21.943100000000001</v>
      </c>
      <c r="AD4096">
        <v>17.871191</v>
      </c>
      <c r="AE4096">
        <v>-138.55718999999999</v>
      </c>
      <c r="AF4096">
        <v>-47.8865823851242</v>
      </c>
      <c r="AG4096">
        <v>17.871191</v>
      </c>
      <c r="AH4096">
        <v>129.47173687397799</v>
      </c>
      <c r="AI4096">
        <v>82.6234921476088</v>
      </c>
      <c r="AJ4096">
        <v>110.29748241583</v>
      </c>
      <c r="AK4096">
        <v>139.195671231006</v>
      </c>
      <c r="AL4096">
        <v>78.394287051109899</v>
      </c>
      <c r="AM4096">
        <v>90.990695154020699</v>
      </c>
      <c r="AN4096">
        <v>1.0000000329699801</v>
      </c>
    </row>
    <row r="4097" spans="1:40" x14ac:dyDescent="0.25">
      <c r="A4097" t="str">
        <f>"20190303171059594"</f>
        <v>20190303171059594</v>
      </c>
      <c r="B4097" t="str">
        <f>"1551604259585051"</f>
        <v>1551604259585051</v>
      </c>
      <c r="C4097" t="s">
        <v>40</v>
      </c>
      <c r="D4097">
        <v>4.6424859999999999</v>
      </c>
      <c r="E4097">
        <v>0.36756159999999999</v>
      </c>
      <c r="F4097" t="s">
        <v>92</v>
      </c>
      <c r="G4097">
        <v>-442.36340000000001</v>
      </c>
      <c r="H4097">
        <v>18.495180000000001</v>
      </c>
      <c r="I4097">
        <v>-12.192360000000001</v>
      </c>
      <c r="J4097">
        <v>-421.76560000000001</v>
      </c>
      <c r="K4097">
        <v>1.1354550000000001</v>
      </c>
      <c r="L4097">
        <v>125.0801</v>
      </c>
      <c r="M4097">
        <v>-0.47596870000000002</v>
      </c>
      <c r="N4097">
        <v>-1.5951799999999999E-2</v>
      </c>
      <c r="O4097">
        <v>-0.87931749999999997</v>
      </c>
      <c r="P4097">
        <v>-0.4587832</v>
      </c>
      <c r="Q4097">
        <v>0.18625530000000001</v>
      </c>
      <c r="R4097">
        <v>-0.86880789999999997</v>
      </c>
      <c r="S4097">
        <v>-0.47344969999999997</v>
      </c>
      <c r="T4097">
        <v>0.39578410000000003</v>
      </c>
      <c r="U4097">
        <v>-3.1370089999999999</v>
      </c>
      <c r="V4097">
        <v>-1.7389169999999999E-2</v>
      </c>
      <c r="W4097">
        <v>0.20140720000000001</v>
      </c>
      <c r="X4097">
        <v>0.97935320000000003</v>
      </c>
      <c r="Y4097">
        <v>-0.34075490000000003</v>
      </c>
      <c r="Z4097">
        <v>-0.1138183</v>
      </c>
      <c r="AA4097">
        <v>0.93323710000000004</v>
      </c>
      <c r="AB4097">
        <v>37</v>
      </c>
      <c r="AC4097">
        <v>-20.597799999999999</v>
      </c>
      <c r="AD4097">
        <v>17.359724999999901</v>
      </c>
      <c r="AE4097">
        <v>-137.27246</v>
      </c>
      <c r="AF4097">
        <v>-46.504055526304803</v>
      </c>
      <c r="AG4097">
        <v>17.359724999999901</v>
      </c>
      <c r="AH4097">
        <v>128.51654115416099</v>
      </c>
      <c r="AI4097">
        <v>82.761180108558904</v>
      </c>
      <c r="AJ4097">
        <v>109.892793064811</v>
      </c>
      <c r="AK4097">
        <v>137.76969399217899</v>
      </c>
      <c r="AL4097">
        <v>78.3807392827255</v>
      </c>
      <c r="AM4097">
        <v>91.017223783011204</v>
      </c>
      <c r="AN4097">
        <v>0.999999966897684</v>
      </c>
    </row>
    <row r="4098" spans="1:40" x14ac:dyDescent="0.25">
      <c r="A4098" t="str">
        <f>"20190303171059617"</f>
        <v>20190303171059617</v>
      </c>
      <c r="B4098" t="str">
        <f>"1551604259605548"</f>
        <v>1551604259605548</v>
      </c>
      <c r="C4098" t="s">
        <v>40</v>
      </c>
      <c r="D4098">
        <v>4.6499470000000001</v>
      </c>
      <c r="E4098">
        <v>0.36845299999999997</v>
      </c>
      <c r="F4098" t="s">
        <v>92</v>
      </c>
      <c r="G4098">
        <v>-440.71289999999999</v>
      </c>
      <c r="H4098">
        <v>17.899090000000001</v>
      </c>
      <c r="I4098">
        <v>-10.08643</v>
      </c>
      <c r="J4098">
        <v>-421.92230000000001</v>
      </c>
      <c r="K4098">
        <v>1.1354630000000001</v>
      </c>
      <c r="L4098">
        <v>124.7692</v>
      </c>
      <c r="M4098">
        <v>-0.4630957</v>
      </c>
      <c r="N4098">
        <v>-1.5954650000000001E-2</v>
      </c>
      <c r="O4098">
        <v>-0.88616469999999903</v>
      </c>
      <c r="P4098">
        <v>-0.44612750000000001</v>
      </c>
      <c r="Q4098">
        <v>0.18739890000000001</v>
      </c>
      <c r="R4098">
        <v>-0.87512979999999996</v>
      </c>
      <c r="S4098">
        <v>-0.43978879999999998</v>
      </c>
      <c r="T4098">
        <v>0.38910329999999999</v>
      </c>
      <c r="U4098">
        <v>-3.137375</v>
      </c>
      <c r="V4098">
        <v>-1.7248630000000001E-2</v>
      </c>
      <c r="W4098">
        <v>0.20255609999999999</v>
      </c>
      <c r="X4098">
        <v>0.97911879999999996</v>
      </c>
      <c r="Y4098">
        <v>-0.33684530000000001</v>
      </c>
      <c r="Z4098">
        <v>-0.113603</v>
      </c>
      <c r="AA4098">
        <v>0.93468150000000005</v>
      </c>
      <c r="AB4098">
        <v>37</v>
      </c>
      <c r="AC4098">
        <v>-18.790599999999898</v>
      </c>
      <c r="AD4098">
        <v>16.763627</v>
      </c>
      <c r="AE4098">
        <v>-134.85562999999999</v>
      </c>
      <c r="AF4098">
        <v>-45.121367771000003</v>
      </c>
      <c r="AG4098">
        <v>16.763627</v>
      </c>
      <c r="AH4098">
        <v>126.30786640461299</v>
      </c>
      <c r="AI4098">
        <v>82.875843495417897</v>
      </c>
      <c r="AJ4098">
        <v>109.658416439077</v>
      </c>
      <c r="AK4098">
        <v>135.168909647916</v>
      </c>
      <c r="AL4098">
        <v>78.313527924716695</v>
      </c>
      <c r="AM4098">
        <v>91.009245748968496</v>
      </c>
      <c r="AN4098">
        <v>1.0000000566987599</v>
      </c>
    </row>
    <row r="4099" spans="1:40" x14ac:dyDescent="0.25">
      <c r="A4099" t="str">
        <f>"20190303171059638"</f>
        <v>20190303171059638</v>
      </c>
      <c r="B4099" t="str">
        <f>"1551604259634828"</f>
        <v>1551604259634828</v>
      </c>
      <c r="C4099" t="s">
        <v>40</v>
      </c>
      <c r="D4099">
        <v>4.7673459999999999</v>
      </c>
      <c r="E4099">
        <v>0.37835669999999999</v>
      </c>
      <c r="F4099" t="s">
        <v>92</v>
      </c>
      <c r="G4099">
        <v>-439.04930000000002</v>
      </c>
      <c r="H4099">
        <v>17.797370000000001</v>
      </c>
      <c r="I4099">
        <v>-9.4799039999999994</v>
      </c>
      <c r="J4099">
        <v>-422.07580000000002</v>
      </c>
      <c r="K4099">
        <v>1.135473</v>
      </c>
      <c r="L4099">
        <v>124.45269999999999</v>
      </c>
      <c r="M4099">
        <v>-0.44997160000000003</v>
      </c>
      <c r="N4099">
        <v>-1.5956749999999999E-2</v>
      </c>
      <c r="O4099">
        <v>-0.89290049999999899</v>
      </c>
      <c r="P4099">
        <v>-0.43371179999999898</v>
      </c>
      <c r="Q4099">
        <v>0.18908520000000001</v>
      </c>
      <c r="R4099">
        <v>-0.88098869999999896</v>
      </c>
      <c r="S4099">
        <v>-0.40063480000000001</v>
      </c>
      <c r="T4099">
        <v>0.38975609999999999</v>
      </c>
      <c r="U4099">
        <v>-3.1403660000000002</v>
      </c>
      <c r="V4099">
        <v>-1.6542310000000001E-2</v>
      </c>
      <c r="W4099">
        <v>0.20426530000000001</v>
      </c>
      <c r="X4099">
        <v>0.97877579999999997</v>
      </c>
      <c r="Y4099">
        <v>-0.33453759999999999</v>
      </c>
      <c r="Z4099">
        <v>-0.11506379999999999</v>
      </c>
      <c r="AA4099">
        <v>0.93533149999999998</v>
      </c>
      <c r="AB4099">
        <v>37</v>
      </c>
      <c r="AC4099">
        <v>-16.973500000000001</v>
      </c>
      <c r="AD4099">
        <v>16.661897</v>
      </c>
      <c r="AE4099">
        <v>-133.932604</v>
      </c>
      <c r="AF4099">
        <v>-44.439062193147898</v>
      </c>
      <c r="AG4099">
        <v>16.661897</v>
      </c>
      <c r="AH4099">
        <v>125.33318584546301</v>
      </c>
      <c r="AI4099">
        <v>82.858182343823302</v>
      </c>
      <c r="AJ4099">
        <v>109.52284738739399</v>
      </c>
      <c r="AK4099">
        <v>134.018120171932</v>
      </c>
      <c r="AL4099">
        <v>78.2135063667737</v>
      </c>
      <c r="AM4099">
        <v>90.968264966102694</v>
      </c>
      <c r="AN4099">
        <v>1.0000000137349301</v>
      </c>
    </row>
    <row r="4100" spans="1:40" x14ac:dyDescent="0.25">
      <c r="A4100" t="str">
        <f>"20190303171059662"</f>
        <v>20190303171059662</v>
      </c>
      <c r="B4100" t="str">
        <f>"1551604259655323"</f>
        <v>1551604259655323</v>
      </c>
      <c r="C4100" t="s">
        <v>40</v>
      </c>
      <c r="D4100">
        <v>4.7801470000000004</v>
      </c>
      <c r="E4100">
        <v>0.3801776</v>
      </c>
      <c r="F4100" t="s">
        <v>92</v>
      </c>
      <c r="G4100">
        <v>-440.51209999999998</v>
      </c>
      <c r="H4100">
        <v>17.109539999999999</v>
      </c>
      <c r="I4100">
        <v>-9.9223180000000006</v>
      </c>
      <c r="J4100">
        <v>-422.2312</v>
      </c>
      <c r="K4100">
        <v>1.135467</v>
      </c>
      <c r="L4100">
        <v>124.11920000000001</v>
      </c>
      <c r="M4100">
        <v>-0.43612450000000003</v>
      </c>
      <c r="N4100">
        <v>-1.5958239999999999E-2</v>
      </c>
      <c r="O4100">
        <v>-0.89974500000000002</v>
      </c>
      <c r="P4100">
        <v>-0.42036630000000003</v>
      </c>
      <c r="Q4100">
        <v>0.19022169999999999</v>
      </c>
      <c r="R4100">
        <v>-0.88719110000000001</v>
      </c>
      <c r="S4100">
        <v>-0.42742920000000001</v>
      </c>
      <c r="T4100">
        <v>0.37034270000000002</v>
      </c>
      <c r="U4100">
        <v>-3.1153559999999998</v>
      </c>
      <c r="V4100">
        <v>-1.6126700000000001E-2</v>
      </c>
      <c r="W4100">
        <v>0.2054153</v>
      </c>
      <c r="X4100">
        <v>0.97854200000000002</v>
      </c>
      <c r="Y4100">
        <v>-0.31096089999999998</v>
      </c>
      <c r="Z4100">
        <v>-0.11251890000000001</v>
      </c>
      <c r="AA4100">
        <v>0.94373879999999999</v>
      </c>
      <c r="AB4100">
        <v>36</v>
      </c>
      <c r="AC4100">
        <v>-18.2808999999999</v>
      </c>
      <c r="AD4100">
        <v>15.974073000000001</v>
      </c>
      <c r="AE4100">
        <v>-134.041518</v>
      </c>
      <c r="AF4100">
        <v>-41.438222077544303</v>
      </c>
      <c r="AG4100">
        <v>15.974073000000001</v>
      </c>
      <c r="AH4100">
        <v>126.82401166661199</v>
      </c>
      <c r="AI4100">
        <v>83.172712200695599</v>
      </c>
      <c r="AJ4100">
        <v>108.09418155062301</v>
      </c>
      <c r="AK4100">
        <v>134.374950018112</v>
      </c>
      <c r="AL4100">
        <v>78.146188379423407</v>
      </c>
      <c r="AM4100">
        <v>90.944168169170794</v>
      </c>
      <c r="AN4100">
        <v>0.99999998084548902</v>
      </c>
    </row>
    <row r="4101" spans="1:40" x14ac:dyDescent="0.25">
      <c r="A4101" t="str">
        <f>"20190303171059683"</f>
        <v>20190303171059683</v>
      </c>
      <c r="B4101" t="str">
        <f>"1551604259674843"</f>
        <v>1551604259674843</v>
      </c>
      <c r="C4101" t="s">
        <v>40</v>
      </c>
      <c r="D4101">
        <v>4.7314720000000001</v>
      </c>
      <c r="E4101">
        <v>0.38283719999999999</v>
      </c>
      <c r="F4101" t="s">
        <v>92</v>
      </c>
      <c r="G4101">
        <v>-439.13990000000001</v>
      </c>
      <c r="H4101">
        <v>18.69088</v>
      </c>
      <c r="I4101">
        <v>-9.4424419999999998</v>
      </c>
      <c r="J4101">
        <v>-422.37520000000001</v>
      </c>
      <c r="K4101">
        <v>1.1354649999999999</v>
      </c>
      <c r="L4101">
        <v>123.7979</v>
      </c>
      <c r="M4101">
        <v>-0.42275750000000001</v>
      </c>
      <c r="N4101">
        <v>-1.5958989999999999E-2</v>
      </c>
      <c r="O4101">
        <v>-0.90610250000000003</v>
      </c>
      <c r="P4101">
        <v>-0.4072771</v>
      </c>
      <c r="Q4101">
        <v>0.18935199999999999</v>
      </c>
      <c r="R4101">
        <v>-0.89346049999999999</v>
      </c>
      <c r="S4101">
        <v>-0.39340209999999998</v>
      </c>
      <c r="T4101">
        <v>0.40844849999999999</v>
      </c>
      <c r="U4101">
        <v>-3.1074830000000002</v>
      </c>
      <c r="V4101">
        <v>-1.6071809999999999E-2</v>
      </c>
      <c r="W4101">
        <v>0.20455100000000001</v>
      </c>
      <c r="X4101">
        <v>0.97872389999999998</v>
      </c>
      <c r="Y4101">
        <v>-0.30691750000000001</v>
      </c>
      <c r="Z4101">
        <v>-0.1240226</v>
      </c>
      <c r="AA4101">
        <v>0.94362069999999998</v>
      </c>
      <c r="AB4101">
        <v>36</v>
      </c>
      <c r="AC4101">
        <v>-16.764700000000001</v>
      </c>
      <c r="AD4101">
        <v>17.555415</v>
      </c>
      <c r="AE4101">
        <v>-133.240342</v>
      </c>
      <c r="AF4101">
        <v>-40.451750373368498</v>
      </c>
      <c r="AG4101">
        <v>17.555415</v>
      </c>
      <c r="AH4101">
        <v>125.685172830204</v>
      </c>
      <c r="AI4101">
        <v>82.426327932089706</v>
      </c>
      <c r="AJ4101">
        <v>107.840761932413</v>
      </c>
      <c r="AK4101">
        <v>133.196469072756</v>
      </c>
      <c r="AL4101">
        <v>78.1967830396637</v>
      </c>
      <c r="AM4101">
        <v>90.940780259956</v>
      </c>
      <c r="AN4101">
        <v>0.999999943554441</v>
      </c>
    </row>
    <row r="4102" spans="1:40" x14ac:dyDescent="0.25">
      <c r="A4102" t="str">
        <f>"20190303171059705"</f>
        <v>20190303171059705</v>
      </c>
      <c r="B4102" t="str">
        <f>"1551604259695340"</f>
        <v>1551604259695340</v>
      </c>
      <c r="C4102" t="s">
        <v>40</v>
      </c>
      <c r="D4102">
        <v>4.7503979999999997</v>
      </c>
      <c r="E4102">
        <v>0.38482929999999999</v>
      </c>
      <c r="F4102" t="s">
        <v>92</v>
      </c>
      <c r="G4102">
        <v>-438.03539999999998</v>
      </c>
      <c r="H4102">
        <v>18.040510000000001</v>
      </c>
      <c r="I4102">
        <v>-8.6500160000000008</v>
      </c>
      <c r="J4102">
        <v>-422.51209999999998</v>
      </c>
      <c r="K4102">
        <v>1.135459</v>
      </c>
      <c r="L4102">
        <v>123.47969999999999</v>
      </c>
      <c r="M4102">
        <v>-0.40950789999999998</v>
      </c>
      <c r="N4102">
        <v>-1.595922E-2</v>
      </c>
      <c r="O4102">
        <v>-0.91216719999999896</v>
      </c>
      <c r="P4102">
        <v>-0.39400489999999999</v>
      </c>
      <c r="Q4102">
        <v>0.18866620000000001</v>
      </c>
      <c r="R4102">
        <v>-0.89953609999999995</v>
      </c>
      <c r="S4102">
        <v>-0.36727910000000002</v>
      </c>
      <c r="T4102">
        <v>0.39647250000000001</v>
      </c>
      <c r="U4102">
        <v>-3.106293</v>
      </c>
      <c r="V4102">
        <v>-1.63295E-2</v>
      </c>
      <c r="W4102">
        <v>0.20385819999999999</v>
      </c>
      <c r="X4102">
        <v>0.97886430000000002</v>
      </c>
      <c r="Y4102">
        <v>-0.30077009999999899</v>
      </c>
      <c r="Z4102">
        <v>-0.1222697</v>
      </c>
      <c r="AA4102">
        <v>0.94582639999999996</v>
      </c>
      <c r="AB4102">
        <v>36</v>
      </c>
      <c r="AC4102">
        <v>-15.523300000000001</v>
      </c>
      <c r="AD4102">
        <v>16.905051</v>
      </c>
      <c r="AE4102">
        <v>-132.129716</v>
      </c>
      <c r="AF4102">
        <v>-39.318540471669202</v>
      </c>
      <c r="AG4102">
        <v>16.905051</v>
      </c>
      <c r="AH4102">
        <v>124.881049509392</v>
      </c>
      <c r="AI4102">
        <v>82.642641419102503</v>
      </c>
      <c r="AJ4102">
        <v>107.47650073652601</v>
      </c>
      <c r="AK4102">
        <v>132.01138170893501</v>
      </c>
      <c r="AL4102">
        <v>78.237333482533003</v>
      </c>
      <c r="AM4102">
        <v>90.955724562612502</v>
      </c>
      <c r="AN4102">
        <v>1.00000006804598</v>
      </c>
    </row>
    <row r="4103" spans="1:40" x14ac:dyDescent="0.25">
      <c r="A4103" t="str">
        <f>"20190303171059728"</f>
        <v>20190303171059728</v>
      </c>
      <c r="B4103" t="str">
        <f>"1551604259714860"</f>
        <v>1551604259714860</v>
      </c>
      <c r="C4103" t="s">
        <v>40</v>
      </c>
      <c r="D4103">
        <v>4.7726850000000001</v>
      </c>
      <c r="E4103">
        <v>0.38605729999999999</v>
      </c>
      <c r="F4103" t="s">
        <v>92</v>
      </c>
      <c r="G4103">
        <v>-436.67270000000002</v>
      </c>
      <c r="H4103">
        <v>17.169239999999999</v>
      </c>
      <c r="I4103">
        <v>-7.5348660000000001</v>
      </c>
      <c r="J4103">
        <v>-422.6515</v>
      </c>
      <c r="K4103">
        <v>1.1354489999999999</v>
      </c>
      <c r="L4103">
        <v>123.1422</v>
      </c>
      <c r="M4103">
        <v>-0.39543040000000002</v>
      </c>
      <c r="N4103">
        <v>-1.5958989999999999E-2</v>
      </c>
      <c r="O4103">
        <v>-0.91835739999999999</v>
      </c>
      <c r="P4103">
        <v>-0.38009860000000001</v>
      </c>
      <c r="Q4103">
        <v>0.18842890000000001</v>
      </c>
      <c r="R4103">
        <v>-0.90554950000000001</v>
      </c>
      <c r="S4103">
        <v>-0.3359375</v>
      </c>
      <c r="T4103">
        <v>0.38037490000000002</v>
      </c>
      <c r="U4103">
        <v>-3.1081089999999998</v>
      </c>
      <c r="V4103">
        <v>-1.6362069999999999E-2</v>
      </c>
      <c r="W4103">
        <v>0.20362060000000001</v>
      </c>
      <c r="X4103">
        <v>0.97891309999999998</v>
      </c>
      <c r="Y4103">
        <v>-0.29551850000000002</v>
      </c>
      <c r="Z4103">
        <v>-0.11924419999999999</v>
      </c>
      <c r="AA4103">
        <v>0.94786579999999998</v>
      </c>
      <c r="AB4103">
        <v>36</v>
      </c>
      <c r="AC4103">
        <v>-14.0212</v>
      </c>
      <c r="AD4103">
        <v>16.033790999999901</v>
      </c>
      <c r="AE4103">
        <v>-130.677066</v>
      </c>
      <c r="AF4103">
        <v>-38.233110282331999</v>
      </c>
      <c r="AG4103">
        <v>16.033790999999901</v>
      </c>
      <c r="AH4103">
        <v>123.727156114447</v>
      </c>
      <c r="AI4103">
        <v>82.941939311531598</v>
      </c>
      <c r="AJ4103">
        <v>107.171748871869</v>
      </c>
      <c r="AK4103">
        <v>130.48855250887499</v>
      </c>
      <c r="AL4103">
        <v>78.251237349771102</v>
      </c>
      <c r="AM4103">
        <v>90.957582718013001</v>
      </c>
      <c r="AN4103">
        <v>0.99999996171532601</v>
      </c>
    </row>
    <row r="4104" spans="1:40" x14ac:dyDescent="0.25">
      <c r="A4104" t="str">
        <f>"20190303171059751"</f>
        <v>20190303171059751</v>
      </c>
      <c r="B4104" t="str">
        <f>"1551604259745115"</f>
        <v>1551604259745115</v>
      </c>
      <c r="C4104" t="s">
        <v>40</v>
      </c>
      <c r="D4104">
        <v>4.7865960000000003</v>
      </c>
      <c r="E4104">
        <v>0.38668000000000002</v>
      </c>
      <c r="F4104" t="s">
        <v>92</v>
      </c>
      <c r="G4104">
        <v>-434.98270000000002</v>
      </c>
      <c r="H4104">
        <v>16.556329999999999</v>
      </c>
      <c r="I4104">
        <v>-6.1518309999999996</v>
      </c>
      <c r="J4104">
        <v>-422.78609999999998</v>
      </c>
      <c r="K4104">
        <v>1.1354329999999999</v>
      </c>
      <c r="L4104">
        <v>122.8013</v>
      </c>
      <c r="M4104">
        <v>-0.38119459999999999</v>
      </c>
      <c r="N4104">
        <v>-1.595833E-2</v>
      </c>
      <c r="O4104">
        <v>-0.92435719999999999</v>
      </c>
      <c r="P4104">
        <v>-0.36573430000000001</v>
      </c>
      <c r="Q4104">
        <v>0.18912219999999999</v>
      </c>
      <c r="R4104">
        <v>-0.9113021</v>
      </c>
      <c r="S4104">
        <v>-0.2967224</v>
      </c>
      <c r="T4104">
        <v>0.37106539999999999</v>
      </c>
      <c r="U4104">
        <v>-3.111145</v>
      </c>
      <c r="V4104">
        <v>-1.667894E-2</v>
      </c>
      <c r="W4104">
        <v>0.2042998</v>
      </c>
      <c r="X4104">
        <v>0.97876629999999998</v>
      </c>
      <c r="Y4104">
        <v>-0.29265150000000001</v>
      </c>
      <c r="Z4104">
        <v>-0.117852</v>
      </c>
      <c r="AA4104">
        <v>0.94892880000000002</v>
      </c>
      <c r="AB4104">
        <v>36</v>
      </c>
      <c r="AC4104">
        <v>-12.1966</v>
      </c>
      <c r="AD4104">
        <v>15.420897</v>
      </c>
      <c r="AE4104">
        <v>-128.95313099999899</v>
      </c>
      <c r="AF4104">
        <v>-37.357542488031697</v>
      </c>
      <c r="AG4104">
        <v>15.420897</v>
      </c>
      <c r="AH4104">
        <v>122.132702266986</v>
      </c>
      <c r="AI4104">
        <v>83.115353408669804</v>
      </c>
      <c r="AJ4104">
        <v>107.007648441675</v>
      </c>
      <c r="AK4104">
        <v>128.645975483363</v>
      </c>
      <c r="AL4104">
        <v>78.211487306007101</v>
      </c>
      <c r="AM4104">
        <v>90.976270212185597</v>
      </c>
      <c r="AN4104">
        <v>1.0000000326676199</v>
      </c>
    </row>
    <row r="4105" spans="1:40" x14ac:dyDescent="0.25">
      <c r="A4105" t="str">
        <f>"20190303171059773"</f>
        <v>20190303171059773</v>
      </c>
      <c r="B4105" t="str">
        <f>"1551604259764636"</f>
        <v>1551604259764636</v>
      </c>
      <c r="C4105" t="s">
        <v>40</v>
      </c>
      <c r="D4105">
        <v>4.824719</v>
      </c>
      <c r="E4105">
        <v>0.38745380000000001</v>
      </c>
      <c r="F4105" t="s">
        <v>92</v>
      </c>
      <c r="G4105">
        <v>-433.12279999999998</v>
      </c>
      <c r="H4105">
        <v>16.323979999999999</v>
      </c>
      <c r="I4105">
        <v>-4.629537</v>
      </c>
      <c r="J4105">
        <v>-422.91180000000003</v>
      </c>
      <c r="K4105">
        <v>1.1354150000000001</v>
      </c>
      <c r="L4105">
        <v>122.4683</v>
      </c>
      <c r="M4105">
        <v>-0.36726710000000001</v>
      </c>
      <c r="N4105">
        <v>-1.59572999999999E-2</v>
      </c>
      <c r="O4105">
        <v>-0.92997859999999999</v>
      </c>
      <c r="P4105">
        <v>-0.35149580000000002</v>
      </c>
      <c r="Q4105">
        <v>0.18914980000000001</v>
      </c>
      <c r="R4105">
        <v>-0.91688199999999997</v>
      </c>
      <c r="S4105">
        <v>-0.2525635</v>
      </c>
      <c r="T4105">
        <v>0.37111290000000002</v>
      </c>
      <c r="U4105">
        <v>-3.1136170000000001</v>
      </c>
      <c r="V4105">
        <v>-1.7214690000000001E-2</v>
      </c>
      <c r="W4105">
        <v>0.20430780000000001</v>
      </c>
      <c r="X4105">
        <v>0.97875540000000005</v>
      </c>
      <c r="Y4105">
        <v>-0.29171849999999999</v>
      </c>
      <c r="Z4105">
        <v>-0.11888990000000001</v>
      </c>
      <c r="AA4105">
        <v>0.94908669999999995</v>
      </c>
      <c r="AB4105">
        <v>36</v>
      </c>
      <c r="AC4105">
        <v>-10.210999999999901</v>
      </c>
      <c r="AD4105">
        <v>15.188565000000001</v>
      </c>
      <c r="AE4105">
        <v>-127.097837</v>
      </c>
      <c r="AF4105">
        <v>-36.667292617637401</v>
      </c>
      <c r="AG4105">
        <v>15.188565000000001</v>
      </c>
      <c r="AH4105">
        <v>120.25758572011</v>
      </c>
      <c r="AI4105">
        <v>83.111516529595704</v>
      </c>
      <c r="AJ4105">
        <v>106.956792794455</v>
      </c>
      <c r="AK4105">
        <v>126.63755279496</v>
      </c>
      <c r="AL4105">
        <v>78.211019603825207</v>
      </c>
      <c r="AM4105">
        <v>91.007634179636796</v>
      </c>
      <c r="AN4105">
        <v>1.00000007786089</v>
      </c>
    </row>
    <row r="4106" spans="1:40" x14ac:dyDescent="0.25">
      <c r="A4106" t="str">
        <f>"20190303171059795"</f>
        <v>20190303171059795</v>
      </c>
      <c r="B4106" t="str">
        <f>"1551604259785132"</f>
        <v>1551604259785132</v>
      </c>
      <c r="C4106" t="s">
        <v>40</v>
      </c>
      <c r="D4106">
        <v>4.9341089999999896</v>
      </c>
      <c r="E4106">
        <v>0.38785920000000002</v>
      </c>
      <c r="F4106" t="s">
        <v>92</v>
      </c>
      <c r="G4106">
        <v>-431.35480000000001</v>
      </c>
      <c r="H4106">
        <v>16.009460000000001</v>
      </c>
      <c r="I4106">
        <v>-3.1825260000000002</v>
      </c>
      <c r="J4106">
        <v>-423.0292</v>
      </c>
      <c r="K4106">
        <v>1.1353959999999901</v>
      </c>
      <c r="L4106">
        <v>122.1427</v>
      </c>
      <c r="M4106">
        <v>-0.35363159999999999</v>
      </c>
      <c r="N4106">
        <v>-1.595597E-2</v>
      </c>
      <c r="O4106">
        <v>-0.93524870000000004</v>
      </c>
      <c r="P4106">
        <v>-0.33726020000000001</v>
      </c>
      <c r="Q4106">
        <v>0.18851329999999999</v>
      </c>
      <c r="R4106">
        <v>-0.92234419999999995</v>
      </c>
      <c r="S4106">
        <v>-0.2093506</v>
      </c>
      <c r="T4106">
        <v>0.36881540000000002</v>
      </c>
      <c r="U4106">
        <v>-3.115631</v>
      </c>
      <c r="V4106">
        <v>-1.8073659999999998E-2</v>
      </c>
      <c r="W4106">
        <v>0.20364070000000001</v>
      </c>
      <c r="X4106">
        <v>0.9788789</v>
      </c>
      <c r="Y4106">
        <v>-0.29087239999999998</v>
      </c>
      <c r="Z4106">
        <v>-0.1192183</v>
      </c>
      <c r="AA4106">
        <v>0.94930519999999996</v>
      </c>
      <c r="AB4106">
        <v>36</v>
      </c>
      <c r="AC4106">
        <v>-8.3255999999999997</v>
      </c>
      <c r="AD4106">
        <v>14.874064000000001</v>
      </c>
      <c r="AE4106">
        <v>-125.325226</v>
      </c>
      <c r="AF4106">
        <v>-36.031796793914801</v>
      </c>
      <c r="AG4106">
        <v>14.874064000000001</v>
      </c>
      <c r="AH4106">
        <v>118.507800487758</v>
      </c>
      <c r="AI4106">
        <v>83.152513300497503</v>
      </c>
      <c r="AJ4106">
        <v>106.91167295077599</v>
      </c>
      <c r="AK4106">
        <v>124.754266205691</v>
      </c>
      <c r="AL4106">
        <v>78.250062067562794</v>
      </c>
      <c r="AM4106">
        <v>91.057768012038096</v>
      </c>
      <c r="AN4106">
        <v>1.00000004637374</v>
      </c>
    </row>
    <row r="4107" spans="1:40" x14ac:dyDescent="0.25">
      <c r="A4107" t="str">
        <f>"20190303171059818"</f>
        <v>20190303171059818</v>
      </c>
      <c r="B4107" t="str">
        <f>"1551604259804651"</f>
        <v>1551604259804651</v>
      </c>
      <c r="C4107" t="s">
        <v>40</v>
      </c>
      <c r="D4107">
        <v>4.849818</v>
      </c>
      <c r="E4107">
        <v>0.3864745</v>
      </c>
      <c r="F4107" t="s">
        <v>92</v>
      </c>
      <c r="G4107">
        <v>-429.54820000000001</v>
      </c>
      <c r="H4107">
        <v>15.629110000000001</v>
      </c>
      <c r="I4107">
        <v>-1.7040230000000001</v>
      </c>
      <c r="J4107">
        <v>-423.14429999999999</v>
      </c>
      <c r="K4107">
        <v>1.1353740000000001</v>
      </c>
      <c r="L4107">
        <v>121.8073</v>
      </c>
      <c r="M4107">
        <v>-0.3395725</v>
      </c>
      <c r="N4107">
        <v>-1.5954240000000001E-2</v>
      </c>
      <c r="O4107">
        <v>-0.94044470000000002</v>
      </c>
      <c r="P4107">
        <v>-0.32303399999999999</v>
      </c>
      <c r="Q4107">
        <v>0.1882482</v>
      </c>
      <c r="R4107">
        <v>-0.92747590000000002</v>
      </c>
      <c r="S4107">
        <v>-0.16412349999999901</v>
      </c>
      <c r="T4107">
        <v>0.36489310000000003</v>
      </c>
      <c r="U4107">
        <v>-3.117966</v>
      </c>
      <c r="V4107">
        <v>-1.845656E-2</v>
      </c>
      <c r="W4107">
        <v>0.20336099999999999</v>
      </c>
      <c r="X4107">
        <v>0.97892990000000002</v>
      </c>
      <c r="Y4107">
        <v>-0.29029189999999999</v>
      </c>
      <c r="Z4107">
        <v>-0.1190462</v>
      </c>
      <c r="AA4107">
        <v>0.94950440000000003</v>
      </c>
      <c r="AB4107">
        <v>36</v>
      </c>
      <c r="AC4107">
        <v>-6.4039000000000197</v>
      </c>
      <c r="AD4107">
        <v>14.493735999999901</v>
      </c>
      <c r="AE4107">
        <v>-123.511323</v>
      </c>
      <c r="AF4107">
        <v>-35.436436265016603</v>
      </c>
      <c r="AG4107">
        <v>14.493735999999901</v>
      </c>
      <c r="AH4107">
        <v>116.74192981971601</v>
      </c>
      <c r="AI4107">
        <v>83.225046633339204</v>
      </c>
      <c r="AJ4107">
        <v>106.885407865167</v>
      </c>
      <c r="AK4107">
        <v>122.859625493625</v>
      </c>
      <c r="AL4107">
        <v>78.2664301872979</v>
      </c>
      <c r="AM4107">
        <v>91.080115868584002</v>
      </c>
      <c r="AN4107">
        <v>1.00000004502102</v>
      </c>
    </row>
    <row r="4108" spans="1:40" x14ac:dyDescent="0.25">
      <c r="A4108" t="str">
        <f>"20190303171059840"</f>
        <v>20190303171059840</v>
      </c>
      <c r="B4108" t="str">
        <f>"1551604259834908"</f>
        <v>1551604259834908</v>
      </c>
      <c r="C4108" t="s">
        <v>40</v>
      </c>
      <c r="D4108">
        <v>4.8963109999999999</v>
      </c>
      <c r="E4108">
        <v>0.38529659999999999</v>
      </c>
      <c r="F4108" t="s">
        <v>92</v>
      </c>
      <c r="G4108">
        <v>-427.24880000000002</v>
      </c>
      <c r="H4108">
        <v>15.180540000000001</v>
      </c>
      <c r="I4108">
        <v>0.9330387</v>
      </c>
      <c r="J4108">
        <v>-423.25459999999998</v>
      </c>
      <c r="K4108">
        <v>1.1353599999999999</v>
      </c>
      <c r="L4108">
        <v>121.4689</v>
      </c>
      <c r="M4108">
        <v>-0.32537369999999999</v>
      </c>
      <c r="N4108">
        <v>-1.595222E-2</v>
      </c>
      <c r="O4108">
        <v>-0.94545100000000004</v>
      </c>
      <c r="P4108">
        <v>-0.3094925</v>
      </c>
      <c r="Q4108">
        <v>0.18862029999999999</v>
      </c>
      <c r="R4108">
        <v>-0.93200709999999998</v>
      </c>
      <c r="S4108">
        <v>-0.1060791</v>
      </c>
      <c r="T4108">
        <v>0.3629947</v>
      </c>
      <c r="U4108">
        <v>-3.1239780000000001</v>
      </c>
      <c r="V4108">
        <v>-1.7950939999999999E-2</v>
      </c>
      <c r="W4108">
        <v>0.2037494</v>
      </c>
      <c r="X4108">
        <v>0.97885849999999996</v>
      </c>
      <c r="Y4108">
        <v>-0.29358529999999999</v>
      </c>
      <c r="Z4108">
        <v>-0.11920749999999999</v>
      </c>
      <c r="AA4108">
        <v>0.94847099999999995</v>
      </c>
      <c r="AB4108">
        <v>36</v>
      </c>
      <c r="AC4108">
        <v>-3.9942000000000299</v>
      </c>
      <c r="AD4108">
        <v>14.045179999999901</v>
      </c>
      <c r="AE4108">
        <v>-120.53586129999999</v>
      </c>
      <c r="AF4108">
        <v>-34.973058976548302</v>
      </c>
      <c r="AG4108">
        <v>14.045179999999901</v>
      </c>
      <c r="AH4108">
        <v>113.73250265912</v>
      </c>
      <c r="AI4108">
        <v>83.268047802835</v>
      </c>
      <c r="AJ4108">
        <v>107.092807658887</v>
      </c>
      <c r="AK4108">
        <v>119.814290034688</v>
      </c>
      <c r="AL4108">
        <v>78.243700195496203</v>
      </c>
      <c r="AM4108">
        <v>91.050609281312902</v>
      </c>
      <c r="AN4108">
        <v>1.00000000863474</v>
      </c>
    </row>
    <row r="4109" spans="1:40" x14ac:dyDescent="0.25">
      <c r="A4109" t="str">
        <f>"20190303171059862"</f>
        <v>20190303171059862</v>
      </c>
      <c r="B4109" t="str">
        <f>"1551604259855404"</f>
        <v>1551604259855404</v>
      </c>
      <c r="C4109" t="s">
        <v>40</v>
      </c>
      <c r="D4109">
        <v>4.8905149999999997</v>
      </c>
      <c r="E4109">
        <v>0.38519120000000001</v>
      </c>
      <c r="F4109" t="s">
        <v>92</v>
      </c>
      <c r="G4109">
        <v>-425.25380000000001</v>
      </c>
      <c r="H4109">
        <v>15.21299</v>
      </c>
      <c r="I4109">
        <v>0.42399979999999998</v>
      </c>
      <c r="J4109">
        <v>-423.35969999999998</v>
      </c>
      <c r="K4109">
        <v>1.1353439999999999</v>
      </c>
      <c r="L4109">
        <v>121.1292</v>
      </c>
      <c r="M4109">
        <v>-0.31109599999999998</v>
      </c>
      <c r="N4109">
        <v>-1.5949939999999999E-2</v>
      </c>
      <c r="O4109">
        <v>-0.9502448</v>
      </c>
      <c r="P4109">
        <v>-0.29612630000000001</v>
      </c>
      <c r="Q4109">
        <v>0.1887701</v>
      </c>
      <c r="R4109">
        <v>-0.93630919999999895</v>
      </c>
      <c r="S4109">
        <v>-5.1666259999999999E-2</v>
      </c>
      <c r="T4109">
        <v>0.36379610000000001</v>
      </c>
      <c r="U4109">
        <v>-3.1280670000000002</v>
      </c>
      <c r="V4109">
        <v>-1.719509E-2</v>
      </c>
      <c r="W4109">
        <v>0.20392399999999999</v>
      </c>
      <c r="X4109">
        <v>0.97883569999999998</v>
      </c>
      <c r="Y4109">
        <v>-0.2957185</v>
      </c>
      <c r="Z4109">
        <v>-0.1201464</v>
      </c>
      <c r="AA4109">
        <v>0.94768949999999996</v>
      </c>
      <c r="AB4109">
        <v>36</v>
      </c>
      <c r="AC4109">
        <v>-1.8941000000000301</v>
      </c>
      <c r="AD4109">
        <v>14.077646</v>
      </c>
      <c r="AE4109">
        <v>-120.70520019999999</v>
      </c>
      <c r="AF4109">
        <v>-35.275879008765799</v>
      </c>
      <c r="AG4109">
        <v>14.077646</v>
      </c>
      <c r="AH4109">
        <v>113.756432780149</v>
      </c>
      <c r="AI4109">
        <v>83.258928576280795</v>
      </c>
      <c r="AJ4109">
        <v>107.22866751239501</v>
      </c>
      <c r="AK4109">
        <v>119.929536627167</v>
      </c>
      <c r="AL4109">
        <v>78.233481692614902</v>
      </c>
      <c r="AM4109">
        <v>91.006404609870501</v>
      </c>
      <c r="AN4109">
        <v>0.99999999824529895</v>
      </c>
    </row>
    <row r="4110" spans="1:40" x14ac:dyDescent="0.25">
      <c r="A4110" t="str">
        <f>"20190303171059884"</f>
        <v>20190303171059884</v>
      </c>
      <c r="B4110" t="str">
        <f>"1551604259874924"</f>
        <v>1551604259874924</v>
      </c>
      <c r="C4110" t="s">
        <v>40</v>
      </c>
      <c r="D4110">
        <v>4.985576</v>
      </c>
      <c r="E4110">
        <v>0.3850344</v>
      </c>
      <c r="F4110" t="s">
        <v>92</v>
      </c>
      <c r="G4110">
        <v>-423.5822</v>
      </c>
      <c r="H4110">
        <v>15.09122</v>
      </c>
      <c r="I4110">
        <v>1.00214</v>
      </c>
      <c r="J4110">
        <v>-423.45699999999999</v>
      </c>
      <c r="K4110">
        <v>1.1353329999999999</v>
      </c>
      <c r="L4110">
        <v>120.797</v>
      </c>
      <c r="M4110">
        <v>-0.29712300000000003</v>
      </c>
      <c r="N4110">
        <v>-1.5947380000000001E-2</v>
      </c>
      <c r="O4110">
        <v>-0.95470619999999995</v>
      </c>
      <c r="P4110">
        <v>-0.28241539999999998</v>
      </c>
      <c r="Q4110">
        <v>0.188695</v>
      </c>
      <c r="R4110">
        <v>-0.94055089999999997</v>
      </c>
      <c r="S4110">
        <v>-5.7983399999999999E-3</v>
      </c>
      <c r="T4110">
        <v>0.36350670000000002</v>
      </c>
      <c r="U4110">
        <v>-3.1289370000000001</v>
      </c>
      <c r="V4110">
        <v>-1.7127219999999999E-2</v>
      </c>
      <c r="W4110">
        <v>0.2038499</v>
      </c>
      <c r="X4110">
        <v>0.97885230000000001</v>
      </c>
      <c r="Y4110">
        <v>-0.29560110000000001</v>
      </c>
      <c r="Z4110">
        <v>-0.1208424</v>
      </c>
      <c r="AA4110">
        <v>0.94763759999999997</v>
      </c>
      <c r="AB4110">
        <v>36</v>
      </c>
      <c r="AC4110">
        <v>-0.125200000000006</v>
      </c>
      <c r="AD4110">
        <v>13.955887000000001</v>
      </c>
      <c r="AE4110">
        <v>-119.79486</v>
      </c>
      <c r="AF4110">
        <v>-35.003720818126098</v>
      </c>
      <c r="AG4110">
        <v>13.955887000000001</v>
      </c>
      <c r="AH4110">
        <v>112.888524821796</v>
      </c>
      <c r="AI4110">
        <v>83.265740303286407</v>
      </c>
      <c r="AJ4110">
        <v>107.22726925048001</v>
      </c>
      <c r="AK4110">
        <v>119.011958598753</v>
      </c>
      <c r="AL4110">
        <v>78.2378181193491</v>
      </c>
      <c r="AM4110">
        <v>91.002416089283003</v>
      </c>
      <c r="AN4110">
        <v>0.999999974305113</v>
      </c>
    </row>
    <row r="4111" spans="1:40" x14ac:dyDescent="0.25">
      <c r="A4111" t="str">
        <f>"20190303171059907"</f>
        <v>20190303171059907</v>
      </c>
      <c r="B4111" t="str">
        <f>"1551604259895420"</f>
        <v>1551604259895420</v>
      </c>
      <c r="C4111" t="s">
        <v>40</v>
      </c>
      <c r="D4111">
        <v>4.9388420000000002</v>
      </c>
      <c r="E4111">
        <v>0.3850885</v>
      </c>
      <c r="F4111" t="s">
        <v>92</v>
      </c>
      <c r="G4111">
        <v>-421.8879</v>
      </c>
      <c r="H4111">
        <v>15.063890000000001</v>
      </c>
      <c r="I4111">
        <v>0.4582367</v>
      </c>
      <c r="J4111">
        <v>-423.55119999999999</v>
      </c>
      <c r="K4111">
        <v>1.1353089999999999</v>
      </c>
      <c r="L4111">
        <v>120.4568</v>
      </c>
      <c r="M4111">
        <v>-0.28279140000000003</v>
      </c>
      <c r="N4111">
        <v>-1.5944489999999999E-2</v>
      </c>
      <c r="O4111">
        <v>-0.95904889999999998</v>
      </c>
      <c r="P4111">
        <v>-0.26827889999999999</v>
      </c>
      <c r="Q4111">
        <v>0.1883531</v>
      </c>
      <c r="R4111">
        <v>-0.94474860000000005</v>
      </c>
      <c r="S4111">
        <v>4.0801999999999998E-2</v>
      </c>
      <c r="T4111">
        <v>0.36219010000000001</v>
      </c>
      <c r="U4111">
        <v>-3.1292270000000002</v>
      </c>
      <c r="V4111">
        <v>-1.7142009999999999E-2</v>
      </c>
      <c r="W4111">
        <v>0.20350579999999999</v>
      </c>
      <c r="X4111">
        <v>0.97892369999999995</v>
      </c>
      <c r="Y4111">
        <v>-0.29540559999999899</v>
      </c>
      <c r="Z4111">
        <v>-0.12123</v>
      </c>
      <c r="AA4111">
        <v>0.94764910000000002</v>
      </c>
      <c r="AB4111">
        <v>36</v>
      </c>
      <c r="AC4111">
        <v>1.66329999999999</v>
      </c>
      <c r="AD4111">
        <v>13.928580999999999</v>
      </c>
      <c r="AE4111">
        <v>-119.99856329999901</v>
      </c>
      <c r="AF4111">
        <v>-35.061968724348802</v>
      </c>
      <c r="AG4111">
        <v>13.928580999999999</v>
      </c>
      <c r="AH4111">
        <v>113.105131828099</v>
      </c>
      <c r="AI4111">
        <v>83.291401948694897</v>
      </c>
      <c r="AJ4111">
        <v>107.223148662833</v>
      </c>
      <c r="AK4111">
        <v>119.231362758934</v>
      </c>
      <c r="AL4111">
        <v>78.257956443132002</v>
      </c>
      <c r="AM4111">
        <v>91.003208374861799</v>
      </c>
      <c r="AN4111">
        <v>1.00000003478108</v>
      </c>
    </row>
    <row r="4112" spans="1:40" x14ac:dyDescent="0.25">
      <c r="A4112" t="str">
        <f>"20190303171059929"</f>
        <v>20190303171059929</v>
      </c>
      <c r="B4112" t="str">
        <f>"1551604259924700"</f>
        <v>1551604259924700</v>
      </c>
      <c r="C4112" t="s">
        <v>40</v>
      </c>
      <c r="D4112">
        <v>4.9524480000000004</v>
      </c>
      <c r="E4112">
        <v>0.38550390000000001</v>
      </c>
      <c r="F4112" t="s">
        <v>92</v>
      </c>
      <c r="G4112">
        <v>-420.20389999999998</v>
      </c>
      <c r="H4112">
        <v>14.949490000000001</v>
      </c>
      <c r="I4112">
        <v>0.47536279999999997</v>
      </c>
      <c r="J4112">
        <v>-423.64319999999998</v>
      </c>
      <c r="K4112">
        <v>1.1352850000000001</v>
      </c>
      <c r="L4112">
        <v>120.10429999999999</v>
      </c>
      <c r="M4112">
        <v>-0.26792389999999999</v>
      </c>
      <c r="N4112">
        <v>-1.5941360000000002E-2</v>
      </c>
      <c r="O4112">
        <v>-0.96330819999999995</v>
      </c>
      <c r="P4112">
        <v>-0.2542818</v>
      </c>
      <c r="Q4112">
        <v>0.18832570000000001</v>
      </c>
      <c r="R4112">
        <v>-0.9486173</v>
      </c>
      <c r="S4112">
        <v>8.7280269999999993E-2</v>
      </c>
      <c r="T4112">
        <v>0.36019430000000002</v>
      </c>
      <c r="U4112">
        <v>-3.1284329999999998</v>
      </c>
      <c r="V4112">
        <v>-1.6460510000000001E-2</v>
      </c>
      <c r="W4112">
        <v>0.2035006</v>
      </c>
      <c r="X4112">
        <v>0.97893640000000004</v>
      </c>
      <c r="Y4112">
        <v>-0.2947052</v>
      </c>
      <c r="Z4112">
        <v>-0.1214329</v>
      </c>
      <c r="AA4112">
        <v>0.94784120000000005</v>
      </c>
      <c r="AB4112">
        <v>36</v>
      </c>
      <c r="AC4112">
        <v>3.4392999999999998</v>
      </c>
      <c r="AD4112">
        <v>13.814204999999999</v>
      </c>
      <c r="AE4112">
        <v>-119.6289372</v>
      </c>
      <c r="AF4112">
        <v>-34.904005316445598</v>
      </c>
      <c r="AG4112">
        <v>13.814204999999999</v>
      </c>
      <c r="AH4112">
        <v>112.82930341545701</v>
      </c>
      <c r="AI4112">
        <v>83.328674353989697</v>
      </c>
      <c r="AJ4112">
        <v>107.189573526947</v>
      </c>
      <c r="AK4112">
        <v>118.90993884503401</v>
      </c>
      <c r="AL4112">
        <v>78.258259845538802</v>
      </c>
      <c r="AM4112">
        <v>90.963319867333098</v>
      </c>
      <c r="AN4112">
        <v>0.99999995891738902</v>
      </c>
    </row>
    <row r="4113" spans="1:40" x14ac:dyDescent="0.25">
      <c r="A4113" t="str">
        <f>"20190303171059953"</f>
        <v>20190303171059953</v>
      </c>
      <c r="B4113" t="str">
        <f>"1551604259945195"</f>
        <v>1551604259945195</v>
      </c>
      <c r="C4113" t="s">
        <v>40</v>
      </c>
      <c r="D4113">
        <v>5.0887830000000003</v>
      </c>
      <c r="E4113">
        <v>0.38557710000000001</v>
      </c>
      <c r="F4113" t="s">
        <v>92</v>
      </c>
      <c r="G4113">
        <v>-418.64569999999998</v>
      </c>
      <c r="H4113">
        <v>14.88044</v>
      </c>
      <c r="I4113">
        <v>0.49120900000000001</v>
      </c>
      <c r="J4113">
        <v>-423.72930000000002</v>
      </c>
      <c r="K4113">
        <v>1.1352690000000001</v>
      </c>
      <c r="L4113">
        <v>119.75230000000001</v>
      </c>
      <c r="M4113">
        <v>-0.25305949999999999</v>
      </c>
      <c r="N4113">
        <v>-1.5938069999999999E-2</v>
      </c>
      <c r="O4113">
        <v>-0.96731959999999995</v>
      </c>
      <c r="P4113">
        <v>-0.240254</v>
      </c>
      <c r="Q4113">
        <v>0.18778919999999999</v>
      </c>
      <c r="R4113">
        <v>-0.95237280000000002</v>
      </c>
      <c r="S4113">
        <v>0.13061519999999999</v>
      </c>
      <c r="T4113">
        <v>0.35924240000000002</v>
      </c>
      <c r="U4113">
        <v>-3.1262050000000001</v>
      </c>
      <c r="V4113">
        <v>-1.5828330000000002E-2</v>
      </c>
      <c r="W4113">
        <v>0.2029852</v>
      </c>
      <c r="X4113">
        <v>0.97905390000000003</v>
      </c>
      <c r="Y4113">
        <v>-0.293132</v>
      </c>
      <c r="Z4113">
        <v>-0.1219384</v>
      </c>
      <c r="AA4113">
        <v>0.948264</v>
      </c>
      <c r="AB4113">
        <v>36</v>
      </c>
      <c r="AC4113">
        <v>5.0836000000000396</v>
      </c>
      <c r="AD4113">
        <v>13.745170999999999</v>
      </c>
      <c r="AE4113">
        <v>-119.26109099999999</v>
      </c>
      <c r="AF4113">
        <v>-34.642738753168601</v>
      </c>
      <c r="AG4113">
        <v>13.745170999999999</v>
      </c>
      <c r="AH4113">
        <v>112.59865205406599</v>
      </c>
      <c r="AI4113">
        <v>83.345105619405103</v>
      </c>
      <c r="AJ4113">
        <v>107.10133427741</v>
      </c>
      <c r="AK4113">
        <v>118.60651549780999</v>
      </c>
      <c r="AL4113">
        <v>78.2884204585161</v>
      </c>
      <c r="AM4113">
        <v>90.926218164346906</v>
      </c>
      <c r="AN4113">
        <v>1.0000000332774099</v>
      </c>
    </row>
    <row r="4114" spans="1:40" x14ac:dyDescent="0.25">
      <c r="A4114" t="str">
        <f>"20190303171059973"</f>
        <v>20190303171059973</v>
      </c>
      <c r="B4114" t="str">
        <f>"1551604259964716"</f>
        <v>1551604259964716</v>
      </c>
      <c r="C4114" t="s">
        <v>40</v>
      </c>
      <c r="D4114">
        <v>5.1388030000000002</v>
      </c>
      <c r="E4114">
        <v>0.38581399999999999</v>
      </c>
      <c r="F4114" t="s">
        <v>92</v>
      </c>
      <c r="G4114">
        <v>-417.0145</v>
      </c>
      <c r="H4114">
        <v>14.805540000000001</v>
      </c>
      <c r="I4114">
        <v>0.50779719999999995</v>
      </c>
      <c r="J4114">
        <v>-423.8032</v>
      </c>
      <c r="K4114">
        <v>1.135257</v>
      </c>
      <c r="L4114">
        <v>119.4288</v>
      </c>
      <c r="M4114">
        <v>-0.23938090000000001</v>
      </c>
      <c r="N4114">
        <v>-1.593499E-2</v>
      </c>
      <c r="O4114">
        <v>-0.97079510000000002</v>
      </c>
      <c r="P4114">
        <v>-0.22745580000000001</v>
      </c>
      <c r="Q4114">
        <v>0.1872596</v>
      </c>
      <c r="R4114">
        <v>-0.95561410000000002</v>
      </c>
      <c r="S4114">
        <v>0.17590329999999901</v>
      </c>
      <c r="T4114">
        <v>0.35811140000000002</v>
      </c>
      <c r="U4114">
        <v>-3.1237789999999999</v>
      </c>
      <c r="V4114">
        <v>-1.5136210000000001E-2</v>
      </c>
      <c r="W4114">
        <v>0.20247860000000001</v>
      </c>
      <c r="X4114">
        <v>0.97916970000000003</v>
      </c>
      <c r="Y4114">
        <v>-0.29338389999999998</v>
      </c>
      <c r="Z4114">
        <v>-0.12225900000000001</v>
      </c>
      <c r="AA4114">
        <v>0.94814489999999996</v>
      </c>
      <c r="AB4114">
        <v>36</v>
      </c>
      <c r="AC4114">
        <v>6.7887000000000004</v>
      </c>
      <c r="AD4114">
        <v>13.670283</v>
      </c>
      <c r="AE4114">
        <v>-118.9210028</v>
      </c>
      <c r="AF4114">
        <v>-34.6064920080278</v>
      </c>
      <c r="AG4114">
        <v>13.670283</v>
      </c>
      <c r="AH4114">
        <v>112.357400185819</v>
      </c>
      <c r="AI4114">
        <v>83.367580162498996</v>
      </c>
      <c r="AJ4114">
        <v>107.119024577537</v>
      </c>
      <c r="AK4114">
        <v>118.35823293255901</v>
      </c>
      <c r="AL4114">
        <v>78.318061573111805</v>
      </c>
      <c r="AM4114">
        <v>90.885619605246404</v>
      </c>
      <c r="AN4114">
        <v>0.999999994854607</v>
      </c>
    </row>
    <row r="4115" spans="1:40" x14ac:dyDescent="0.25">
      <c r="A4115" t="str">
        <f>"20190303171059997"</f>
        <v>20190303171059997</v>
      </c>
      <c r="B4115" t="str">
        <f>"1551604259985211"</f>
        <v>1551604259985211</v>
      </c>
      <c r="C4115" t="s">
        <v>40</v>
      </c>
      <c r="D4115">
        <v>5.1514680000000004</v>
      </c>
      <c r="E4115">
        <v>0.38625549999999997</v>
      </c>
      <c r="F4115" t="s">
        <v>92</v>
      </c>
      <c r="G4115">
        <v>-415.62700000000001</v>
      </c>
      <c r="H4115">
        <v>14.62701</v>
      </c>
      <c r="I4115">
        <v>1.2789170000000001</v>
      </c>
      <c r="J4115">
        <v>-423.87819999999999</v>
      </c>
      <c r="K4115">
        <v>1.135232</v>
      </c>
      <c r="L4115">
        <v>119.0775</v>
      </c>
      <c r="M4115">
        <v>-0.2245142</v>
      </c>
      <c r="N4115">
        <v>-1.593149E-2</v>
      </c>
      <c r="O4115">
        <v>-0.97434050000000005</v>
      </c>
      <c r="P4115">
        <v>-0.2137965</v>
      </c>
      <c r="Q4115">
        <v>0.18789890000000001</v>
      </c>
      <c r="R4115">
        <v>-0.95863710000000002</v>
      </c>
      <c r="S4115">
        <v>0.2159729</v>
      </c>
      <c r="T4115">
        <v>0.35638189999999997</v>
      </c>
      <c r="U4115">
        <v>-3.120911</v>
      </c>
      <c r="V4115">
        <v>-1.412008E-2</v>
      </c>
      <c r="W4115">
        <v>0.20315</v>
      </c>
      <c r="X4115">
        <v>0.97904579999999997</v>
      </c>
      <c r="Y4115">
        <v>-0.29094579999999998</v>
      </c>
      <c r="Z4115">
        <v>-0.1224626</v>
      </c>
      <c r="AA4115">
        <v>0.94886959999999998</v>
      </c>
      <c r="AB4115">
        <v>36</v>
      </c>
      <c r="AC4115">
        <v>8.2512000000000398</v>
      </c>
      <c r="AD4115">
        <v>13.491778</v>
      </c>
      <c r="AE4115">
        <v>-117.79858299999999</v>
      </c>
      <c r="AF4115">
        <v>-34.046876281564302</v>
      </c>
      <c r="AG4115">
        <v>13.491778</v>
      </c>
      <c r="AH4115">
        <v>111.48250470141799</v>
      </c>
      <c r="AI4115">
        <v>83.397730926102895</v>
      </c>
      <c r="AJ4115">
        <v>106.98272743346</v>
      </c>
      <c r="AK4115">
        <v>117.34379707779701</v>
      </c>
      <c r="AL4115">
        <v>78.278776665872897</v>
      </c>
      <c r="AM4115">
        <v>90.826278918334097</v>
      </c>
      <c r="AN4115">
        <v>0.999999988828423</v>
      </c>
    </row>
    <row r="4116" spans="1:40" x14ac:dyDescent="0.25">
      <c r="A4116" t="str">
        <f>"20190303171100020"</f>
        <v>20190303171100020</v>
      </c>
      <c r="B4116" t="str">
        <f>"1551604260014492"</f>
        <v>1551604260014492</v>
      </c>
      <c r="C4116" t="s">
        <v>40</v>
      </c>
      <c r="D4116">
        <v>5.1664949999999896</v>
      </c>
      <c r="E4116">
        <v>0.4000494</v>
      </c>
      <c r="F4116" t="s">
        <v>92</v>
      </c>
      <c r="G4116">
        <v>-414.11250000000001</v>
      </c>
      <c r="H4116">
        <v>14.69064</v>
      </c>
      <c r="I4116">
        <v>0.53730959999999905</v>
      </c>
      <c r="J4116">
        <v>-423.94650000000001</v>
      </c>
      <c r="K4116">
        <v>1.1352040000000001</v>
      </c>
      <c r="L4116">
        <v>118.729</v>
      </c>
      <c r="M4116">
        <v>-0.2097571</v>
      </c>
      <c r="N4116">
        <v>-1.5927449999999999E-2</v>
      </c>
      <c r="O4116">
        <v>-0.97762400000000005</v>
      </c>
      <c r="P4116">
        <v>-0.20142579999999999</v>
      </c>
      <c r="Q4116">
        <v>0.18940070000000001</v>
      </c>
      <c r="R4116">
        <v>-0.96101800000000004</v>
      </c>
      <c r="S4116">
        <v>0.25677489999999997</v>
      </c>
      <c r="T4116">
        <v>0.35642190000000001</v>
      </c>
      <c r="U4116">
        <v>-3.1168670000000001</v>
      </c>
      <c r="V4116">
        <v>-1.190415E-2</v>
      </c>
      <c r="W4116">
        <v>0.20472270000000001</v>
      </c>
      <c r="X4116">
        <v>0.97874760000000005</v>
      </c>
      <c r="Y4116">
        <v>-0.288912</v>
      </c>
      <c r="Z4116">
        <v>-0.123160199999999</v>
      </c>
      <c r="AA4116">
        <v>0.94940049999999998</v>
      </c>
      <c r="AB4116">
        <v>36</v>
      </c>
      <c r="AC4116">
        <v>9.8339999999999996</v>
      </c>
      <c r="AD4116">
        <v>13.555435999999901</v>
      </c>
      <c r="AE4116">
        <v>-118.1916904</v>
      </c>
      <c r="AF4116">
        <v>-33.966144462023202</v>
      </c>
      <c r="AG4116">
        <v>13.555435999999901</v>
      </c>
      <c r="AH4116">
        <v>112.035094352559</v>
      </c>
      <c r="AI4116">
        <v>83.395224839962395</v>
      </c>
      <c r="AJ4116">
        <v>106.86594709979801</v>
      </c>
      <c r="AK4116">
        <v>117.852921819325</v>
      </c>
      <c r="AL4116">
        <v>78.186733087287095</v>
      </c>
      <c r="AM4116">
        <v>90.696833304609697</v>
      </c>
      <c r="AN4116">
        <v>0.99999997859413603</v>
      </c>
    </row>
    <row r="4117" spans="1:40" x14ac:dyDescent="0.25">
      <c r="A4117" t="str">
        <f>"20190303171100042"</f>
        <v>20190303171100042</v>
      </c>
      <c r="B4117" t="str">
        <f>"1551604260034988"</f>
        <v>1551604260034988</v>
      </c>
      <c r="C4117" t="s">
        <v>40</v>
      </c>
      <c r="D4117">
        <v>5.2051150000000002</v>
      </c>
      <c r="E4117">
        <v>0.40174949999999998</v>
      </c>
      <c r="F4117" t="s">
        <v>92</v>
      </c>
      <c r="G4117">
        <v>-416.31209999999999</v>
      </c>
      <c r="H4117">
        <v>1.902312</v>
      </c>
      <c r="I4117">
        <v>1.276192</v>
      </c>
      <c r="J4117">
        <v>-424.0102</v>
      </c>
      <c r="K4117">
        <v>1.135181</v>
      </c>
      <c r="L4117">
        <v>118.3764</v>
      </c>
      <c r="M4117">
        <v>-0.19481580000000001</v>
      </c>
      <c r="N4117">
        <v>-1.592244E-2</v>
      </c>
      <c r="O4117">
        <v>-0.98071059999999999</v>
      </c>
      <c r="P4117">
        <v>-0.18962989999999999</v>
      </c>
      <c r="Q4117">
        <v>0.1900608</v>
      </c>
      <c r="R4117">
        <v>-0.96328469999999999</v>
      </c>
      <c r="S4117">
        <v>0.2054443</v>
      </c>
      <c r="T4117">
        <v>2.0642400000000002E-2</v>
      </c>
      <c r="U4117">
        <v>-3.1606900000000002</v>
      </c>
      <c r="V4117">
        <v>-8.9423469999999998E-3</v>
      </c>
      <c r="W4117">
        <v>0.2054811</v>
      </c>
      <c r="X4117">
        <v>0.97862020000000005</v>
      </c>
      <c r="Y4117">
        <v>-0.25801449999999998</v>
      </c>
      <c r="Z4117">
        <v>-2.2248850000000001E-2</v>
      </c>
      <c r="AA4117">
        <v>0.96588479999999999</v>
      </c>
      <c r="AB4117">
        <v>36</v>
      </c>
      <c r="AC4117">
        <v>7.6981000000000099</v>
      </c>
      <c r="AD4117">
        <v>0.76713100000000001</v>
      </c>
      <c r="AE4117">
        <v>-117.10020799999999</v>
      </c>
      <c r="AF4117">
        <v>-30.3651309555257</v>
      </c>
      <c r="AG4117">
        <v>0.76713100000000001</v>
      </c>
      <c r="AH4117">
        <v>113.351230142429</v>
      </c>
      <c r="AI4117">
        <v>89.625449437856005</v>
      </c>
      <c r="AJ4117">
        <v>104.99658565982</v>
      </c>
      <c r="AK4117">
        <v>117.350462473394</v>
      </c>
      <c r="AL4117">
        <v>78.142336033911505</v>
      </c>
      <c r="AM4117">
        <v>90.523537611926798</v>
      </c>
      <c r="AN4117">
        <v>0.99999997193755796</v>
      </c>
    </row>
    <row r="4118" spans="1:40" x14ac:dyDescent="0.25">
      <c r="A4118" t="str">
        <f>"20190303171100064"</f>
        <v>20190303171100064</v>
      </c>
      <c r="B4118" t="str">
        <f>"1551604260055484"</f>
        <v>1551604260055484</v>
      </c>
      <c r="C4118" t="s">
        <v>40</v>
      </c>
      <c r="D4118">
        <v>5.2181829999999998</v>
      </c>
      <c r="E4118">
        <v>0.4031785</v>
      </c>
      <c r="F4118" t="s">
        <v>92</v>
      </c>
      <c r="G4118">
        <v>-415.3897</v>
      </c>
      <c r="H4118">
        <v>1.8449310000000001</v>
      </c>
      <c r="I4118">
        <v>1.2798389999999999</v>
      </c>
      <c r="J4118">
        <v>-424.06540000000001</v>
      </c>
      <c r="K4118">
        <v>1.1351500000000001</v>
      </c>
      <c r="L4118">
        <v>118.0424</v>
      </c>
      <c r="M4118">
        <v>-0.18066470000000001</v>
      </c>
      <c r="N4118">
        <v>-1.591673E-2</v>
      </c>
      <c r="O4118">
        <v>-0.98341610000000002</v>
      </c>
      <c r="P4118">
        <v>-0.17790880000000001</v>
      </c>
      <c r="Q4118">
        <v>0.1885289</v>
      </c>
      <c r="R4118">
        <v>-0.96581859999999997</v>
      </c>
      <c r="S4118">
        <v>0.23236080000000001</v>
      </c>
      <c r="T4118">
        <v>1.9130350000000001E-2</v>
      </c>
      <c r="U4118">
        <v>-3.1562960000000002</v>
      </c>
      <c r="V4118">
        <v>-6.7115289999999999E-3</v>
      </c>
      <c r="W4118">
        <v>0.20402670000000001</v>
      </c>
      <c r="X4118">
        <v>0.97894230000000004</v>
      </c>
      <c r="Y4118">
        <v>-0.25237359999999998</v>
      </c>
      <c r="Z4118">
        <v>-2.1827599999999999E-2</v>
      </c>
      <c r="AA4118">
        <v>0.96738369999999996</v>
      </c>
      <c r="AB4118">
        <v>36</v>
      </c>
      <c r="AC4118">
        <v>8.6757000000000009</v>
      </c>
      <c r="AD4118">
        <v>0.709781</v>
      </c>
      <c r="AE4118">
        <v>-116.76256100000001</v>
      </c>
      <c r="AF4118">
        <v>-29.629356339035201</v>
      </c>
      <c r="AG4118">
        <v>0.709781</v>
      </c>
      <c r="AH4118">
        <v>113.268959305303</v>
      </c>
      <c r="AI4118">
        <v>89.652657040256898</v>
      </c>
      <c r="AJ4118">
        <v>104.659197411739</v>
      </c>
      <c r="AK4118">
        <v>117.082277430189</v>
      </c>
      <c r="AL4118">
        <v>78.227470864355993</v>
      </c>
      <c r="AM4118">
        <v>90.392807891767603</v>
      </c>
      <c r="AN4118">
        <v>0.99999998283184799</v>
      </c>
    </row>
    <row r="4119" spans="1:40" x14ac:dyDescent="0.25">
      <c r="A4119" t="str">
        <f>"20190303171100085"</f>
        <v>20190303171100085</v>
      </c>
      <c r="B4119" t="str">
        <f>"1551604260075004"</f>
        <v>1551604260075004</v>
      </c>
      <c r="C4119" t="s">
        <v>40</v>
      </c>
      <c r="D4119">
        <v>5.2300219999999999</v>
      </c>
      <c r="E4119">
        <v>0.40436680000000003</v>
      </c>
      <c r="F4119" t="s">
        <v>92</v>
      </c>
      <c r="G4119">
        <v>-414.37860000000001</v>
      </c>
      <c r="H4119">
        <v>1.5434270000000001</v>
      </c>
      <c r="I4119">
        <v>0.53456119999999996</v>
      </c>
      <c r="J4119">
        <v>-424.1157</v>
      </c>
      <c r="K4119">
        <v>1.1351020000000001</v>
      </c>
      <c r="L4119">
        <v>117.708</v>
      </c>
      <c r="M4119">
        <v>-0.16651099999999999</v>
      </c>
      <c r="N4119">
        <v>-1.5909179999999998E-2</v>
      </c>
      <c r="O4119">
        <v>-0.98591150000000005</v>
      </c>
      <c r="P4119">
        <v>-0.1646252</v>
      </c>
      <c r="Q4119">
        <v>0.1867491</v>
      </c>
      <c r="R4119">
        <v>-0.96851659999999995</v>
      </c>
      <c r="S4119">
        <v>0.25982670000000002</v>
      </c>
      <c r="T4119">
        <v>1.0950329999999999E-2</v>
      </c>
      <c r="U4119">
        <v>-3.1519010000000001</v>
      </c>
      <c r="V4119">
        <v>-6.0598049999999997E-3</v>
      </c>
      <c r="W4119">
        <v>0.20226659999999999</v>
      </c>
      <c r="X4119">
        <v>0.97931179999999995</v>
      </c>
      <c r="Y4119">
        <v>-0.24693809999999999</v>
      </c>
      <c r="Z4119">
        <v>-1.9360570000000001E-2</v>
      </c>
      <c r="AA4119">
        <v>0.96883779999999997</v>
      </c>
      <c r="AB4119">
        <v>36</v>
      </c>
      <c r="AC4119">
        <v>9.7370999999999892</v>
      </c>
      <c r="AD4119">
        <v>0.40832499999999999</v>
      </c>
      <c r="AE4119">
        <v>-117.1734388</v>
      </c>
      <c r="AF4119">
        <v>-29.1139115855912</v>
      </c>
      <c r="AG4119">
        <v>0.40832499999999999</v>
      </c>
      <c r="AH4119">
        <v>113.91432120780399</v>
      </c>
      <c r="AI4119">
        <v>89.801020404886799</v>
      </c>
      <c r="AJ4119">
        <v>104.336603455946</v>
      </c>
      <c r="AK4119">
        <v>117.576609720446</v>
      </c>
      <c r="AL4119">
        <v>78.330465575646599</v>
      </c>
      <c r="AM4119">
        <v>90.354531437210497</v>
      </c>
      <c r="AN4119">
        <v>1.00000005016571</v>
      </c>
    </row>
    <row r="4120" spans="1:40" x14ac:dyDescent="0.25">
      <c r="A4120" t="str">
        <f>"20190303171100108"</f>
        <v>20190303171100108</v>
      </c>
      <c r="B4120" t="str">
        <f>"1551604260095150"</f>
        <v>1551604260095150</v>
      </c>
      <c r="C4120" t="s">
        <v>40</v>
      </c>
      <c r="D4120">
        <v>5.247007</v>
      </c>
      <c r="E4120">
        <v>0.40514899999999998</v>
      </c>
      <c r="F4120" t="s">
        <v>92</v>
      </c>
      <c r="G4120">
        <v>-413.20150000000001</v>
      </c>
      <c r="H4120">
        <v>1.2180839999999999</v>
      </c>
      <c r="I4120">
        <v>0.54652979999999995</v>
      </c>
      <c r="J4120">
        <v>-424.16309999999999</v>
      </c>
      <c r="K4120">
        <v>1.1350420000000001</v>
      </c>
      <c r="L4120">
        <v>117.35890000000001</v>
      </c>
      <c r="M4120">
        <v>-0.1517676</v>
      </c>
      <c r="N4120">
        <v>-1.5898499999999999E-2</v>
      </c>
      <c r="O4120">
        <v>-0.98828839999999996</v>
      </c>
      <c r="P4120">
        <v>-0.15173589999999901</v>
      </c>
      <c r="Q4120">
        <v>0.18651799999999999</v>
      </c>
      <c r="R4120">
        <v>-0.97066319999999995</v>
      </c>
      <c r="S4120">
        <v>0.29315190000000002</v>
      </c>
      <c r="T4120">
        <v>2.228379E-3</v>
      </c>
      <c r="U4120">
        <v>-3.1469269999999998</v>
      </c>
      <c r="V4120">
        <v>-4.4176270000000004E-3</v>
      </c>
      <c r="W4120">
        <v>0.20208300000000001</v>
      </c>
      <c r="X4120">
        <v>0.97935839999999996</v>
      </c>
      <c r="Y4120">
        <v>-0.24276890000000001</v>
      </c>
      <c r="Z4120">
        <v>-1.6695310000000001E-2</v>
      </c>
      <c r="AA4120">
        <v>0.96994049999999998</v>
      </c>
      <c r="AB4120">
        <v>36</v>
      </c>
      <c r="AC4120">
        <v>10.961599999999899</v>
      </c>
      <c r="AD4120">
        <v>8.3041999999999797E-2</v>
      </c>
      <c r="AE4120">
        <v>-116.8123702</v>
      </c>
      <c r="AF4120">
        <v>-28.565149384695701</v>
      </c>
      <c r="AG4120">
        <v>8.3041999999999797E-2</v>
      </c>
      <c r="AH4120">
        <v>113.79501287400301</v>
      </c>
      <c r="AI4120">
        <v>89.959446536613399</v>
      </c>
      <c r="AJ4120">
        <v>104.091388259052</v>
      </c>
      <c r="AK4120">
        <v>117.32552838295</v>
      </c>
      <c r="AL4120">
        <v>78.341205887288893</v>
      </c>
      <c r="AM4120">
        <v>90.258444371254001</v>
      </c>
      <c r="AN4120">
        <v>0.99999996498393395</v>
      </c>
    </row>
    <row r="4121" spans="1:40" x14ac:dyDescent="0.25">
      <c r="A4121" t="str">
        <f>"20190303171100123"</f>
        <v>20190303171100123</v>
      </c>
      <c r="B4121" t="str">
        <f>"1551604260114659"</f>
        <v>1551604260114659</v>
      </c>
      <c r="C4121" t="s">
        <v>40</v>
      </c>
      <c r="D4121">
        <v>5.2482579999999999</v>
      </c>
      <c r="E4121">
        <v>0.41464269999999998</v>
      </c>
      <c r="F4121" t="s">
        <v>92</v>
      </c>
      <c r="G4121">
        <v>-411.92329999999998</v>
      </c>
      <c r="H4121">
        <v>1.1147590000000001</v>
      </c>
      <c r="I4121">
        <v>0.55952840000000004</v>
      </c>
      <c r="J4121">
        <v>-424.1927</v>
      </c>
      <c r="K4121">
        <v>1.134997</v>
      </c>
      <c r="L4121">
        <v>117.1176</v>
      </c>
      <c r="M4121">
        <v>-0.14160899999999901</v>
      </c>
      <c r="N4121">
        <v>-1.588904E-2</v>
      </c>
      <c r="O4121">
        <v>-0.98979539999999999</v>
      </c>
      <c r="P4121">
        <v>-0.1422667</v>
      </c>
      <c r="Q4121">
        <v>0.1864623</v>
      </c>
      <c r="R4121">
        <v>-0.97210759999999996</v>
      </c>
      <c r="S4121">
        <v>0.32928469999999999</v>
      </c>
      <c r="T4121">
        <v>-5.4645539999999997E-4</v>
      </c>
      <c r="U4121">
        <v>-3.142242</v>
      </c>
      <c r="V4121">
        <v>-3.8806209999999999E-3</v>
      </c>
      <c r="W4121">
        <v>0.2020364</v>
      </c>
      <c r="X4121">
        <v>0.97937039999999997</v>
      </c>
      <c r="Y4121">
        <v>-0.24398310000000001</v>
      </c>
      <c r="Z4121">
        <v>-1.5839490000000001E-2</v>
      </c>
      <c r="AA4121">
        <v>0.96965009999999996</v>
      </c>
      <c r="AB4121">
        <v>36</v>
      </c>
      <c r="AC4121">
        <v>12.269399999999999</v>
      </c>
      <c r="AD4121">
        <v>-2.0237999999999898E-2</v>
      </c>
      <c r="AE4121">
        <v>-116.55807160000001</v>
      </c>
      <c r="AF4121">
        <v>-28.6534767408262</v>
      </c>
      <c r="AG4121">
        <v>-2.0237999999999898E-2</v>
      </c>
      <c r="AH4121">
        <v>113.645500056009</v>
      </c>
      <c r="AI4121">
        <v>90.009893614802607</v>
      </c>
      <c r="AJ4121">
        <v>104.151064413421</v>
      </c>
      <c r="AK4121">
        <v>117.20205553613</v>
      </c>
      <c r="AL4121">
        <v>78.343933383715395</v>
      </c>
      <c r="AM4121">
        <v>90.227025486558404</v>
      </c>
      <c r="AN4121">
        <v>1.0000000732702301</v>
      </c>
    </row>
    <row r="4122" spans="1:40" x14ac:dyDescent="0.25">
      <c r="A4122" t="str">
        <f>"20190303171100142"</f>
        <v>20190303171100142</v>
      </c>
      <c r="B4122" t="str">
        <f>"1551604260135155"</f>
        <v>1551604260135155</v>
      </c>
      <c r="C4122" t="s">
        <v>40</v>
      </c>
      <c r="D4122">
        <v>5.2710429999999997</v>
      </c>
      <c r="E4122">
        <v>0.41638150000000002</v>
      </c>
      <c r="F4122" t="s">
        <v>92</v>
      </c>
      <c r="G4122">
        <v>-413.5616</v>
      </c>
      <c r="H4122">
        <v>0.48834070000000002</v>
      </c>
      <c r="I4122">
        <v>0.54286579999999995</v>
      </c>
      <c r="J4122">
        <v>-424.22500000000002</v>
      </c>
      <c r="K4122">
        <v>1.1349359999999999</v>
      </c>
      <c r="L4122">
        <v>116.82769999999999</v>
      </c>
      <c r="M4122">
        <v>-0.12944729999999999</v>
      </c>
      <c r="N4122">
        <v>-1.587533E-2</v>
      </c>
      <c r="O4122">
        <v>-0.99145919999999998</v>
      </c>
      <c r="P4122">
        <v>-0.13134779999999999</v>
      </c>
      <c r="Q4122">
        <v>0.18679470000000001</v>
      </c>
      <c r="R4122">
        <v>-0.97357890000000002</v>
      </c>
      <c r="S4122">
        <v>0.285553</v>
      </c>
      <c r="T4122">
        <v>-1.7369989999999998E-2</v>
      </c>
      <c r="U4122">
        <v>-3.1312099999999998</v>
      </c>
      <c r="V4122">
        <v>-2.816116E-3</v>
      </c>
      <c r="W4122">
        <v>0.2023913</v>
      </c>
      <c r="X4122">
        <v>0.97930070000000002</v>
      </c>
      <c r="Y4122">
        <v>-0.21894089999999999</v>
      </c>
      <c r="Z4122">
        <v>-1.057134E-2</v>
      </c>
      <c r="AA4122">
        <v>0.97568080000000001</v>
      </c>
      <c r="AB4122">
        <v>35</v>
      </c>
      <c r="AC4122">
        <v>10.663399999999999</v>
      </c>
      <c r="AD4122">
        <v>-0.64659529999999998</v>
      </c>
      <c r="AE4122">
        <v>-116.28483420000001</v>
      </c>
      <c r="AF4122">
        <v>-25.627528121128201</v>
      </c>
      <c r="AG4122">
        <v>-0.64659529999999998</v>
      </c>
      <c r="AH4122">
        <v>113.922185874276</v>
      </c>
      <c r="AI4122">
        <v>90.317265328808006</v>
      </c>
      <c r="AJ4122">
        <v>102.678007328864</v>
      </c>
      <c r="AK4122">
        <v>116.77094123734</v>
      </c>
      <c r="AL4122">
        <v>78.323169483043102</v>
      </c>
      <c r="AM4122">
        <v>90.1647615657442</v>
      </c>
      <c r="AN4122">
        <v>1.0000000149227499</v>
      </c>
    </row>
    <row r="4123" spans="1:40" x14ac:dyDescent="0.25">
      <c r="A4123" t="str">
        <f>"20190303171100164"</f>
        <v>20190303171100164</v>
      </c>
      <c r="B4123" t="str">
        <f>"1551604260154674"</f>
        <v>1551604260154674</v>
      </c>
      <c r="C4123" t="s">
        <v>40</v>
      </c>
      <c r="D4123">
        <v>5.2854830000000002</v>
      </c>
      <c r="E4123">
        <v>0.41784789999999999</v>
      </c>
      <c r="F4123" t="s">
        <v>92</v>
      </c>
      <c r="G4123">
        <v>-412.79050000000001</v>
      </c>
      <c r="H4123">
        <v>0.35993619999999998</v>
      </c>
      <c r="I4123">
        <v>0.5507088</v>
      </c>
      <c r="J4123">
        <v>-424.25790000000001</v>
      </c>
      <c r="K4123">
        <v>1.1348400000000001</v>
      </c>
      <c r="L4123">
        <v>116.49169999999999</v>
      </c>
      <c r="M4123">
        <v>-0.11543920000000001</v>
      </c>
      <c r="N4123">
        <v>-1.5855850000000001E-2</v>
      </c>
      <c r="O4123">
        <v>-0.99318810000000002</v>
      </c>
      <c r="P4123">
        <v>-0.1172348</v>
      </c>
      <c r="Q4123">
        <v>0.1856709</v>
      </c>
      <c r="R4123">
        <v>-0.97559359999999995</v>
      </c>
      <c r="S4123">
        <v>0.30749510000000002</v>
      </c>
      <c r="T4123">
        <v>-2.084184E-2</v>
      </c>
      <c r="U4123">
        <v>-3.1269070000000001</v>
      </c>
      <c r="V4123">
        <v>-3.116195E-3</v>
      </c>
      <c r="W4123">
        <v>0.20124</v>
      </c>
      <c r="X4123">
        <v>0.97953699999999999</v>
      </c>
      <c r="Y4123">
        <v>-0.21206920000000001</v>
      </c>
      <c r="Z4123">
        <v>-9.4399659999999993E-3</v>
      </c>
      <c r="AA4123">
        <v>0.97720899999999999</v>
      </c>
      <c r="AB4123">
        <v>35</v>
      </c>
      <c r="AC4123">
        <v>11.4673999999999</v>
      </c>
      <c r="AD4123">
        <v>-0.77490380000000003</v>
      </c>
      <c r="AE4123">
        <v>-115.9409912</v>
      </c>
      <c r="AF4123">
        <v>-24.775436471262001</v>
      </c>
      <c r="AG4123">
        <v>-0.77490380000000003</v>
      </c>
      <c r="AH4123">
        <v>113.836688192976</v>
      </c>
      <c r="AI4123">
        <v>90.381094141203803</v>
      </c>
      <c r="AJ4123">
        <v>102.27838866584599</v>
      </c>
      <c r="AK4123">
        <v>116.504138583081</v>
      </c>
      <c r="AL4123">
        <v>78.390519674602899</v>
      </c>
      <c r="AM4123">
        <v>90.182274094102297</v>
      </c>
      <c r="AN4123">
        <v>0.99999999132013895</v>
      </c>
    </row>
    <row r="4124" spans="1:40" x14ac:dyDescent="0.25">
      <c r="A4124" t="str">
        <f>"20190303171100187"</f>
        <v>20190303171100187</v>
      </c>
      <c r="B4124" t="str">
        <f>"1551604260175172"</f>
        <v>1551604260175172</v>
      </c>
      <c r="C4124" t="s">
        <v>40</v>
      </c>
      <c r="D4124">
        <v>5.314006</v>
      </c>
      <c r="E4124">
        <v>0.41851450000000001</v>
      </c>
      <c r="F4124" t="s">
        <v>68</v>
      </c>
      <c r="G4124">
        <v>-412.58539999999999</v>
      </c>
      <c r="H4124">
        <v>5.9536859999999997E-2</v>
      </c>
      <c r="I4124">
        <v>9.6067099999999996</v>
      </c>
      <c r="J4124">
        <v>-424.2876</v>
      </c>
      <c r="K4124">
        <v>1.134725</v>
      </c>
      <c r="L4124">
        <v>116.1358</v>
      </c>
      <c r="M4124">
        <v>-0.10070709999999999</v>
      </c>
      <c r="N4124">
        <v>-1.583099E-2</v>
      </c>
      <c r="O4124">
        <v>-0.99479019999999996</v>
      </c>
      <c r="P4124">
        <v>-0.10155980000000001</v>
      </c>
      <c r="Q4124">
        <v>0.18401619999999999</v>
      </c>
      <c r="R4124">
        <v>-0.97766249999999999</v>
      </c>
      <c r="S4124">
        <v>0.34094239999999998</v>
      </c>
      <c r="T4124">
        <v>-3.1408430000000001E-2</v>
      </c>
      <c r="U4124">
        <v>-3.1219939999999999</v>
      </c>
      <c r="V4124">
        <v>-4.2452430000000001E-3</v>
      </c>
      <c r="W4124">
        <v>0.19952510000000001</v>
      </c>
      <c r="X4124">
        <v>0.97988359999999997</v>
      </c>
      <c r="Y4124">
        <v>-0.2080891</v>
      </c>
      <c r="Z4124">
        <v>-6.0750639999999998E-3</v>
      </c>
      <c r="AA4124">
        <v>0.97809100000000004</v>
      </c>
      <c r="AB4124">
        <v>35</v>
      </c>
      <c r="AC4124">
        <v>11.702199999999999</v>
      </c>
      <c r="AD4124">
        <v>-1.0751881400000001</v>
      </c>
      <c r="AE4124">
        <v>-106.52909</v>
      </c>
      <c r="AF4124">
        <v>-22.370020734010101</v>
      </c>
      <c r="AG4124">
        <v>-1.0751881400000001</v>
      </c>
      <c r="AH4124">
        <v>104.798182061422</v>
      </c>
      <c r="AI4124">
        <v>90.574861719851995</v>
      </c>
      <c r="AJ4124">
        <v>102.049412345169</v>
      </c>
      <c r="AK4124">
        <v>107.164512878823</v>
      </c>
      <c r="AL4124">
        <v>78.490811362233202</v>
      </c>
      <c r="AM4124">
        <v>90.248226406805699</v>
      </c>
      <c r="AN4124">
        <v>1.0000000785835399</v>
      </c>
    </row>
    <row r="4125" spans="1:40" x14ac:dyDescent="0.25">
      <c r="A4125" t="str">
        <f>"20190303171100210"</f>
        <v>20190303171100210</v>
      </c>
      <c r="B4125" t="str">
        <f>"1551604260194691"</f>
        <v>1551604260194691</v>
      </c>
      <c r="C4125" t="s">
        <v>40</v>
      </c>
      <c r="D4125">
        <v>5.3057379999999998</v>
      </c>
      <c r="E4125">
        <v>0.42744369999999998</v>
      </c>
      <c r="F4125" t="s">
        <v>68</v>
      </c>
      <c r="G4125">
        <v>-413.7801</v>
      </c>
      <c r="H4125" s="1">
        <v>-6.2163220000000003E-6</v>
      </c>
      <c r="I4125">
        <v>30.86562</v>
      </c>
      <c r="J4125">
        <v>-424.31189999999998</v>
      </c>
      <c r="K4125">
        <v>1.134606</v>
      </c>
      <c r="L4125">
        <v>115.78270000000001</v>
      </c>
      <c r="M4125">
        <v>-8.6228589999999994E-2</v>
      </c>
      <c r="N4125">
        <v>-1.580262E-2</v>
      </c>
      <c r="O4125">
        <v>-0.99614999999999998</v>
      </c>
      <c r="P4125">
        <v>-8.7471049999999995E-2</v>
      </c>
      <c r="Q4125">
        <v>0.18403439999999999</v>
      </c>
      <c r="R4125">
        <v>-0.97902009999999995</v>
      </c>
      <c r="S4125">
        <v>0.38400269999999997</v>
      </c>
      <c r="T4125">
        <v>-4.146934E-2</v>
      </c>
      <c r="U4125">
        <v>-3.116241</v>
      </c>
      <c r="V4125">
        <v>-4.0419929999999998E-3</v>
      </c>
      <c r="W4125">
        <v>0.19952130000000001</v>
      </c>
      <c r="X4125">
        <v>0.97988520000000001</v>
      </c>
      <c r="Y4125">
        <v>-0.20738960000000001</v>
      </c>
      <c r="Z4125">
        <v>-2.8490159999999998E-3</v>
      </c>
      <c r="AA4125">
        <v>0.97825430000000002</v>
      </c>
      <c r="AB4125">
        <v>35</v>
      </c>
      <c r="AC4125">
        <v>10.531799999999899</v>
      </c>
      <c r="AD4125">
        <v>-1.134612216322</v>
      </c>
      <c r="AE4125">
        <v>-84.917079999999999</v>
      </c>
      <c r="AF4125">
        <v>-17.8126261749963</v>
      </c>
      <c r="AG4125">
        <v>-1.134612216322</v>
      </c>
      <c r="AH4125">
        <v>83.677748684032807</v>
      </c>
      <c r="AI4125">
        <v>90.759820804115606</v>
      </c>
      <c r="AJ4125">
        <v>102.017275495025</v>
      </c>
      <c r="AK4125">
        <v>85.560169594033297</v>
      </c>
      <c r="AL4125">
        <v>78.491033173864693</v>
      </c>
      <c r="AM4125">
        <v>90.2363417941325</v>
      </c>
      <c r="AN4125">
        <v>1.00000004602007</v>
      </c>
    </row>
    <row r="4126" spans="1:40" x14ac:dyDescent="0.25">
      <c r="A4126" t="str">
        <f>"20190303171100243"</f>
        <v>20190303171100243</v>
      </c>
      <c r="B4126" t="str">
        <f>"1551604260234707"</f>
        <v>1551604260234707</v>
      </c>
      <c r="C4126" t="s">
        <v>40</v>
      </c>
      <c r="D4126">
        <v>5.3401529999999999</v>
      </c>
      <c r="E4126">
        <v>0.42966759999999898</v>
      </c>
      <c r="F4126" t="s">
        <v>42</v>
      </c>
      <c r="G4126">
        <v>-417.6936</v>
      </c>
      <c r="H4126" s="1">
        <v>-4.1439479999999999E-6</v>
      </c>
      <c r="I4126">
        <v>58.338749999999997</v>
      </c>
      <c r="J4126">
        <v>-424.3381</v>
      </c>
      <c r="K4126">
        <v>1.134406</v>
      </c>
      <c r="L4126">
        <v>115.2704</v>
      </c>
      <c r="M4126">
        <v>-6.5525319999999998E-2</v>
      </c>
      <c r="N4126">
        <v>-1.5754339999999999E-2</v>
      </c>
      <c r="O4126">
        <v>-0.99772669999999997</v>
      </c>
      <c r="P4126">
        <v>-6.7619250000000006E-2</v>
      </c>
      <c r="Q4126">
        <v>0.18661530000000001</v>
      </c>
      <c r="R4126">
        <v>-0.98010330000000001</v>
      </c>
      <c r="S4126">
        <v>0.35806270000000001</v>
      </c>
      <c r="T4126">
        <v>-6.1384679999999997E-2</v>
      </c>
      <c r="U4126">
        <v>-3.107834</v>
      </c>
      <c r="V4126">
        <v>-3.4920540000000001E-3</v>
      </c>
      <c r="W4126">
        <v>0.20206579999999999</v>
      </c>
      <c r="X4126">
        <v>0.97936570000000001</v>
      </c>
      <c r="Y4126">
        <v>-0.1792619</v>
      </c>
      <c r="Z4126">
        <v>3.646565E-3</v>
      </c>
      <c r="AA4126">
        <v>0.98379459999999996</v>
      </c>
      <c r="AB4126">
        <v>35</v>
      </c>
      <c r="AC4126">
        <v>6.6444999999999901</v>
      </c>
      <c r="AD4126">
        <v>-1.1344101439480001</v>
      </c>
      <c r="AE4126">
        <v>-56.931649999999998</v>
      </c>
      <c r="AF4126">
        <v>-10.3570868996838</v>
      </c>
      <c r="AG4126">
        <v>-1.1344101439480001</v>
      </c>
      <c r="AH4126">
        <v>56.351758105830697</v>
      </c>
      <c r="AI4126">
        <v>91.134264788934402</v>
      </c>
      <c r="AJ4126">
        <v>100.41436402479199</v>
      </c>
      <c r="AK4126">
        <v>57.306865007958201</v>
      </c>
      <c r="AL4126">
        <v>78.342212289099393</v>
      </c>
      <c r="AM4126">
        <v>90.204294583850597</v>
      </c>
      <c r="AN4126">
        <v>0.99999997815363395</v>
      </c>
    </row>
    <row r="4127" spans="1:40" x14ac:dyDescent="0.25">
      <c r="A4127" t="str">
        <f>"20190303171100264"</f>
        <v>20190303171100264</v>
      </c>
      <c r="B4127" t="str">
        <f>"1551604260255203"</f>
        <v>1551604260255203</v>
      </c>
      <c r="C4127" t="s">
        <v>40</v>
      </c>
      <c r="D4127">
        <v>5.3272190000000004</v>
      </c>
      <c r="E4127">
        <v>0.43823129999999999</v>
      </c>
      <c r="F4127" t="s">
        <v>42</v>
      </c>
      <c r="G4127">
        <v>-416.31979999999999</v>
      </c>
      <c r="H4127" s="1">
        <v>-2.3302059999999999E-6</v>
      </c>
      <c r="I4127">
        <v>53.542839999999998</v>
      </c>
      <c r="J4127">
        <v>-424.34960000000001</v>
      </c>
      <c r="K4127">
        <v>1.1342540000000001</v>
      </c>
      <c r="L4127">
        <v>114.9333</v>
      </c>
      <c r="M4127">
        <v>-5.2126209999999999E-2</v>
      </c>
      <c r="N4127">
        <v>-1.5717579999999998E-2</v>
      </c>
      <c r="O4127">
        <v>-0.99851690000000004</v>
      </c>
      <c r="P4127">
        <v>-5.3652180000000001E-2</v>
      </c>
      <c r="Q4127">
        <v>0.1865723</v>
      </c>
      <c r="R4127">
        <v>-0.98097540000000005</v>
      </c>
      <c r="S4127">
        <v>0.40261839999999999</v>
      </c>
      <c r="T4127">
        <v>-5.6961890000000001E-2</v>
      </c>
      <c r="U4127">
        <v>-3.0995180000000002</v>
      </c>
      <c r="V4127">
        <v>-4.2155259999999998E-3</v>
      </c>
      <c r="W4127">
        <v>0.20196210000000001</v>
      </c>
      <c r="X4127">
        <v>0.97938420000000004</v>
      </c>
      <c r="Y4127">
        <v>-0.1802897</v>
      </c>
      <c r="Z4127">
        <v>2.3401479999999998E-3</v>
      </c>
      <c r="AA4127">
        <v>0.98361069999999995</v>
      </c>
      <c r="AB4127">
        <v>35</v>
      </c>
      <c r="AC4127">
        <v>8.0298000000000194</v>
      </c>
      <c r="AD4127">
        <v>-1.134256330206</v>
      </c>
      <c r="AE4127">
        <v>-61.390459999999997</v>
      </c>
      <c r="AF4127">
        <v>-11.2155636770476</v>
      </c>
      <c r="AG4127">
        <v>-1.134256330206</v>
      </c>
      <c r="AH4127">
        <v>60.867935880993997</v>
      </c>
      <c r="AI4127">
        <v>91.049896465460904</v>
      </c>
      <c r="AJ4127">
        <v>100.44025135189401</v>
      </c>
      <c r="AK4127">
        <v>61.902996893763799</v>
      </c>
      <c r="AL4127">
        <v>78.348278440083206</v>
      </c>
      <c r="AM4127">
        <v>90.246614512109403</v>
      </c>
      <c r="AN4127">
        <v>0.99999993585275104</v>
      </c>
    </row>
    <row r="4128" spans="1:40" x14ac:dyDescent="0.25">
      <c r="A4128" t="str">
        <f>"20190303171100287"</f>
        <v>20190303171100287</v>
      </c>
      <c r="B4128" t="str">
        <f>"1551604260274723"</f>
        <v>1551604260274723</v>
      </c>
      <c r="C4128" t="s">
        <v>40</v>
      </c>
      <c r="D4128">
        <v>5.336697</v>
      </c>
      <c r="E4128">
        <v>0.43862570000000001</v>
      </c>
      <c r="F4128" t="s">
        <v>42</v>
      </c>
      <c r="G4128">
        <v>-418.70479999999998</v>
      </c>
      <c r="H4128" s="1">
        <v>-4.1345199999999997E-6</v>
      </c>
      <c r="I4128">
        <v>68.734889999999993</v>
      </c>
      <c r="J4128">
        <v>-424.3569</v>
      </c>
      <c r="K4128">
        <v>1.1340920000000001</v>
      </c>
      <c r="L4128">
        <v>114.5809</v>
      </c>
      <c r="M4128">
        <v>-3.8310719999999999E-2</v>
      </c>
      <c r="N4128">
        <v>-1.567698E-2</v>
      </c>
      <c r="O4128">
        <v>-0.999143</v>
      </c>
      <c r="P4128">
        <v>-4.0182200000000001E-2</v>
      </c>
      <c r="Q4128">
        <v>0.18671119999999999</v>
      </c>
      <c r="R4128">
        <v>-0.98159289999999999</v>
      </c>
      <c r="S4128">
        <v>0.37796020000000002</v>
      </c>
      <c r="T4128">
        <v>-7.5946449999999999E-2</v>
      </c>
      <c r="U4128">
        <v>-3.0933069999999998</v>
      </c>
      <c r="V4128">
        <v>-4.0277000000000004E-3</v>
      </c>
      <c r="W4128">
        <v>0.20206579999999999</v>
      </c>
      <c r="X4128">
        <v>0.97936369999999895</v>
      </c>
      <c r="Y4128">
        <v>-0.1591737</v>
      </c>
      <c r="Z4128">
        <v>8.5588709999999991E-3</v>
      </c>
      <c r="AA4128">
        <v>0.98721349999999997</v>
      </c>
      <c r="AB4128">
        <v>35</v>
      </c>
      <c r="AC4128">
        <v>5.6521000000000097</v>
      </c>
      <c r="AD4128">
        <v>-1.13409613452</v>
      </c>
      <c r="AE4128">
        <v>-45.8460099999999</v>
      </c>
      <c r="AF4128">
        <v>-7.4000984750801697</v>
      </c>
      <c r="AG4128">
        <v>-1.13409613452</v>
      </c>
      <c r="AH4128">
        <v>45.568315589947403</v>
      </c>
      <c r="AI4128">
        <v>91.4072449908967</v>
      </c>
      <c r="AJ4128">
        <v>99.224063900069694</v>
      </c>
      <c r="AK4128">
        <v>46.179205462938199</v>
      </c>
      <c r="AL4128">
        <v>78.342212942037094</v>
      </c>
      <c r="AM4128">
        <v>90.235631471878904</v>
      </c>
      <c r="AN4128">
        <v>1.0000000333873</v>
      </c>
    </row>
    <row r="4129" spans="1:40" x14ac:dyDescent="0.25">
      <c r="A4129" t="str">
        <f>"20190303171100310"</f>
        <v>20190303171100310</v>
      </c>
      <c r="B4129" t="str">
        <f>"1551604260304979"</f>
        <v>1551604260304979</v>
      </c>
      <c r="C4129" t="s">
        <v>40</v>
      </c>
      <c r="D4129">
        <v>5.3018580000000002</v>
      </c>
      <c r="E4129">
        <v>0.44586969999999998</v>
      </c>
      <c r="F4129" t="s">
        <v>42</v>
      </c>
      <c r="G4129">
        <v>-418.2747</v>
      </c>
      <c r="H4129" s="1">
        <v>-4.4753010000000004E-6</v>
      </c>
      <c r="I4129">
        <v>69.351419999999905</v>
      </c>
      <c r="J4129">
        <v>-424.35950000000003</v>
      </c>
      <c r="K4129">
        <v>1.133923</v>
      </c>
      <c r="L4129">
        <v>114.2323</v>
      </c>
      <c r="M4129">
        <v>-2.4860710000000001E-2</v>
      </c>
      <c r="N4129">
        <v>-1.5635619999999999E-2</v>
      </c>
      <c r="O4129">
        <v>-0.99956880000000004</v>
      </c>
      <c r="P4129">
        <v>-2.8542089999999999E-2</v>
      </c>
      <c r="Q4129">
        <v>0.18833459999999999</v>
      </c>
      <c r="R4129">
        <v>-0.98169050000000002</v>
      </c>
      <c r="S4129">
        <v>0.41525269999999997</v>
      </c>
      <c r="T4129">
        <v>-7.7428460000000005E-2</v>
      </c>
      <c r="U4129">
        <v>-3.0879669999999999</v>
      </c>
      <c r="V4129">
        <v>-2.4035850000000002E-3</v>
      </c>
      <c r="W4129">
        <v>0.20369480000000001</v>
      </c>
      <c r="X4129">
        <v>0.97903150000000005</v>
      </c>
      <c r="Y4129">
        <v>-0.1578203</v>
      </c>
      <c r="Z4129">
        <v>9.1263809999999994E-3</v>
      </c>
      <c r="AA4129">
        <v>0.98742569999999996</v>
      </c>
      <c r="AB4129">
        <v>35</v>
      </c>
      <c r="AC4129">
        <v>6.0848000000000297</v>
      </c>
      <c r="AD4129">
        <v>-1.133927475301</v>
      </c>
      <c r="AE4129">
        <v>-44.880879999999998</v>
      </c>
      <c r="AF4129">
        <v>-7.1943161736938599</v>
      </c>
      <c r="AG4129">
        <v>-1.133927475301</v>
      </c>
      <c r="AH4129">
        <v>44.687703322050702</v>
      </c>
      <c r="AI4129">
        <v>91.435068734555301</v>
      </c>
      <c r="AJ4129">
        <v>99.145628835473801</v>
      </c>
      <c r="AK4129">
        <v>45.277310045164299</v>
      </c>
      <c r="AL4129">
        <v>78.246895612275097</v>
      </c>
      <c r="AM4129">
        <v>90.140664523579005</v>
      </c>
      <c r="AN4129">
        <v>1.0000000133800699</v>
      </c>
    </row>
    <row r="4130" spans="1:40" x14ac:dyDescent="0.25">
      <c r="A4130" t="str">
        <f>"20190303171100333"</f>
        <v>20190303171100333</v>
      </c>
      <c r="B4130" t="str">
        <f>"1551604260325475"</f>
        <v>1551604260325475</v>
      </c>
      <c r="C4130" t="s">
        <v>40</v>
      </c>
      <c r="D4130">
        <v>5.3038150000000002</v>
      </c>
      <c r="E4130">
        <v>0.45167950000000001</v>
      </c>
      <c r="F4130" t="s">
        <v>42</v>
      </c>
      <c r="G4130">
        <v>-418.88389999999998</v>
      </c>
      <c r="H4130" s="1">
        <v>-9.3771369999999997E-7</v>
      </c>
      <c r="I4130">
        <v>71.357119999999995</v>
      </c>
      <c r="J4130">
        <v>-424.35750000000002</v>
      </c>
      <c r="K4130">
        <v>1.1337360000000001</v>
      </c>
      <c r="L4130">
        <v>113.87860000000001</v>
      </c>
      <c r="M4130">
        <v>-1.146373E-2</v>
      </c>
      <c r="N4130">
        <v>-1.559048E-2</v>
      </c>
      <c r="O4130">
        <v>-0.9998127</v>
      </c>
      <c r="P4130">
        <v>-1.7020690000000002E-2</v>
      </c>
      <c r="Q4130">
        <v>0.1905287</v>
      </c>
      <c r="R4130">
        <v>-0.98153440000000003</v>
      </c>
      <c r="S4130">
        <v>0.39373780000000003</v>
      </c>
      <c r="T4130">
        <v>-8.1537490000000004E-2</v>
      </c>
      <c r="U4130">
        <v>-3.0830380000000002</v>
      </c>
      <c r="V4130">
        <v>-7.2682420000000001E-4</v>
      </c>
      <c r="W4130">
        <v>0.20588989999999999</v>
      </c>
      <c r="X4130">
        <v>0.97857490000000003</v>
      </c>
      <c r="Y4130">
        <v>-0.13799449999999999</v>
      </c>
      <c r="Z4130">
        <v>1.060285E-2</v>
      </c>
      <c r="AA4130">
        <v>0.99037620000000004</v>
      </c>
      <c r="AB4130">
        <v>35</v>
      </c>
      <c r="AC4130">
        <v>5.4736000000000304</v>
      </c>
      <c r="AD4130">
        <v>-1.1337369377136901</v>
      </c>
      <c r="AE4130">
        <v>-42.521479999999997</v>
      </c>
      <c r="AF4130">
        <v>-5.9565887679886798</v>
      </c>
      <c r="AG4130">
        <v>-1.1337369377136901</v>
      </c>
      <c r="AH4130">
        <v>42.426260544596502</v>
      </c>
      <c r="AI4130">
        <v>91.515863551100495</v>
      </c>
      <c r="AJ4130">
        <v>97.992009811590293</v>
      </c>
      <c r="AK4130">
        <v>42.857366846235998</v>
      </c>
      <c r="AL4130">
        <v>78.118402182502194</v>
      </c>
      <c r="AM4130">
        <v>90.042555711831696</v>
      </c>
      <c r="AN4130">
        <v>1.00000000705271</v>
      </c>
    </row>
    <row r="4131" spans="1:40" x14ac:dyDescent="0.25">
      <c r="A4131" t="str">
        <f>"20190303171100355"</f>
        <v>20190303171100355</v>
      </c>
      <c r="B4131" t="str">
        <f>"1551604260344996"</f>
        <v>1551604260344996</v>
      </c>
      <c r="C4131" t="s">
        <v>40</v>
      </c>
      <c r="D4131">
        <v>5.2974569999999996</v>
      </c>
      <c r="E4131">
        <v>0.45295289999999999</v>
      </c>
      <c r="F4131" t="s">
        <v>42</v>
      </c>
      <c r="G4131">
        <v>-419.82139999999998</v>
      </c>
      <c r="H4131" s="1">
        <v>-3.4474549999999998E-6</v>
      </c>
      <c r="I4131">
        <v>77.595019999999906</v>
      </c>
      <c r="J4131">
        <v>-424.35120000000001</v>
      </c>
      <c r="K4131">
        <v>1.1335230000000001</v>
      </c>
      <c r="L4131">
        <v>113.5372</v>
      </c>
      <c r="M4131">
        <v>1.200614E-3</v>
      </c>
      <c r="N4131">
        <v>-1.554327E-2</v>
      </c>
      <c r="O4131">
        <v>-0.99987839999999995</v>
      </c>
      <c r="P4131">
        <v>-5.4280600000000002E-3</v>
      </c>
      <c r="Q4131">
        <v>0.19197040000000001</v>
      </c>
      <c r="R4131">
        <v>-0.98138579999999997</v>
      </c>
      <c r="S4131">
        <v>0.38528440000000003</v>
      </c>
      <c r="T4131">
        <v>-9.6296069999999998E-2</v>
      </c>
      <c r="U4131">
        <v>-3.0818020000000002</v>
      </c>
      <c r="V4131">
        <v>1.8255410000000001E-4</v>
      </c>
      <c r="W4131">
        <v>0.2073063</v>
      </c>
      <c r="X4131">
        <v>0.97827609999999998</v>
      </c>
      <c r="Y4131">
        <v>-0.12280290000000001</v>
      </c>
      <c r="Z4131">
        <v>1.545436E-2</v>
      </c>
      <c r="AA4131">
        <v>0.99231080000000005</v>
      </c>
      <c r="AB4131">
        <v>35</v>
      </c>
      <c r="AC4131">
        <v>4.5298000000000203</v>
      </c>
      <c r="AD4131">
        <v>-1.133526447455</v>
      </c>
      <c r="AE4131">
        <v>-35.94218</v>
      </c>
      <c r="AF4131">
        <v>-4.4822504285512998</v>
      </c>
      <c r="AG4131">
        <v>-1.133526447455</v>
      </c>
      <c r="AH4131">
        <v>35.912432762128503</v>
      </c>
      <c r="AI4131">
        <v>91.793952503855905</v>
      </c>
      <c r="AJ4131">
        <v>97.114328321058693</v>
      </c>
      <c r="AK4131">
        <v>36.208814921310697</v>
      </c>
      <c r="AL4131">
        <v>78.035459305813802</v>
      </c>
      <c r="AM4131">
        <v>89.989308152022303</v>
      </c>
      <c r="AN4131">
        <v>1.0000000315884401</v>
      </c>
    </row>
    <row r="4132" spans="1:40" x14ac:dyDescent="0.25">
      <c r="A4132" t="str">
        <f>"20190303171100377"</f>
        <v>20190303171100377</v>
      </c>
      <c r="B4132" t="str">
        <f>"1551604260364516"</f>
        <v>1551604260364516</v>
      </c>
      <c r="C4132" t="s">
        <v>40</v>
      </c>
      <c r="D4132">
        <v>5.2693989999999999</v>
      </c>
      <c r="E4132">
        <v>0.45484049999999998</v>
      </c>
      <c r="F4132" t="s">
        <v>42</v>
      </c>
      <c r="G4132">
        <v>-418.98700000000002</v>
      </c>
      <c r="H4132" s="1">
        <v>-1.750354E-6</v>
      </c>
      <c r="I4132">
        <v>73.294019999999904</v>
      </c>
      <c r="J4132">
        <v>-424.34100000000001</v>
      </c>
      <c r="K4132">
        <v>1.1332899999999999</v>
      </c>
      <c r="L4132">
        <v>113.2043</v>
      </c>
      <c r="M4132">
        <v>1.326723E-2</v>
      </c>
      <c r="N4132">
        <v>-1.549351E-2</v>
      </c>
      <c r="O4132">
        <v>-0.99979200000000001</v>
      </c>
      <c r="P4132">
        <v>5.4872339999999997E-3</v>
      </c>
      <c r="Q4132">
        <v>0.1921109</v>
      </c>
      <c r="R4132">
        <v>-0.98135790000000001</v>
      </c>
      <c r="S4132">
        <v>0.41003420000000002</v>
      </c>
      <c r="T4132">
        <v>-8.6644890000000002E-2</v>
      </c>
      <c r="U4132">
        <v>-3.0761259999999999</v>
      </c>
      <c r="V4132">
        <v>1.2308289999999999E-3</v>
      </c>
      <c r="W4132">
        <v>0.20742569999999999</v>
      </c>
      <c r="X4132">
        <v>0.97824999999999995</v>
      </c>
      <c r="Y4132">
        <v>-0.1189128</v>
      </c>
      <c r="Z4132">
        <v>1.245157E-2</v>
      </c>
      <c r="AA4132">
        <v>0.9928266</v>
      </c>
      <c r="AB4132">
        <v>35</v>
      </c>
      <c r="AC4132">
        <v>5.3540000000000401</v>
      </c>
      <c r="AD4132">
        <v>-1.1332917503540001</v>
      </c>
      <c r="AE4132">
        <v>-39.91028</v>
      </c>
      <c r="AF4132">
        <v>-4.8201483327393504</v>
      </c>
      <c r="AG4132">
        <v>-1.1332917503540001</v>
      </c>
      <c r="AH4132">
        <v>39.9461673260449</v>
      </c>
      <c r="AI4132">
        <v>91.613375664104595</v>
      </c>
      <c r="AJ4132">
        <v>96.880393548863495</v>
      </c>
      <c r="AK4132">
        <v>40.251887709539901</v>
      </c>
      <c r="AL4132">
        <v>78.0284657903659</v>
      </c>
      <c r="AM4132">
        <v>89.927910789890802</v>
      </c>
      <c r="AN4132">
        <v>0.99999999923025795</v>
      </c>
    </row>
    <row r="4133" spans="1:40" x14ac:dyDescent="0.25">
      <c r="A4133" t="str">
        <f>"20190303171100423"</f>
        <v>20190303171100423</v>
      </c>
      <c r="B4133" t="str">
        <f>"1551604260415268"</f>
        <v>1551604260415268</v>
      </c>
      <c r="C4133" t="s">
        <v>40</v>
      </c>
      <c r="D4133">
        <v>5.2514059999999896</v>
      </c>
      <c r="E4133">
        <v>0.46205059999999898</v>
      </c>
      <c r="F4133" t="s">
        <v>42</v>
      </c>
      <c r="G4133">
        <v>-419.34649999999999</v>
      </c>
      <c r="H4133" s="1">
        <v>-3.4234519999999999E-6</v>
      </c>
      <c r="I4133">
        <v>77.342690000000005</v>
      </c>
      <c r="J4133">
        <v>-424.30669999999998</v>
      </c>
      <c r="K4133">
        <v>1.1327370000000001</v>
      </c>
      <c r="L4133">
        <v>112.5067</v>
      </c>
      <c r="M4133">
        <v>3.7558080000000001E-2</v>
      </c>
      <c r="N4133">
        <v>-1.537845E-2</v>
      </c>
      <c r="O4133">
        <v>-0.99917630000000002</v>
      </c>
      <c r="P4133">
        <v>2.4518390000000001E-2</v>
      </c>
      <c r="Q4133">
        <v>0.19463739999999999</v>
      </c>
      <c r="R4133">
        <v>-0.98056880000000002</v>
      </c>
      <c r="S4133">
        <v>0.42807010000000001</v>
      </c>
      <c r="T4133">
        <v>-9.7131729999999999E-2</v>
      </c>
      <c r="U4133">
        <v>-3.0736080000000001</v>
      </c>
      <c r="V4133">
        <v>6.2457719999999897E-3</v>
      </c>
      <c r="W4133">
        <v>0.2099673</v>
      </c>
      <c r="X4133">
        <v>0.97768840000000001</v>
      </c>
      <c r="Y4133">
        <v>-0.1005871</v>
      </c>
      <c r="Z4133">
        <v>1.5987020000000001E-2</v>
      </c>
      <c r="AA4133">
        <v>0.99479980000000001</v>
      </c>
      <c r="AB4133">
        <v>35</v>
      </c>
      <c r="AC4133">
        <v>4.96019999999998</v>
      </c>
      <c r="AD4133">
        <v>-1.132740423452</v>
      </c>
      <c r="AE4133">
        <v>-35.164009999999898</v>
      </c>
      <c r="AF4133">
        <v>-3.6321553538218598</v>
      </c>
      <c r="AG4133">
        <v>-1.132740423452</v>
      </c>
      <c r="AH4133">
        <v>35.2896066879144</v>
      </c>
      <c r="AI4133">
        <v>91.828817891880803</v>
      </c>
      <c r="AJ4133">
        <v>95.876431436976006</v>
      </c>
      <c r="AK4133">
        <v>35.4941120972044</v>
      </c>
      <c r="AL4133">
        <v>77.879563338979693</v>
      </c>
      <c r="AM4133">
        <v>89.633982046398799</v>
      </c>
      <c r="AN4133">
        <v>0.99999994211586096</v>
      </c>
    </row>
    <row r="4134" spans="1:40" x14ac:dyDescent="0.25">
      <c r="A4134" t="str">
        <f>"20190303171100443"</f>
        <v>20190303171100443</v>
      </c>
      <c r="B4134" t="str">
        <f>"1551604260434787"</f>
        <v>1551604260434787</v>
      </c>
      <c r="C4134" t="s">
        <v>40</v>
      </c>
      <c r="D4134">
        <v>5.2520170000000004</v>
      </c>
      <c r="E4134">
        <v>0.46357999999999999</v>
      </c>
      <c r="F4134" t="s">
        <v>42</v>
      </c>
      <c r="G4134">
        <v>-420.58319999999998</v>
      </c>
      <c r="H4134" s="1">
        <v>-2.9868229999999999E-6</v>
      </c>
      <c r="I4134">
        <v>86.189769999999996</v>
      </c>
      <c r="J4134">
        <v>-424.28460000000001</v>
      </c>
      <c r="K4134">
        <v>1.132457</v>
      </c>
      <c r="L4134">
        <v>112.1725</v>
      </c>
      <c r="M4134">
        <v>4.8737129999999997E-2</v>
      </c>
      <c r="N4134">
        <v>-1.532413E-2</v>
      </c>
      <c r="O4134">
        <v>-0.99869419999999998</v>
      </c>
      <c r="P4134">
        <v>3.416864E-2</v>
      </c>
      <c r="Q4134">
        <v>0.192776</v>
      </c>
      <c r="R4134">
        <v>-0.98064790000000002</v>
      </c>
      <c r="S4134">
        <v>0.43505859999999902</v>
      </c>
      <c r="T4134">
        <v>-0.1323483</v>
      </c>
      <c r="U4134">
        <v>-3.0748440000000001</v>
      </c>
      <c r="V4134">
        <v>7.7861980000000003E-3</v>
      </c>
      <c r="W4134">
        <v>0.20809179999999999</v>
      </c>
      <c r="X4134">
        <v>0.97807829999999996</v>
      </c>
      <c r="Y4134">
        <v>-9.1572689999999998E-2</v>
      </c>
      <c r="Z4134">
        <v>2.7361110000000001E-2</v>
      </c>
      <c r="AA4134">
        <v>0.99542240000000004</v>
      </c>
      <c r="AB4134">
        <v>35</v>
      </c>
      <c r="AC4134">
        <v>3.7014000000000302</v>
      </c>
      <c r="AD4134">
        <v>-1.1324599868230001</v>
      </c>
      <c r="AE4134">
        <v>-25.98273</v>
      </c>
      <c r="AF4134">
        <v>-2.4260111900791701</v>
      </c>
      <c r="AG4134">
        <v>-1.1324599868230001</v>
      </c>
      <c r="AH4134">
        <v>26.083698056682302</v>
      </c>
      <c r="AI4134">
        <v>92.475344413340295</v>
      </c>
      <c r="AJ4134">
        <v>95.313719583154295</v>
      </c>
      <c r="AK4134">
        <v>26.2207417940133</v>
      </c>
      <c r="AL4134">
        <v>77.989449650418194</v>
      </c>
      <c r="AM4134">
        <v>89.543894532456093</v>
      </c>
      <c r="AN4134">
        <v>0.99999999151871199</v>
      </c>
    </row>
    <row r="4135" spans="1:40" x14ac:dyDescent="0.25">
      <c r="A4135" t="str">
        <f>"20190303171100466"</f>
        <v>20190303171100466</v>
      </c>
      <c r="B4135" t="str">
        <f>"1551604260455284"</f>
        <v>1551604260455284</v>
      </c>
      <c r="C4135" t="s">
        <v>40</v>
      </c>
      <c r="D4135">
        <v>5.1934279999999999</v>
      </c>
      <c r="E4135">
        <v>0.47024949999999999</v>
      </c>
      <c r="F4135" t="s">
        <v>42</v>
      </c>
      <c r="G4135">
        <v>-420.42250000000001</v>
      </c>
      <c r="H4135" s="1">
        <v>-2.8290980000000001E-6</v>
      </c>
      <c r="I4135">
        <v>85.921779999999998</v>
      </c>
      <c r="J4135">
        <v>-424.25830000000002</v>
      </c>
      <c r="K4135">
        <v>1.1321380000000001</v>
      </c>
      <c r="L4135">
        <v>111.83</v>
      </c>
      <c r="M4135">
        <v>5.9829889999999997E-2</v>
      </c>
      <c r="N4135">
        <v>-1.5266490000000001E-2</v>
      </c>
      <c r="O4135">
        <v>-0.99809190000000003</v>
      </c>
      <c r="P4135">
        <v>4.4550609999999997E-2</v>
      </c>
      <c r="Q4135">
        <v>0.19092490000000001</v>
      </c>
      <c r="R4135">
        <v>-0.98059350000000001</v>
      </c>
      <c r="S4135">
        <v>0.45159909999999998</v>
      </c>
      <c r="T4135">
        <v>-0.13241800000000001</v>
      </c>
      <c r="U4135">
        <v>-3.0694889999999999</v>
      </c>
      <c r="V4135">
        <v>8.5339290000000009E-3</v>
      </c>
      <c r="W4135">
        <v>0.2061992</v>
      </c>
      <c r="X4135">
        <v>0.97847280000000003</v>
      </c>
      <c r="Y4135">
        <v>-8.6004990000000003E-2</v>
      </c>
      <c r="Z4135">
        <v>2.748457E-2</v>
      </c>
      <c r="AA4135">
        <v>0.99591549999999995</v>
      </c>
      <c r="AB4135">
        <v>35</v>
      </c>
      <c r="AC4135">
        <v>3.8357999999999999</v>
      </c>
      <c r="AD4135">
        <v>-1.132140829098</v>
      </c>
      <c r="AE4135">
        <v>-25.90822</v>
      </c>
      <c r="AF4135">
        <v>-2.2744104813220898</v>
      </c>
      <c r="AG4135">
        <v>-1.132140829098</v>
      </c>
      <c r="AH4135">
        <v>26.042656616966401</v>
      </c>
      <c r="AI4135">
        <v>92.479799439968303</v>
      </c>
      <c r="AJ4135">
        <v>94.991208048216805</v>
      </c>
      <c r="AK4135">
        <v>26.166288417803599</v>
      </c>
      <c r="AL4135">
        <v>78.100291664246498</v>
      </c>
      <c r="AM4135">
        <v>89.500297078314304</v>
      </c>
      <c r="AN4135">
        <v>0.99999997918232797</v>
      </c>
    </row>
    <row r="4136" spans="1:40" x14ac:dyDescent="0.25">
      <c r="A4136" t="str">
        <f>"20190303171100488"</f>
        <v>20190303171100488</v>
      </c>
      <c r="B4136" t="str">
        <f>"1551604260474803"</f>
        <v>1551604260474803</v>
      </c>
      <c r="C4136" t="s">
        <v>40</v>
      </c>
      <c r="D4136">
        <v>5.216418</v>
      </c>
      <c r="E4136">
        <v>0.47142060000000002</v>
      </c>
      <c r="F4136" t="s">
        <v>42</v>
      </c>
      <c r="G4136">
        <v>-420.892</v>
      </c>
      <c r="H4136" s="1">
        <v>-3.7480649999999998E-6</v>
      </c>
      <c r="I4136">
        <v>87.772669999999906</v>
      </c>
      <c r="J4136">
        <v>-424.2285</v>
      </c>
      <c r="K4136">
        <v>1.1317950000000001</v>
      </c>
      <c r="L4136">
        <v>111.4884</v>
      </c>
      <c r="M4136">
        <v>7.0465410000000006E-2</v>
      </c>
      <c r="N4136">
        <v>-1.5203680000000001E-2</v>
      </c>
      <c r="O4136">
        <v>-0.99739840000000002</v>
      </c>
      <c r="P4136">
        <v>5.431967E-2</v>
      </c>
      <c r="Q4136">
        <v>0.19067390000000001</v>
      </c>
      <c r="R4136">
        <v>-0.98014939999999995</v>
      </c>
      <c r="S4136">
        <v>0.42929079999999997</v>
      </c>
      <c r="T4136">
        <v>-0.1443806</v>
      </c>
      <c r="U4136">
        <v>-3.067993</v>
      </c>
      <c r="V4136">
        <v>9.4081229999999991E-3</v>
      </c>
      <c r="W4136">
        <v>0.20589869999999999</v>
      </c>
      <c r="X4136">
        <v>0.97852810000000001</v>
      </c>
      <c r="Y4136">
        <v>-6.8336830000000001E-2</v>
      </c>
      <c r="Z4136">
        <v>3.1434150000000001E-2</v>
      </c>
      <c r="AA4136">
        <v>0.99716700000000003</v>
      </c>
      <c r="AB4136">
        <v>35</v>
      </c>
      <c r="AC4136">
        <v>3.3365</v>
      </c>
      <c r="AD4136">
        <v>-1.131798748065</v>
      </c>
      <c r="AE4136">
        <v>-23.715730000000001</v>
      </c>
      <c r="AF4136">
        <v>-1.65318044920468</v>
      </c>
      <c r="AG4136">
        <v>-1.131798748065</v>
      </c>
      <c r="AH4136">
        <v>23.8386596996076</v>
      </c>
      <c r="AI4136">
        <v>92.711713218026702</v>
      </c>
      <c r="AJ4136">
        <v>93.967037411489599</v>
      </c>
      <c r="AK4136">
        <v>23.922701985299401</v>
      </c>
      <c r="AL4136">
        <v>78.117887035570504</v>
      </c>
      <c r="AM4136">
        <v>89.449142919670095</v>
      </c>
      <c r="AN4136">
        <v>1.00000001496484</v>
      </c>
    </row>
    <row r="4137" spans="1:40" x14ac:dyDescent="0.25">
      <c r="A4137" t="str">
        <f>"20190303171100511"</f>
        <v>20190303171100511</v>
      </c>
      <c r="B4137" t="str">
        <f>"1551604260505065"</f>
        <v>1551604260505065</v>
      </c>
      <c r="C4137" t="s">
        <v>40</v>
      </c>
      <c r="D4137">
        <v>5.1585199999999896</v>
      </c>
      <c r="E4137">
        <v>0.47309059999999997</v>
      </c>
      <c r="F4137" t="s">
        <v>42</v>
      </c>
      <c r="G4137">
        <v>-420.78429999999997</v>
      </c>
      <c r="H4137" s="1">
        <v>-3.8196940000000003E-6</v>
      </c>
      <c r="I4137">
        <v>88.006460000000004</v>
      </c>
      <c r="J4137">
        <v>-424.19349999999997</v>
      </c>
      <c r="K4137">
        <v>1.1313839999999999</v>
      </c>
      <c r="L4137">
        <v>111.1277</v>
      </c>
      <c r="M4137">
        <v>8.119063E-2</v>
      </c>
      <c r="N4137">
        <v>-1.513169E-2</v>
      </c>
      <c r="O4137">
        <v>-0.99658380000000002</v>
      </c>
      <c r="P4137">
        <v>6.3639039999999994E-2</v>
      </c>
      <c r="Q4137">
        <v>0.19100139999999999</v>
      </c>
      <c r="R4137">
        <v>-0.97952459999999997</v>
      </c>
      <c r="S4137">
        <v>0.44949339999999999</v>
      </c>
      <c r="T4137">
        <v>-0.1477087</v>
      </c>
      <c r="U4137">
        <v>-3.064575</v>
      </c>
      <c r="V4137">
        <v>1.083658E-2</v>
      </c>
      <c r="W4137">
        <v>0.20617540000000001</v>
      </c>
      <c r="X4137">
        <v>0.97845499999999996</v>
      </c>
      <c r="Y4137">
        <v>-6.4194109999999999E-2</v>
      </c>
      <c r="Z4137">
        <v>3.2570960000000003E-2</v>
      </c>
      <c r="AA4137">
        <v>0.99740580000000001</v>
      </c>
      <c r="AB4137">
        <v>35</v>
      </c>
      <c r="AC4137">
        <v>3.40919999999999</v>
      </c>
      <c r="AD4137">
        <v>-1.1313878196939999</v>
      </c>
      <c r="AE4137">
        <v>-23.12124</v>
      </c>
      <c r="AF4137">
        <v>-1.5169444948228801</v>
      </c>
      <c r="AG4137">
        <v>-1.1313878196939999</v>
      </c>
      <c r="AH4137">
        <v>23.267190581321</v>
      </c>
      <c r="AI4137">
        <v>92.777976928285298</v>
      </c>
      <c r="AJ4137">
        <v>93.7302175992412</v>
      </c>
      <c r="AK4137">
        <v>23.344021002098899</v>
      </c>
      <c r="AL4137">
        <v>78.101684980954602</v>
      </c>
      <c r="AM4137">
        <v>89.365464007950706</v>
      </c>
      <c r="AN4137">
        <v>0.99999995702812705</v>
      </c>
    </row>
    <row r="4138" spans="1:40" x14ac:dyDescent="0.25">
      <c r="A4138" t="str">
        <f>"20190303171100534"</f>
        <v>20190303171100534</v>
      </c>
      <c r="B4138" t="str">
        <f>"1551604260524584"</f>
        <v>1551604260524584</v>
      </c>
      <c r="C4138" t="s">
        <v>40</v>
      </c>
      <c r="D4138">
        <v>5.1695900000000004</v>
      </c>
      <c r="E4138">
        <v>0.47309059999999997</v>
      </c>
      <c r="F4138" t="s">
        <v>42</v>
      </c>
      <c r="G4138">
        <v>-420.62599999999998</v>
      </c>
      <c r="H4138" s="1">
        <v>-3.6428340000000002E-6</v>
      </c>
      <c r="I4138">
        <v>87.69238</v>
      </c>
      <c r="J4138">
        <v>-424.15690000000001</v>
      </c>
      <c r="K4138">
        <v>1.1309419999999999</v>
      </c>
      <c r="L4138">
        <v>110.78489999999999</v>
      </c>
      <c r="M4138">
        <v>9.0847380000000005E-2</v>
      </c>
      <c r="N4138">
        <v>-1.505947E-2</v>
      </c>
      <c r="O4138">
        <v>-0.99575100000000005</v>
      </c>
      <c r="P4138">
        <v>7.2896290000000002E-2</v>
      </c>
      <c r="Q4138">
        <v>0.1907142</v>
      </c>
      <c r="R4138">
        <v>-0.97893569999999996</v>
      </c>
      <c r="S4138">
        <v>0.46600340000000001</v>
      </c>
      <c r="T4138">
        <v>-0.1477888</v>
      </c>
      <c r="U4138">
        <v>-3.061264</v>
      </c>
      <c r="V4138">
        <v>1.13177E-2</v>
      </c>
      <c r="W4138">
        <v>0.20581240000000001</v>
      </c>
      <c r="X4138">
        <v>0.97852600000000001</v>
      </c>
      <c r="Y4138">
        <v>-5.993797E-2</v>
      </c>
      <c r="Z4138">
        <v>3.2661429999999998E-2</v>
      </c>
      <c r="AA4138">
        <v>0.99766759999999999</v>
      </c>
      <c r="AB4138">
        <v>35</v>
      </c>
      <c r="AC4138">
        <v>3.5309000000000301</v>
      </c>
      <c r="AD4138">
        <v>-1.1309456428339999</v>
      </c>
      <c r="AE4138">
        <v>-23.09252</v>
      </c>
      <c r="AF4138">
        <v>-1.4148470298271401</v>
      </c>
      <c r="AG4138">
        <v>-1.1309456428339999</v>
      </c>
      <c r="AH4138">
        <v>23.263293653701002</v>
      </c>
      <c r="AI4138">
        <v>92.778119340235904</v>
      </c>
      <c r="AJ4138">
        <v>93.480377062985099</v>
      </c>
      <c r="AK4138">
        <v>23.333702273389399</v>
      </c>
      <c r="AL4138">
        <v>78.122939502008805</v>
      </c>
      <c r="AM4138">
        <v>89.337342563626393</v>
      </c>
      <c r="AN4138">
        <v>0.99999998350152397</v>
      </c>
    </row>
    <row r="4139" spans="1:40" x14ac:dyDescent="0.25">
      <c r="A4139" t="str">
        <f>"20190303171100555"</f>
        <v>20190303171100555</v>
      </c>
      <c r="B4139" t="str">
        <f>"1551604260545081"</f>
        <v>1551604260545081</v>
      </c>
      <c r="C4139" t="s">
        <v>40</v>
      </c>
      <c r="D4139">
        <v>5.3059580000000004</v>
      </c>
      <c r="E4139">
        <v>0.48057549999999999</v>
      </c>
      <c r="F4139" t="s">
        <v>42</v>
      </c>
      <c r="G4139">
        <v>-420.4135</v>
      </c>
      <c r="H4139" s="1">
        <v>-3.5437110000000001E-6</v>
      </c>
      <c r="I4139">
        <v>87.593109999999996</v>
      </c>
      <c r="J4139">
        <v>-424.12009999999998</v>
      </c>
      <c r="K4139">
        <v>1.130476</v>
      </c>
      <c r="L4139">
        <v>110.46550000000001</v>
      </c>
      <c r="M4139">
        <v>9.9311899999999995E-2</v>
      </c>
      <c r="N4139">
        <v>-1.498973E-2</v>
      </c>
      <c r="O4139">
        <v>-0.99494360000000004</v>
      </c>
      <c r="P4139">
        <v>8.0834530000000002E-2</v>
      </c>
      <c r="Q4139">
        <v>0.18922639999999999</v>
      </c>
      <c r="R4139">
        <v>-0.97860069999999999</v>
      </c>
      <c r="S4139">
        <v>0.49340820000000002</v>
      </c>
      <c r="T4139">
        <v>-0.149066899999999</v>
      </c>
      <c r="U4139">
        <v>-3.056854</v>
      </c>
      <c r="V4139">
        <v>1.200562E-2</v>
      </c>
      <c r="W4139">
        <v>0.20425689999999999</v>
      </c>
      <c r="X4139">
        <v>0.97884369999999998</v>
      </c>
      <c r="Y4139">
        <v>-6.0389789999999999E-2</v>
      </c>
      <c r="Z4139">
        <v>3.3134089999999998E-2</v>
      </c>
      <c r="AA4139">
        <v>0.99762479999999998</v>
      </c>
      <c r="AB4139">
        <v>35</v>
      </c>
      <c r="AC4139">
        <v>3.7065999999999799</v>
      </c>
      <c r="AD4139">
        <v>-1.130479543711</v>
      </c>
      <c r="AE4139">
        <v>-22.872389999999999</v>
      </c>
      <c r="AF4139">
        <v>-1.41315254398824</v>
      </c>
      <c r="AG4139">
        <v>-1.130479543711</v>
      </c>
      <c r="AH4139">
        <v>23.072521255785301</v>
      </c>
      <c r="AI4139">
        <v>92.799827894901</v>
      </c>
      <c r="AJ4139">
        <v>93.504890377443203</v>
      </c>
      <c r="AK4139">
        <v>23.1433839619446</v>
      </c>
      <c r="AL4139">
        <v>78.213997883566606</v>
      </c>
      <c r="AM4139">
        <v>89.297296527780304</v>
      </c>
      <c r="AN4139">
        <v>1.00000000256944</v>
      </c>
    </row>
    <row r="4140" spans="1:40" x14ac:dyDescent="0.25">
      <c r="A4140" t="str">
        <f>"20190303171100579"</f>
        <v>20190303171100579</v>
      </c>
      <c r="B4140" t="str">
        <f>"1551604260564600"</f>
        <v>1551604260564600</v>
      </c>
      <c r="C4140" t="s">
        <v>40</v>
      </c>
      <c r="D4140">
        <v>5.1524330000000003</v>
      </c>
      <c r="E4140">
        <v>0.482373</v>
      </c>
      <c r="F4140" t="s">
        <v>42</v>
      </c>
      <c r="G4140">
        <v>-421.08710000000002</v>
      </c>
      <c r="H4140" s="1">
        <v>-5.550214E-7</v>
      </c>
      <c r="I4140">
        <v>90.208619999999996</v>
      </c>
      <c r="J4140">
        <v>-424.07830000000001</v>
      </c>
      <c r="K4140">
        <v>1.129942</v>
      </c>
      <c r="L4140">
        <v>110.1247</v>
      </c>
      <c r="M4140">
        <v>0.107723</v>
      </c>
      <c r="N4140">
        <v>-1.491338E-2</v>
      </c>
      <c r="O4140">
        <v>-0.99406919999999999</v>
      </c>
      <c r="P4140">
        <v>8.8191629999999993E-2</v>
      </c>
      <c r="Q4140">
        <v>0.1891253</v>
      </c>
      <c r="R4140">
        <v>-0.97798479999999999</v>
      </c>
      <c r="S4140">
        <v>0.45828249999999998</v>
      </c>
      <c r="T4140">
        <v>-0.1708134</v>
      </c>
      <c r="U4140">
        <v>-3.060791</v>
      </c>
      <c r="V4140">
        <v>1.3205110000000001E-2</v>
      </c>
      <c r="W4140">
        <v>0.20408560000000001</v>
      </c>
      <c r="X4140">
        <v>0.97886399999999996</v>
      </c>
      <c r="Y4140">
        <v>-4.0525899999999997E-2</v>
      </c>
      <c r="Z4140">
        <v>4.0130289999999999E-2</v>
      </c>
      <c r="AA4140">
        <v>0.99837229999999999</v>
      </c>
      <c r="AB4140">
        <v>35</v>
      </c>
      <c r="AC4140">
        <v>2.9911999999999899</v>
      </c>
      <c r="AD4140">
        <v>-1.1299425550214</v>
      </c>
      <c r="AE4140">
        <v>-19.916080000000001</v>
      </c>
      <c r="AF4140">
        <v>-0.82553323266019196</v>
      </c>
      <c r="AG4140">
        <v>-1.1299425550214</v>
      </c>
      <c r="AH4140">
        <v>20.059274200785101</v>
      </c>
      <c r="AI4140">
        <v>93.221353330940403</v>
      </c>
      <c r="AJ4140">
        <v>92.356660206858507</v>
      </c>
      <c r="AK4140">
        <v>20.1080271722055</v>
      </c>
      <c r="AL4140">
        <v>78.224024039189004</v>
      </c>
      <c r="AM4140">
        <v>89.227113082938601</v>
      </c>
      <c r="AN4140">
        <v>1.0000000187767299</v>
      </c>
    </row>
    <row r="4141" spans="1:40" x14ac:dyDescent="0.25">
      <c r="A4141" t="str">
        <f>"20190303171100602"</f>
        <v>20190303171100602</v>
      </c>
      <c r="B4141" t="str">
        <f>"1551604260594856"</f>
        <v>1551604260594856</v>
      </c>
      <c r="C4141" t="s">
        <v>40</v>
      </c>
      <c r="D4141">
        <v>5.0713710000000001</v>
      </c>
      <c r="E4141">
        <v>0.48921619999999999</v>
      </c>
      <c r="F4141" t="s">
        <v>42</v>
      </c>
      <c r="G4141">
        <v>-420.98480000000001</v>
      </c>
      <c r="H4141" s="1">
        <v>-3.2978809999999998E-7</v>
      </c>
      <c r="I4141">
        <v>89.747019999999907</v>
      </c>
      <c r="J4141">
        <v>-424.03109999999998</v>
      </c>
      <c r="K4141">
        <v>1.1293489999999999</v>
      </c>
      <c r="L4141">
        <v>109.7623</v>
      </c>
      <c r="M4141">
        <v>0.115924</v>
      </c>
      <c r="N4141">
        <v>-1.483144E-2</v>
      </c>
      <c r="O4141">
        <v>-0.99314740000000001</v>
      </c>
      <c r="P4141">
        <v>9.4288159999999996E-2</v>
      </c>
      <c r="Q4141">
        <v>0.190299</v>
      </c>
      <c r="R4141">
        <v>-0.9771879</v>
      </c>
      <c r="S4141">
        <v>0.4642944</v>
      </c>
      <c r="T4141">
        <v>-0.16959170000000001</v>
      </c>
      <c r="U4141">
        <v>-3.0584560000000001</v>
      </c>
      <c r="V4141">
        <v>1.544121E-2</v>
      </c>
      <c r="W4141">
        <v>0.20519499999999999</v>
      </c>
      <c r="X4141">
        <v>0.97859929999999995</v>
      </c>
      <c r="Y4141">
        <v>-3.4314280000000003E-2</v>
      </c>
      <c r="Z4141">
        <v>3.9794179999999998E-2</v>
      </c>
      <c r="AA4141">
        <v>0.99861849999999996</v>
      </c>
      <c r="AB4141">
        <v>35</v>
      </c>
      <c r="AC4141">
        <v>3.0462999999999698</v>
      </c>
      <c r="AD4141">
        <v>-1.1293493297881001</v>
      </c>
      <c r="AE4141">
        <v>-20.015280000000001</v>
      </c>
      <c r="AF4141">
        <v>-0.703063468575999</v>
      </c>
      <c r="AG4141">
        <v>-1.1293493297881001</v>
      </c>
      <c r="AH4141">
        <v>20.170723236902599</v>
      </c>
      <c r="AI4141">
        <v>93.202677116166797</v>
      </c>
      <c r="AJ4141">
        <v>91.996272894117098</v>
      </c>
      <c r="AK4141">
        <v>20.214544369074002</v>
      </c>
      <c r="AL4141">
        <v>78.159085655383606</v>
      </c>
      <c r="AM4141">
        <v>89.096011257150707</v>
      </c>
      <c r="AN4141">
        <v>1.0000000044758699</v>
      </c>
    </row>
    <row r="4142" spans="1:40" x14ac:dyDescent="0.25">
      <c r="A4142" t="str">
        <f>"20190303171100624"</f>
        <v>20190303171100624</v>
      </c>
      <c r="B4142" t="str">
        <f>"1551604260614883"</f>
        <v>1551604260614883</v>
      </c>
      <c r="C4142" t="s">
        <v>40</v>
      </c>
      <c r="D4142">
        <v>5.2411479999999999</v>
      </c>
      <c r="E4142">
        <v>0.49053390000000002</v>
      </c>
      <c r="F4142" t="s">
        <v>42</v>
      </c>
      <c r="G4142">
        <v>-420.94299999999998</v>
      </c>
      <c r="H4142" s="1">
        <v>-3.708349E-6</v>
      </c>
      <c r="I4142">
        <v>87.648510000000002</v>
      </c>
      <c r="J4142">
        <v>-423.98489999999998</v>
      </c>
      <c r="K4142">
        <v>1.128827</v>
      </c>
      <c r="L4142">
        <v>109.4248</v>
      </c>
      <c r="M4142">
        <v>0.1230062</v>
      </c>
      <c r="N4142">
        <v>-1.475897E-2</v>
      </c>
      <c r="O4142">
        <v>-0.99229619999999996</v>
      </c>
      <c r="P4142">
        <v>9.9560800000000005E-2</v>
      </c>
      <c r="Q4142">
        <v>0.18971250000000001</v>
      </c>
      <c r="R4142">
        <v>-0.97677890000000001</v>
      </c>
      <c r="S4142">
        <v>0.42721559999999997</v>
      </c>
      <c r="T4142">
        <v>-0.15623589999999901</v>
      </c>
      <c r="U4142">
        <v>-3.05925</v>
      </c>
      <c r="V4142">
        <v>1.744331E-2</v>
      </c>
      <c r="W4142">
        <v>0.20455090000000001</v>
      </c>
      <c r="X4142">
        <v>0.97870049999999997</v>
      </c>
      <c r="Y4142">
        <v>-1.532175E-2</v>
      </c>
      <c r="Z4142">
        <v>3.5559170000000001E-2</v>
      </c>
      <c r="AA4142">
        <v>0.99925010000000003</v>
      </c>
      <c r="AB4142">
        <v>35</v>
      </c>
      <c r="AC4142">
        <v>3.0418999999999401</v>
      </c>
      <c r="AD4142">
        <v>-1.1288307083489999</v>
      </c>
      <c r="AE4142">
        <v>-21.776289999999999</v>
      </c>
      <c r="AF4142">
        <v>-0.33899065063626099</v>
      </c>
      <c r="AG4142">
        <v>-1.1288307083489999</v>
      </c>
      <c r="AH4142">
        <v>21.927301931657301</v>
      </c>
      <c r="AI4142">
        <v>92.946668131444</v>
      </c>
      <c r="AJ4142">
        <v>90.885707985794895</v>
      </c>
      <c r="AK4142">
        <v>21.958955882085899</v>
      </c>
      <c r="AL4142">
        <v>78.196789619446804</v>
      </c>
      <c r="AM4142">
        <v>88.978929469372702</v>
      </c>
      <c r="AN4142">
        <v>1.0000000042274</v>
      </c>
    </row>
    <row r="4143" spans="1:40" x14ac:dyDescent="0.25">
      <c r="A4143" t="str">
        <f>"20190303171100646"</f>
        <v>20190303171100646</v>
      </c>
      <c r="B4143" t="str">
        <f>"1551604260635380"</f>
        <v>1551604260635380</v>
      </c>
      <c r="C4143" t="s">
        <v>40</v>
      </c>
      <c r="D4143">
        <v>5.0742520000000004</v>
      </c>
      <c r="E4143">
        <v>0.49185400000000001</v>
      </c>
      <c r="F4143" t="s">
        <v>42</v>
      </c>
      <c r="G4143">
        <v>-420.9323</v>
      </c>
      <c r="H4143" s="1">
        <v>-3.7806299999999998E-6</v>
      </c>
      <c r="I4143">
        <v>87.823599999999999</v>
      </c>
      <c r="J4143">
        <v>-423.9375</v>
      </c>
      <c r="K4143">
        <v>1.128315</v>
      </c>
      <c r="L4143">
        <v>109.09220000000001</v>
      </c>
      <c r="M4143">
        <v>0.129412</v>
      </c>
      <c r="N4143">
        <v>-1.469176E-2</v>
      </c>
      <c r="O4143">
        <v>-0.99148219999999998</v>
      </c>
      <c r="P4143">
        <v>0.10595209999999999</v>
      </c>
      <c r="Q4143">
        <v>0.1888262</v>
      </c>
      <c r="R4143">
        <v>-0.97627810000000004</v>
      </c>
      <c r="S4143">
        <v>0.43218990000000002</v>
      </c>
      <c r="T4143">
        <v>-0.1598204</v>
      </c>
      <c r="U4143">
        <v>-3.0583040000000001</v>
      </c>
      <c r="V4143">
        <v>1.7657450000000002E-2</v>
      </c>
      <c r="W4143">
        <v>0.20357810000000001</v>
      </c>
      <c r="X4143">
        <v>0.97889950000000003</v>
      </c>
      <c r="Y4143">
        <v>-1.049666E-2</v>
      </c>
      <c r="Z4143">
        <v>3.673121E-2</v>
      </c>
      <c r="AA4143">
        <v>0.99927010000000005</v>
      </c>
      <c r="AB4143">
        <v>35</v>
      </c>
      <c r="AC4143">
        <v>3.0051999999999999</v>
      </c>
      <c r="AD4143">
        <v>-1.1283187806299999</v>
      </c>
      <c r="AE4143">
        <v>-21.268599999999999</v>
      </c>
      <c r="AF4143">
        <v>-0.22658950639740999</v>
      </c>
      <c r="AG4143">
        <v>-1.1283187806299999</v>
      </c>
      <c r="AH4143">
        <v>21.4195593716655</v>
      </c>
      <c r="AI4143">
        <v>93.015216085419894</v>
      </c>
      <c r="AJ4143">
        <v>90.606088011534396</v>
      </c>
      <c r="AK4143">
        <v>21.450453835558701</v>
      </c>
      <c r="AL4143">
        <v>78.253725326143396</v>
      </c>
      <c r="AM4143">
        <v>88.966607238549599</v>
      </c>
      <c r="AN4143">
        <v>1.0000000297201801</v>
      </c>
    </row>
    <row r="4144" spans="1:40" x14ac:dyDescent="0.25">
      <c r="A4144" t="str">
        <f>"20190303171100667"</f>
        <v>20190303171100667</v>
      </c>
      <c r="B4144" t="str">
        <f>"1551604260654900"</f>
        <v>1551604260654900</v>
      </c>
      <c r="C4144" t="s">
        <v>40</v>
      </c>
      <c r="D4144">
        <v>5.1909029999999996</v>
      </c>
      <c r="E4144">
        <v>0.49233529999999998</v>
      </c>
      <c r="F4144" t="s">
        <v>42</v>
      </c>
      <c r="G4144">
        <v>-420.86090000000002</v>
      </c>
      <c r="H4144" s="1">
        <v>-3.7068499999999999E-6</v>
      </c>
      <c r="I4144">
        <v>87.695920000000001</v>
      </c>
      <c r="J4144">
        <v>-423.88839999999999</v>
      </c>
      <c r="K4144">
        <v>1.127791</v>
      </c>
      <c r="L4144">
        <v>108.7604</v>
      </c>
      <c r="M4144">
        <v>0.1351897</v>
      </c>
      <c r="N4144">
        <v>-1.462478E-2</v>
      </c>
      <c r="O4144">
        <v>-0.99071169999999997</v>
      </c>
      <c r="P4144">
        <v>0.1108263</v>
      </c>
      <c r="Q4144">
        <v>0.1884315</v>
      </c>
      <c r="R4144">
        <v>-0.97581300000000004</v>
      </c>
      <c r="S4144">
        <v>0.43948359999999898</v>
      </c>
      <c r="T4144">
        <v>-0.1611744</v>
      </c>
      <c r="U4144">
        <v>-3.0563509999999998</v>
      </c>
      <c r="V4144">
        <v>1.8764320000000001E-2</v>
      </c>
      <c r="W4144">
        <v>0.2031094</v>
      </c>
      <c r="X4144">
        <v>0.97897619999999996</v>
      </c>
      <c r="Y4144">
        <v>-7.0921419999999897E-3</v>
      </c>
      <c r="Z4144">
        <v>3.7203920000000001E-2</v>
      </c>
      <c r="AA4144">
        <v>0.99928249999999996</v>
      </c>
      <c r="AB4144">
        <v>35</v>
      </c>
      <c r="AC4144">
        <v>3.0274999999999701</v>
      </c>
      <c r="AD4144">
        <v>-1.1277947068500001</v>
      </c>
      <c r="AE4144">
        <v>-21.06448</v>
      </c>
      <c r="AF4144">
        <v>-0.15127033063663201</v>
      </c>
      <c r="AG4144">
        <v>-1.1277947068500001</v>
      </c>
      <c r="AH4144">
        <v>21.220792305970601</v>
      </c>
      <c r="AI4144">
        <v>93.042087433851904</v>
      </c>
      <c r="AJ4144">
        <v>90.408420410793696</v>
      </c>
      <c r="AK4144">
        <v>21.2512783075953</v>
      </c>
      <c r="AL4144">
        <v>78.281152110663299</v>
      </c>
      <c r="AM4144">
        <v>88.901929679274701</v>
      </c>
      <c r="AN4144">
        <v>0.99999996411992997</v>
      </c>
    </row>
    <row r="4145" spans="1:40" x14ac:dyDescent="0.25">
      <c r="A4145" t="str">
        <f>"20190303171100690"</f>
        <v>20190303171100690</v>
      </c>
      <c r="B4145" t="str">
        <f>"1551604260685156"</f>
        <v>1551604260685156</v>
      </c>
      <c r="C4145" t="s">
        <v>40</v>
      </c>
      <c r="D4145">
        <v>5.1933280000000002</v>
      </c>
      <c r="E4145">
        <v>0.49968509999999999</v>
      </c>
      <c r="F4145" t="s">
        <v>42</v>
      </c>
      <c r="G4145">
        <v>-420.76929999999999</v>
      </c>
      <c r="H4145" s="1">
        <v>-3.617657E-6</v>
      </c>
      <c r="I4145">
        <v>87.544790000000006</v>
      </c>
      <c r="J4145">
        <v>-423.83519999999999</v>
      </c>
      <c r="K4145">
        <v>1.1271880000000001</v>
      </c>
      <c r="L4145">
        <v>108.4111</v>
      </c>
      <c r="M4145">
        <v>0.14058229999999999</v>
      </c>
      <c r="N4145">
        <v>-1.4553460000000001E-2</v>
      </c>
      <c r="O4145">
        <v>-0.98996200000000001</v>
      </c>
      <c r="P4145">
        <v>0.1140399</v>
      </c>
      <c r="Q4145">
        <v>0.1896012</v>
      </c>
      <c r="R4145">
        <v>-0.97521619999999998</v>
      </c>
      <c r="S4145">
        <v>0.44909670000000002</v>
      </c>
      <c r="T4145">
        <v>-0.16238320000000001</v>
      </c>
      <c r="U4145">
        <v>-3.0546880000000001</v>
      </c>
      <c r="V4145">
        <v>2.1132970000000001E-2</v>
      </c>
      <c r="W4145">
        <v>0.20420740000000001</v>
      </c>
      <c r="X4145">
        <v>0.97869950000000006</v>
      </c>
      <c r="Y4145">
        <v>-4.8021469999999997E-3</v>
      </c>
      <c r="Z4145">
        <v>3.762766E-2</v>
      </c>
      <c r="AA4145">
        <v>0.99928030000000001</v>
      </c>
      <c r="AB4145">
        <v>35</v>
      </c>
      <c r="AC4145">
        <v>3.0658999999999899</v>
      </c>
      <c r="AD4145">
        <v>-1.1271916176569901</v>
      </c>
      <c r="AE4145">
        <v>-20.866309999999999</v>
      </c>
      <c r="AF4145">
        <v>-0.101411738483214</v>
      </c>
      <c r="AG4145">
        <v>-1.1271916176569901</v>
      </c>
      <c r="AH4145">
        <v>21.030027964765701</v>
      </c>
      <c r="AI4145">
        <v>93.068033655201901</v>
      </c>
      <c r="AJ4145">
        <v>90.276291576016007</v>
      </c>
      <c r="AK4145">
        <v>21.060458719658701</v>
      </c>
      <c r="AL4145">
        <v>78.216894916056006</v>
      </c>
      <c r="AM4145">
        <v>88.763009629075398</v>
      </c>
      <c r="AN4145">
        <v>0.99999998796801504</v>
      </c>
    </row>
    <row r="4146" spans="1:40" x14ac:dyDescent="0.25">
      <c r="A4146" t="str">
        <f>"20190303171100712"</f>
        <v>20190303171100712</v>
      </c>
      <c r="B4146" t="str">
        <f>"1551604260704676"</f>
        <v>1551604260704676</v>
      </c>
      <c r="C4146" t="s">
        <v>40</v>
      </c>
      <c r="D4146">
        <v>5.2504249999999999</v>
      </c>
      <c r="E4146">
        <v>0.49995790000000001</v>
      </c>
      <c r="F4146" t="s">
        <v>42</v>
      </c>
      <c r="G4146">
        <v>-420.96839999999997</v>
      </c>
      <c r="H4146" s="1">
        <v>-3.2474590000000002E-6</v>
      </c>
      <c r="I4146">
        <v>86.558359999999993</v>
      </c>
      <c r="J4146">
        <v>-423.78250000000003</v>
      </c>
      <c r="K4146">
        <v>1.1265579999999999</v>
      </c>
      <c r="L4146">
        <v>108.07299999999999</v>
      </c>
      <c r="M4146">
        <v>0.14509710000000001</v>
      </c>
      <c r="N4146">
        <v>-1.4486199999999999E-2</v>
      </c>
      <c r="O4146">
        <v>-0.98931150000000001</v>
      </c>
      <c r="P4146">
        <v>0.1158516</v>
      </c>
      <c r="Q4146">
        <v>0.18935689999999999</v>
      </c>
      <c r="R4146">
        <v>-0.97505019999999998</v>
      </c>
      <c r="S4146">
        <v>0.40142820000000001</v>
      </c>
      <c r="T4146">
        <v>-0.15783800000000001</v>
      </c>
      <c r="U4146">
        <v>-3.0599820000000002</v>
      </c>
      <c r="V4146">
        <v>2.4122680000000001E-2</v>
      </c>
      <c r="W4146">
        <v>0.20389930000000001</v>
      </c>
      <c r="X4146">
        <v>0.97869459999999997</v>
      </c>
      <c r="Y4146">
        <v>1.526304E-2</v>
      </c>
      <c r="Z4146">
        <v>3.6144120000000002E-2</v>
      </c>
      <c r="AA4146">
        <v>0.99922999999999995</v>
      </c>
      <c r="AB4146">
        <v>35</v>
      </c>
      <c r="AC4146">
        <v>2.81410000000005</v>
      </c>
      <c r="AD4146">
        <v>-1.1265612474590001</v>
      </c>
      <c r="AE4146">
        <v>-21.51464</v>
      </c>
      <c r="AF4146">
        <v>0.336817807555717</v>
      </c>
      <c r="AG4146">
        <v>-1.1265612474590001</v>
      </c>
      <c r="AH4146">
        <v>21.636945102642301</v>
      </c>
      <c r="AI4146">
        <v>92.980142229430001</v>
      </c>
      <c r="AJ4146">
        <v>89.108160594867599</v>
      </c>
      <c r="AK4146">
        <v>21.668871217821199</v>
      </c>
      <c r="AL4146">
        <v>78.234926983457498</v>
      </c>
      <c r="AM4146">
        <v>88.588070304137503</v>
      </c>
      <c r="AN4146">
        <v>0.99999997415001496</v>
      </c>
    </row>
    <row r="4147" spans="1:40" x14ac:dyDescent="0.25">
      <c r="A4147" t="str">
        <f>"20190303171100734"</f>
        <v>20190303171100734</v>
      </c>
      <c r="B4147" t="str">
        <f>"1551604260725172"</f>
        <v>1551604260725172</v>
      </c>
      <c r="C4147" t="s">
        <v>40</v>
      </c>
      <c r="D4147">
        <v>5.1907379999999996</v>
      </c>
      <c r="E4147">
        <v>0.5008804</v>
      </c>
      <c r="F4147" t="s">
        <v>42</v>
      </c>
      <c r="G4147">
        <v>-420.8603</v>
      </c>
      <c r="H4147" s="1">
        <v>-2.9797449999999998E-6</v>
      </c>
      <c r="I4147">
        <v>86.001400000000004</v>
      </c>
      <c r="J4147">
        <v>-423.7296</v>
      </c>
      <c r="K4147">
        <v>1.125872</v>
      </c>
      <c r="L4147">
        <v>107.7402</v>
      </c>
      <c r="M4147">
        <v>0.1488158</v>
      </c>
      <c r="N4147">
        <v>-1.442359E-2</v>
      </c>
      <c r="O4147">
        <v>-0.98875990000000002</v>
      </c>
      <c r="P4147">
        <v>0.1188575</v>
      </c>
      <c r="Q4147">
        <v>0.1884932</v>
      </c>
      <c r="R4147">
        <v>-0.97485569999999999</v>
      </c>
      <c r="S4147">
        <v>0.40499879999999999</v>
      </c>
      <c r="T4147">
        <v>-0.15613469999999999</v>
      </c>
      <c r="U4147">
        <v>-3.0589900000000001</v>
      </c>
      <c r="V4147">
        <v>2.5168010000000001E-2</v>
      </c>
      <c r="W4147">
        <v>0.2029436</v>
      </c>
      <c r="X4147">
        <v>0.97886689999999998</v>
      </c>
      <c r="Y4147">
        <v>1.783061E-2</v>
      </c>
      <c r="Z4147">
        <v>3.5636559999999998E-2</v>
      </c>
      <c r="AA4147">
        <v>0.99920569999999997</v>
      </c>
      <c r="AB4147">
        <v>35</v>
      </c>
      <c r="AC4147">
        <v>2.8693</v>
      </c>
      <c r="AD4147">
        <v>-1.1258749797450001</v>
      </c>
      <c r="AE4147">
        <v>-21.738800000000001</v>
      </c>
      <c r="AF4147">
        <v>0.39702277340237502</v>
      </c>
      <c r="AG4147">
        <v>-1.1258749797450001</v>
      </c>
      <c r="AH4147">
        <v>21.8660806358148</v>
      </c>
      <c r="AI4147">
        <v>92.947046902857707</v>
      </c>
      <c r="AJ4147">
        <v>88.959793922058395</v>
      </c>
      <c r="AK4147">
        <v>21.898646166477299</v>
      </c>
      <c r="AL4147">
        <v>78.290853884406303</v>
      </c>
      <c r="AM4147">
        <v>88.527171450351503</v>
      </c>
      <c r="AN4147">
        <v>0.999999970711964</v>
      </c>
    </row>
    <row r="4148" spans="1:40" x14ac:dyDescent="0.25">
      <c r="A4148" t="str">
        <f>"20190303171100756"</f>
        <v>20190303171100756</v>
      </c>
      <c r="B4148" t="str">
        <f>"1551604260744693"</f>
        <v>1551604260744693</v>
      </c>
      <c r="C4148" t="s">
        <v>40</v>
      </c>
      <c r="D4148">
        <v>5.2510620000000001</v>
      </c>
      <c r="E4148">
        <v>0.50183310000000003</v>
      </c>
      <c r="F4148" t="s">
        <v>42</v>
      </c>
      <c r="G4148">
        <v>-420.84930000000003</v>
      </c>
      <c r="H4148" s="1">
        <v>-2.9759210000000001E-6</v>
      </c>
      <c r="I4148">
        <v>85.999279999999999</v>
      </c>
      <c r="J4148">
        <v>-423.67669999999998</v>
      </c>
      <c r="K4148">
        <v>1.125157</v>
      </c>
      <c r="L4148">
        <v>107.41030000000001</v>
      </c>
      <c r="M4148">
        <v>0.15175910000000001</v>
      </c>
      <c r="N4148">
        <v>-1.436606E-2</v>
      </c>
      <c r="O4148">
        <v>-0.98831310000000006</v>
      </c>
      <c r="P4148">
        <v>0.120652</v>
      </c>
      <c r="Q4148">
        <v>0.18669949999999999</v>
      </c>
      <c r="R4148">
        <v>-0.97498039999999997</v>
      </c>
      <c r="S4148">
        <v>0.40521239999999997</v>
      </c>
      <c r="T4148">
        <v>-0.1583928</v>
      </c>
      <c r="U4148">
        <v>-3.0586090000000001</v>
      </c>
      <c r="V4148">
        <v>2.6713279999999999E-2</v>
      </c>
      <c r="W4148">
        <v>0.20106489999999999</v>
      </c>
      <c r="X4148">
        <v>0.97921360000000002</v>
      </c>
      <c r="Y4148">
        <v>2.0724840000000001E-2</v>
      </c>
      <c r="Z4148">
        <v>3.6386910000000001E-2</v>
      </c>
      <c r="AA4148">
        <v>0.99912290000000004</v>
      </c>
      <c r="AB4148">
        <v>35</v>
      </c>
      <c r="AC4148">
        <v>2.8273999999999502</v>
      </c>
      <c r="AD4148">
        <v>-1.125159975921</v>
      </c>
      <c r="AE4148">
        <v>-21.411020000000001</v>
      </c>
      <c r="AF4148">
        <v>0.45377597367571798</v>
      </c>
      <c r="AG4148">
        <v>-1.125159975921</v>
      </c>
      <c r="AH4148">
        <v>21.533656376636699</v>
      </c>
      <c r="AI4148">
        <v>92.990392046400302</v>
      </c>
      <c r="AJ4148">
        <v>88.792792073167405</v>
      </c>
      <c r="AK4148">
        <v>21.567805974478901</v>
      </c>
      <c r="AL4148">
        <v>78.400761421867998</v>
      </c>
      <c r="AM4148">
        <v>88.437339226821194</v>
      </c>
      <c r="AN4148">
        <v>0.99999998388266398</v>
      </c>
    </row>
    <row r="4149" spans="1:40" x14ac:dyDescent="0.25">
      <c r="A4149" t="str">
        <f>"20190303171100779"</f>
        <v>20190303171100779</v>
      </c>
      <c r="B4149" t="str">
        <f>"1551604260774948"</f>
        <v>1551604260774948</v>
      </c>
      <c r="C4149" t="s">
        <v>40</v>
      </c>
      <c r="D4149">
        <v>5.2768560000000004</v>
      </c>
      <c r="E4149">
        <v>0.50267989999999996</v>
      </c>
      <c r="F4149" t="s">
        <v>42</v>
      </c>
      <c r="G4149">
        <v>-420.96100000000001</v>
      </c>
      <c r="H4149" s="1">
        <v>-3.3185620000000001E-6</v>
      </c>
      <c r="I4149">
        <v>86.728740000000002</v>
      </c>
      <c r="J4149">
        <v>-423.61959999999999</v>
      </c>
      <c r="K4149">
        <v>1.124368</v>
      </c>
      <c r="L4149">
        <v>107.05629999999999</v>
      </c>
      <c r="M4149">
        <v>0.15399019999999999</v>
      </c>
      <c r="N4149">
        <v>-1.4310420000000001E-2</v>
      </c>
      <c r="O4149">
        <v>-0.98796870000000003</v>
      </c>
      <c r="P4149">
        <v>0.1211883</v>
      </c>
      <c r="Q4149">
        <v>0.18562219999999999</v>
      </c>
      <c r="R4149">
        <v>-0.97511919999999996</v>
      </c>
      <c r="S4149">
        <v>0.40170289999999997</v>
      </c>
      <c r="T4149">
        <v>-0.16643039999999901</v>
      </c>
      <c r="U4149">
        <v>-3.059158</v>
      </c>
      <c r="V4149">
        <v>2.8822629999999998E-2</v>
      </c>
      <c r="W4149">
        <v>0.1998965</v>
      </c>
      <c r="X4149">
        <v>0.97939299999999996</v>
      </c>
      <c r="Y4149">
        <v>2.4142779999999999E-2</v>
      </c>
      <c r="Z4149">
        <v>3.8969240000000002E-2</v>
      </c>
      <c r="AA4149">
        <v>0.99894870000000002</v>
      </c>
      <c r="AB4149">
        <v>35</v>
      </c>
      <c r="AC4149">
        <v>2.6585999999999701</v>
      </c>
      <c r="AD4149">
        <v>-1.1243713185619999</v>
      </c>
      <c r="AE4149">
        <v>-20.327559999999899</v>
      </c>
      <c r="AF4149">
        <v>0.50217248765684996</v>
      </c>
      <c r="AG4149">
        <v>-1.1243713185619999</v>
      </c>
      <c r="AH4149">
        <v>20.4330275136338</v>
      </c>
      <c r="AI4149">
        <v>93.148698265217803</v>
      </c>
      <c r="AJ4149">
        <v>88.592153153635806</v>
      </c>
      <c r="AK4149">
        <v>20.470100181539902</v>
      </c>
      <c r="AL4149">
        <v>78.469093316841196</v>
      </c>
      <c r="AM4149">
        <v>88.314324736044298</v>
      </c>
      <c r="AN4149">
        <v>1.00000000158068</v>
      </c>
    </row>
    <row r="4150" spans="1:40" x14ac:dyDescent="0.25">
      <c r="A4150" t="str">
        <f>"20190303171100803"</f>
        <v>20190303171100803</v>
      </c>
      <c r="B4150" t="str">
        <f>"1551604260795444"</f>
        <v>1551604260795444</v>
      </c>
      <c r="C4150" t="s">
        <v>40</v>
      </c>
      <c r="D4150">
        <v>5.2489210000000002</v>
      </c>
      <c r="E4150">
        <v>0.50306099999999998</v>
      </c>
      <c r="F4150" t="s">
        <v>42</v>
      </c>
      <c r="G4150">
        <v>-421.03070000000002</v>
      </c>
      <c r="H4150" s="1">
        <v>-3.464974E-6</v>
      </c>
      <c r="I4150">
        <v>87.026799999999994</v>
      </c>
      <c r="J4150">
        <v>-423.5634</v>
      </c>
      <c r="K4150">
        <v>1.123618</v>
      </c>
      <c r="L4150">
        <v>106.70820000000001</v>
      </c>
      <c r="M4150">
        <v>0.15535679999999999</v>
      </c>
      <c r="N4150">
        <v>-1.4262439999999999E-2</v>
      </c>
      <c r="O4150">
        <v>-0.98775570000000001</v>
      </c>
      <c r="P4150">
        <v>0.1213901</v>
      </c>
      <c r="Q4150">
        <v>0.18499789999999999</v>
      </c>
      <c r="R4150">
        <v>-0.9752132</v>
      </c>
      <c r="S4150">
        <v>0.39553830000000001</v>
      </c>
      <c r="T4150">
        <v>-0.17178170000000001</v>
      </c>
      <c r="U4150">
        <v>-3.0601039999999999</v>
      </c>
      <c r="V4150">
        <v>3.0374979999999999E-2</v>
      </c>
      <c r="W4150">
        <v>0.19917979999999999</v>
      </c>
      <c r="X4150">
        <v>0.97949209999999998</v>
      </c>
      <c r="Y4150">
        <v>2.7551059999999999E-2</v>
      </c>
      <c r="Z4150">
        <v>4.0689740000000002E-2</v>
      </c>
      <c r="AA4150">
        <v>0.99879189999999995</v>
      </c>
      <c r="AB4150">
        <v>34</v>
      </c>
      <c r="AC4150">
        <v>2.53269999999997</v>
      </c>
      <c r="AD4150">
        <v>-1.123621464974</v>
      </c>
      <c r="AE4150">
        <v>-19.6814</v>
      </c>
      <c r="AF4150">
        <v>0.554229893096437</v>
      </c>
      <c r="AG4150">
        <v>-1.123621464974</v>
      </c>
      <c r="AH4150">
        <v>19.772504804060301</v>
      </c>
      <c r="AI4150">
        <v>93.251201938607096</v>
      </c>
      <c r="AJ4150">
        <v>88.394400641259296</v>
      </c>
      <c r="AK4150">
        <v>19.812158948421999</v>
      </c>
      <c r="AL4150">
        <v>78.510999959890498</v>
      </c>
      <c r="AM4150">
        <v>88.223772718680607</v>
      </c>
      <c r="AN4150">
        <v>1.0000000030502201</v>
      </c>
    </row>
    <row r="4151" spans="1:40" x14ac:dyDescent="0.25">
      <c r="A4151" t="str">
        <f>"20190303171100826"</f>
        <v>20190303171100826</v>
      </c>
      <c r="B4151" t="str">
        <f>"1551604260814964"</f>
        <v>1551604260814964</v>
      </c>
      <c r="C4151" t="s">
        <v>40</v>
      </c>
      <c r="D4151">
        <v>5.3672459999999997</v>
      </c>
      <c r="E4151">
        <v>0.50970590000000005</v>
      </c>
      <c r="F4151" t="s">
        <v>42</v>
      </c>
      <c r="G4151">
        <v>-421.01850000000002</v>
      </c>
      <c r="H4151" s="1">
        <v>-3.3955860000000002E-6</v>
      </c>
      <c r="I4151">
        <v>86.872609999999995</v>
      </c>
      <c r="J4151">
        <v>-423.50630000000001</v>
      </c>
      <c r="K4151">
        <v>1.1229100000000001</v>
      </c>
      <c r="L4151">
        <v>106.35209999999999</v>
      </c>
      <c r="M4151">
        <v>0.15602579999999999</v>
      </c>
      <c r="N4151">
        <v>-1.421827E-2</v>
      </c>
      <c r="O4151">
        <v>-0.98765069999999999</v>
      </c>
      <c r="P4151">
        <v>0.1226917</v>
      </c>
      <c r="Q4151">
        <v>0.1846023</v>
      </c>
      <c r="R4151">
        <v>-0.97512489999999996</v>
      </c>
      <c r="S4151">
        <v>0.39263920000000002</v>
      </c>
      <c r="T4151">
        <v>-0.17335500000000001</v>
      </c>
      <c r="U4151">
        <v>-3.0602870000000002</v>
      </c>
      <c r="V4151">
        <v>3.0091719999999999E-2</v>
      </c>
      <c r="W4151">
        <v>0.1986858</v>
      </c>
      <c r="X4151">
        <v>0.9796011</v>
      </c>
      <c r="Y4151">
        <v>2.9168340000000001E-2</v>
      </c>
      <c r="Z4151">
        <v>4.1223500000000003E-2</v>
      </c>
      <c r="AA4151">
        <v>0.9987241</v>
      </c>
      <c r="AB4151">
        <v>34</v>
      </c>
      <c r="AC4151">
        <v>2.4877999999999898</v>
      </c>
      <c r="AD4151">
        <v>-1.122913395586</v>
      </c>
      <c r="AE4151">
        <v>-19.479489999999998</v>
      </c>
      <c r="AF4151">
        <v>0.58038672288252102</v>
      </c>
      <c r="AG4151">
        <v>-1.122913395586</v>
      </c>
      <c r="AH4151">
        <v>19.565103546258602</v>
      </c>
      <c r="AI4151">
        <v>93.283371174590101</v>
      </c>
      <c r="AJ4151">
        <v>88.300854343876793</v>
      </c>
      <c r="AK4151">
        <v>19.605893502156601</v>
      </c>
      <c r="AL4151">
        <v>78.539880555138495</v>
      </c>
      <c r="AM4151">
        <v>88.240522029044797</v>
      </c>
      <c r="AN4151">
        <v>0.99999993692770195</v>
      </c>
    </row>
    <row r="4152" spans="1:40" x14ac:dyDescent="0.25">
      <c r="A4152" t="str">
        <f>"20190303171100847"</f>
        <v>20190303171100847</v>
      </c>
      <c r="B4152" t="str">
        <f>"1551604260835460"</f>
        <v>1551604260835460</v>
      </c>
      <c r="C4152" t="s">
        <v>40</v>
      </c>
      <c r="D4152">
        <v>5.0690210000000002</v>
      </c>
      <c r="E4152">
        <v>0.51269100000000001</v>
      </c>
      <c r="F4152" t="s">
        <v>42</v>
      </c>
      <c r="G4152">
        <v>-421.22840000000002</v>
      </c>
      <c r="H4152" s="1">
        <v>-3.0083789999999999E-6</v>
      </c>
      <c r="I4152">
        <v>85.839839999999995</v>
      </c>
      <c r="J4152">
        <v>-423.45589999999999</v>
      </c>
      <c r="K4152">
        <v>1.1223019999999999</v>
      </c>
      <c r="L4152">
        <v>106.03570000000001</v>
      </c>
      <c r="M4152">
        <v>0.1559681</v>
      </c>
      <c r="N4152">
        <v>-1.418144E-2</v>
      </c>
      <c r="O4152">
        <v>-0.98766030000000005</v>
      </c>
      <c r="P4152">
        <v>0.12277689999999999</v>
      </c>
      <c r="Q4152">
        <v>0.18449380000000001</v>
      </c>
      <c r="R4152">
        <v>-0.97513510000000003</v>
      </c>
      <c r="S4152">
        <v>0.34042359999999999</v>
      </c>
      <c r="T4152">
        <v>-0.16781389999999999</v>
      </c>
      <c r="U4152">
        <v>-3.0654599999999999</v>
      </c>
      <c r="V4152">
        <v>3.0250079999999999E-2</v>
      </c>
      <c r="W4152">
        <v>0.19849559999999999</v>
      </c>
      <c r="X4152">
        <v>0.97963480000000003</v>
      </c>
      <c r="Y4152">
        <v>4.607323E-2</v>
      </c>
      <c r="Z4152">
        <v>3.9425380000000003E-2</v>
      </c>
      <c r="AA4152">
        <v>0.99815980000000004</v>
      </c>
      <c r="AB4152">
        <v>34</v>
      </c>
      <c r="AC4152">
        <v>2.2274999999999601</v>
      </c>
      <c r="AD4152">
        <v>-1.122305008379</v>
      </c>
      <c r="AE4152">
        <v>-20.19586</v>
      </c>
      <c r="AF4152">
        <v>0.94710247896191002</v>
      </c>
      <c r="AG4152">
        <v>-1.122305008379</v>
      </c>
      <c r="AH4152">
        <v>20.234373215510601</v>
      </c>
      <c r="AI4152">
        <v>93.171208290947803</v>
      </c>
      <c r="AJ4152">
        <v>87.320134541613996</v>
      </c>
      <c r="AK4152">
        <v>20.287593032739501</v>
      </c>
      <c r="AL4152">
        <v>78.550999899023395</v>
      </c>
      <c r="AM4152">
        <v>88.231329313203105</v>
      </c>
      <c r="AN4152">
        <v>0.99999995596520197</v>
      </c>
    </row>
    <row r="4153" spans="1:40" x14ac:dyDescent="0.25">
      <c r="A4153" t="str">
        <f>"20190303171100868"</f>
        <v>20190303171100868</v>
      </c>
      <c r="B4153" t="str">
        <f>"1551604260854980"</f>
        <v>1551604260854980</v>
      </c>
      <c r="C4153" t="s">
        <v>40</v>
      </c>
      <c r="D4153">
        <v>5.1386919999999998</v>
      </c>
      <c r="E4153">
        <v>0.51305259999999997</v>
      </c>
      <c r="F4153" t="s">
        <v>42</v>
      </c>
      <c r="G4153">
        <v>-421.54820000000001</v>
      </c>
      <c r="H4153" s="1">
        <v>-3.8378720000000002E-6</v>
      </c>
      <c r="I4153">
        <v>87.575069999999997</v>
      </c>
      <c r="J4153">
        <v>-423.40410000000003</v>
      </c>
      <c r="K4153">
        <v>1.1216520000000001</v>
      </c>
      <c r="L4153">
        <v>105.7067</v>
      </c>
      <c r="M4153">
        <v>0.15521070000000001</v>
      </c>
      <c r="N4153">
        <v>-1.414838E-2</v>
      </c>
      <c r="O4153">
        <v>-0.98777999999999999</v>
      </c>
      <c r="P4153">
        <v>0.12080929999999999</v>
      </c>
      <c r="Q4153">
        <v>0.18448439999999999</v>
      </c>
      <c r="R4153">
        <v>-0.97538239999999998</v>
      </c>
      <c r="S4153">
        <v>0.3174438</v>
      </c>
      <c r="T4153">
        <v>-0.18675320000000001</v>
      </c>
      <c r="U4153">
        <v>-3.071869</v>
      </c>
      <c r="V4153">
        <v>3.17985E-2</v>
      </c>
      <c r="W4153">
        <v>0.19840630000000001</v>
      </c>
      <c r="X4153">
        <v>0.97960389999999997</v>
      </c>
      <c r="Y4153">
        <v>5.2937360000000003E-2</v>
      </c>
      <c r="Z4153">
        <v>4.536784E-2</v>
      </c>
      <c r="AA4153">
        <v>0.99756679999999998</v>
      </c>
      <c r="AB4153">
        <v>34</v>
      </c>
      <c r="AC4153">
        <v>1.8559000000000201</v>
      </c>
      <c r="AD4153">
        <v>-1.1216558378720001</v>
      </c>
      <c r="AE4153">
        <v>-18.131629999999902</v>
      </c>
      <c r="AF4153">
        <v>0.97739873750085704</v>
      </c>
      <c r="AG4153">
        <v>-1.1216558378720001</v>
      </c>
      <c r="AH4153">
        <v>18.131273030046302</v>
      </c>
      <c r="AI4153">
        <v>93.534861072204606</v>
      </c>
      <c r="AJ4153">
        <v>86.914355004045802</v>
      </c>
      <c r="AK4153">
        <v>18.192209371068301</v>
      </c>
      <c r="AL4153">
        <v>78.556220782600207</v>
      </c>
      <c r="AM4153">
        <v>88.140799217844503</v>
      </c>
      <c r="AN4153">
        <v>1.00000000268857</v>
      </c>
    </row>
    <row r="4154" spans="1:40" x14ac:dyDescent="0.25">
      <c r="A4154" t="str">
        <f>"20190303171100892"</f>
        <v>20190303171100892</v>
      </c>
      <c r="B4154" t="str">
        <f>"1551604260885236"</f>
        <v>1551604260885236</v>
      </c>
      <c r="C4154" t="s">
        <v>40</v>
      </c>
      <c r="D4154">
        <v>5.068136</v>
      </c>
      <c r="E4154">
        <v>0.51386889999999996</v>
      </c>
      <c r="F4154" t="s">
        <v>42</v>
      </c>
      <c r="G4154">
        <v>-421.55540000000002</v>
      </c>
      <c r="H4154" s="1">
        <v>-3.7180199999999999E-6</v>
      </c>
      <c r="I4154">
        <v>87.291179999999997</v>
      </c>
      <c r="J4154">
        <v>-423.3503</v>
      </c>
      <c r="K4154">
        <v>1.12093</v>
      </c>
      <c r="L4154">
        <v>105.3592</v>
      </c>
      <c r="M4154">
        <v>0.1536642</v>
      </c>
      <c r="N4154">
        <v>-1.412297E-2</v>
      </c>
      <c r="O4154">
        <v>-0.98802219999999996</v>
      </c>
      <c r="P4154">
        <v>0.1189495</v>
      </c>
      <c r="Q4154">
        <v>0.18342539999999999</v>
      </c>
      <c r="R4154">
        <v>-0.97581079999999998</v>
      </c>
      <c r="S4154">
        <v>0.30847170000000002</v>
      </c>
      <c r="T4154">
        <v>-0.18716550000000001</v>
      </c>
      <c r="U4154">
        <v>-3.0729060000000001</v>
      </c>
      <c r="V4154">
        <v>3.2518279999999997E-2</v>
      </c>
      <c r="W4154">
        <v>0.19726769999999999</v>
      </c>
      <c r="X4154">
        <v>0.97981019999999996</v>
      </c>
      <c r="Y4154">
        <v>5.4291150000000003E-2</v>
      </c>
      <c r="Z4154">
        <v>4.5527869999999998E-2</v>
      </c>
      <c r="AA4154">
        <v>0.99748669999999995</v>
      </c>
      <c r="AB4154">
        <v>34</v>
      </c>
      <c r="AC4154">
        <v>1.79489999999998</v>
      </c>
      <c r="AD4154">
        <v>-1.1209337180200001</v>
      </c>
      <c r="AE4154">
        <v>-18.068019999999901</v>
      </c>
      <c r="AF4154">
        <v>0.99929819852771695</v>
      </c>
      <c r="AG4154">
        <v>-1.1209337180200001</v>
      </c>
      <c r="AH4154">
        <v>18.060391053649798</v>
      </c>
      <c r="AI4154">
        <v>93.546145890940494</v>
      </c>
      <c r="AJ4154">
        <v>86.833000645093406</v>
      </c>
      <c r="AK4154">
        <v>18.1227154229306</v>
      </c>
      <c r="AL4154">
        <v>78.622773211939503</v>
      </c>
      <c r="AM4154">
        <v>88.099145545375194</v>
      </c>
      <c r="AN4154">
        <v>1.0000000060107399</v>
      </c>
    </row>
    <row r="4155" spans="1:40" x14ac:dyDescent="0.25">
      <c r="A4155" t="str">
        <f>"20190303171100914"</f>
        <v>20190303171100914</v>
      </c>
      <c r="B4155" t="str">
        <f>"1551604260904756"</f>
        <v>1551604260904756</v>
      </c>
      <c r="C4155" t="s">
        <v>40</v>
      </c>
      <c r="D4155">
        <v>5.1101609999999997</v>
      </c>
      <c r="E4155">
        <v>0.51468879999999995</v>
      </c>
      <c r="F4155" t="s">
        <v>42</v>
      </c>
      <c r="G4155">
        <v>-421.62799999999999</v>
      </c>
      <c r="H4155" s="1">
        <v>-3.760704E-6</v>
      </c>
      <c r="I4155">
        <v>87.345699999999994</v>
      </c>
      <c r="J4155">
        <v>-423.2962</v>
      </c>
      <c r="K4155">
        <v>1.1201700000000001</v>
      </c>
      <c r="L4155">
        <v>105.0003</v>
      </c>
      <c r="M4155">
        <v>0.1513225</v>
      </c>
      <c r="N4155">
        <v>-1.410645E-2</v>
      </c>
      <c r="O4155">
        <v>-0.98838409999999999</v>
      </c>
      <c r="P4155">
        <v>0.1178145</v>
      </c>
      <c r="Q4155">
        <v>0.18224679999999999</v>
      </c>
      <c r="R4155">
        <v>-0.97616899999999995</v>
      </c>
      <c r="S4155">
        <v>0.29397579999999901</v>
      </c>
      <c r="T4155">
        <v>-0.19131980000000001</v>
      </c>
      <c r="U4155">
        <v>-3.0745239999999998</v>
      </c>
      <c r="V4155">
        <v>3.1732530000000002E-2</v>
      </c>
      <c r="W4155">
        <v>0.196018</v>
      </c>
      <c r="X4155">
        <v>0.98008669999999998</v>
      </c>
      <c r="Y4155">
        <v>5.6639269999999999E-2</v>
      </c>
      <c r="Z4155">
        <v>4.6866159999999997E-2</v>
      </c>
      <c r="AA4155">
        <v>0.99729409999999996</v>
      </c>
      <c r="AB4155">
        <v>34</v>
      </c>
      <c r="AC4155">
        <v>1.6681999999999499</v>
      </c>
      <c r="AD4155">
        <v>-1.1201737607040001</v>
      </c>
      <c r="AE4155">
        <v>-17.654599999999999</v>
      </c>
      <c r="AF4155">
        <v>1.0187522820666901</v>
      </c>
      <c r="AG4155">
        <v>-1.1201737607040001</v>
      </c>
      <c r="AH4155">
        <v>17.633357557236</v>
      </c>
      <c r="AI4155">
        <v>93.628842908486902</v>
      </c>
      <c r="AJ4155">
        <v>86.693460562975105</v>
      </c>
      <c r="AK4155">
        <v>17.698246924701898</v>
      </c>
      <c r="AL4155">
        <v>78.695801259495099</v>
      </c>
      <c r="AM4155">
        <v>88.145566988709405</v>
      </c>
      <c r="AN4155">
        <v>0.99999997465054502</v>
      </c>
    </row>
    <row r="4156" spans="1:40" x14ac:dyDescent="0.25">
      <c r="A4156" t="str">
        <f>"20190303171100935"</f>
        <v>20190303171100935</v>
      </c>
      <c r="B4156" t="str">
        <f>"1551604260925251"</f>
        <v>1551604260925251</v>
      </c>
      <c r="C4156" t="s">
        <v>40</v>
      </c>
      <c r="D4156">
        <v>5.3544809999999998</v>
      </c>
      <c r="E4156">
        <v>0.51528560000000001</v>
      </c>
      <c r="F4156" t="s">
        <v>42</v>
      </c>
      <c r="G4156">
        <v>-421.7106</v>
      </c>
      <c r="H4156" s="1">
        <v>-3.910337E-6</v>
      </c>
      <c r="I4156">
        <v>87.643230000000003</v>
      </c>
      <c r="J4156">
        <v>-423.25139999999999</v>
      </c>
      <c r="K4156">
        <v>1.119545</v>
      </c>
      <c r="L4156">
        <v>104.6935</v>
      </c>
      <c r="M4156">
        <v>0.1487224</v>
      </c>
      <c r="N4156">
        <v>-1.4097989999999999E-2</v>
      </c>
      <c r="O4156">
        <v>-0.98877859999999995</v>
      </c>
      <c r="P4156">
        <v>0.1152686</v>
      </c>
      <c r="Q4156">
        <v>0.18271689999999999</v>
      </c>
      <c r="R4156">
        <v>-0.97638499999999995</v>
      </c>
      <c r="S4156">
        <v>0.28103640000000002</v>
      </c>
      <c r="T4156">
        <v>-0.19854069999999999</v>
      </c>
      <c r="U4156">
        <v>-3.0763850000000001</v>
      </c>
      <c r="V4156">
        <v>3.1998459999999999E-2</v>
      </c>
      <c r="W4156">
        <v>0.19642989999999999</v>
      </c>
      <c r="X4156">
        <v>0.97999559999999997</v>
      </c>
      <c r="Y4156">
        <v>5.8237150000000001E-2</v>
      </c>
      <c r="Z4156">
        <v>4.9166729999999999E-2</v>
      </c>
      <c r="AA4156">
        <v>0.99709130000000001</v>
      </c>
      <c r="AB4156">
        <v>34</v>
      </c>
      <c r="AC4156">
        <v>1.54079999999999</v>
      </c>
      <c r="AD4156">
        <v>-1.119548910337</v>
      </c>
      <c r="AE4156">
        <v>-17.050269999999902</v>
      </c>
      <c r="AF4156">
        <v>1.0080366051393601</v>
      </c>
      <c r="AG4156">
        <v>-1.119548910337</v>
      </c>
      <c r="AH4156">
        <v>17.0170162971949</v>
      </c>
      <c r="AI4156">
        <v>93.757495037055605</v>
      </c>
      <c r="AJ4156">
        <v>86.609932786556499</v>
      </c>
      <c r="AK4156">
        <v>17.083570212895602</v>
      </c>
      <c r="AL4156">
        <v>78.671733416799995</v>
      </c>
      <c r="AM4156">
        <v>88.129863454015506</v>
      </c>
      <c r="AN4156">
        <v>0.99999999153787</v>
      </c>
    </row>
    <row r="4157" spans="1:40" x14ac:dyDescent="0.25">
      <c r="A4157" t="str">
        <f>"20190303171100958"</f>
        <v>20190303171100958</v>
      </c>
      <c r="B4157" t="str">
        <f>"1551604260944772"</f>
        <v>1551604260944772</v>
      </c>
      <c r="C4157" t="s">
        <v>40</v>
      </c>
      <c r="D4157">
        <v>5.1660709999999996</v>
      </c>
      <c r="E4157">
        <v>0.51561440000000003</v>
      </c>
      <c r="F4157" t="s">
        <v>42</v>
      </c>
      <c r="G4157">
        <v>-421.73610000000002</v>
      </c>
      <c r="H4157" s="1">
        <v>-3.7454449999999999E-6</v>
      </c>
      <c r="I4157">
        <v>87.243069999999904</v>
      </c>
      <c r="J4157">
        <v>-423.20319999999998</v>
      </c>
      <c r="K4157">
        <v>1.118922</v>
      </c>
      <c r="L4157">
        <v>104.3526</v>
      </c>
      <c r="M4157">
        <v>0.1452765</v>
      </c>
      <c r="N4157">
        <v>-1.4091050000000001E-2</v>
      </c>
      <c r="O4157">
        <v>-0.98929080000000003</v>
      </c>
      <c r="P4157">
        <v>0.1100846</v>
      </c>
      <c r="Q4157">
        <v>0.18364259999999999</v>
      </c>
      <c r="R4157">
        <v>-0.9768097</v>
      </c>
      <c r="S4157">
        <v>0.26727289999999998</v>
      </c>
      <c r="T4157">
        <v>-0.19746820000000001</v>
      </c>
      <c r="U4157">
        <v>-3.0779420000000002</v>
      </c>
      <c r="V4157">
        <v>3.4069839999999997E-2</v>
      </c>
      <c r="W4157">
        <v>0.19728689999999999</v>
      </c>
      <c r="X4157">
        <v>0.9797536</v>
      </c>
      <c r="Y4157">
        <v>5.9226359999999999E-2</v>
      </c>
      <c r="Z4157">
        <v>4.885457E-2</v>
      </c>
      <c r="AA4157">
        <v>0.99704839999999995</v>
      </c>
      <c r="AB4157">
        <v>34</v>
      </c>
      <c r="AC4157">
        <v>1.4670999999999501</v>
      </c>
      <c r="AD4157">
        <v>-1.1189257454449999</v>
      </c>
      <c r="AE4157">
        <v>-17.109529999999999</v>
      </c>
      <c r="AF4157">
        <v>1.0299539089265499</v>
      </c>
      <c r="AG4157">
        <v>-1.1189257454449999</v>
      </c>
      <c r="AH4157">
        <v>17.068668997702702</v>
      </c>
      <c r="AI4157">
        <v>93.743831658539193</v>
      </c>
      <c r="AJ4157">
        <v>86.546857598087698</v>
      </c>
      <c r="AK4157">
        <v>17.136284930855599</v>
      </c>
      <c r="AL4157">
        <v>78.621650962942596</v>
      </c>
      <c r="AM4157">
        <v>88.008405596599303</v>
      </c>
      <c r="AN4157">
        <v>0.999999995811097</v>
      </c>
    </row>
    <row r="4158" spans="1:40" x14ac:dyDescent="0.25">
      <c r="A4158" t="str">
        <f>"20190303171100982"</f>
        <v>20190303171100982</v>
      </c>
      <c r="B4158" t="str">
        <f>"1551604260975028"</f>
        <v>1551604260975028</v>
      </c>
      <c r="C4158" t="s">
        <v>40</v>
      </c>
      <c r="D4158">
        <v>5.1322850000000004</v>
      </c>
      <c r="E4158">
        <v>0.51612230000000003</v>
      </c>
      <c r="F4158" t="s">
        <v>42</v>
      </c>
      <c r="G4158">
        <v>-421.76339999999999</v>
      </c>
      <c r="H4158" s="1">
        <v>-3.4816249999999999E-6</v>
      </c>
      <c r="I4158">
        <v>86.611130000000003</v>
      </c>
      <c r="J4158">
        <v>-423.15230000000003</v>
      </c>
      <c r="K4158">
        <v>1.118349</v>
      </c>
      <c r="L4158">
        <v>103.9785</v>
      </c>
      <c r="M4158">
        <v>0.14092260000000001</v>
      </c>
      <c r="N4158">
        <v>-1.408444E-2</v>
      </c>
      <c r="O4158">
        <v>-0.98992049999999998</v>
      </c>
      <c r="P4158">
        <v>0.1040112</v>
      </c>
      <c r="Q4158">
        <v>0.1828005</v>
      </c>
      <c r="R4158">
        <v>-0.97763270000000002</v>
      </c>
      <c r="S4158">
        <v>0.2499084</v>
      </c>
      <c r="T4158">
        <v>-0.1942247</v>
      </c>
      <c r="U4158">
        <v>-3.07959</v>
      </c>
      <c r="V4158">
        <v>3.6142319999999999E-2</v>
      </c>
      <c r="W4158">
        <v>0.19638040000000001</v>
      </c>
      <c r="X4158">
        <v>0.97986139999999999</v>
      </c>
      <c r="Y4158">
        <v>6.0458709999999999E-2</v>
      </c>
      <c r="Z4158">
        <v>4.7862370000000001E-2</v>
      </c>
      <c r="AA4158">
        <v>0.99702250000000003</v>
      </c>
      <c r="AB4158">
        <v>34</v>
      </c>
      <c r="AC4158">
        <v>1.38890000000003</v>
      </c>
      <c r="AD4158">
        <v>-1.1183524816249999</v>
      </c>
      <c r="AE4158">
        <v>-17.367369999999902</v>
      </c>
      <c r="AF4158">
        <v>1.06825920710708</v>
      </c>
      <c r="AG4158">
        <v>-1.1183524816249999</v>
      </c>
      <c r="AH4158">
        <v>17.318410919868199</v>
      </c>
      <c r="AI4158">
        <v>93.687808366575894</v>
      </c>
      <c r="AJ4158">
        <v>86.470271228806496</v>
      </c>
      <c r="AK4158">
        <v>17.387330065197901</v>
      </c>
      <c r="AL4158">
        <v>78.674625372704696</v>
      </c>
      <c r="AM4158">
        <v>87.887595076518295</v>
      </c>
      <c r="AN4158">
        <v>0.999999946004549</v>
      </c>
    </row>
    <row r="4159" spans="1:40" x14ac:dyDescent="0.25">
      <c r="A4159" t="str">
        <f>"20190303171101004"</f>
        <v>20190303171101004</v>
      </c>
      <c r="B4159" t="str">
        <f>"1551604260994549"</f>
        <v>1551604260994549</v>
      </c>
      <c r="C4159" t="s">
        <v>40</v>
      </c>
      <c r="D4159">
        <v>5.1571499999999997</v>
      </c>
      <c r="E4159">
        <v>0.51641769999999998</v>
      </c>
      <c r="F4159" t="s">
        <v>42</v>
      </c>
      <c r="G4159">
        <v>-421.87720000000002</v>
      </c>
      <c r="H4159" s="1">
        <v>-3.521583E-6</v>
      </c>
      <c r="I4159">
        <v>86.633719999999997</v>
      </c>
      <c r="J4159">
        <v>-423.10879999999997</v>
      </c>
      <c r="K4159">
        <v>1.1179460000000001</v>
      </c>
      <c r="L4159">
        <v>103.6452</v>
      </c>
      <c r="M4159">
        <v>0.136712</v>
      </c>
      <c r="N4159">
        <v>-1.407655E-2</v>
      </c>
      <c r="O4159">
        <v>-0.99051089999999997</v>
      </c>
      <c r="P4159">
        <v>9.9516850000000004E-2</v>
      </c>
      <c r="Q4159">
        <v>0.1803884</v>
      </c>
      <c r="R4159">
        <v>-0.97854830000000004</v>
      </c>
      <c r="S4159">
        <v>0.2265625</v>
      </c>
      <c r="T4159">
        <v>-0.19870099999999999</v>
      </c>
      <c r="U4159">
        <v>-3.081696</v>
      </c>
      <c r="V4159">
        <v>3.6712269999999998E-2</v>
      </c>
      <c r="W4159">
        <v>0.19392889999999999</v>
      </c>
      <c r="X4159">
        <v>0.98032839999999999</v>
      </c>
      <c r="Y4159">
        <v>6.3779760000000005E-2</v>
      </c>
      <c r="Z4159">
        <v>4.9306490000000001E-2</v>
      </c>
      <c r="AA4159">
        <v>0.9967452</v>
      </c>
      <c r="AB4159">
        <v>34</v>
      </c>
      <c r="AC4159">
        <v>1.2315999999999501</v>
      </c>
      <c r="AD4159">
        <v>-1.117949521583</v>
      </c>
      <c r="AE4159">
        <v>-17.011479999999999</v>
      </c>
      <c r="AF4159">
        <v>1.1011389373610101</v>
      </c>
      <c r="AG4159">
        <v>-1.117949521583</v>
      </c>
      <c r="AH4159">
        <v>16.947305917328698</v>
      </c>
      <c r="AI4159">
        <v>93.766198788784493</v>
      </c>
      <c r="AJ4159">
        <v>86.282473687373397</v>
      </c>
      <c r="AK4159">
        <v>17.019797177043699</v>
      </c>
      <c r="AL4159">
        <v>78.817840183809693</v>
      </c>
      <c r="AM4159">
        <v>87.855335374754901</v>
      </c>
      <c r="AN4159">
        <v>0.99999999043516097</v>
      </c>
    </row>
    <row r="4160" spans="1:40" x14ac:dyDescent="0.25">
      <c r="A4160" t="str">
        <f>"20190303171101025"</f>
        <v>20190303171101025</v>
      </c>
      <c r="B4160" t="str">
        <f>"1551604261015043"</f>
        <v>1551604261015043</v>
      </c>
      <c r="C4160" t="s">
        <v>40</v>
      </c>
      <c r="D4160">
        <v>5.3597419999999998</v>
      </c>
      <c r="E4160">
        <v>0.51669799999999999</v>
      </c>
      <c r="F4160" t="s">
        <v>42</v>
      </c>
      <c r="G4160">
        <v>-421.98469999999998</v>
      </c>
      <c r="H4160" s="1">
        <v>-3.7113820000000001E-6</v>
      </c>
      <c r="I4160">
        <v>87.009469999999993</v>
      </c>
      <c r="J4160">
        <v>-423.06819999999999</v>
      </c>
      <c r="K4160">
        <v>1.1176469999999901</v>
      </c>
      <c r="L4160">
        <v>103.32250000000001</v>
      </c>
      <c r="M4160">
        <v>0.13242860000000001</v>
      </c>
      <c r="N4160">
        <v>-1.406698E-2</v>
      </c>
      <c r="O4160">
        <v>-0.99109270000000005</v>
      </c>
      <c r="P4160">
        <v>9.4876189999999999E-2</v>
      </c>
      <c r="Q4160">
        <v>0.17937800000000001</v>
      </c>
      <c r="R4160">
        <v>-0.97919469999999997</v>
      </c>
      <c r="S4160">
        <v>0.208313</v>
      </c>
      <c r="T4160">
        <v>-0.2071673</v>
      </c>
      <c r="U4160">
        <v>-3.0827640000000001</v>
      </c>
      <c r="V4160">
        <v>3.7276879999999998E-2</v>
      </c>
      <c r="W4160">
        <v>0.1928819</v>
      </c>
      <c r="X4160">
        <v>0.98051359999999999</v>
      </c>
      <c r="Y4160">
        <v>6.5369120000000003E-2</v>
      </c>
      <c r="Z4160">
        <v>5.204102E-2</v>
      </c>
      <c r="AA4160">
        <v>0.99650320000000003</v>
      </c>
      <c r="AB4160">
        <v>34</v>
      </c>
      <c r="AC4160">
        <v>1.0835000000000099</v>
      </c>
      <c r="AD4160">
        <v>-1.11765071138199</v>
      </c>
      <c r="AE4160">
        <v>-16.313030000000001</v>
      </c>
      <c r="AF4160">
        <v>1.0815159828765499</v>
      </c>
      <c r="AG4160">
        <v>-1.11765071138199</v>
      </c>
      <c r="AH4160">
        <v>16.2369443448544</v>
      </c>
      <c r="AI4160">
        <v>93.928996676475606</v>
      </c>
      <c r="AJ4160">
        <v>86.189252005533902</v>
      </c>
      <c r="AK4160">
        <v>16.3112593502699</v>
      </c>
      <c r="AL4160">
        <v>78.878982933932093</v>
      </c>
      <c r="AM4160">
        <v>87.822794303979805</v>
      </c>
      <c r="AN4160">
        <v>0.99999995645755102</v>
      </c>
    </row>
    <row r="4161" spans="1:40" x14ac:dyDescent="0.25">
      <c r="A4161" t="str">
        <f>"20190303171101047"</f>
        <v>20190303171101047</v>
      </c>
      <c r="B4161" t="str">
        <f>"1551604261034565"</f>
        <v>1551604261034565</v>
      </c>
      <c r="C4161" t="s">
        <v>40</v>
      </c>
      <c r="D4161">
        <v>5.1306289999999999</v>
      </c>
      <c r="E4161">
        <v>0.51686480000000001</v>
      </c>
      <c r="F4161" t="s">
        <v>42</v>
      </c>
      <c r="G4161">
        <v>-422.05020000000002</v>
      </c>
      <c r="H4161" s="1">
        <v>-3.6945789999999998E-6</v>
      </c>
      <c r="I4161">
        <v>86.929640000000006</v>
      </c>
      <c r="J4161">
        <v>-423.02839999999998</v>
      </c>
      <c r="K4161">
        <v>1.1174230000000001</v>
      </c>
      <c r="L4161">
        <v>102.9923</v>
      </c>
      <c r="M4161">
        <v>0.127920899999999</v>
      </c>
      <c r="N4161">
        <v>-1.405642E-2</v>
      </c>
      <c r="O4161">
        <v>-0.99168500000000004</v>
      </c>
      <c r="P4161">
        <v>8.9253570000000004E-2</v>
      </c>
      <c r="Q4161">
        <v>0.17968889999999901</v>
      </c>
      <c r="R4161">
        <v>-0.97966609999999998</v>
      </c>
      <c r="S4161">
        <v>0.1914978</v>
      </c>
      <c r="T4161">
        <v>-0.2102445</v>
      </c>
      <c r="U4161">
        <v>-3.08371</v>
      </c>
      <c r="V4161">
        <v>3.8548840000000001E-2</v>
      </c>
      <c r="W4161">
        <v>0.19315089999999999</v>
      </c>
      <c r="X4161">
        <v>0.98041149999999999</v>
      </c>
      <c r="Y4161">
        <v>6.6265900000000003E-2</v>
      </c>
      <c r="Z4161">
        <v>5.3070850000000003E-2</v>
      </c>
      <c r="AA4161">
        <v>0.99638959999999999</v>
      </c>
      <c r="AB4161">
        <v>34</v>
      </c>
      <c r="AC4161">
        <v>0.97819999999995799</v>
      </c>
      <c r="AD4161">
        <v>-1.1174266945789999</v>
      </c>
      <c r="AE4161">
        <v>-16.062659999999902</v>
      </c>
      <c r="AF4161">
        <v>1.07958519084667</v>
      </c>
      <c r="AG4161">
        <v>-1.1174266945789999</v>
      </c>
      <c r="AH4161">
        <v>15.9787696215202</v>
      </c>
      <c r="AI4161">
        <v>93.991223783419102</v>
      </c>
      <c r="AJ4161">
        <v>86.134758012896498</v>
      </c>
      <c r="AK4161">
        <v>16.054134209594402</v>
      </c>
      <c r="AL4161">
        <v>78.863275438131197</v>
      </c>
      <c r="AM4161">
        <v>87.748344759429003</v>
      </c>
      <c r="AN4161">
        <v>0.999999996284202</v>
      </c>
    </row>
    <row r="4162" spans="1:40" x14ac:dyDescent="0.25">
      <c r="A4162" t="str">
        <f>"20190303171101069"</f>
        <v>20190303171101069</v>
      </c>
      <c r="B4162" t="str">
        <f>"1551604261055060"</f>
        <v>1551604261055060</v>
      </c>
      <c r="C4162" t="s">
        <v>40</v>
      </c>
      <c r="D4162">
        <v>5.1452650000000002</v>
      </c>
      <c r="E4162">
        <v>0.51687490000000003</v>
      </c>
      <c r="F4162" t="s">
        <v>42</v>
      </c>
      <c r="G4162">
        <v>-422.10520000000002</v>
      </c>
      <c r="H4162" s="1">
        <v>-3.5800239999999998E-6</v>
      </c>
      <c r="I4162">
        <v>86.628529999999998</v>
      </c>
      <c r="J4162">
        <v>-422.98930000000001</v>
      </c>
      <c r="K4162">
        <v>1.1172629999999999</v>
      </c>
      <c r="L4162">
        <v>102.6551</v>
      </c>
      <c r="M4162">
        <v>0.1232586</v>
      </c>
      <c r="N4162">
        <v>-1.404596E-2</v>
      </c>
      <c r="O4162">
        <v>-0.99227529999999997</v>
      </c>
      <c r="P4162">
        <v>8.4426500000000002E-2</v>
      </c>
      <c r="Q4162">
        <v>0.1788487</v>
      </c>
      <c r="R4162">
        <v>-0.9802478</v>
      </c>
      <c r="S4162">
        <v>0.17404169999999999</v>
      </c>
      <c r="T4162">
        <v>-0.2106673</v>
      </c>
      <c r="U4162">
        <v>-3.0850520000000001</v>
      </c>
      <c r="V4162">
        <v>3.8857540000000003E-2</v>
      </c>
      <c r="W4162">
        <v>0.19228480000000001</v>
      </c>
      <c r="X4162">
        <v>0.98056949999999998</v>
      </c>
      <c r="Y4162">
        <v>6.7221069999999994E-2</v>
      </c>
      <c r="Z4162">
        <v>5.3248549999999999E-2</v>
      </c>
      <c r="AA4162">
        <v>0.99631619999999999</v>
      </c>
      <c r="AB4162">
        <v>34</v>
      </c>
      <c r="AC4162">
        <v>0.88409999999998901</v>
      </c>
      <c r="AD4162">
        <v>-1.11726658002399</v>
      </c>
      <c r="AE4162">
        <v>-16.02657</v>
      </c>
      <c r="AF4162">
        <v>1.09295459943036</v>
      </c>
      <c r="AG4162">
        <v>-1.11726658002399</v>
      </c>
      <c r="AH4162">
        <v>15.936106422090299</v>
      </c>
      <c r="AI4162">
        <v>94.001027027942499</v>
      </c>
      <c r="AJ4162">
        <v>86.076596398236106</v>
      </c>
      <c r="AK4162">
        <v>16.012567634937302</v>
      </c>
      <c r="AL4162">
        <v>78.913846788434597</v>
      </c>
      <c r="AM4162">
        <v>87.730697565944496</v>
      </c>
      <c r="AN4162">
        <v>0.99999994852806895</v>
      </c>
    </row>
    <row r="4163" spans="1:40" x14ac:dyDescent="0.25">
      <c r="A4163" t="str">
        <f>"20190303171101093"</f>
        <v>20190303171101093</v>
      </c>
      <c r="B4163" t="str">
        <f>"1551604261085316"</f>
        <v>1551604261085316</v>
      </c>
      <c r="C4163" t="s">
        <v>40</v>
      </c>
      <c r="D4163">
        <v>5.1573270000000004</v>
      </c>
      <c r="E4163">
        <v>0.51705900000000005</v>
      </c>
      <c r="F4163" t="s">
        <v>42</v>
      </c>
      <c r="G4163">
        <v>-422.15870000000001</v>
      </c>
      <c r="H4163" s="1">
        <v>-3.5630539999999998E-6</v>
      </c>
      <c r="I4163">
        <v>86.555809999999994</v>
      </c>
      <c r="J4163">
        <v>-422.94970000000001</v>
      </c>
      <c r="K4163">
        <v>1.1171390000000001</v>
      </c>
      <c r="L4163">
        <v>102.2993</v>
      </c>
      <c r="M4163">
        <v>0.1183308</v>
      </c>
      <c r="N4163">
        <v>-1.4035870000000001E-2</v>
      </c>
      <c r="O4163">
        <v>-0.99287519999999996</v>
      </c>
      <c r="P4163">
        <v>8.1032640000000003E-2</v>
      </c>
      <c r="Q4163">
        <v>0.17622589999999999</v>
      </c>
      <c r="R4163">
        <v>-0.98100920000000003</v>
      </c>
      <c r="S4163">
        <v>0.1592102</v>
      </c>
      <c r="T4163">
        <v>-0.21415110000000001</v>
      </c>
      <c r="U4163">
        <v>-3.0858150000000002</v>
      </c>
      <c r="V4163">
        <v>3.746621E-2</v>
      </c>
      <c r="W4163">
        <v>0.18966269999999999</v>
      </c>
      <c r="X4163">
        <v>0.98113419999999896</v>
      </c>
      <c r="Y4163">
        <v>6.7058999999999994E-2</v>
      </c>
      <c r="Z4163">
        <v>5.4414369999999997E-2</v>
      </c>
      <c r="AA4163">
        <v>0.99626409999999999</v>
      </c>
      <c r="AB4163">
        <v>34</v>
      </c>
      <c r="AC4163">
        <v>0.79099999999999604</v>
      </c>
      <c r="AD4163">
        <v>-1.1171425630539999</v>
      </c>
      <c r="AE4163">
        <v>-15.74349</v>
      </c>
      <c r="AF4163">
        <v>1.07229584684956</v>
      </c>
      <c r="AG4163">
        <v>-1.1171425630539999</v>
      </c>
      <c r="AH4163">
        <v>15.6478753896352</v>
      </c>
      <c r="AI4163">
        <v>94.0740442682945</v>
      </c>
      <c r="AJ4163">
        <v>86.079843040981601</v>
      </c>
      <c r="AK4163">
        <v>15.724306983104499</v>
      </c>
      <c r="AL4163">
        <v>79.066899445557794</v>
      </c>
      <c r="AM4163">
        <v>87.813129755251396</v>
      </c>
      <c r="AN4163">
        <v>0.999999987536346</v>
      </c>
    </row>
    <row r="4164" spans="1:40" x14ac:dyDescent="0.25">
      <c r="A4164" t="str">
        <f>"20190303171101113"</f>
        <v>20190303171101113</v>
      </c>
      <c r="B4164" t="str">
        <f>"1551604261104836"</f>
        <v>1551604261104836</v>
      </c>
      <c r="C4164" t="s">
        <v>40</v>
      </c>
      <c r="D4164">
        <v>5.1481519999999996</v>
      </c>
      <c r="E4164">
        <v>0.533757699999999</v>
      </c>
      <c r="F4164" t="s">
        <v>42</v>
      </c>
      <c r="G4164">
        <v>-422.21699999999998</v>
      </c>
      <c r="H4164" s="1">
        <v>-3.660212E-6</v>
      </c>
      <c r="I4164">
        <v>86.746119999999905</v>
      </c>
      <c r="J4164">
        <v>-422.916</v>
      </c>
      <c r="K4164">
        <v>1.1170530000000001</v>
      </c>
      <c r="L4164">
        <v>101.9816</v>
      </c>
      <c r="M4164">
        <v>0.1139459</v>
      </c>
      <c r="N4164">
        <v>-1.402811E-2</v>
      </c>
      <c r="O4164">
        <v>-0.9933881</v>
      </c>
      <c r="P4164">
        <v>7.8522599999999998E-2</v>
      </c>
      <c r="Q4164">
        <v>0.17525479999999999</v>
      </c>
      <c r="R4164">
        <v>-0.98138709999999996</v>
      </c>
      <c r="S4164">
        <v>0.14538570000000001</v>
      </c>
      <c r="T4164">
        <v>-0.22165170000000001</v>
      </c>
      <c r="U4164">
        <v>-3.0859070000000002</v>
      </c>
      <c r="V4164">
        <v>3.5684340000000002E-2</v>
      </c>
      <c r="W4164">
        <v>0.18869820000000001</v>
      </c>
      <c r="X4164">
        <v>0.9813866</v>
      </c>
      <c r="Y4164">
        <v>6.7112720000000001E-2</v>
      </c>
      <c r="Z4164">
        <v>5.6862500000000003E-2</v>
      </c>
      <c r="AA4164">
        <v>0.99612369999999995</v>
      </c>
      <c r="AB4164">
        <v>34</v>
      </c>
      <c r="AC4164">
        <v>0.69900000000001195</v>
      </c>
      <c r="AD4164">
        <v>-1.117056660212</v>
      </c>
      <c r="AE4164">
        <v>-15.235480000000001</v>
      </c>
      <c r="AF4164">
        <v>1.03618594658283</v>
      </c>
      <c r="AG4164">
        <v>-1.117056660212</v>
      </c>
      <c r="AH4164">
        <v>15.134697822944799</v>
      </c>
      <c r="AI4164">
        <v>94.211390498354305</v>
      </c>
      <c r="AJ4164">
        <v>86.083398498783694</v>
      </c>
      <c r="AK4164">
        <v>15.211199002375499</v>
      </c>
      <c r="AL4164">
        <v>79.123177843165493</v>
      </c>
      <c r="AM4164">
        <v>87.917577303433305</v>
      </c>
      <c r="AN4164">
        <v>1.0000000207320101</v>
      </c>
    </row>
    <row r="4165" spans="1:40" x14ac:dyDescent="0.25">
      <c r="A4165" t="str">
        <f>"20190303171101136"</f>
        <v>20190303171101136</v>
      </c>
      <c r="B4165" t="str">
        <f>"1551604261125332"</f>
        <v>1551604261125332</v>
      </c>
      <c r="C4165" t="s">
        <v>40</v>
      </c>
      <c r="D4165">
        <v>5.142347</v>
      </c>
      <c r="E4165">
        <v>0.53459299999999998</v>
      </c>
      <c r="F4165" t="s">
        <v>42</v>
      </c>
      <c r="G4165">
        <v>-422.91230000000002</v>
      </c>
      <c r="H4165" s="1">
        <v>-9.8664690000000009E-7</v>
      </c>
      <c r="I4165">
        <v>80.082700000000003</v>
      </c>
      <c r="J4165">
        <v>-422.88159999999999</v>
      </c>
      <c r="K4165">
        <v>1.116997</v>
      </c>
      <c r="L4165">
        <v>101.6431</v>
      </c>
      <c r="M4165">
        <v>0.10930280000000001</v>
      </c>
      <c r="N4165">
        <v>-1.4021209999999999E-2</v>
      </c>
      <c r="O4165">
        <v>-0.99390979999999995</v>
      </c>
      <c r="P4165">
        <v>7.4136919999999995E-2</v>
      </c>
      <c r="Q4165">
        <v>0.1766575</v>
      </c>
      <c r="R4165">
        <v>-0.98147669999999998</v>
      </c>
      <c r="S4165">
        <v>5.1879879999999995E-4</v>
      </c>
      <c r="T4165">
        <v>-0.1573628</v>
      </c>
      <c r="U4165">
        <v>-3.0849609999999998</v>
      </c>
      <c r="V4165">
        <v>3.5495529999999997E-2</v>
      </c>
      <c r="W4165">
        <v>0.1900878</v>
      </c>
      <c r="X4165">
        <v>0.98112520000000003</v>
      </c>
      <c r="Y4165">
        <v>0.1090962</v>
      </c>
      <c r="Z4165">
        <v>3.6325830000000003E-2</v>
      </c>
      <c r="AA4165">
        <v>0.99336729999999995</v>
      </c>
      <c r="AB4165">
        <v>34</v>
      </c>
      <c r="AC4165">
        <v>-3.0700000000024302E-2</v>
      </c>
      <c r="AD4165">
        <v>-1.1169979866469</v>
      </c>
      <c r="AE4165">
        <v>-21.560400000000001</v>
      </c>
      <c r="AF4165">
        <v>2.3809687060182099</v>
      </c>
      <c r="AG4165">
        <v>-1.1169979866469</v>
      </c>
      <c r="AH4165">
        <v>21.3704801155274</v>
      </c>
      <c r="AI4165">
        <v>92.973662567385006</v>
      </c>
      <c r="AJ4165">
        <v>83.642671411960194</v>
      </c>
      <c r="AK4165">
        <v>21.531700277715299</v>
      </c>
      <c r="AL4165">
        <v>79.042091642341106</v>
      </c>
      <c r="AM4165">
        <v>87.928034617231603</v>
      </c>
      <c r="AN4165">
        <v>0.99999998121693001</v>
      </c>
    </row>
    <row r="4166" spans="1:40" x14ac:dyDescent="0.25">
      <c r="A4166" t="str">
        <f>"20190303171101158"</f>
        <v>20190303171101158</v>
      </c>
      <c r="B4166" t="str">
        <f>"1551604261144853"</f>
        <v>1551604261144853</v>
      </c>
      <c r="C4166" t="s">
        <v>40</v>
      </c>
      <c r="D4166">
        <v>5.1547450000000001</v>
      </c>
      <c r="E4166">
        <v>0.53466959999999997</v>
      </c>
      <c r="F4166" t="s">
        <v>42</v>
      </c>
      <c r="G4166">
        <v>-423.01639999999998</v>
      </c>
      <c r="H4166" s="1">
        <v>-4.2510840000000002E-6</v>
      </c>
      <c r="I4166">
        <v>77.906490000000005</v>
      </c>
      <c r="J4166">
        <v>-422.8485</v>
      </c>
      <c r="K4166">
        <v>1.116967</v>
      </c>
      <c r="L4166">
        <v>101.3005</v>
      </c>
      <c r="M4166">
        <v>0.10464130000000001</v>
      </c>
      <c r="N4166">
        <v>-1.401557E-2</v>
      </c>
      <c r="O4166">
        <v>-0.99441120000000005</v>
      </c>
      <c r="P4166">
        <v>6.9470669999999998E-2</v>
      </c>
      <c r="Q4166">
        <v>0.17798349999999999</v>
      </c>
      <c r="R4166">
        <v>-0.98157799999999995</v>
      </c>
      <c r="S4166">
        <v>-1.7517089999999999E-2</v>
      </c>
      <c r="T4166">
        <v>-0.14513090000000001</v>
      </c>
      <c r="U4166">
        <v>-3.084076</v>
      </c>
      <c r="V4166">
        <v>3.556459E-2</v>
      </c>
      <c r="W4166">
        <v>0.19140119999999999</v>
      </c>
      <c r="X4166">
        <v>0.9808673</v>
      </c>
      <c r="Y4166">
        <v>0.1102479</v>
      </c>
      <c r="Z4166">
        <v>3.2466580000000002E-2</v>
      </c>
      <c r="AA4166">
        <v>0.99337370000000003</v>
      </c>
      <c r="AB4166">
        <v>34</v>
      </c>
      <c r="AC4166">
        <v>-0.16789999999997399</v>
      </c>
      <c r="AD4166">
        <v>-1.116971251084</v>
      </c>
      <c r="AE4166">
        <v>-23.394009999999898</v>
      </c>
      <c r="AF4166">
        <v>2.6092503383576799</v>
      </c>
      <c r="AG4166">
        <v>-1.116971251084</v>
      </c>
      <c r="AH4166">
        <v>23.195106459822401</v>
      </c>
      <c r="AI4166">
        <v>92.739721823753996</v>
      </c>
      <c r="AJ4166">
        <v>83.581699027336498</v>
      </c>
      <c r="AK4166">
        <v>23.368114510727299</v>
      </c>
      <c r="AL4166">
        <v>78.965431623519805</v>
      </c>
      <c r="AM4166">
        <v>87.923461566986404</v>
      </c>
      <c r="AN4166">
        <v>0.99999995981629797</v>
      </c>
    </row>
    <row r="4167" spans="1:40" x14ac:dyDescent="0.25">
      <c r="A4167" t="str">
        <f>"20190303171101181"</f>
        <v>20190303171101181</v>
      </c>
      <c r="B4167" t="str">
        <f>"1551604261175108"</f>
        <v>1551604261175108</v>
      </c>
      <c r="C4167" t="s">
        <v>40</v>
      </c>
      <c r="D4167">
        <v>5.1205720000000001</v>
      </c>
      <c r="E4167">
        <v>0.53446099999999996</v>
      </c>
      <c r="F4167" t="s">
        <v>42</v>
      </c>
      <c r="G4167">
        <v>-423.12110000000001</v>
      </c>
      <c r="H4167" s="1">
        <v>-3.2207919999999999E-6</v>
      </c>
      <c r="I4167">
        <v>75.161090000000002</v>
      </c>
      <c r="J4167">
        <v>-422.81659999999999</v>
      </c>
      <c r="K4167">
        <v>1.1169579999999999</v>
      </c>
      <c r="L4167">
        <v>100.95269999999999</v>
      </c>
      <c r="M4167">
        <v>9.9947499999999995E-2</v>
      </c>
      <c r="N4167">
        <v>-1.4010649999999999E-2</v>
      </c>
      <c r="O4167">
        <v>-0.99489399999999995</v>
      </c>
      <c r="P4167">
        <v>6.5938350000000007E-2</v>
      </c>
      <c r="Q4167">
        <v>0.17639340000000001</v>
      </c>
      <c r="R4167">
        <v>-0.9821088</v>
      </c>
      <c r="S4167">
        <v>-3.2135009999999999E-2</v>
      </c>
      <c r="T4167">
        <v>-0.13171729999999901</v>
      </c>
      <c r="U4167">
        <v>-3.0824579999999999</v>
      </c>
      <c r="V4167">
        <v>3.4483220000000002E-2</v>
      </c>
      <c r="W4167">
        <v>0.18981999999999999</v>
      </c>
      <c r="X4167">
        <v>0.98121320000000001</v>
      </c>
      <c r="Y4167">
        <v>0.1102759</v>
      </c>
      <c r="Z4167">
        <v>2.8230930000000001E-2</v>
      </c>
      <c r="AA4167">
        <v>0.99350000000000005</v>
      </c>
      <c r="AB4167">
        <v>34</v>
      </c>
      <c r="AC4167">
        <v>-0.30450000000001798</v>
      </c>
      <c r="AD4167">
        <v>-1.1169612207920001</v>
      </c>
      <c r="AE4167">
        <v>-25.791609999999899</v>
      </c>
      <c r="AF4167">
        <v>2.8756425889344901</v>
      </c>
      <c r="AG4167">
        <v>-1.1169612207920001</v>
      </c>
      <c r="AH4167">
        <v>25.584025148313302</v>
      </c>
      <c r="AI4167">
        <v>92.484239081608393</v>
      </c>
      <c r="AJ4167">
        <v>83.5868753661657</v>
      </c>
      <c r="AK4167">
        <v>25.769347400692499</v>
      </c>
      <c r="AL4167">
        <v>79.057720586403605</v>
      </c>
      <c r="AM4167">
        <v>87.987256812591497</v>
      </c>
      <c r="AN4167">
        <v>1.0000000343579001</v>
      </c>
    </row>
    <row r="4168" spans="1:40" x14ac:dyDescent="0.25">
      <c r="A4168" t="str">
        <f>"20190303171101204"</f>
        <v>20190303171101204</v>
      </c>
      <c r="B4168" t="str">
        <f>"1551604261194628"</f>
        <v>1551604261194628</v>
      </c>
      <c r="C4168" t="s">
        <v>40</v>
      </c>
      <c r="D4168">
        <v>5.1122829999999997</v>
      </c>
      <c r="E4168">
        <v>0.53447619999999996</v>
      </c>
      <c r="F4168" t="s">
        <v>42</v>
      </c>
      <c r="G4168">
        <v>-423.18630000000002</v>
      </c>
      <c r="H4168" s="1">
        <v>-2.9726999999999999E-6</v>
      </c>
      <c r="I4168">
        <v>74.542339999999996</v>
      </c>
      <c r="J4168">
        <v>-422.78739999999999</v>
      </c>
      <c r="K4168">
        <v>1.1169500000000001</v>
      </c>
      <c r="L4168">
        <v>100.6165</v>
      </c>
      <c r="M4168">
        <v>9.5443529999999999E-2</v>
      </c>
      <c r="N4168">
        <v>-1.4006289999999999E-2</v>
      </c>
      <c r="O4168">
        <v>-0.99533640000000001</v>
      </c>
      <c r="P4168">
        <v>6.1890420000000002E-2</v>
      </c>
      <c r="Q4168">
        <v>0.1756289</v>
      </c>
      <c r="R4168">
        <v>-0.98250930000000003</v>
      </c>
      <c r="S4168">
        <v>-4.3121340000000001E-2</v>
      </c>
      <c r="T4168">
        <v>-0.13030050000000001</v>
      </c>
      <c r="U4168">
        <v>-3.0809329999999999</v>
      </c>
      <c r="V4168">
        <v>3.4091410000000003E-2</v>
      </c>
      <c r="W4168">
        <v>0.18905730000000001</v>
      </c>
      <c r="X4168">
        <v>0.98137410000000003</v>
      </c>
      <c r="Y4168">
        <v>0.1093256</v>
      </c>
      <c r="Z4168">
        <v>2.782946E-2</v>
      </c>
      <c r="AA4168">
        <v>0.99361630000000001</v>
      </c>
      <c r="AB4168">
        <v>34</v>
      </c>
      <c r="AC4168">
        <v>-0.39890000000002601</v>
      </c>
      <c r="AD4168">
        <v>-1.1169529727</v>
      </c>
      <c r="AE4168">
        <v>-26.074159999999999</v>
      </c>
      <c r="AF4168">
        <v>2.8806474633704702</v>
      </c>
      <c r="AG4168">
        <v>-1.1169529727</v>
      </c>
      <c r="AH4168">
        <v>25.869566927407099</v>
      </c>
      <c r="AI4168">
        <v>92.457118280153594</v>
      </c>
      <c r="AJ4168">
        <v>83.646132470874306</v>
      </c>
      <c r="AK4168">
        <v>26.053410655095501</v>
      </c>
      <c r="AL4168">
        <v>79.1022256374861</v>
      </c>
      <c r="AM4168">
        <v>88.010433778135507</v>
      </c>
      <c r="AN4168">
        <v>1.0000000055349401</v>
      </c>
    </row>
    <row r="4169" spans="1:40" x14ac:dyDescent="0.25">
      <c r="A4169" t="str">
        <f>"20190303171101226"</f>
        <v>20190303171101226</v>
      </c>
      <c r="B4169" t="str">
        <f>"1551604261215124"</f>
        <v>1551604261215124</v>
      </c>
      <c r="C4169" t="s">
        <v>40</v>
      </c>
      <c r="D4169">
        <v>5.108352</v>
      </c>
      <c r="E4169">
        <v>0.53428659999999994</v>
      </c>
      <c r="F4169" t="s">
        <v>42</v>
      </c>
      <c r="G4169">
        <v>-423.2774</v>
      </c>
      <c r="H4169" s="1">
        <v>-2.9077090000000002E-6</v>
      </c>
      <c r="I4169">
        <v>74.334299999999999</v>
      </c>
      <c r="J4169">
        <v>-422.75920000000002</v>
      </c>
      <c r="K4169">
        <v>1.116973</v>
      </c>
      <c r="L4169">
        <v>100.2756</v>
      </c>
      <c r="M4169">
        <v>9.0918490000000005E-2</v>
      </c>
      <c r="N4169">
        <v>-1.400239E-2</v>
      </c>
      <c r="O4169">
        <v>-0.99575979999999997</v>
      </c>
      <c r="P4169">
        <v>5.610101E-2</v>
      </c>
      <c r="Q4169">
        <v>0.1768014</v>
      </c>
      <c r="R4169">
        <v>-0.98264640000000003</v>
      </c>
      <c r="S4169">
        <v>-5.7434079999999998E-2</v>
      </c>
      <c r="T4169">
        <v>-0.1309128</v>
      </c>
      <c r="U4169">
        <v>-3.0804140000000002</v>
      </c>
      <c r="V4169">
        <v>3.5402200000000002E-2</v>
      </c>
      <c r="W4169">
        <v>0.1902105</v>
      </c>
      <c r="X4169">
        <v>0.9811048</v>
      </c>
      <c r="Y4169">
        <v>0.1094251</v>
      </c>
      <c r="Z4169">
        <v>2.805937E-2</v>
      </c>
      <c r="AA4169">
        <v>0.99359889999999995</v>
      </c>
      <c r="AB4169">
        <v>34</v>
      </c>
      <c r="AC4169">
        <v>-0.51819999999997801</v>
      </c>
      <c r="AD4169">
        <v>-1.116975907709</v>
      </c>
      <c r="AE4169">
        <v>-25.941299999999998</v>
      </c>
      <c r="AF4169">
        <v>2.8695107753184099</v>
      </c>
      <c r="AG4169">
        <v>-1.116975907709</v>
      </c>
      <c r="AH4169">
        <v>25.739019675831301</v>
      </c>
      <c r="AI4169">
        <v>92.469580080742105</v>
      </c>
      <c r="AJ4169">
        <v>83.638656543219</v>
      </c>
      <c r="AK4169">
        <v>25.922555065828298</v>
      </c>
      <c r="AL4169">
        <v>79.034930892108306</v>
      </c>
      <c r="AM4169">
        <v>87.933434867995501</v>
      </c>
      <c r="AN4169">
        <v>0.99999998932906398</v>
      </c>
    </row>
    <row r="4170" spans="1:40" x14ac:dyDescent="0.25">
      <c r="A4170" t="str">
        <f>"20190303171101249"</f>
        <v>20190303171101249</v>
      </c>
      <c r="B4170" t="str">
        <f>"1551604261234644"</f>
        <v>1551604261234644</v>
      </c>
      <c r="C4170" t="s">
        <v>40</v>
      </c>
      <c r="D4170">
        <v>5.1169699999999896</v>
      </c>
      <c r="E4170">
        <v>0.53409549999999995</v>
      </c>
      <c r="F4170" t="s">
        <v>42</v>
      </c>
      <c r="G4170">
        <v>-423.38420000000002</v>
      </c>
      <c r="H4170" s="1">
        <v>-2.6839950000000001E-6</v>
      </c>
      <c r="I4170">
        <v>73.746610000000004</v>
      </c>
      <c r="J4170">
        <v>-422.7328</v>
      </c>
      <c r="K4170">
        <v>1.1170059999999999</v>
      </c>
      <c r="L4170">
        <v>99.938509999999994</v>
      </c>
      <c r="M4170">
        <v>8.6506169999999993E-2</v>
      </c>
      <c r="N4170">
        <v>-1.3998500000000001E-2</v>
      </c>
      <c r="O4170">
        <v>-0.99615310000000001</v>
      </c>
      <c r="P4170">
        <v>5.0394790000000002E-2</v>
      </c>
      <c r="Q4170">
        <v>0.17803759999999999</v>
      </c>
      <c r="R4170">
        <v>-0.98273259999999996</v>
      </c>
      <c r="S4170">
        <v>-7.2570800000000005E-2</v>
      </c>
      <c r="T4170">
        <v>-0.12969900000000001</v>
      </c>
      <c r="U4170">
        <v>-3.080444</v>
      </c>
      <c r="V4170">
        <v>3.6732830000000001E-2</v>
      </c>
      <c r="W4170">
        <v>0.19142790000000001</v>
      </c>
      <c r="X4170">
        <v>0.980819</v>
      </c>
      <c r="Y4170">
        <v>0.1099019</v>
      </c>
      <c r="Z4170">
        <v>2.7692439999999999E-2</v>
      </c>
      <c r="AA4170">
        <v>0.99355660000000001</v>
      </c>
      <c r="AB4170">
        <v>34</v>
      </c>
      <c r="AC4170">
        <v>-0.65140000000002296</v>
      </c>
      <c r="AD4170">
        <v>-1.117008683995</v>
      </c>
      <c r="AE4170">
        <v>-26.191899999999901</v>
      </c>
      <c r="AF4170">
        <v>2.9096515690876799</v>
      </c>
      <c r="AG4170">
        <v>-1.117008683995</v>
      </c>
      <c r="AH4170">
        <v>25.990098994822901</v>
      </c>
      <c r="AI4170">
        <v>92.445697308579</v>
      </c>
      <c r="AJ4170">
        <v>83.612203394240396</v>
      </c>
      <c r="AK4170">
        <v>26.176306584663699</v>
      </c>
      <c r="AL4170">
        <v>78.963872630868806</v>
      </c>
      <c r="AM4170">
        <v>87.855207765541095</v>
      </c>
      <c r="AN4170">
        <v>0.99999992622960598</v>
      </c>
    </row>
    <row r="4171" spans="1:40" x14ac:dyDescent="0.25">
      <c r="A4171" t="str">
        <f>"20190303171101282"</f>
        <v>20190303171101282</v>
      </c>
      <c r="B4171" t="str">
        <f>"1551604261274660"</f>
        <v>1551604261274660</v>
      </c>
      <c r="C4171" t="s">
        <v>40</v>
      </c>
      <c r="D4171">
        <v>5.0957100000000004</v>
      </c>
      <c r="E4171">
        <v>0.53327789999999997</v>
      </c>
      <c r="F4171" t="s">
        <v>42</v>
      </c>
      <c r="G4171">
        <v>-423.51929999999999</v>
      </c>
      <c r="H4171" s="1">
        <v>-2.2111260000000002E-6</v>
      </c>
      <c r="I4171">
        <v>72.560550000000006</v>
      </c>
      <c r="J4171">
        <v>-422.69569999999999</v>
      </c>
      <c r="K4171">
        <v>1.117113</v>
      </c>
      <c r="L4171">
        <v>99.429500000000004</v>
      </c>
      <c r="M4171">
        <v>8.0023499999999997E-2</v>
      </c>
      <c r="N4171">
        <v>-1.399097E-2</v>
      </c>
      <c r="O4171">
        <v>-0.99669479999999999</v>
      </c>
      <c r="P4171">
        <v>4.6254490000000002E-2</v>
      </c>
      <c r="Q4171">
        <v>0.1757581</v>
      </c>
      <c r="R4171">
        <v>-0.98334630000000001</v>
      </c>
      <c r="S4171">
        <v>-8.8470460000000001E-2</v>
      </c>
      <c r="T4171">
        <v>-0.12566330000000001</v>
      </c>
      <c r="U4171">
        <v>-3.0800169999999998</v>
      </c>
      <c r="V4171">
        <v>3.444063E-2</v>
      </c>
      <c r="W4171">
        <v>0.1891795</v>
      </c>
      <c r="X4171">
        <v>0.9813383</v>
      </c>
      <c r="Y4171">
        <v>0.1085665</v>
      </c>
      <c r="Z4171">
        <v>2.6441249999999999E-2</v>
      </c>
      <c r="AA4171">
        <v>0.99373750000000005</v>
      </c>
      <c r="AB4171">
        <v>34</v>
      </c>
      <c r="AC4171">
        <v>-0.823599999999999</v>
      </c>
      <c r="AD4171">
        <v>-1.1171152111260001</v>
      </c>
      <c r="AE4171">
        <v>-26.868950000000002</v>
      </c>
      <c r="AF4171">
        <v>2.9661934881204099</v>
      </c>
      <c r="AG4171">
        <v>-1.1171152111260001</v>
      </c>
      <c r="AH4171">
        <v>26.670790110794101</v>
      </c>
      <c r="AI4171">
        <v>92.383771705989105</v>
      </c>
      <c r="AJ4171">
        <v>83.653925193501095</v>
      </c>
      <c r="AK4171">
        <v>26.858467851646498</v>
      </c>
      <c r="AL4171">
        <v>79.095094806405498</v>
      </c>
      <c r="AM4171">
        <v>87.989996753266993</v>
      </c>
      <c r="AN4171">
        <v>0.99999994963096706</v>
      </c>
    </row>
    <row r="4172" spans="1:40" x14ac:dyDescent="0.25">
      <c r="A4172" t="str">
        <f>"20190303171101302"</f>
        <v>20190303171101302</v>
      </c>
      <c r="B4172" t="str">
        <f>"1551604261295156"</f>
        <v>1551604261295156</v>
      </c>
      <c r="C4172" t="s">
        <v>40</v>
      </c>
      <c r="D4172">
        <v>5.0797460000000001</v>
      </c>
      <c r="E4172">
        <v>0.53276269999999903</v>
      </c>
      <c r="F4172" t="s">
        <v>42</v>
      </c>
      <c r="G4172">
        <v>-423.5181</v>
      </c>
      <c r="H4172" s="1">
        <v>-2.544074E-6</v>
      </c>
      <c r="I4172">
        <v>73.337369999999893</v>
      </c>
      <c r="J4172">
        <v>-422.67380000000003</v>
      </c>
      <c r="K4172">
        <v>1.117211</v>
      </c>
      <c r="L4172">
        <v>99.106229999999996</v>
      </c>
      <c r="M4172">
        <v>7.6058780000000006E-2</v>
      </c>
      <c r="N4172">
        <v>-1.3984760000000001E-2</v>
      </c>
      <c r="O4172">
        <v>-0.99700540000000004</v>
      </c>
      <c r="P4172">
        <v>4.3279310000000001E-2</v>
      </c>
      <c r="Q4172">
        <v>0.17609439999999901</v>
      </c>
      <c r="R4172">
        <v>-0.98342160000000001</v>
      </c>
      <c r="S4172">
        <v>-9.7045900000000004E-2</v>
      </c>
      <c r="T4172">
        <v>-0.13182160000000001</v>
      </c>
      <c r="U4172">
        <v>-3.0789179999999998</v>
      </c>
      <c r="V4172">
        <v>3.3457830000000001E-2</v>
      </c>
      <c r="W4172">
        <v>0.18952649999999999</v>
      </c>
      <c r="X4172">
        <v>0.98130539999999999</v>
      </c>
      <c r="Y4172">
        <v>0.10738540000000001</v>
      </c>
      <c r="Z4172">
        <v>2.8462069999999999E-2</v>
      </c>
      <c r="AA4172">
        <v>0.99380999999999997</v>
      </c>
      <c r="AB4172">
        <v>34</v>
      </c>
      <c r="AC4172">
        <v>-0.84429999999997496</v>
      </c>
      <c r="AD4172">
        <v>-1.1172135440740001</v>
      </c>
      <c r="AE4172">
        <v>-25.76886</v>
      </c>
      <c r="AF4172">
        <v>2.79674201377453</v>
      </c>
      <c r="AG4172">
        <v>-1.1172135440740001</v>
      </c>
      <c r="AH4172">
        <v>25.581944871536301</v>
      </c>
      <c r="AI4172">
        <v>92.485837347371202</v>
      </c>
      <c r="AJ4172">
        <v>83.7609256857302</v>
      </c>
      <c r="AK4172">
        <v>25.7586070160053</v>
      </c>
      <c r="AL4172">
        <v>79.074847470831997</v>
      </c>
      <c r="AM4172">
        <v>88.047243861398101</v>
      </c>
      <c r="AN4172">
        <v>1.00000000432985</v>
      </c>
    </row>
    <row r="4173" spans="1:40" x14ac:dyDescent="0.25">
      <c r="A4173" t="str">
        <f>"20190303171101326"</f>
        <v>20190303171101326</v>
      </c>
      <c r="B4173" t="str">
        <f>"1551604261314676"</f>
        <v>1551604261314676</v>
      </c>
      <c r="C4173" t="s">
        <v>40</v>
      </c>
      <c r="D4173">
        <v>5.2622010000000001</v>
      </c>
      <c r="E4173">
        <v>0.53213359999999998</v>
      </c>
      <c r="F4173" t="s">
        <v>42</v>
      </c>
      <c r="G4173">
        <v>-423.5652</v>
      </c>
      <c r="H4173" s="1">
        <v>-2.2416930000000001E-6</v>
      </c>
      <c r="I4173">
        <v>72.603290000000001</v>
      </c>
      <c r="J4173">
        <v>-422.65179999999998</v>
      </c>
      <c r="K4173">
        <v>1.117335</v>
      </c>
      <c r="L4173">
        <v>98.764219999999995</v>
      </c>
      <c r="M4173">
        <v>7.2002689999999994E-2</v>
      </c>
      <c r="N4173">
        <v>-1.397764E-2</v>
      </c>
      <c r="O4173">
        <v>-0.99730649999999998</v>
      </c>
      <c r="P4173">
        <v>3.9519800000000001E-2</v>
      </c>
      <c r="Q4173">
        <v>0.1782183</v>
      </c>
      <c r="R4173">
        <v>-0.98319710000000005</v>
      </c>
      <c r="S4173">
        <v>-0.1035461</v>
      </c>
      <c r="T4173">
        <v>-0.12976650000000001</v>
      </c>
      <c r="U4173">
        <v>-3.0783689999999999</v>
      </c>
      <c r="V4173">
        <v>3.3153969999999998E-2</v>
      </c>
      <c r="W4173">
        <v>0.19164970000000001</v>
      </c>
      <c r="X4173">
        <v>0.98090330000000003</v>
      </c>
      <c r="Y4173">
        <v>0.10544480000000001</v>
      </c>
      <c r="Z4173">
        <v>2.7837379999999998E-2</v>
      </c>
      <c r="AA4173">
        <v>0.99403540000000001</v>
      </c>
      <c r="AB4173">
        <v>34</v>
      </c>
      <c r="AC4173">
        <v>-0.91340000000002397</v>
      </c>
      <c r="AD4173">
        <v>-1.1173372416930001</v>
      </c>
      <c r="AE4173">
        <v>-26.16093</v>
      </c>
      <c r="AF4173">
        <v>2.7897872893960001</v>
      </c>
      <c r="AG4173">
        <v>-1.1173372416930001</v>
      </c>
      <c r="AH4173">
        <v>25.9799069876948</v>
      </c>
      <c r="AI4173">
        <v>92.448585151646199</v>
      </c>
      <c r="AJ4173">
        <v>83.870922244697297</v>
      </c>
      <c r="AK4173">
        <v>26.153143648919599</v>
      </c>
      <c r="AL4173">
        <v>78.950925952636197</v>
      </c>
      <c r="AM4173">
        <v>88.064172392263401</v>
      </c>
      <c r="AN4173">
        <v>1.0000000385938601</v>
      </c>
    </row>
    <row r="4174" spans="1:40" x14ac:dyDescent="0.25">
      <c r="A4174" t="str">
        <f>"20190303171101348"</f>
        <v>20190303171101348</v>
      </c>
      <c r="B4174" t="str">
        <f>"1551604261335172"</f>
        <v>1551604261335172</v>
      </c>
      <c r="C4174" t="s">
        <v>40</v>
      </c>
      <c r="D4174">
        <v>5.2068789999999998</v>
      </c>
      <c r="E4174">
        <v>0.53166679999999999</v>
      </c>
      <c r="F4174" t="s">
        <v>42</v>
      </c>
      <c r="G4174">
        <v>-423.62130000000002</v>
      </c>
      <c r="H4174" s="1">
        <v>-1.6789290000000001E-6</v>
      </c>
      <c r="I4174">
        <v>71.256709999999998</v>
      </c>
      <c r="J4174">
        <v>-422.63150000000002</v>
      </c>
      <c r="K4174">
        <v>1.1174759999999999</v>
      </c>
      <c r="L4174">
        <v>98.428989999999999</v>
      </c>
      <c r="M4174">
        <v>6.8205920000000003E-2</v>
      </c>
      <c r="N4174">
        <v>-1.397018E-2</v>
      </c>
      <c r="O4174">
        <v>-0.99757370000000001</v>
      </c>
      <c r="P4174">
        <v>3.6350069999999998E-2</v>
      </c>
      <c r="Q4174">
        <v>0.17957690000000001</v>
      </c>
      <c r="R4174">
        <v>-0.98307250000000002</v>
      </c>
      <c r="S4174">
        <v>-0.10849</v>
      </c>
      <c r="T4174">
        <v>-0.1250376</v>
      </c>
      <c r="U4174">
        <v>-3.0782780000000001</v>
      </c>
      <c r="V4174">
        <v>3.251209E-2</v>
      </c>
      <c r="W4174">
        <v>0.19301380000000001</v>
      </c>
      <c r="X4174">
        <v>0.98065729999999995</v>
      </c>
      <c r="Y4174">
        <v>0.1032583</v>
      </c>
      <c r="Z4174">
        <v>2.634365E-2</v>
      </c>
      <c r="AA4174">
        <v>0.99430569999999896</v>
      </c>
      <c r="AB4174">
        <v>34</v>
      </c>
      <c r="AC4174">
        <v>-0.98980000000000201</v>
      </c>
      <c r="AD4174">
        <v>-1.117477678929</v>
      </c>
      <c r="AE4174">
        <v>-27.172279999999901</v>
      </c>
      <c r="AF4174">
        <v>2.83619478485504</v>
      </c>
      <c r="AG4174">
        <v>-1.117477678929</v>
      </c>
      <c r="AH4174">
        <v>26.995875691933399</v>
      </c>
      <c r="AI4174">
        <v>92.357410622781998</v>
      </c>
      <c r="AJ4174">
        <v>84.0024898416886</v>
      </c>
      <c r="AK4174">
        <v>27.167444885282599</v>
      </c>
      <c r="AL4174">
        <v>78.871281962656894</v>
      </c>
      <c r="AM4174">
        <v>88.101147575516194</v>
      </c>
      <c r="AN4174">
        <v>1.0000000515149401</v>
      </c>
    </row>
    <row r="4175" spans="1:40" x14ac:dyDescent="0.25">
      <c r="A4175" t="str">
        <f>"20190303171101372"</f>
        <v>20190303171101372</v>
      </c>
      <c r="B4175" t="str">
        <f>"1551604261364453"</f>
        <v>1551604261364453</v>
      </c>
      <c r="C4175" t="s">
        <v>40</v>
      </c>
      <c r="D4175">
        <v>5.3216839999999896</v>
      </c>
      <c r="E4175">
        <v>0.53104849999999904</v>
      </c>
      <c r="F4175" t="s">
        <v>42</v>
      </c>
      <c r="G4175">
        <v>-423.65910000000002</v>
      </c>
      <c r="H4175" s="1">
        <v>-1.2956689999999999E-6</v>
      </c>
      <c r="I4175">
        <v>70.339869999999905</v>
      </c>
      <c r="J4175">
        <v>-422.61110000000002</v>
      </c>
      <c r="K4175">
        <v>1.1176469999999901</v>
      </c>
      <c r="L4175">
        <v>98.07217</v>
      </c>
      <c r="M4175">
        <v>6.4381960000000002E-2</v>
      </c>
      <c r="N4175">
        <v>-1.396089E-2</v>
      </c>
      <c r="O4175">
        <v>-0.99782780000000004</v>
      </c>
      <c r="P4175">
        <v>3.3338989999999999E-2</v>
      </c>
      <c r="Q4175">
        <v>0.17938750000000001</v>
      </c>
      <c r="R4175">
        <v>-0.98321349999999996</v>
      </c>
      <c r="S4175">
        <v>-0.1126099</v>
      </c>
      <c r="T4175">
        <v>-0.1224604</v>
      </c>
      <c r="U4175">
        <v>-3.0781860000000001</v>
      </c>
      <c r="V4175">
        <v>3.1676620000000003E-2</v>
      </c>
      <c r="W4175">
        <v>0.19283649999999999</v>
      </c>
      <c r="X4175">
        <v>0.98071940000000002</v>
      </c>
      <c r="Y4175">
        <v>0.1007782</v>
      </c>
      <c r="Z4175">
        <v>2.554354E-2</v>
      </c>
      <c r="AA4175">
        <v>0.99458100000000005</v>
      </c>
      <c r="AB4175">
        <v>34</v>
      </c>
      <c r="AC4175">
        <v>-1.048</v>
      </c>
      <c r="AD4175">
        <v>-1.1176482956689999</v>
      </c>
      <c r="AE4175">
        <v>-27.732299999999999</v>
      </c>
      <c r="AF4175">
        <v>2.8268740902739098</v>
      </c>
      <c r="AG4175">
        <v>-1.1176482956689999</v>
      </c>
      <c r="AH4175">
        <v>27.562571351029099</v>
      </c>
      <c r="AI4175">
        <v>92.309938606288199</v>
      </c>
      <c r="AJ4175">
        <v>84.144102239758794</v>
      </c>
      <c r="AK4175">
        <v>27.7296897623403</v>
      </c>
      <c r="AL4175">
        <v>78.881633664273096</v>
      </c>
      <c r="AM4175">
        <v>88.150025495398793</v>
      </c>
      <c r="AN4175">
        <v>0.99999993276161503</v>
      </c>
    </row>
    <row r="4176" spans="1:40" x14ac:dyDescent="0.25">
      <c r="A4176" t="str">
        <f>"20190303171101392"</f>
        <v>20190303171101392</v>
      </c>
      <c r="B4176" t="str">
        <f>"1551604261384948"</f>
        <v>1551604261384948</v>
      </c>
      <c r="C4176" t="s">
        <v>40</v>
      </c>
      <c r="D4176">
        <v>4.9640139999999997</v>
      </c>
      <c r="E4176">
        <v>0.53060600000000002</v>
      </c>
      <c r="F4176" t="s">
        <v>42</v>
      </c>
      <c r="G4176">
        <v>-423.66300000000001</v>
      </c>
      <c r="H4176" s="1">
        <v>-1.355945E-6</v>
      </c>
      <c r="I4176">
        <v>70.477940000000004</v>
      </c>
      <c r="J4176">
        <v>-422.59359999999998</v>
      </c>
      <c r="K4176">
        <v>1.1178170000000001</v>
      </c>
      <c r="L4176">
        <v>97.751949999999994</v>
      </c>
      <c r="M4176">
        <v>6.1157009999999998E-2</v>
      </c>
      <c r="N4176">
        <v>-1.3951720000000001E-2</v>
      </c>
      <c r="O4176">
        <v>-0.99803070000000005</v>
      </c>
      <c r="P4176">
        <v>3.0133750000000001E-2</v>
      </c>
      <c r="Q4176">
        <v>0.17950450000000001</v>
      </c>
      <c r="R4176">
        <v>-0.9832959</v>
      </c>
      <c r="S4176">
        <v>-0.1173401</v>
      </c>
      <c r="T4176">
        <v>-0.1246657</v>
      </c>
      <c r="U4176">
        <v>-3.0779420000000002</v>
      </c>
      <c r="V4176">
        <v>3.1625920000000002E-2</v>
      </c>
      <c r="W4176">
        <v>0.19295580000000001</v>
      </c>
      <c r="X4176">
        <v>0.98069759999999995</v>
      </c>
      <c r="Y4176">
        <v>9.9091540000000006E-2</v>
      </c>
      <c r="Z4176">
        <v>2.628144E-2</v>
      </c>
      <c r="AA4176">
        <v>0.99473120000000004</v>
      </c>
      <c r="AB4176">
        <v>34</v>
      </c>
      <c r="AC4176">
        <v>-1.0694000000000301</v>
      </c>
      <c r="AD4176">
        <v>-1.1178183559449999</v>
      </c>
      <c r="AE4176">
        <v>-27.274009999999901</v>
      </c>
      <c r="AF4176">
        <v>2.7309767214956802</v>
      </c>
      <c r="AG4176">
        <v>-1.1178183559449999</v>
      </c>
      <c r="AH4176">
        <v>27.112068183160901</v>
      </c>
      <c r="AI4176">
        <v>92.349068247859293</v>
      </c>
      <c r="AJ4176">
        <v>84.248043891657801</v>
      </c>
      <c r="AK4176">
        <v>27.272183500750401</v>
      </c>
      <c r="AL4176">
        <v>78.874667765372607</v>
      </c>
      <c r="AM4176">
        <v>88.1529433896944</v>
      </c>
      <c r="AN4176">
        <v>0.99999996110762202</v>
      </c>
    </row>
    <row r="4177" spans="1:40" x14ac:dyDescent="0.25">
      <c r="A4177" t="str">
        <f>"20190303171101417"</f>
        <v>20190303171101417</v>
      </c>
      <c r="B4177" t="str">
        <f>"1551604261405445"</f>
        <v>1551604261405445</v>
      </c>
      <c r="C4177" t="s">
        <v>40</v>
      </c>
      <c r="D4177">
        <v>5.2607520000000001</v>
      </c>
      <c r="E4177">
        <v>0.5301709</v>
      </c>
      <c r="F4177" t="s">
        <v>42</v>
      </c>
      <c r="G4177">
        <v>-423.70359999999999</v>
      </c>
      <c r="H4177" s="1">
        <v>-1.2797729999999999E-6</v>
      </c>
      <c r="I4177">
        <v>70.275199999999998</v>
      </c>
      <c r="J4177">
        <v>-422.57589999999999</v>
      </c>
      <c r="K4177">
        <v>1.1180030000000001</v>
      </c>
      <c r="L4177">
        <v>97.407169999999994</v>
      </c>
      <c r="M4177">
        <v>5.7894830000000001E-2</v>
      </c>
      <c r="N4177">
        <v>-1.3941830000000001E-2</v>
      </c>
      <c r="O4177">
        <v>-0.99822549999999999</v>
      </c>
      <c r="P4177">
        <v>2.4760049999999999E-2</v>
      </c>
      <c r="Q4177">
        <v>0.1814586</v>
      </c>
      <c r="R4177">
        <v>-0.98308700000000004</v>
      </c>
      <c r="S4177">
        <v>-0.1243286</v>
      </c>
      <c r="T4177">
        <v>-0.12520539999999999</v>
      </c>
      <c r="U4177">
        <v>-3.0776370000000002</v>
      </c>
      <c r="V4177">
        <v>3.3692020000000003E-2</v>
      </c>
      <c r="W4177">
        <v>0.19489239999999999</v>
      </c>
      <c r="X4177">
        <v>0.98024579999999994</v>
      </c>
      <c r="Y4177">
        <v>9.8098420000000006E-2</v>
      </c>
      <c r="Z4177">
        <v>2.6481339999999999E-2</v>
      </c>
      <c r="AA4177">
        <v>0.99482429999999999</v>
      </c>
      <c r="AB4177">
        <v>34</v>
      </c>
      <c r="AC4177">
        <v>-1.1276999999999999</v>
      </c>
      <c r="AD4177">
        <v>-1.1180042797730001</v>
      </c>
      <c r="AE4177">
        <v>-27.1319699999999</v>
      </c>
      <c r="AF4177">
        <v>2.6921980114808499</v>
      </c>
      <c r="AG4177">
        <v>-1.1180042797730001</v>
      </c>
      <c r="AH4177">
        <v>26.975434153118901</v>
      </c>
      <c r="AI4177">
        <v>92.361562535393304</v>
      </c>
      <c r="AJ4177">
        <v>84.300648300027703</v>
      </c>
      <c r="AK4177">
        <v>27.1324881176029</v>
      </c>
      <c r="AL4177">
        <v>78.761562190412505</v>
      </c>
      <c r="AM4177">
        <v>88.031462196058698</v>
      </c>
      <c r="AN4177">
        <v>1.0000000141035399</v>
      </c>
    </row>
    <row r="4178" spans="1:40" x14ac:dyDescent="0.25">
      <c r="A4178" t="str">
        <f>"20190303171101438"</f>
        <v>20190303171101438</v>
      </c>
      <c r="B4178" t="str">
        <f>"1551604261424964"</f>
        <v>1551604261424964</v>
      </c>
      <c r="C4178" t="s">
        <v>40</v>
      </c>
      <c r="D4178">
        <v>5.2616639999999997</v>
      </c>
      <c r="E4178">
        <v>0.52971849999999998</v>
      </c>
      <c r="F4178" t="s">
        <v>42</v>
      </c>
      <c r="G4178">
        <v>-423.85239999999999</v>
      </c>
      <c r="H4178" s="1">
        <v>-4.6466819999999998E-6</v>
      </c>
      <c r="I4178">
        <v>68.633240000000001</v>
      </c>
      <c r="J4178">
        <v>-422.55959999999999</v>
      </c>
      <c r="K4178">
        <v>1.118188</v>
      </c>
      <c r="L4178">
        <v>97.072569999999999</v>
      </c>
      <c r="M4178">
        <v>5.4946229999999999E-2</v>
      </c>
      <c r="N4178">
        <v>-1.393232E-2</v>
      </c>
      <c r="O4178">
        <v>-0.99839219999999895</v>
      </c>
      <c r="P4178">
        <v>1.999768E-2</v>
      </c>
      <c r="Q4178">
        <v>0.18238779999999999</v>
      </c>
      <c r="R4178">
        <v>-0.98302330000000004</v>
      </c>
      <c r="S4178">
        <v>-0.13650509999999999</v>
      </c>
      <c r="T4178">
        <v>-0.1195611</v>
      </c>
      <c r="U4178">
        <v>-3.077118</v>
      </c>
      <c r="V4178">
        <v>3.546378E-2</v>
      </c>
      <c r="W4178">
        <v>0.1958104</v>
      </c>
      <c r="X4178">
        <v>0.98000030000000005</v>
      </c>
      <c r="Y4178">
        <v>9.9098350000000002E-2</v>
      </c>
      <c r="Z4178">
        <v>2.4680500000000001E-2</v>
      </c>
      <c r="AA4178">
        <v>0.99477150000000003</v>
      </c>
      <c r="AB4178">
        <v>34</v>
      </c>
      <c r="AC4178">
        <v>-1.29279999999999</v>
      </c>
      <c r="AD4178">
        <v>-1.118192646682</v>
      </c>
      <c r="AE4178">
        <v>-28.439330000000002</v>
      </c>
      <c r="AF4178">
        <v>2.8492364301784701</v>
      </c>
      <c r="AG4178">
        <v>-1.118192646682</v>
      </c>
      <c r="AH4178">
        <v>28.2816855928024</v>
      </c>
      <c r="AI4178">
        <v>92.252772117899696</v>
      </c>
      <c r="AJ4178">
        <v>84.247151239616301</v>
      </c>
      <c r="AK4178">
        <v>28.446831862270301</v>
      </c>
      <c r="AL4178">
        <v>78.707931102053493</v>
      </c>
      <c r="AM4178">
        <v>87.927512210111999</v>
      </c>
      <c r="AN4178">
        <v>0.99999999022006902</v>
      </c>
    </row>
    <row r="4179" spans="1:40" x14ac:dyDescent="0.25">
      <c r="A4179" t="str">
        <f>"20190303171101461"</f>
        <v>20190303171101461</v>
      </c>
      <c r="B4179" t="str">
        <f>"1551604261455221"</f>
        <v>1551604261455221</v>
      </c>
      <c r="C4179" t="s">
        <v>40</v>
      </c>
      <c r="D4179">
        <v>5.0237509999999999</v>
      </c>
      <c r="E4179">
        <v>0.52914669999999997</v>
      </c>
      <c r="F4179" t="s">
        <v>42</v>
      </c>
      <c r="G4179">
        <v>-423.95769999999999</v>
      </c>
      <c r="H4179" s="1">
        <v>-4.3778620000000003E-6</v>
      </c>
      <c r="I4179">
        <v>67.788399999999996</v>
      </c>
      <c r="J4179">
        <v>-422.54419999999999</v>
      </c>
      <c r="K4179">
        <v>1.1183620000000001</v>
      </c>
      <c r="L4179">
        <v>96.74033</v>
      </c>
      <c r="M4179">
        <v>5.2193530000000002E-2</v>
      </c>
      <c r="N4179">
        <v>-1.392316E-2</v>
      </c>
      <c r="O4179">
        <v>-0.99853990000000004</v>
      </c>
      <c r="P4179">
        <v>1.726047E-2</v>
      </c>
      <c r="Q4179">
        <v>0.1820862</v>
      </c>
      <c r="R4179">
        <v>-0.98313130000000004</v>
      </c>
      <c r="S4179">
        <v>-0.14688109999999999</v>
      </c>
      <c r="T4179">
        <v>-0.117477399999999</v>
      </c>
      <c r="U4179">
        <v>-3.0765989999999999</v>
      </c>
      <c r="V4179">
        <v>3.5414550000000003E-2</v>
      </c>
      <c r="W4179">
        <v>0.19551389999999999</v>
      </c>
      <c r="X4179">
        <v>0.98006130000000002</v>
      </c>
      <c r="Y4179">
        <v>9.9711250000000001E-2</v>
      </c>
      <c r="Z4179">
        <v>2.40276E-2</v>
      </c>
      <c r="AA4179">
        <v>0.9947262</v>
      </c>
      <c r="AB4179">
        <v>34</v>
      </c>
      <c r="AC4179">
        <v>-1.41349999999999</v>
      </c>
      <c r="AD4179">
        <v>-1.1183663778620001</v>
      </c>
      <c r="AE4179">
        <v>-28.951930000000001</v>
      </c>
      <c r="AF4179">
        <v>2.9184785032548599</v>
      </c>
      <c r="AG4179">
        <v>-1.1183663778620001</v>
      </c>
      <c r="AH4179">
        <v>28.795812265153</v>
      </c>
      <c r="AI4179">
        <v>92.212800425915503</v>
      </c>
      <c r="AJ4179">
        <v>84.212788514567094</v>
      </c>
      <c r="AK4179">
        <v>28.964928174242502</v>
      </c>
      <c r="AL4179">
        <v>78.7252543985377</v>
      </c>
      <c r="AM4179">
        <v>87.930515388969496</v>
      </c>
      <c r="AN4179">
        <v>1.0000000136013001</v>
      </c>
    </row>
    <row r="4180" spans="1:40" x14ac:dyDescent="0.25">
      <c r="A4180" t="str">
        <f>"20190303171101483"</f>
        <v>20190303171101483</v>
      </c>
      <c r="B4180" t="str">
        <f>"1551604261474741"</f>
        <v>1551604261474741</v>
      </c>
      <c r="C4180" t="s">
        <v>40</v>
      </c>
      <c r="D4180">
        <v>5.2612509999999997</v>
      </c>
      <c r="E4180">
        <v>0.52102499999999996</v>
      </c>
      <c r="F4180" t="s">
        <v>42</v>
      </c>
      <c r="G4180">
        <v>-423.98239999999998</v>
      </c>
      <c r="H4180" s="1">
        <v>-4.3605739999999999E-6</v>
      </c>
      <c r="I4180">
        <v>67.724729999999994</v>
      </c>
      <c r="J4180">
        <v>-422.529</v>
      </c>
      <c r="K4180">
        <v>1.1185080000000001</v>
      </c>
      <c r="L4180">
        <v>96.394620000000003</v>
      </c>
      <c r="M4180">
        <v>4.9474329999999997E-2</v>
      </c>
      <c r="N4180">
        <v>-1.391413E-2</v>
      </c>
      <c r="O4180">
        <v>-0.99867850000000002</v>
      </c>
      <c r="P4180">
        <v>1.6234060000000002E-2</v>
      </c>
      <c r="Q4180">
        <v>0.18192549999999999</v>
      </c>
      <c r="R4180">
        <v>-0.98317829999999995</v>
      </c>
      <c r="S4180">
        <v>-0.15246579999999901</v>
      </c>
      <c r="T4180">
        <v>-0.1185645</v>
      </c>
      <c r="U4180">
        <v>-3.076111</v>
      </c>
      <c r="V4180">
        <v>3.3696919999999998E-2</v>
      </c>
      <c r="W4180">
        <v>0.19536899999999999</v>
      </c>
      <c r="X4180">
        <v>0.98015079999999999</v>
      </c>
      <c r="Y4180">
        <v>9.8810670000000003E-2</v>
      </c>
      <c r="Z4180">
        <v>2.440194E-2</v>
      </c>
      <c r="AA4180">
        <v>0.994807</v>
      </c>
      <c r="AB4180">
        <v>34</v>
      </c>
      <c r="AC4180">
        <v>-1.45339999999998</v>
      </c>
      <c r="AD4180">
        <v>-1.1185123605739999</v>
      </c>
      <c r="AE4180">
        <v>-28.669889999999899</v>
      </c>
      <c r="AF4180">
        <v>2.86582993639849</v>
      </c>
      <c r="AG4180">
        <v>-1.1185123605739999</v>
      </c>
      <c r="AH4180">
        <v>28.519563979343399</v>
      </c>
      <c r="AI4180">
        <v>92.234696697889504</v>
      </c>
      <c r="AJ4180">
        <v>84.261812226529202</v>
      </c>
      <c r="AK4180">
        <v>28.685006200051198</v>
      </c>
      <c r="AL4180">
        <v>78.733720334878797</v>
      </c>
      <c r="AM4180">
        <v>88.030985451188002</v>
      </c>
      <c r="AN4180">
        <v>1.00000005965956</v>
      </c>
    </row>
    <row r="4181" spans="1:40" x14ac:dyDescent="0.25">
      <c r="A4181" t="str">
        <f>"20190303171101504"</f>
        <v>20190303171101504</v>
      </c>
      <c r="B4181" t="str">
        <f>"1551604261495236"</f>
        <v>1551604261495236</v>
      </c>
      <c r="C4181" t="s">
        <v>40</v>
      </c>
      <c r="D4181">
        <v>5.0021599999999999</v>
      </c>
      <c r="E4181">
        <v>0.52049599999999996</v>
      </c>
      <c r="F4181" t="s">
        <v>42</v>
      </c>
      <c r="G4181">
        <v>-423.33150000000001</v>
      </c>
      <c r="H4181" s="1">
        <v>-4.8550010000000003E-6</v>
      </c>
      <c r="I4181">
        <v>69.516869999999997</v>
      </c>
      <c r="J4181">
        <v>-422.51620000000003</v>
      </c>
      <c r="K4181">
        <v>1.118619</v>
      </c>
      <c r="L4181">
        <v>96.08475</v>
      </c>
      <c r="M4181">
        <v>4.7136909999999997E-2</v>
      </c>
      <c r="N4181">
        <v>-1.390651E-2</v>
      </c>
      <c r="O4181">
        <v>-0.99879180000000001</v>
      </c>
      <c r="P4181">
        <v>1.40784E-2</v>
      </c>
      <c r="Q4181">
        <v>0.18334420000000001</v>
      </c>
      <c r="R4181">
        <v>-0.98294809999999999</v>
      </c>
      <c r="S4181">
        <v>-9.1857910000000001E-2</v>
      </c>
      <c r="T4181">
        <v>-0.12802959999999999</v>
      </c>
      <c r="U4181">
        <v>-3.0765380000000002</v>
      </c>
      <c r="V4181">
        <v>3.3496020000000001E-2</v>
      </c>
      <c r="W4181">
        <v>0.19678570000000001</v>
      </c>
      <c r="X4181">
        <v>0.97987420000000003</v>
      </c>
      <c r="Y4181">
        <v>7.6890479999999997E-2</v>
      </c>
      <c r="Z4181">
        <v>2.7530450000000001E-2</v>
      </c>
      <c r="AA4181">
        <v>0.99665939999999997</v>
      </c>
      <c r="AB4181">
        <v>33</v>
      </c>
      <c r="AC4181">
        <v>-0.81529999999997904</v>
      </c>
      <c r="AD4181">
        <v>-1.1186238550009999</v>
      </c>
      <c r="AE4181">
        <v>-26.567879999999999</v>
      </c>
      <c r="AF4181">
        <v>2.0631881033072301</v>
      </c>
      <c r="AG4181">
        <v>-1.1186238550009999</v>
      </c>
      <c r="AH4181">
        <v>26.453056741777601</v>
      </c>
      <c r="AI4181">
        <v>92.414108638591998</v>
      </c>
      <c r="AJ4181">
        <v>85.540283153203802</v>
      </c>
      <c r="AK4181">
        <v>26.5569628433357</v>
      </c>
      <c r="AL4181">
        <v>78.650942115286398</v>
      </c>
      <c r="AM4181">
        <v>88.042163422619595</v>
      </c>
      <c r="AN4181">
        <v>1.0000000214529801</v>
      </c>
    </row>
    <row r="4182" spans="1:40" x14ac:dyDescent="0.25">
      <c r="A4182" t="str">
        <f>"20190303171101527"</f>
        <v>20190303171101527</v>
      </c>
      <c r="B4182" t="str">
        <f>"1551604261514757"</f>
        <v>1551604261514757</v>
      </c>
      <c r="C4182" t="s">
        <v>40</v>
      </c>
      <c r="D4182">
        <v>5.1461329999999998</v>
      </c>
      <c r="E4182">
        <v>0.52002380000000004</v>
      </c>
      <c r="F4182" t="s">
        <v>42</v>
      </c>
      <c r="G4182">
        <v>-423.34030000000001</v>
      </c>
      <c r="H4182" s="1">
        <v>-4.6950979999999997E-6</v>
      </c>
      <c r="I4182">
        <v>69.042400000000001</v>
      </c>
      <c r="J4182">
        <v>-422.50290000000001</v>
      </c>
      <c r="K4182">
        <v>1.1187339999999999</v>
      </c>
      <c r="L4182">
        <v>95.747649999999993</v>
      </c>
      <c r="M4182">
        <v>4.4683790000000001E-2</v>
      </c>
      <c r="N4182">
        <v>-1.389867E-2</v>
      </c>
      <c r="O4182">
        <v>-0.99890460000000003</v>
      </c>
      <c r="P4182">
        <v>1.194341E-2</v>
      </c>
      <c r="Q4182">
        <v>0.18483740000000001</v>
      </c>
      <c r="R4182">
        <v>-0.98269680000000004</v>
      </c>
      <c r="S4182">
        <v>-9.3780520000000006E-2</v>
      </c>
      <c r="T4182">
        <v>-0.12728689999999901</v>
      </c>
      <c r="U4182">
        <v>-3.077118</v>
      </c>
      <c r="V4182">
        <v>3.3164489999999998E-2</v>
      </c>
      <c r="W4182">
        <v>0.19827739999999999</v>
      </c>
      <c r="X4182">
        <v>0.97958469999999997</v>
      </c>
      <c r="Y4182">
        <v>7.5059290000000001E-2</v>
      </c>
      <c r="Z4182">
        <v>2.7300270000000001E-2</v>
      </c>
      <c r="AA4182">
        <v>0.99680530000000001</v>
      </c>
      <c r="AB4182">
        <v>33</v>
      </c>
      <c r="AC4182">
        <v>-0.83740000000000203</v>
      </c>
      <c r="AD4182">
        <v>-1.1187386950980001</v>
      </c>
      <c r="AE4182">
        <v>-26.7052499999999</v>
      </c>
      <c r="AF4182">
        <v>2.0264175926180701</v>
      </c>
      <c r="AG4182">
        <v>-1.1187386950980001</v>
      </c>
      <c r="AH4182">
        <v>26.594523177712901</v>
      </c>
      <c r="AI4182">
        <v>92.401858849282704</v>
      </c>
      <c r="AJ4182">
        <v>85.642664695886893</v>
      </c>
      <c r="AK4182">
        <v>26.6950671019477</v>
      </c>
      <c r="AL4182">
        <v>78.563755850800206</v>
      </c>
      <c r="AM4182">
        <v>88.060953989637795</v>
      </c>
      <c r="AN4182">
        <v>0.99999999761090497</v>
      </c>
    </row>
    <row r="4183" spans="1:40" x14ac:dyDescent="0.25">
      <c r="A4183" t="str">
        <f>"20190303171101548"</f>
        <v>20190303171101548</v>
      </c>
      <c r="B4183" t="str">
        <f>"1551604261535252"</f>
        <v>1551604261535252</v>
      </c>
      <c r="C4183" t="s">
        <v>40</v>
      </c>
      <c r="D4183">
        <v>5.2594919999999998</v>
      </c>
      <c r="E4183">
        <v>0.51957140000000002</v>
      </c>
      <c r="F4183" t="s">
        <v>42</v>
      </c>
      <c r="G4183">
        <v>-423.36040000000003</v>
      </c>
      <c r="H4183" s="1">
        <v>-4.3339269999999998E-6</v>
      </c>
      <c r="I4183">
        <v>67.970609999999994</v>
      </c>
      <c r="J4183">
        <v>-422.4905</v>
      </c>
      <c r="K4183">
        <v>1.11883</v>
      </c>
      <c r="L4183">
        <v>95.414180000000002</v>
      </c>
      <c r="M4183">
        <v>4.2328339999999999E-2</v>
      </c>
      <c r="N4183">
        <v>-1.3891229999999999E-2</v>
      </c>
      <c r="O4183">
        <v>-0.99900739999999999</v>
      </c>
      <c r="P4183">
        <v>1.0767870000000001E-2</v>
      </c>
      <c r="Q4183">
        <v>0.1854026</v>
      </c>
      <c r="R4183">
        <v>-0.98260400000000003</v>
      </c>
      <c r="S4183">
        <v>-9.5001219999999997E-2</v>
      </c>
      <c r="T4183">
        <v>-0.1239403</v>
      </c>
      <c r="U4183">
        <v>-3.0773009999999998</v>
      </c>
      <c r="V4183">
        <v>3.1978760000000002E-2</v>
      </c>
      <c r="W4183">
        <v>0.198848</v>
      </c>
      <c r="X4183">
        <v>0.9795085</v>
      </c>
      <c r="Y4183">
        <v>7.3103319999999999E-2</v>
      </c>
      <c r="Z4183">
        <v>2.6232620000000002E-2</v>
      </c>
      <c r="AA4183">
        <v>0.99697930000000001</v>
      </c>
      <c r="AB4183">
        <v>33</v>
      </c>
      <c r="AC4183">
        <v>-0.86990000000002898</v>
      </c>
      <c r="AD4183">
        <v>-1.1188343339269999</v>
      </c>
      <c r="AE4183">
        <v>-27.443570000000001</v>
      </c>
      <c r="AF4183">
        <v>2.0275063236408899</v>
      </c>
      <c r="AG4183">
        <v>-1.1188343339269999</v>
      </c>
      <c r="AH4183">
        <v>27.336754006140101</v>
      </c>
      <c r="AI4183">
        <v>92.337272000875501</v>
      </c>
      <c r="AJ4183">
        <v>85.758265651890397</v>
      </c>
      <c r="AK4183">
        <v>27.434662231407099</v>
      </c>
      <c r="AL4183">
        <v>78.530399109900401</v>
      </c>
      <c r="AM4183">
        <v>88.130085226611797</v>
      </c>
      <c r="AN4183">
        <v>1.0000000348836899</v>
      </c>
    </row>
    <row r="4184" spans="1:40" x14ac:dyDescent="0.25">
      <c r="A4184" t="str">
        <f>"20190303171101572"</f>
        <v>20190303171101572</v>
      </c>
      <c r="B4184" t="str">
        <f>"1551604261564532"</f>
        <v>1551604261564532</v>
      </c>
      <c r="C4184" t="s">
        <v>40</v>
      </c>
      <c r="D4184">
        <v>5.2034919999999998</v>
      </c>
      <c r="E4184">
        <v>0.51907209999999904</v>
      </c>
      <c r="F4184" t="s">
        <v>42</v>
      </c>
      <c r="G4184">
        <v>-423.38470000000001</v>
      </c>
      <c r="H4184" s="1">
        <v>-4.0564699999999996E-6</v>
      </c>
      <c r="I4184">
        <v>67.142650000000003</v>
      </c>
      <c r="J4184">
        <v>-422.47829999999999</v>
      </c>
      <c r="K4184">
        <v>1.1189199999999999</v>
      </c>
      <c r="L4184">
        <v>95.065830000000005</v>
      </c>
      <c r="M4184">
        <v>3.9928110000000003E-2</v>
      </c>
      <c r="N4184">
        <v>-1.3883889999999999E-2</v>
      </c>
      <c r="O4184">
        <v>-0.99910620000000006</v>
      </c>
      <c r="P4184">
        <v>9.2874489999999997E-3</v>
      </c>
      <c r="Q4184">
        <v>0.18600420000000001</v>
      </c>
      <c r="R4184">
        <v>-0.98250510000000002</v>
      </c>
      <c r="S4184">
        <v>-9.732056E-2</v>
      </c>
      <c r="T4184">
        <v>-0.1217768</v>
      </c>
      <c r="U4184">
        <v>-3.0771480000000002</v>
      </c>
      <c r="V4184">
        <v>3.105631E-2</v>
      </c>
      <c r="W4184">
        <v>0.19945309999999999</v>
      </c>
      <c r="X4184">
        <v>0.97941509999999998</v>
      </c>
      <c r="Y4184">
        <v>7.1460969999999999E-2</v>
      </c>
      <c r="Z4184">
        <v>2.555031E-2</v>
      </c>
      <c r="AA4184">
        <v>0.99711609999999995</v>
      </c>
      <c r="AB4184">
        <v>33</v>
      </c>
      <c r="AC4184">
        <v>-0.90640000000001897</v>
      </c>
      <c r="AD4184">
        <v>-1.11892405647</v>
      </c>
      <c r="AE4184">
        <v>-27.923179999999999</v>
      </c>
      <c r="AF4184">
        <v>2.0174681206263898</v>
      </c>
      <c r="AG4184">
        <v>-1.11892405647</v>
      </c>
      <c r="AH4184">
        <v>27.820089763029099</v>
      </c>
      <c r="AI4184">
        <v>92.297169060353298</v>
      </c>
      <c r="AJ4184">
        <v>85.852263012651804</v>
      </c>
      <c r="AK4184">
        <v>27.9155792181514</v>
      </c>
      <c r="AL4184">
        <v>78.495020195055602</v>
      </c>
      <c r="AM4184">
        <v>88.183814526005705</v>
      </c>
      <c r="AN4184">
        <v>0.99999998579921801</v>
      </c>
    </row>
    <row r="4185" spans="1:40" x14ac:dyDescent="0.25">
      <c r="A4185" t="str">
        <f>"20190303171101593"</f>
        <v>20190303171101593</v>
      </c>
      <c r="B4185" t="str">
        <f>"1551604261585028"</f>
        <v>1551604261585028</v>
      </c>
      <c r="C4185" t="s">
        <v>40</v>
      </c>
      <c r="D4185">
        <v>5.0253069999999997</v>
      </c>
      <c r="E4185">
        <v>0.49881540000000002</v>
      </c>
      <c r="F4185" t="s">
        <v>42</v>
      </c>
      <c r="G4185">
        <v>-423.42</v>
      </c>
      <c r="H4185" s="1">
        <v>-3.6243920000000002E-6</v>
      </c>
      <c r="I4185">
        <v>65.916499999999999</v>
      </c>
      <c r="J4185">
        <v>-422.46789999999999</v>
      </c>
      <c r="K4185">
        <v>1.118992</v>
      </c>
      <c r="L4185">
        <v>94.749939999999995</v>
      </c>
      <c r="M4185">
        <v>3.7792350000000002E-2</v>
      </c>
      <c r="N4185">
        <v>-1.3877570000000001E-2</v>
      </c>
      <c r="O4185">
        <v>-0.99918929999999995</v>
      </c>
      <c r="P4185">
        <v>6.9869229999999999E-3</v>
      </c>
      <c r="Q4185">
        <v>0.18776780000000001</v>
      </c>
      <c r="R4185">
        <v>-0.98218890000000003</v>
      </c>
      <c r="S4185">
        <v>-9.9395750000000005E-2</v>
      </c>
      <c r="T4185">
        <v>-0.1181016</v>
      </c>
      <c r="U4185">
        <v>-3.0766909999999998</v>
      </c>
      <c r="V4185">
        <v>3.121989E-2</v>
      </c>
      <c r="W4185">
        <v>0.20120959999999999</v>
      </c>
      <c r="X4185">
        <v>0.97905059999999999</v>
      </c>
      <c r="Y4185">
        <v>7.0007410000000006E-2</v>
      </c>
      <c r="Z4185">
        <v>2.4380019999999999E-2</v>
      </c>
      <c r="AA4185">
        <v>0.99724849999999998</v>
      </c>
      <c r="AB4185">
        <v>33</v>
      </c>
      <c r="AC4185">
        <v>-0.95210000000003003</v>
      </c>
      <c r="AD4185">
        <v>-1.1189956243920001</v>
      </c>
      <c r="AE4185">
        <v>-28.83344</v>
      </c>
      <c r="AF4185">
        <v>2.0381416723632402</v>
      </c>
      <c r="AG4185">
        <v>-1.1189956243920001</v>
      </c>
      <c r="AH4185">
        <v>28.733622691889899</v>
      </c>
      <c r="AI4185">
        <v>92.224602966438596</v>
      </c>
      <c r="AJ4185">
        <v>85.942674678166895</v>
      </c>
      <c r="AK4185">
        <v>28.827543178077502</v>
      </c>
      <c r="AL4185">
        <v>78.392298305642299</v>
      </c>
      <c r="AM4185">
        <v>88.173575495695601</v>
      </c>
      <c r="AN4185">
        <v>1.00000003101206</v>
      </c>
    </row>
    <row r="4186" spans="1:40" x14ac:dyDescent="0.25">
      <c r="A4186" t="str">
        <f>"20190303171101618"</f>
        <v>20190303171101618</v>
      </c>
      <c r="B4186" t="str">
        <f>"1551604261604549"</f>
        <v>1551604261604549</v>
      </c>
      <c r="C4186" t="s">
        <v>40</v>
      </c>
      <c r="D4186">
        <v>5.0602010000000002</v>
      </c>
      <c r="E4186">
        <v>0.48112700000000003</v>
      </c>
      <c r="F4186" t="s">
        <v>42</v>
      </c>
      <c r="G4186">
        <v>-421.57159999999999</v>
      </c>
      <c r="H4186" s="1">
        <v>-2.3099210000000001E-6</v>
      </c>
      <c r="I4186">
        <v>43.998869999999997</v>
      </c>
      <c r="J4186">
        <v>-422.45710000000003</v>
      </c>
      <c r="K4186">
        <v>1.119067</v>
      </c>
      <c r="L4186">
        <v>94.398160000000004</v>
      </c>
      <c r="M4186">
        <v>3.5444929999999999E-2</v>
      </c>
      <c r="N4186">
        <v>-1.3871090000000001E-2</v>
      </c>
      <c r="O4186">
        <v>-0.99927560000000004</v>
      </c>
      <c r="P4186">
        <v>3.220625E-3</v>
      </c>
      <c r="Q4186">
        <v>0.18994730000000001</v>
      </c>
      <c r="R4186">
        <v>-0.98178929999999998</v>
      </c>
      <c r="S4186">
        <v>5.41687E-2</v>
      </c>
      <c r="T4186">
        <v>-6.7622299999999996E-2</v>
      </c>
      <c r="U4186">
        <v>-3.0669559999999998</v>
      </c>
      <c r="V4186">
        <v>3.264338E-2</v>
      </c>
      <c r="W4186">
        <v>0.2033732</v>
      </c>
      <c r="X4186">
        <v>0.97855700000000001</v>
      </c>
      <c r="Y4186">
        <v>1.7790770000000001E-2</v>
      </c>
      <c r="Z4186">
        <v>8.1535840000000002E-3</v>
      </c>
      <c r="AA4186">
        <v>0.99980849999999999</v>
      </c>
      <c r="AB4186">
        <v>33</v>
      </c>
      <c r="AC4186">
        <v>0.88550000000003504</v>
      </c>
      <c r="AD4186">
        <v>-1.1190693099210001</v>
      </c>
      <c r="AE4186">
        <v>-50.399290000000001</v>
      </c>
      <c r="AF4186">
        <v>0.90118312729345396</v>
      </c>
      <c r="AG4186">
        <v>-1.1190693099210001</v>
      </c>
      <c r="AH4186">
        <v>50.374176221054803</v>
      </c>
      <c r="AI4186">
        <v>91.272420830105006</v>
      </c>
      <c r="AJ4186">
        <v>88.975100213965504</v>
      </c>
      <c r="AK4186">
        <v>50.3946631807299</v>
      </c>
      <c r="AL4186">
        <v>78.265716027147107</v>
      </c>
      <c r="AM4186">
        <v>88.089396327920198</v>
      </c>
      <c r="AN4186">
        <v>1.0000000254925301</v>
      </c>
    </row>
    <row r="4187" spans="1:40" x14ac:dyDescent="0.25">
      <c r="A4187" t="str">
        <f>"20190303171101639"</f>
        <v>20190303171101639</v>
      </c>
      <c r="B4187" t="str">
        <f>"1551604261634804"</f>
        <v>1551604261634804</v>
      </c>
      <c r="C4187" t="s">
        <v>40</v>
      </c>
      <c r="D4187">
        <v>5.0286359999999997</v>
      </c>
      <c r="E4187">
        <v>0.46290140000000002</v>
      </c>
      <c r="F4187" t="s">
        <v>68</v>
      </c>
      <c r="G4187">
        <v>-418.92669999999998</v>
      </c>
      <c r="H4187" s="1">
        <v>-2.7698460000000001E-6</v>
      </c>
      <c r="I4187">
        <v>35.687779999999997</v>
      </c>
      <c r="J4187">
        <v>-422.4477</v>
      </c>
      <c r="K4187">
        <v>1.119124</v>
      </c>
      <c r="L4187">
        <v>94.065979999999996</v>
      </c>
      <c r="M4187">
        <v>3.3250559999999998E-2</v>
      </c>
      <c r="N4187">
        <v>-1.38654E-2</v>
      </c>
      <c r="O4187">
        <v>-0.99935090000000004</v>
      </c>
      <c r="P4187">
        <v>-1.8567940000000001E-4</v>
      </c>
      <c r="Q4187">
        <v>0.19039610000000001</v>
      </c>
      <c r="R4187">
        <v>-0.98170760000000001</v>
      </c>
      <c r="S4187">
        <v>0.1843872</v>
      </c>
      <c r="T4187">
        <v>-5.8447119999999998E-2</v>
      </c>
      <c r="U4187">
        <v>-3.0663450000000001</v>
      </c>
      <c r="V4187">
        <v>3.3870450000000003E-2</v>
      </c>
      <c r="W4187">
        <v>0.20381199999999999</v>
      </c>
      <c r="X4187">
        <v>0.97842399999999996</v>
      </c>
      <c r="Y4187">
        <v>-2.679024E-2</v>
      </c>
      <c r="Z4187">
        <v>5.1701129999999996E-3</v>
      </c>
      <c r="AA4187">
        <v>0.99962770000000001</v>
      </c>
      <c r="AB4187">
        <v>33</v>
      </c>
      <c r="AC4187">
        <v>3.5210000000000101</v>
      </c>
      <c r="AD4187">
        <v>-1.1191267698459999</v>
      </c>
      <c r="AE4187">
        <v>-58.3782</v>
      </c>
      <c r="AF4187">
        <v>-1.5771807774762301</v>
      </c>
      <c r="AG4187">
        <v>-1.1191267698459999</v>
      </c>
      <c r="AH4187">
        <v>58.441600446297699</v>
      </c>
      <c r="AI4187">
        <v>91.096651617454697</v>
      </c>
      <c r="AJ4187">
        <v>91.545882945359907</v>
      </c>
      <c r="AK4187">
        <v>58.473588966785002</v>
      </c>
      <c r="AL4187">
        <v>78.240036874774304</v>
      </c>
      <c r="AM4187">
        <v>88.017363434790298</v>
      </c>
      <c r="AN4187">
        <v>1.0000000312516</v>
      </c>
    </row>
    <row r="4188" spans="1:40" x14ac:dyDescent="0.25">
      <c r="A4188" t="str">
        <f>"20190303171101663"</f>
        <v>20190303171101663</v>
      </c>
      <c r="B4188" t="str">
        <f>"1551604261655300"</f>
        <v>1551604261655300</v>
      </c>
      <c r="C4188" t="s">
        <v>40</v>
      </c>
      <c r="D4188">
        <v>5.0225759999999999</v>
      </c>
      <c r="E4188">
        <v>0.45701829999999999</v>
      </c>
      <c r="F4188" t="s">
        <v>41</v>
      </c>
      <c r="G4188">
        <v>-411.94490000000002</v>
      </c>
      <c r="H4188">
        <v>-0.05</v>
      </c>
      <c r="I4188">
        <v>-6.7557070000000001</v>
      </c>
      <c r="J4188">
        <v>-422.43860000000001</v>
      </c>
      <c r="K4188">
        <v>1.1191519999999999</v>
      </c>
      <c r="L4188">
        <v>93.719570000000004</v>
      </c>
      <c r="M4188">
        <v>3.097573E-2</v>
      </c>
      <c r="N4188">
        <v>-1.3859969999999999E-2</v>
      </c>
      <c r="O4188">
        <v>-0.99942430000000004</v>
      </c>
      <c r="P4188">
        <v>-3.4231539999999999E-3</v>
      </c>
      <c r="Q4188">
        <v>0.1893601</v>
      </c>
      <c r="R4188">
        <v>-0.98190219999999995</v>
      </c>
      <c r="S4188">
        <v>0.31906129999999999</v>
      </c>
      <c r="T4188">
        <v>-3.5516499999999999E-2</v>
      </c>
      <c r="U4188">
        <v>-3.0628359999999999</v>
      </c>
      <c r="V4188">
        <v>3.4857289999999999E-2</v>
      </c>
      <c r="W4188">
        <v>0.2027709</v>
      </c>
      <c r="X4188">
        <v>0.97860559999999996</v>
      </c>
      <c r="Y4188">
        <v>-7.2736460000000003E-2</v>
      </c>
      <c r="Z4188">
        <v>-2.2975999999999999E-3</v>
      </c>
      <c r="AA4188">
        <v>0.99734849999999997</v>
      </c>
      <c r="AB4188">
        <v>33</v>
      </c>
      <c r="AC4188">
        <v>10.493699999999899</v>
      </c>
      <c r="AD4188">
        <v>-1.169152</v>
      </c>
      <c r="AE4188">
        <v>-100.47527700000001</v>
      </c>
      <c r="AF4188">
        <v>-7.3750824633078498</v>
      </c>
      <c r="AG4188">
        <v>-1.169152</v>
      </c>
      <c r="AH4188">
        <v>100.738641557926</v>
      </c>
      <c r="AI4188">
        <v>90.663158569461203</v>
      </c>
      <c r="AJ4188">
        <v>94.187157730017205</v>
      </c>
      <c r="AK4188">
        <v>101.01501205600999</v>
      </c>
      <c r="AL4188">
        <v>78.300959249150296</v>
      </c>
      <c r="AM4188">
        <v>87.960024330549103</v>
      </c>
      <c r="AN4188">
        <v>0.99999999445215704</v>
      </c>
    </row>
    <row r="4189" spans="1:40" x14ac:dyDescent="0.25">
      <c r="A4189" t="str">
        <f>"20190303171101684"</f>
        <v>20190303171101684</v>
      </c>
      <c r="B4189" t="str">
        <f>"1551604261674820"</f>
        <v>1551604261674820</v>
      </c>
      <c r="C4189" t="s">
        <v>40</v>
      </c>
      <c r="D4189">
        <v>5.0212009999999996</v>
      </c>
      <c r="E4189">
        <v>0.45353870000000002</v>
      </c>
      <c r="F4189" t="s">
        <v>92</v>
      </c>
      <c r="G4189">
        <v>-411.6404</v>
      </c>
      <c r="H4189">
        <v>0.14674409999999999</v>
      </c>
      <c r="I4189">
        <v>0.56240459999999903</v>
      </c>
      <c r="J4189">
        <v>-422.43090000000001</v>
      </c>
      <c r="K4189">
        <v>1.1191660000000001</v>
      </c>
      <c r="L4189">
        <v>93.397919999999999</v>
      </c>
      <c r="M4189">
        <v>2.886917E-2</v>
      </c>
      <c r="N4189">
        <v>-1.3855289999999999E-2</v>
      </c>
      <c r="O4189">
        <v>-0.99948720000000002</v>
      </c>
      <c r="P4189">
        <v>-8.1148729999999999E-3</v>
      </c>
      <c r="Q4189">
        <v>0.1893841</v>
      </c>
      <c r="R4189">
        <v>-0.9818694</v>
      </c>
      <c r="S4189">
        <v>0.35501100000000002</v>
      </c>
      <c r="T4189">
        <v>-3.1970499999999999E-2</v>
      </c>
      <c r="U4189">
        <v>-3.0627140000000002</v>
      </c>
      <c r="V4189">
        <v>3.7466869999999999E-2</v>
      </c>
      <c r="W4189">
        <v>0.20277790000000001</v>
      </c>
      <c r="X4189">
        <v>0.97850769999999998</v>
      </c>
      <c r="Y4189">
        <v>-8.6399870000000004E-2</v>
      </c>
      <c r="Z4189">
        <v>-3.4551690000000001E-3</v>
      </c>
      <c r="AA4189">
        <v>0.99625459999999999</v>
      </c>
      <c r="AB4189">
        <v>33</v>
      </c>
      <c r="AC4189">
        <v>10.7905</v>
      </c>
      <c r="AD4189">
        <v>-0.97242189999999895</v>
      </c>
      <c r="AE4189">
        <v>-92.835515400000006</v>
      </c>
      <c r="AF4189">
        <v>-8.1047827698706207</v>
      </c>
      <c r="AG4189">
        <v>-0.97242189999999895</v>
      </c>
      <c r="AH4189">
        <v>93.098278203424201</v>
      </c>
      <c r="AI4189">
        <v>90.596184297448204</v>
      </c>
      <c r="AJ4189">
        <v>94.975409233170097</v>
      </c>
      <c r="AK4189">
        <v>93.455457371630004</v>
      </c>
      <c r="AL4189">
        <v>78.300549510481105</v>
      </c>
      <c r="AM4189">
        <v>87.807226914295399</v>
      </c>
      <c r="AN4189">
        <v>0.99999998101764798</v>
      </c>
    </row>
    <row r="4190" spans="1:40" x14ac:dyDescent="0.25">
      <c r="A4190" t="str">
        <f>"20190303171101705"</f>
        <v>20190303171101705</v>
      </c>
      <c r="B4190" t="str">
        <f>"1551604261695317"</f>
        <v>1551604261695317</v>
      </c>
      <c r="C4190" t="s">
        <v>40</v>
      </c>
      <c r="D4190">
        <v>5.0150769999999998</v>
      </c>
      <c r="E4190">
        <v>0.45099879999999998</v>
      </c>
      <c r="F4190" t="s">
        <v>92</v>
      </c>
      <c r="G4190">
        <v>-411.26729999999998</v>
      </c>
      <c r="H4190">
        <v>0.23313809999999999</v>
      </c>
      <c r="I4190">
        <v>0.56619830000000004</v>
      </c>
      <c r="J4190">
        <v>-422.42399999999998</v>
      </c>
      <c r="K4190">
        <v>1.1191850000000001</v>
      </c>
      <c r="L4190">
        <v>93.083740000000006</v>
      </c>
      <c r="M4190">
        <v>2.681209E-2</v>
      </c>
      <c r="N4190">
        <v>-1.385102E-2</v>
      </c>
      <c r="O4190">
        <v>-0.99954480000000001</v>
      </c>
      <c r="P4190">
        <v>-1.2924740000000001E-2</v>
      </c>
      <c r="Q4190">
        <v>0.1900772</v>
      </c>
      <c r="R4190">
        <v>-0.98168429999999995</v>
      </c>
      <c r="S4190">
        <v>0.3684692</v>
      </c>
      <c r="T4190">
        <v>-2.9245500000000001E-2</v>
      </c>
      <c r="U4190">
        <v>-3.0640559999999999</v>
      </c>
      <c r="V4190">
        <v>4.024573E-2</v>
      </c>
      <c r="W4190">
        <v>0.2034511</v>
      </c>
      <c r="X4190">
        <v>0.97825759999999995</v>
      </c>
      <c r="Y4190">
        <v>-9.2713329999999997E-2</v>
      </c>
      <c r="Z4190">
        <v>-4.344657E-3</v>
      </c>
      <c r="AA4190">
        <v>0.9956834</v>
      </c>
      <c r="AB4190">
        <v>33</v>
      </c>
      <c r="AC4190">
        <v>11.156700000000001</v>
      </c>
      <c r="AD4190">
        <v>-0.88604689999999997</v>
      </c>
      <c r="AE4190">
        <v>-92.517541699999995</v>
      </c>
      <c r="AF4190">
        <v>-8.6710784250057493</v>
      </c>
      <c r="AG4190">
        <v>-0.88604689999999997</v>
      </c>
      <c r="AH4190">
        <v>92.775050152137098</v>
      </c>
      <c r="AI4190">
        <v>90.544811693199904</v>
      </c>
      <c r="AJ4190">
        <v>95.339550871584393</v>
      </c>
      <c r="AK4190">
        <v>93.183596254347094</v>
      </c>
      <c r="AL4190">
        <v>78.261157080751204</v>
      </c>
      <c r="AM4190">
        <v>87.644167690910294</v>
      </c>
      <c r="AN4190">
        <v>1.0000000004161</v>
      </c>
    </row>
    <row r="4191" spans="1:40" x14ac:dyDescent="0.25">
      <c r="A4191" t="str">
        <f>"20190303171101728"</f>
        <v>20190303171101728</v>
      </c>
      <c r="B4191" t="str">
        <f>"1551604261714837"</f>
        <v>1551604261714837</v>
      </c>
      <c r="C4191" t="s">
        <v>40</v>
      </c>
      <c r="D4191">
        <v>4.9521269999999999</v>
      </c>
      <c r="E4191">
        <v>0.44897779999999998</v>
      </c>
      <c r="F4191" t="s">
        <v>92</v>
      </c>
      <c r="G4191">
        <v>-411.05880000000002</v>
      </c>
      <c r="H4191">
        <v>0.4040531</v>
      </c>
      <c r="I4191">
        <v>0.56831929999999997</v>
      </c>
      <c r="J4191">
        <v>-422.41739999999999</v>
      </c>
      <c r="K4191">
        <v>1.119197</v>
      </c>
      <c r="L4191">
        <v>92.753630000000001</v>
      </c>
      <c r="M4191">
        <v>2.4647760000000001E-2</v>
      </c>
      <c r="N4191">
        <v>-1.3846819999999999E-2</v>
      </c>
      <c r="O4191">
        <v>-0.99960039999999994</v>
      </c>
      <c r="P4191">
        <v>-1.6363610000000001E-2</v>
      </c>
      <c r="Q4191">
        <v>0.18976090000000001</v>
      </c>
      <c r="R4191">
        <v>-0.98169390000000001</v>
      </c>
      <c r="S4191">
        <v>0.3765869</v>
      </c>
      <c r="T4191">
        <v>-2.36969E-2</v>
      </c>
      <c r="U4191">
        <v>-3.0655209999999999</v>
      </c>
      <c r="V4191">
        <v>4.1551299999999999E-2</v>
      </c>
      <c r="W4191">
        <v>0.20312569999999999</v>
      </c>
      <c r="X4191">
        <v>0.97827059999999999</v>
      </c>
      <c r="Y4191">
        <v>-9.7409380000000004E-2</v>
      </c>
      <c r="Z4191">
        <v>-6.1471240000000003E-3</v>
      </c>
      <c r="AA4191">
        <v>0.99522540000000004</v>
      </c>
      <c r="AB4191">
        <v>33</v>
      </c>
      <c r="AC4191">
        <v>11.3585999999999</v>
      </c>
      <c r="AD4191">
        <v>-0.71514389999999906</v>
      </c>
      <c r="AE4191">
        <v>-92.185310700000002</v>
      </c>
      <c r="AF4191">
        <v>-9.0822311261411901</v>
      </c>
      <c r="AG4191">
        <v>-0.71514389999999906</v>
      </c>
      <c r="AH4191">
        <v>92.431810595376206</v>
      </c>
      <c r="AI4191">
        <v>90.441163502620398</v>
      </c>
      <c r="AJ4191">
        <v>95.611795843451404</v>
      </c>
      <c r="AK4191">
        <v>92.879696182566505</v>
      </c>
      <c r="AL4191">
        <v>78.280198301520102</v>
      </c>
      <c r="AM4191">
        <v>87.567867193638506</v>
      </c>
      <c r="AN4191">
        <v>0.99999996367826904</v>
      </c>
    </row>
    <row r="4192" spans="1:40" x14ac:dyDescent="0.25">
      <c r="A4192" t="str">
        <f>"20190303171101751"</f>
        <v>20190303171101751</v>
      </c>
      <c r="B4192" t="str">
        <f>"1551604261745093"</f>
        <v>1551604261745093</v>
      </c>
      <c r="C4192" t="s">
        <v>40</v>
      </c>
      <c r="D4192">
        <v>4.9896379999999896</v>
      </c>
      <c r="E4192">
        <v>0.4465692</v>
      </c>
      <c r="F4192" t="s">
        <v>92</v>
      </c>
      <c r="G4192">
        <v>-410.88310000000001</v>
      </c>
      <c r="H4192">
        <v>0.45995150000000001</v>
      </c>
      <c r="I4192">
        <v>0.57010269999999996</v>
      </c>
      <c r="J4192">
        <v>-422.41090000000003</v>
      </c>
      <c r="K4192">
        <v>1.1191990000000001</v>
      </c>
      <c r="L4192">
        <v>92.385890000000003</v>
      </c>
      <c r="M4192">
        <v>2.2233119999999999E-2</v>
      </c>
      <c r="N4192">
        <v>-1.3842439999999999E-2</v>
      </c>
      <c r="O4192">
        <v>-0.99965709999999997</v>
      </c>
      <c r="P4192">
        <v>-1.783976E-2</v>
      </c>
      <c r="Q4192">
        <v>0.18760779999999999</v>
      </c>
      <c r="R4192">
        <v>-0.98208200000000001</v>
      </c>
      <c r="S4192">
        <v>0.38369750000000002</v>
      </c>
      <c r="T4192">
        <v>-2.193117E-2</v>
      </c>
      <c r="U4192">
        <v>-3.0665589999999998</v>
      </c>
      <c r="V4192">
        <v>4.0649530000000003E-2</v>
      </c>
      <c r="W4192">
        <v>0.2009803</v>
      </c>
      <c r="X4192">
        <v>0.9787515</v>
      </c>
      <c r="Y4192">
        <v>-0.1020436</v>
      </c>
      <c r="Z4192">
        <v>-6.7210639999999997E-3</v>
      </c>
      <c r="AA4192">
        <v>0.99475720000000001</v>
      </c>
      <c r="AB4192">
        <v>33</v>
      </c>
      <c r="AC4192">
        <v>11.527799999999999</v>
      </c>
      <c r="AD4192">
        <v>-0.65924749999999999</v>
      </c>
      <c r="AE4192">
        <v>-91.815787299999997</v>
      </c>
      <c r="AF4192">
        <v>-9.4829218716277097</v>
      </c>
      <c r="AG4192">
        <v>-0.65924749999999999</v>
      </c>
      <c r="AH4192">
        <v>92.044739202045207</v>
      </c>
      <c r="AI4192">
        <v>90.408199163967893</v>
      </c>
      <c r="AJ4192">
        <v>95.882152710436799</v>
      </c>
      <c r="AK4192">
        <v>92.534287857324401</v>
      </c>
      <c r="AL4192">
        <v>78.405709633187101</v>
      </c>
      <c r="AM4192">
        <v>87.621757145346393</v>
      </c>
      <c r="AN4192">
        <v>0.99999998201478002</v>
      </c>
    </row>
    <row r="4193" spans="1:40" x14ac:dyDescent="0.25">
      <c r="A4193" t="str">
        <f>"20190303171101773"</f>
        <v>20190303171101773</v>
      </c>
      <c r="B4193" t="str">
        <f>"1551604261764613"</f>
        <v>1551604261764613</v>
      </c>
      <c r="C4193" t="s">
        <v>40</v>
      </c>
      <c r="D4193">
        <v>4.9698359999999999</v>
      </c>
      <c r="E4193">
        <v>0.44523210000000002</v>
      </c>
      <c r="F4193" t="s">
        <v>92</v>
      </c>
      <c r="G4193">
        <v>-410.4864</v>
      </c>
      <c r="H4193">
        <v>0.32123829999999998</v>
      </c>
      <c r="I4193">
        <v>0.5741425</v>
      </c>
      <c r="J4193">
        <v>-422.40620000000001</v>
      </c>
      <c r="K4193">
        <v>1.1192029999999999</v>
      </c>
      <c r="L4193">
        <v>92.082459999999998</v>
      </c>
      <c r="M4193">
        <v>2.02379E-2</v>
      </c>
      <c r="N4193">
        <v>-1.383905E-2</v>
      </c>
      <c r="O4193">
        <v>-0.99969940000000002</v>
      </c>
      <c r="P4193">
        <v>-1.9741270000000002E-2</v>
      </c>
      <c r="Q4193">
        <v>0.18663869999999999</v>
      </c>
      <c r="R4193">
        <v>-0.9822303</v>
      </c>
      <c r="S4193">
        <v>0.39834589999999998</v>
      </c>
      <c r="T4193">
        <v>-2.6657460000000001E-2</v>
      </c>
      <c r="U4193">
        <v>-3.0670470000000001</v>
      </c>
      <c r="V4193">
        <v>4.058606E-2</v>
      </c>
      <c r="W4193">
        <v>0.20001150000000001</v>
      </c>
      <c r="X4193">
        <v>0.97895259999999995</v>
      </c>
      <c r="Y4193">
        <v>-0.10868129999999999</v>
      </c>
      <c r="Z4193">
        <v>-5.1946429999999997E-3</v>
      </c>
      <c r="AA4193">
        <v>0.99406309999999998</v>
      </c>
      <c r="AB4193">
        <v>33</v>
      </c>
      <c r="AC4193">
        <v>11.9198</v>
      </c>
      <c r="AD4193">
        <v>-0.79796469999999997</v>
      </c>
      <c r="AE4193">
        <v>-91.508317500000004</v>
      </c>
      <c r="AF4193">
        <v>-10.0644921666598</v>
      </c>
      <c r="AG4193">
        <v>-0.79796469999999997</v>
      </c>
      <c r="AH4193">
        <v>91.723968779385402</v>
      </c>
      <c r="AI4193">
        <v>90.4954660025072</v>
      </c>
      <c r="AJ4193">
        <v>96.261779245664101</v>
      </c>
      <c r="AK4193">
        <v>92.277934517829706</v>
      </c>
      <c r="AL4193">
        <v>78.462368603301798</v>
      </c>
      <c r="AM4193">
        <v>87.625953496792604</v>
      </c>
      <c r="AN4193">
        <v>1.0000000107226601</v>
      </c>
    </row>
    <row r="4194" spans="1:40" x14ac:dyDescent="0.25">
      <c r="A4194" t="str">
        <f>"20190303171101794"</f>
        <v>20190303171101794</v>
      </c>
      <c r="B4194" t="str">
        <f>"1551604261785109"</f>
        <v>1551604261785109</v>
      </c>
      <c r="C4194" t="s">
        <v>40</v>
      </c>
      <c r="D4194">
        <v>4.978218</v>
      </c>
      <c r="E4194">
        <v>0.44403500000000001</v>
      </c>
      <c r="F4194" t="s">
        <v>92</v>
      </c>
      <c r="G4194">
        <v>-410.39339999999999</v>
      </c>
      <c r="H4194">
        <v>0.28751159999999998</v>
      </c>
      <c r="I4194">
        <v>0.5750866</v>
      </c>
      <c r="J4194">
        <v>-422.40170000000001</v>
      </c>
      <c r="K4194">
        <v>1.119213</v>
      </c>
      <c r="L4194">
        <v>91.753020000000006</v>
      </c>
      <c r="M4194">
        <v>1.8070099999999999E-2</v>
      </c>
      <c r="N4194">
        <v>-1.3835500000000001E-2</v>
      </c>
      <c r="O4194">
        <v>-0.99974110000000005</v>
      </c>
      <c r="P4194">
        <v>-2.2793359999999999E-2</v>
      </c>
      <c r="Q4194">
        <v>0.1876698</v>
      </c>
      <c r="R4194">
        <v>-0.98196760000000005</v>
      </c>
      <c r="S4194">
        <v>0.40271000000000001</v>
      </c>
      <c r="T4194">
        <v>-2.78821E-2</v>
      </c>
      <c r="U4194">
        <v>-3.0676570000000001</v>
      </c>
      <c r="V4194">
        <v>4.1505529999999999E-2</v>
      </c>
      <c r="W4194">
        <v>0.20103219999999999</v>
      </c>
      <c r="X4194">
        <v>0.97870489999999999</v>
      </c>
      <c r="Y4194">
        <v>-0.1122008</v>
      </c>
      <c r="Z4194">
        <v>-4.800398E-3</v>
      </c>
      <c r="AA4194">
        <v>0.99367399999999995</v>
      </c>
      <c r="AB4194">
        <v>33</v>
      </c>
      <c r="AC4194">
        <v>12.0083</v>
      </c>
      <c r="AD4194">
        <v>-0.83170140000000004</v>
      </c>
      <c r="AE4194">
        <v>-91.177933400000001</v>
      </c>
      <c r="AF4194">
        <v>-10.357739894433699</v>
      </c>
      <c r="AG4194">
        <v>-0.83170140000000004</v>
      </c>
      <c r="AH4194">
        <v>91.372582033846399</v>
      </c>
      <c r="AI4194">
        <v>90.518190910656003</v>
      </c>
      <c r="AJ4194">
        <v>96.467282112987505</v>
      </c>
      <c r="AK4194">
        <v>91.961531362148804</v>
      </c>
      <c r="AL4194">
        <v>78.402673858981302</v>
      </c>
      <c r="AM4194">
        <v>87.571619828790006</v>
      </c>
      <c r="AN4194">
        <v>0.99999996787071399</v>
      </c>
    </row>
    <row r="4195" spans="1:40" x14ac:dyDescent="0.25">
      <c r="A4195" t="str">
        <f>"20190303171101819"</f>
        <v>20190303171101819</v>
      </c>
      <c r="B4195" t="str">
        <f>"1551604261804629"</f>
        <v>1551604261804629</v>
      </c>
      <c r="C4195" t="s">
        <v>40</v>
      </c>
      <c r="D4195">
        <v>4.9855169999999998</v>
      </c>
      <c r="E4195">
        <v>0.4430345</v>
      </c>
      <c r="F4195" t="s">
        <v>92</v>
      </c>
      <c r="G4195">
        <v>-410.37889999999999</v>
      </c>
      <c r="H4195">
        <v>0.47429929999999898</v>
      </c>
      <c r="I4195">
        <v>0.57523349999999995</v>
      </c>
      <c r="J4195">
        <v>-422.39789999999999</v>
      </c>
      <c r="K4195">
        <v>1.1192219999999999</v>
      </c>
      <c r="L4195">
        <v>91.412260000000003</v>
      </c>
      <c r="M4195">
        <v>1.5826509999999998E-2</v>
      </c>
      <c r="N4195">
        <v>-1.383202E-2</v>
      </c>
      <c r="O4195">
        <v>-0.99977939999999998</v>
      </c>
      <c r="P4195">
        <v>-2.510561E-2</v>
      </c>
      <c r="Q4195">
        <v>0.1883128</v>
      </c>
      <c r="R4195">
        <v>-0.98178869999999896</v>
      </c>
      <c r="S4195">
        <v>0.40463260000000001</v>
      </c>
      <c r="T4195">
        <v>-2.170563E-2</v>
      </c>
      <c r="U4195">
        <v>-3.0686339999999999</v>
      </c>
      <c r="V4195">
        <v>4.1612150000000001E-2</v>
      </c>
      <c r="W4195">
        <v>0.20167019999999999</v>
      </c>
      <c r="X4195">
        <v>0.97856909999999997</v>
      </c>
      <c r="Y4195">
        <v>-0.11500109999999999</v>
      </c>
      <c r="Z4195">
        <v>-6.7999380000000002E-3</v>
      </c>
      <c r="AA4195">
        <v>0.99334210000000001</v>
      </c>
      <c r="AB4195">
        <v>33</v>
      </c>
      <c r="AC4195">
        <v>12.019</v>
      </c>
      <c r="AD4195">
        <v>-0.64492269999999996</v>
      </c>
      <c r="AE4195">
        <v>-90.837026499999993</v>
      </c>
      <c r="AF4195">
        <v>-10.579200092961599</v>
      </c>
      <c r="AG4195">
        <v>-0.64492269999999996</v>
      </c>
      <c r="AH4195">
        <v>91.011375558152096</v>
      </c>
      <c r="AI4195">
        <v>90.403285895566697</v>
      </c>
      <c r="AJ4195">
        <v>96.630329413857496</v>
      </c>
      <c r="AK4195">
        <v>91.626447496794796</v>
      </c>
      <c r="AL4195">
        <v>78.365354753922603</v>
      </c>
      <c r="AM4195">
        <v>87.565051813362999</v>
      </c>
      <c r="AN4195">
        <v>0.999999962035235</v>
      </c>
    </row>
    <row r="4196" spans="1:40" x14ac:dyDescent="0.25">
      <c r="A4196" t="str">
        <f>"20190303171101840"</f>
        <v>20190303171101840</v>
      </c>
      <c r="B4196" t="str">
        <f>"1551604261834884"</f>
        <v>1551604261834884</v>
      </c>
      <c r="C4196" t="s">
        <v>40</v>
      </c>
      <c r="D4196">
        <v>4.9761430000000004</v>
      </c>
      <c r="E4196">
        <v>0.441695</v>
      </c>
      <c r="F4196" t="s">
        <v>92</v>
      </c>
      <c r="G4196">
        <v>-410.36160000000001</v>
      </c>
      <c r="H4196">
        <v>0.60284859999999996</v>
      </c>
      <c r="I4196">
        <v>0.5754108</v>
      </c>
      <c r="J4196">
        <v>-422.39499999999998</v>
      </c>
      <c r="K4196">
        <v>1.1192329999999999</v>
      </c>
      <c r="L4196">
        <v>91.086429999999993</v>
      </c>
      <c r="M4196">
        <v>1.3680879999999999E-2</v>
      </c>
      <c r="N4196">
        <v>-1.38288E-2</v>
      </c>
      <c r="O4196">
        <v>-0.99981100000000001</v>
      </c>
      <c r="P4196">
        <v>-2.4989460000000002E-2</v>
      </c>
      <c r="Q4196">
        <v>0.18792110000000001</v>
      </c>
      <c r="R4196">
        <v>-0.98186660000000003</v>
      </c>
      <c r="S4196">
        <v>0.40670780000000001</v>
      </c>
      <c r="T4196">
        <v>-1.7449260000000001E-2</v>
      </c>
      <c r="U4196">
        <v>-3.0693969999999999</v>
      </c>
      <c r="V4196">
        <v>3.9386869999999997E-2</v>
      </c>
      <c r="W4196">
        <v>0.2012891</v>
      </c>
      <c r="X4196">
        <v>0.97873969999999999</v>
      </c>
      <c r="Y4196">
        <v>-0.1177599</v>
      </c>
      <c r="Z4196">
        <v>-8.1770419999999903E-3</v>
      </c>
      <c r="AA4196">
        <v>0.99300840000000001</v>
      </c>
      <c r="AB4196">
        <v>33</v>
      </c>
      <c r="AC4196">
        <v>12.033399999999901</v>
      </c>
      <c r="AD4196">
        <v>-0.51638439999999997</v>
      </c>
      <c r="AE4196">
        <v>-90.511019200000007</v>
      </c>
      <c r="AF4196">
        <v>-10.7935398474189</v>
      </c>
      <c r="AG4196">
        <v>-0.51638439999999997</v>
      </c>
      <c r="AH4196">
        <v>90.664290267076296</v>
      </c>
      <c r="AI4196">
        <v>90.324040186145993</v>
      </c>
      <c r="AJ4196">
        <v>96.789081725903102</v>
      </c>
      <c r="AK4196">
        <v>91.305972887424204</v>
      </c>
      <c r="AL4196">
        <v>78.387647947044002</v>
      </c>
      <c r="AM4196">
        <v>87.695521706375999</v>
      </c>
      <c r="AN4196">
        <v>1.0000000138316401</v>
      </c>
    </row>
    <row r="4197" spans="1:40" x14ac:dyDescent="0.25">
      <c r="A4197" t="str">
        <f>"20190303171101863"</f>
        <v>20190303171101863</v>
      </c>
      <c r="B4197" t="str">
        <f>"1551604261855381"</f>
        <v>1551604261855381</v>
      </c>
      <c r="C4197" t="s">
        <v>40</v>
      </c>
      <c r="D4197">
        <v>4.9573289999999997</v>
      </c>
      <c r="E4197">
        <v>0.41477969999999997</v>
      </c>
      <c r="F4197" t="s">
        <v>92</v>
      </c>
      <c r="G4197">
        <v>-410.0795</v>
      </c>
      <c r="H4197">
        <v>0.62342549999999997</v>
      </c>
      <c r="I4197">
        <v>0.57827949999999995</v>
      </c>
      <c r="J4197">
        <v>-422.39269999999999</v>
      </c>
      <c r="K4197">
        <v>1.1192340000000001</v>
      </c>
      <c r="L4197">
        <v>90.746309999999994</v>
      </c>
      <c r="M4197">
        <v>1.1441339999999999E-2</v>
      </c>
      <c r="N4197">
        <v>-1.3825570000000001E-2</v>
      </c>
      <c r="O4197">
        <v>-0.99983920000000004</v>
      </c>
      <c r="P4197">
        <v>-2.409503E-2</v>
      </c>
      <c r="Q4197">
        <v>0.18761520000000001</v>
      </c>
      <c r="R4197">
        <v>-0.98194720000000002</v>
      </c>
      <c r="S4197">
        <v>0.41763309999999998</v>
      </c>
      <c r="T4197">
        <v>-1.6814349999999999E-2</v>
      </c>
      <c r="U4197">
        <v>-3.0692439999999999</v>
      </c>
      <c r="V4197">
        <v>3.6291509999999999E-2</v>
      </c>
      <c r="W4197">
        <v>0.20099719999999999</v>
      </c>
      <c r="X4197">
        <v>0.97891930000000005</v>
      </c>
      <c r="Y4197">
        <v>-0.12346</v>
      </c>
      <c r="Z4197">
        <v>-8.3834359999999993E-3</v>
      </c>
      <c r="AA4197">
        <v>0.99231420000000004</v>
      </c>
      <c r="AB4197">
        <v>33</v>
      </c>
      <c r="AC4197">
        <v>12.313199999999901</v>
      </c>
      <c r="AD4197">
        <v>-0.49580849999999999</v>
      </c>
      <c r="AE4197">
        <v>-90.1680305</v>
      </c>
      <c r="AF4197">
        <v>-11.280317608421401</v>
      </c>
      <c r="AG4197">
        <v>-0.49580849999999999</v>
      </c>
      <c r="AH4197">
        <v>90.300340103977206</v>
      </c>
      <c r="AI4197">
        <v>90.312162335365002</v>
      </c>
      <c r="AJ4197">
        <v>97.120502611857006</v>
      </c>
      <c r="AK4197">
        <v>91.003531878216094</v>
      </c>
      <c r="AL4197">
        <v>78.404721045706395</v>
      </c>
      <c r="AM4197">
        <v>87.8768438692031</v>
      </c>
      <c r="AN4197">
        <v>0.99999997200920399</v>
      </c>
    </row>
    <row r="4198" spans="1:40" x14ac:dyDescent="0.25">
      <c r="A4198" t="str">
        <f>"20190303171101884"</f>
        <v>20190303171101884</v>
      </c>
      <c r="B4198" t="str">
        <f>"1551604261874901"</f>
        <v>1551604261874901</v>
      </c>
      <c r="C4198" t="s">
        <v>40</v>
      </c>
      <c r="D4198">
        <v>4.8113809999999999</v>
      </c>
      <c r="E4198">
        <v>0.41195320000000002</v>
      </c>
      <c r="F4198" t="s">
        <v>92</v>
      </c>
      <c r="G4198">
        <v>-403.80529999999999</v>
      </c>
      <c r="H4198">
        <v>1.9964310000000001</v>
      </c>
      <c r="I4198">
        <v>0.64209179999999999</v>
      </c>
      <c r="J4198">
        <v>-422.39120000000003</v>
      </c>
      <c r="K4198">
        <v>1.119232</v>
      </c>
      <c r="L4198">
        <v>90.431849999999997</v>
      </c>
      <c r="M4198">
        <v>9.3703380000000006E-3</v>
      </c>
      <c r="N4198">
        <v>-1.3822650000000001E-2</v>
      </c>
      <c r="O4198">
        <v>-0.99986059999999999</v>
      </c>
      <c r="P4198">
        <v>-2.505315E-2</v>
      </c>
      <c r="Q4198">
        <v>0.1884305</v>
      </c>
      <c r="R4198">
        <v>-0.9817671</v>
      </c>
      <c r="S4198">
        <v>0.63226319999999903</v>
      </c>
      <c r="T4198">
        <v>2.983773E-2</v>
      </c>
      <c r="U4198">
        <v>-3.064972</v>
      </c>
      <c r="V4198">
        <v>3.521664E-2</v>
      </c>
      <c r="W4198">
        <v>0.2018131</v>
      </c>
      <c r="X4198">
        <v>0.97879070000000001</v>
      </c>
      <c r="Y4198">
        <v>-0.19278529999999999</v>
      </c>
      <c r="Z4198">
        <v>-2.3350070000000001E-2</v>
      </c>
      <c r="AA4198">
        <v>0.98096309999999998</v>
      </c>
      <c r="AB4198">
        <v>33</v>
      </c>
      <c r="AC4198">
        <v>18.585899999999999</v>
      </c>
      <c r="AD4198">
        <v>0.87719899999999995</v>
      </c>
      <c r="AE4198">
        <v>-89.789758199999994</v>
      </c>
      <c r="AF4198">
        <v>-17.7420193667352</v>
      </c>
      <c r="AG4198">
        <v>0.87719899999999995</v>
      </c>
      <c r="AH4198">
        <v>89.951755737666701</v>
      </c>
      <c r="AI4198">
        <v>89.451836271862106</v>
      </c>
      <c r="AJ4198">
        <v>101.157758086702</v>
      </c>
      <c r="AK4198">
        <v>91.688969290662598</v>
      </c>
      <c r="AL4198">
        <v>78.356995597791098</v>
      </c>
      <c r="AM4198">
        <v>87.939401321982999</v>
      </c>
      <c r="AN4198">
        <v>0.99999998673549395</v>
      </c>
    </row>
    <row r="4199" spans="1:40" x14ac:dyDescent="0.25">
      <c r="A4199" t="str">
        <f>"20190303171101907"</f>
        <v>20190303171101907</v>
      </c>
      <c r="B4199" t="str">
        <f>"1551604261895397"</f>
        <v>1551604261895397</v>
      </c>
      <c r="C4199" t="s">
        <v>40</v>
      </c>
      <c r="D4199">
        <v>4.8348149999999999</v>
      </c>
      <c r="E4199">
        <v>0.41020770000000001</v>
      </c>
      <c r="F4199" t="s">
        <v>92</v>
      </c>
      <c r="G4199">
        <v>-403.29329999999999</v>
      </c>
      <c r="H4199">
        <v>2.2654260000000002</v>
      </c>
      <c r="I4199">
        <v>0.64730069999999995</v>
      </c>
      <c r="J4199">
        <v>-422.3904</v>
      </c>
      <c r="K4199">
        <v>1.1192409999999999</v>
      </c>
      <c r="L4199">
        <v>90.103489999999994</v>
      </c>
      <c r="M4199">
        <v>7.2075639999999996E-3</v>
      </c>
      <c r="N4199">
        <v>-1.3819970000000001E-2</v>
      </c>
      <c r="O4199">
        <v>-0.99987859999999995</v>
      </c>
      <c r="P4199">
        <v>-2.7045079999999999E-2</v>
      </c>
      <c r="Q4199">
        <v>0.18984889999999999</v>
      </c>
      <c r="R4199">
        <v>-0.98144100000000001</v>
      </c>
      <c r="S4199">
        <v>0.65191650000000001</v>
      </c>
      <c r="T4199">
        <v>3.9125199999999902E-2</v>
      </c>
      <c r="U4199">
        <v>-3.0648499999999999</v>
      </c>
      <c r="V4199">
        <v>3.5087889999999997E-2</v>
      </c>
      <c r="W4199">
        <v>0.20322609999999999</v>
      </c>
      <c r="X4199">
        <v>0.97850289999999995</v>
      </c>
      <c r="Y4199">
        <v>-0.2009232</v>
      </c>
      <c r="Z4199">
        <v>-2.630151E-2</v>
      </c>
      <c r="AA4199">
        <v>0.97925379999999995</v>
      </c>
      <c r="AB4199">
        <v>33</v>
      </c>
      <c r="AC4199">
        <v>19.097100000000001</v>
      </c>
      <c r="AD4199">
        <v>1.14618499999999</v>
      </c>
      <c r="AE4199">
        <v>-89.456189299999906</v>
      </c>
      <c r="AF4199">
        <v>-18.448884417129101</v>
      </c>
      <c r="AG4199">
        <v>1.14618499999999</v>
      </c>
      <c r="AH4199">
        <v>89.577457179992507</v>
      </c>
      <c r="AI4199">
        <v>89.281982403527905</v>
      </c>
      <c r="AJ4199">
        <v>101.63760203310299</v>
      </c>
      <c r="AK4199">
        <v>91.464724955166204</v>
      </c>
      <c r="AL4199">
        <v>78.274323298896604</v>
      </c>
      <c r="AM4199">
        <v>87.946324954707606</v>
      </c>
      <c r="AN4199">
        <v>0.99999996652713496</v>
      </c>
    </row>
    <row r="4200" spans="1:40" x14ac:dyDescent="0.25">
      <c r="A4200" t="str">
        <f>"20190303171101929"</f>
        <v>20190303171101929</v>
      </c>
      <c r="B4200" t="str">
        <f>"1551604261925653"</f>
        <v>1551604261925653</v>
      </c>
      <c r="C4200" t="s">
        <v>40</v>
      </c>
      <c r="D4200">
        <v>4.8197159999999997</v>
      </c>
      <c r="E4200">
        <v>0.40780709999999998</v>
      </c>
      <c r="F4200" t="s">
        <v>92</v>
      </c>
      <c r="G4200">
        <v>-403.13010000000003</v>
      </c>
      <c r="H4200">
        <v>2.555059</v>
      </c>
      <c r="I4200">
        <v>0.64896009999999904</v>
      </c>
      <c r="J4200">
        <v>-422.39019999999999</v>
      </c>
      <c r="K4200">
        <v>1.1192500000000001</v>
      </c>
      <c r="L4200">
        <v>89.773319999999998</v>
      </c>
      <c r="M4200">
        <v>5.036993E-3</v>
      </c>
      <c r="N4200">
        <v>-1.3817400000000001E-2</v>
      </c>
      <c r="O4200">
        <v>-0.999892</v>
      </c>
      <c r="P4200">
        <v>-2.8404180000000001E-2</v>
      </c>
      <c r="Q4200">
        <v>0.189301</v>
      </c>
      <c r="R4200">
        <v>-0.98150859999999995</v>
      </c>
      <c r="S4200">
        <v>0.66000369999999997</v>
      </c>
      <c r="T4200">
        <v>4.9201250000000002E-2</v>
      </c>
      <c r="U4200">
        <v>-3.0653990000000002</v>
      </c>
      <c r="V4200">
        <v>3.4311660000000001E-2</v>
      </c>
      <c r="W4200">
        <v>0.20268220000000001</v>
      </c>
      <c r="X4200">
        <v>0.97864329999999999</v>
      </c>
      <c r="Y4200">
        <v>-0.20546780000000001</v>
      </c>
      <c r="Z4200">
        <v>-2.9503809999999998E-2</v>
      </c>
      <c r="AA4200">
        <v>0.97821899999999995</v>
      </c>
      <c r="AB4200">
        <v>33</v>
      </c>
      <c r="AC4200">
        <v>19.260099999999898</v>
      </c>
      <c r="AD4200">
        <v>1.4358089999999999</v>
      </c>
      <c r="AE4200">
        <v>-89.124359900000002</v>
      </c>
      <c r="AF4200">
        <v>-18.806230902695599</v>
      </c>
      <c r="AG4200">
        <v>1.4358089999999999</v>
      </c>
      <c r="AH4200">
        <v>89.198133931626302</v>
      </c>
      <c r="AI4200">
        <v>89.097632660772703</v>
      </c>
      <c r="AJ4200">
        <v>101.905680212324</v>
      </c>
      <c r="AK4200">
        <v>91.170406191561497</v>
      </c>
      <c r="AL4200">
        <v>78.306149648840403</v>
      </c>
      <c r="AM4200">
        <v>87.992007530114606</v>
      </c>
      <c r="AN4200">
        <v>1.00000003642184</v>
      </c>
    </row>
    <row r="4201" spans="1:40" x14ac:dyDescent="0.25">
      <c r="A4201" t="str">
        <f>"20190303171101952"</f>
        <v>20190303171101952</v>
      </c>
      <c r="B4201" t="str">
        <f>"1551604261945173"</f>
        <v>1551604261945173</v>
      </c>
      <c r="C4201" t="s">
        <v>40</v>
      </c>
      <c r="D4201">
        <v>4.8269039999999999</v>
      </c>
      <c r="E4201">
        <v>0.40769830000000001</v>
      </c>
      <c r="F4201" t="s">
        <v>92</v>
      </c>
      <c r="G4201">
        <v>-402.81349999999998</v>
      </c>
      <c r="H4201">
        <v>12.95698</v>
      </c>
      <c r="I4201">
        <v>0.65221600000000002</v>
      </c>
      <c r="J4201">
        <v>-422.39080000000001</v>
      </c>
      <c r="K4201">
        <v>1.119262</v>
      </c>
      <c r="L4201">
        <v>89.428830000000005</v>
      </c>
      <c r="M4201">
        <v>2.7913780000000002E-3</v>
      </c>
      <c r="N4201">
        <v>-1.3814689999999999E-2</v>
      </c>
      <c r="O4201">
        <v>-0.99990080000000003</v>
      </c>
      <c r="P4201">
        <v>-2.834066E-2</v>
      </c>
      <c r="Q4201">
        <v>0.18648329999999999</v>
      </c>
      <c r="R4201">
        <v>-0.98204970000000003</v>
      </c>
      <c r="S4201">
        <v>0.65872189999999997</v>
      </c>
      <c r="T4201">
        <v>0.39831919999999998</v>
      </c>
      <c r="U4201">
        <v>-2.9987789999999999</v>
      </c>
      <c r="V4201">
        <v>3.2025489999999997E-2</v>
      </c>
      <c r="W4201">
        <v>0.199882</v>
      </c>
      <c r="X4201">
        <v>0.97929639999999996</v>
      </c>
      <c r="Y4201">
        <v>-0.20980219999999999</v>
      </c>
      <c r="Z4201">
        <v>-0.14237610000000001</v>
      </c>
      <c r="AA4201">
        <v>0.96732209999999996</v>
      </c>
      <c r="AB4201">
        <v>33</v>
      </c>
      <c r="AC4201">
        <v>19.577300000000001</v>
      </c>
      <c r="AD4201">
        <v>11.837718000000001</v>
      </c>
      <c r="AE4201">
        <v>-88.776613999999995</v>
      </c>
      <c r="AF4201">
        <v>-19.0071116562364</v>
      </c>
      <c r="AG4201">
        <v>11.837718000000001</v>
      </c>
      <c r="AH4201">
        <v>87.349841070045599</v>
      </c>
      <c r="AI4201">
        <v>82.456664861753893</v>
      </c>
      <c r="AJ4201">
        <v>102.276057146106</v>
      </c>
      <c r="AK4201">
        <v>90.174256835986199</v>
      </c>
      <c r="AL4201">
        <v>78.469940526924802</v>
      </c>
      <c r="AM4201">
        <v>88.126949400856503</v>
      </c>
      <c r="AN4201">
        <v>0.999999942493348</v>
      </c>
    </row>
    <row r="4202" spans="1:40" x14ac:dyDescent="0.25">
      <c r="A4202" t="str">
        <f>"20190303171101973"</f>
        <v>20190303171101973</v>
      </c>
      <c r="B4202" t="str">
        <f>"1551604261964693"</f>
        <v>1551604261964693</v>
      </c>
      <c r="C4202" t="s">
        <v>40</v>
      </c>
      <c r="D4202">
        <v>4.926679</v>
      </c>
      <c r="E4202">
        <v>0.40753080000000003</v>
      </c>
      <c r="F4202" t="s">
        <v>46</v>
      </c>
      <c r="G4202">
        <v>-409.92360000000002</v>
      </c>
      <c r="H4202">
        <v>8.5206769999999992</v>
      </c>
      <c r="I4202">
        <v>32.646520000000002</v>
      </c>
      <c r="J4202">
        <v>-422.392</v>
      </c>
      <c r="K4202">
        <v>1.1192770000000001</v>
      </c>
      <c r="L4202">
        <v>89.118960000000001</v>
      </c>
      <c r="M4202">
        <v>8.0407089999999905E-4</v>
      </c>
      <c r="N4202">
        <v>-1.381199E-2</v>
      </c>
      <c r="O4202">
        <v>-0.99990429999999997</v>
      </c>
      <c r="P4202">
        <v>-2.8431560000000002E-2</v>
      </c>
      <c r="Q4202">
        <v>0.1847771</v>
      </c>
      <c r="R4202">
        <v>-0.9823693</v>
      </c>
      <c r="S4202">
        <v>0.65859990000000002</v>
      </c>
      <c r="T4202">
        <v>0.3909897</v>
      </c>
      <c r="U4202">
        <v>-2.999603</v>
      </c>
      <c r="V4202">
        <v>3.014528E-2</v>
      </c>
      <c r="W4202">
        <v>0.19818949999999999</v>
      </c>
      <c r="X4202">
        <v>0.97970000000000002</v>
      </c>
      <c r="Y4202">
        <v>-0.21172160000000001</v>
      </c>
      <c r="Z4202">
        <v>-0.13999310000000001</v>
      </c>
      <c r="AA4202">
        <v>0.96725170000000005</v>
      </c>
      <c r="AB4202">
        <v>33</v>
      </c>
      <c r="AC4202">
        <v>12.4683999999999</v>
      </c>
      <c r="AD4202">
        <v>7.4013999999999998</v>
      </c>
      <c r="AE4202">
        <v>-56.472439999999999</v>
      </c>
      <c r="AF4202">
        <v>-12.222788349796</v>
      </c>
      <c r="AG4202">
        <v>7.4013999999999998</v>
      </c>
      <c r="AH4202">
        <v>55.572237804898997</v>
      </c>
      <c r="AI4202">
        <v>82.588799043503599</v>
      </c>
      <c r="AJ4202">
        <v>102.40436599727001</v>
      </c>
      <c r="AK4202">
        <v>57.379882290295399</v>
      </c>
      <c r="AL4202">
        <v>78.568893601739504</v>
      </c>
      <c r="AM4202">
        <v>88.237570144413198</v>
      </c>
      <c r="AN4202">
        <v>0.99999995290826305</v>
      </c>
    </row>
    <row r="4203" spans="1:40" x14ac:dyDescent="0.25">
      <c r="A4203" t="str">
        <f>"20190303171101995"</f>
        <v>20190303171101995</v>
      </c>
      <c r="B4203" t="str">
        <f>"1551604261985189"</f>
        <v>1551604261985189</v>
      </c>
      <c r="C4203" t="s">
        <v>40</v>
      </c>
      <c r="D4203">
        <v>4.9509689999999997</v>
      </c>
      <c r="E4203">
        <v>0.40728150000000002</v>
      </c>
      <c r="F4203" t="s">
        <v>46</v>
      </c>
      <c r="G4203">
        <v>-409.96940000000001</v>
      </c>
      <c r="H4203">
        <v>8.3388609999999996</v>
      </c>
      <c r="I4203">
        <v>32.616770000000002</v>
      </c>
      <c r="J4203">
        <v>-422.39389999999997</v>
      </c>
      <c r="K4203">
        <v>1.119318</v>
      </c>
      <c r="L4203">
        <v>88.788510000000002</v>
      </c>
      <c r="M4203">
        <v>-1.270284E-3</v>
      </c>
      <c r="N4203">
        <v>-1.3808849999999999E-2</v>
      </c>
      <c r="O4203">
        <v>-0.99990400000000002</v>
      </c>
      <c r="P4203">
        <v>-3.000268E-2</v>
      </c>
      <c r="Q4203">
        <v>0.18548829999999999</v>
      </c>
      <c r="R4203">
        <v>-0.98218839999999996</v>
      </c>
      <c r="S4203">
        <v>0.65975950000000005</v>
      </c>
      <c r="T4203">
        <v>0.38342710000000002</v>
      </c>
      <c r="U4203">
        <v>-3.0007929999999998</v>
      </c>
      <c r="V4203">
        <v>2.9663470000000001E-2</v>
      </c>
      <c r="W4203">
        <v>0.19890079999999999</v>
      </c>
      <c r="X4203">
        <v>0.97957059999999996</v>
      </c>
      <c r="Y4203">
        <v>-0.2140965</v>
      </c>
      <c r="Z4203">
        <v>-0.13750850000000001</v>
      </c>
      <c r="AA4203">
        <v>0.96708539999999998</v>
      </c>
      <c r="AB4203">
        <v>33</v>
      </c>
      <c r="AC4203">
        <v>12.424499999999901</v>
      </c>
      <c r="AD4203">
        <v>7.2195429999999901</v>
      </c>
      <c r="AE4203">
        <v>-56.17174</v>
      </c>
      <c r="AF4203">
        <v>-12.3021108416805</v>
      </c>
      <c r="AG4203">
        <v>7.2195429999999901</v>
      </c>
      <c r="AH4203">
        <v>55.285249890028098</v>
      </c>
      <c r="AI4203">
        <v>82.735715589097296</v>
      </c>
      <c r="AJ4203">
        <v>102.545101775703</v>
      </c>
      <c r="AK4203">
        <v>57.0957317817426</v>
      </c>
      <c r="AL4203">
        <v>78.527311885377898</v>
      </c>
      <c r="AM4203">
        <v>88.265492645285903</v>
      </c>
      <c r="AN4203">
        <v>1.0000000050387201</v>
      </c>
    </row>
    <row r="4204" spans="1:40" x14ac:dyDescent="0.25">
      <c r="A4204" t="str">
        <f>"20190303171102018"</f>
        <v>20190303171102018</v>
      </c>
      <c r="B4204" t="str">
        <f>"1551604262015045"</f>
        <v>1551604262015045</v>
      </c>
      <c r="C4204" t="s">
        <v>40</v>
      </c>
      <c r="D4204">
        <v>4.8942350000000001</v>
      </c>
      <c r="E4204">
        <v>0.40644219999999998</v>
      </c>
      <c r="F4204" t="s">
        <v>92</v>
      </c>
      <c r="G4204">
        <v>-403.10169999999999</v>
      </c>
      <c r="H4204">
        <v>12.466200000000001</v>
      </c>
      <c r="I4204">
        <v>0.64928249999999998</v>
      </c>
      <c r="J4204">
        <v>-422.39640000000003</v>
      </c>
      <c r="K4204">
        <v>1.119378</v>
      </c>
      <c r="L4204">
        <v>88.463650000000001</v>
      </c>
      <c r="M4204">
        <v>-3.2471959999999999E-3</v>
      </c>
      <c r="N4204">
        <v>-1.3805609999999999E-2</v>
      </c>
      <c r="O4204">
        <v>-0.99989939999999999</v>
      </c>
      <c r="P4204">
        <v>-3.2981999999999997E-2</v>
      </c>
      <c r="Q4204">
        <v>0.1878553</v>
      </c>
      <c r="R4204">
        <v>-0.98164300000000004</v>
      </c>
      <c r="S4204">
        <v>0.65698239999999997</v>
      </c>
      <c r="T4204">
        <v>0.38640980000000003</v>
      </c>
      <c r="U4204">
        <v>-3.0015260000000001</v>
      </c>
      <c r="V4204">
        <v>3.068968E-2</v>
      </c>
      <c r="W4204">
        <v>0.2012564</v>
      </c>
      <c r="X4204">
        <v>0.97905770000000003</v>
      </c>
      <c r="Y4204">
        <v>-0.21509829999999999</v>
      </c>
      <c r="Z4204">
        <v>-0.1384222</v>
      </c>
      <c r="AA4204">
        <v>0.96673260000000005</v>
      </c>
      <c r="AB4204">
        <v>33</v>
      </c>
      <c r="AC4204">
        <v>19.294699999999999</v>
      </c>
      <c r="AD4204">
        <v>11.346822</v>
      </c>
      <c r="AE4204">
        <v>-87.814367500000003</v>
      </c>
      <c r="AF4204">
        <v>-19.272812811368201</v>
      </c>
      <c r="AG4204">
        <v>11.346822</v>
      </c>
      <c r="AH4204">
        <v>86.375519473928605</v>
      </c>
      <c r="AI4204">
        <v>82.693778756417402</v>
      </c>
      <c r="AJ4204">
        <v>102.57826328143901</v>
      </c>
      <c r="AK4204">
        <v>89.223999280197901</v>
      </c>
      <c r="AL4204">
        <v>78.389560351875403</v>
      </c>
      <c r="AM4204">
        <v>88.204586350458001</v>
      </c>
      <c r="AN4204">
        <v>0.99999998746437602</v>
      </c>
    </row>
    <row r="4205" spans="1:40" x14ac:dyDescent="0.25">
      <c r="A4205" t="str">
        <f>"20190303171102041"</f>
        <v>20190303171102041</v>
      </c>
      <c r="B4205" t="str">
        <f>"1551604262035541"</f>
        <v>1551604262035541</v>
      </c>
      <c r="C4205" t="s">
        <v>40</v>
      </c>
      <c r="D4205">
        <v>4.8565829999999997</v>
      </c>
      <c r="E4205">
        <v>0.4052444</v>
      </c>
      <c r="F4205" t="s">
        <v>92</v>
      </c>
      <c r="G4205">
        <v>-403.25740000000002</v>
      </c>
      <c r="H4205">
        <v>2.6903890000000001</v>
      </c>
      <c r="I4205">
        <v>0.64766689999999905</v>
      </c>
      <c r="J4205">
        <v>-422.39960000000002</v>
      </c>
      <c r="K4205">
        <v>1.1194489999999999</v>
      </c>
      <c r="L4205">
        <v>88.123440000000002</v>
      </c>
      <c r="M4205">
        <v>-5.2404340000000004E-3</v>
      </c>
      <c r="N4205">
        <v>-1.380202E-2</v>
      </c>
      <c r="O4205">
        <v>-0.99989110000000003</v>
      </c>
      <c r="P4205">
        <v>-3.61649E-2</v>
      </c>
      <c r="Q4205">
        <v>0.18923409999999999</v>
      </c>
      <c r="R4205">
        <v>-0.98126590000000002</v>
      </c>
      <c r="S4205">
        <v>0.66867069999999995</v>
      </c>
      <c r="T4205">
        <v>5.4886459999999998E-2</v>
      </c>
      <c r="U4205">
        <v>-3.068085</v>
      </c>
      <c r="V4205">
        <v>3.1894230000000003E-2</v>
      </c>
      <c r="W4205">
        <v>0.20262659999999999</v>
      </c>
      <c r="X4205">
        <v>0.97873650000000001</v>
      </c>
      <c r="Y4205">
        <v>-0.2179644</v>
      </c>
      <c r="Z4205">
        <v>-3.12722E-2</v>
      </c>
      <c r="AA4205">
        <v>0.97545559999999998</v>
      </c>
      <c r="AB4205">
        <v>33</v>
      </c>
      <c r="AC4205">
        <v>19.142199999999999</v>
      </c>
      <c r="AD4205">
        <v>1.57094</v>
      </c>
      <c r="AE4205">
        <v>-87.475773099999998</v>
      </c>
      <c r="AF4205">
        <v>-19.594361148153801</v>
      </c>
      <c r="AG4205">
        <v>1.57094</v>
      </c>
      <c r="AH4205">
        <v>87.347365639650306</v>
      </c>
      <c r="AI4205">
        <v>88.994628663360103</v>
      </c>
      <c r="AJ4205">
        <v>102.64366910199099</v>
      </c>
      <c r="AK4205">
        <v>89.531944720723303</v>
      </c>
      <c r="AL4205">
        <v>78.309401874178704</v>
      </c>
      <c r="AM4205">
        <v>88.133554508498193</v>
      </c>
      <c r="AN4205">
        <v>0.99999995868354996</v>
      </c>
    </row>
    <row r="4206" spans="1:40" x14ac:dyDescent="0.25">
      <c r="A4206" t="str">
        <f>"20190303171102063"</f>
        <v>20190303171102063</v>
      </c>
      <c r="B4206" t="str">
        <f>"1551604262055061"</f>
        <v>1551604262055061</v>
      </c>
      <c r="C4206" t="s">
        <v>40</v>
      </c>
      <c r="D4206">
        <v>4.7872960000000004</v>
      </c>
      <c r="E4206">
        <v>0.40505530000000001</v>
      </c>
      <c r="F4206" t="s">
        <v>92</v>
      </c>
      <c r="G4206">
        <v>-403.36360000000002</v>
      </c>
      <c r="H4206">
        <v>2.8405490000000002</v>
      </c>
      <c r="I4206">
        <v>0.64658740000000003</v>
      </c>
      <c r="J4206">
        <v>-422.40339999999998</v>
      </c>
      <c r="K4206">
        <v>1.119505</v>
      </c>
      <c r="L4206">
        <v>87.789150000000006</v>
      </c>
      <c r="M4206">
        <v>-7.1277919999999896E-3</v>
      </c>
      <c r="N4206">
        <v>-1.3798360000000001E-2</v>
      </c>
      <c r="O4206">
        <v>-0.99987950000000003</v>
      </c>
      <c r="P4206">
        <v>-3.9195889999999997E-2</v>
      </c>
      <c r="Q4206">
        <v>0.18885959999999999</v>
      </c>
      <c r="R4206">
        <v>-0.98122180000000003</v>
      </c>
      <c r="S4206">
        <v>0.66812130000000003</v>
      </c>
      <c r="T4206">
        <v>6.0405970000000003E-2</v>
      </c>
      <c r="U4206">
        <v>-3.0702509999999998</v>
      </c>
      <c r="V4206">
        <v>3.3042189999999999E-2</v>
      </c>
      <c r="W4206">
        <v>0.20224880000000001</v>
      </c>
      <c r="X4206">
        <v>0.9787766</v>
      </c>
      <c r="Y4206">
        <v>-0.21948719999999999</v>
      </c>
      <c r="Z4206">
        <v>-3.3009959999999998E-2</v>
      </c>
      <c r="AA4206">
        <v>0.97505679999999995</v>
      </c>
      <c r="AB4206">
        <v>33</v>
      </c>
      <c r="AC4206">
        <v>19.0397999999999</v>
      </c>
      <c r="AD4206">
        <v>1.721044</v>
      </c>
      <c r="AE4206">
        <v>-87.142562599999906</v>
      </c>
      <c r="AF4206">
        <v>-19.6531928662322</v>
      </c>
      <c r="AG4206">
        <v>1.721044</v>
      </c>
      <c r="AH4206">
        <v>86.972245758258495</v>
      </c>
      <c r="AI4206">
        <v>88.894227822207398</v>
      </c>
      <c r="AJ4206">
        <v>102.73331807961</v>
      </c>
      <c r="AK4206">
        <v>89.181733076466799</v>
      </c>
      <c r="AL4206">
        <v>78.331506347034903</v>
      </c>
      <c r="AM4206">
        <v>88.066505330104704</v>
      </c>
      <c r="AN4206">
        <v>0.99999999806449802</v>
      </c>
    </row>
    <row r="4207" spans="1:40" x14ac:dyDescent="0.25">
      <c r="A4207" t="str">
        <f>"20190303171102085"</f>
        <v>20190303171102085</v>
      </c>
      <c r="B4207" t="str">
        <f>"1551604262075557"</f>
        <v>1551604262075557</v>
      </c>
      <c r="C4207" t="s">
        <v>40</v>
      </c>
      <c r="D4207">
        <v>4.7858919999999996</v>
      </c>
      <c r="E4207">
        <v>0.4041921</v>
      </c>
      <c r="F4207" t="s">
        <v>92</v>
      </c>
      <c r="G4207">
        <v>-403.65960000000001</v>
      </c>
      <c r="H4207">
        <v>12.86157</v>
      </c>
      <c r="I4207">
        <v>0.64361190000000001</v>
      </c>
      <c r="J4207">
        <v>-422.4074</v>
      </c>
      <c r="K4207">
        <v>1.1195630000000001</v>
      </c>
      <c r="L4207">
        <v>87.480649999999997</v>
      </c>
      <c r="M4207">
        <v>-8.7943699999999993E-3</v>
      </c>
      <c r="N4207">
        <v>-1.379505E-2</v>
      </c>
      <c r="O4207">
        <v>-0.99986640000000004</v>
      </c>
      <c r="P4207">
        <v>-4.296904E-2</v>
      </c>
      <c r="Q4207">
        <v>0.18887490000000001</v>
      </c>
      <c r="R4207">
        <v>-0.98106110000000002</v>
      </c>
      <c r="S4207">
        <v>0.64639279999999999</v>
      </c>
      <c r="T4207">
        <v>0.40493309999999999</v>
      </c>
      <c r="U4207">
        <v>-3.00528</v>
      </c>
      <c r="V4207">
        <v>3.5152000000000003E-2</v>
      </c>
      <c r="W4207">
        <v>0.2022563</v>
      </c>
      <c r="X4207">
        <v>0.9787015</v>
      </c>
      <c r="Y4207">
        <v>-0.2168455</v>
      </c>
      <c r="Z4207">
        <v>-0.1441441</v>
      </c>
      <c r="AA4207">
        <v>0.96550530000000001</v>
      </c>
      <c r="AB4207">
        <v>33</v>
      </c>
      <c r="AC4207">
        <v>18.747799999999899</v>
      </c>
      <c r="AD4207">
        <v>11.742006999999999</v>
      </c>
      <c r="AE4207">
        <v>-86.837038099999901</v>
      </c>
      <c r="AF4207">
        <v>-19.175825533025701</v>
      </c>
      <c r="AG4207">
        <v>11.742006999999999</v>
      </c>
      <c r="AH4207">
        <v>85.1806943394472</v>
      </c>
      <c r="AI4207">
        <v>82.340666878619004</v>
      </c>
      <c r="AJ4207">
        <v>102.686893986131</v>
      </c>
      <c r="AK4207">
        <v>88.098454591504805</v>
      </c>
      <c r="AL4207">
        <v>78.331066992281393</v>
      </c>
      <c r="AM4207">
        <v>87.942992991040796</v>
      </c>
      <c r="AN4207">
        <v>0.99999995004796804</v>
      </c>
    </row>
    <row r="4208" spans="1:40" x14ac:dyDescent="0.25">
      <c r="A4208" t="str">
        <f>"20190303171102107"</f>
        <v>20190303171102107</v>
      </c>
      <c r="B4208" t="str">
        <f>"1551604262095077"</f>
        <v>1551604262095077</v>
      </c>
      <c r="C4208" t="s">
        <v>40</v>
      </c>
      <c r="D4208">
        <v>4.7549599999999996</v>
      </c>
      <c r="E4208">
        <v>0.40366600000000002</v>
      </c>
      <c r="F4208" t="s">
        <v>92</v>
      </c>
      <c r="G4208">
        <v>-403.88589999999999</v>
      </c>
      <c r="H4208">
        <v>12.80824</v>
      </c>
      <c r="I4208">
        <v>0.64130779999999998</v>
      </c>
      <c r="J4208">
        <v>-422.41199999999998</v>
      </c>
      <c r="K4208">
        <v>1.119631</v>
      </c>
      <c r="L4208">
        <v>87.153899999999993</v>
      </c>
      <c r="M4208">
        <v>-1.045895E-2</v>
      </c>
      <c r="N4208">
        <v>-1.3791350000000001E-2</v>
      </c>
      <c r="O4208">
        <v>-0.99985049999999998</v>
      </c>
      <c r="P4208">
        <v>-4.807297E-2</v>
      </c>
      <c r="Q4208">
        <v>0.18964439999999999</v>
      </c>
      <c r="R4208">
        <v>-0.98067550000000003</v>
      </c>
      <c r="S4208">
        <v>0.641571</v>
      </c>
      <c r="T4208">
        <v>0.4048871</v>
      </c>
      <c r="U4208">
        <v>-3.008057</v>
      </c>
      <c r="V4208">
        <v>3.8592319999999999E-2</v>
      </c>
      <c r="W4208">
        <v>0.20301089999999999</v>
      </c>
      <c r="X4208">
        <v>0.9784157</v>
      </c>
      <c r="Y4208">
        <v>-0.2168099</v>
      </c>
      <c r="Z4208">
        <v>-0.1440312</v>
      </c>
      <c r="AA4208">
        <v>0.96553020000000001</v>
      </c>
      <c r="AB4208">
        <v>33</v>
      </c>
      <c r="AC4208">
        <v>18.5260999999999</v>
      </c>
      <c r="AD4208">
        <v>11.688609</v>
      </c>
      <c r="AE4208">
        <v>-86.512592199999901</v>
      </c>
      <c r="AF4208">
        <v>-19.096689864612799</v>
      </c>
      <c r="AG4208">
        <v>11.688609</v>
      </c>
      <c r="AH4208">
        <v>84.833396817366307</v>
      </c>
      <c r="AI4208">
        <v>82.344223607737703</v>
      </c>
      <c r="AJ4208">
        <v>102.68628185545001</v>
      </c>
      <c r="AK4208">
        <v>87.738317511295094</v>
      </c>
      <c r="AL4208">
        <v>78.286916694683001</v>
      </c>
      <c r="AM4208">
        <v>87.741214284141904</v>
      </c>
      <c r="AN4208">
        <v>1.00000003734414</v>
      </c>
    </row>
    <row r="4209" spans="1:40" x14ac:dyDescent="0.25">
      <c r="A4209" t="str">
        <f>"20190303171102130"</f>
        <v>20190303171102130</v>
      </c>
      <c r="B4209" t="str">
        <f>"1551604262125012"</f>
        <v>1551604262125012</v>
      </c>
      <c r="C4209" t="s">
        <v>40</v>
      </c>
      <c r="D4209">
        <v>4.7457799999999999</v>
      </c>
      <c r="E4209">
        <v>0.40285779999999999</v>
      </c>
      <c r="F4209" t="s">
        <v>92</v>
      </c>
      <c r="G4209">
        <v>-404.30149999999998</v>
      </c>
      <c r="H4209">
        <v>12.88955</v>
      </c>
      <c r="I4209">
        <v>0.63708500000000001</v>
      </c>
      <c r="J4209">
        <v>-422.41730000000001</v>
      </c>
      <c r="K4209">
        <v>1.11972</v>
      </c>
      <c r="L4209">
        <v>86.82114</v>
      </c>
      <c r="M4209">
        <v>-1.2026899999999899E-2</v>
      </c>
      <c r="N4209">
        <v>-1.3787249999999999E-2</v>
      </c>
      <c r="O4209">
        <v>-0.99983259999999996</v>
      </c>
      <c r="P4209">
        <v>-5.1897239999999997E-2</v>
      </c>
      <c r="Q4209">
        <v>0.1881525</v>
      </c>
      <c r="R4209">
        <v>-0.98076790000000003</v>
      </c>
      <c r="S4209">
        <v>0.63024899999999995</v>
      </c>
      <c r="T4209">
        <v>0.40959449999999997</v>
      </c>
      <c r="U4209">
        <v>-3.0108030000000001</v>
      </c>
      <c r="V4209">
        <v>4.082359E-2</v>
      </c>
      <c r="W4209">
        <v>0.20151839999999999</v>
      </c>
      <c r="X4209">
        <v>0.97863359999999999</v>
      </c>
      <c r="Y4209">
        <v>-0.2146409</v>
      </c>
      <c r="Z4209">
        <v>-0.14547769999999999</v>
      </c>
      <c r="AA4209">
        <v>0.96579780000000004</v>
      </c>
      <c r="AB4209">
        <v>33</v>
      </c>
      <c r="AC4209">
        <v>18.1158</v>
      </c>
      <c r="AD4209">
        <v>11.769830000000001</v>
      </c>
      <c r="AE4209">
        <v>-86.184055000000001</v>
      </c>
      <c r="AF4209">
        <v>-18.815056340408098</v>
      </c>
      <c r="AG4209">
        <v>11.769830000000001</v>
      </c>
      <c r="AH4209">
        <v>84.451520733060306</v>
      </c>
      <c r="AI4209">
        <v>82.253448947489304</v>
      </c>
      <c r="AJ4209">
        <v>102.559870318788</v>
      </c>
      <c r="AK4209">
        <v>87.318924623749993</v>
      </c>
      <c r="AL4209">
        <v>78.374234740930504</v>
      </c>
      <c r="AM4209">
        <v>87.611297944055096</v>
      </c>
      <c r="AN4209">
        <v>0.99999997704400301</v>
      </c>
    </row>
    <row r="4210" spans="1:40" x14ac:dyDescent="0.25">
      <c r="A4210" t="str">
        <f>"20190303171102153"</f>
        <v>20190303171102153</v>
      </c>
      <c r="B4210" t="str">
        <f>"1551604262145508"</f>
        <v>1551604262145508</v>
      </c>
      <c r="C4210" t="s">
        <v>40</v>
      </c>
      <c r="D4210">
        <v>4.8212900000000003</v>
      </c>
      <c r="E4210">
        <v>0.40250089999999999</v>
      </c>
      <c r="F4210" t="s">
        <v>92</v>
      </c>
      <c r="G4210">
        <v>-404.53590000000003</v>
      </c>
      <c r="H4210">
        <v>12.701549999999999</v>
      </c>
      <c r="I4210">
        <v>0.63469699999999996</v>
      </c>
      <c r="J4210">
        <v>-422.4228</v>
      </c>
      <c r="K4210">
        <v>1.119828</v>
      </c>
      <c r="L4210">
        <v>86.493350000000007</v>
      </c>
      <c r="M4210">
        <v>-1.342234E-2</v>
      </c>
      <c r="N4210">
        <v>-1.378296E-2</v>
      </c>
      <c r="O4210">
        <v>-0.99981520000000002</v>
      </c>
      <c r="P4210">
        <v>-5.4550969999999997E-2</v>
      </c>
      <c r="Q4210">
        <v>0.18622040000000001</v>
      </c>
      <c r="R4210">
        <v>-0.98099259999999999</v>
      </c>
      <c r="S4210">
        <v>0.62536619999999998</v>
      </c>
      <c r="T4210">
        <v>0.40505340000000001</v>
      </c>
      <c r="U4210">
        <v>-3.014221</v>
      </c>
      <c r="V4210">
        <v>4.203979E-2</v>
      </c>
      <c r="W4210">
        <v>0.19959470000000001</v>
      </c>
      <c r="X4210">
        <v>0.97897630000000002</v>
      </c>
      <c r="Y4210">
        <v>-0.21432770000000001</v>
      </c>
      <c r="Z4210">
        <v>-0.1439222</v>
      </c>
      <c r="AA4210">
        <v>0.96610050000000003</v>
      </c>
      <c r="AB4210">
        <v>33</v>
      </c>
      <c r="AC4210">
        <v>17.886899999999901</v>
      </c>
      <c r="AD4210">
        <v>11.581721999999999</v>
      </c>
      <c r="AE4210">
        <v>-85.858653000000004</v>
      </c>
      <c r="AF4210">
        <v>-18.711507667014001</v>
      </c>
      <c r="AG4210">
        <v>11.581721999999999</v>
      </c>
      <c r="AH4210">
        <v>84.143415651101606</v>
      </c>
      <c r="AI4210">
        <v>82.347535707840606</v>
      </c>
      <c r="AJ4210">
        <v>102.537224044558</v>
      </c>
      <c r="AK4210">
        <v>86.973393639043806</v>
      </c>
      <c r="AL4210">
        <v>78.486740708484206</v>
      </c>
      <c r="AM4210">
        <v>87.5410808498374</v>
      </c>
      <c r="AN4210">
        <v>0.99999999208651202</v>
      </c>
    </row>
    <row r="4211" spans="1:40" x14ac:dyDescent="0.25">
      <c r="A4211" t="str">
        <f>"20190303171102174"</f>
        <v>20190303171102174</v>
      </c>
      <c r="B4211" t="str">
        <f>"1551604262165028"</f>
        <v>1551604262165028</v>
      </c>
      <c r="C4211" t="s">
        <v>40</v>
      </c>
      <c r="D4211">
        <v>4.8034759999999999</v>
      </c>
      <c r="E4211">
        <v>0.40024349999999997</v>
      </c>
      <c r="F4211" t="s">
        <v>92</v>
      </c>
      <c r="G4211">
        <v>-404.76929999999999</v>
      </c>
      <c r="H4211">
        <v>12.484680000000001</v>
      </c>
      <c r="I4211">
        <v>0.632324199999999</v>
      </c>
      <c r="J4211">
        <v>-422.42829999999998</v>
      </c>
      <c r="K4211">
        <v>1.1199619999999999</v>
      </c>
      <c r="L4211">
        <v>86.180790000000002</v>
      </c>
      <c r="M4211">
        <v>-1.4586740000000001E-2</v>
      </c>
      <c r="N4211">
        <v>-1.3778739999999999E-2</v>
      </c>
      <c r="O4211">
        <v>-0.99979890000000005</v>
      </c>
      <c r="P4211">
        <v>-5.7264059999999999E-2</v>
      </c>
      <c r="Q4211">
        <v>0.18480160000000001</v>
      </c>
      <c r="R4211">
        <v>-0.98110640000000005</v>
      </c>
      <c r="S4211">
        <v>0.62026979999999998</v>
      </c>
      <c r="T4211">
        <v>0.39931480000000003</v>
      </c>
      <c r="U4211">
        <v>-3.0168149999999998</v>
      </c>
      <c r="V4211">
        <v>4.3537470000000002E-2</v>
      </c>
      <c r="W4211">
        <v>0.19818340000000001</v>
      </c>
      <c r="X4211">
        <v>0.9791976</v>
      </c>
      <c r="Y4211">
        <v>-0.2137857</v>
      </c>
      <c r="Z4211">
        <v>-0.14202870000000001</v>
      </c>
      <c r="AA4211">
        <v>0.96650060000000004</v>
      </c>
      <c r="AB4211">
        <v>33</v>
      </c>
      <c r="AC4211">
        <v>17.658999999999899</v>
      </c>
      <c r="AD4211">
        <v>11.364718</v>
      </c>
      <c r="AE4211">
        <v>-85.548465799999903</v>
      </c>
      <c r="AF4211">
        <v>-18.590438337448798</v>
      </c>
      <c r="AG4211">
        <v>11.364718</v>
      </c>
      <c r="AH4211">
        <v>83.862243483247198</v>
      </c>
      <c r="AI4211">
        <v>82.463272493097705</v>
      </c>
      <c r="AJ4211">
        <v>102.499105602879</v>
      </c>
      <c r="AK4211">
        <v>86.646621947087198</v>
      </c>
      <c r="AL4211">
        <v>78.569251368482796</v>
      </c>
      <c r="AM4211">
        <v>87.4541691852084</v>
      </c>
      <c r="AN4211">
        <v>1.00000005558765</v>
      </c>
    </row>
    <row r="4212" spans="1:40" x14ac:dyDescent="0.25">
      <c r="A4212" t="str">
        <f>"20190303171102197"</f>
        <v>20190303171102197</v>
      </c>
      <c r="B4212" t="str">
        <f>"1551604262185524"</f>
        <v>1551604262185524</v>
      </c>
      <c r="C4212" t="s">
        <v>40</v>
      </c>
      <c r="D4212">
        <v>4.8004340000000001</v>
      </c>
      <c r="E4212">
        <v>0.4005724</v>
      </c>
      <c r="F4212" t="s">
        <v>92</v>
      </c>
      <c r="G4212">
        <v>-404.5752</v>
      </c>
      <c r="H4212">
        <v>2.9163640000000002</v>
      </c>
      <c r="I4212">
        <v>0.63426590000000005</v>
      </c>
      <c r="J4212">
        <v>-422.43430000000001</v>
      </c>
      <c r="K4212">
        <v>1.1201219999999901</v>
      </c>
      <c r="L4212">
        <v>85.852050000000006</v>
      </c>
      <c r="M4212">
        <v>-1.5618480000000001E-2</v>
      </c>
      <c r="N4212">
        <v>-1.3774359999999999E-2</v>
      </c>
      <c r="O4212">
        <v>-0.99978330000000004</v>
      </c>
      <c r="P4212">
        <v>-6.016055E-2</v>
      </c>
      <c r="Q4212">
        <v>0.1845656</v>
      </c>
      <c r="R4212">
        <v>-0.9809774</v>
      </c>
      <c r="S4212">
        <v>0.64343260000000002</v>
      </c>
      <c r="T4212">
        <v>6.4742090000000002E-2</v>
      </c>
      <c r="U4212">
        <v>-3.0831300000000001</v>
      </c>
      <c r="V4212">
        <v>4.5344210000000003E-2</v>
      </c>
      <c r="W4212">
        <v>0.19795479999999999</v>
      </c>
      <c r="X4212">
        <v>0.97916179999999997</v>
      </c>
      <c r="Y4212">
        <v>-0.2194487</v>
      </c>
      <c r="Z4212">
        <v>-3.430515E-2</v>
      </c>
      <c r="AA4212">
        <v>0.97502069999999996</v>
      </c>
      <c r="AB4212">
        <v>33</v>
      </c>
      <c r="AC4212">
        <v>17.859100000000002</v>
      </c>
      <c r="AD4212">
        <v>1.7962419999999999</v>
      </c>
      <c r="AE4212">
        <v>-85.217784099999903</v>
      </c>
      <c r="AF4212">
        <v>-19.179856578800301</v>
      </c>
      <c r="AG4212">
        <v>1.7962419999999999</v>
      </c>
      <c r="AH4212">
        <v>84.892298990784695</v>
      </c>
      <c r="AI4212">
        <v>88.817647827102206</v>
      </c>
      <c r="AJ4212">
        <v>102.731180439333</v>
      </c>
      <c r="AK4212">
        <v>87.050535964155401</v>
      </c>
      <c r="AL4212">
        <v>78.582613456060798</v>
      </c>
      <c r="AM4212">
        <v>87.348571964914996</v>
      </c>
      <c r="AN4212">
        <v>1.0000000154013999</v>
      </c>
    </row>
    <row r="4213" spans="1:40" x14ac:dyDescent="0.25">
      <c r="A4213" t="str">
        <f>"20190303171102220"</f>
        <v>20190303171102220</v>
      </c>
      <c r="B4213" t="str">
        <f>"1551604262215452"</f>
        <v>1551604262215452</v>
      </c>
      <c r="C4213" t="s">
        <v>40</v>
      </c>
      <c r="D4213">
        <v>4.8639659999999996</v>
      </c>
      <c r="E4213">
        <v>0.4165393</v>
      </c>
      <c r="F4213" t="s">
        <v>92</v>
      </c>
      <c r="G4213">
        <v>-404.95330000000001</v>
      </c>
      <c r="H4213">
        <v>2.7426300000000001</v>
      </c>
      <c r="I4213">
        <v>0.63042069999999995</v>
      </c>
      <c r="J4213">
        <v>-422.44040000000001</v>
      </c>
      <c r="K4213">
        <v>1.1202920000000001</v>
      </c>
      <c r="L4213">
        <v>85.520809999999997</v>
      </c>
      <c r="M4213">
        <v>-1.6434790000000001E-2</v>
      </c>
      <c r="N4213">
        <v>-1.37701E-2</v>
      </c>
      <c r="O4213">
        <v>-0.99977020000000005</v>
      </c>
      <c r="P4213">
        <v>-6.1577399999999997E-2</v>
      </c>
      <c r="Q4213">
        <v>0.18448909999999999</v>
      </c>
      <c r="R4213">
        <v>-0.98090370000000005</v>
      </c>
      <c r="S4213">
        <v>0.63299559999999999</v>
      </c>
      <c r="T4213">
        <v>5.8751230000000002E-2</v>
      </c>
      <c r="U4213">
        <v>-3.0859380000000001</v>
      </c>
      <c r="V4213">
        <v>4.5878660000000002E-2</v>
      </c>
      <c r="W4213">
        <v>0.19789129999999999</v>
      </c>
      <c r="X4213">
        <v>0.97914979999999996</v>
      </c>
      <c r="Y4213">
        <v>-0.21691460000000001</v>
      </c>
      <c r="Z4213">
        <v>-3.2399570000000003E-2</v>
      </c>
      <c r="AA4213">
        <v>0.97565279999999999</v>
      </c>
      <c r="AB4213">
        <v>33</v>
      </c>
      <c r="AC4213">
        <v>17.487099999999899</v>
      </c>
      <c r="AD4213">
        <v>1.6223379999999901</v>
      </c>
      <c r="AE4213">
        <v>-84.890389299999995</v>
      </c>
      <c r="AF4213">
        <v>-18.873413107342301</v>
      </c>
      <c r="AG4213">
        <v>1.6223379999999901</v>
      </c>
      <c r="AH4213">
        <v>84.561870506559103</v>
      </c>
      <c r="AI4213">
        <v>88.927289684876399</v>
      </c>
      <c r="AJ4213">
        <v>102.58166883022</v>
      </c>
      <c r="AK4213">
        <v>86.657646208945195</v>
      </c>
      <c r="AL4213">
        <v>78.586325847667297</v>
      </c>
      <c r="AM4213">
        <v>87.317333438719103</v>
      </c>
      <c r="AN4213">
        <v>1.0000000744495601</v>
      </c>
    </row>
    <row r="4214" spans="1:40" x14ac:dyDescent="0.25">
      <c r="A4214" t="str">
        <f>"20190303171102242"</f>
        <v>20190303171102242</v>
      </c>
      <c r="B4214" t="str">
        <f>"1551604262234972"</f>
        <v>1551604262234972</v>
      </c>
      <c r="C4214" t="s">
        <v>40</v>
      </c>
      <c r="D4214">
        <v>4.9169179999999999</v>
      </c>
      <c r="E4214">
        <v>0.47944910000000002</v>
      </c>
      <c r="F4214" t="s">
        <v>92</v>
      </c>
      <c r="G4214">
        <v>-408.57420000000002</v>
      </c>
      <c r="H4214">
        <v>1.4191370000000001</v>
      </c>
      <c r="I4214">
        <v>0.59359169999999895</v>
      </c>
      <c r="J4214">
        <v>-422.4468</v>
      </c>
      <c r="K4214">
        <v>1.120447</v>
      </c>
      <c r="L4214">
        <v>85.181340000000006</v>
      </c>
      <c r="M4214">
        <v>-1.7092340000000001E-2</v>
      </c>
      <c r="N4214">
        <v>-1.3765950000000001E-2</v>
      </c>
      <c r="O4214">
        <v>-0.99975919999999896</v>
      </c>
      <c r="P4214">
        <v>-6.1736249999999999E-2</v>
      </c>
      <c r="Q4214">
        <v>0.1838765</v>
      </c>
      <c r="R4214">
        <v>-0.98100889999999996</v>
      </c>
      <c r="S4214">
        <v>0.50418090000000004</v>
      </c>
      <c r="T4214">
        <v>1.086521E-2</v>
      </c>
      <c r="U4214">
        <v>-3.0880130000000001</v>
      </c>
      <c r="V4214">
        <v>4.5313270000000003E-2</v>
      </c>
      <c r="W4214">
        <v>0.19729479999999999</v>
      </c>
      <c r="X4214">
        <v>0.97929639999999996</v>
      </c>
      <c r="Y4214">
        <v>-0.1779473</v>
      </c>
      <c r="Z4214">
        <v>-1.7251309999999999E-2</v>
      </c>
      <c r="AA4214">
        <v>0.98388880000000001</v>
      </c>
      <c r="AB4214">
        <v>32</v>
      </c>
      <c r="AC4214">
        <v>13.872599999999901</v>
      </c>
      <c r="AD4214">
        <v>0.29869000000000001</v>
      </c>
      <c r="AE4214">
        <v>-84.587748300000001</v>
      </c>
      <c r="AF4214">
        <v>-15.316326552756999</v>
      </c>
      <c r="AG4214">
        <v>0.29869000000000001</v>
      </c>
      <c r="AH4214">
        <v>84.337227284106504</v>
      </c>
      <c r="AI4214">
        <v>89.800346943259996</v>
      </c>
      <c r="AJ4214">
        <v>100.293196351999</v>
      </c>
      <c r="AK4214">
        <v>85.717250193632793</v>
      </c>
      <c r="AL4214">
        <v>78.621189124363497</v>
      </c>
      <c r="AM4214">
        <v>87.350742211337902</v>
      </c>
      <c r="AN4214">
        <v>0.99999998479904595</v>
      </c>
    </row>
    <row r="4215" spans="1:40" x14ac:dyDescent="0.25">
      <c r="A4215" t="str">
        <f>"20190303171102266"</f>
        <v>20190303171102266</v>
      </c>
      <c r="B4215" t="str">
        <f>"1551604262255468"</f>
        <v>1551604262255468</v>
      </c>
      <c r="C4215" t="s">
        <v>40</v>
      </c>
      <c r="D4215">
        <v>4.9781820000000003</v>
      </c>
      <c r="E4215">
        <v>0.49138280000000001</v>
      </c>
      <c r="F4215" t="s">
        <v>41</v>
      </c>
      <c r="G4215">
        <v>-422.32089999999999</v>
      </c>
      <c r="H4215">
        <v>-0.05</v>
      </c>
      <c r="I4215">
        <v>-9.9500119999999992</v>
      </c>
      <c r="J4215">
        <v>-422.45310000000001</v>
      </c>
      <c r="K4215">
        <v>1.120584</v>
      </c>
      <c r="L4215">
        <v>84.85181</v>
      </c>
      <c r="M4215">
        <v>-1.7562790000000002E-2</v>
      </c>
      <c r="N4215">
        <v>-1.376201E-2</v>
      </c>
      <c r="O4215">
        <v>-0.99975099999999995</v>
      </c>
      <c r="P4215">
        <v>-6.0554839999999999E-2</v>
      </c>
      <c r="Q4215">
        <v>0.1837675</v>
      </c>
      <c r="R4215">
        <v>-0.9811029</v>
      </c>
      <c r="S4215">
        <v>4.0588380000000004E-3</v>
      </c>
      <c r="T4215">
        <v>-3.7715079999999998E-2</v>
      </c>
      <c r="U4215">
        <v>-3.0653990000000002</v>
      </c>
      <c r="V4215">
        <v>4.3602589999999997E-2</v>
      </c>
      <c r="W4215">
        <v>0.19720090000000001</v>
      </c>
      <c r="X4215">
        <v>0.97939299999999996</v>
      </c>
      <c r="Y4215">
        <v>-1.8884930000000001E-2</v>
      </c>
      <c r="Z4215">
        <v>-1.463696E-3</v>
      </c>
      <c r="AA4215">
        <v>0.99982059999999995</v>
      </c>
      <c r="AB4215">
        <v>32</v>
      </c>
      <c r="AC4215">
        <v>0.132200000000011</v>
      </c>
      <c r="AD4215">
        <v>-1.1705840000000001</v>
      </c>
      <c r="AE4215">
        <v>-94.801822000000001</v>
      </c>
      <c r="AF4215">
        <v>-1.79704787829426</v>
      </c>
      <c r="AG4215">
        <v>-1.1705840000000001</v>
      </c>
      <c r="AH4215">
        <v>94.770425994123698</v>
      </c>
      <c r="AI4215">
        <v>90.707542028912599</v>
      </c>
      <c r="AJ4215">
        <v>91.086319070922201</v>
      </c>
      <c r="AK4215">
        <v>94.794690205124994</v>
      </c>
      <c r="AL4215">
        <v>78.626677358982505</v>
      </c>
      <c r="AM4215">
        <v>87.450874358124906</v>
      </c>
      <c r="AN4215">
        <v>1.0000000146322501</v>
      </c>
    </row>
    <row r="4216" spans="1:40" x14ac:dyDescent="0.25">
      <c r="A4216" t="str">
        <f>"20190303171102286"</f>
        <v>20190303171102286</v>
      </c>
      <c r="B4216" t="str">
        <f>"1551604262274989"</f>
        <v>1551604262274989</v>
      </c>
      <c r="C4216" t="s">
        <v>40</v>
      </c>
      <c r="D4216">
        <v>4.7347650000000003</v>
      </c>
      <c r="E4216">
        <v>0.49772189999999999</v>
      </c>
      <c r="F4216" t="s">
        <v>68</v>
      </c>
      <c r="G4216">
        <v>-424.60219999999998</v>
      </c>
      <c r="H4216">
        <v>6.7968230000000004E-2</v>
      </c>
      <c r="I4216">
        <v>9.5983199999999993</v>
      </c>
      <c r="J4216">
        <v>-422.4588</v>
      </c>
      <c r="K4216">
        <v>1.1207009999999999</v>
      </c>
      <c r="L4216">
        <v>84.552000000000007</v>
      </c>
      <c r="M4216">
        <v>-1.7855360000000001E-2</v>
      </c>
      <c r="N4216">
        <v>-1.375852E-2</v>
      </c>
      <c r="O4216">
        <v>-0.99974609999999997</v>
      </c>
      <c r="P4216">
        <v>-5.9361850000000001E-2</v>
      </c>
      <c r="Q4216">
        <v>0.1842927</v>
      </c>
      <c r="R4216">
        <v>-0.98107739999999999</v>
      </c>
      <c r="S4216">
        <v>-8.7402339999999995E-2</v>
      </c>
      <c r="T4216">
        <v>-4.2807579999999998E-2</v>
      </c>
      <c r="U4216">
        <v>-3.0603940000000001</v>
      </c>
      <c r="V4216">
        <v>4.206799E-2</v>
      </c>
      <c r="W4216">
        <v>0.1977361</v>
      </c>
      <c r="X4216">
        <v>0.97935220000000001</v>
      </c>
      <c r="Y4216">
        <v>1.069117E-2</v>
      </c>
      <c r="Z4216">
        <v>2.246486E-4</v>
      </c>
      <c r="AA4216">
        <v>0.99994280000000002</v>
      </c>
      <c r="AB4216">
        <v>32</v>
      </c>
      <c r="AC4216">
        <v>-2.1433999999999802</v>
      </c>
      <c r="AD4216">
        <v>-1.05273277</v>
      </c>
      <c r="AE4216">
        <v>-74.953680000000006</v>
      </c>
      <c r="AF4216">
        <v>0.80444829848386901</v>
      </c>
      <c r="AG4216">
        <v>-1.05273277</v>
      </c>
      <c r="AH4216">
        <v>74.965227503252706</v>
      </c>
      <c r="AI4216">
        <v>90.804502438569301</v>
      </c>
      <c r="AJ4216">
        <v>89.385185307903299</v>
      </c>
      <c r="AK4216">
        <v>74.976934573003206</v>
      </c>
      <c r="AL4216">
        <v>78.595396622108098</v>
      </c>
      <c r="AM4216">
        <v>87.540376717687593</v>
      </c>
      <c r="AN4216">
        <v>1.00000000633534</v>
      </c>
    </row>
    <row r="4217" spans="1:40" x14ac:dyDescent="0.25">
      <c r="A4217" t="str">
        <f>"20190303171102309"</f>
        <v>20190303171102309</v>
      </c>
      <c r="B4217" t="str">
        <f>"1551604262295485"</f>
        <v>1551604262295485</v>
      </c>
      <c r="C4217" t="s">
        <v>40</v>
      </c>
      <c r="D4217">
        <v>4.9816289999999999</v>
      </c>
      <c r="E4217">
        <v>0.50098809999999905</v>
      </c>
      <c r="F4217" t="s">
        <v>68</v>
      </c>
      <c r="G4217">
        <v>-425.73099999999999</v>
      </c>
      <c r="H4217">
        <v>5.9336380000000001E-2</v>
      </c>
      <c r="I4217">
        <v>9.6069220000000008</v>
      </c>
      <c r="J4217">
        <v>-422.46480000000003</v>
      </c>
      <c r="K4217">
        <v>1.120816</v>
      </c>
      <c r="L4217">
        <v>84.232330000000005</v>
      </c>
      <c r="M4217">
        <v>-1.8047130000000002E-2</v>
      </c>
      <c r="N4217">
        <v>-1.375493E-2</v>
      </c>
      <c r="O4217">
        <v>-0.99974280000000004</v>
      </c>
      <c r="P4217">
        <v>-5.787991E-2</v>
      </c>
      <c r="Q4217">
        <v>0.18473400000000001</v>
      </c>
      <c r="R4217">
        <v>-0.98108320000000004</v>
      </c>
      <c r="S4217">
        <v>-0.13351440000000001</v>
      </c>
      <c r="T4217">
        <v>-4.3305990000000003E-2</v>
      </c>
      <c r="U4217">
        <v>-3.057922</v>
      </c>
      <c r="V4217">
        <v>4.0342320000000001E-2</v>
      </c>
      <c r="W4217">
        <v>0.1981871</v>
      </c>
      <c r="X4217">
        <v>0.97933360000000003</v>
      </c>
      <c r="Y4217">
        <v>2.5576580000000002E-2</v>
      </c>
      <c r="Z4217">
        <v>3.9849919999999998E-4</v>
      </c>
      <c r="AA4217">
        <v>0.99967280000000003</v>
      </c>
      <c r="AB4217">
        <v>32</v>
      </c>
      <c r="AC4217">
        <v>-3.26619999999996</v>
      </c>
      <c r="AD4217">
        <v>-1.0614796200000001</v>
      </c>
      <c r="AE4217">
        <v>-74.625407999999993</v>
      </c>
      <c r="AF4217">
        <v>1.9183790813807</v>
      </c>
      <c r="AG4217">
        <v>-1.0614796200000001</v>
      </c>
      <c r="AH4217">
        <v>74.657126972251007</v>
      </c>
      <c r="AI4217">
        <v>90.814311272666799</v>
      </c>
      <c r="AJ4217">
        <v>88.528059577927394</v>
      </c>
      <c r="AK4217">
        <v>74.689313325497693</v>
      </c>
      <c r="AL4217">
        <v>78.569034031530705</v>
      </c>
      <c r="AM4217">
        <v>87.641111712506898</v>
      </c>
      <c r="AN4217">
        <v>0.99999996473917496</v>
      </c>
    </row>
    <row r="4218" spans="1:40" x14ac:dyDescent="0.25">
      <c r="A4218" t="str">
        <f>"20190303171102343"</f>
        <v>20190303171102343</v>
      </c>
      <c r="B4218" t="str">
        <f>"1551604262335437"</f>
        <v>1551604262335437</v>
      </c>
      <c r="C4218" t="s">
        <v>40</v>
      </c>
      <c r="D4218">
        <v>5.0370679999999997</v>
      </c>
      <c r="E4218">
        <v>0.50473880000000004</v>
      </c>
      <c r="F4218" t="s">
        <v>68</v>
      </c>
      <c r="G4218">
        <v>-426.23480000000001</v>
      </c>
      <c r="H4218">
        <v>5.5835900000000001E-2</v>
      </c>
      <c r="I4218">
        <v>9.6152800000000003</v>
      </c>
      <c r="J4218">
        <v>-422.47410000000002</v>
      </c>
      <c r="K4218">
        <v>1.1209739999999999</v>
      </c>
      <c r="L4218">
        <v>83.735749999999996</v>
      </c>
      <c r="M4218">
        <v>-1.8173100000000001E-2</v>
      </c>
      <c r="N4218">
        <v>-1.3749590000000001E-2</v>
      </c>
      <c r="O4218">
        <v>-0.99974070000000004</v>
      </c>
      <c r="P4218">
        <v>-5.4543300000000003E-2</v>
      </c>
      <c r="Q4218">
        <v>0.18390989999999999</v>
      </c>
      <c r="R4218">
        <v>-0.981429</v>
      </c>
      <c r="S4218">
        <v>-0.15444949999999999</v>
      </c>
      <c r="T4218">
        <v>-4.3630599999999999E-2</v>
      </c>
      <c r="U4218">
        <v>-3.0569459999999999</v>
      </c>
      <c r="V4218">
        <v>3.6802019999999998E-2</v>
      </c>
      <c r="W4218">
        <v>0.19737850000000001</v>
      </c>
      <c r="X4218">
        <v>0.97963630000000002</v>
      </c>
      <c r="Y4218">
        <v>3.2293540000000003E-2</v>
      </c>
      <c r="Z4218">
        <v>5.1158889999999998E-4</v>
      </c>
      <c r="AA4218">
        <v>0.99947830000000004</v>
      </c>
      <c r="AB4218">
        <v>32</v>
      </c>
      <c r="AC4218">
        <v>-3.7606999999999799</v>
      </c>
      <c r="AD4218">
        <v>-1.0651381</v>
      </c>
      <c r="AE4218">
        <v>-74.120469999999997</v>
      </c>
      <c r="AF4218">
        <v>2.4124563818634499</v>
      </c>
      <c r="AG4218">
        <v>-1.0651381</v>
      </c>
      <c r="AH4218">
        <v>74.161301594799298</v>
      </c>
      <c r="AI4218">
        <v>90.822416318215105</v>
      </c>
      <c r="AJ4218">
        <v>88.136833614913499</v>
      </c>
      <c r="AK4218">
        <v>74.2081742074365</v>
      </c>
      <c r="AL4218">
        <v>78.616297109407796</v>
      </c>
      <c r="AM4218">
        <v>87.848579804667494</v>
      </c>
      <c r="AN4218">
        <v>0.99999997060800905</v>
      </c>
    </row>
    <row r="4219" spans="1:40" x14ac:dyDescent="0.25">
      <c r="A4219" t="str">
        <f>"20190303171102363"</f>
        <v>20190303171102363</v>
      </c>
      <c r="B4219" t="str">
        <f>"1551604262354957"</f>
        <v>1551604262354957</v>
      </c>
      <c r="C4219" t="s">
        <v>40</v>
      </c>
      <c r="D4219">
        <v>5.0342379999999904</v>
      </c>
      <c r="E4219">
        <v>0.50601260000000003</v>
      </c>
      <c r="F4219" t="s">
        <v>68</v>
      </c>
      <c r="G4219">
        <v>-426.66419999999999</v>
      </c>
      <c r="H4219" s="1">
        <v>-7.9042359999999998E-6</v>
      </c>
      <c r="I4219">
        <v>10.69192</v>
      </c>
      <c r="J4219">
        <v>-422.47980000000001</v>
      </c>
      <c r="K4219">
        <v>1.121046</v>
      </c>
      <c r="L4219">
        <v>83.430359999999993</v>
      </c>
      <c r="M4219">
        <v>-1.818765E-2</v>
      </c>
      <c r="N4219">
        <v>-1.37465E-2</v>
      </c>
      <c r="O4219">
        <v>-0.99974010000000002</v>
      </c>
      <c r="P4219">
        <v>-5.2291020000000001E-2</v>
      </c>
      <c r="Q4219">
        <v>0.1839499</v>
      </c>
      <c r="R4219">
        <v>-0.98154390000000002</v>
      </c>
      <c r="S4219">
        <v>-0.175293</v>
      </c>
      <c r="T4219">
        <v>-4.6896699999999999E-2</v>
      </c>
      <c r="U4219">
        <v>-3.0558169999999998</v>
      </c>
      <c r="V4219">
        <v>3.4500450000000002E-2</v>
      </c>
      <c r="W4219">
        <v>0.19742380000000001</v>
      </c>
      <c r="X4219">
        <v>0.97971090000000005</v>
      </c>
      <c r="Y4219">
        <v>3.9092689999999999E-2</v>
      </c>
      <c r="Z4219">
        <v>1.5834620000000001E-3</v>
      </c>
      <c r="AA4219">
        <v>0.99923430000000002</v>
      </c>
      <c r="AB4219">
        <v>32</v>
      </c>
      <c r="AC4219">
        <v>-4.1843999999999797</v>
      </c>
      <c r="AD4219">
        <v>-1.1210539042359999</v>
      </c>
      <c r="AE4219">
        <v>-72.738439999999997</v>
      </c>
      <c r="AF4219">
        <v>2.8599643495087701</v>
      </c>
      <c r="AG4219">
        <v>-1.1210539042359999</v>
      </c>
      <c r="AH4219">
        <v>72.785285803756693</v>
      </c>
      <c r="AI4219">
        <v>90.881731271736598</v>
      </c>
      <c r="AJ4219">
        <v>87.749824977614495</v>
      </c>
      <c r="AK4219">
        <v>72.850078843273806</v>
      </c>
      <c r="AL4219">
        <v>78.613649191411895</v>
      </c>
      <c r="AM4219">
        <v>87.983166590117705</v>
      </c>
      <c r="AN4219">
        <v>0.99999994271772397</v>
      </c>
    </row>
    <row r="4220" spans="1:40" x14ac:dyDescent="0.25">
      <c r="A4220" t="str">
        <f>"20190303171102387"</f>
        <v>20190303171102387</v>
      </c>
      <c r="B4220" t="str">
        <f>"1551604262375454"</f>
        <v>1551604262375454</v>
      </c>
      <c r="C4220" t="s">
        <v>40</v>
      </c>
      <c r="D4220">
        <v>5.0326190000000004</v>
      </c>
      <c r="E4220">
        <v>0.50694790000000001</v>
      </c>
      <c r="F4220" t="s">
        <v>68</v>
      </c>
      <c r="G4220">
        <v>-426.74889999999999</v>
      </c>
      <c r="H4220" s="1">
        <v>-7.8787189999999999E-6</v>
      </c>
      <c r="I4220">
        <v>10.744820000000001</v>
      </c>
      <c r="J4220">
        <v>-422.48579999999998</v>
      </c>
      <c r="K4220">
        <v>1.1211100000000001</v>
      </c>
      <c r="L4220">
        <v>83.103880000000004</v>
      </c>
      <c r="M4220">
        <v>-1.8176500000000002E-2</v>
      </c>
      <c r="N4220">
        <v>-1.374334E-2</v>
      </c>
      <c r="O4220">
        <v>-0.99974039999999997</v>
      </c>
      <c r="P4220">
        <v>-5.1043390000000001E-2</v>
      </c>
      <c r="Q4220">
        <v>0.18559529999999999</v>
      </c>
      <c r="R4220">
        <v>-0.9812999</v>
      </c>
      <c r="S4220">
        <v>-0.17947389999999999</v>
      </c>
      <c r="T4220">
        <v>-4.7129030000000002E-2</v>
      </c>
      <c r="U4220">
        <v>-3.0556950000000001</v>
      </c>
      <c r="V4220">
        <v>3.3243740000000001E-2</v>
      </c>
      <c r="W4220">
        <v>0.19906670000000001</v>
      </c>
      <c r="X4220">
        <v>0.97942189999999996</v>
      </c>
      <c r="Y4220">
        <v>4.0468379999999998E-2</v>
      </c>
      <c r="Z4220">
        <v>1.66227E-3</v>
      </c>
      <c r="AA4220">
        <v>0.99917940000000005</v>
      </c>
      <c r="AB4220">
        <v>32</v>
      </c>
      <c r="AC4220">
        <v>-4.2630999999999997</v>
      </c>
      <c r="AD4220">
        <v>-1.1211178787189999</v>
      </c>
      <c r="AE4220">
        <v>-72.359059999999999</v>
      </c>
      <c r="AF4220">
        <v>2.9463321362369799</v>
      </c>
      <c r="AG4220">
        <v>-1.1211178787189999</v>
      </c>
      <c r="AH4220">
        <v>72.407277284907394</v>
      </c>
      <c r="AI4220">
        <v>90.886334799987694</v>
      </c>
      <c r="AJ4220">
        <v>87.669856899037299</v>
      </c>
      <c r="AK4220">
        <v>72.475868964562807</v>
      </c>
      <c r="AL4220">
        <v>78.517612238446404</v>
      </c>
      <c r="AM4220">
        <v>88.056001156319098</v>
      </c>
      <c r="AN4220">
        <v>0.99999997774884297</v>
      </c>
    </row>
    <row r="4221" spans="1:40" x14ac:dyDescent="0.25">
      <c r="A4221" t="str">
        <f>"20190303171102410"</f>
        <v>20190303171102410</v>
      </c>
      <c r="B4221" t="str">
        <f>"1551604262394973"</f>
        <v>1551604262394973</v>
      </c>
      <c r="C4221" t="s">
        <v>40</v>
      </c>
      <c r="D4221">
        <v>4.8150839999999997</v>
      </c>
      <c r="E4221">
        <v>0.50766840000000002</v>
      </c>
      <c r="F4221" t="s">
        <v>68</v>
      </c>
      <c r="G4221">
        <v>-427.02269999999999</v>
      </c>
      <c r="H4221">
        <v>7.9987920000000004E-2</v>
      </c>
      <c r="I4221">
        <v>7.3937759999999999</v>
      </c>
      <c r="J4221">
        <v>-422.49189999999999</v>
      </c>
      <c r="K4221">
        <v>1.1211530000000001</v>
      </c>
      <c r="L4221">
        <v>82.767849999999996</v>
      </c>
      <c r="M4221">
        <v>-1.815164E-2</v>
      </c>
      <c r="N4221">
        <v>-1.3740169999999999E-2</v>
      </c>
      <c r="O4221">
        <v>-0.99974079999999999</v>
      </c>
      <c r="P4221">
        <v>-5.0416950000000002E-2</v>
      </c>
      <c r="Q4221">
        <v>0.187027</v>
      </c>
      <c r="R4221">
        <v>-0.9810603</v>
      </c>
      <c r="S4221">
        <v>-0.1831055</v>
      </c>
      <c r="T4221">
        <v>-4.2018890000000003E-2</v>
      </c>
      <c r="U4221">
        <v>-3.0556030000000001</v>
      </c>
      <c r="V4221">
        <v>3.2629760000000001E-2</v>
      </c>
      <c r="W4221">
        <v>0.20049449999999999</v>
      </c>
      <c r="X4221">
        <v>0.97915129999999995</v>
      </c>
      <c r="Y4221">
        <v>4.1678630000000001E-2</v>
      </c>
      <c r="Z4221" s="1">
        <v>-4.2672240000000002E-6</v>
      </c>
      <c r="AA4221">
        <v>0.99913110000000005</v>
      </c>
      <c r="AB4221">
        <v>32</v>
      </c>
      <c r="AC4221">
        <v>-4.5307999999999904</v>
      </c>
      <c r="AD4221">
        <v>-1.0411650800000001</v>
      </c>
      <c r="AE4221">
        <v>-75.374073999999993</v>
      </c>
      <c r="AF4221">
        <v>3.1611601235537399</v>
      </c>
      <c r="AG4221">
        <v>-1.0411650800000001</v>
      </c>
      <c r="AH4221">
        <v>75.4295619459119</v>
      </c>
      <c r="AI4221">
        <v>90.790118187264</v>
      </c>
      <c r="AJ4221">
        <v>87.600208680598698</v>
      </c>
      <c r="AK4221">
        <v>75.502952084025907</v>
      </c>
      <c r="AL4221">
        <v>78.434122553588793</v>
      </c>
      <c r="AM4221">
        <v>88.091351218311303</v>
      </c>
      <c r="AN4221">
        <v>1.0000000070297901</v>
      </c>
    </row>
    <row r="4222" spans="1:40" x14ac:dyDescent="0.25">
      <c r="A4222" t="str">
        <f>"20190303171102432"</f>
        <v>20190303171102432</v>
      </c>
      <c r="B4222" t="str">
        <f>"1551604262425230"</f>
        <v>1551604262425230</v>
      </c>
      <c r="C4222" t="s">
        <v>40</v>
      </c>
      <c r="D4222">
        <v>5.03287</v>
      </c>
      <c r="E4222">
        <v>0.50883370000000006</v>
      </c>
      <c r="F4222" t="s">
        <v>41</v>
      </c>
      <c r="G4222">
        <v>-428.2079</v>
      </c>
      <c r="H4222">
        <v>-0.05</v>
      </c>
      <c r="I4222">
        <v>-10.641690000000001</v>
      </c>
      <c r="J4222">
        <v>-422.49779999999998</v>
      </c>
      <c r="K4222">
        <v>1.121178</v>
      </c>
      <c r="L4222">
        <v>82.444369999999907</v>
      </c>
      <c r="M4222">
        <v>-1.8126349999999999E-2</v>
      </c>
      <c r="N4222">
        <v>-1.373722E-2</v>
      </c>
      <c r="O4222">
        <v>-0.99974160000000001</v>
      </c>
      <c r="P4222">
        <v>-4.9771940000000001E-2</v>
      </c>
      <c r="Q4222">
        <v>0.18712300000000001</v>
      </c>
      <c r="R4222">
        <v>-0.98107509999999998</v>
      </c>
      <c r="S4222">
        <v>-0.18698119999999999</v>
      </c>
      <c r="T4222">
        <v>-3.8310650000000002E-2</v>
      </c>
      <c r="U4222">
        <v>-3.0556030000000001</v>
      </c>
      <c r="V4222">
        <v>3.1999550000000002E-2</v>
      </c>
      <c r="W4222">
        <v>0.20058980000000001</v>
      </c>
      <c r="X4222">
        <v>0.97915260000000004</v>
      </c>
      <c r="Y4222">
        <v>4.2966610000000002E-2</v>
      </c>
      <c r="Z4222">
        <v>-1.2134470000000001E-3</v>
      </c>
      <c r="AA4222">
        <v>0.99907579999999996</v>
      </c>
      <c r="AB4222">
        <v>32</v>
      </c>
      <c r="AC4222">
        <v>-5.7101000000000104</v>
      </c>
      <c r="AD4222">
        <v>-1.1711780000000001</v>
      </c>
      <c r="AE4222">
        <v>-93.086060000000003</v>
      </c>
      <c r="AF4222">
        <v>4.0210582616363597</v>
      </c>
      <c r="AG4222">
        <v>-1.1711780000000001</v>
      </c>
      <c r="AH4222">
        <v>93.159584755354899</v>
      </c>
      <c r="AI4222">
        <v>90.719599706467093</v>
      </c>
      <c r="AJ4222">
        <v>87.528469542894399</v>
      </c>
      <c r="AK4222">
        <v>93.2536798160872</v>
      </c>
      <c r="AL4222">
        <v>78.428549269632896</v>
      </c>
      <c r="AM4222">
        <v>88.128190793442101</v>
      </c>
      <c r="AN4222">
        <v>1.0000000265755</v>
      </c>
    </row>
    <row r="4223" spans="1:40" x14ac:dyDescent="0.25">
      <c r="A4223" t="str">
        <f>"20190303171102455"</f>
        <v>20190303171102455</v>
      </c>
      <c r="B4223" t="str">
        <f>"1551604262445726"</f>
        <v>1551604262445726</v>
      </c>
      <c r="C4223" t="s">
        <v>40</v>
      </c>
      <c r="D4223">
        <v>4.968979</v>
      </c>
      <c r="E4223">
        <v>0.50950359999999995</v>
      </c>
      <c r="F4223" t="s">
        <v>41</v>
      </c>
      <c r="G4223">
        <v>-428.30239999999998</v>
      </c>
      <c r="H4223">
        <v>-0.05</v>
      </c>
      <c r="I4223">
        <v>-8.8196870000000001</v>
      </c>
      <c r="J4223">
        <v>-422.50369999999998</v>
      </c>
      <c r="K4223">
        <v>1.121181</v>
      </c>
      <c r="L4223">
        <v>82.119869999999906</v>
      </c>
      <c r="M4223">
        <v>-1.810641E-2</v>
      </c>
      <c r="N4223">
        <v>-1.3734430000000001E-2</v>
      </c>
      <c r="O4223">
        <v>-0.99974200000000002</v>
      </c>
      <c r="P4223">
        <v>-4.8932780000000002E-2</v>
      </c>
      <c r="Q4223">
        <v>0.1857251</v>
      </c>
      <c r="R4223">
        <v>-0.98138300000000001</v>
      </c>
      <c r="S4223">
        <v>-0.19433590000000001</v>
      </c>
      <c r="T4223">
        <v>-3.9210920000000003E-2</v>
      </c>
      <c r="U4223">
        <v>-3.0555110000000001</v>
      </c>
      <c r="V4223">
        <v>3.1168560000000001E-2</v>
      </c>
      <c r="W4223">
        <v>0.19919419999999999</v>
      </c>
      <c r="X4223">
        <v>0.97946420000000001</v>
      </c>
      <c r="Y4223">
        <v>4.5383229999999997E-2</v>
      </c>
      <c r="Z4223">
        <v>-9.1752109999999995E-4</v>
      </c>
      <c r="AA4223">
        <v>0.99896929999999995</v>
      </c>
      <c r="AB4223">
        <v>32</v>
      </c>
      <c r="AC4223">
        <v>-5.7986999999999904</v>
      </c>
      <c r="AD4223">
        <v>-1.171181</v>
      </c>
      <c r="AE4223">
        <v>-90.939556999999994</v>
      </c>
      <c r="AF4223">
        <v>4.1503198479576398</v>
      </c>
      <c r="AG4223">
        <v>-1.171181</v>
      </c>
      <c r="AH4223">
        <v>91.014615001861301</v>
      </c>
      <c r="AI4223">
        <v>90.736479265688004</v>
      </c>
      <c r="AJ4223">
        <v>87.389087555033896</v>
      </c>
      <c r="AK4223">
        <v>91.116721647083807</v>
      </c>
      <c r="AL4223">
        <v>78.510157572104106</v>
      </c>
      <c r="AM4223">
        <v>88.177345832748898</v>
      </c>
      <c r="AN4223">
        <v>0.99999996376387601</v>
      </c>
    </row>
    <row r="4224" spans="1:40" x14ac:dyDescent="0.25">
      <c r="A4224" t="str">
        <f>"20190303171102475"</f>
        <v>20190303171102475</v>
      </c>
      <c r="B4224" t="str">
        <f>"1551604262465245"</f>
        <v>1551604262465245</v>
      </c>
      <c r="C4224" t="s">
        <v>40</v>
      </c>
      <c r="D4224">
        <v>4.8058839999999998</v>
      </c>
      <c r="E4224">
        <v>0.50997190000000003</v>
      </c>
      <c r="F4224" t="s">
        <v>68</v>
      </c>
      <c r="G4224">
        <v>-427.20370000000003</v>
      </c>
      <c r="H4224">
        <v>5.7169419999999999E-2</v>
      </c>
      <c r="I4224">
        <v>9.6899429999999995</v>
      </c>
      <c r="J4224">
        <v>-422.50920000000002</v>
      </c>
      <c r="K4224">
        <v>1.121183</v>
      </c>
      <c r="L4224">
        <v>81.816800000000001</v>
      </c>
      <c r="M4224">
        <v>-1.8095429999999999E-2</v>
      </c>
      <c r="N4224">
        <v>-1.373193E-2</v>
      </c>
      <c r="O4224">
        <v>-0.99974200000000002</v>
      </c>
      <c r="P4224">
        <v>-4.8500689999999999E-2</v>
      </c>
      <c r="Q4224">
        <v>0.18491569999999999</v>
      </c>
      <c r="R4224">
        <v>-0.98155709999999996</v>
      </c>
      <c r="S4224">
        <v>-0.1982727</v>
      </c>
      <c r="T4224">
        <v>-4.488611E-2</v>
      </c>
      <c r="U4224">
        <v>-3.0555110000000001</v>
      </c>
      <c r="V4224">
        <v>3.074079E-2</v>
      </c>
      <c r="W4224">
        <v>0.19838529999999999</v>
      </c>
      <c r="X4224">
        <v>0.97964189999999995</v>
      </c>
      <c r="Y4224">
        <v>4.6675130000000002E-2</v>
      </c>
      <c r="Z4224">
        <v>9.3781629999999995E-4</v>
      </c>
      <c r="AA4224">
        <v>0.99890970000000001</v>
      </c>
      <c r="AB4224">
        <v>32</v>
      </c>
      <c r="AC4224">
        <v>-4.6944999999999997</v>
      </c>
      <c r="AD4224">
        <v>-1.0640135799999999</v>
      </c>
      <c r="AE4224">
        <v>-72.126857000000001</v>
      </c>
      <c r="AF4224">
        <v>3.3877075582845402</v>
      </c>
      <c r="AG4224">
        <v>-1.0640135799999999</v>
      </c>
      <c r="AH4224">
        <v>72.184359486264498</v>
      </c>
      <c r="AI4224">
        <v>90.843563078350698</v>
      </c>
      <c r="AJ4224">
        <v>87.313004800404201</v>
      </c>
      <c r="AK4224">
        <v>72.271643414558895</v>
      </c>
      <c r="AL4224">
        <v>78.557448224185194</v>
      </c>
      <c r="AM4224">
        <v>88.202670021027103</v>
      </c>
      <c r="AN4224">
        <v>0.99999998783076105</v>
      </c>
    </row>
    <row r="4225" spans="1:40" x14ac:dyDescent="0.25">
      <c r="A4225" t="str">
        <f>"20190303171102501"</f>
        <v>20190303171102501</v>
      </c>
      <c r="B4225" t="str">
        <f>"1551604262495502"</f>
        <v>1551604262495502</v>
      </c>
      <c r="C4225" t="s">
        <v>40</v>
      </c>
      <c r="D4225">
        <v>5.086042</v>
      </c>
      <c r="E4225">
        <v>0.51069620000000004</v>
      </c>
      <c r="F4225" t="s">
        <v>68</v>
      </c>
      <c r="G4225">
        <v>-427.15089999999998</v>
      </c>
      <c r="H4225" s="1">
        <v>-7.7862140000000001E-6</v>
      </c>
      <c r="I4225">
        <v>11.28196</v>
      </c>
      <c r="J4225">
        <v>-422.51560000000001</v>
      </c>
      <c r="K4225">
        <v>1.1211880000000001</v>
      </c>
      <c r="L4225">
        <v>81.463319999999996</v>
      </c>
      <c r="M4225">
        <v>-1.808937E-2</v>
      </c>
      <c r="N4225">
        <v>-1.3729069999999999E-2</v>
      </c>
      <c r="O4225">
        <v>-0.99974200000000002</v>
      </c>
      <c r="P4225">
        <v>-4.9346719999999997E-2</v>
      </c>
      <c r="Q4225">
        <v>0.184778</v>
      </c>
      <c r="R4225">
        <v>-0.98154090000000005</v>
      </c>
      <c r="S4225">
        <v>-0.20108029999999999</v>
      </c>
      <c r="T4225">
        <v>-4.8570040000000002E-2</v>
      </c>
      <c r="U4225">
        <v>-3.0555729999999999</v>
      </c>
      <c r="V4225">
        <v>3.1591040000000001E-2</v>
      </c>
      <c r="W4225">
        <v>0.19824459999999999</v>
      </c>
      <c r="X4225">
        <v>0.97964329999999999</v>
      </c>
      <c r="Y4225">
        <v>4.7593129999999997E-2</v>
      </c>
      <c r="Z4225">
        <v>2.142821E-3</v>
      </c>
      <c r="AA4225">
        <v>0.99886450000000004</v>
      </c>
      <c r="AB4225">
        <v>32</v>
      </c>
      <c r="AC4225">
        <v>-4.6352999999999698</v>
      </c>
      <c r="AD4225">
        <v>-1.1211957862139901</v>
      </c>
      <c r="AE4225">
        <v>-70.181359999999998</v>
      </c>
      <c r="AF4225">
        <v>3.36403016211746</v>
      </c>
      <c r="AG4225">
        <v>-1.1211957862139901</v>
      </c>
      <c r="AH4225">
        <v>70.235883967007993</v>
      </c>
      <c r="AI4225">
        <v>90.913504435595101</v>
      </c>
      <c r="AJ4225">
        <v>87.257846931865998</v>
      </c>
      <c r="AK4225">
        <v>70.325338076326901</v>
      </c>
      <c r="AL4225">
        <v>78.565672722373094</v>
      </c>
      <c r="AM4225">
        <v>88.152994834671304</v>
      </c>
      <c r="AN4225">
        <v>0.99999995523616403</v>
      </c>
    </row>
    <row r="4226" spans="1:40" x14ac:dyDescent="0.25">
      <c r="A4226" t="str">
        <f>"20190303171102522"</f>
        <v>20190303171102522</v>
      </c>
      <c r="B4226" t="str">
        <f>"1551604262515022"</f>
        <v>1551604262515022</v>
      </c>
      <c r="C4226" t="s">
        <v>40</v>
      </c>
      <c r="D4226">
        <v>5.0884210000000003</v>
      </c>
      <c r="E4226">
        <v>0.51098220000000005</v>
      </c>
      <c r="F4226" t="s">
        <v>68</v>
      </c>
      <c r="G4226">
        <v>-427.18869999999998</v>
      </c>
      <c r="H4226" s="1">
        <v>-7.9958099999999996E-6</v>
      </c>
      <c r="I4226">
        <v>13.390919999999999</v>
      </c>
      <c r="J4226">
        <v>-422.5213</v>
      </c>
      <c r="K4226">
        <v>1.1211930000000001</v>
      </c>
      <c r="L4226">
        <v>81.145600000000002</v>
      </c>
      <c r="M4226">
        <v>-1.808804E-2</v>
      </c>
      <c r="N4226">
        <v>-1.3726540000000001E-2</v>
      </c>
      <c r="O4226">
        <v>-0.99974249999999998</v>
      </c>
      <c r="P4226">
        <v>-4.9945179999999999E-2</v>
      </c>
      <c r="Q4226">
        <v>0.18525739999999999</v>
      </c>
      <c r="R4226">
        <v>-0.98142050000000003</v>
      </c>
      <c r="S4226">
        <v>-0.2097473</v>
      </c>
      <c r="T4226">
        <v>-5.0323720000000002E-2</v>
      </c>
      <c r="U4226">
        <v>-3.0553590000000002</v>
      </c>
      <c r="V4226">
        <v>3.2192079999999998E-2</v>
      </c>
      <c r="W4226">
        <v>0.19872039999999999</v>
      </c>
      <c r="X4226">
        <v>0.97952740000000005</v>
      </c>
      <c r="Y4226">
        <v>5.0418659999999997E-2</v>
      </c>
      <c r="Z4226">
        <v>2.7168409999999998E-3</v>
      </c>
      <c r="AA4226">
        <v>0.99872450000000002</v>
      </c>
      <c r="AB4226">
        <v>32</v>
      </c>
      <c r="AC4226">
        <v>-4.6673999999999802</v>
      </c>
      <c r="AD4226">
        <v>-1.12120099581</v>
      </c>
      <c r="AE4226">
        <v>-67.754679999999993</v>
      </c>
      <c r="AF4226">
        <v>3.44003427862061</v>
      </c>
      <c r="AG4226">
        <v>-1.12120099581</v>
      </c>
      <c r="AH4226">
        <v>67.809544261358596</v>
      </c>
      <c r="AI4226">
        <v>90.9460578083455</v>
      </c>
      <c r="AJ4226">
        <v>87.095827406619307</v>
      </c>
      <c r="AK4226">
        <v>67.9060028307088</v>
      </c>
      <c r="AL4226">
        <v>78.537858837214202</v>
      </c>
      <c r="AM4226">
        <v>88.117656866410897</v>
      </c>
      <c r="AN4226">
        <v>1.0000000273708201</v>
      </c>
    </row>
    <row r="4227" spans="1:40" x14ac:dyDescent="0.25">
      <c r="A4227" t="str">
        <f>"20190303171102543"</f>
        <v>20190303171102543</v>
      </c>
      <c r="B4227" t="str">
        <f>"1551604262535517"</f>
        <v>1551604262535517</v>
      </c>
      <c r="C4227" t="s">
        <v>40</v>
      </c>
      <c r="D4227">
        <v>4.8803029999999996</v>
      </c>
      <c r="E4227">
        <v>0.51141910000000002</v>
      </c>
      <c r="F4227" t="s">
        <v>68</v>
      </c>
      <c r="G4227">
        <v>-427.3777</v>
      </c>
      <c r="H4227" s="1">
        <v>-7.7779959999999998E-6</v>
      </c>
      <c r="I4227">
        <v>12.0251</v>
      </c>
      <c r="J4227">
        <v>-422.5265</v>
      </c>
      <c r="K4227">
        <v>1.1211869999999999</v>
      </c>
      <c r="L4227">
        <v>80.856659999999906</v>
      </c>
      <c r="M4227">
        <v>-1.808825E-2</v>
      </c>
      <c r="N4227">
        <v>-1.372425E-2</v>
      </c>
      <c r="O4227">
        <v>-0.99974229999999997</v>
      </c>
      <c r="P4227">
        <v>-5.0432209999999998E-2</v>
      </c>
      <c r="Q4227">
        <v>0.1845087</v>
      </c>
      <c r="R4227">
        <v>-0.98153619999999997</v>
      </c>
      <c r="S4227">
        <v>-0.21466060000000001</v>
      </c>
      <c r="T4227">
        <v>-4.955888E-2</v>
      </c>
      <c r="U4227">
        <v>-3.055237</v>
      </c>
      <c r="V4227">
        <v>3.2676419999999998E-2</v>
      </c>
      <c r="W4227">
        <v>0.19797120000000001</v>
      </c>
      <c r="X4227">
        <v>0.97966299999999995</v>
      </c>
      <c r="Y4227">
        <v>5.2019309999999999E-2</v>
      </c>
      <c r="Z4227">
        <v>2.468657E-3</v>
      </c>
      <c r="AA4227">
        <v>0.99864299999999995</v>
      </c>
      <c r="AB4227">
        <v>32</v>
      </c>
      <c r="AC4227">
        <v>-4.8512000000000004</v>
      </c>
      <c r="AD4227">
        <v>-1.1211947779960001</v>
      </c>
      <c r="AE4227">
        <v>-68.831559999999996</v>
      </c>
      <c r="AF4227">
        <v>3.60429495608492</v>
      </c>
      <c r="AG4227">
        <v>-1.1211947779960001</v>
      </c>
      <c r="AH4227">
        <v>68.889866389833102</v>
      </c>
      <c r="AI4227">
        <v>90.931143303772899</v>
      </c>
      <c r="AJ4227">
        <v>87.005034585039496</v>
      </c>
      <c r="AK4227">
        <v>68.993200469826903</v>
      </c>
      <c r="AL4227">
        <v>78.581654296844206</v>
      </c>
      <c r="AM4227">
        <v>88.089621520904799</v>
      </c>
      <c r="AN4227">
        <v>0.99999996901122701</v>
      </c>
    </row>
    <row r="4228" spans="1:40" x14ac:dyDescent="0.25">
      <c r="A4228" t="str">
        <f>"20190303171102565"</f>
        <v>20190303171102565</v>
      </c>
      <c r="B4228" t="str">
        <f>"1551604262555037"</f>
        <v>1551604262555037</v>
      </c>
      <c r="C4228" t="s">
        <v>40</v>
      </c>
      <c r="D4228">
        <v>5.0864379999999896</v>
      </c>
      <c r="E4228">
        <v>0.51178690000000004</v>
      </c>
      <c r="F4228" t="s">
        <v>68</v>
      </c>
      <c r="G4228">
        <v>-427.22019999999998</v>
      </c>
      <c r="H4228" s="1">
        <v>-8.2562779999999905E-6</v>
      </c>
      <c r="I4228">
        <v>15.805020000000001</v>
      </c>
      <c r="J4228">
        <v>-422.53230000000002</v>
      </c>
      <c r="K4228">
        <v>1.1211850000000001</v>
      </c>
      <c r="L4228">
        <v>80.535219999999995</v>
      </c>
      <c r="M4228">
        <v>-1.8089089999999999E-2</v>
      </c>
      <c r="N4228">
        <v>-1.372174E-2</v>
      </c>
      <c r="O4228">
        <v>-0.99974249999999998</v>
      </c>
      <c r="P4228">
        <v>-4.993943E-2</v>
      </c>
      <c r="Q4228">
        <v>0.18367510000000001</v>
      </c>
      <c r="R4228">
        <v>-0.98171819999999999</v>
      </c>
      <c r="S4228">
        <v>-0.2204285</v>
      </c>
      <c r="T4228">
        <v>-5.2654739999999998E-2</v>
      </c>
      <c r="U4228">
        <v>-3.0550229999999998</v>
      </c>
      <c r="V4228">
        <v>3.2179579999999999E-2</v>
      </c>
      <c r="W4228">
        <v>0.1971378</v>
      </c>
      <c r="X4228">
        <v>0.97984760000000004</v>
      </c>
      <c r="Y4228">
        <v>5.38982E-2</v>
      </c>
      <c r="Z4228">
        <v>3.481427E-3</v>
      </c>
      <c r="AA4228">
        <v>0.99854030000000005</v>
      </c>
      <c r="AB4228">
        <v>32</v>
      </c>
      <c r="AC4228">
        <v>-4.6878999999999502</v>
      </c>
      <c r="AD4228">
        <v>-1.121193256278</v>
      </c>
      <c r="AE4228">
        <v>-64.730199999999996</v>
      </c>
      <c r="AF4228">
        <v>3.5150634081449201</v>
      </c>
      <c r="AG4228">
        <v>-1.121193256278</v>
      </c>
      <c r="AH4228">
        <v>64.7850793326201</v>
      </c>
      <c r="AI4228">
        <v>90.990025949471502</v>
      </c>
      <c r="AJ4228">
        <v>86.894330927289602</v>
      </c>
      <c r="AK4228">
        <v>64.890055087163205</v>
      </c>
      <c r="AL4228">
        <v>78.630365849911499</v>
      </c>
      <c r="AM4228">
        <v>88.119001685954004</v>
      </c>
      <c r="AN4228">
        <v>1.00000007839178</v>
      </c>
    </row>
    <row r="4229" spans="1:40" x14ac:dyDescent="0.25">
      <c r="A4229" t="str">
        <f>"20190303171102588"</f>
        <v>20190303171102588</v>
      </c>
      <c r="B4229" t="str">
        <f>"1551604262575533"</f>
        <v>1551604262575533</v>
      </c>
      <c r="C4229" t="s">
        <v>40</v>
      </c>
      <c r="D4229">
        <v>5.0876830000000002</v>
      </c>
      <c r="E4229">
        <v>0.51203779999999999</v>
      </c>
      <c r="F4229" t="s">
        <v>68</v>
      </c>
      <c r="G4229">
        <v>-427.01159999999999</v>
      </c>
      <c r="H4229" s="1">
        <v>-8.6754839999999998E-6</v>
      </c>
      <c r="I4229">
        <v>18.881209999999999</v>
      </c>
      <c r="J4229">
        <v>-422.53809999999999</v>
      </c>
      <c r="K4229">
        <v>1.121184</v>
      </c>
      <c r="L4229">
        <v>80.210139999999996</v>
      </c>
      <c r="M4229">
        <v>-1.809003E-2</v>
      </c>
      <c r="N4229">
        <v>-1.371956E-2</v>
      </c>
      <c r="O4229">
        <v>-0.99974229999999997</v>
      </c>
      <c r="P4229">
        <v>-4.9003600000000001E-2</v>
      </c>
      <c r="Q4229">
        <v>0.18342610000000001</v>
      </c>
      <c r="R4229">
        <v>-0.98181160000000001</v>
      </c>
      <c r="S4229">
        <v>-0.22195429999999999</v>
      </c>
      <c r="T4229">
        <v>-5.5555819999999999E-2</v>
      </c>
      <c r="U4229">
        <v>-3.0549930000000001</v>
      </c>
      <c r="V4229">
        <v>3.1241339999999999E-2</v>
      </c>
      <c r="W4229">
        <v>0.1968877</v>
      </c>
      <c r="X4229">
        <v>0.97992820000000003</v>
      </c>
      <c r="Y4229">
        <v>5.4393379999999998E-2</v>
      </c>
      <c r="Z4229">
        <v>4.43043E-3</v>
      </c>
      <c r="AA4229">
        <v>0.9985098</v>
      </c>
      <c r="AB4229">
        <v>32</v>
      </c>
      <c r="AC4229">
        <v>-4.4734999999999996</v>
      </c>
      <c r="AD4229">
        <v>-1.121192675484</v>
      </c>
      <c r="AE4229">
        <v>-61.32893</v>
      </c>
      <c r="AF4229">
        <v>3.36210356687491</v>
      </c>
      <c r="AG4229">
        <v>-1.121192675484</v>
      </c>
      <c r="AH4229">
        <v>61.379420198892099</v>
      </c>
      <c r="AI4229">
        <v>91.044916053206805</v>
      </c>
      <c r="AJ4229">
        <v>86.864714081156194</v>
      </c>
      <c r="AK4229">
        <v>61.4816561045822</v>
      </c>
      <c r="AL4229">
        <v>78.644981457312696</v>
      </c>
      <c r="AM4229">
        <v>88.173957195657707</v>
      </c>
      <c r="AN4229">
        <v>1.0000000324457601</v>
      </c>
    </row>
    <row r="4230" spans="1:40" x14ac:dyDescent="0.25">
      <c r="A4230" t="str">
        <f>"20190303171102611"</f>
        <v>20190303171102611</v>
      </c>
      <c r="B4230" t="str">
        <f>"1551604262604814"</f>
        <v>1551604262604814</v>
      </c>
      <c r="C4230" t="s">
        <v>40</v>
      </c>
      <c r="D4230">
        <v>4.8815670000000004</v>
      </c>
      <c r="E4230">
        <v>0.5124071</v>
      </c>
      <c r="F4230" t="s">
        <v>68</v>
      </c>
      <c r="G4230">
        <v>-426.89830000000001</v>
      </c>
      <c r="H4230" s="1">
        <v>-1.017681E-5</v>
      </c>
      <c r="I4230">
        <v>20.142790000000002</v>
      </c>
      <c r="J4230">
        <v>-422.54399999999998</v>
      </c>
      <c r="K4230">
        <v>1.121189</v>
      </c>
      <c r="L4230">
        <v>79.885249999999999</v>
      </c>
      <c r="M4230">
        <v>-1.809088E-2</v>
      </c>
      <c r="N4230">
        <v>-1.3717470000000001E-2</v>
      </c>
      <c r="O4230">
        <v>-0.99974229999999997</v>
      </c>
      <c r="P4230">
        <v>-4.7631449999999999E-2</v>
      </c>
      <c r="Q4230">
        <v>0.1835386</v>
      </c>
      <c r="R4230">
        <v>-0.98185809999999996</v>
      </c>
      <c r="S4230">
        <v>-0.2217712</v>
      </c>
      <c r="T4230">
        <v>-5.7026739999999999E-2</v>
      </c>
      <c r="U4230">
        <v>-3.0551759999999999</v>
      </c>
      <c r="V4230">
        <v>2.986778E-2</v>
      </c>
      <c r="W4230">
        <v>0.19699839999999999</v>
      </c>
      <c r="X4230">
        <v>0.97994879999999995</v>
      </c>
      <c r="Y4230">
        <v>5.4328359999999999E-2</v>
      </c>
      <c r="Z4230">
        <v>4.9116740000000004E-3</v>
      </c>
      <c r="AA4230">
        <v>0.99851100000000004</v>
      </c>
      <c r="AB4230">
        <v>32</v>
      </c>
      <c r="AC4230">
        <v>-4.3542999999999603</v>
      </c>
      <c r="AD4230">
        <v>-1.12119917681</v>
      </c>
      <c r="AE4230">
        <v>-59.742459999999902</v>
      </c>
      <c r="AF4230">
        <v>3.2715457811742201</v>
      </c>
      <c r="AG4230">
        <v>-1.12119917681</v>
      </c>
      <c r="AH4230">
        <v>59.7905142057568</v>
      </c>
      <c r="AI4230">
        <v>91.072687491558398</v>
      </c>
      <c r="AJ4230">
        <v>86.868081214123194</v>
      </c>
      <c r="AK4230">
        <v>59.8904473883874</v>
      </c>
      <c r="AL4230">
        <v>78.638512340190601</v>
      </c>
      <c r="AM4230">
        <v>88.254227036170903</v>
      </c>
      <c r="AN4230">
        <v>1.0000000522530601</v>
      </c>
    </row>
    <row r="4231" spans="1:40" x14ac:dyDescent="0.25">
      <c r="A4231" t="str">
        <f>"20190303171102634"</f>
        <v>20190303171102634</v>
      </c>
      <c r="B4231" t="str">
        <f>"1551604262625310"</f>
        <v>1551604262625310</v>
      </c>
      <c r="C4231" t="s">
        <v>40</v>
      </c>
      <c r="D4231">
        <v>5.088152</v>
      </c>
      <c r="E4231">
        <v>0.51254690000000003</v>
      </c>
      <c r="F4231" t="s">
        <v>68</v>
      </c>
      <c r="G4231">
        <v>-426.83670000000001</v>
      </c>
      <c r="H4231" s="1">
        <v>-9.9949430000000008E-6</v>
      </c>
      <c r="I4231">
        <v>20.546469999999999</v>
      </c>
      <c r="J4231">
        <v>-422.54989999999998</v>
      </c>
      <c r="K4231">
        <v>1.121194</v>
      </c>
      <c r="L4231">
        <v>79.561309999999906</v>
      </c>
      <c r="M4231">
        <v>-1.8091570000000001E-2</v>
      </c>
      <c r="N4231">
        <v>-1.3715440000000001E-2</v>
      </c>
      <c r="O4231">
        <v>-0.99974249999999998</v>
      </c>
      <c r="P4231">
        <v>-4.6125770000000003E-2</v>
      </c>
      <c r="Q4231">
        <v>0.1849922</v>
      </c>
      <c r="R4231">
        <v>-0.98165740000000001</v>
      </c>
      <c r="S4231">
        <v>-0.22103880000000001</v>
      </c>
      <c r="T4231">
        <v>-5.773354E-2</v>
      </c>
      <c r="U4231">
        <v>-3.0555110000000001</v>
      </c>
      <c r="V4231">
        <v>2.8365319999999999E-2</v>
      </c>
      <c r="W4231">
        <v>0.1984465</v>
      </c>
      <c r="X4231">
        <v>0.97970119999999905</v>
      </c>
      <c r="Y4231">
        <v>5.4081539999999997E-2</v>
      </c>
      <c r="Z4231">
        <v>5.1426270000000003E-3</v>
      </c>
      <c r="AA4231">
        <v>0.9985233</v>
      </c>
      <c r="AB4231">
        <v>32</v>
      </c>
      <c r="AC4231">
        <v>-4.2868000000000199</v>
      </c>
      <c r="AD4231">
        <v>-1.1212039949429999</v>
      </c>
      <c r="AE4231">
        <v>-59.0148399999999</v>
      </c>
      <c r="AF4231">
        <v>3.2171718372130602</v>
      </c>
      <c r="AG4231">
        <v>-1.1212039949429999</v>
      </c>
      <c r="AH4231">
        <v>59.061535338105301</v>
      </c>
      <c r="AI4231">
        <v>91.085943361677707</v>
      </c>
      <c r="AJ4231">
        <v>86.882092900124604</v>
      </c>
      <c r="AK4231">
        <v>59.159718132549401</v>
      </c>
      <c r="AL4231">
        <v>78.553870999769302</v>
      </c>
      <c r="AM4231">
        <v>88.341576776691397</v>
      </c>
      <c r="AN4231">
        <v>1.0000000230111901</v>
      </c>
    </row>
    <row r="4232" spans="1:40" x14ac:dyDescent="0.25">
      <c r="A4232" t="str">
        <f>"20190303171102656"</f>
        <v>20190303171102656</v>
      </c>
      <c r="B4232" t="str">
        <f>"1551604262644831"</f>
        <v>1551604262644831</v>
      </c>
      <c r="C4232" t="s">
        <v>40</v>
      </c>
      <c r="D4232">
        <v>4.8621809999999996</v>
      </c>
      <c r="E4232">
        <v>0.51270669999999996</v>
      </c>
      <c r="F4232" t="s">
        <v>68</v>
      </c>
      <c r="G4232">
        <v>-427.10739999999998</v>
      </c>
      <c r="H4232" s="1">
        <v>-8.2797609999999999E-6</v>
      </c>
      <c r="I4232">
        <v>15.6617</v>
      </c>
      <c r="J4232">
        <v>-422.5557</v>
      </c>
      <c r="K4232">
        <v>1.1212070000000001</v>
      </c>
      <c r="L4232">
        <v>79.238590000000002</v>
      </c>
      <c r="M4232">
        <v>-1.809206E-2</v>
      </c>
      <c r="N4232">
        <v>-1.371346E-2</v>
      </c>
      <c r="O4232">
        <v>-0.99974249999999998</v>
      </c>
      <c r="P4232">
        <v>-4.5509519999999998E-2</v>
      </c>
      <c r="Q4232">
        <v>0.18580430000000001</v>
      </c>
      <c r="R4232">
        <v>-0.98153279999999998</v>
      </c>
      <c r="S4232">
        <v>-0.2179565</v>
      </c>
      <c r="T4232">
        <v>-5.3620460000000002E-2</v>
      </c>
      <c r="U4232">
        <v>-3.055939</v>
      </c>
      <c r="V4232">
        <v>2.775087E-2</v>
      </c>
      <c r="W4232">
        <v>0.1992555</v>
      </c>
      <c r="X4232">
        <v>0.97955460000000005</v>
      </c>
      <c r="Y4232">
        <v>5.3070150000000003E-2</v>
      </c>
      <c r="Z4232">
        <v>3.8005539999999998E-3</v>
      </c>
      <c r="AA4232">
        <v>0.99858360000000002</v>
      </c>
      <c r="AB4232">
        <v>32</v>
      </c>
      <c r="AC4232">
        <v>-4.5516999999999799</v>
      </c>
      <c r="AD4232">
        <v>-1.121215279761</v>
      </c>
      <c r="AE4232">
        <v>-63.576889999999999</v>
      </c>
      <c r="AF4232">
        <v>3.3995581225068499</v>
      </c>
      <c r="AG4232">
        <v>-1.121215279761</v>
      </c>
      <c r="AH4232">
        <v>63.6291508556561</v>
      </c>
      <c r="AI4232">
        <v>91.008072410778396</v>
      </c>
      <c r="AJ4232">
        <v>86.941726988679605</v>
      </c>
      <c r="AK4232">
        <v>63.729765084642402</v>
      </c>
      <c r="AL4232">
        <v>78.506574378486803</v>
      </c>
      <c r="AM4232">
        <v>88.377239454897406</v>
      </c>
      <c r="AN4232">
        <v>1.00000003972358</v>
      </c>
    </row>
    <row r="4233" spans="1:40" x14ac:dyDescent="0.25">
      <c r="A4233" t="str">
        <f>"20190303171102679"</f>
        <v>20190303171102679</v>
      </c>
      <c r="B4233" t="str">
        <f>"1551604262665325"</f>
        <v>1551604262665325</v>
      </c>
      <c r="C4233" t="s">
        <v>40</v>
      </c>
      <c r="D4233">
        <v>5.2079579999999996</v>
      </c>
      <c r="E4233">
        <v>0.51296169999999996</v>
      </c>
      <c r="F4233" t="s">
        <v>68</v>
      </c>
      <c r="G4233">
        <v>-427.27670000000001</v>
      </c>
      <c r="H4233" s="1">
        <v>-7.9151819999999907E-6</v>
      </c>
      <c r="I4233">
        <v>12.948829999999999</v>
      </c>
      <c r="J4233">
        <v>-422.56150000000002</v>
      </c>
      <c r="K4233">
        <v>1.1212150000000001</v>
      </c>
      <c r="L4233">
        <v>78.918490000000006</v>
      </c>
      <c r="M4233">
        <v>-1.809229E-2</v>
      </c>
      <c r="N4233">
        <v>-1.371149E-2</v>
      </c>
      <c r="O4233">
        <v>-0.99974249999999998</v>
      </c>
      <c r="P4233">
        <v>-4.4611079999999997E-2</v>
      </c>
      <c r="Q4233">
        <v>0.1859922</v>
      </c>
      <c r="R4233">
        <v>-0.98153840000000003</v>
      </c>
      <c r="S4233">
        <v>-0.21765139999999999</v>
      </c>
      <c r="T4233">
        <v>-5.1691290000000001E-2</v>
      </c>
      <c r="U4233">
        <v>-3.056152</v>
      </c>
      <c r="V4233">
        <v>2.6852150000000002E-2</v>
      </c>
      <c r="W4233">
        <v>0.19944100000000001</v>
      </c>
      <c r="X4233">
        <v>0.97954180000000002</v>
      </c>
      <c r="Y4233">
        <v>5.2966180000000002E-2</v>
      </c>
      <c r="Z4233">
        <v>3.1717469999999999E-3</v>
      </c>
      <c r="AA4233">
        <v>0.99859120000000001</v>
      </c>
      <c r="AB4233">
        <v>32</v>
      </c>
      <c r="AC4233">
        <v>-4.7151999999999799</v>
      </c>
      <c r="AD4233">
        <v>-1.1212229151819999</v>
      </c>
      <c r="AE4233">
        <v>-65.969660000000005</v>
      </c>
      <c r="AF4233">
        <v>3.5197623154520001</v>
      </c>
      <c r="AG4233">
        <v>-1.1212229151819999</v>
      </c>
      <c r="AH4233">
        <v>66.025201450870199</v>
      </c>
      <c r="AI4233">
        <v>90.971509396758705</v>
      </c>
      <c r="AJ4233">
        <v>86.948486225322796</v>
      </c>
      <c r="AK4233">
        <v>66.128459033995298</v>
      </c>
      <c r="AL4233">
        <v>78.495727203352502</v>
      </c>
      <c r="AM4233">
        <v>88.429745768421398</v>
      </c>
      <c r="AN4233">
        <v>0.99999994419392901</v>
      </c>
    </row>
    <row r="4234" spans="1:40" x14ac:dyDescent="0.25">
      <c r="A4234" t="str">
        <f>"20190303171102701"</f>
        <v>20190303171102701</v>
      </c>
      <c r="B4234" t="str">
        <f>"1551604262684845"</f>
        <v>1551604262684845</v>
      </c>
      <c r="C4234" t="s">
        <v>40</v>
      </c>
      <c r="D4234">
        <v>5.147977</v>
      </c>
      <c r="E4234">
        <v>0.51322590000000001</v>
      </c>
      <c r="F4234" t="s">
        <v>68</v>
      </c>
      <c r="G4234">
        <v>-427.24160000000001</v>
      </c>
      <c r="H4234" s="1">
        <v>-7.9230209999999993E-6</v>
      </c>
      <c r="I4234">
        <v>12.90906</v>
      </c>
      <c r="J4234">
        <v>-422.56729999999999</v>
      </c>
      <c r="K4234">
        <v>1.121216</v>
      </c>
      <c r="L4234">
        <v>78.600800000000007</v>
      </c>
      <c r="M4234">
        <v>-1.809233E-2</v>
      </c>
      <c r="N4234">
        <v>-1.3709610000000001E-2</v>
      </c>
      <c r="O4234">
        <v>-0.99974249999999998</v>
      </c>
      <c r="P4234">
        <v>-4.3238100000000002E-2</v>
      </c>
      <c r="Q4234">
        <v>0.1854614</v>
      </c>
      <c r="R4234">
        <v>-0.98170029999999997</v>
      </c>
      <c r="S4234">
        <v>-0.21670529999999999</v>
      </c>
      <c r="T4234">
        <v>-5.1915879999999998E-2</v>
      </c>
      <c r="U4234">
        <v>-3.0564269999999998</v>
      </c>
      <c r="V4234">
        <v>2.547628E-2</v>
      </c>
      <c r="W4234">
        <v>0.19891010000000001</v>
      </c>
      <c r="X4234">
        <v>0.97968659999999996</v>
      </c>
      <c r="Y4234">
        <v>5.2652259999999999E-2</v>
      </c>
      <c r="Z4234">
        <v>3.2456989999999999E-3</v>
      </c>
      <c r="AA4234">
        <v>0.99860760000000004</v>
      </c>
      <c r="AB4234">
        <v>32</v>
      </c>
      <c r="AC4234">
        <v>-4.6743000000000103</v>
      </c>
      <c r="AD4234">
        <v>-1.1212239230209999</v>
      </c>
      <c r="AE4234">
        <v>-65.691739999999996</v>
      </c>
      <c r="AF4234">
        <v>3.4838968316909602</v>
      </c>
      <c r="AG4234">
        <v>-1.1212239230209999</v>
      </c>
      <c r="AH4234">
        <v>65.746506022224906</v>
      </c>
      <c r="AI4234">
        <v>90.975644167900001</v>
      </c>
      <c r="AJ4234">
        <v>86.966742741906103</v>
      </c>
      <c r="AK4234">
        <v>65.848293329059601</v>
      </c>
      <c r="AL4234">
        <v>78.526768710470193</v>
      </c>
      <c r="AM4234">
        <v>88.510386458848501</v>
      </c>
      <c r="AN4234">
        <v>1.0000000514720999</v>
      </c>
    </row>
    <row r="4235" spans="1:40" x14ac:dyDescent="0.25">
      <c r="A4235" t="str">
        <f>"20190303171102722"</f>
        <v>20190303171102722</v>
      </c>
      <c r="B4235" t="str">
        <f>"1551604262715102"</f>
        <v>1551604262715102</v>
      </c>
      <c r="C4235" t="s">
        <v>40</v>
      </c>
      <c r="D4235">
        <v>5.1422589999999904</v>
      </c>
      <c r="E4235">
        <v>0.5134763</v>
      </c>
      <c r="F4235" t="s">
        <v>68</v>
      </c>
      <c r="G4235">
        <v>-427.01299999999998</v>
      </c>
      <c r="H4235" s="1">
        <v>-8.2958740000000002E-6</v>
      </c>
      <c r="I4235">
        <v>15.51041</v>
      </c>
      <c r="J4235">
        <v>-422.5729</v>
      </c>
      <c r="K4235">
        <v>1.121213</v>
      </c>
      <c r="L4235">
        <v>78.289429999999996</v>
      </c>
      <c r="M4235">
        <v>-1.8092279999999999E-2</v>
      </c>
      <c r="N4235">
        <v>-1.3707749999999999E-2</v>
      </c>
      <c r="O4235">
        <v>-0.99974249999999998</v>
      </c>
      <c r="P4235">
        <v>-4.1780570000000003E-2</v>
      </c>
      <c r="Q4235">
        <v>0.1858002</v>
      </c>
      <c r="R4235">
        <v>-0.9816994</v>
      </c>
      <c r="S4235">
        <v>-0.2153931</v>
      </c>
      <c r="T4235">
        <v>-5.4322839999999997E-2</v>
      </c>
      <c r="U4235">
        <v>-3.056702</v>
      </c>
      <c r="V4235">
        <v>2.4018959999999999E-2</v>
      </c>
      <c r="W4235">
        <v>0.19924700000000001</v>
      </c>
      <c r="X4235">
        <v>0.9796549</v>
      </c>
      <c r="Y4235">
        <v>5.2219010000000003E-2</v>
      </c>
      <c r="Z4235">
        <v>4.0319190000000001E-3</v>
      </c>
      <c r="AA4235">
        <v>0.9986275</v>
      </c>
      <c r="AB4235">
        <v>32</v>
      </c>
      <c r="AC4235">
        <v>-4.4401000000000197</v>
      </c>
      <c r="AD4235">
        <v>-1.121221295874</v>
      </c>
      <c r="AE4235">
        <v>-62.779020000000003</v>
      </c>
      <c r="AF4235">
        <v>3.3024028159748502</v>
      </c>
      <c r="AG4235">
        <v>-1.121221295874</v>
      </c>
      <c r="AH4235">
        <v>62.829140515421201</v>
      </c>
      <c r="AI4235">
        <v>91.020957799765995</v>
      </c>
      <c r="AJ4235">
        <v>86.991208510312205</v>
      </c>
      <c r="AK4235">
        <v>62.925860339448803</v>
      </c>
      <c r="AL4235">
        <v>78.507070898200794</v>
      </c>
      <c r="AM4235">
        <v>88.595516253432294</v>
      </c>
      <c r="AN4235">
        <v>1.0000000002712399</v>
      </c>
    </row>
    <row r="4236" spans="1:40" x14ac:dyDescent="0.25">
      <c r="A4236" t="str">
        <f>"20190303171102744"</f>
        <v>20190303171102744</v>
      </c>
      <c r="B4236" t="str">
        <f>"1551604262734621"</f>
        <v>1551604262734621</v>
      </c>
      <c r="C4236" t="s">
        <v>40</v>
      </c>
      <c r="D4236">
        <v>5.1419269999999999</v>
      </c>
      <c r="E4236">
        <v>0.51948059999999996</v>
      </c>
      <c r="F4236" t="s">
        <v>68</v>
      </c>
      <c r="G4236">
        <v>-426.96440000000001</v>
      </c>
      <c r="H4236" s="1">
        <v>-8.2870119999999999E-6</v>
      </c>
      <c r="I4236">
        <v>15.2800799999999</v>
      </c>
      <c r="J4236">
        <v>-422.57850000000002</v>
      </c>
      <c r="K4236">
        <v>1.121213</v>
      </c>
      <c r="L4236">
        <v>77.979579999999999</v>
      </c>
      <c r="M4236">
        <v>-1.8092170000000001E-2</v>
      </c>
      <c r="N4236">
        <v>-1.370583E-2</v>
      </c>
      <c r="O4236">
        <v>-0.99974249999999998</v>
      </c>
      <c r="P4236">
        <v>-4.0946740000000002E-2</v>
      </c>
      <c r="Q4236">
        <v>0.18595300000000001</v>
      </c>
      <c r="R4236">
        <v>-0.98170519999999994</v>
      </c>
      <c r="S4236">
        <v>-0.2130737</v>
      </c>
      <c r="T4236">
        <v>-5.440068E-2</v>
      </c>
      <c r="U4236">
        <v>-3.057159</v>
      </c>
      <c r="V4236">
        <v>2.318516E-2</v>
      </c>
      <c r="W4236">
        <v>0.19939799999999999</v>
      </c>
      <c r="X4236">
        <v>0.97964430000000002</v>
      </c>
      <c r="Y4236">
        <v>5.1454850000000003E-2</v>
      </c>
      <c r="Z4236">
        <v>4.0573170000000004E-3</v>
      </c>
      <c r="AA4236">
        <v>0.99866710000000003</v>
      </c>
      <c r="AB4236">
        <v>32</v>
      </c>
      <c r="AC4236">
        <v>-4.3858999999999897</v>
      </c>
      <c r="AD4236">
        <v>-1.121221287012</v>
      </c>
      <c r="AE4236">
        <v>-62.6995</v>
      </c>
      <c r="AF4236">
        <v>3.2496714323490199</v>
      </c>
      <c r="AG4236">
        <v>-1.121221287012</v>
      </c>
      <c r="AH4236">
        <v>62.748625323127101</v>
      </c>
      <c r="AI4236">
        <v>91.022308649531297</v>
      </c>
      <c r="AJ4236">
        <v>87.035373066078193</v>
      </c>
      <c r="AK4236">
        <v>62.842720195221197</v>
      </c>
      <c r="AL4236">
        <v>78.498242472436104</v>
      </c>
      <c r="AM4236">
        <v>88.644238654773801</v>
      </c>
      <c r="AN4236">
        <v>1.0000000342853499</v>
      </c>
    </row>
    <row r="4237" spans="1:40" x14ac:dyDescent="0.25">
      <c r="A4237" t="str">
        <f>"20190303171102766"</f>
        <v>20190303171102766</v>
      </c>
      <c r="B4237" t="str">
        <f>"1551604262755118"</f>
        <v>1551604262755118</v>
      </c>
      <c r="C4237" t="s">
        <v>40</v>
      </c>
      <c r="D4237">
        <v>5.1444650000000003</v>
      </c>
      <c r="E4237">
        <v>0.51960969999999995</v>
      </c>
      <c r="F4237" t="s">
        <v>68</v>
      </c>
      <c r="G4237">
        <v>-426.14929999999998</v>
      </c>
      <c r="H4237" s="1">
        <v>-3.4931259999999999E-6</v>
      </c>
      <c r="I4237">
        <v>35.474580000000003</v>
      </c>
      <c r="J4237">
        <v>-422.58409999999998</v>
      </c>
      <c r="K4237">
        <v>1.121218</v>
      </c>
      <c r="L4237">
        <v>77.669129999999996</v>
      </c>
      <c r="M4237">
        <v>-1.8092049999999998E-2</v>
      </c>
      <c r="N4237">
        <v>-1.3703999999999999E-2</v>
      </c>
      <c r="O4237">
        <v>-0.99974249999999998</v>
      </c>
      <c r="P4237">
        <v>-4.0633210000000003E-2</v>
      </c>
      <c r="Q4237">
        <v>0.18611150000000001</v>
      </c>
      <c r="R4237">
        <v>-0.98168840000000002</v>
      </c>
      <c r="S4237">
        <v>-0.25711060000000002</v>
      </c>
      <c r="T4237">
        <v>-8.0730919999999998E-2</v>
      </c>
      <c r="U4237">
        <v>-3.060486</v>
      </c>
      <c r="V4237">
        <v>2.2872050000000001E-2</v>
      </c>
      <c r="W4237">
        <v>0.1995545</v>
      </c>
      <c r="X4237">
        <v>0.97961969999999998</v>
      </c>
      <c r="Y4237">
        <v>6.5646309999999999E-2</v>
      </c>
      <c r="Z4237">
        <v>1.259678E-2</v>
      </c>
      <c r="AA4237">
        <v>0.99776350000000003</v>
      </c>
      <c r="AB4237">
        <v>32</v>
      </c>
      <c r="AC4237">
        <v>-3.5651999999999999</v>
      </c>
      <c r="AD4237">
        <v>-1.1212214931260001</v>
      </c>
      <c r="AE4237">
        <v>-42.19455</v>
      </c>
      <c r="AF4237">
        <v>2.7991963104322002</v>
      </c>
      <c r="AG4237">
        <v>-1.1212214931260001</v>
      </c>
      <c r="AH4237">
        <v>42.222548089339</v>
      </c>
      <c r="AI4237">
        <v>91.517803985910206</v>
      </c>
      <c r="AJ4237">
        <v>86.207055483750295</v>
      </c>
      <c r="AK4237">
        <v>42.330086283606001</v>
      </c>
      <c r="AL4237">
        <v>78.489090712168604</v>
      </c>
      <c r="AM4237">
        <v>88.6625076154467</v>
      </c>
      <c r="AN4237">
        <v>0.99999994288476901</v>
      </c>
    </row>
    <row r="4238" spans="1:40" x14ac:dyDescent="0.25">
      <c r="A4238" t="str">
        <f>"20190303171102789"</f>
        <v>20190303171102789</v>
      </c>
      <c r="B4238" t="str">
        <f>"1551604262775614"</f>
        <v>1551604262775614</v>
      </c>
      <c r="C4238" t="s">
        <v>40</v>
      </c>
      <c r="D4238">
        <v>5.2105230000000002</v>
      </c>
      <c r="E4238">
        <v>0.52012749999999996</v>
      </c>
      <c r="F4238" t="s">
        <v>68</v>
      </c>
      <c r="G4238">
        <v>-426.15010000000001</v>
      </c>
      <c r="H4238" s="1">
        <v>-3.6656499999999998E-6</v>
      </c>
      <c r="I4238">
        <v>35.203339999999997</v>
      </c>
      <c r="J4238">
        <v>-422.58980000000003</v>
      </c>
      <c r="K4238">
        <v>1.1212169999999999</v>
      </c>
      <c r="L4238">
        <v>77.351320000000001</v>
      </c>
      <c r="M4238">
        <v>-1.8091900000000001E-2</v>
      </c>
      <c r="N4238">
        <v>-1.370219E-2</v>
      </c>
      <c r="O4238">
        <v>-0.99974249999999998</v>
      </c>
      <c r="P4238">
        <v>-4.0717900000000001E-2</v>
      </c>
      <c r="Q4238">
        <v>0.18624969999999999</v>
      </c>
      <c r="R4238">
        <v>-0.98165849999999999</v>
      </c>
      <c r="S4238">
        <v>-0.257019</v>
      </c>
      <c r="T4238">
        <v>-8.0810670000000001E-2</v>
      </c>
      <c r="U4238">
        <v>-3.0606689999999999</v>
      </c>
      <c r="V4238">
        <v>2.2957350000000001E-2</v>
      </c>
      <c r="W4238">
        <v>0.19969000000000001</v>
      </c>
      <c r="X4238">
        <v>0.97959019999999997</v>
      </c>
      <c r="Y4238">
        <v>6.5611810000000007E-2</v>
      </c>
      <c r="Z4238">
        <v>1.262304E-2</v>
      </c>
      <c r="AA4238">
        <v>0.99776540000000002</v>
      </c>
      <c r="AB4238">
        <v>32</v>
      </c>
      <c r="AC4238">
        <v>-3.5602999999999798</v>
      </c>
      <c r="AD4238">
        <v>-1.1212206656499999</v>
      </c>
      <c r="AE4238">
        <v>-42.147979999999997</v>
      </c>
      <c r="AF4238">
        <v>2.7951445718625201</v>
      </c>
      <c r="AG4238">
        <v>-1.1212206656499999</v>
      </c>
      <c r="AH4238">
        <v>42.175863914566897</v>
      </c>
      <c r="AI4238">
        <v>91.519484398416196</v>
      </c>
      <c r="AJ4238">
        <v>86.208349544250893</v>
      </c>
      <c r="AK4238">
        <v>42.283252782854298</v>
      </c>
      <c r="AL4238">
        <v>78.481168892984599</v>
      </c>
      <c r="AM4238">
        <v>88.6574809228173</v>
      </c>
      <c r="AN4238">
        <v>1.0000000479775299</v>
      </c>
    </row>
    <row r="4239" spans="1:40" x14ac:dyDescent="0.25">
      <c r="A4239" t="str">
        <f>"20190303171102812"</f>
        <v>20190303171102812</v>
      </c>
      <c r="B4239" t="str">
        <f>"1551604262804894"</f>
        <v>1551604262804894</v>
      </c>
      <c r="C4239" t="s">
        <v>40</v>
      </c>
      <c r="D4239">
        <v>5.1446459999999998</v>
      </c>
      <c r="E4239">
        <v>0.52048530000000004</v>
      </c>
      <c r="F4239" t="s">
        <v>68</v>
      </c>
      <c r="G4239">
        <v>-426.17910000000001</v>
      </c>
      <c r="H4239" s="1">
        <v>-3.5784249999999898E-6</v>
      </c>
      <c r="I4239">
        <v>35.346899999999998</v>
      </c>
      <c r="J4239">
        <v>-422.59589999999997</v>
      </c>
      <c r="K4239">
        <v>1.121219</v>
      </c>
      <c r="L4239">
        <v>77.020169999999993</v>
      </c>
      <c r="M4239">
        <v>-1.809173E-2</v>
      </c>
      <c r="N4239">
        <v>-1.370035E-2</v>
      </c>
      <c r="O4239">
        <v>-0.99974249999999998</v>
      </c>
      <c r="P4239">
        <v>-4.1777500000000002E-2</v>
      </c>
      <c r="Q4239">
        <v>0.18556990000000001</v>
      </c>
      <c r="R4239">
        <v>-0.98174269999999997</v>
      </c>
      <c r="S4239">
        <v>-0.26153559999999998</v>
      </c>
      <c r="T4239">
        <v>-8.1699010000000002E-2</v>
      </c>
      <c r="U4239">
        <v>-3.0606990000000001</v>
      </c>
      <c r="V4239">
        <v>2.401534E-2</v>
      </c>
      <c r="W4239">
        <v>0.1990101</v>
      </c>
      <c r="X4239">
        <v>0.97970310000000005</v>
      </c>
      <c r="Y4239">
        <v>6.7072119999999999E-2</v>
      </c>
      <c r="Z4239">
        <v>1.2910970000000001E-2</v>
      </c>
      <c r="AA4239">
        <v>0.99766460000000001</v>
      </c>
      <c r="AB4239">
        <v>32</v>
      </c>
      <c r="AC4239">
        <v>-3.5832000000000299</v>
      </c>
      <c r="AD4239">
        <v>-1.1212225784250001</v>
      </c>
      <c r="AE4239">
        <v>-41.673270000000002</v>
      </c>
      <c r="AF4239">
        <v>2.8265700541409502</v>
      </c>
      <c r="AG4239">
        <v>-1.1212225784250001</v>
      </c>
      <c r="AH4239">
        <v>41.701315132250997</v>
      </c>
      <c r="AI4239">
        <v>91.536615531038507</v>
      </c>
      <c r="AJ4239">
        <v>86.122347731459897</v>
      </c>
      <c r="AK4239">
        <v>41.812035612974398</v>
      </c>
      <c r="AL4239">
        <v>78.520921187191206</v>
      </c>
      <c r="AM4239">
        <v>88.5957969049403</v>
      </c>
      <c r="AN4239">
        <v>0.99999996030346705</v>
      </c>
    </row>
    <row r="4240" spans="1:40" x14ac:dyDescent="0.25">
      <c r="A4240" t="str">
        <f>"20190303171102834"</f>
        <v>20190303171102834</v>
      </c>
      <c r="B4240" t="str">
        <f>"1551604262825390"</f>
        <v>1551604262825390</v>
      </c>
      <c r="C4240" t="s">
        <v>40</v>
      </c>
      <c r="D4240">
        <v>5.2043860000000004</v>
      </c>
      <c r="E4240">
        <v>0.52069770000000004</v>
      </c>
      <c r="F4240" t="s">
        <v>68</v>
      </c>
      <c r="G4240">
        <v>-426.01749999999998</v>
      </c>
      <c r="H4240" s="1">
        <v>-2.326075E-6</v>
      </c>
      <c r="I4240">
        <v>37.743580000000001</v>
      </c>
      <c r="J4240">
        <v>-422.60129999999998</v>
      </c>
      <c r="K4240">
        <v>1.1212200000000001</v>
      </c>
      <c r="L4240">
        <v>76.718140000000005</v>
      </c>
      <c r="M4240">
        <v>-1.8091610000000001E-2</v>
      </c>
      <c r="N4240">
        <v>-1.369867E-2</v>
      </c>
      <c r="O4240">
        <v>-0.99974269999999998</v>
      </c>
      <c r="P4240">
        <v>-4.2593430000000002E-2</v>
      </c>
      <c r="Q4240">
        <v>0.1853416</v>
      </c>
      <c r="R4240">
        <v>-0.98175089999999998</v>
      </c>
      <c r="S4240">
        <v>-0.26666260000000003</v>
      </c>
      <c r="T4240">
        <v>-8.7380169999999993E-2</v>
      </c>
      <c r="U4240">
        <v>-3.0609440000000001</v>
      </c>
      <c r="V4240">
        <v>2.4831059999999999E-2</v>
      </c>
      <c r="W4240">
        <v>0.19878019999999999</v>
      </c>
      <c r="X4240">
        <v>0.97972950000000003</v>
      </c>
      <c r="Y4240">
        <v>6.8720569999999995E-2</v>
      </c>
      <c r="Z4240">
        <v>1.475563E-2</v>
      </c>
      <c r="AA4240">
        <v>0.99752680000000005</v>
      </c>
      <c r="AB4240">
        <v>32</v>
      </c>
      <c r="AC4240">
        <v>-3.4161999999999999</v>
      </c>
      <c r="AD4240">
        <v>-1.1212223260750001</v>
      </c>
      <c r="AE4240">
        <v>-38.974559999999997</v>
      </c>
      <c r="AF4240">
        <v>2.70823796871582</v>
      </c>
      <c r="AG4240">
        <v>-1.1212223260750001</v>
      </c>
      <c r="AH4240">
        <v>38.997961636138797</v>
      </c>
      <c r="AI4240">
        <v>91.642890796931098</v>
      </c>
      <c r="AJ4240">
        <v>86.027436524932696</v>
      </c>
      <c r="AK4240">
        <v>39.107962158279697</v>
      </c>
      <c r="AL4240">
        <v>78.534362733988601</v>
      </c>
      <c r="AM4240">
        <v>88.548160053659302</v>
      </c>
      <c r="AN4240">
        <v>1.0000000213114999</v>
      </c>
    </row>
    <row r="4241" spans="1:40" x14ac:dyDescent="0.25">
      <c r="A4241" t="str">
        <f>"20190303171102856"</f>
        <v>20190303171102856</v>
      </c>
      <c r="B4241" t="str">
        <f>"1551604262844910"</f>
        <v>1551604262844910</v>
      </c>
      <c r="C4241" t="s">
        <v>40</v>
      </c>
      <c r="D4241">
        <v>5.1462019999999997</v>
      </c>
      <c r="E4241">
        <v>0.52090899999999996</v>
      </c>
      <c r="F4241" t="s">
        <v>68</v>
      </c>
      <c r="G4241">
        <v>-425.99020000000002</v>
      </c>
      <c r="H4241" s="1">
        <v>-2.021553E-6</v>
      </c>
      <c r="I4241">
        <v>38.521819999999998</v>
      </c>
      <c r="J4241">
        <v>-422.6071</v>
      </c>
      <c r="K4241">
        <v>1.121213</v>
      </c>
      <c r="L4241">
        <v>76.39716</v>
      </c>
      <c r="M4241">
        <v>-1.8091489999999998E-2</v>
      </c>
      <c r="N4241">
        <v>-1.369685E-2</v>
      </c>
      <c r="O4241">
        <v>-0.99974249999999998</v>
      </c>
      <c r="P4241">
        <v>-4.3245459999999999E-2</v>
      </c>
      <c r="Q4241">
        <v>0.18548870000000001</v>
      </c>
      <c r="R4241">
        <v>-0.98169450000000003</v>
      </c>
      <c r="S4241">
        <v>-0.27157589999999998</v>
      </c>
      <c r="T4241">
        <v>-8.9851500000000001E-2</v>
      </c>
      <c r="U4241">
        <v>-3.0609440000000001</v>
      </c>
      <c r="V4241">
        <v>2.5484119999999999E-2</v>
      </c>
      <c r="W4241">
        <v>0.19892509999999999</v>
      </c>
      <c r="X4241">
        <v>0.97968330000000003</v>
      </c>
      <c r="Y4241">
        <v>7.0307599999999998E-2</v>
      </c>
      <c r="Z4241">
        <v>1.55579E-2</v>
      </c>
      <c r="AA4241">
        <v>0.99740399999999996</v>
      </c>
      <c r="AB4241">
        <v>32</v>
      </c>
      <c r="AC4241">
        <v>-3.38310000000001</v>
      </c>
      <c r="AD4241">
        <v>-1.1212150215529999</v>
      </c>
      <c r="AE4241">
        <v>-37.875340000000001</v>
      </c>
      <c r="AF4241">
        <v>2.6949176462188702</v>
      </c>
      <c r="AG4241">
        <v>-1.1212150215529999</v>
      </c>
      <c r="AH4241">
        <v>37.897403517157102</v>
      </c>
      <c r="AI4241">
        <v>91.690366051929004</v>
      </c>
      <c r="AJ4241">
        <v>85.932493710177496</v>
      </c>
      <c r="AK4241">
        <v>38.009642165991103</v>
      </c>
      <c r="AL4241">
        <v>78.525891173924407</v>
      </c>
      <c r="AM4241">
        <v>88.509923238982395</v>
      </c>
      <c r="AN4241">
        <v>1.00000000204053</v>
      </c>
    </row>
    <row r="4242" spans="1:40" x14ac:dyDescent="0.25">
      <c r="A4242" t="str">
        <f>"20190303171102880"</f>
        <v>20190303171102880</v>
      </c>
      <c r="B4242" t="str">
        <f>"1551604262865406"</f>
        <v>1551604262865406</v>
      </c>
      <c r="C4242" t="s">
        <v>40</v>
      </c>
      <c r="D4242">
        <v>5.2070420000000004</v>
      </c>
      <c r="E4242">
        <v>0.52109859999999997</v>
      </c>
      <c r="F4242" t="s">
        <v>68</v>
      </c>
      <c r="G4242">
        <v>-426.03370000000001</v>
      </c>
      <c r="H4242" s="1">
        <v>-2.1389279999999999E-6</v>
      </c>
      <c r="I4242">
        <v>38.244819999999997</v>
      </c>
      <c r="J4242">
        <v>-422.61290000000002</v>
      </c>
      <c r="K4242">
        <v>1.1212150000000001</v>
      </c>
      <c r="L4242">
        <v>76.076899999999995</v>
      </c>
      <c r="M4242">
        <v>-1.8091349999999999E-2</v>
      </c>
      <c r="N4242">
        <v>-1.3695010000000001E-2</v>
      </c>
      <c r="O4242">
        <v>-0.99974269999999998</v>
      </c>
      <c r="P4242">
        <v>-4.3713670000000003E-2</v>
      </c>
      <c r="Q4242">
        <v>0.18548809999999999</v>
      </c>
      <c r="R4242">
        <v>-0.9816743</v>
      </c>
      <c r="S4242">
        <v>-0.27490229999999999</v>
      </c>
      <c r="T4242">
        <v>-8.9950920000000004E-2</v>
      </c>
      <c r="U4242">
        <v>-3.0608219999999999</v>
      </c>
      <c r="V4242">
        <v>2.5952739999999998E-2</v>
      </c>
      <c r="W4242">
        <v>0.1989223</v>
      </c>
      <c r="X4242">
        <v>0.97967159999999998</v>
      </c>
      <c r="Y4242">
        <v>7.1386229999999995E-2</v>
      </c>
      <c r="Z4242">
        <v>1.559085E-2</v>
      </c>
      <c r="AA4242">
        <v>0.99732690000000002</v>
      </c>
      <c r="AB4242">
        <v>32</v>
      </c>
      <c r="AC4242">
        <v>-3.4207999999999799</v>
      </c>
      <c r="AD4242">
        <v>-1.1212171389279999</v>
      </c>
      <c r="AE4242">
        <v>-37.832079999999898</v>
      </c>
      <c r="AF4242">
        <v>2.73336122469596</v>
      </c>
      <c r="AG4242">
        <v>-1.1212171389279999</v>
      </c>
      <c r="AH4242">
        <v>37.854800386344699</v>
      </c>
      <c r="AI4242">
        <v>91.692138441828504</v>
      </c>
      <c r="AJ4242">
        <v>85.8700420476044</v>
      </c>
      <c r="AK4242">
        <v>37.969913138527197</v>
      </c>
      <c r="AL4242">
        <v>78.526055256946407</v>
      </c>
      <c r="AM4242">
        <v>88.482517236578701</v>
      </c>
      <c r="AN4242">
        <v>1.00000003499867</v>
      </c>
    </row>
    <row r="4243" spans="1:40" x14ac:dyDescent="0.25">
      <c r="A4243" t="str">
        <f>"20190303171102901"</f>
        <v>20190303171102901</v>
      </c>
      <c r="B4243" t="str">
        <f>"1551604262894688"</f>
        <v>1551604262894688</v>
      </c>
      <c r="C4243" t="s">
        <v>40</v>
      </c>
      <c r="D4243">
        <v>4.9597350000000002</v>
      </c>
      <c r="E4243">
        <v>0.52131059999999996</v>
      </c>
      <c r="F4243" t="s">
        <v>68</v>
      </c>
      <c r="G4243">
        <v>-426.02550000000002</v>
      </c>
      <c r="H4243" s="1">
        <v>-2.0706410000000002E-6</v>
      </c>
      <c r="I4243">
        <v>38.417920000000002</v>
      </c>
      <c r="J4243">
        <v>-422.61880000000002</v>
      </c>
      <c r="K4243">
        <v>1.121216</v>
      </c>
      <c r="L4243">
        <v>75.754359999999906</v>
      </c>
      <c r="M4243">
        <v>-1.8091200000000002E-2</v>
      </c>
      <c r="N4243">
        <v>-1.369308E-2</v>
      </c>
      <c r="O4243">
        <v>-0.99974269999999998</v>
      </c>
      <c r="P4243">
        <v>-4.4107239999999999E-2</v>
      </c>
      <c r="Q4243">
        <v>0.18525659999999999</v>
      </c>
      <c r="R4243">
        <v>-0.98170000000000002</v>
      </c>
      <c r="S4243">
        <v>-0.27737430000000002</v>
      </c>
      <c r="T4243">
        <v>-9.1131329999999997E-2</v>
      </c>
      <c r="U4243">
        <v>-3.060883</v>
      </c>
      <c r="V4243">
        <v>2.6345899999999998E-2</v>
      </c>
      <c r="W4243">
        <v>0.19868949999999999</v>
      </c>
      <c r="X4243">
        <v>0.97970829999999998</v>
      </c>
      <c r="Y4243">
        <v>7.2182540000000003E-2</v>
      </c>
      <c r="Z4243">
        <v>1.5974269999999999E-2</v>
      </c>
      <c r="AA4243">
        <v>0.99726349999999997</v>
      </c>
      <c r="AB4243">
        <v>32</v>
      </c>
      <c r="AC4243">
        <v>-3.4066999999999998</v>
      </c>
      <c r="AD4243">
        <v>-1.121218070641</v>
      </c>
      <c r="AE4243">
        <v>-37.336439999999897</v>
      </c>
      <c r="AF4243">
        <v>2.7281781275213102</v>
      </c>
      <c r="AG4243">
        <v>-1.121218070641</v>
      </c>
      <c r="AH4243">
        <v>37.358553370238901</v>
      </c>
      <c r="AI4243">
        <v>91.714502268138801</v>
      </c>
      <c r="AJ4243">
        <v>85.823282875088694</v>
      </c>
      <c r="AK4243">
        <v>37.474812818403798</v>
      </c>
      <c r="AL4243">
        <v>78.5396648469318</v>
      </c>
      <c r="AM4243">
        <v>88.459597448839901</v>
      </c>
      <c r="AN4243">
        <v>0.999999988472974</v>
      </c>
    </row>
    <row r="4244" spans="1:40" x14ac:dyDescent="0.25">
      <c r="A4244" t="str">
        <f>"20190303171102922"</f>
        <v>20190303171102922</v>
      </c>
      <c r="B4244" t="str">
        <f>"1551604262915182"</f>
        <v>1551604262915182</v>
      </c>
      <c r="C4244" t="s">
        <v>40</v>
      </c>
      <c r="D4244">
        <v>5.2072699999999896</v>
      </c>
      <c r="E4244">
        <v>0.52149290000000004</v>
      </c>
      <c r="F4244" t="s">
        <v>68</v>
      </c>
      <c r="G4244">
        <v>-426.00240000000002</v>
      </c>
      <c r="H4244" s="1">
        <v>-1.9515840000000001E-6</v>
      </c>
      <c r="I4244">
        <v>38.713540000000002</v>
      </c>
      <c r="J4244">
        <v>-422.62430000000001</v>
      </c>
      <c r="K4244">
        <v>1.121211</v>
      </c>
      <c r="L4244">
        <v>75.452029999999993</v>
      </c>
      <c r="M4244">
        <v>-1.8091090000000001E-2</v>
      </c>
      <c r="N4244">
        <v>-1.369126E-2</v>
      </c>
      <c r="O4244">
        <v>-0.99974269999999998</v>
      </c>
      <c r="P4244">
        <v>-4.362568E-2</v>
      </c>
      <c r="Q4244">
        <v>0.18422820000000001</v>
      </c>
      <c r="R4244">
        <v>-0.98191519999999999</v>
      </c>
      <c r="S4244">
        <v>-0.27960210000000002</v>
      </c>
      <c r="T4244">
        <v>-9.2650410000000002E-2</v>
      </c>
      <c r="U4244">
        <v>-3.0608219999999999</v>
      </c>
      <c r="V4244">
        <v>2.5860600000000001E-2</v>
      </c>
      <c r="W4244">
        <v>0.1976618</v>
      </c>
      <c r="X4244">
        <v>0.9799291</v>
      </c>
      <c r="Y4244">
        <v>7.2903129999999997E-2</v>
      </c>
      <c r="Z4244">
        <v>1.6469000000000001E-2</v>
      </c>
      <c r="AA4244">
        <v>0.99720310000000001</v>
      </c>
      <c r="AB4244">
        <v>32</v>
      </c>
      <c r="AC4244">
        <v>-3.3781000000000101</v>
      </c>
      <c r="AD4244">
        <v>-1.1212129515839999</v>
      </c>
      <c r="AE4244">
        <v>-36.738489999999999</v>
      </c>
      <c r="AF4244">
        <v>2.71034224957674</v>
      </c>
      <c r="AG4244">
        <v>-1.1212129515839999</v>
      </c>
      <c r="AH4244">
        <v>36.759644909874297</v>
      </c>
      <c r="AI4244">
        <v>91.742321308679607</v>
      </c>
      <c r="AJ4244">
        <v>85.783128970149093</v>
      </c>
      <c r="AK4244">
        <v>36.8764771567552</v>
      </c>
      <c r="AL4244">
        <v>78.5997393332011</v>
      </c>
      <c r="AM4244">
        <v>88.488299404961893</v>
      </c>
      <c r="AN4244">
        <v>0.99999999941920403</v>
      </c>
    </row>
    <row r="4245" spans="1:40" x14ac:dyDescent="0.25">
      <c r="A4245" t="str">
        <f>"20190303171102945"</f>
        <v>20190303171102945</v>
      </c>
      <c r="B4245" t="str">
        <f>"1551604262934702"</f>
        <v>1551604262934702</v>
      </c>
      <c r="C4245" t="s">
        <v>40</v>
      </c>
      <c r="D4245">
        <v>5.1471910000000003</v>
      </c>
      <c r="E4245">
        <v>0.52156539999999996</v>
      </c>
      <c r="F4245" t="s">
        <v>42</v>
      </c>
      <c r="G4245">
        <v>-425.88420000000002</v>
      </c>
      <c r="H4245" s="1">
        <v>-1.66755599999999E-6</v>
      </c>
      <c r="I4245">
        <v>39.826650000000001</v>
      </c>
      <c r="J4245">
        <v>-422.62990000000002</v>
      </c>
      <c r="K4245">
        <v>1.121221</v>
      </c>
      <c r="L4245">
        <v>75.139069999999904</v>
      </c>
      <c r="M4245">
        <v>-1.809096E-2</v>
      </c>
      <c r="N4245">
        <v>-1.3689420000000001E-2</v>
      </c>
      <c r="O4245">
        <v>-0.99974269999999998</v>
      </c>
      <c r="P4245">
        <v>-4.3216930000000001E-2</v>
      </c>
      <c r="Q4245">
        <v>0.184338</v>
      </c>
      <c r="R4245">
        <v>-0.98191249999999997</v>
      </c>
      <c r="S4245">
        <v>-0.28009030000000001</v>
      </c>
      <c r="T4245">
        <v>-9.633303E-2</v>
      </c>
      <c r="U4245">
        <v>-3.060883</v>
      </c>
      <c r="V4245">
        <v>2.5452079999999998E-2</v>
      </c>
      <c r="W4245">
        <v>0.19777020000000001</v>
      </c>
      <c r="X4245">
        <v>0.97991790000000001</v>
      </c>
      <c r="Y4245">
        <v>7.3056709999999997E-2</v>
      </c>
      <c r="Z4245">
        <v>1.766728E-2</v>
      </c>
      <c r="AA4245">
        <v>0.99717129999999998</v>
      </c>
      <c r="AB4245">
        <v>32</v>
      </c>
      <c r="AC4245">
        <v>-3.2543000000000002</v>
      </c>
      <c r="AD4245">
        <v>-1.121222667556</v>
      </c>
      <c r="AE4245">
        <v>-35.312419999999904</v>
      </c>
      <c r="AF4245">
        <v>2.61226052710186</v>
      </c>
      <c r="AG4245">
        <v>-1.121222667556</v>
      </c>
      <c r="AH4245">
        <v>35.330200314958802</v>
      </c>
      <c r="AI4245">
        <v>91.812756914378895</v>
      </c>
      <c r="AJ4245">
        <v>85.771333112533995</v>
      </c>
      <c r="AK4245">
        <v>35.444380367370101</v>
      </c>
      <c r="AL4245">
        <v>78.593403119348395</v>
      </c>
      <c r="AM4245">
        <v>88.512151927789802</v>
      </c>
      <c r="AN4245">
        <v>0.99999997556238696</v>
      </c>
    </row>
    <row r="4246" spans="1:40" x14ac:dyDescent="0.25">
      <c r="A4246" t="str">
        <f>"20190303171102967"</f>
        <v>20190303171102967</v>
      </c>
      <c r="B4246" t="str">
        <f>"1551604262955198"</f>
        <v>1551604262955198</v>
      </c>
      <c r="C4246" t="s">
        <v>40</v>
      </c>
      <c r="D4246">
        <v>5.1476009999999999</v>
      </c>
      <c r="E4246">
        <v>0.52166809999999997</v>
      </c>
      <c r="F4246" t="s">
        <v>68</v>
      </c>
      <c r="G4246">
        <v>-425.9126</v>
      </c>
      <c r="H4246" s="1">
        <v>-1.727515E-6</v>
      </c>
      <c r="I4246">
        <v>39.237609999999997</v>
      </c>
      <c r="J4246">
        <v>-422.63549999999998</v>
      </c>
      <c r="K4246">
        <v>1.1212310000000001</v>
      </c>
      <c r="L4246">
        <v>74.828739999999996</v>
      </c>
      <c r="M4246">
        <v>-1.8090820000000001E-2</v>
      </c>
      <c r="N4246">
        <v>-1.3687639999999999E-2</v>
      </c>
      <c r="O4246">
        <v>-0.99974269999999998</v>
      </c>
      <c r="P4246">
        <v>-4.316772E-2</v>
      </c>
      <c r="Q4246">
        <v>0.18533839999999999</v>
      </c>
      <c r="R4246">
        <v>-0.98172649999999995</v>
      </c>
      <c r="S4246">
        <v>-0.27987669999999998</v>
      </c>
      <c r="T4246">
        <v>-9.5593090000000006E-2</v>
      </c>
      <c r="U4246">
        <v>-3.060883</v>
      </c>
      <c r="V4246">
        <v>2.5406410000000001E-2</v>
      </c>
      <c r="W4246">
        <v>0.1987662</v>
      </c>
      <c r="X4246">
        <v>0.97971759999999997</v>
      </c>
      <c r="Y4246">
        <v>7.2988339999999999E-2</v>
      </c>
      <c r="Z4246">
        <v>1.7428630000000001E-2</v>
      </c>
      <c r="AA4246">
        <v>0.99718050000000003</v>
      </c>
      <c r="AB4246">
        <v>32</v>
      </c>
      <c r="AC4246">
        <v>-3.2771000000000101</v>
      </c>
      <c r="AD4246">
        <v>-1.12123272751499</v>
      </c>
      <c r="AE4246">
        <v>-35.59113</v>
      </c>
      <c r="AF4246">
        <v>2.6300423369016399</v>
      </c>
      <c r="AG4246">
        <v>-1.12123272751499</v>
      </c>
      <c r="AH4246">
        <v>35.6095517721281</v>
      </c>
      <c r="AI4246">
        <v>91.798572276618501</v>
      </c>
      <c r="AJ4246">
        <v>85.775930673315301</v>
      </c>
      <c r="AK4246">
        <v>35.7241439776381</v>
      </c>
      <c r="AL4246">
        <v>78.535181329443802</v>
      </c>
      <c r="AM4246">
        <v>88.514516950732101</v>
      </c>
      <c r="AN4246">
        <v>1.0000000318406399</v>
      </c>
    </row>
    <row r="4247" spans="1:40" x14ac:dyDescent="0.25">
      <c r="A4247" t="str">
        <f>"20190303171102990"</f>
        <v>20190303171102990</v>
      </c>
      <c r="B4247" t="str">
        <f>"1551604262974719"</f>
        <v>1551604262974719</v>
      </c>
      <c r="C4247" t="s">
        <v>40</v>
      </c>
      <c r="D4247">
        <v>5.2609260000000004</v>
      </c>
      <c r="E4247">
        <v>0.52187839999999996</v>
      </c>
      <c r="F4247" t="s">
        <v>68</v>
      </c>
      <c r="G4247">
        <v>-426.02289999999999</v>
      </c>
      <c r="H4247" s="1">
        <v>-2.3084319999999998E-6</v>
      </c>
      <c r="I4247">
        <v>37.793469999999999</v>
      </c>
      <c r="J4247">
        <v>-422.64150000000001</v>
      </c>
      <c r="K4247">
        <v>1.12124</v>
      </c>
      <c r="L4247">
        <v>74.500309999999999</v>
      </c>
      <c r="M4247">
        <v>-1.8090700000000001E-2</v>
      </c>
      <c r="N4247">
        <v>-1.3685849999999999E-2</v>
      </c>
      <c r="O4247">
        <v>-0.99974300000000005</v>
      </c>
      <c r="P4247">
        <v>-4.3418749999999999E-2</v>
      </c>
      <c r="Q4247">
        <v>0.18613959999999999</v>
      </c>
      <c r="R4247">
        <v>-0.98156390000000004</v>
      </c>
      <c r="S4247">
        <v>-0.2799683</v>
      </c>
      <c r="T4247">
        <v>-9.2672110000000002E-2</v>
      </c>
      <c r="U4247">
        <v>-3.061035</v>
      </c>
      <c r="V4247">
        <v>2.5660490000000001E-2</v>
      </c>
      <c r="W4247">
        <v>0.1995634</v>
      </c>
      <c r="X4247">
        <v>0.97954889999999994</v>
      </c>
      <c r="Y4247">
        <v>7.3015469999999999E-2</v>
      </c>
      <c r="Z4247">
        <v>1.6479089999999998E-2</v>
      </c>
      <c r="AA4247">
        <v>0.99719460000000004</v>
      </c>
      <c r="AB4247">
        <v>32</v>
      </c>
      <c r="AC4247">
        <v>-3.3813999999999802</v>
      </c>
      <c r="AD4247">
        <v>-1.121242308432</v>
      </c>
      <c r="AE4247">
        <v>-36.70684</v>
      </c>
      <c r="AF4247">
        <v>2.7142209207105199</v>
      </c>
      <c r="AG4247">
        <v>-1.121242308432</v>
      </c>
      <c r="AH4247">
        <v>36.728028670864497</v>
      </c>
      <c r="AI4247">
        <v>91.743844206614</v>
      </c>
      <c r="AJ4247">
        <v>85.773494198069997</v>
      </c>
      <c r="AK4247">
        <v>36.845247584573002</v>
      </c>
      <c r="AL4247">
        <v>78.488571322156602</v>
      </c>
      <c r="AM4247">
        <v>88.499409674799395</v>
      </c>
      <c r="AN4247">
        <v>1.0000000294289</v>
      </c>
    </row>
    <row r="4248" spans="1:40" x14ac:dyDescent="0.25">
      <c r="A4248" t="str">
        <f>"20190303171103012"</f>
        <v>20190303171103012</v>
      </c>
      <c r="B4248" t="str">
        <f>"1551604263004974"</f>
        <v>1551604263004974</v>
      </c>
      <c r="C4248" t="s">
        <v>40</v>
      </c>
      <c r="D4248">
        <v>5.0852789999999999</v>
      </c>
      <c r="E4248">
        <v>0.5220629</v>
      </c>
      <c r="F4248" t="s">
        <v>68</v>
      </c>
      <c r="G4248">
        <v>-426.12400000000002</v>
      </c>
      <c r="H4248" s="1">
        <v>-2.7655079999999998E-6</v>
      </c>
      <c r="I4248">
        <v>36.66722</v>
      </c>
      <c r="J4248">
        <v>-422.6472</v>
      </c>
      <c r="K4248">
        <v>1.1212420000000001</v>
      </c>
      <c r="L4248">
        <v>74.182429999999997</v>
      </c>
      <c r="M4248">
        <v>-1.809059E-2</v>
      </c>
      <c r="N4248">
        <v>-1.3684099999999999E-2</v>
      </c>
      <c r="O4248">
        <v>-0.99974269999999998</v>
      </c>
      <c r="P4248">
        <v>-4.3159330000000003E-2</v>
      </c>
      <c r="Q4248">
        <v>0.18572050000000001</v>
      </c>
      <c r="R4248">
        <v>-0.98165449999999999</v>
      </c>
      <c r="S4248">
        <v>-0.28176879999999999</v>
      </c>
      <c r="T4248">
        <v>-9.0720419999999996E-2</v>
      </c>
      <c r="U4248">
        <v>-3.061096</v>
      </c>
      <c r="V4248">
        <v>2.5399560000000002E-2</v>
      </c>
      <c r="W4248">
        <v>0.19914380000000001</v>
      </c>
      <c r="X4248">
        <v>0.97964110000000004</v>
      </c>
      <c r="Y4248">
        <v>7.3596499999999995E-2</v>
      </c>
      <c r="Z4248">
        <v>1.584429E-2</v>
      </c>
      <c r="AA4248">
        <v>0.9971622</v>
      </c>
      <c r="AB4248">
        <v>32</v>
      </c>
      <c r="AC4248">
        <v>-3.4768000000000199</v>
      </c>
      <c r="AD4248">
        <v>-1.121244765508</v>
      </c>
      <c r="AE4248">
        <v>-37.515210000000003</v>
      </c>
      <c r="AF4248">
        <v>2.7950196197606099</v>
      </c>
      <c r="AG4248">
        <v>-1.121244765508</v>
      </c>
      <c r="AH4248">
        <v>37.538725893214803</v>
      </c>
      <c r="AI4248">
        <v>91.706139887332299</v>
      </c>
      <c r="AJ4248">
        <v>85.741787469738597</v>
      </c>
      <c r="AK4248">
        <v>37.659331727806098</v>
      </c>
      <c r="AL4248">
        <v>78.513105178725098</v>
      </c>
      <c r="AM4248">
        <v>88.514801364923997</v>
      </c>
      <c r="AN4248">
        <v>1.0000000377679199</v>
      </c>
    </row>
    <row r="4249" spans="1:40" x14ac:dyDescent="0.25">
      <c r="A4249" t="str">
        <f>"20190303171103034"</f>
        <v>20190303171103034</v>
      </c>
      <c r="B4249" t="str">
        <f>"1551604263025470"</f>
        <v>1551604263025470</v>
      </c>
      <c r="C4249" t="s">
        <v>40</v>
      </c>
      <c r="D4249">
        <v>5.0879329999999996</v>
      </c>
      <c r="E4249">
        <v>0.52209819999999996</v>
      </c>
      <c r="F4249" t="s">
        <v>68</v>
      </c>
      <c r="G4249">
        <v>-426.09660000000002</v>
      </c>
      <c r="H4249" s="1">
        <v>-2.7034529999999998E-6</v>
      </c>
      <c r="I4249">
        <v>36.810630000000003</v>
      </c>
      <c r="J4249">
        <v>-422.65269999999998</v>
      </c>
      <c r="K4249">
        <v>1.1212439999999999</v>
      </c>
      <c r="L4249">
        <v>73.882689999999997</v>
      </c>
      <c r="M4249">
        <v>-1.8090499999999999E-2</v>
      </c>
      <c r="N4249">
        <v>-1.3682440000000001E-2</v>
      </c>
      <c r="O4249">
        <v>-0.99974269999999998</v>
      </c>
      <c r="P4249">
        <v>-4.2835030000000003E-2</v>
      </c>
      <c r="Q4249">
        <v>0.1856553</v>
      </c>
      <c r="R4249">
        <v>-0.98168089999999997</v>
      </c>
      <c r="S4249">
        <v>-0.2825317</v>
      </c>
      <c r="T4249">
        <v>-9.183848E-2</v>
      </c>
      <c r="U4249">
        <v>-3.061035</v>
      </c>
      <c r="V4249">
        <v>2.5074920000000001E-2</v>
      </c>
      <c r="W4249">
        <v>0.19907739999999999</v>
      </c>
      <c r="X4249">
        <v>0.9796629</v>
      </c>
      <c r="Y4249">
        <v>7.3844049999999994E-2</v>
      </c>
      <c r="Z4249">
        <v>1.620949E-2</v>
      </c>
      <c r="AA4249">
        <v>0.99713810000000003</v>
      </c>
      <c r="AB4249">
        <v>31</v>
      </c>
      <c r="AC4249">
        <v>-3.4439000000000402</v>
      </c>
      <c r="AD4249">
        <v>-1.121246703453</v>
      </c>
      <c r="AE4249">
        <v>-37.07206</v>
      </c>
      <c r="AF4249">
        <v>2.7701090922284002</v>
      </c>
      <c r="AG4249">
        <v>-1.121246703453</v>
      </c>
      <c r="AH4249">
        <v>37.094657345585198</v>
      </c>
      <c r="AI4249">
        <v>91.726527043261896</v>
      </c>
      <c r="AJ4249">
        <v>85.729263396212602</v>
      </c>
      <c r="AK4249">
        <v>37.214839810742603</v>
      </c>
      <c r="AL4249">
        <v>78.516986681160304</v>
      </c>
      <c r="AM4249">
        <v>88.533808442492798</v>
      </c>
      <c r="AN4249">
        <v>0.99999998022008796</v>
      </c>
    </row>
    <row r="4250" spans="1:40" x14ac:dyDescent="0.25">
      <c r="A4250" t="str">
        <f>"20190303171103057"</f>
        <v>20190303171103057</v>
      </c>
      <c r="B4250" t="str">
        <f>"1551604263044990"</f>
        <v>1551604263044990</v>
      </c>
      <c r="C4250" t="s">
        <v>40</v>
      </c>
      <c r="D4250">
        <v>5.0832169999999897</v>
      </c>
      <c r="E4250">
        <v>0.52210059999999903</v>
      </c>
      <c r="F4250" t="s">
        <v>68</v>
      </c>
      <c r="G4250">
        <v>-426.09570000000002</v>
      </c>
      <c r="H4250" s="1">
        <v>-2.8395530000000001E-6</v>
      </c>
      <c r="I4250">
        <v>36.491070000000001</v>
      </c>
      <c r="J4250">
        <v>-422.6585</v>
      </c>
      <c r="K4250">
        <v>1.121245</v>
      </c>
      <c r="L4250">
        <v>73.563599999999994</v>
      </c>
      <c r="M4250">
        <v>-1.809038E-2</v>
      </c>
      <c r="N4250">
        <v>-1.3680609999999999E-2</v>
      </c>
      <c r="O4250">
        <v>-0.99974300000000005</v>
      </c>
      <c r="P4250">
        <v>-4.285162E-2</v>
      </c>
      <c r="Q4250">
        <v>0.1856004</v>
      </c>
      <c r="R4250">
        <v>-0.98169079999999997</v>
      </c>
      <c r="S4250">
        <v>-0.28186040000000001</v>
      </c>
      <c r="T4250">
        <v>-9.1789960000000004E-2</v>
      </c>
      <c r="U4250">
        <v>-3.061035</v>
      </c>
      <c r="V4250">
        <v>2.5091459999999999E-2</v>
      </c>
      <c r="W4250">
        <v>0.19902039999999999</v>
      </c>
      <c r="X4250">
        <v>0.97967409999999999</v>
      </c>
      <c r="Y4250">
        <v>7.3627410000000004E-2</v>
      </c>
      <c r="Z4250">
        <v>1.619605E-2</v>
      </c>
      <c r="AA4250">
        <v>0.99715430000000005</v>
      </c>
      <c r="AB4250">
        <v>31</v>
      </c>
      <c r="AC4250">
        <v>-3.43720000000001</v>
      </c>
      <c r="AD4250">
        <v>-1.1212478395529999</v>
      </c>
      <c r="AE4250">
        <v>-37.072529999999901</v>
      </c>
      <c r="AF4250">
        <v>2.7634123902560002</v>
      </c>
      <c r="AG4250">
        <v>-1.1212478395529999</v>
      </c>
      <c r="AH4250">
        <v>37.095005047365298</v>
      </c>
      <c r="AI4250">
        <v>91.726535812651093</v>
      </c>
      <c r="AJ4250">
        <v>85.739589571301394</v>
      </c>
      <c r="AK4250">
        <v>37.214688554660498</v>
      </c>
      <c r="AL4250">
        <v>78.520319707801207</v>
      </c>
      <c r="AM4250">
        <v>88.532858496810803</v>
      </c>
      <c r="AN4250">
        <v>1.0000000215959499</v>
      </c>
    </row>
    <row r="4251" spans="1:40" x14ac:dyDescent="0.25">
      <c r="A4251" t="str">
        <f>"20190303171103080"</f>
        <v>20190303171103080</v>
      </c>
      <c r="B4251" t="str">
        <f>"1551604263065486"</f>
        <v>1551604263065486</v>
      </c>
      <c r="C4251" t="s">
        <v>40</v>
      </c>
      <c r="D4251">
        <v>5.0815900000000003</v>
      </c>
      <c r="E4251">
        <v>0.52220710000000004</v>
      </c>
      <c r="F4251" t="s">
        <v>68</v>
      </c>
      <c r="G4251">
        <v>-426.08339999999998</v>
      </c>
      <c r="H4251" s="1">
        <v>-2.9674070000000001E-6</v>
      </c>
      <c r="I4251">
        <v>36.287230000000001</v>
      </c>
      <c r="J4251">
        <v>-422.66419999999999</v>
      </c>
      <c r="K4251">
        <v>1.12124</v>
      </c>
      <c r="L4251">
        <v>73.248689999999996</v>
      </c>
      <c r="M4251">
        <v>-1.8090249999999999E-2</v>
      </c>
      <c r="N4251">
        <v>-1.367876E-2</v>
      </c>
      <c r="O4251">
        <v>-0.99974300000000005</v>
      </c>
      <c r="P4251">
        <v>-4.3189720000000001E-2</v>
      </c>
      <c r="Q4251">
        <v>0.18571770000000001</v>
      </c>
      <c r="R4251">
        <v>-0.98165389999999997</v>
      </c>
      <c r="S4251">
        <v>-0.28125</v>
      </c>
      <c r="T4251">
        <v>-9.2075710000000005E-2</v>
      </c>
      <c r="U4251">
        <v>-3.061096</v>
      </c>
      <c r="V4251">
        <v>2.5430299999999999E-2</v>
      </c>
      <c r="W4251">
        <v>0.1991358</v>
      </c>
      <c r="X4251">
        <v>0.97964189999999995</v>
      </c>
      <c r="Y4251">
        <v>7.3428460000000001E-2</v>
      </c>
      <c r="Z4251">
        <v>1.6290679999999998E-2</v>
      </c>
      <c r="AA4251">
        <v>0.99716740000000004</v>
      </c>
      <c r="AB4251">
        <v>31</v>
      </c>
      <c r="AC4251">
        <v>-3.41919999999998</v>
      </c>
      <c r="AD4251">
        <v>-1.1212429674069999</v>
      </c>
      <c r="AE4251">
        <v>-36.961460000000002</v>
      </c>
      <c r="AF4251">
        <v>2.7474290581084699</v>
      </c>
      <c r="AG4251">
        <v>-1.1212429674069999</v>
      </c>
      <c r="AH4251">
        <v>36.983525427767802</v>
      </c>
      <c r="AI4251">
        <v>91.731756017425496</v>
      </c>
      <c r="AJ4251">
        <v>85.751419971288797</v>
      </c>
      <c r="AK4251">
        <v>37.102381396450099</v>
      </c>
      <c r="AL4251">
        <v>78.513572585404802</v>
      </c>
      <c r="AM4251">
        <v>88.513005912912604</v>
      </c>
      <c r="AN4251">
        <v>1.00000000961767</v>
      </c>
    </row>
    <row r="4252" spans="1:40" x14ac:dyDescent="0.25">
      <c r="A4252" t="str">
        <f>"20190303171103102"</f>
        <v>20190303171103102</v>
      </c>
      <c r="B4252" t="str">
        <f>"1551604263085006"</f>
        <v>1551604263085006</v>
      </c>
      <c r="C4252" t="s">
        <v>40</v>
      </c>
      <c r="D4252">
        <v>4.8512019999999998</v>
      </c>
      <c r="E4252">
        <v>0.52213189999999998</v>
      </c>
      <c r="F4252" t="s">
        <v>68</v>
      </c>
      <c r="G4252">
        <v>-426.113</v>
      </c>
      <c r="H4252" s="1">
        <v>-3.2179269999999998E-6</v>
      </c>
      <c r="I4252">
        <v>35.899569999999997</v>
      </c>
      <c r="J4252">
        <v>-422.66989999999998</v>
      </c>
      <c r="K4252">
        <v>1.1212390000000001</v>
      </c>
      <c r="L4252">
        <v>72.936679999999996</v>
      </c>
      <c r="M4252">
        <v>-1.8090120000000001E-2</v>
      </c>
      <c r="N4252">
        <v>-1.367697E-2</v>
      </c>
      <c r="O4252">
        <v>-0.99974269999999998</v>
      </c>
      <c r="P4252">
        <v>-4.3631370000000003E-2</v>
      </c>
      <c r="Q4252">
        <v>0.18526390000000001</v>
      </c>
      <c r="R4252">
        <v>-0.98171980000000003</v>
      </c>
      <c r="S4252">
        <v>-0.28265380000000001</v>
      </c>
      <c r="T4252">
        <v>-9.1894149999999994E-2</v>
      </c>
      <c r="U4252">
        <v>-3.061035</v>
      </c>
      <c r="V4252">
        <v>2.5870799999999999E-2</v>
      </c>
      <c r="W4252">
        <v>0.1986811</v>
      </c>
      <c r="X4252">
        <v>0.97972269999999995</v>
      </c>
      <c r="Y4252">
        <v>7.3883820000000003E-2</v>
      </c>
      <c r="Z4252">
        <v>1.6232949999999999E-2</v>
      </c>
      <c r="AA4252">
        <v>0.99713470000000004</v>
      </c>
      <c r="AB4252">
        <v>31</v>
      </c>
      <c r="AC4252">
        <v>-3.44310000000007</v>
      </c>
      <c r="AD4252">
        <v>-1.1212422179270001</v>
      </c>
      <c r="AE4252">
        <v>-37.037109999999998</v>
      </c>
      <c r="AF4252">
        <v>2.7699510904632798</v>
      </c>
      <c r="AG4252">
        <v>-1.1212422179270001</v>
      </c>
      <c r="AH4252">
        <v>37.059666489303403</v>
      </c>
      <c r="AI4252">
        <v>91.728140791586</v>
      </c>
      <c r="AJ4252">
        <v>85.725488928466007</v>
      </c>
      <c r="AK4252">
        <v>37.179950153990497</v>
      </c>
      <c r="AL4252">
        <v>78.540156326894902</v>
      </c>
      <c r="AM4252">
        <v>88.487384982887093</v>
      </c>
      <c r="AN4252">
        <v>1.0000000233425601</v>
      </c>
    </row>
    <row r="4253" spans="1:40" x14ac:dyDescent="0.25">
      <c r="A4253" t="str">
        <f>"20190303171103124"</f>
        <v>20190303171103124</v>
      </c>
      <c r="B4253" t="str">
        <f>"1551604263115262"</f>
        <v>1551604263115262</v>
      </c>
      <c r="C4253" t="s">
        <v>40</v>
      </c>
      <c r="D4253">
        <v>5.014926</v>
      </c>
      <c r="E4253">
        <v>0.51038499999999998</v>
      </c>
      <c r="F4253" t="s">
        <v>68</v>
      </c>
      <c r="G4253">
        <v>-426.06209999999999</v>
      </c>
      <c r="H4253" s="1">
        <v>-2.95374E-6</v>
      </c>
      <c r="I4253">
        <v>36.30406</v>
      </c>
      <c r="J4253">
        <v>-422.67540000000002</v>
      </c>
      <c r="K4253">
        <v>1.121238</v>
      </c>
      <c r="L4253">
        <v>72.628509999999906</v>
      </c>
      <c r="M4253">
        <v>-1.8089999999999998E-2</v>
      </c>
      <c r="N4253">
        <v>-1.367526E-2</v>
      </c>
      <c r="O4253">
        <v>-0.99974300000000005</v>
      </c>
      <c r="P4253">
        <v>-4.3775509999999997E-2</v>
      </c>
      <c r="Q4253">
        <v>0.18516379999999999</v>
      </c>
      <c r="R4253">
        <v>-0.98173239999999995</v>
      </c>
      <c r="S4253">
        <v>-0.28344730000000001</v>
      </c>
      <c r="T4253">
        <v>-9.3688610000000005E-2</v>
      </c>
      <c r="U4253">
        <v>-3.0609440000000001</v>
      </c>
      <c r="V4253">
        <v>2.6014800000000001E-2</v>
      </c>
      <c r="W4253">
        <v>0.1985797</v>
      </c>
      <c r="X4253">
        <v>0.97973940000000004</v>
      </c>
      <c r="Y4253">
        <v>7.4141680000000001E-2</v>
      </c>
      <c r="Z4253">
        <v>1.6818369999999999E-2</v>
      </c>
      <c r="AA4253">
        <v>0.99710589999999999</v>
      </c>
      <c r="AB4253">
        <v>31</v>
      </c>
      <c r="AC4253">
        <v>-3.3866999999999599</v>
      </c>
      <c r="AD4253">
        <v>-1.1212409537400001</v>
      </c>
      <c r="AE4253">
        <v>-36.324449999999899</v>
      </c>
      <c r="AF4253">
        <v>2.7263997444052799</v>
      </c>
      <c r="AG4253">
        <v>-1.1212409537400001</v>
      </c>
      <c r="AH4253">
        <v>36.345444620127203</v>
      </c>
      <c r="AI4253">
        <v>91.762041711393707</v>
      </c>
      <c r="AJ4253">
        <v>85.710076354257097</v>
      </c>
      <c r="AK4253">
        <v>36.464801953080297</v>
      </c>
      <c r="AL4253">
        <v>78.546083726465099</v>
      </c>
      <c r="AM4253">
        <v>88.478995443353796</v>
      </c>
      <c r="AN4253">
        <v>0.99999997949174402</v>
      </c>
    </row>
    <row r="4254" spans="1:40" x14ac:dyDescent="0.25">
      <c r="A4254" t="str">
        <f>"20190303171103146"</f>
        <v>20190303171103146</v>
      </c>
      <c r="B4254" t="str">
        <f>"1551604263134782"</f>
        <v>1551604263134782</v>
      </c>
      <c r="C4254" t="s">
        <v>40</v>
      </c>
      <c r="D4254">
        <v>4.9958710000000002</v>
      </c>
      <c r="E4254">
        <v>0.51885579999999998</v>
      </c>
      <c r="F4254" t="s">
        <v>43</v>
      </c>
      <c r="G4254">
        <v>-422.72739999999999</v>
      </c>
      <c r="H4254">
        <v>1.021657</v>
      </c>
      <c r="I4254">
        <v>71.734979999999993</v>
      </c>
      <c r="J4254">
        <v>-422.68110000000001</v>
      </c>
      <c r="K4254">
        <v>1.12124</v>
      </c>
      <c r="L4254">
        <v>72.315159999999906</v>
      </c>
      <c r="M4254">
        <v>-1.8089879999999999E-2</v>
      </c>
      <c r="N4254">
        <v>-1.3673589999999999E-2</v>
      </c>
      <c r="O4254">
        <v>-0.99974300000000005</v>
      </c>
      <c r="P4254">
        <v>-4.4100699999999902E-2</v>
      </c>
      <c r="Q4254">
        <v>0.18497169999999999</v>
      </c>
      <c r="R4254">
        <v>-0.98175420000000002</v>
      </c>
      <c r="S4254">
        <v>-0.18099979999999999</v>
      </c>
      <c r="T4254">
        <v>-0.34694979999999997</v>
      </c>
      <c r="U4254">
        <v>-3.1131899999999999</v>
      </c>
      <c r="V4254">
        <v>2.6339649999999999E-2</v>
      </c>
      <c r="W4254">
        <v>0.19838620000000001</v>
      </c>
      <c r="X4254">
        <v>0.97976989999999997</v>
      </c>
      <c r="Y4254">
        <v>3.9663329999999997E-2</v>
      </c>
      <c r="Z4254">
        <v>9.7003850000000003E-2</v>
      </c>
      <c r="AA4254">
        <v>0.99449339999999997</v>
      </c>
      <c r="AB4254">
        <v>31</v>
      </c>
      <c r="AC4254">
        <v>-4.62999999999738E-2</v>
      </c>
      <c r="AD4254">
        <v>-9.9582999999999894E-2</v>
      </c>
      <c r="AE4254">
        <v>-0.58017999999998404</v>
      </c>
      <c r="AF4254">
        <v>3.4777952475029197E-2</v>
      </c>
      <c r="AG4254">
        <v>-9.9582999999999894E-2</v>
      </c>
      <c r="AH4254">
        <v>0.56440021137083096</v>
      </c>
      <c r="AI4254">
        <v>99.987741496806606</v>
      </c>
      <c r="AJ4254">
        <v>86.473931756844095</v>
      </c>
      <c r="AK4254">
        <v>0.57417234212629398</v>
      </c>
      <c r="AL4254">
        <v>78.557395280572507</v>
      </c>
      <c r="AM4254">
        <v>88.460059478776998</v>
      </c>
      <c r="AN4254">
        <v>0.99999995922928497</v>
      </c>
    </row>
    <row r="4255" spans="1:40" x14ac:dyDescent="0.25">
      <c r="A4255" t="str">
        <f>"20190303171103168"</f>
        <v>20190303171103168</v>
      </c>
      <c r="B4255" t="str">
        <f>"1551604263165038"</f>
        <v>1551604263165038</v>
      </c>
      <c r="C4255" t="s">
        <v>40</v>
      </c>
      <c r="D4255">
        <v>5.0052459999999996</v>
      </c>
      <c r="E4255">
        <v>0.52662279999999995</v>
      </c>
      <c r="F4255" t="s">
        <v>43</v>
      </c>
      <c r="G4255">
        <v>-422.7484</v>
      </c>
      <c r="H4255">
        <v>1.003519</v>
      </c>
      <c r="I4255">
        <v>71.464690000000004</v>
      </c>
      <c r="J4255">
        <v>-422.68669999999997</v>
      </c>
      <c r="K4255">
        <v>1.1212439999999999</v>
      </c>
      <c r="L4255">
        <v>72.006010000000003</v>
      </c>
      <c r="M4255">
        <v>-1.8089770000000002E-2</v>
      </c>
      <c r="N4255">
        <v>-1.367196E-2</v>
      </c>
      <c r="O4255">
        <v>-0.99974300000000005</v>
      </c>
      <c r="P4255">
        <v>-4.4566929999999998E-2</v>
      </c>
      <c r="Q4255">
        <v>0.18528910000000001</v>
      </c>
      <c r="R4255">
        <v>-0.98167309999999997</v>
      </c>
      <c r="S4255">
        <v>-0.24646000000000001</v>
      </c>
      <c r="T4255">
        <v>-0.43274180000000001</v>
      </c>
      <c r="U4255">
        <v>-3.1262210000000001</v>
      </c>
      <c r="V4255">
        <v>2.6807399999999999E-2</v>
      </c>
      <c r="W4255">
        <v>0.19870080000000001</v>
      </c>
      <c r="X4255">
        <v>0.97969349999999999</v>
      </c>
      <c r="Y4255">
        <v>5.9883079999999998E-2</v>
      </c>
      <c r="Z4255">
        <v>0.1232053</v>
      </c>
      <c r="AA4255">
        <v>0.99057280000000003</v>
      </c>
      <c r="AB4255">
        <v>31</v>
      </c>
      <c r="AC4255">
        <v>-6.1700000000030203E-2</v>
      </c>
      <c r="AD4255">
        <v>-0.117725</v>
      </c>
      <c r="AE4255">
        <v>-0.54131999999999802</v>
      </c>
      <c r="AF4255">
        <v>4.9581667812153403E-2</v>
      </c>
      <c r="AG4255">
        <v>-0.117725</v>
      </c>
      <c r="AH4255">
        <v>0.51815501642352202</v>
      </c>
      <c r="AI4255">
        <v>102.744024720924</v>
      </c>
      <c r="AJ4255">
        <v>84.5340737467466</v>
      </c>
      <c r="AK4255">
        <v>0.533668566109055</v>
      </c>
      <c r="AL4255">
        <v>78.539004358382996</v>
      </c>
      <c r="AM4255">
        <v>88.432603961267503</v>
      </c>
      <c r="AN4255">
        <v>0.99999999927882499</v>
      </c>
    </row>
    <row r="4256" spans="1:40" x14ac:dyDescent="0.25">
      <c r="A4256" t="str">
        <f>"20190303171103191"</f>
        <v>20190303171103191</v>
      </c>
      <c r="B4256" t="str">
        <f>"1551604263185534"</f>
        <v>1551604263185534</v>
      </c>
      <c r="C4256" t="s">
        <v>40</v>
      </c>
      <c r="D4256">
        <v>5.0061960000000001</v>
      </c>
      <c r="E4256">
        <v>0.52939979999999998</v>
      </c>
      <c r="F4256" t="s">
        <v>43</v>
      </c>
      <c r="G4256">
        <v>-422.76530000000002</v>
      </c>
      <c r="H4256">
        <v>0.98592460000000004</v>
      </c>
      <c r="I4256">
        <v>71.194220000000001</v>
      </c>
      <c r="J4256">
        <v>-422.69260000000003</v>
      </c>
      <c r="K4256">
        <v>1.1212409999999999</v>
      </c>
      <c r="L4256">
        <v>71.68289</v>
      </c>
      <c r="M4256">
        <v>-1.8089640000000001E-2</v>
      </c>
      <c r="N4256">
        <v>-1.367021E-2</v>
      </c>
      <c r="O4256">
        <v>-0.99974320000000005</v>
      </c>
      <c r="P4256">
        <v>-4.5120260000000002E-2</v>
      </c>
      <c r="Q4256">
        <v>0.1850697</v>
      </c>
      <c r="R4256">
        <v>-0.98168949999999999</v>
      </c>
      <c r="S4256">
        <v>-0.30422969999999999</v>
      </c>
      <c r="T4256">
        <v>-0.52357359999999997</v>
      </c>
      <c r="U4256">
        <v>-3.141022</v>
      </c>
      <c r="V4256">
        <v>2.7360450000000001E-2</v>
      </c>
      <c r="W4256">
        <v>0.1984802</v>
      </c>
      <c r="X4256">
        <v>0.97972289999999995</v>
      </c>
      <c r="Y4256">
        <v>7.7193070000000003E-2</v>
      </c>
      <c r="Z4256">
        <v>0.15027470000000001</v>
      </c>
      <c r="AA4256">
        <v>0.98562609999999995</v>
      </c>
      <c r="AB4256">
        <v>31</v>
      </c>
      <c r="AC4256">
        <v>-7.2699999999997503E-2</v>
      </c>
      <c r="AD4256">
        <v>-0.1353164</v>
      </c>
      <c r="AE4256">
        <v>-0.48866999999999899</v>
      </c>
      <c r="AF4256">
        <v>5.9391980332176797E-2</v>
      </c>
      <c r="AG4256">
        <v>-0.1353164</v>
      </c>
      <c r="AH4256">
        <v>0.45571843816964802</v>
      </c>
      <c r="AI4256">
        <v>106.406529891128</v>
      </c>
      <c r="AJ4256">
        <v>82.574718264167203</v>
      </c>
      <c r="AK4256">
        <v>0.479079565755545</v>
      </c>
      <c r="AL4256">
        <v>78.551900357079006</v>
      </c>
      <c r="AM4256">
        <v>88.400332413890297</v>
      </c>
      <c r="AN4256">
        <v>0.99999997240032501</v>
      </c>
    </row>
    <row r="4257" spans="1:40" x14ac:dyDescent="0.25">
      <c r="A4257" t="str">
        <f>"20190303171103212"</f>
        <v>20190303171103212</v>
      </c>
      <c r="B4257" t="str">
        <f>"1551604263205054"</f>
        <v>1551604263205054</v>
      </c>
      <c r="C4257" t="s">
        <v>40</v>
      </c>
      <c r="D4257">
        <v>5.0016290000000003</v>
      </c>
      <c r="E4257">
        <v>0.5313177</v>
      </c>
      <c r="F4257" t="s">
        <v>43</v>
      </c>
      <c r="G4257">
        <v>-422.77210000000002</v>
      </c>
      <c r="H4257">
        <v>0.98499749999999997</v>
      </c>
      <c r="I4257">
        <v>70.915490000000005</v>
      </c>
      <c r="J4257">
        <v>-422.69810000000001</v>
      </c>
      <c r="K4257">
        <v>1.1212409999999999</v>
      </c>
      <c r="L4257">
        <v>71.37997</v>
      </c>
      <c r="M4257">
        <v>-1.808951E-2</v>
      </c>
      <c r="N4257">
        <v>-1.366854E-2</v>
      </c>
      <c r="O4257">
        <v>-0.99974300000000005</v>
      </c>
      <c r="P4257">
        <v>-4.5535760000000002E-2</v>
      </c>
      <c r="Q4257">
        <v>0.1842356</v>
      </c>
      <c r="R4257">
        <v>-0.98182700000000001</v>
      </c>
      <c r="S4257">
        <v>-0.3249512</v>
      </c>
      <c r="T4257">
        <v>-0.5586042</v>
      </c>
      <c r="U4257">
        <v>-3.1463320000000001</v>
      </c>
      <c r="V4257">
        <v>2.7773490000000001E-2</v>
      </c>
      <c r="W4257">
        <v>0.19764680000000001</v>
      </c>
      <c r="X4257">
        <v>0.97987979999999997</v>
      </c>
      <c r="Y4257">
        <v>8.3279160000000005E-2</v>
      </c>
      <c r="Z4257">
        <v>0.16055129999999901</v>
      </c>
      <c r="AA4257">
        <v>0.98350789999999999</v>
      </c>
      <c r="AB4257">
        <v>31</v>
      </c>
      <c r="AC4257">
        <v>-7.4000000000012195E-2</v>
      </c>
      <c r="AD4257">
        <v>-0.13624349999999899</v>
      </c>
      <c r="AE4257">
        <v>-0.46447999999999401</v>
      </c>
      <c r="AF4257">
        <v>6.0507710020132402E-2</v>
      </c>
      <c r="AG4257">
        <v>-0.13624349999999899</v>
      </c>
      <c r="AH4257">
        <v>0.42968779177368499</v>
      </c>
      <c r="AI4257">
        <v>107.431131324988</v>
      </c>
      <c r="AJ4257">
        <v>81.984436339883302</v>
      </c>
      <c r="AK4257">
        <v>0.45481322832947202</v>
      </c>
      <c r="AL4257">
        <v>78.600616342984395</v>
      </c>
      <c r="AM4257">
        <v>88.376456143187298</v>
      </c>
      <c r="AN4257">
        <v>1.0000000233725199</v>
      </c>
    </row>
    <row r="4258" spans="1:40" x14ac:dyDescent="0.25">
      <c r="A4258" t="str">
        <f>"20190303171103235"</f>
        <v>20190303171103235</v>
      </c>
      <c r="B4258" t="str">
        <f>"1551604263225550"</f>
        <v>1551604263225550</v>
      </c>
      <c r="C4258" t="s">
        <v>40</v>
      </c>
      <c r="D4258">
        <v>5.0356310000000004</v>
      </c>
      <c r="E4258">
        <v>0.53277390000000002</v>
      </c>
      <c r="F4258" t="s">
        <v>43</v>
      </c>
      <c r="G4258">
        <v>-422.77809999999999</v>
      </c>
      <c r="H4258">
        <v>0.98311440000000005</v>
      </c>
      <c r="I4258">
        <v>70.637450000000001</v>
      </c>
      <c r="J4258">
        <v>-422.70370000000003</v>
      </c>
      <c r="K4258">
        <v>1.12124</v>
      </c>
      <c r="L4258">
        <v>71.072969999999998</v>
      </c>
      <c r="M4258">
        <v>-1.808939E-2</v>
      </c>
      <c r="N4258">
        <v>-1.366683E-2</v>
      </c>
      <c r="O4258">
        <v>-0.99974300000000005</v>
      </c>
      <c r="P4258">
        <v>-4.6037990000000001E-2</v>
      </c>
      <c r="Q4258">
        <v>0.18402250000000001</v>
      </c>
      <c r="R4258">
        <v>-0.98184340000000003</v>
      </c>
      <c r="S4258">
        <v>-0.33868409999999999</v>
      </c>
      <c r="T4258">
        <v>-0.58592889999999997</v>
      </c>
      <c r="U4258">
        <v>-3.1497799999999998</v>
      </c>
      <c r="V4258">
        <v>2.8275459999999999E-2</v>
      </c>
      <c r="W4258">
        <v>0.19743230000000001</v>
      </c>
      <c r="X4258">
        <v>0.97990860000000002</v>
      </c>
      <c r="Y4258">
        <v>8.7256700000000006E-2</v>
      </c>
      <c r="Z4258">
        <v>0.16854450000000001</v>
      </c>
      <c r="AA4258">
        <v>0.98182429999999998</v>
      </c>
      <c r="AB4258">
        <v>31</v>
      </c>
      <c r="AC4258">
        <v>-7.43999999999687E-2</v>
      </c>
      <c r="AD4258">
        <v>-0.13812559999999899</v>
      </c>
      <c r="AE4258">
        <v>-0.43551999999999602</v>
      </c>
      <c r="AF4258">
        <v>6.0587428908706401E-2</v>
      </c>
      <c r="AG4258">
        <v>-0.13812559999999899</v>
      </c>
      <c r="AH4258">
        <v>0.39790627654359101</v>
      </c>
      <c r="AI4258">
        <v>108.94096758685301</v>
      </c>
      <c r="AJ4258">
        <v>81.342325170789096</v>
      </c>
      <c r="AK4258">
        <v>0.42553369176824501</v>
      </c>
      <c r="AL4258">
        <v>78.613152362387794</v>
      </c>
      <c r="AM4258">
        <v>88.347177367209795</v>
      </c>
      <c r="AN4258">
        <v>0.99999993953772903</v>
      </c>
    </row>
    <row r="4259" spans="1:40" x14ac:dyDescent="0.25">
      <c r="A4259" t="str">
        <f>"20190303171103258"</f>
        <v>20190303171103258</v>
      </c>
      <c r="B4259" t="str">
        <f>"1551604263245070"</f>
        <v>1551604263245070</v>
      </c>
      <c r="C4259" t="s">
        <v>40</v>
      </c>
      <c r="D4259">
        <v>5.0383979999999999</v>
      </c>
      <c r="E4259">
        <v>0.53379730000000003</v>
      </c>
      <c r="F4259" t="s">
        <v>43</v>
      </c>
      <c r="G4259">
        <v>-422.78379999999999</v>
      </c>
      <c r="H4259">
        <v>0.98423760000000005</v>
      </c>
      <c r="I4259">
        <v>70.358149999999995</v>
      </c>
      <c r="J4259">
        <v>-422.70940000000002</v>
      </c>
      <c r="K4259">
        <v>1.121251</v>
      </c>
      <c r="L4259">
        <v>70.759550000000004</v>
      </c>
      <c r="M4259">
        <v>-1.808069E-2</v>
      </c>
      <c r="N4259">
        <v>-1.366502E-2</v>
      </c>
      <c r="O4259">
        <v>-0.99974320000000005</v>
      </c>
      <c r="P4259">
        <v>-4.6637709999999999E-2</v>
      </c>
      <c r="Q4259">
        <v>0.1846168</v>
      </c>
      <c r="R4259">
        <v>-0.98170349999999995</v>
      </c>
      <c r="S4259">
        <v>-0.35144039999999999</v>
      </c>
      <c r="T4259">
        <v>-0.60417469999999995</v>
      </c>
      <c r="U4259">
        <v>-3.1522519999999998</v>
      </c>
      <c r="V4259">
        <v>2.8884320000000002E-2</v>
      </c>
      <c r="W4259">
        <v>0.19802310000000001</v>
      </c>
      <c r="X4259">
        <v>0.97977170000000002</v>
      </c>
      <c r="Y4259">
        <v>9.0998889999999999E-2</v>
      </c>
      <c r="Z4259">
        <v>0.173818</v>
      </c>
      <c r="AA4259">
        <v>0.9805644</v>
      </c>
      <c r="AB4259">
        <v>31</v>
      </c>
      <c r="AC4259">
        <v>-7.43999999999687E-2</v>
      </c>
      <c r="AD4259">
        <v>-0.13701339999999901</v>
      </c>
      <c r="AE4259">
        <v>-0.40140000000000903</v>
      </c>
      <c r="AF4259">
        <v>6.0333466093799498E-2</v>
      </c>
      <c r="AG4259">
        <v>-0.13701339999999901</v>
      </c>
      <c r="AH4259">
        <v>0.361912973205683</v>
      </c>
      <c r="AI4259">
        <v>110.477020554597</v>
      </c>
      <c r="AJ4259">
        <v>80.535423162431698</v>
      </c>
      <c r="AK4259">
        <v>0.39165520433798601</v>
      </c>
      <c r="AL4259">
        <v>78.578621154381494</v>
      </c>
      <c r="AM4259">
        <v>88.311371479909695</v>
      </c>
      <c r="AN4259">
        <v>1.0000000180981801</v>
      </c>
    </row>
    <row r="4260" spans="1:40" x14ac:dyDescent="0.25">
      <c r="A4260" t="str">
        <f>"20190303171103281"</f>
        <v>20190303171103281</v>
      </c>
      <c r="B4260" t="str">
        <f>"1551604263275326"</f>
        <v>1551604263275326</v>
      </c>
      <c r="C4260" t="s">
        <v>40</v>
      </c>
      <c r="D4260">
        <v>5.031555</v>
      </c>
      <c r="E4260">
        <v>0.53488809999999998</v>
      </c>
      <c r="F4260" t="s">
        <v>43</v>
      </c>
      <c r="G4260">
        <v>-422.81650000000002</v>
      </c>
      <c r="H4260">
        <v>0.93866119999999997</v>
      </c>
      <c r="I4260">
        <v>69.823939999999993</v>
      </c>
      <c r="J4260">
        <v>-422.71510000000001</v>
      </c>
      <c r="K4260">
        <v>1.1212679999999999</v>
      </c>
      <c r="L4260">
        <v>70.439359999999994</v>
      </c>
      <c r="M4260">
        <v>-1.805068E-2</v>
      </c>
      <c r="N4260">
        <v>-1.366302E-2</v>
      </c>
      <c r="O4260">
        <v>-0.99974370000000001</v>
      </c>
      <c r="P4260">
        <v>-4.7195670000000002E-2</v>
      </c>
      <c r="Q4260">
        <v>0.1855687</v>
      </c>
      <c r="R4260">
        <v>-0.98149719999999996</v>
      </c>
      <c r="S4260">
        <v>-0.36019899999999999</v>
      </c>
      <c r="T4260">
        <v>-0.61565199999999998</v>
      </c>
      <c r="U4260">
        <v>-3.1545719999999999</v>
      </c>
      <c r="V4260">
        <v>2.9469700000000001E-2</v>
      </c>
      <c r="W4260">
        <v>0.19897129999999999</v>
      </c>
      <c r="X4260">
        <v>0.97956209999999999</v>
      </c>
      <c r="Y4260">
        <v>9.3565780000000001E-2</v>
      </c>
      <c r="Z4260">
        <v>0.1770717</v>
      </c>
      <c r="AA4260">
        <v>0.97974030000000001</v>
      </c>
      <c r="AB4260">
        <v>31</v>
      </c>
      <c r="AC4260">
        <v>-0.10140000000001199</v>
      </c>
      <c r="AD4260">
        <v>-0.18260680000000001</v>
      </c>
      <c r="AE4260">
        <v>-0.61541999999998598</v>
      </c>
      <c r="AF4260">
        <v>8.3146750005655801E-2</v>
      </c>
      <c r="AG4260">
        <v>-0.18260680000000001</v>
      </c>
      <c r="AH4260">
        <v>0.56842736336532196</v>
      </c>
      <c r="AI4260">
        <v>107.633719100251</v>
      </c>
      <c r="AJ4260">
        <v>81.6780742413643</v>
      </c>
      <c r="AK4260">
        <v>0.602800375634583</v>
      </c>
      <c r="AL4260">
        <v>78.523189795541299</v>
      </c>
      <c r="AM4260">
        <v>88.276801130462303</v>
      </c>
      <c r="AN4260">
        <v>0.99999997459909395</v>
      </c>
    </row>
    <row r="4261" spans="1:40" x14ac:dyDescent="0.25">
      <c r="A4261" t="str">
        <f>"20190303171103303"</f>
        <v>20190303171103303</v>
      </c>
      <c r="B4261" t="str">
        <f>"1551604263294848"</f>
        <v>1551604263294848</v>
      </c>
      <c r="C4261" t="s">
        <v>40</v>
      </c>
      <c r="D4261">
        <v>5.0364659999999999</v>
      </c>
      <c r="E4261">
        <v>0.55279489999999998</v>
      </c>
      <c r="F4261" t="s">
        <v>43</v>
      </c>
      <c r="G4261">
        <v>-422.81950000000001</v>
      </c>
      <c r="H4261">
        <v>0.94320490000000001</v>
      </c>
      <c r="I4261">
        <v>69.543689999999998</v>
      </c>
      <c r="J4261">
        <v>-422.7208</v>
      </c>
      <c r="K4261">
        <v>1.1212899999999999</v>
      </c>
      <c r="L4261">
        <v>70.123080000000002</v>
      </c>
      <c r="M4261">
        <v>-1.7999279999999999E-2</v>
      </c>
      <c r="N4261">
        <v>-1.366129E-2</v>
      </c>
      <c r="O4261">
        <v>-0.99974470000000004</v>
      </c>
      <c r="P4261">
        <v>-4.733557E-2</v>
      </c>
      <c r="Q4261">
        <v>0.18579490000000001</v>
      </c>
      <c r="R4261">
        <v>-0.98144759999999998</v>
      </c>
      <c r="S4261">
        <v>-0.3686218</v>
      </c>
      <c r="T4261">
        <v>-0.62771730000000003</v>
      </c>
      <c r="U4261">
        <v>-3.1575009999999999</v>
      </c>
      <c r="V4261">
        <v>2.9652600000000001E-2</v>
      </c>
      <c r="W4261">
        <v>0.19919609999999999</v>
      </c>
      <c r="X4261">
        <v>0.97951089999999996</v>
      </c>
      <c r="Y4261">
        <v>9.6016270000000001E-2</v>
      </c>
      <c r="Z4261">
        <v>0.18045269999999999</v>
      </c>
      <c r="AA4261">
        <v>0.97888589999999998</v>
      </c>
      <c r="AB4261">
        <v>31</v>
      </c>
      <c r="AC4261">
        <v>-9.8700000000008004E-2</v>
      </c>
      <c r="AD4261">
        <v>-0.178085099999999</v>
      </c>
      <c r="AE4261">
        <v>-0.57939000000000296</v>
      </c>
      <c r="AF4261">
        <v>8.0833148679666705E-2</v>
      </c>
      <c r="AG4261">
        <v>-0.178085099999999</v>
      </c>
      <c r="AH4261">
        <v>0.53221061356784805</v>
      </c>
      <c r="AI4261">
        <v>108.305249108921</v>
      </c>
      <c r="AJ4261">
        <v>81.363812467612505</v>
      </c>
      <c r="AK4261">
        <v>0.56700655901121999</v>
      </c>
      <c r="AL4261">
        <v>78.510046708863399</v>
      </c>
      <c r="AM4261">
        <v>88.266022244129701</v>
      </c>
      <c r="AN4261">
        <v>0.99999998308038895</v>
      </c>
    </row>
    <row r="4262" spans="1:40" x14ac:dyDescent="0.25">
      <c r="A4262" t="str">
        <f>"20190303171103325"</f>
        <v>20190303171103325</v>
      </c>
      <c r="B4262" t="str">
        <f>"1551604263315342"</f>
        <v>1551604263315342</v>
      </c>
      <c r="C4262" t="s">
        <v>40</v>
      </c>
      <c r="D4262">
        <v>5.0028100000000002</v>
      </c>
      <c r="E4262">
        <v>0.55328630000000001</v>
      </c>
      <c r="F4262" t="s">
        <v>43</v>
      </c>
      <c r="G4262">
        <v>-422.85820000000001</v>
      </c>
      <c r="H4262">
        <v>0.93473390000000001</v>
      </c>
      <c r="I4262">
        <v>69.269419999999997</v>
      </c>
      <c r="J4262">
        <v>-422.726</v>
      </c>
      <c r="K4262">
        <v>1.12131</v>
      </c>
      <c r="L4262">
        <v>69.828220000000002</v>
      </c>
      <c r="M4262">
        <v>-1.7920559999999999E-2</v>
      </c>
      <c r="N4262">
        <v>-1.3659799999999901E-2</v>
      </c>
      <c r="O4262">
        <v>-0.99974629999999998</v>
      </c>
      <c r="P4262">
        <v>-4.6513409999999998E-2</v>
      </c>
      <c r="Q4262">
        <v>0.18491779999999999</v>
      </c>
      <c r="R4262">
        <v>-0.98165309999999995</v>
      </c>
      <c r="S4262">
        <v>-0.50839230000000002</v>
      </c>
      <c r="T4262">
        <v>-0.69126069999999995</v>
      </c>
      <c r="U4262">
        <v>-3.1630549999999999</v>
      </c>
      <c r="V4262">
        <v>2.8893510000000001E-2</v>
      </c>
      <c r="W4262">
        <v>0.19832169999999999</v>
      </c>
      <c r="X4262">
        <v>0.979711</v>
      </c>
      <c r="Y4262">
        <v>0.1376201</v>
      </c>
      <c r="Z4262">
        <v>0.197798</v>
      </c>
      <c r="AA4262">
        <v>0.97053420000000001</v>
      </c>
      <c r="AB4262">
        <v>31</v>
      </c>
      <c r="AC4262">
        <v>-0.132200000000011</v>
      </c>
      <c r="AD4262">
        <v>-0.18657609999999999</v>
      </c>
      <c r="AE4262">
        <v>-0.55880000000000496</v>
      </c>
      <c r="AF4262">
        <v>0.11049831894753601</v>
      </c>
      <c r="AG4262">
        <v>-0.18657609999999999</v>
      </c>
      <c r="AH4262">
        <v>0.50750169906769305</v>
      </c>
      <c r="AI4262">
        <v>109.759320196234</v>
      </c>
      <c r="AJ4262">
        <v>77.716700259918895</v>
      </c>
      <c r="AK4262">
        <v>0.55188630544527595</v>
      </c>
      <c r="AL4262">
        <v>78.561166105060195</v>
      </c>
      <c r="AM4262">
        <v>88.310729932369298</v>
      </c>
      <c r="AN4262">
        <v>0.99999998756600395</v>
      </c>
    </row>
    <row r="4263" spans="1:40" x14ac:dyDescent="0.25">
      <c r="A4263" t="str">
        <f>"20190303171103347"</f>
        <v>20190303171103347</v>
      </c>
      <c r="B4263" t="str">
        <f>"1551604263334862"</f>
        <v>1551604263334862</v>
      </c>
      <c r="C4263" t="s">
        <v>40</v>
      </c>
      <c r="D4263">
        <v>4.9991320000000004</v>
      </c>
      <c r="E4263">
        <v>0.55347409999999997</v>
      </c>
      <c r="F4263" t="s">
        <v>43</v>
      </c>
      <c r="G4263">
        <v>-422.8614</v>
      </c>
      <c r="H4263">
        <v>0.9389729</v>
      </c>
      <c r="I4263">
        <v>68.989879999999999</v>
      </c>
      <c r="J4263">
        <v>-422.73149999999998</v>
      </c>
      <c r="K4263">
        <v>1.121335</v>
      </c>
      <c r="L4263">
        <v>69.519350000000003</v>
      </c>
      <c r="M4263">
        <v>-1.7792789999999999E-2</v>
      </c>
      <c r="N4263">
        <v>-1.365824E-2</v>
      </c>
      <c r="O4263">
        <v>-0.99974850000000004</v>
      </c>
      <c r="P4263">
        <v>-4.4972600000000001E-2</v>
      </c>
      <c r="Q4263">
        <v>0.18488779999999999</v>
      </c>
      <c r="R4263">
        <v>-0.98173029999999994</v>
      </c>
      <c r="S4263">
        <v>-0.51049800000000001</v>
      </c>
      <c r="T4263">
        <v>-0.68758940000000002</v>
      </c>
      <c r="U4263">
        <v>-3.1614070000000001</v>
      </c>
      <c r="V4263">
        <v>2.7461889999999999E-2</v>
      </c>
      <c r="W4263">
        <v>0.19829279999999999</v>
      </c>
      <c r="X4263">
        <v>0.97975800000000002</v>
      </c>
      <c r="Y4263">
        <v>0.13848750000000001</v>
      </c>
      <c r="Z4263">
        <v>0.19680600000000001</v>
      </c>
      <c r="AA4263">
        <v>0.97061249999999999</v>
      </c>
      <c r="AB4263">
        <v>31</v>
      </c>
      <c r="AC4263">
        <v>-0.12990000000002</v>
      </c>
      <c r="AD4263">
        <v>-0.1823621</v>
      </c>
      <c r="AE4263">
        <v>-0.52947000000000299</v>
      </c>
      <c r="AF4263">
        <v>0.108335809750592</v>
      </c>
      <c r="AG4263">
        <v>-0.1823621</v>
      </c>
      <c r="AH4263">
        <v>0.47819148530115502</v>
      </c>
      <c r="AI4263">
        <v>110.401796810877</v>
      </c>
      <c r="AJ4263">
        <v>77.234941220664595</v>
      </c>
      <c r="AK4263">
        <v>0.52312491797395</v>
      </c>
      <c r="AL4263">
        <v>78.5628552344686</v>
      </c>
      <c r="AM4263">
        <v>88.394462169486701</v>
      </c>
      <c r="AN4263">
        <v>0.99999996424910498</v>
      </c>
    </row>
    <row r="4264" spans="1:40" x14ac:dyDescent="0.25">
      <c r="A4264" t="str">
        <f>"20190303171103369"</f>
        <v>20190303171103369</v>
      </c>
      <c r="B4264" t="str">
        <f>"1551604263355358"</f>
        <v>1551604263355358</v>
      </c>
      <c r="C4264" t="s">
        <v>40</v>
      </c>
      <c r="D4264">
        <v>4.9703749999999998</v>
      </c>
      <c r="E4264">
        <v>0.5537725</v>
      </c>
      <c r="F4264" t="s">
        <v>43</v>
      </c>
      <c r="G4264">
        <v>-422.86169999999998</v>
      </c>
      <c r="H4264">
        <v>0.94524969999999997</v>
      </c>
      <c r="I4264">
        <v>68.709590000000006</v>
      </c>
      <c r="J4264">
        <v>-422.73700000000002</v>
      </c>
      <c r="K4264">
        <v>1.1213820000000001</v>
      </c>
      <c r="L4264">
        <v>69.200130000000001</v>
      </c>
      <c r="M4264">
        <v>-1.7602699999999999E-2</v>
      </c>
      <c r="N4264">
        <v>-1.3656649999999999E-2</v>
      </c>
      <c r="O4264">
        <v>-0.99975190000000003</v>
      </c>
      <c r="P4264">
        <v>-4.371879E-2</v>
      </c>
      <c r="Q4264">
        <v>0.18569079999999999</v>
      </c>
      <c r="R4264">
        <v>-0.98163560000000005</v>
      </c>
      <c r="S4264">
        <v>-0.50741579999999997</v>
      </c>
      <c r="T4264">
        <v>-0.6876333</v>
      </c>
      <c r="U4264">
        <v>-3.1620789999999999</v>
      </c>
      <c r="V4264">
        <v>2.6376400000000001E-2</v>
      </c>
      <c r="W4264">
        <v>0.1990952</v>
      </c>
      <c r="X4264">
        <v>0.97962519999999997</v>
      </c>
      <c r="Y4264">
        <v>0.13772219999999999</v>
      </c>
      <c r="Z4264">
        <v>0.1968056</v>
      </c>
      <c r="AA4264">
        <v>0.97072150000000001</v>
      </c>
      <c r="AB4264">
        <v>31</v>
      </c>
      <c r="AC4264">
        <v>-0.124700000000018</v>
      </c>
      <c r="AD4264">
        <v>-0.17613229999999899</v>
      </c>
      <c r="AE4264">
        <v>-0.49053999999999498</v>
      </c>
      <c r="AF4264">
        <v>0.103510257587104</v>
      </c>
      <c r="AG4264">
        <v>-0.17613229999999899</v>
      </c>
      <c r="AH4264">
        <v>0.43944389175705001</v>
      </c>
      <c r="AI4264">
        <v>111.312275492197</v>
      </c>
      <c r="AJ4264">
        <v>76.745681783615296</v>
      </c>
      <c r="AK4264">
        <v>0.48461107553544502</v>
      </c>
      <c r="AL4264">
        <v>78.515947061289296</v>
      </c>
      <c r="AM4264">
        <v>88.457684265562804</v>
      </c>
      <c r="AN4264">
        <v>1.00000007280751</v>
      </c>
    </row>
    <row r="4265" spans="1:40" x14ac:dyDescent="0.25">
      <c r="A4265" t="str">
        <f>"20190303171103403"</f>
        <v>20190303171103403</v>
      </c>
      <c r="B4265" t="str">
        <f>"1551604263395374"</f>
        <v>1551604263395374</v>
      </c>
      <c r="C4265" t="s">
        <v>40</v>
      </c>
      <c r="D4265">
        <v>4.8964100000000004</v>
      </c>
      <c r="E4265">
        <v>0.55441280000000004</v>
      </c>
      <c r="F4265" t="s">
        <v>43</v>
      </c>
      <c r="G4265">
        <v>-422.86070000000001</v>
      </c>
      <c r="H4265">
        <v>0.95449569999999995</v>
      </c>
      <c r="I4265">
        <v>68.428119999999893</v>
      </c>
      <c r="J4265">
        <v>-422.74459999999999</v>
      </c>
      <c r="K4265">
        <v>1.1214630000000001</v>
      </c>
      <c r="L4265">
        <v>68.746030000000005</v>
      </c>
      <c r="M4265">
        <v>-1.7211210000000001E-2</v>
      </c>
      <c r="N4265">
        <v>-1.365452E-2</v>
      </c>
      <c r="O4265">
        <v>-0.9997587</v>
      </c>
      <c r="P4265">
        <v>-4.198503E-2</v>
      </c>
      <c r="Q4265">
        <v>0.18660840000000001</v>
      </c>
      <c r="R4265">
        <v>-0.9815372</v>
      </c>
      <c r="S4265">
        <v>-0.50531009999999998</v>
      </c>
      <c r="T4265">
        <v>-0.68379140000000005</v>
      </c>
      <c r="U4265">
        <v>-3.1629640000000001</v>
      </c>
      <c r="V4265">
        <v>2.4993419999999999E-2</v>
      </c>
      <c r="W4265">
        <v>0.20001240000000001</v>
      </c>
      <c r="X4265">
        <v>0.97947450000000003</v>
      </c>
      <c r="Y4265">
        <v>0.1374756</v>
      </c>
      <c r="Z4265">
        <v>0.1956425</v>
      </c>
      <c r="AA4265">
        <v>0.97099150000000001</v>
      </c>
      <c r="AB4265">
        <v>31</v>
      </c>
      <c r="AC4265">
        <v>-0.116100000000017</v>
      </c>
      <c r="AD4265">
        <v>-0.16696729999999901</v>
      </c>
      <c r="AE4265">
        <v>-0.31791000000001102</v>
      </c>
      <c r="AF4265">
        <v>8.8959745153475295E-2</v>
      </c>
      <c r="AG4265">
        <v>-0.16696729999999901</v>
      </c>
      <c r="AH4265">
        <v>0.257251669086072</v>
      </c>
      <c r="AI4265">
        <v>121.52502561545001</v>
      </c>
      <c r="AJ4265">
        <v>70.924193198435205</v>
      </c>
      <c r="AK4265">
        <v>0.31932794549589799</v>
      </c>
      <c r="AL4265">
        <v>78.462315423342204</v>
      </c>
      <c r="AM4265">
        <v>88.538290894782193</v>
      </c>
      <c r="AN4265">
        <v>0.99999996367365196</v>
      </c>
    </row>
    <row r="4266" spans="1:40" x14ac:dyDescent="0.25">
      <c r="A4266" t="str">
        <f>"20190303171103425"</f>
        <v>20190303171103425</v>
      </c>
      <c r="B4266" t="str">
        <f>"1551604263414894"</f>
        <v>1551604263414894</v>
      </c>
      <c r="C4266" t="s">
        <v>40</v>
      </c>
      <c r="D4266">
        <v>4.8767649999999998</v>
      </c>
      <c r="E4266">
        <v>0.55485569999999995</v>
      </c>
      <c r="F4266" t="s">
        <v>43</v>
      </c>
      <c r="G4266">
        <v>-422.88249999999999</v>
      </c>
      <c r="H4266">
        <v>0.93613489999999999</v>
      </c>
      <c r="I4266">
        <v>67.883169999999893</v>
      </c>
      <c r="J4266">
        <v>-422.74950000000001</v>
      </c>
      <c r="K4266">
        <v>1.121516</v>
      </c>
      <c r="L4266">
        <v>68.438839999999999</v>
      </c>
      <c r="M4266">
        <v>-1.6862740000000001E-2</v>
      </c>
      <c r="N4266">
        <v>-1.3653169999999999E-2</v>
      </c>
      <c r="O4266">
        <v>-0.99976469999999995</v>
      </c>
      <c r="P4266">
        <v>-4.0175130000000003E-2</v>
      </c>
      <c r="Q4266">
        <v>0.18605540000000001</v>
      </c>
      <c r="R4266">
        <v>-0.98171750000000002</v>
      </c>
      <c r="S4266">
        <v>-0.50500489999999998</v>
      </c>
      <c r="T4266">
        <v>-0.67961139999999998</v>
      </c>
      <c r="U4266">
        <v>-3.1640320000000002</v>
      </c>
      <c r="V4266">
        <v>2.3497190000000001E-2</v>
      </c>
      <c r="W4266">
        <v>0.1994629</v>
      </c>
      <c r="X4266">
        <v>0.97962360000000004</v>
      </c>
      <c r="Y4266">
        <v>0.1377197</v>
      </c>
      <c r="Z4266">
        <v>0.19435150000000001</v>
      </c>
      <c r="AA4266">
        <v>0.97121610000000003</v>
      </c>
      <c r="AB4266">
        <v>31</v>
      </c>
      <c r="AC4266">
        <v>-0.13299999999998099</v>
      </c>
      <c r="AD4266">
        <v>-0.18538109999999999</v>
      </c>
      <c r="AE4266">
        <v>-0.55567000000000599</v>
      </c>
      <c r="AF4266">
        <v>0.111837042358678</v>
      </c>
      <c r="AG4266">
        <v>-0.18538109999999999</v>
      </c>
      <c r="AH4266">
        <v>0.50470390047993396</v>
      </c>
      <c r="AI4266">
        <v>109.728239335472</v>
      </c>
      <c r="AJ4266">
        <v>77.505747847222395</v>
      </c>
      <c r="AK4266">
        <v>0.54918093870818696</v>
      </c>
      <c r="AL4266">
        <v>78.494447138732497</v>
      </c>
      <c r="AM4266">
        <v>88.625970503675305</v>
      </c>
      <c r="AN4266">
        <v>0.99999998204563201</v>
      </c>
    </row>
    <row r="4267" spans="1:40" x14ac:dyDescent="0.25">
      <c r="A4267" t="str">
        <f>"20190303171103448"</f>
        <v>20190303171103448</v>
      </c>
      <c r="B4267" t="str">
        <f>"1551604263435390"</f>
        <v>1551604263435390</v>
      </c>
      <c r="C4267" t="s">
        <v>40</v>
      </c>
      <c r="D4267">
        <v>4.8347160000000002</v>
      </c>
      <c r="E4267">
        <v>0.55504519999999902</v>
      </c>
      <c r="F4267" t="s">
        <v>43</v>
      </c>
      <c r="G4267">
        <v>-422.88279999999997</v>
      </c>
      <c r="H4267">
        <v>0.94214010000000004</v>
      </c>
      <c r="I4267">
        <v>67.603999999999999</v>
      </c>
      <c r="J4267">
        <v>-422.7543</v>
      </c>
      <c r="K4267">
        <v>1.1215790000000001</v>
      </c>
      <c r="L4267">
        <v>68.127930000000006</v>
      </c>
      <c r="M4267">
        <v>-1.6445680000000001E-2</v>
      </c>
      <c r="N4267">
        <v>-1.3651740000000001E-2</v>
      </c>
      <c r="O4267">
        <v>-0.99977169999999904</v>
      </c>
      <c r="P4267">
        <v>-3.9309160000000003E-2</v>
      </c>
      <c r="Q4267">
        <v>0.18640380000000001</v>
      </c>
      <c r="R4267">
        <v>-0.98168670000000002</v>
      </c>
      <c r="S4267">
        <v>-0.50347900000000001</v>
      </c>
      <c r="T4267">
        <v>-0.67991539999999995</v>
      </c>
      <c r="U4267">
        <v>-3.1641240000000002</v>
      </c>
      <c r="V4267">
        <v>2.3015689999999998E-2</v>
      </c>
      <c r="W4267">
        <v>0.1998115</v>
      </c>
      <c r="X4267">
        <v>0.97956399999999999</v>
      </c>
      <c r="Y4267">
        <v>0.1376686</v>
      </c>
      <c r="Z4267">
        <v>0.19444620000000001</v>
      </c>
      <c r="AA4267">
        <v>0.97120439999999997</v>
      </c>
      <c r="AB4267">
        <v>31</v>
      </c>
      <c r="AC4267">
        <v>-0.128499999999974</v>
      </c>
      <c r="AD4267">
        <v>-0.17943890000000001</v>
      </c>
      <c r="AE4267">
        <v>-0.523930000000007</v>
      </c>
      <c r="AF4267">
        <v>0.107924504598819</v>
      </c>
      <c r="AG4267">
        <v>-0.17943890000000001</v>
      </c>
      <c r="AH4267">
        <v>0.47357550263502202</v>
      </c>
      <c r="AI4267">
        <v>110.275773212055</v>
      </c>
      <c r="AJ4267">
        <v>77.161949293565002</v>
      </c>
      <c r="AK4267">
        <v>0.51780283334694499</v>
      </c>
      <c r="AL4267">
        <v>78.474063641991606</v>
      </c>
      <c r="AM4267">
        <v>88.654034535168506</v>
      </c>
      <c r="AN4267">
        <v>0.99999999380721305</v>
      </c>
    </row>
    <row r="4268" spans="1:40" x14ac:dyDescent="0.25">
      <c r="A4268" t="str">
        <f>"20190303171103471"</f>
        <v>20190303171103471</v>
      </c>
      <c r="B4268" t="str">
        <f>"1551604263465646"</f>
        <v>1551604263465646</v>
      </c>
      <c r="C4268" t="s">
        <v>40</v>
      </c>
      <c r="D4268">
        <v>5.0489750000000004</v>
      </c>
      <c r="E4268">
        <v>0.55820800000000004</v>
      </c>
      <c r="F4268" t="s">
        <v>43</v>
      </c>
      <c r="G4268">
        <v>-422.88209999999998</v>
      </c>
      <c r="H4268">
        <v>0.94934490000000005</v>
      </c>
      <c r="I4268">
        <v>67.324479999999994</v>
      </c>
      <c r="J4268">
        <v>-422.75909999999999</v>
      </c>
      <c r="K4268">
        <v>1.1216440000000001</v>
      </c>
      <c r="L4268">
        <v>67.805539999999993</v>
      </c>
      <c r="M4268">
        <v>-1.5932689999999999E-2</v>
      </c>
      <c r="N4268">
        <v>-1.3650239999999999E-2</v>
      </c>
      <c r="O4268">
        <v>-0.99977990000000005</v>
      </c>
      <c r="P4268">
        <v>-3.8494569999999999E-2</v>
      </c>
      <c r="Q4268">
        <v>0.18783140000000001</v>
      </c>
      <c r="R4268">
        <v>-0.98144670000000001</v>
      </c>
      <c r="S4268">
        <v>-0.50280760000000002</v>
      </c>
      <c r="T4268">
        <v>-0.67843169999999897</v>
      </c>
      <c r="U4268">
        <v>-3.1646730000000001</v>
      </c>
      <c r="V4268">
        <v>2.267974E-2</v>
      </c>
      <c r="W4268">
        <v>0.2012372</v>
      </c>
      <c r="X4268">
        <v>0.97927989999999998</v>
      </c>
      <c r="Y4268">
        <v>0.137964</v>
      </c>
      <c r="Z4268">
        <v>0.1939795</v>
      </c>
      <c r="AA4268">
        <v>0.9712558</v>
      </c>
      <c r="AB4268">
        <v>31</v>
      </c>
      <c r="AC4268">
        <v>-0.12299999999999001</v>
      </c>
      <c r="AD4268">
        <v>-0.17229910000000001</v>
      </c>
      <c r="AE4268">
        <v>-0.48105999999999899</v>
      </c>
      <c r="AF4268">
        <v>0.102925732588259</v>
      </c>
      <c r="AG4268">
        <v>-0.17229910000000001</v>
      </c>
      <c r="AH4268">
        <v>0.431055180665669</v>
      </c>
      <c r="AI4268">
        <v>111.245346060974</v>
      </c>
      <c r="AJ4268">
        <v>76.570582987998904</v>
      </c>
      <c r="AK4268">
        <v>0.47548843841712202</v>
      </c>
      <c r="AL4268">
        <v>78.390682989406699</v>
      </c>
      <c r="AM4268">
        <v>88.673289292466507</v>
      </c>
      <c r="AN4268">
        <v>0.99999995190715696</v>
      </c>
    </row>
    <row r="4269" spans="1:40" x14ac:dyDescent="0.25">
      <c r="A4269" t="str">
        <f>"20190303171103493"</f>
        <v>20190303171103493</v>
      </c>
      <c r="B4269" t="str">
        <f>"1551604263485166"</f>
        <v>1551604263485166</v>
      </c>
      <c r="C4269" t="s">
        <v>40</v>
      </c>
      <c r="D4269">
        <v>4.8173690000000002</v>
      </c>
      <c r="E4269">
        <v>0.52920719999999899</v>
      </c>
      <c r="F4269" t="s">
        <v>43</v>
      </c>
      <c r="G4269">
        <v>-422.8861</v>
      </c>
      <c r="H4269">
        <v>0.96096970000000004</v>
      </c>
      <c r="I4269">
        <v>67.042969999999997</v>
      </c>
      <c r="J4269">
        <v>-422.76350000000002</v>
      </c>
      <c r="K4269">
        <v>1.1217060000000001</v>
      </c>
      <c r="L4269">
        <v>67.492679999999993</v>
      </c>
      <c r="M4269">
        <v>-1.534961E-2</v>
      </c>
      <c r="N4269">
        <v>-1.3648850000000001E-2</v>
      </c>
      <c r="O4269">
        <v>-0.99978909999999999</v>
      </c>
      <c r="P4269">
        <v>-3.7789709999999997E-2</v>
      </c>
      <c r="Q4269">
        <v>0.18880930000000001</v>
      </c>
      <c r="R4269">
        <v>-0.98128649999999995</v>
      </c>
      <c r="S4269">
        <v>-0.5256653</v>
      </c>
      <c r="T4269">
        <v>-0.66667519999999902</v>
      </c>
      <c r="U4269">
        <v>-3.1636959999999998</v>
      </c>
      <c r="V4269">
        <v>2.2518380000000001E-2</v>
      </c>
      <c r="W4269">
        <v>0.20221430000000001</v>
      </c>
      <c r="X4269">
        <v>0.97908240000000002</v>
      </c>
      <c r="Y4269">
        <v>0.14552850000000001</v>
      </c>
      <c r="Z4269">
        <v>0.19036939999999999</v>
      </c>
      <c r="AA4269">
        <v>0.97086609999999995</v>
      </c>
      <c r="AB4269">
        <v>31</v>
      </c>
      <c r="AC4269">
        <v>-0.12259999999997701</v>
      </c>
      <c r="AD4269">
        <v>-0.160736299999999</v>
      </c>
      <c r="AE4269">
        <v>-0.44971000000000999</v>
      </c>
      <c r="AF4269">
        <v>0.103387897051295</v>
      </c>
      <c r="AG4269">
        <v>-0.160736299999999</v>
      </c>
      <c r="AH4269">
        <v>0.40355160820084701</v>
      </c>
      <c r="AI4269">
        <v>111.098752005173</v>
      </c>
      <c r="AJ4269">
        <v>75.630179408615504</v>
      </c>
      <c r="AK4269">
        <v>0.44651888635965797</v>
      </c>
      <c r="AL4269">
        <v>78.333525054602305</v>
      </c>
      <c r="AM4269">
        <v>88.682459503554199</v>
      </c>
      <c r="AN4269">
        <v>1.00000002327603</v>
      </c>
    </row>
    <row r="4270" spans="1:40" x14ac:dyDescent="0.25">
      <c r="A4270" t="str">
        <f>"20190303171103516"</f>
        <v>20190303171103516</v>
      </c>
      <c r="B4270" t="str">
        <f>"1551604263504686"</f>
        <v>1551604263504686</v>
      </c>
      <c r="C4270" t="s">
        <v>40</v>
      </c>
      <c r="D4270">
        <v>4.7682250000000002</v>
      </c>
      <c r="E4270">
        <v>0.48074470000000002</v>
      </c>
      <c r="F4270" t="s">
        <v>43</v>
      </c>
      <c r="G4270">
        <v>-422.83260000000001</v>
      </c>
      <c r="H4270">
        <v>0.98305330000000002</v>
      </c>
      <c r="I4270">
        <v>66.756240000000005</v>
      </c>
      <c r="J4270">
        <v>-422.76749999999998</v>
      </c>
      <c r="K4270">
        <v>1.1217790000000001</v>
      </c>
      <c r="L4270">
        <v>67.188509999999994</v>
      </c>
      <c r="M4270">
        <v>-1.469617E-2</v>
      </c>
      <c r="N4270">
        <v>-1.36477E-2</v>
      </c>
      <c r="O4270">
        <v>-0.99979910000000005</v>
      </c>
      <c r="P4270">
        <v>-3.6683670000000002E-2</v>
      </c>
      <c r="Q4270">
        <v>0.1889275</v>
      </c>
      <c r="R4270">
        <v>-0.98130620000000002</v>
      </c>
      <c r="S4270">
        <v>-0.29537960000000002</v>
      </c>
      <c r="T4270">
        <v>-0.59508709999999998</v>
      </c>
      <c r="U4270">
        <v>-3.160339</v>
      </c>
      <c r="V4270">
        <v>2.201966E-2</v>
      </c>
      <c r="W4270">
        <v>0.20233429999999999</v>
      </c>
      <c r="X4270">
        <v>0.97906890000000002</v>
      </c>
      <c r="Y4270">
        <v>7.6939309999999997E-2</v>
      </c>
      <c r="Z4270">
        <v>0.1709348</v>
      </c>
      <c r="AA4270">
        <v>0.98227370000000003</v>
      </c>
      <c r="AB4270">
        <v>31</v>
      </c>
      <c r="AC4270">
        <v>-6.5100000000029398E-2</v>
      </c>
      <c r="AD4270">
        <v>-0.13872569999999901</v>
      </c>
      <c r="AE4270">
        <v>-0.432269999999988</v>
      </c>
      <c r="AF4270">
        <v>5.3365350294694698E-2</v>
      </c>
      <c r="AG4270">
        <v>-0.13872569999999901</v>
      </c>
      <c r="AH4270">
        <v>0.39354682869615099</v>
      </c>
      <c r="AI4270">
        <v>109.254528591812</v>
      </c>
      <c r="AJ4270">
        <v>82.277735537032498</v>
      </c>
      <c r="AK4270">
        <v>0.420680147890726</v>
      </c>
      <c r="AL4270">
        <v>78.326503838270199</v>
      </c>
      <c r="AM4270">
        <v>88.711611685707695</v>
      </c>
      <c r="AN4270">
        <v>0.99999997266510698</v>
      </c>
    </row>
    <row r="4271" spans="1:40" x14ac:dyDescent="0.25">
      <c r="A4271" t="str">
        <f>"20190303171103537"</f>
        <v>20190303171103537</v>
      </c>
      <c r="B4271" t="str">
        <f>"1551604263525210"</f>
        <v>1551604263525210</v>
      </c>
      <c r="C4271" t="s">
        <v>40</v>
      </c>
      <c r="D4271">
        <v>4.7742380000000004</v>
      </c>
      <c r="E4271">
        <v>0.4701668</v>
      </c>
      <c r="F4271" t="s">
        <v>42</v>
      </c>
      <c r="G4271">
        <v>-422.37869999999998</v>
      </c>
      <c r="H4271" s="1">
        <v>-1.6402E-6</v>
      </c>
      <c r="I4271">
        <v>51.937109999999997</v>
      </c>
      <c r="J4271">
        <v>-422.77109999999999</v>
      </c>
      <c r="K4271">
        <v>1.1218459999999999</v>
      </c>
      <c r="L4271">
        <v>66.893129999999999</v>
      </c>
      <c r="M4271">
        <v>-1.397228E-2</v>
      </c>
      <c r="N4271">
        <v>-1.3646719999999999E-2</v>
      </c>
      <c r="O4271">
        <v>-0.99980939999999996</v>
      </c>
      <c r="P4271">
        <v>-3.5561269999999999E-2</v>
      </c>
      <c r="Q4271">
        <v>0.1874267</v>
      </c>
      <c r="R4271">
        <v>-0.98163460000000002</v>
      </c>
      <c r="S4271">
        <v>7.9132079999999994E-2</v>
      </c>
      <c r="T4271">
        <v>-0.22831209999999999</v>
      </c>
      <c r="U4271">
        <v>-3.1040649999999999</v>
      </c>
      <c r="V4271">
        <v>2.156986E-2</v>
      </c>
      <c r="W4271">
        <v>0.2008402</v>
      </c>
      <c r="X4271">
        <v>0.97938650000000005</v>
      </c>
      <c r="Y4271">
        <v>-3.9382430000000003E-2</v>
      </c>
      <c r="Z4271">
        <v>5.9684220000000003E-2</v>
      </c>
      <c r="AA4271">
        <v>0.9974402</v>
      </c>
      <c r="AB4271">
        <v>31</v>
      </c>
      <c r="AC4271">
        <v>0.39240000000000902</v>
      </c>
      <c r="AD4271">
        <v>-1.1218476401999999</v>
      </c>
      <c r="AE4271">
        <v>-14.956020000000001</v>
      </c>
      <c r="AF4271">
        <v>-0.59798856984628301</v>
      </c>
      <c r="AG4271">
        <v>-1.1218476401999999</v>
      </c>
      <c r="AH4271">
        <v>14.865493876670399</v>
      </c>
      <c r="AI4271">
        <v>94.312260194117499</v>
      </c>
      <c r="AJ4271">
        <v>92.303573539593899</v>
      </c>
      <c r="AK4271">
        <v>14.919753371112201</v>
      </c>
      <c r="AL4271">
        <v>78.413903838342307</v>
      </c>
      <c r="AM4271">
        <v>88.738330390932703</v>
      </c>
      <c r="AN4271">
        <v>0.99999998058935402</v>
      </c>
    </row>
    <row r="4272" spans="1:40" x14ac:dyDescent="0.25">
      <c r="A4272" t="str">
        <f>"20190303171103559"</f>
        <v>20190303171103559</v>
      </c>
      <c r="B4272" t="str">
        <f>"1551604263544730"</f>
        <v>1551604263544730</v>
      </c>
      <c r="C4272" t="s">
        <v>40</v>
      </c>
      <c r="D4272">
        <v>4.7404890000000002</v>
      </c>
      <c r="E4272">
        <v>0.46428459999999999</v>
      </c>
      <c r="F4272" t="s">
        <v>42</v>
      </c>
      <c r="G4272">
        <v>-421.67180000000002</v>
      </c>
      <c r="H4272" s="1">
        <v>-3.2576960000000001E-6</v>
      </c>
      <c r="I4272">
        <v>46.146000000000001</v>
      </c>
      <c r="J4272">
        <v>-422.77449999999999</v>
      </c>
      <c r="K4272">
        <v>1.12192</v>
      </c>
      <c r="L4272">
        <v>66.586119999999994</v>
      </c>
      <c r="M4272">
        <v>-1.312205E-2</v>
      </c>
      <c r="N4272">
        <v>-1.3645880000000001E-2</v>
      </c>
      <c r="O4272">
        <v>-0.99982079999999995</v>
      </c>
      <c r="P4272">
        <v>-3.4513149999999999E-2</v>
      </c>
      <c r="Q4272">
        <v>0.18634899999999999</v>
      </c>
      <c r="R4272">
        <v>-0.98187740000000001</v>
      </c>
      <c r="S4272">
        <v>0.16394039999999999</v>
      </c>
      <c r="T4272">
        <v>-0.16730010000000001</v>
      </c>
      <c r="U4272">
        <v>-3.0939939999999999</v>
      </c>
      <c r="V4272">
        <v>2.131769E-2</v>
      </c>
      <c r="W4272">
        <v>0.19976849999999999</v>
      </c>
      <c r="X4272">
        <v>0.97961120000000002</v>
      </c>
      <c r="Y4272">
        <v>-6.5939449999999997E-2</v>
      </c>
      <c r="Z4272">
        <v>4.0254489999999997E-2</v>
      </c>
      <c r="AA4272">
        <v>0.99701130000000004</v>
      </c>
      <c r="AB4272">
        <v>31</v>
      </c>
      <c r="AC4272">
        <v>1.10269999999997</v>
      </c>
      <c r="AD4272">
        <v>-1.1219232576960001</v>
      </c>
      <c r="AE4272">
        <v>-20.44012</v>
      </c>
      <c r="AF4272">
        <v>-1.36674062662941</v>
      </c>
      <c r="AG4272">
        <v>-1.1219232576960001</v>
      </c>
      <c r="AH4272">
        <v>20.3627195519074</v>
      </c>
      <c r="AI4272">
        <v>93.146567288163197</v>
      </c>
      <c r="AJ4272">
        <v>93.839918898653593</v>
      </c>
      <c r="AK4272">
        <v>20.4393502657563</v>
      </c>
      <c r="AL4272">
        <v>78.476578130468596</v>
      </c>
      <c r="AM4272">
        <v>88.753361621942801</v>
      </c>
      <c r="AN4272">
        <v>1.00000000033231</v>
      </c>
    </row>
    <row r="4273" spans="1:40" x14ac:dyDescent="0.25">
      <c r="A4273" t="str">
        <f>"20190303171103582"</f>
        <v>20190303171103582</v>
      </c>
      <c r="B4273" t="str">
        <f>"1551604263574986"</f>
        <v>1551604263574986</v>
      </c>
      <c r="C4273" t="s">
        <v>40</v>
      </c>
      <c r="D4273">
        <v>4.7358099999999999</v>
      </c>
      <c r="E4273">
        <v>0.46018189999999998</v>
      </c>
      <c r="F4273" t="s">
        <v>42</v>
      </c>
      <c r="G4273">
        <v>-421.06720000000001</v>
      </c>
      <c r="H4273" s="1">
        <v>-1.2151710000000001E-6</v>
      </c>
      <c r="I4273">
        <v>41.759819999999998</v>
      </c>
      <c r="J4273">
        <v>-422.77760000000001</v>
      </c>
      <c r="K4273">
        <v>1.121988</v>
      </c>
      <c r="L4273">
        <v>66.268429999999995</v>
      </c>
      <c r="M4273">
        <v>-1.2157329999999999E-2</v>
      </c>
      <c r="N4273">
        <v>-1.3644939999999999E-2</v>
      </c>
      <c r="O4273">
        <v>-0.99983299999999997</v>
      </c>
      <c r="P4273">
        <v>-3.3763069999999999E-2</v>
      </c>
      <c r="Q4273">
        <v>0.18675220000000001</v>
      </c>
      <c r="R4273">
        <v>-0.98182700000000001</v>
      </c>
      <c r="S4273">
        <v>0.2124634</v>
      </c>
      <c r="T4273">
        <v>-0.1396105</v>
      </c>
      <c r="U4273">
        <v>-3.0893549999999999</v>
      </c>
      <c r="V4273">
        <v>2.1480269999999999E-2</v>
      </c>
      <c r="W4273">
        <v>0.20017399999999999</v>
      </c>
      <c r="X4273">
        <v>0.97952490000000003</v>
      </c>
      <c r="Y4273">
        <v>-8.0669309999999994E-2</v>
      </c>
      <c r="Z4273">
        <v>3.1372200000000003E-2</v>
      </c>
      <c r="AA4273">
        <v>0.99624710000000005</v>
      </c>
      <c r="AB4273">
        <v>31</v>
      </c>
      <c r="AC4273">
        <v>1.7103999999999899</v>
      </c>
      <c r="AD4273">
        <v>-1.121989215171</v>
      </c>
      <c r="AE4273">
        <v>-24.508610000000001</v>
      </c>
      <c r="AF4273">
        <v>-2.0040808708082598</v>
      </c>
      <c r="AG4273">
        <v>-1.121989215171</v>
      </c>
      <c r="AH4273">
        <v>24.435040968389998</v>
      </c>
      <c r="AI4273">
        <v>92.620230728621095</v>
      </c>
      <c r="AJ4273">
        <v>94.688715005188797</v>
      </c>
      <c r="AK4273">
        <v>24.542746933923201</v>
      </c>
      <c r="AL4273">
        <v>78.452866102305507</v>
      </c>
      <c r="AM4273">
        <v>88.743746496160796</v>
      </c>
      <c r="AN4273">
        <v>1.00000003099764</v>
      </c>
    </row>
    <row r="4274" spans="1:40" x14ac:dyDescent="0.25">
      <c r="A4274" t="str">
        <f>"20190303171103604"</f>
        <v>20190303171103604</v>
      </c>
      <c r="B4274" t="str">
        <f>"1551604263595482"</f>
        <v>1551604263595482</v>
      </c>
      <c r="C4274" t="s">
        <v>40</v>
      </c>
      <c r="D4274">
        <v>4.7673489999999896</v>
      </c>
      <c r="E4274">
        <v>0.45889980000000002</v>
      </c>
      <c r="F4274" t="s">
        <v>68</v>
      </c>
      <c r="G4274">
        <v>-420.35230000000001</v>
      </c>
      <c r="H4274" s="1">
        <v>-2.3852469999999999E-6</v>
      </c>
      <c r="I4274">
        <v>35.947679999999998</v>
      </c>
      <c r="J4274">
        <v>-422.78019999999998</v>
      </c>
      <c r="K4274">
        <v>1.122053</v>
      </c>
      <c r="L4274">
        <v>65.975070000000002</v>
      </c>
      <c r="M4274">
        <v>-1.1186049999999999E-2</v>
      </c>
      <c r="N4274">
        <v>-1.364405E-2</v>
      </c>
      <c r="O4274">
        <v>-0.99984459999999997</v>
      </c>
      <c r="P4274">
        <v>-3.2971599999999997E-2</v>
      </c>
      <c r="Q4274">
        <v>0.1867827</v>
      </c>
      <c r="R4274">
        <v>-0.9818481</v>
      </c>
      <c r="S4274">
        <v>0.2468262</v>
      </c>
      <c r="T4274">
        <v>-0.1141843</v>
      </c>
      <c r="U4274">
        <v>-3.0857239999999999</v>
      </c>
      <c r="V4274">
        <v>2.161242E-2</v>
      </c>
      <c r="W4274">
        <v>0.20020669999999999</v>
      </c>
      <c r="X4274">
        <v>0.97951529999999998</v>
      </c>
      <c r="Y4274">
        <v>-9.0828779999999998E-2</v>
      </c>
      <c r="Z4274">
        <v>2.3195830000000001E-2</v>
      </c>
      <c r="AA4274">
        <v>0.99559629999999999</v>
      </c>
      <c r="AB4274">
        <v>31</v>
      </c>
      <c r="AC4274">
        <v>2.4278999999999602</v>
      </c>
      <c r="AD4274">
        <v>-1.1220553852470001</v>
      </c>
      <c r="AE4274">
        <v>-30.02739</v>
      </c>
      <c r="AF4274">
        <v>-2.7598384749734399</v>
      </c>
      <c r="AG4274">
        <v>-1.1220553852470001</v>
      </c>
      <c r="AH4274">
        <v>29.956791446108401</v>
      </c>
      <c r="AI4274">
        <v>92.136019035459199</v>
      </c>
      <c r="AJ4274">
        <v>95.263647701913996</v>
      </c>
      <c r="AK4274">
        <v>30.104568929668201</v>
      </c>
      <c r="AL4274">
        <v>78.450953705129095</v>
      </c>
      <c r="AM4274">
        <v>88.736007942677404</v>
      </c>
      <c r="AN4274">
        <v>1.00000002117861</v>
      </c>
    </row>
    <row r="4275" spans="1:40" x14ac:dyDescent="0.25">
      <c r="A4275" t="str">
        <f>"20190303171103626"</f>
        <v>20190303171103626</v>
      </c>
      <c r="B4275" t="str">
        <f>"1551604263615003"</f>
        <v>1551604263615003</v>
      </c>
      <c r="C4275" t="s">
        <v>40</v>
      </c>
      <c r="D4275">
        <v>4.7215499999999997</v>
      </c>
      <c r="E4275">
        <v>0.45774359999999997</v>
      </c>
      <c r="F4275" t="s">
        <v>68</v>
      </c>
      <c r="G4275">
        <v>-420.0609</v>
      </c>
      <c r="H4275" s="1">
        <v>-3.7127640000000001E-6</v>
      </c>
      <c r="I4275">
        <v>33.57573</v>
      </c>
      <c r="J4275">
        <v>-422.7826</v>
      </c>
      <c r="K4275">
        <v>1.1221219999999901</v>
      </c>
      <c r="L4275">
        <v>65.664829999999995</v>
      </c>
      <c r="M4275">
        <v>-1.006633E-2</v>
      </c>
      <c r="N4275">
        <v>-1.3643260000000001E-2</v>
      </c>
      <c r="O4275">
        <v>-0.99985630000000003</v>
      </c>
      <c r="P4275">
        <v>-3.1522269999999998E-2</v>
      </c>
      <c r="Q4275">
        <v>0.1869556</v>
      </c>
      <c r="R4275">
        <v>-0.98186249999999997</v>
      </c>
      <c r="S4275">
        <v>0.25888060000000002</v>
      </c>
      <c r="T4275">
        <v>-0.10682170000000001</v>
      </c>
      <c r="U4275">
        <v>-3.084473</v>
      </c>
      <c r="V4275">
        <v>2.1229430000000001E-2</v>
      </c>
      <c r="W4275">
        <v>0.200381</v>
      </c>
      <c r="X4275">
        <v>0.97948800000000003</v>
      </c>
      <c r="Y4275">
        <v>-9.3615110000000001E-2</v>
      </c>
      <c r="Z4275">
        <v>2.0828099999999999E-2</v>
      </c>
      <c r="AA4275">
        <v>0.99539060000000001</v>
      </c>
      <c r="AB4275">
        <v>31</v>
      </c>
      <c r="AC4275">
        <v>2.72169999999999</v>
      </c>
      <c r="AD4275">
        <v>-1.1221257127640001</v>
      </c>
      <c r="AE4275">
        <v>-32.089100000000002</v>
      </c>
      <c r="AF4275">
        <v>-3.0409196134549998</v>
      </c>
      <c r="AG4275">
        <v>-1.1221257127640001</v>
      </c>
      <c r="AH4275">
        <v>32.0211967956538</v>
      </c>
      <c r="AI4275">
        <v>91.998025041340398</v>
      </c>
      <c r="AJ4275">
        <v>95.424872352323803</v>
      </c>
      <c r="AK4275">
        <v>32.184831869014502</v>
      </c>
      <c r="AL4275">
        <v>78.440760105620797</v>
      </c>
      <c r="AM4275">
        <v>88.758365260383599</v>
      </c>
      <c r="AN4275">
        <v>0.99999998800156198</v>
      </c>
    </row>
    <row r="4276" spans="1:40" x14ac:dyDescent="0.25">
      <c r="A4276" t="str">
        <f>"20190303171103649"</f>
        <v>20190303171103649</v>
      </c>
      <c r="B4276" t="str">
        <f>"1551604263635498"</f>
        <v>1551604263635498</v>
      </c>
      <c r="C4276" t="s">
        <v>40</v>
      </c>
      <c r="D4276">
        <v>4.7130879999999999</v>
      </c>
      <c r="E4276">
        <v>0.45702910000000002</v>
      </c>
      <c r="F4276" t="s">
        <v>68</v>
      </c>
      <c r="G4276">
        <v>-419.72579999999999</v>
      </c>
      <c r="H4276" s="1">
        <v>-5.1017190000000001E-6</v>
      </c>
      <c r="I4276">
        <v>30.939</v>
      </c>
      <c r="J4276">
        <v>-422.78440000000001</v>
      </c>
      <c r="K4276">
        <v>1.1221989999999999</v>
      </c>
      <c r="L4276">
        <v>65.358580000000003</v>
      </c>
      <c r="M4276">
        <v>-8.8636819999999995E-3</v>
      </c>
      <c r="N4276">
        <v>-1.3642720000000001E-2</v>
      </c>
      <c r="O4276">
        <v>-0.99986759999999997</v>
      </c>
      <c r="P4276">
        <v>-3.000017E-2</v>
      </c>
      <c r="Q4276">
        <v>0.1866188</v>
      </c>
      <c r="R4276">
        <v>-0.98197409999999996</v>
      </c>
      <c r="S4276">
        <v>0.27139279999999999</v>
      </c>
      <c r="T4276">
        <v>-9.9627019999999997E-2</v>
      </c>
      <c r="U4276">
        <v>-3.0830989999999998</v>
      </c>
      <c r="V4276">
        <v>2.0852200000000001E-2</v>
      </c>
      <c r="W4276">
        <v>0.2000479</v>
      </c>
      <c r="X4276">
        <v>0.9795642</v>
      </c>
      <c r="Y4276">
        <v>-9.6468670000000006E-2</v>
      </c>
      <c r="Z4276">
        <v>1.85138E-2</v>
      </c>
      <c r="AA4276">
        <v>0.99516380000000004</v>
      </c>
      <c r="AB4276">
        <v>31</v>
      </c>
      <c r="AC4276">
        <v>3.05860000000001</v>
      </c>
      <c r="AD4276">
        <v>-1.1222041017190001</v>
      </c>
      <c r="AE4276">
        <v>-34.419579999999897</v>
      </c>
      <c r="AF4276">
        <v>-3.36004870478736</v>
      </c>
      <c r="AG4276">
        <v>-1.1222041017190001</v>
      </c>
      <c r="AH4276">
        <v>34.354881587940604</v>
      </c>
      <c r="AI4276">
        <v>91.8620263191075</v>
      </c>
      <c r="AJ4276">
        <v>95.585996854406105</v>
      </c>
      <c r="AK4276">
        <v>34.537040380812499</v>
      </c>
      <c r="AL4276">
        <v>78.460239883446107</v>
      </c>
      <c r="AM4276">
        <v>88.780516235332797</v>
      </c>
      <c r="AN4276">
        <v>0.99999999923044403</v>
      </c>
    </row>
    <row r="4277" spans="1:40" x14ac:dyDescent="0.25">
      <c r="A4277" t="str">
        <f>"20190303171103672"</f>
        <v>20190303171103672</v>
      </c>
      <c r="B4277" t="str">
        <f>"1551604263664778"</f>
        <v>1551604263664778</v>
      </c>
      <c r="C4277" t="s">
        <v>40</v>
      </c>
      <c r="D4277">
        <v>4.7165800000000004</v>
      </c>
      <c r="E4277">
        <v>0.45642179999999999</v>
      </c>
      <c r="F4277" t="s">
        <v>68</v>
      </c>
      <c r="G4277">
        <v>-419.49790000000002</v>
      </c>
      <c r="H4277" s="1">
        <v>-7.4195930000000001E-6</v>
      </c>
      <c r="I4277">
        <v>29.360589999999998</v>
      </c>
      <c r="J4277">
        <v>-422.78590000000003</v>
      </c>
      <c r="K4277">
        <v>1.122288</v>
      </c>
      <c r="L4277">
        <v>65.040369999999996</v>
      </c>
      <c r="M4277">
        <v>-7.5079980000000001E-3</v>
      </c>
      <c r="N4277">
        <v>-1.3642430000000001E-2</v>
      </c>
      <c r="O4277">
        <v>-0.99987879999999996</v>
      </c>
      <c r="P4277">
        <v>-2.790074E-2</v>
      </c>
      <c r="Q4277">
        <v>0.18623580000000001</v>
      </c>
      <c r="R4277">
        <v>-0.98210920000000002</v>
      </c>
      <c r="S4277">
        <v>0.28137210000000001</v>
      </c>
      <c r="T4277">
        <v>-9.6075889999999997E-2</v>
      </c>
      <c r="U4277">
        <v>-3.081909</v>
      </c>
      <c r="V4277">
        <v>2.0042460000000002E-2</v>
      </c>
      <c r="W4277">
        <v>0.1996685</v>
      </c>
      <c r="X4277">
        <v>0.97965849999999999</v>
      </c>
      <c r="Y4277">
        <v>-9.8351250000000001E-2</v>
      </c>
      <c r="Z4277">
        <v>1.7374339999999999E-2</v>
      </c>
      <c r="AA4277">
        <v>0.99500010000000005</v>
      </c>
      <c r="AB4277">
        <v>31</v>
      </c>
      <c r="AC4277">
        <v>3.28800000000001</v>
      </c>
      <c r="AD4277">
        <v>-1.1222954195929999</v>
      </c>
      <c r="AE4277">
        <v>-35.679779999999901</v>
      </c>
      <c r="AF4277">
        <v>-3.5523308794005901</v>
      </c>
      <c r="AG4277">
        <v>-1.1222954195929999</v>
      </c>
      <c r="AH4277">
        <v>35.619140899253203</v>
      </c>
      <c r="AI4277">
        <v>91.795787760597705</v>
      </c>
      <c r="AJ4277">
        <v>95.695330119873205</v>
      </c>
      <c r="AK4277">
        <v>35.813430442872097</v>
      </c>
      <c r="AL4277">
        <v>78.482425432386407</v>
      </c>
      <c r="AM4277">
        <v>88.827970978052306</v>
      </c>
      <c r="AN4277">
        <v>0.99999999335867495</v>
      </c>
    </row>
    <row r="4278" spans="1:40" x14ac:dyDescent="0.25">
      <c r="A4278" t="str">
        <f>"20190303171103696"</f>
        <v>20190303171103696</v>
      </c>
      <c r="B4278" t="str">
        <f>"1551604263685274"</f>
        <v>1551604263685274</v>
      </c>
      <c r="C4278" t="s">
        <v>40</v>
      </c>
      <c r="D4278">
        <v>4.7213859999999999</v>
      </c>
      <c r="E4278">
        <v>0.45615280000000002</v>
      </c>
      <c r="F4278" t="s">
        <v>68</v>
      </c>
      <c r="G4278">
        <v>-419.2638</v>
      </c>
      <c r="H4278" s="1">
        <v>-7.3535159999999996E-6</v>
      </c>
      <c r="I4278">
        <v>28.042590000000001</v>
      </c>
      <c r="J4278">
        <v>-422.7867</v>
      </c>
      <c r="K4278">
        <v>1.122382</v>
      </c>
      <c r="L4278">
        <v>64.726290000000006</v>
      </c>
      <c r="M4278">
        <v>-6.0530990000000002E-3</v>
      </c>
      <c r="N4278">
        <v>-1.3642359999999999E-2</v>
      </c>
      <c r="O4278">
        <v>-0.99988869999999996</v>
      </c>
      <c r="P4278">
        <v>-2.5417160000000001E-2</v>
      </c>
      <c r="Q4278">
        <v>0.1863242</v>
      </c>
      <c r="R4278">
        <v>-0.98215980000000003</v>
      </c>
      <c r="S4278">
        <v>0.29327389999999998</v>
      </c>
      <c r="T4278">
        <v>-9.3450900000000003E-2</v>
      </c>
      <c r="U4278">
        <v>-3.0807190000000002</v>
      </c>
      <c r="V4278">
        <v>1.8942790000000001E-2</v>
      </c>
      <c r="W4278">
        <v>0.1997582</v>
      </c>
      <c r="X4278">
        <v>0.97966209999999998</v>
      </c>
      <c r="Y4278">
        <v>-0.1007498</v>
      </c>
      <c r="Z4278">
        <v>1.6531219999999999E-2</v>
      </c>
      <c r="AA4278">
        <v>0.99477450000000001</v>
      </c>
      <c r="AB4278">
        <v>31</v>
      </c>
      <c r="AC4278">
        <v>3.5228999999999902</v>
      </c>
      <c r="AD4278">
        <v>-1.1223893535160001</v>
      </c>
      <c r="AE4278">
        <v>-36.683700000000002</v>
      </c>
      <c r="AF4278">
        <v>-3.7414356628319001</v>
      </c>
      <c r="AG4278">
        <v>-1.1223893535160001</v>
      </c>
      <c r="AH4278">
        <v>36.6277260395307</v>
      </c>
      <c r="AI4278">
        <v>91.746094447258997</v>
      </c>
      <c r="AJ4278">
        <v>95.832399266093404</v>
      </c>
      <c r="AK4278">
        <v>36.835423351807798</v>
      </c>
      <c r="AL4278">
        <v>78.477180400639199</v>
      </c>
      <c r="AM4278">
        <v>88.892264295979899</v>
      </c>
      <c r="AN4278">
        <v>0.99999999896831704</v>
      </c>
    </row>
    <row r="4279" spans="1:40" x14ac:dyDescent="0.25">
      <c r="A4279" t="str">
        <f>"20190303171103718"</f>
        <v>20190303171103718</v>
      </c>
      <c r="B4279" t="str">
        <f>"1551604263704794"</f>
        <v>1551604263704794</v>
      </c>
      <c r="C4279" t="s">
        <v>40</v>
      </c>
      <c r="D4279">
        <v>4.7102440000000003</v>
      </c>
      <c r="E4279">
        <v>0.45579049999999999</v>
      </c>
      <c r="F4279" t="s">
        <v>68</v>
      </c>
      <c r="G4279">
        <v>-419.0849</v>
      </c>
      <c r="H4279" s="1">
        <v>-7.3078340000000002E-6</v>
      </c>
      <c r="I4279">
        <v>27.07807</v>
      </c>
      <c r="J4279">
        <v>-422.78699999999998</v>
      </c>
      <c r="K4279">
        <v>1.1224809999999901</v>
      </c>
      <c r="L4279">
        <v>64.422790000000006</v>
      </c>
      <c r="M4279">
        <v>-4.5170499999999999E-3</v>
      </c>
      <c r="N4279">
        <v>-1.36426E-2</v>
      </c>
      <c r="O4279">
        <v>-0.99989689999999998</v>
      </c>
      <c r="P4279">
        <v>-2.3259439999999999E-2</v>
      </c>
      <c r="Q4279">
        <v>0.18757509999999999</v>
      </c>
      <c r="R4279">
        <v>-0.98197500000000004</v>
      </c>
      <c r="S4279">
        <v>0.30282589999999998</v>
      </c>
      <c r="T4279">
        <v>-9.1814989999999999E-2</v>
      </c>
      <c r="U4279">
        <v>-3.079742</v>
      </c>
      <c r="V4279">
        <v>1.8244690000000001E-2</v>
      </c>
      <c r="W4279">
        <v>0.2010093</v>
      </c>
      <c r="X4279">
        <v>0.97941940000000005</v>
      </c>
      <c r="Y4279">
        <v>-0.1023085</v>
      </c>
      <c r="Z4279">
        <v>1.6006909999999999E-2</v>
      </c>
      <c r="AA4279">
        <v>0.99462390000000001</v>
      </c>
      <c r="AB4279">
        <v>31</v>
      </c>
      <c r="AC4279">
        <v>3.70209999999997</v>
      </c>
      <c r="AD4279">
        <v>-1.12248830783399</v>
      </c>
      <c r="AE4279">
        <v>-37.344720000000002</v>
      </c>
      <c r="AF4279">
        <v>-3.86730593949002</v>
      </c>
      <c r="AG4279">
        <v>-1.12248830783399</v>
      </c>
      <c r="AH4279">
        <v>37.294249138285302</v>
      </c>
      <c r="AI4279">
        <v>91.714787680445298</v>
      </c>
      <c r="AJ4279">
        <v>95.920247070139297</v>
      </c>
      <c r="AK4279">
        <v>37.511025766024297</v>
      </c>
      <c r="AL4279">
        <v>78.404013466421802</v>
      </c>
      <c r="AM4279">
        <v>88.932813820545505</v>
      </c>
      <c r="AN4279">
        <v>0.99999998424802305</v>
      </c>
    </row>
    <row r="4280" spans="1:40" x14ac:dyDescent="0.25">
      <c r="A4280" t="str">
        <f>"20190303171103737"</f>
        <v>20190303171103737</v>
      </c>
      <c r="B4280" t="str">
        <f>"1551604263725290"</f>
        <v>1551604263725290</v>
      </c>
      <c r="C4280" t="s">
        <v>40</v>
      </c>
      <c r="D4280">
        <v>4.6481729999999999</v>
      </c>
      <c r="E4280">
        <v>0.45570319999999997</v>
      </c>
      <c r="F4280" t="s">
        <v>68</v>
      </c>
      <c r="G4280">
        <v>-418.69409999999999</v>
      </c>
      <c r="H4280" s="1">
        <v>-7.1032379999999998E-6</v>
      </c>
      <c r="I4280">
        <v>24.039529999999999</v>
      </c>
      <c r="J4280">
        <v>-422.7867</v>
      </c>
      <c r="K4280">
        <v>1.122574</v>
      </c>
      <c r="L4280">
        <v>64.143590000000003</v>
      </c>
      <c r="M4280">
        <v>-2.9887659999999999E-3</v>
      </c>
      <c r="N4280">
        <v>-1.3643219999999999E-2</v>
      </c>
      <c r="O4280">
        <v>-0.99990259999999997</v>
      </c>
      <c r="P4280">
        <v>-2.2333080000000002E-2</v>
      </c>
      <c r="Q4280">
        <v>0.1895674</v>
      </c>
      <c r="R4280">
        <v>-0.98161379999999998</v>
      </c>
      <c r="S4280">
        <v>0.31204219999999999</v>
      </c>
      <c r="T4280">
        <v>-8.5577849999999997E-2</v>
      </c>
      <c r="U4280">
        <v>-3.0787960000000001</v>
      </c>
      <c r="V4280">
        <v>1.8769330000000001E-2</v>
      </c>
      <c r="W4280">
        <v>0.2030025</v>
      </c>
      <c r="X4280">
        <v>0.97899829999999999</v>
      </c>
      <c r="Y4280">
        <v>-0.1037698</v>
      </c>
      <c r="Z4280">
        <v>1.399661E-2</v>
      </c>
      <c r="AA4280">
        <v>0.99450280000000002</v>
      </c>
      <c r="AB4280">
        <v>31</v>
      </c>
      <c r="AC4280">
        <v>4.0926</v>
      </c>
      <c r="AD4280">
        <v>-1.122581103238</v>
      </c>
      <c r="AE4280">
        <v>-40.104059999999997</v>
      </c>
      <c r="AF4280">
        <v>-4.2091904500747397</v>
      </c>
      <c r="AG4280">
        <v>-1.122581103238</v>
      </c>
      <c r="AH4280">
        <v>40.0605825092494</v>
      </c>
      <c r="AI4280">
        <v>91.596344316119797</v>
      </c>
      <c r="AJ4280">
        <v>95.998095319110604</v>
      </c>
      <c r="AK4280">
        <v>40.296746066633297</v>
      </c>
      <c r="AL4280">
        <v>78.287407616869899</v>
      </c>
      <c r="AM4280">
        <v>88.901661359095101</v>
      </c>
      <c r="AN4280">
        <v>0.99999998707889404</v>
      </c>
    </row>
    <row r="4281" spans="1:40" x14ac:dyDescent="0.25">
      <c r="A4281" t="str">
        <f>"20190303171103761"</f>
        <v>20190303171103761</v>
      </c>
      <c r="B4281" t="str">
        <f>"1551604263755546"</f>
        <v>1551604263755546</v>
      </c>
      <c r="C4281" t="s">
        <v>40</v>
      </c>
      <c r="D4281">
        <v>4.6793509999999996</v>
      </c>
      <c r="E4281">
        <v>0.4556441</v>
      </c>
      <c r="F4281" t="s">
        <v>68</v>
      </c>
      <c r="G4281">
        <v>-418.30169999999998</v>
      </c>
      <c r="H4281" s="1">
        <v>-6.8471390000000001E-6</v>
      </c>
      <c r="I4281">
        <v>20.445789999999999</v>
      </c>
      <c r="J4281">
        <v>-422.78570000000002</v>
      </c>
      <c r="K4281">
        <v>1.1226689999999999</v>
      </c>
      <c r="L4281">
        <v>63.833039999999997</v>
      </c>
      <c r="M4281">
        <v>-1.1780899999999999E-3</v>
      </c>
      <c r="N4281">
        <v>-1.364404E-2</v>
      </c>
      <c r="O4281">
        <v>-0.99990610000000002</v>
      </c>
      <c r="P4281">
        <v>-2.1414579999999999E-2</v>
      </c>
      <c r="Q4281">
        <v>0.19028039999999999</v>
      </c>
      <c r="R4281">
        <v>-0.98149629999999999</v>
      </c>
      <c r="S4281">
        <v>0.31597900000000001</v>
      </c>
      <c r="T4281">
        <v>-7.9089279999999998E-2</v>
      </c>
      <c r="U4281">
        <v>-3.0786440000000002</v>
      </c>
      <c r="V4281">
        <v>1.9579760000000002E-2</v>
      </c>
      <c r="W4281">
        <v>0.20372100000000001</v>
      </c>
      <c r="X4281">
        <v>0.97883319999999996</v>
      </c>
      <c r="Y4281">
        <v>-0.1032366</v>
      </c>
      <c r="Z4281">
        <v>1.190272E-2</v>
      </c>
      <c r="AA4281">
        <v>0.99458559999999996</v>
      </c>
      <c r="AB4281">
        <v>31</v>
      </c>
      <c r="AC4281">
        <v>4.4840000000000302</v>
      </c>
      <c r="AD4281">
        <v>-1.1226758471389999</v>
      </c>
      <c r="AE4281">
        <v>-43.387250000000002</v>
      </c>
      <c r="AF4281">
        <v>-4.5321133192306498</v>
      </c>
      <c r="AG4281">
        <v>-1.1226758471389999</v>
      </c>
      <c r="AH4281">
        <v>43.353216351915599</v>
      </c>
      <c r="AI4281">
        <v>91.475364994703398</v>
      </c>
      <c r="AJ4281">
        <v>95.967981326572996</v>
      </c>
      <c r="AK4281">
        <v>43.603919780818998</v>
      </c>
      <c r="AL4281">
        <v>78.245362428465299</v>
      </c>
      <c r="AM4281">
        <v>88.854056010638502</v>
      </c>
      <c r="AN4281">
        <v>1.00000002313244</v>
      </c>
    </row>
    <row r="4282" spans="1:40" x14ac:dyDescent="0.25">
      <c r="A4282" t="str">
        <f>"20190303171103782"</f>
        <v>20190303171103782</v>
      </c>
      <c r="B4282" t="str">
        <f>"1551604263775067"</f>
        <v>1551604263775067</v>
      </c>
      <c r="C4282" t="s">
        <v>40</v>
      </c>
      <c r="D4282">
        <v>4.6764349999999997</v>
      </c>
      <c r="E4282">
        <v>0.45544709999999999</v>
      </c>
      <c r="F4282" t="s">
        <v>68</v>
      </c>
      <c r="G4282">
        <v>-418.08890000000002</v>
      </c>
      <c r="H4282" s="1">
        <v>-1.251849E-5</v>
      </c>
      <c r="I4282">
        <v>18.62509</v>
      </c>
      <c r="J4282">
        <v>-422.78410000000002</v>
      </c>
      <c r="K4282">
        <v>1.1227510000000001</v>
      </c>
      <c r="L4282">
        <v>63.531889999999997</v>
      </c>
      <c r="M4282">
        <v>6.8707960000000004E-4</v>
      </c>
      <c r="N4282">
        <v>-1.3644679999999999E-2</v>
      </c>
      <c r="O4282">
        <v>-0.99990679999999998</v>
      </c>
      <c r="P4282">
        <v>-1.959352E-2</v>
      </c>
      <c r="Q4282">
        <v>0.18888769999999999</v>
      </c>
      <c r="R4282">
        <v>-0.98180330000000005</v>
      </c>
      <c r="S4282">
        <v>0.3198242</v>
      </c>
      <c r="T4282">
        <v>-7.6447370000000001E-2</v>
      </c>
      <c r="U4282">
        <v>-3.0783689999999999</v>
      </c>
      <c r="V4282">
        <v>1.955262E-2</v>
      </c>
      <c r="W4282">
        <v>0.20233709999999999</v>
      </c>
      <c r="X4282">
        <v>0.97912069999999995</v>
      </c>
      <c r="Y4282">
        <v>-0.1026213</v>
      </c>
      <c r="Z4282">
        <v>1.1051800000000001E-2</v>
      </c>
      <c r="AA4282">
        <v>0.99465910000000002</v>
      </c>
      <c r="AB4282">
        <v>31</v>
      </c>
      <c r="AC4282">
        <v>4.6951999999999998</v>
      </c>
      <c r="AD4282">
        <v>-1.12276351849</v>
      </c>
      <c r="AE4282">
        <v>-44.906799999999997</v>
      </c>
      <c r="AF4282">
        <v>-4.6614590885415099</v>
      </c>
      <c r="AG4282">
        <v>-1.12276351849</v>
      </c>
      <c r="AH4282">
        <v>44.882262968062697</v>
      </c>
      <c r="AI4282">
        <v>91.425334470814704</v>
      </c>
      <c r="AJ4282">
        <v>95.929464313046793</v>
      </c>
      <c r="AK4282">
        <v>45.137648674769601</v>
      </c>
      <c r="AL4282">
        <v>78.326340062126604</v>
      </c>
      <c r="AM4282">
        <v>88.855979938723806</v>
      </c>
      <c r="AN4282">
        <v>0.99999997607688096</v>
      </c>
    </row>
    <row r="4283" spans="1:40" x14ac:dyDescent="0.25">
      <c r="A4283" t="str">
        <f>"20190303171103805"</f>
        <v>20190303171103805</v>
      </c>
      <c r="B4283" t="str">
        <f>"1551604263795562"</f>
        <v>1551604263795562</v>
      </c>
      <c r="C4283" t="s">
        <v>40</v>
      </c>
      <c r="D4283">
        <v>4.6745919999999996</v>
      </c>
      <c r="E4283">
        <v>0.45531680000000002</v>
      </c>
      <c r="F4283" t="s">
        <v>68</v>
      </c>
      <c r="G4283">
        <v>-418.18630000000002</v>
      </c>
      <c r="H4283" s="1">
        <v>-6.8577340000000001E-6</v>
      </c>
      <c r="I4283">
        <v>20.13184</v>
      </c>
      <c r="J4283">
        <v>-422.78190000000001</v>
      </c>
      <c r="K4283">
        <v>1.12283</v>
      </c>
      <c r="L4283">
        <v>63.234189999999998</v>
      </c>
      <c r="M4283">
        <v>2.6373870000000002E-3</v>
      </c>
      <c r="N4283">
        <v>-1.36455E-2</v>
      </c>
      <c r="O4283">
        <v>-0.99990369999999995</v>
      </c>
      <c r="P4283">
        <v>-1.7295540000000002E-2</v>
      </c>
      <c r="Q4283">
        <v>0.1876062</v>
      </c>
      <c r="R4283">
        <v>-0.98209239999999998</v>
      </c>
      <c r="S4283">
        <v>0.32601930000000001</v>
      </c>
      <c r="T4283">
        <v>-7.9612849999999999E-2</v>
      </c>
      <c r="U4283">
        <v>-3.077423</v>
      </c>
      <c r="V4283">
        <v>1.9134829999999999E-2</v>
      </c>
      <c r="W4283">
        <v>0.20106209999999999</v>
      </c>
      <c r="X4283">
        <v>0.97939160000000003</v>
      </c>
      <c r="Y4283">
        <v>-0.102691</v>
      </c>
      <c r="Z4283">
        <v>1.207946E-2</v>
      </c>
      <c r="AA4283">
        <v>0.99463990000000002</v>
      </c>
      <c r="AB4283">
        <v>30</v>
      </c>
      <c r="AC4283">
        <v>4.5955999999999904</v>
      </c>
      <c r="AD4283">
        <v>-1.122836857734</v>
      </c>
      <c r="AE4283">
        <v>-43.102350000000001</v>
      </c>
      <c r="AF4283">
        <v>-4.4788905500947198</v>
      </c>
      <c r="AG4283">
        <v>-1.122836857734</v>
      </c>
      <c r="AH4283">
        <v>43.085411275156197</v>
      </c>
      <c r="AI4283">
        <v>91.484833722121806</v>
      </c>
      <c r="AJ4283">
        <v>95.934795140688095</v>
      </c>
      <c r="AK4283">
        <v>43.332134587603299</v>
      </c>
      <c r="AL4283">
        <v>78.400925477774805</v>
      </c>
      <c r="AM4283">
        <v>88.880728059730203</v>
      </c>
      <c r="AN4283">
        <v>1.00000000796304</v>
      </c>
    </row>
    <row r="4284" spans="1:40" x14ac:dyDescent="0.25">
      <c r="A4284" t="str">
        <f>"20190303171103827"</f>
        <v>20190303171103827</v>
      </c>
      <c r="B4284" t="str">
        <f>"1551604263815083"</f>
        <v>1551604263815083</v>
      </c>
      <c r="C4284" t="s">
        <v>40</v>
      </c>
      <c r="D4284">
        <v>4.6720470000000001</v>
      </c>
      <c r="E4284">
        <v>0.45521640000000002</v>
      </c>
      <c r="F4284" t="s">
        <v>68</v>
      </c>
      <c r="G4284">
        <v>-418.23930000000001</v>
      </c>
      <c r="H4284" s="1">
        <v>-6.9710550000000003E-6</v>
      </c>
      <c r="I4284">
        <v>21.445229999999999</v>
      </c>
      <c r="J4284">
        <v>-422.779</v>
      </c>
      <c r="K4284">
        <v>1.1229129999999901</v>
      </c>
      <c r="L4284">
        <v>62.933900000000001</v>
      </c>
      <c r="M4284">
        <v>4.6986509999999999E-3</v>
      </c>
      <c r="N4284">
        <v>-1.364654E-2</v>
      </c>
      <c r="O4284">
        <v>-0.99989600000000001</v>
      </c>
      <c r="P4284">
        <v>-1.5985760000000002E-2</v>
      </c>
      <c r="Q4284">
        <v>0.18855040000000001</v>
      </c>
      <c r="R4284">
        <v>-0.98193370000000002</v>
      </c>
      <c r="S4284">
        <v>0.33441159999999998</v>
      </c>
      <c r="T4284">
        <v>-8.2660079999999997E-2</v>
      </c>
      <c r="U4284">
        <v>-3.0763850000000001</v>
      </c>
      <c r="V4284">
        <v>1.9806560000000001E-2</v>
      </c>
      <c r="W4284">
        <v>0.2020111</v>
      </c>
      <c r="X4284">
        <v>0.97918289999999997</v>
      </c>
      <c r="Y4284">
        <v>-0.1033558</v>
      </c>
      <c r="Z4284">
        <v>1.306789E-2</v>
      </c>
      <c r="AA4284">
        <v>0.99455859999999996</v>
      </c>
      <c r="AB4284">
        <v>30</v>
      </c>
      <c r="AC4284">
        <v>4.5396999999999803</v>
      </c>
      <c r="AD4284">
        <v>-1.12291997105499</v>
      </c>
      <c r="AE4284">
        <v>-41.488669999999999</v>
      </c>
      <c r="AF4284">
        <v>-4.34154819111306</v>
      </c>
      <c r="AG4284">
        <v>-1.12291997105499</v>
      </c>
      <c r="AH4284">
        <v>41.479517969084498</v>
      </c>
      <c r="AI4284">
        <v>91.542292909049607</v>
      </c>
      <c r="AJ4284">
        <v>95.975236550909003</v>
      </c>
      <c r="AK4284">
        <v>41.721222428216997</v>
      </c>
      <c r="AL4284">
        <v>78.345412241486898</v>
      </c>
      <c r="AM4284">
        <v>88.841199578109993</v>
      </c>
      <c r="AN4284">
        <v>0.99999996799732604</v>
      </c>
    </row>
    <row r="4285" spans="1:40" x14ac:dyDescent="0.25">
      <c r="A4285" t="str">
        <f>"20190303171103850"</f>
        <v>20190303171103850</v>
      </c>
      <c r="B4285" t="str">
        <f>"1551604263845339"</f>
        <v>1551604263845339</v>
      </c>
      <c r="C4285" t="s">
        <v>40</v>
      </c>
      <c r="D4285">
        <v>4.659357</v>
      </c>
      <c r="E4285">
        <v>0.45504099999999997</v>
      </c>
      <c r="F4285" t="s">
        <v>68</v>
      </c>
      <c r="G4285">
        <v>-417.90260000000001</v>
      </c>
      <c r="H4285" s="1">
        <v>-1.242499E-5</v>
      </c>
      <c r="I4285">
        <v>18.789020000000001</v>
      </c>
      <c r="J4285">
        <v>-422.77519999999998</v>
      </c>
      <c r="K4285">
        <v>1.122989</v>
      </c>
      <c r="L4285">
        <v>62.619869999999999</v>
      </c>
      <c r="M4285">
        <v>6.9289470000000004E-3</v>
      </c>
      <c r="N4285">
        <v>-1.364743E-2</v>
      </c>
      <c r="O4285">
        <v>-0.99988279999999996</v>
      </c>
      <c r="P4285">
        <v>-1.4331709999999999E-2</v>
      </c>
      <c r="Q4285">
        <v>0.18984110000000001</v>
      </c>
      <c r="R4285">
        <v>-0.98171010000000003</v>
      </c>
      <c r="S4285">
        <v>0.3397522</v>
      </c>
      <c r="T4285">
        <v>-7.823861E-2</v>
      </c>
      <c r="U4285">
        <v>-3.075745</v>
      </c>
      <c r="V4285">
        <v>2.030094E-2</v>
      </c>
      <c r="W4285">
        <v>0.2033046</v>
      </c>
      <c r="X4285">
        <v>0.97890509999999997</v>
      </c>
      <c r="Y4285">
        <v>-0.1028689</v>
      </c>
      <c r="Z4285">
        <v>1.164367E-2</v>
      </c>
      <c r="AA4285">
        <v>0.99462680000000003</v>
      </c>
      <c r="AB4285">
        <v>30</v>
      </c>
      <c r="AC4285">
        <v>4.8725999999999701</v>
      </c>
      <c r="AD4285">
        <v>-1.12300142499</v>
      </c>
      <c r="AE4285">
        <v>-43.830849999999998</v>
      </c>
      <c r="AF4285">
        <v>-4.5657924470881701</v>
      </c>
      <c r="AG4285">
        <v>-1.12300142499</v>
      </c>
      <c r="AH4285">
        <v>43.835138514432899</v>
      </c>
      <c r="AI4285">
        <v>91.459632279709197</v>
      </c>
      <c r="AJ4285">
        <v>95.9463874528752</v>
      </c>
      <c r="AK4285">
        <v>44.086584824070201</v>
      </c>
      <c r="AL4285">
        <v>78.269730576318295</v>
      </c>
      <c r="AM4285">
        <v>88.811946659495703</v>
      </c>
      <c r="AN4285">
        <v>1.00000004167602</v>
      </c>
    </row>
    <row r="4286" spans="1:40" x14ac:dyDescent="0.25">
      <c r="A4286" t="str">
        <f>"20190303171103872"</f>
        <v>20190303171103872</v>
      </c>
      <c r="B4286" t="str">
        <f>"1551604263864858"</f>
        <v>1551604263864858</v>
      </c>
      <c r="C4286" t="s">
        <v>40</v>
      </c>
      <c r="D4286">
        <v>4.6593600000000004</v>
      </c>
      <c r="E4286">
        <v>0.45495029999999997</v>
      </c>
      <c r="F4286" t="s">
        <v>68</v>
      </c>
      <c r="G4286">
        <v>-417.40350000000001</v>
      </c>
      <c r="H4286" s="1">
        <v>-1.3106649999999999E-5</v>
      </c>
      <c r="I4286">
        <v>15.01182</v>
      </c>
      <c r="J4286">
        <v>-422.77080000000001</v>
      </c>
      <c r="K4286">
        <v>1.1230450000000001</v>
      </c>
      <c r="L4286">
        <v>62.320189999999997</v>
      </c>
      <c r="M4286">
        <v>9.1070730000000003E-3</v>
      </c>
      <c r="N4286">
        <v>-1.364777E-2</v>
      </c>
      <c r="O4286">
        <v>-0.99986560000000002</v>
      </c>
      <c r="P4286">
        <v>-1.1254429999999999E-2</v>
      </c>
      <c r="Q4286">
        <v>0.1892595</v>
      </c>
      <c r="R4286">
        <v>-0.98186289999999998</v>
      </c>
      <c r="S4286">
        <v>0.34695429999999999</v>
      </c>
      <c r="T4286">
        <v>-7.2534199999999993E-2</v>
      </c>
      <c r="U4286">
        <v>-3.0749819999999999</v>
      </c>
      <c r="V4286">
        <v>1.9341009999999999E-2</v>
      </c>
      <c r="W4286">
        <v>0.20272370000000001</v>
      </c>
      <c r="X4286">
        <v>0.97904500000000005</v>
      </c>
      <c r="Y4286">
        <v>-0.103033399999999</v>
      </c>
      <c r="Z4286">
        <v>9.8041910000000003E-3</v>
      </c>
      <c r="AA4286">
        <v>0.9946296</v>
      </c>
      <c r="AB4286">
        <v>30</v>
      </c>
      <c r="AC4286">
        <v>5.3673000000000002</v>
      </c>
      <c r="AD4286">
        <v>-1.1230581066500001</v>
      </c>
      <c r="AE4286">
        <v>-47.308369999999996</v>
      </c>
      <c r="AF4286">
        <v>-4.9334516663828198</v>
      </c>
      <c r="AG4286">
        <v>-1.1230581066500001</v>
      </c>
      <c r="AH4286">
        <v>47.328959640487298</v>
      </c>
      <c r="AI4286">
        <v>91.351981064955694</v>
      </c>
      <c r="AJ4286">
        <v>95.950876996283895</v>
      </c>
      <c r="AK4286">
        <v>47.598641004826199</v>
      </c>
      <c r="AL4286">
        <v>78.303721539150004</v>
      </c>
      <c r="AM4286">
        <v>88.868270486032898</v>
      </c>
      <c r="AN4286">
        <v>1.00000004261725</v>
      </c>
    </row>
    <row r="4287" spans="1:40" x14ac:dyDescent="0.25">
      <c r="A4287" t="str">
        <f>"20190303171103896"</f>
        <v>20190303171103896</v>
      </c>
      <c r="B4287" t="str">
        <f>"1551604263885355"</f>
        <v>1551604263885355</v>
      </c>
      <c r="C4287" t="s">
        <v>40</v>
      </c>
      <c r="D4287">
        <v>4.6678860000000002</v>
      </c>
      <c r="E4287">
        <v>0.45485360000000002</v>
      </c>
      <c r="F4287" t="s">
        <v>68</v>
      </c>
      <c r="G4287">
        <v>-417.32920000000001</v>
      </c>
      <c r="H4287" s="1">
        <v>-1.297856E-5</v>
      </c>
      <c r="I4287">
        <v>15.487909999999999</v>
      </c>
      <c r="J4287">
        <v>-422.76560000000001</v>
      </c>
      <c r="K4287">
        <v>1.1230800000000001</v>
      </c>
      <c r="L4287">
        <v>62.010860000000001</v>
      </c>
      <c r="M4287">
        <v>1.138782E-2</v>
      </c>
      <c r="N4287">
        <v>-1.36477E-2</v>
      </c>
      <c r="O4287">
        <v>-0.99984229999999996</v>
      </c>
      <c r="P4287">
        <v>-7.9525749999999999E-3</v>
      </c>
      <c r="Q4287">
        <v>0.1888938</v>
      </c>
      <c r="R4287">
        <v>-0.98196550000000005</v>
      </c>
      <c r="S4287">
        <v>0.3571472</v>
      </c>
      <c r="T4287">
        <v>-7.3709369999999996E-2</v>
      </c>
      <c r="U4287">
        <v>-3.0737299999999999</v>
      </c>
      <c r="V4287">
        <v>1.8264969999999998E-2</v>
      </c>
      <c r="W4287">
        <v>0.20235620000000001</v>
      </c>
      <c r="X4287">
        <v>0.9791417</v>
      </c>
      <c r="Y4287">
        <v>-0.1040642</v>
      </c>
      <c r="Z4287">
        <v>1.0189E-2</v>
      </c>
      <c r="AA4287">
        <v>0.99451840000000002</v>
      </c>
      <c r="AB4287">
        <v>30</v>
      </c>
      <c r="AC4287">
        <v>5.4363999999999901</v>
      </c>
      <c r="AD4287">
        <v>-1.1230929785599999</v>
      </c>
      <c r="AE4287">
        <v>-46.522950000000002</v>
      </c>
      <c r="AF4287">
        <v>-4.9033841937144897</v>
      </c>
      <c r="AG4287">
        <v>-1.1230929785599999</v>
      </c>
      <c r="AH4287">
        <v>46.555081820032399</v>
      </c>
      <c r="AI4287">
        <v>91.374334181040396</v>
      </c>
      <c r="AJ4287">
        <v>96.012474124445205</v>
      </c>
      <c r="AK4287">
        <v>46.8260628033104</v>
      </c>
      <c r="AL4287">
        <v>78.325223528115501</v>
      </c>
      <c r="AM4287">
        <v>88.9313249209292</v>
      </c>
      <c r="AN4287">
        <v>1.00000005474321</v>
      </c>
    </row>
    <row r="4288" spans="1:40" x14ac:dyDescent="0.25">
      <c r="A4288" t="str">
        <f>"20190303171103918"</f>
        <v>20190303171103918</v>
      </c>
      <c r="B4288" t="str">
        <f>"1551604263904875"</f>
        <v>1551604263904875</v>
      </c>
      <c r="C4288" t="s">
        <v>40</v>
      </c>
      <c r="D4288">
        <v>4.6910509999999999</v>
      </c>
      <c r="E4288">
        <v>0.45484439999999998</v>
      </c>
      <c r="F4288" t="s">
        <v>68</v>
      </c>
      <c r="G4288">
        <v>-417.24919999999997</v>
      </c>
      <c r="H4288" s="1">
        <v>-1.288108E-5</v>
      </c>
      <c r="I4288">
        <v>15.817550000000001</v>
      </c>
      <c r="J4288">
        <v>-422.75979999999998</v>
      </c>
      <c r="K4288">
        <v>1.1231009999999999</v>
      </c>
      <c r="L4288">
        <v>61.708559999999999</v>
      </c>
      <c r="M4288">
        <v>1.363399E-2</v>
      </c>
      <c r="N4288">
        <v>-1.364723E-2</v>
      </c>
      <c r="O4288">
        <v>-0.99981399999999998</v>
      </c>
      <c r="P4288">
        <v>-5.7241690000000003E-3</v>
      </c>
      <c r="Q4288">
        <v>0.18972420000000001</v>
      </c>
      <c r="R4288">
        <v>-0.9818209</v>
      </c>
      <c r="S4288">
        <v>0.36691279999999998</v>
      </c>
      <c r="T4288">
        <v>-7.4700119999999995E-2</v>
      </c>
      <c r="U4288">
        <v>-3.0724490000000002</v>
      </c>
      <c r="V4288">
        <v>1.8228560000000001E-2</v>
      </c>
      <c r="W4288">
        <v>0.20318459999999999</v>
      </c>
      <c r="X4288">
        <v>0.97897080000000003</v>
      </c>
      <c r="Y4288">
        <v>-0.1049942</v>
      </c>
      <c r="Z4288">
        <v>1.0515E-2</v>
      </c>
      <c r="AA4288">
        <v>0.99441729999999995</v>
      </c>
      <c r="AB4288">
        <v>30</v>
      </c>
      <c r="AC4288">
        <v>5.5106000000000099</v>
      </c>
      <c r="AD4288">
        <v>-1.1231138810799901</v>
      </c>
      <c r="AE4288">
        <v>-45.891010000000001</v>
      </c>
      <c r="AF4288">
        <v>-4.8814697084907701</v>
      </c>
      <c r="AG4288">
        <v>-1.1231138810799901</v>
      </c>
      <c r="AH4288">
        <v>45.9347605592896</v>
      </c>
      <c r="AI4288">
        <v>91.392774690036305</v>
      </c>
      <c r="AJ4288">
        <v>96.066034233682203</v>
      </c>
      <c r="AK4288">
        <v>46.207059622357001</v>
      </c>
      <c r="AL4288">
        <v>78.2767526695161</v>
      </c>
      <c r="AM4288">
        <v>88.933268615930601</v>
      </c>
      <c r="AN4288">
        <v>1.0000000446647299</v>
      </c>
    </row>
    <row r="4289" spans="1:40" x14ac:dyDescent="0.25">
      <c r="A4289" t="str">
        <f>"20190303171103939"</f>
        <v>20190303171103939</v>
      </c>
      <c r="B4289" t="str">
        <f>"1551604263935131"</f>
        <v>1551604263935131</v>
      </c>
      <c r="C4289" t="s">
        <v>40</v>
      </c>
      <c r="D4289">
        <v>4.6984649999999997</v>
      </c>
      <c r="E4289">
        <v>0.45474189999999998</v>
      </c>
      <c r="F4289" t="s">
        <v>68</v>
      </c>
      <c r="G4289">
        <v>-416.89870000000002</v>
      </c>
      <c r="H4289" s="1">
        <v>-1.32423E-5</v>
      </c>
      <c r="I4289">
        <v>13.69631</v>
      </c>
      <c r="J4289">
        <v>-422.75360000000001</v>
      </c>
      <c r="K4289">
        <v>1.123102</v>
      </c>
      <c r="L4289">
        <v>61.418729999999996</v>
      </c>
      <c r="M4289">
        <v>1.5779939999999999E-2</v>
      </c>
      <c r="N4289">
        <v>-1.364654E-2</v>
      </c>
      <c r="O4289">
        <v>-0.99978250000000002</v>
      </c>
      <c r="P4289">
        <v>-4.0518840000000004E-3</v>
      </c>
      <c r="Q4289">
        <v>0.19113520000000001</v>
      </c>
      <c r="R4289">
        <v>-0.98155539999999997</v>
      </c>
      <c r="S4289">
        <v>0.37496950000000001</v>
      </c>
      <c r="T4289">
        <v>-7.185221E-2</v>
      </c>
      <c r="U4289">
        <v>-3.071625</v>
      </c>
      <c r="V4289">
        <v>1.865166E-2</v>
      </c>
      <c r="W4289">
        <v>0.20459289999999999</v>
      </c>
      <c r="X4289">
        <v>0.97866940000000002</v>
      </c>
      <c r="Y4289">
        <v>-0.1054635</v>
      </c>
      <c r="Z4289">
        <v>9.5981880000000006E-3</v>
      </c>
      <c r="AA4289">
        <v>0.99437679999999995</v>
      </c>
      <c r="AB4289">
        <v>30</v>
      </c>
      <c r="AC4289">
        <v>5.8548999999999802</v>
      </c>
      <c r="AD4289">
        <v>-1.1231152422999999</v>
      </c>
      <c r="AE4289">
        <v>-47.72242</v>
      </c>
      <c r="AF4289">
        <v>-5.0982620420146603</v>
      </c>
      <c r="AG4289">
        <v>-1.1231152422999999</v>
      </c>
      <c r="AH4289">
        <v>47.782802727090697</v>
      </c>
      <c r="AI4289">
        <v>91.3388693538773</v>
      </c>
      <c r="AJ4289">
        <v>96.090223259495104</v>
      </c>
      <c r="AK4289">
        <v>48.0671395045784</v>
      </c>
      <c r="AL4289">
        <v>78.194330757107195</v>
      </c>
      <c r="AM4289">
        <v>88.908178755023698</v>
      </c>
      <c r="AN4289">
        <v>0.99999996682376202</v>
      </c>
    </row>
    <row r="4290" spans="1:40" x14ac:dyDescent="0.25">
      <c r="A4290" t="str">
        <f>"20190303171103962"</f>
        <v>20190303171103962</v>
      </c>
      <c r="B4290" t="str">
        <f>"1551604263954650"</f>
        <v>1551604263954650</v>
      </c>
      <c r="C4290" t="s">
        <v>40</v>
      </c>
      <c r="D4290">
        <v>4.7134530000000003</v>
      </c>
      <c r="E4290">
        <v>0.45469969999999998</v>
      </c>
      <c r="F4290" t="s">
        <v>68</v>
      </c>
      <c r="G4290">
        <v>-416.32139999999998</v>
      </c>
      <c r="H4290" s="1">
        <v>-1.384305E-5</v>
      </c>
      <c r="I4290">
        <v>9.6218450000000004</v>
      </c>
      <c r="J4290">
        <v>-422.74619999999999</v>
      </c>
      <c r="K4290">
        <v>1.1230979999999999</v>
      </c>
      <c r="L4290">
        <v>61.109589999999997</v>
      </c>
      <c r="M4290">
        <v>1.8049200000000001E-2</v>
      </c>
      <c r="N4290">
        <v>-1.364544E-2</v>
      </c>
      <c r="O4290">
        <v>-0.99974419999999997</v>
      </c>
      <c r="P4290">
        <v>-1.6362099999999999E-3</v>
      </c>
      <c r="Q4290">
        <v>0.1919207</v>
      </c>
      <c r="R4290">
        <v>-0.98140939999999999</v>
      </c>
      <c r="S4290">
        <v>0.38134770000000001</v>
      </c>
      <c r="T4290">
        <v>-6.6587090000000002E-2</v>
      </c>
      <c r="U4290">
        <v>-3.0709230000000001</v>
      </c>
      <c r="V4290">
        <v>1.8461089999999999E-2</v>
      </c>
      <c r="W4290">
        <v>0.2053738</v>
      </c>
      <c r="X4290">
        <v>0.97850950000000003</v>
      </c>
      <c r="Y4290">
        <v>-0.1052713</v>
      </c>
      <c r="Z4290">
        <v>7.9007939999999992E-3</v>
      </c>
      <c r="AA4290">
        <v>0.99441219999999997</v>
      </c>
      <c r="AB4290">
        <v>30</v>
      </c>
      <c r="AC4290">
        <v>6.4248000000000003</v>
      </c>
      <c r="AD4290">
        <v>-1.12311184305</v>
      </c>
      <c r="AE4290">
        <v>-51.487744999999997</v>
      </c>
      <c r="AF4290">
        <v>-5.4917812621349604</v>
      </c>
      <c r="AG4290">
        <v>-1.12311184305</v>
      </c>
      <c r="AH4290">
        <v>51.5711672372096</v>
      </c>
      <c r="AI4290">
        <v>91.240572682493905</v>
      </c>
      <c r="AJ4290">
        <v>96.078484062919003</v>
      </c>
      <c r="AK4290">
        <v>51.874910427405801</v>
      </c>
      <c r="AL4290">
        <v>78.148618492544699</v>
      </c>
      <c r="AM4290">
        <v>88.9191550320879</v>
      </c>
      <c r="AN4290">
        <v>1.0000000255803301</v>
      </c>
    </row>
    <row r="4291" spans="1:40" x14ac:dyDescent="0.25">
      <c r="A4291" t="str">
        <f>"20190303171103983"</f>
        <v>20190303171103983</v>
      </c>
      <c r="B4291" t="str">
        <f>"1551604263975147"</f>
        <v>1551604263975147</v>
      </c>
      <c r="C4291" t="s">
        <v>40</v>
      </c>
      <c r="D4291">
        <v>4.7054910000000003</v>
      </c>
      <c r="E4291">
        <v>0.4546964</v>
      </c>
      <c r="F4291" t="s">
        <v>68</v>
      </c>
      <c r="G4291">
        <v>-416.2122</v>
      </c>
      <c r="H4291">
        <v>5.555761E-2</v>
      </c>
      <c r="I4291">
        <v>9.6107030000000009</v>
      </c>
      <c r="J4291">
        <v>-422.73860000000002</v>
      </c>
      <c r="K4291">
        <v>1.1230830000000001</v>
      </c>
      <c r="L4291">
        <v>60.816859999999998</v>
      </c>
      <c r="M4291">
        <v>2.0162800000000002E-2</v>
      </c>
      <c r="N4291">
        <v>-1.364404E-2</v>
      </c>
      <c r="O4291">
        <v>-0.99970369999999997</v>
      </c>
      <c r="P4291">
        <v>8.9029319999999997E-4</v>
      </c>
      <c r="Q4291">
        <v>0.19204170000000001</v>
      </c>
      <c r="R4291">
        <v>-0.9813866</v>
      </c>
      <c r="S4291">
        <v>0.3894958</v>
      </c>
      <c r="T4291">
        <v>-6.36375E-2</v>
      </c>
      <c r="U4291">
        <v>-3.0699160000000001</v>
      </c>
      <c r="V4291">
        <v>1.8016999999999998E-2</v>
      </c>
      <c r="W4291">
        <v>0.20549039999999999</v>
      </c>
      <c r="X4291">
        <v>0.97849330000000001</v>
      </c>
      <c r="Y4291">
        <v>-0.1058086</v>
      </c>
      <c r="Z4291">
        <v>6.9523349999999996E-3</v>
      </c>
      <c r="AA4291">
        <v>0.99436219999999997</v>
      </c>
      <c r="AB4291">
        <v>30</v>
      </c>
      <c r="AC4291">
        <v>6.5264000000000202</v>
      </c>
      <c r="AD4291">
        <v>-1.0675253899999999</v>
      </c>
      <c r="AE4291">
        <v>-51.206156999999997</v>
      </c>
      <c r="AF4291">
        <v>-5.4901694725265804</v>
      </c>
      <c r="AG4291">
        <v>-1.0675253899999999</v>
      </c>
      <c r="AH4291">
        <v>51.305406062426997</v>
      </c>
      <c r="AI4291">
        <v>91.185231889768204</v>
      </c>
      <c r="AJ4291">
        <v>96.1079533756091</v>
      </c>
      <c r="AK4291">
        <v>51.609362159649599</v>
      </c>
      <c r="AL4291">
        <v>78.141792232219601</v>
      </c>
      <c r="AM4291">
        <v>88.945131846867</v>
      </c>
      <c r="AN4291">
        <v>1.0000000274630201</v>
      </c>
    </row>
    <row r="4292" spans="1:40" x14ac:dyDescent="0.25">
      <c r="A4292" t="str">
        <f>"20190303171104006"</f>
        <v>20190303171104006</v>
      </c>
      <c r="B4292" t="str">
        <f>"1551604263994666"</f>
        <v>1551604263994666</v>
      </c>
      <c r="C4292" t="s">
        <v>40</v>
      </c>
      <c r="D4292">
        <v>4.7094670000000001</v>
      </c>
      <c r="E4292">
        <v>0.45476749999999999</v>
      </c>
      <c r="F4292" t="s">
        <v>68</v>
      </c>
      <c r="G4292">
        <v>-416.10669999999999</v>
      </c>
      <c r="H4292">
        <v>6.8304779999999995E-2</v>
      </c>
      <c r="I4292">
        <v>9.5979539999999997</v>
      </c>
      <c r="J4292">
        <v>-422.7303</v>
      </c>
      <c r="K4292">
        <v>1.1230610000000001</v>
      </c>
      <c r="L4292">
        <v>60.517299999999999</v>
      </c>
      <c r="M4292">
        <v>2.227115E-2</v>
      </c>
      <c r="N4292">
        <v>-1.3642140000000001E-2</v>
      </c>
      <c r="O4292">
        <v>-0.99965899999999996</v>
      </c>
      <c r="P4292">
        <v>2.8415189999999998E-3</v>
      </c>
      <c r="Q4292">
        <v>0.19245110000000001</v>
      </c>
      <c r="R4292">
        <v>-0.98130269999999997</v>
      </c>
      <c r="S4292">
        <v>0.39736939999999998</v>
      </c>
      <c r="T4292">
        <v>-6.3199640000000001E-2</v>
      </c>
      <c r="U4292">
        <v>-3.0689090000000001</v>
      </c>
      <c r="V4292">
        <v>1.8147750000000001E-2</v>
      </c>
      <c r="W4292">
        <v>0.20589589999999999</v>
      </c>
      <c r="X4292">
        <v>0.97840559999999999</v>
      </c>
      <c r="Y4292">
        <v>-0.1062621</v>
      </c>
      <c r="Z4292">
        <v>6.8163499999999997E-3</v>
      </c>
      <c r="AA4292">
        <v>0.99431480000000005</v>
      </c>
      <c r="AB4292">
        <v>30</v>
      </c>
      <c r="AC4292">
        <v>6.6235999999999997</v>
      </c>
      <c r="AD4292">
        <v>-1.05475622</v>
      </c>
      <c r="AE4292">
        <v>-50.919345999999997</v>
      </c>
      <c r="AF4292">
        <v>-5.4855044627477003</v>
      </c>
      <c r="AG4292">
        <v>-1.05475622</v>
      </c>
      <c r="AH4292">
        <v>51.032710107325599</v>
      </c>
      <c r="AI4292">
        <v>91.177254656042706</v>
      </c>
      <c r="AJ4292">
        <v>96.135165210716707</v>
      </c>
      <c r="AK4292">
        <v>51.337518159653797</v>
      </c>
      <c r="AL4292">
        <v>78.118050678939298</v>
      </c>
      <c r="AM4292">
        <v>88.937383162417603</v>
      </c>
      <c r="AN4292">
        <v>0.99999999028911601</v>
      </c>
    </row>
    <row r="4293" spans="1:40" x14ac:dyDescent="0.25">
      <c r="A4293" t="str">
        <f>"20190303171104029"</f>
        <v>20190303171104029</v>
      </c>
      <c r="B4293" t="str">
        <f>"1551604264015162"</f>
        <v>1551604264015162</v>
      </c>
      <c r="C4293" t="s">
        <v>40</v>
      </c>
      <c r="D4293">
        <v>4.7216300000000002</v>
      </c>
      <c r="E4293">
        <v>0.45481060000000001</v>
      </c>
      <c r="F4293" t="s">
        <v>68</v>
      </c>
      <c r="G4293">
        <v>-415.98590000000002</v>
      </c>
      <c r="H4293">
        <v>7.9986559999999998E-2</v>
      </c>
      <c r="I4293">
        <v>9.0582750000000001</v>
      </c>
      <c r="J4293">
        <v>-422.72120000000001</v>
      </c>
      <c r="K4293">
        <v>1.1230119999999999</v>
      </c>
      <c r="L4293">
        <v>60.209719999999997</v>
      </c>
      <c r="M4293">
        <v>2.4359180000000001E-2</v>
      </c>
      <c r="N4293">
        <v>-1.36399E-2</v>
      </c>
      <c r="O4293">
        <v>-0.99961049999999996</v>
      </c>
      <c r="P4293">
        <v>5.0769109999999999E-3</v>
      </c>
      <c r="Q4293">
        <v>0.19288069999999999</v>
      </c>
      <c r="R4293">
        <v>-0.98120929999999995</v>
      </c>
      <c r="S4293">
        <v>0.40213009999999999</v>
      </c>
      <c r="T4293">
        <v>-6.2192560000000001E-2</v>
      </c>
      <c r="U4293">
        <v>-3.0682070000000001</v>
      </c>
      <c r="V4293">
        <v>1.7983619999999999E-2</v>
      </c>
      <c r="W4293">
        <v>0.20631920000000001</v>
      </c>
      <c r="X4293">
        <v>0.97831950000000001</v>
      </c>
      <c r="Y4293">
        <v>-0.1057318</v>
      </c>
      <c r="Z4293">
        <v>6.4967280000000002E-3</v>
      </c>
      <c r="AA4293">
        <v>0.99437339999999996</v>
      </c>
      <c r="AB4293">
        <v>30</v>
      </c>
      <c r="AC4293">
        <v>6.7352999999999899</v>
      </c>
      <c r="AD4293">
        <v>-1.0430254400000001</v>
      </c>
      <c r="AE4293">
        <v>-51.151445000000002</v>
      </c>
      <c r="AF4293">
        <v>-5.4849365306872198</v>
      </c>
      <c r="AG4293">
        <v>-1.0430254400000001</v>
      </c>
      <c r="AH4293">
        <v>51.279387593439303</v>
      </c>
      <c r="AI4293">
        <v>91.158631306606395</v>
      </c>
      <c r="AJ4293">
        <v>96.105248323343105</v>
      </c>
      <c r="AK4293">
        <v>51.582439092896102</v>
      </c>
      <c r="AL4293">
        <v>78.093265736626094</v>
      </c>
      <c r="AM4293">
        <v>88.946898745349202</v>
      </c>
      <c r="AN4293">
        <v>1.0000000334785899</v>
      </c>
    </row>
    <row r="4294" spans="1:40" x14ac:dyDescent="0.25">
      <c r="A4294" t="str">
        <f>"20190303171104051"</f>
        <v>20190303171104051</v>
      </c>
      <c r="B4294" t="str">
        <f>"1551604264044778"</f>
        <v>1551604264044778</v>
      </c>
      <c r="C4294" t="s">
        <v>40</v>
      </c>
      <c r="D4294">
        <v>4.7203480000000004</v>
      </c>
      <c r="E4294">
        <v>0.45491219999999999</v>
      </c>
      <c r="F4294" t="s">
        <v>68</v>
      </c>
      <c r="G4294">
        <v>-415.71010000000001</v>
      </c>
      <c r="H4294">
        <v>7.9986559999999998E-2</v>
      </c>
      <c r="I4294">
        <v>7.6175789999999903</v>
      </c>
      <c r="J4294">
        <v>-422.7115</v>
      </c>
      <c r="K4294">
        <v>1.1229420000000001</v>
      </c>
      <c r="L4294">
        <v>59.903170000000003</v>
      </c>
      <c r="M4294">
        <v>2.6343599999999998E-2</v>
      </c>
      <c r="N4294">
        <v>-1.363724E-2</v>
      </c>
      <c r="O4294">
        <v>-0.99956</v>
      </c>
      <c r="P4294">
        <v>7.568778E-3</v>
      </c>
      <c r="Q4294">
        <v>0.19280820000000001</v>
      </c>
      <c r="R4294">
        <v>-0.9812073</v>
      </c>
      <c r="S4294">
        <v>0.40890500000000002</v>
      </c>
      <c r="T4294">
        <v>-6.0831549999999998E-2</v>
      </c>
      <c r="U4294">
        <v>-3.067291</v>
      </c>
      <c r="V4294">
        <v>1.7475109999999999E-2</v>
      </c>
      <c r="W4294">
        <v>0.20623939999999999</v>
      </c>
      <c r="X4294">
        <v>0.97834549999999998</v>
      </c>
      <c r="Y4294">
        <v>-0.1059551</v>
      </c>
      <c r="Z4294">
        <v>6.0627249999999997E-3</v>
      </c>
      <c r="AA4294">
        <v>0.99435240000000003</v>
      </c>
      <c r="AB4294">
        <v>30</v>
      </c>
      <c r="AC4294">
        <v>7.0013999999999896</v>
      </c>
      <c r="AD4294">
        <v>-1.0429554400000001</v>
      </c>
      <c r="AE4294">
        <v>-52.285590999999997</v>
      </c>
      <c r="AF4294">
        <v>-5.6192545226145096</v>
      </c>
      <c r="AG4294">
        <v>-1.0429554400000001</v>
      </c>
      <c r="AH4294">
        <v>52.431406328536397</v>
      </c>
      <c r="AI4294">
        <v>91.133079255945802</v>
      </c>
      <c r="AJ4294">
        <v>96.117236312139497</v>
      </c>
      <c r="AK4294">
        <v>52.741977086831298</v>
      </c>
      <c r="AL4294">
        <v>78.097937951593593</v>
      </c>
      <c r="AM4294">
        <v>88.976697303967995</v>
      </c>
      <c r="AN4294">
        <v>0.99999999347605995</v>
      </c>
    </row>
    <row r="4295" spans="1:40" x14ac:dyDescent="0.25">
      <c r="A4295" t="str">
        <f>"20190303171104074"</f>
        <v>20190303171104074</v>
      </c>
      <c r="B4295" t="str">
        <f>"1551604264065274"</f>
        <v>1551604264065274</v>
      </c>
      <c r="C4295" t="s">
        <v>40</v>
      </c>
      <c r="D4295">
        <v>4.7384320000000004</v>
      </c>
      <c r="E4295">
        <v>0.45498300000000003</v>
      </c>
      <c r="F4295" t="s">
        <v>68</v>
      </c>
      <c r="G4295">
        <v>-415.70859999999999</v>
      </c>
      <c r="H4295">
        <v>7.9986559999999998E-2</v>
      </c>
      <c r="I4295">
        <v>8.1826150000000002</v>
      </c>
      <c r="J4295">
        <v>-422.70179999999999</v>
      </c>
      <c r="K4295">
        <v>1.122862</v>
      </c>
      <c r="L4295">
        <v>59.610199999999999</v>
      </c>
      <c r="M4295">
        <v>2.8133390000000001E-2</v>
      </c>
      <c r="N4295">
        <v>-1.363439E-2</v>
      </c>
      <c r="O4295">
        <v>-0.99951129999999999</v>
      </c>
      <c r="P4295">
        <v>1.054098E-2</v>
      </c>
      <c r="Q4295">
        <v>0.19252820000000001</v>
      </c>
      <c r="R4295">
        <v>-0.98123510000000003</v>
      </c>
      <c r="S4295">
        <v>0.4151917</v>
      </c>
      <c r="T4295">
        <v>-6.1834689999999998E-2</v>
      </c>
      <c r="U4295">
        <v>-3.0664060000000002</v>
      </c>
      <c r="V4295">
        <v>1.6303209999999999E-2</v>
      </c>
      <c r="W4295">
        <v>0.20594960000000001</v>
      </c>
      <c r="X4295">
        <v>0.97842680000000004</v>
      </c>
      <c r="Y4295">
        <v>-0.10621410000000001</v>
      </c>
      <c r="Z4295">
        <v>6.393223E-3</v>
      </c>
      <c r="AA4295">
        <v>0.9943227</v>
      </c>
      <c r="AB4295">
        <v>30</v>
      </c>
      <c r="AC4295">
        <v>6.9931999999999999</v>
      </c>
      <c r="AD4295">
        <v>-1.04287544</v>
      </c>
      <c r="AE4295">
        <v>-51.427585000000001</v>
      </c>
      <c r="AF4295">
        <v>-5.5412274933049703</v>
      </c>
      <c r="AG4295">
        <v>-1.04287544</v>
      </c>
      <c r="AH4295">
        <v>51.583158892368402</v>
      </c>
      <c r="AI4295">
        <v>91.151588121891905</v>
      </c>
      <c r="AJ4295">
        <v>96.131382708880494</v>
      </c>
      <c r="AK4295">
        <v>51.890414072651602</v>
      </c>
      <c r="AL4295">
        <v>78.114906840780407</v>
      </c>
      <c r="AM4295">
        <v>89.045387258301304</v>
      </c>
      <c r="AN4295">
        <v>1.00000001767735</v>
      </c>
    </row>
    <row r="4296" spans="1:40" x14ac:dyDescent="0.25">
      <c r="A4296" t="str">
        <f>"20190303171104096"</f>
        <v>20190303171104096</v>
      </c>
      <c r="B4296" t="str">
        <f>"1551604264084796"</f>
        <v>1551604264084796</v>
      </c>
      <c r="C4296" t="s">
        <v>40</v>
      </c>
      <c r="D4296">
        <v>4.7354770000000004</v>
      </c>
      <c r="E4296">
        <v>0.45507700000000001</v>
      </c>
      <c r="F4296" t="s">
        <v>68</v>
      </c>
      <c r="G4296">
        <v>-415.76909999999998</v>
      </c>
      <c r="H4296">
        <v>7.9986550000000003E-2</v>
      </c>
      <c r="I4296">
        <v>9.3831289999999896</v>
      </c>
      <c r="J4296">
        <v>-422.69159999999999</v>
      </c>
      <c r="K4296">
        <v>1.1227670000000001</v>
      </c>
      <c r="L4296">
        <v>59.312869999999997</v>
      </c>
      <c r="M4296">
        <v>2.9831259999999998E-2</v>
      </c>
      <c r="N4296">
        <v>-1.3631280000000001E-2</v>
      </c>
      <c r="O4296">
        <v>-0.99946230000000003</v>
      </c>
      <c r="P4296">
        <v>1.3356679999999999E-2</v>
      </c>
      <c r="Q4296">
        <v>0.1920905</v>
      </c>
      <c r="R4296">
        <v>-0.98128660000000001</v>
      </c>
      <c r="S4296">
        <v>0.42309570000000002</v>
      </c>
      <c r="T4296">
        <v>-6.3645599999999997E-2</v>
      </c>
      <c r="U4296">
        <v>-3.0653079999999999</v>
      </c>
      <c r="V4296">
        <v>1.5205160000000001E-2</v>
      </c>
      <c r="W4296">
        <v>0.20550309999999999</v>
      </c>
      <c r="X4296">
        <v>0.97853829999999997</v>
      </c>
      <c r="Y4296">
        <v>-0.107088</v>
      </c>
      <c r="Z4296">
        <v>6.9852689999999997E-3</v>
      </c>
      <c r="AA4296">
        <v>0.99422500000000003</v>
      </c>
      <c r="AB4296">
        <v>30</v>
      </c>
      <c r="AC4296">
        <v>6.9225000000000101</v>
      </c>
      <c r="AD4296">
        <v>-1.04278045</v>
      </c>
      <c r="AE4296">
        <v>-49.929741</v>
      </c>
      <c r="AF4296">
        <v>-5.4274908065068104</v>
      </c>
      <c r="AG4296">
        <v>-1.04278045</v>
      </c>
      <c r="AH4296">
        <v>50.092604237112198</v>
      </c>
      <c r="AI4296">
        <v>91.185620082606206</v>
      </c>
      <c r="AJ4296">
        <v>96.1838255595314</v>
      </c>
      <c r="AK4296">
        <v>50.396567807516099</v>
      </c>
      <c r="AL4296">
        <v>78.141047929208696</v>
      </c>
      <c r="AM4296">
        <v>89.109772822664794</v>
      </c>
      <c r="AN4296">
        <v>0.99999996278356196</v>
      </c>
    </row>
    <row r="4297" spans="1:40" x14ac:dyDescent="0.25">
      <c r="A4297" t="str">
        <f>"20190303171104118"</f>
        <v>20190303171104118</v>
      </c>
      <c r="B4297" t="str">
        <f>"1551604264105291"</f>
        <v>1551604264105291</v>
      </c>
      <c r="C4297" t="s">
        <v>40</v>
      </c>
      <c r="D4297">
        <v>4.7417759999999998</v>
      </c>
      <c r="E4297">
        <v>0.45518930000000002</v>
      </c>
      <c r="F4297" t="s">
        <v>68</v>
      </c>
      <c r="G4297">
        <v>-415.7072</v>
      </c>
      <c r="H4297">
        <v>5.525045E-2</v>
      </c>
      <c r="I4297">
        <v>9.611008</v>
      </c>
      <c r="J4297">
        <v>-422.6807</v>
      </c>
      <c r="K4297">
        <v>1.122665</v>
      </c>
      <c r="L4297">
        <v>59.009799999999998</v>
      </c>
      <c r="M4297">
        <v>3.1421959999999999E-2</v>
      </c>
      <c r="N4297">
        <v>-1.3628029999999999E-2</v>
      </c>
      <c r="O4297">
        <v>-0.99941360000000001</v>
      </c>
      <c r="P4297">
        <v>1.565569E-2</v>
      </c>
      <c r="Q4297">
        <v>0.19218759999999999</v>
      </c>
      <c r="R4297">
        <v>-0.98123380000000004</v>
      </c>
      <c r="S4297">
        <v>0.43060300000000001</v>
      </c>
      <c r="T4297">
        <v>-6.581497E-2</v>
      </c>
      <c r="U4297">
        <v>-3.0642399999999999</v>
      </c>
      <c r="V4297">
        <v>1.4517499999999999E-2</v>
      </c>
      <c r="W4297">
        <v>0.20559069999999999</v>
      </c>
      <c r="X4297">
        <v>0.97853029999999996</v>
      </c>
      <c r="Y4297">
        <v>-0.10794049999999999</v>
      </c>
      <c r="Z4297">
        <v>7.693302E-3</v>
      </c>
      <c r="AA4297">
        <v>0.9941276</v>
      </c>
      <c r="AB4297">
        <v>30</v>
      </c>
      <c r="AC4297">
        <v>6.9734999999999996</v>
      </c>
      <c r="AD4297">
        <v>-1.0674145500000001</v>
      </c>
      <c r="AE4297">
        <v>-49.398792</v>
      </c>
      <c r="AF4297">
        <v>-5.41522632693201</v>
      </c>
      <c r="AG4297">
        <v>-1.0674145500000001</v>
      </c>
      <c r="AH4297">
        <v>49.570843177346603</v>
      </c>
      <c r="AI4297">
        <v>91.226272710553303</v>
      </c>
      <c r="AJ4297">
        <v>96.234393437675195</v>
      </c>
      <c r="AK4297">
        <v>49.877174572208297</v>
      </c>
      <c r="AL4297">
        <v>78.135918804225795</v>
      </c>
      <c r="AM4297">
        <v>89.150020741050497</v>
      </c>
      <c r="AN4297">
        <v>0.99999992087541101</v>
      </c>
    </row>
    <row r="4298" spans="1:40" x14ac:dyDescent="0.25">
      <c r="A4298" t="str">
        <f>"20190303171104141"</f>
        <v>20190303171104141</v>
      </c>
      <c r="B4298" t="str">
        <f>"1551604264135546"</f>
        <v>1551604264135546</v>
      </c>
      <c r="C4298" t="s">
        <v>40</v>
      </c>
      <c r="D4298">
        <v>4.7516530000000001</v>
      </c>
      <c r="E4298">
        <v>0.4553412</v>
      </c>
      <c r="F4298" t="s">
        <v>68</v>
      </c>
      <c r="G4298">
        <v>-415.64699999999999</v>
      </c>
      <c r="H4298">
        <v>6.0741980000000001E-2</v>
      </c>
      <c r="I4298">
        <v>9.6055159999999997</v>
      </c>
      <c r="J4298">
        <v>-422.6694</v>
      </c>
      <c r="K4298">
        <v>1.1225620000000001</v>
      </c>
      <c r="L4298">
        <v>58.704859999999996</v>
      </c>
      <c r="M4298">
        <v>3.2884629999999998E-2</v>
      </c>
      <c r="N4298">
        <v>-1.3624590000000001E-2</v>
      </c>
      <c r="O4298">
        <v>-0.99936630000000004</v>
      </c>
      <c r="P4298">
        <v>1.777041E-2</v>
      </c>
      <c r="Q4298">
        <v>0.19255659999999999</v>
      </c>
      <c r="R4298">
        <v>-0.98112509999999997</v>
      </c>
      <c r="S4298">
        <v>0.43612669999999998</v>
      </c>
      <c r="T4298">
        <v>-6.5844769999999997E-2</v>
      </c>
      <c r="U4298">
        <v>-3.0633240000000002</v>
      </c>
      <c r="V4298">
        <v>1.3886559999999999E-2</v>
      </c>
      <c r="W4298">
        <v>0.20594960000000001</v>
      </c>
      <c r="X4298">
        <v>0.97846409999999995</v>
      </c>
      <c r="Y4298">
        <v>-0.1082837</v>
      </c>
      <c r="Z4298">
        <v>7.709886E-3</v>
      </c>
      <c r="AA4298">
        <v>0.99409009999999998</v>
      </c>
      <c r="AB4298">
        <v>30</v>
      </c>
      <c r="AC4298">
        <v>7.0224000000000002</v>
      </c>
      <c r="AD4298">
        <v>-1.0618200200000001</v>
      </c>
      <c r="AE4298">
        <v>-49.099344000000002</v>
      </c>
      <c r="AF4298">
        <v>-5.4013621622902299</v>
      </c>
      <c r="AG4298">
        <v>-1.0618200200000001</v>
      </c>
      <c r="AH4298">
        <v>49.2811484798737</v>
      </c>
      <c r="AI4298">
        <v>91.226968237288006</v>
      </c>
      <c r="AJ4298">
        <v>96.254823549508899</v>
      </c>
      <c r="AK4298">
        <v>49.5876372744099</v>
      </c>
      <c r="AL4298">
        <v>78.114907045310801</v>
      </c>
      <c r="AM4298">
        <v>89.186901320725397</v>
      </c>
      <c r="AN4298">
        <v>1.0000000346388001</v>
      </c>
    </row>
    <row r="4299" spans="1:40" x14ac:dyDescent="0.25">
      <c r="A4299" t="str">
        <f>"20190303171104163"</f>
        <v>20190303171104163</v>
      </c>
      <c r="B4299" t="str">
        <f>"1551604264155066"</f>
        <v>1551604264155066</v>
      </c>
      <c r="C4299" t="s">
        <v>40</v>
      </c>
      <c r="D4299">
        <v>4.7464089999999999</v>
      </c>
      <c r="E4299">
        <v>0.45550499999999999</v>
      </c>
      <c r="F4299" t="s">
        <v>68</v>
      </c>
      <c r="G4299">
        <v>-415.5548</v>
      </c>
      <c r="H4299">
        <v>7.9986559999999998E-2</v>
      </c>
      <c r="I4299">
        <v>9.368328</v>
      </c>
      <c r="J4299">
        <v>-422.65800000000002</v>
      </c>
      <c r="K4299">
        <v>1.1224749999999999</v>
      </c>
      <c r="L4299">
        <v>58.403350000000003</v>
      </c>
      <c r="M4299">
        <v>3.4221260000000003E-2</v>
      </c>
      <c r="N4299">
        <v>-1.362124E-2</v>
      </c>
      <c r="O4299">
        <v>-0.99932160000000003</v>
      </c>
      <c r="P4299">
        <v>1.9302280000000002E-2</v>
      </c>
      <c r="Q4299">
        <v>0.19257089999999999</v>
      </c>
      <c r="R4299">
        <v>-0.98109349999999995</v>
      </c>
      <c r="S4299">
        <v>0.44161990000000001</v>
      </c>
      <c r="T4299">
        <v>-6.4714549999999996E-2</v>
      </c>
      <c r="U4299">
        <v>-3.062408</v>
      </c>
      <c r="V4299">
        <v>1.371315E-2</v>
      </c>
      <c r="W4299">
        <v>0.2059571</v>
      </c>
      <c r="X4299">
        <v>0.97846500000000003</v>
      </c>
      <c r="Y4299">
        <v>-0.1087433</v>
      </c>
      <c r="Z4299">
        <v>7.3509949999999999E-3</v>
      </c>
      <c r="AA4299">
        <v>0.99404269999999995</v>
      </c>
      <c r="AB4299">
        <v>30</v>
      </c>
      <c r="AC4299">
        <v>7.10320000000001</v>
      </c>
      <c r="AD4299">
        <v>-1.0424884399999901</v>
      </c>
      <c r="AE4299">
        <v>-49.035021999999998</v>
      </c>
      <c r="AF4299">
        <v>-5.4184443162024198</v>
      </c>
      <c r="AG4299">
        <v>-1.0424884399999901</v>
      </c>
      <c r="AH4299">
        <v>49.227605793754599</v>
      </c>
      <c r="AI4299">
        <v>91.205885444883094</v>
      </c>
      <c r="AJ4299">
        <v>96.281217224537201</v>
      </c>
      <c r="AK4299">
        <v>49.535880865697997</v>
      </c>
      <c r="AL4299">
        <v>78.114468301499997</v>
      </c>
      <c r="AM4299">
        <v>89.197054383811206</v>
      </c>
      <c r="AN4299">
        <v>1.00000006687416</v>
      </c>
    </row>
    <row r="4300" spans="1:40" x14ac:dyDescent="0.25">
      <c r="A4300" t="str">
        <f>"20190303171104185"</f>
        <v>20190303171104185</v>
      </c>
      <c r="B4300" t="str">
        <f>"1551604264175562"</f>
        <v>1551604264175562</v>
      </c>
      <c r="C4300" t="s">
        <v>40</v>
      </c>
      <c r="D4300">
        <v>4.7633130000000001</v>
      </c>
      <c r="E4300">
        <v>0.46270109999999998</v>
      </c>
      <c r="F4300" t="s">
        <v>68</v>
      </c>
      <c r="G4300">
        <v>-415.53519999999997</v>
      </c>
      <c r="H4300">
        <v>7.9986559999999998E-2</v>
      </c>
      <c r="I4300">
        <v>9.3114030000000003</v>
      </c>
      <c r="J4300">
        <v>-422.64699999999999</v>
      </c>
      <c r="K4300">
        <v>1.1223879999999999</v>
      </c>
      <c r="L4300">
        <v>58.121369999999999</v>
      </c>
      <c r="M4300">
        <v>3.5366960000000003E-2</v>
      </c>
      <c r="N4300">
        <v>-1.361804E-2</v>
      </c>
      <c r="O4300">
        <v>-0.99928159999999999</v>
      </c>
      <c r="P4300">
        <v>2.108436E-2</v>
      </c>
      <c r="Q4300">
        <v>0.19214629999999999</v>
      </c>
      <c r="R4300">
        <v>-0.98113989999999995</v>
      </c>
      <c r="S4300">
        <v>0.44424439999999998</v>
      </c>
      <c r="T4300">
        <v>-6.5019250000000001E-2</v>
      </c>
      <c r="U4300">
        <v>-3.0618289999999999</v>
      </c>
      <c r="V4300">
        <v>1.3101399999999999E-2</v>
      </c>
      <c r="W4300">
        <v>0.20552590000000001</v>
      </c>
      <c r="X4300">
        <v>0.97856399999999999</v>
      </c>
      <c r="Y4300">
        <v>-0.1084647</v>
      </c>
      <c r="Z4300">
        <v>7.455784E-3</v>
      </c>
      <c r="AA4300">
        <v>0.99407230000000002</v>
      </c>
      <c r="AB4300">
        <v>30</v>
      </c>
      <c r="AC4300">
        <v>7.1118000000000103</v>
      </c>
      <c r="AD4300">
        <v>-1.0424014399999999</v>
      </c>
      <c r="AE4300">
        <v>-48.809967</v>
      </c>
      <c r="AF4300">
        <v>-5.3785276241340503</v>
      </c>
      <c r="AG4300">
        <v>-1.0424014399999999</v>
      </c>
      <c r="AH4300">
        <v>49.0090835646917</v>
      </c>
      <c r="AI4300">
        <v>91.211202169833001</v>
      </c>
      <c r="AJ4300">
        <v>96.262892082369504</v>
      </c>
      <c r="AK4300">
        <v>49.314353204889699</v>
      </c>
      <c r="AL4300">
        <v>78.139713806673996</v>
      </c>
      <c r="AM4300">
        <v>89.232947380924102</v>
      </c>
      <c r="AN4300">
        <v>1.0000000221743801</v>
      </c>
    </row>
    <row r="4301" spans="1:40" x14ac:dyDescent="0.25">
      <c r="A4301" t="str">
        <f>"20190303171104207"</f>
        <v>20190303171104207</v>
      </c>
      <c r="B4301" t="str">
        <f>"1551604264195082"</f>
        <v>1551604264195082</v>
      </c>
      <c r="C4301" t="s">
        <v>40</v>
      </c>
      <c r="D4301">
        <v>4.7767600000000003</v>
      </c>
      <c r="E4301">
        <v>0.46263890000000002</v>
      </c>
      <c r="F4301" t="s">
        <v>68</v>
      </c>
      <c r="G4301">
        <v>-417.41199999999998</v>
      </c>
      <c r="H4301" s="1">
        <v>-1.260538E-5</v>
      </c>
      <c r="I4301">
        <v>17.290959999999998</v>
      </c>
      <c r="J4301">
        <v>-422.63510000000002</v>
      </c>
      <c r="K4301">
        <v>1.122306</v>
      </c>
      <c r="L4301">
        <v>57.822569999999899</v>
      </c>
      <c r="M4301">
        <v>3.6464370000000003E-2</v>
      </c>
      <c r="N4301">
        <v>-1.361453E-2</v>
      </c>
      <c r="O4301">
        <v>-0.99924250000000003</v>
      </c>
      <c r="P4301">
        <v>2.2044669999999999E-2</v>
      </c>
      <c r="Q4301">
        <v>0.19243959999999999</v>
      </c>
      <c r="R4301">
        <v>-0.98106139999999997</v>
      </c>
      <c r="S4301">
        <v>0.39306639999999998</v>
      </c>
      <c r="T4301">
        <v>-8.4275009999999997E-2</v>
      </c>
      <c r="U4301">
        <v>-3.0657350000000001</v>
      </c>
      <c r="V4301">
        <v>1.326131E-2</v>
      </c>
      <c r="W4301">
        <v>0.20581240000000001</v>
      </c>
      <c r="X4301">
        <v>0.97850159999999997</v>
      </c>
      <c r="Y4301">
        <v>-9.0878399999999998E-2</v>
      </c>
      <c r="Z4301">
        <v>1.3702829999999999E-2</v>
      </c>
      <c r="AA4301">
        <v>0.99576770000000003</v>
      </c>
      <c r="AB4301">
        <v>30</v>
      </c>
      <c r="AC4301">
        <v>5.2231000000000396</v>
      </c>
      <c r="AD4301">
        <v>-1.1223186053799901</v>
      </c>
      <c r="AE4301">
        <v>-40.531609999999901</v>
      </c>
      <c r="AF4301">
        <v>-3.7387097965676501</v>
      </c>
      <c r="AG4301">
        <v>-1.1223186053799901</v>
      </c>
      <c r="AH4301">
        <v>40.664454759603402</v>
      </c>
      <c r="AI4301">
        <v>91.574297068905494</v>
      </c>
      <c r="AJ4301">
        <v>95.253033729323306</v>
      </c>
      <c r="AK4301">
        <v>40.851382239659401</v>
      </c>
      <c r="AL4301">
        <v>78.122939625740997</v>
      </c>
      <c r="AM4301">
        <v>89.223536702271602</v>
      </c>
      <c r="AN4301">
        <v>0.99999999376961801</v>
      </c>
    </row>
    <row r="4302" spans="1:40" x14ac:dyDescent="0.25">
      <c r="A4302" t="str">
        <f>"20190303171104230"</f>
        <v>20190303171104230</v>
      </c>
      <c r="B4302" t="str">
        <f>"1551604264215578"</f>
        <v>1551604264215578</v>
      </c>
      <c r="C4302" t="s">
        <v>40</v>
      </c>
      <c r="D4302">
        <v>4.7715680000000003</v>
      </c>
      <c r="E4302">
        <v>0.46232719999999999</v>
      </c>
      <c r="F4302" t="s">
        <v>68</v>
      </c>
      <c r="G4302">
        <v>-417.49770000000001</v>
      </c>
      <c r="H4302" s="1">
        <v>-1.2439800000000001E-5</v>
      </c>
      <c r="I4302">
        <v>18.15898</v>
      </c>
      <c r="J4302">
        <v>-422.62279999999998</v>
      </c>
      <c r="K4302">
        <v>1.122209</v>
      </c>
      <c r="L4302">
        <v>57.518889999999999</v>
      </c>
      <c r="M4302">
        <v>3.746008E-2</v>
      </c>
      <c r="N4302">
        <v>-1.361092E-2</v>
      </c>
      <c r="O4302">
        <v>-0.99920549999999997</v>
      </c>
      <c r="P4302">
        <v>2.2486699999999998E-2</v>
      </c>
      <c r="Q4302">
        <v>0.19350010000000001</v>
      </c>
      <c r="R4302">
        <v>-0.98084280000000001</v>
      </c>
      <c r="S4302">
        <v>0.39712520000000001</v>
      </c>
      <c r="T4302">
        <v>-8.675563E-2</v>
      </c>
      <c r="U4302">
        <v>-3.0660099999999999</v>
      </c>
      <c r="V4302">
        <v>1.383648E-2</v>
      </c>
      <c r="W4302">
        <v>0.20686460000000001</v>
      </c>
      <c r="X4302">
        <v>0.97827169999999997</v>
      </c>
      <c r="Y4302">
        <v>-9.1169459999999994E-2</v>
      </c>
      <c r="Z4302">
        <v>1.4503520000000001E-2</v>
      </c>
      <c r="AA4302">
        <v>0.99572969999999905</v>
      </c>
      <c r="AB4302">
        <v>30</v>
      </c>
      <c r="AC4302">
        <v>5.1250999999999696</v>
      </c>
      <c r="AD4302">
        <v>-1.1222214398000001</v>
      </c>
      <c r="AE4302">
        <v>-39.359909999999999</v>
      </c>
      <c r="AF4302">
        <v>-3.6440273690497502</v>
      </c>
      <c r="AG4302">
        <v>-1.1222214398000001</v>
      </c>
      <c r="AH4302">
        <v>39.492714324870001</v>
      </c>
      <c r="AI4302">
        <v>91.620792422229101</v>
      </c>
      <c r="AJ4302">
        <v>95.271804385770295</v>
      </c>
      <c r="AK4302">
        <v>39.676350653407198</v>
      </c>
      <c r="AL4302">
        <v>78.061326794638603</v>
      </c>
      <c r="AM4302">
        <v>89.189673942571801</v>
      </c>
      <c r="AN4302">
        <v>0.99999996496641896</v>
      </c>
    </row>
    <row r="4303" spans="1:40" x14ac:dyDescent="0.25">
      <c r="A4303" t="str">
        <f>"20190303171104252"</f>
        <v>20190303171104252</v>
      </c>
      <c r="B4303" t="str">
        <f>"1551604264244859"</f>
        <v>1551604264244859</v>
      </c>
      <c r="C4303" t="s">
        <v>40</v>
      </c>
      <c r="D4303">
        <v>4.6793250000000004</v>
      </c>
      <c r="E4303">
        <v>0.46242670000000002</v>
      </c>
      <c r="F4303" t="s">
        <v>68</v>
      </c>
      <c r="G4303">
        <v>-416.98129999999998</v>
      </c>
      <c r="H4303" s="1">
        <v>-1.3131760000000001E-5</v>
      </c>
      <c r="I4303">
        <v>14.311170000000001</v>
      </c>
      <c r="J4303">
        <v>-422.61040000000003</v>
      </c>
      <c r="K4303">
        <v>1.1221159999999999</v>
      </c>
      <c r="L4303">
        <v>57.215760000000003</v>
      </c>
      <c r="M4303">
        <v>3.8336490000000001E-2</v>
      </c>
      <c r="N4303">
        <v>-1.3607360000000001E-2</v>
      </c>
      <c r="O4303">
        <v>-0.99917239999999996</v>
      </c>
      <c r="P4303">
        <v>2.3813009999999999E-2</v>
      </c>
      <c r="Q4303">
        <v>0.19415950000000001</v>
      </c>
      <c r="R4303">
        <v>-0.98068109999999997</v>
      </c>
      <c r="S4303">
        <v>0.40020749999999999</v>
      </c>
      <c r="T4303">
        <v>-7.9609630000000001E-2</v>
      </c>
      <c r="U4303">
        <v>-3.0651250000000001</v>
      </c>
      <c r="V4303">
        <v>1.34161E-2</v>
      </c>
      <c r="W4303">
        <v>0.20751439999999999</v>
      </c>
      <c r="X4303">
        <v>0.97813989999999995</v>
      </c>
      <c r="Y4303">
        <v>-9.1322680000000003E-2</v>
      </c>
      <c r="Z4303">
        <v>1.22005E-2</v>
      </c>
      <c r="AA4303">
        <v>0.99574660000000004</v>
      </c>
      <c r="AB4303">
        <v>30</v>
      </c>
      <c r="AC4303">
        <v>5.62910000000005</v>
      </c>
      <c r="AD4303">
        <v>-1.12212913176</v>
      </c>
      <c r="AE4303">
        <v>-42.904589999999999</v>
      </c>
      <c r="AF4303">
        <v>-3.9773232089676398</v>
      </c>
      <c r="AG4303">
        <v>-1.12212913176</v>
      </c>
      <c r="AH4303">
        <v>43.059908271460898</v>
      </c>
      <c r="AI4303">
        <v>91.4864494398891</v>
      </c>
      <c r="AJ4303">
        <v>95.277276737843295</v>
      </c>
      <c r="AK4303">
        <v>43.257762009188198</v>
      </c>
      <c r="AL4303">
        <v>78.0232699065741</v>
      </c>
      <c r="AM4303">
        <v>89.214184280288094</v>
      </c>
      <c r="AN4303">
        <v>0.99999994095928801</v>
      </c>
    </row>
    <row r="4304" spans="1:40" x14ac:dyDescent="0.25">
      <c r="A4304" t="str">
        <f>"20190303171104274"</f>
        <v>20190303171104274</v>
      </c>
      <c r="B4304" t="str">
        <f>"1551604264265354"</f>
        <v>1551604264265354</v>
      </c>
      <c r="C4304" t="s">
        <v>40</v>
      </c>
      <c r="D4304">
        <v>4.8661599999999998</v>
      </c>
      <c r="E4304">
        <v>0.46312730000000002</v>
      </c>
      <c r="F4304" t="s">
        <v>68</v>
      </c>
      <c r="G4304">
        <v>-416.7441</v>
      </c>
      <c r="H4304" s="1">
        <v>-1.3403950000000001E-5</v>
      </c>
      <c r="I4304">
        <v>12.73588</v>
      </c>
      <c r="J4304">
        <v>-422.59829999999999</v>
      </c>
      <c r="K4304">
        <v>1.12202</v>
      </c>
      <c r="L4304">
        <v>56.9244699999999</v>
      </c>
      <c r="M4304">
        <v>3.9069050000000001E-2</v>
      </c>
      <c r="N4304">
        <v>-1.3604049999999999E-2</v>
      </c>
      <c r="O4304">
        <v>-0.99914420000000004</v>
      </c>
      <c r="P4304">
        <v>2.5645299999999999E-2</v>
      </c>
      <c r="Q4304">
        <v>0.1932557</v>
      </c>
      <c r="R4304">
        <v>-0.9808135</v>
      </c>
      <c r="S4304">
        <v>0.4041748</v>
      </c>
      <c r="T4304">
        <v>-7.7312469999999994E-2</v>
      </c>
      <c r="U4304">
        <v>-3.064575</v>
      </c>
      <c r="V4304">
        <v>1.2360690000000001E-2</v>
      </c>
      <c r="W4304">
        <v>0.2066047</v>
      </c>
      <c r="X4304">
        <v>0.97834639999999995</v>
      </c>
      <c r="Y4304">
        <v>-9.1884160000000006E-2</v>
      </c>
      <c r="Z4304">
        <v>1.146206E-2</v>
      </c>
      <c r="AA4304">
        <v>0.99570380000000003</v>
      </c>
      <c r="AB4304">
        <v>30</v>
      </c>
      <c r="AC4304">
        <v>5.8541999999999899</v>
      </c>
      <c r="AD4304">
        <v>-1.12203340395</v>
      </c>
      <c r="AE4304">
        <v>-44.188589999999898</v>
      </c>
      <c r="AF4304">
        <v>-4.1205531744187098</v>
      </c>
      <c r="AG4304">
        <v>-1.12203340395</v>
      </c>
      <c r="AH4304">
        <v>44.355480592180399</v>
      </c>
      <c r="AI4304">
        <v>91.4428571852267</v>
      </c>
      <c r="AJ4304">
        <v>95.307453244547006</v>
      </c>
      <c r="AK4304">
        <v>44.560594430349397</v>
      </c>
      <c r="AL4304">
        <v>78.076546989511996</v>
      </c>
      <c r="AM4304">
        <v>89.276148315579405</v>
      </c>
      <c r="AN4304">
        <v>0.99999998355616204</v>
      </c>
    </row>
    <row r="4305" spans="1:40" x14ac:dyDescent="0.25">
      <c r="A4305" t="str">
        <f>"20190303171104297"</f>
        <v>20190303171104297</v>
      </c>
      <c r="B4305" t="str">
        <f>"1551604264284874"</f>
        <v>1551604264284874</v>
      </c>
      <c r="C4305" t="s">
        <v>40</v>
      </c>
      <c r="D4305">
        <v>4.7253339999999904</v>
      </c>
      <c r="E4305">
        <v>0.46420169999999999</v>
      </c>
      <c r="F4305" t="s">
        <v>92</v>
      </c>
      <c r="G4305">
        <v>-415.44290000000001</v>
      </c>
      <c r="H4305">
        <v>7.2077259999999903</v>
      </c>
      <c r="I4305">
        <v>1.279633</v>
      </c>
      <c r="J4305">
        <v>-422.58569999999997</v>
      </c>
      <c r="K4305">
        <v>1.1219239999999999</v>
      </c>
      <c r="L4305">
        <v>56.621859999999998</v>
      </c>
      <c r="M4305">
        <v>3.9722840000000002E-2</v>
      </c>
      <c r="N4305">
        <v>-1.360068E-2</v>
      </c>
      <c r="O4305">
        <v>-0.99911839999999996</v>
      </c>
      <c r="P4305">
        <v>2.702106E-2</v>
      </c>
      <c r="Q4305">
        <v>0.19288910000000001</v>
      </c>
      <c r="R4305">
        <v>-0.98084870000000002</v>
      </c>
      <c r="S4305">
        <v>0.3837585</v>
      </c>
      <c r="T4305">
        <v>0.32638729999999999</v>
      </c>
      <c r="U4305">
        <v>-2.9843440000000001</v>
      </c>
      <c r="V4305">
        <v>1.1677180000000001E-2</v>
      </c>
      <c r="W4305">
        <v>0.20623240000000001</v>
      </c>
      <c r="X4305">
        <v>0.97843340000000001</v>
      </c>
      <c r="Y4305">
        <v>-8.7150130000000006E-2</v>
      </c>
      <c r="Z4305">
        <v>-0.121421</v>
      </c>
      <c r="AA4305">
        <v>0.98876779999999997</v>
      </c>
      <c r="AB4305">
        <v>30</v>
      </c>
      <c r="AC4305">
        <v>7.1427999999999603</v>
      </c>
      <c r="AD4305">
        <v>6.0858019999999904</v>
      </c>
      <c r="AE4305">
        <v>-55.342227000000001</v>
      </c>
      <c r="AF4305">
        <v>-4.8805561854963404</v>
      </c>
      <c r="AG4305">
        <v>6.0858019999999904</v>
      </c>
      <c r="AH4305">
        <v>54.928943563502898</v>
      </c>
      <c r="AI4305">
        <v>83.702361296339006</v>
      </c>
      <c r="AJ4305">
        <v>95.077520874930102</v>
      </c>
      <c r="AK4305">
        <v>55.480137487802502</v>
      </c>
      <c r="AL4305">
        <v>78.098348380764506</v>
      </c>
      <c r="AM4305">
        <v>89.316232082793306</v>
      </c>
      <c r="AN4305">
        <v>1.00000003878903</v>
      </c>
    </row>
    <row r="4306" spans="1:40" x14ac:dyDescent="0.25">
      <c r="A4306" t="str">
        <f>"20190303171104320"</f>
        <v>20190303171104320</v>
      </c>
      <c r="B4306" t="str">
        <f>"1551604264305372"</f>
        <v>1551604264305372</v>
      </c>
      <c r="C4306" t="s">
        <v>40</v>
      </c>
      <c r="D4306">
        <v>4.8206730000000002</v>
      </c>
      <c r="E4306">
        <v>0.46495809999999999</v>
      </c>
      <c r="F4306" t="s">
        <v>92</v>
      </c>
      <c r="G4306">
        <v>-415.5505</v>
      </c>
      <c r="H4306">
        <v>7.046519</v>
      </c>
      <c r="I4306">
        <v>1.279209</v>
      </c>
      <c r="J4306">
        <v>-422.57310000000001</v>
      </c>
      <c r="K4306">
        <v>1.1218490000000001</v>
      </c>
      <c r="L4306">
        <v>56.322749999999999</v>
      </c>
      <c r="M4306">
        <v>4.027389E-2</v>
      </c>
      <c r="N4306">
        <v>-1.3597450000000001E-2</v>
      </c>
      <c r="O4306">
        <v>-0.99909619999999999</v>
      </c>
      <c r="P4306">
        <v>2.7472960000000001E-2</v>
      </c>
      <c r="Q4306">
        <v>0.1935114</v>
      </c>
      <c r="R4306">
        <v>-0.98071339999999996</v>
      </c>
      <c r="S4306">
        <v>0.37948609999999999</v>
      </c>
      <c r="T4306">
        <v>0.31957960000000002</v>
      </c>
      <c r="U4306">
        <v>-2.9852599999999998</v>
      </c>
      <c r="V4306">
        <v>1.179966E-2</v>
      </c>
      <c r="W4306">
        <v>0.20684730000000001</v>
      </c>
      <c r="X4306">
        <v>0.97830209999999995</v>
      </c>
      <c r="Y4306">
        <v>-8.5201460000000007E-2</v>
      </c>
      <c r="Z4306">
        <v>-0.1191784</v>
      </c>
      <c r="AA4306">
        <v>0.98921040000000005</v>
      </c>
      <c r="AB4306">
        <v>30</v>
      </c>
      <c r="AC4306">
        <v>7.0226000000000104</v>
      </c>
      <c r="AD4306">
        <v>5.9246699999999999</v>
      </c>
      <c r="AE4306">
        <v>-55.043540999999998</v>
      </c>
      <c r="AF4306">
        <v>-4.7457773046062703</v>
      </c>
      <c r="AG4306">
        <v>5.9246699999999999</v>
      </c>
      <c r="AH4306">
        <v>54.658622092264899</v>
      </c>
      <c r="AI4306">
        <v>83.836639618540303</v>
      </c>
      <c r="AJ4306">
        <v>94.962305711613595</v>
      </c>
      <c r="AK4306">
        <v>55.183231926544899</v>
      </c>
      <c r="AL4306">
        <v>78.062340568811905</v>
      </c>
      <c r="AM4306">
        <v>89.308968123032997</v>
      </c>
      <c r="AN4306">
        <v>1.0000000181788999</v>
      </c>
    </row>
    <row r="4307" spans="1:40" x14ac:dyDescent="0.25">
      <c r="A4307" t="str">
        <f>"20190303171104342"</f>
        <v>20190303171104342</v>
      </c>
      <c r="B4307" t="str">
        <f>"1551604264335626"</f>
        <v>1551604264335626</v>
      </c>
      <c r="C4307" t="s">
        <v>40</v>
      </c>
      <c r="D4307">
        <v>4.8304470000000004</v>
      </c>
      <c r="E4307">
        <v>0.46433859999999899</v>
      </c>
      <c r="F4307" t="s">
        <v>68</v>
      </c>
      <c r="G4307">
        <v>-418.09739999999999</v>
      </c>
      <c r="H4307" s="1">
        <v>-7.0445729999999997E-6</v>
      </c>
      <c r="I4307">
        <v>21.656120000000001</v>
      </c>
      <c r="J4307">
        <v>-422.56049999999999</v>
      </c>
      <c r="K4307">
        <v>1.121799</v>
      </c>
      <c r="L4307">
        <v>56.025210000000001</v>
      </c>
      <c r="M4307">
        <v>4.0759730000000001E-2</v>
      </c>
      <c r="N4307">
        <v>-1.3594409999999999E-2</v>
      </c>
      <c r="O4307">
        <v>-0.99907650000000003</v>
      </c>
      <c r="P4307">
        <v>2.7164259999999999E-2</v>
      </c>
      <c r="Q4307">
        <v>0.19499150000000001</v>
      </c>
      <c r="R4307">
        <v>-0.98042879999999999</v>
      </c>
      <c r="S4307">
        <v>0.39602660000000001</v>
      </c>
      <c r="T4307">
        <v>-9.9267359999999999E-2</v>
      </c>
      <c r="U4307">
        <v>-3.0674739999999998</v>
      </c>
      <c r="V4307">
        <v>1.2601599999999999E-2</v>
      </c>
      <c r="W4307">
        <v>0.2083199</v>
      </c>
      <c r="X4307">
        <v>0.97797959999999995</v>
      </c>
      <c r="Y4307">
        <v>-8.7458919999999996E-2</v>
      </c>
      <c r="Z4307">
        <v>1.855424E-2</v>
      </c>
      <c r="AA4307">
        <v>0.99599530000000003</v>
      </c>
      <c r="AB4307">
        <v>30</v>
      </c>
      <c r="AC4307">
        <v>4.4630999999999901</v>
      </c>
      <c r="AD4307">
        <v>-1.121806044573</v>
      </c>
      <c r="AE4307">
        <v>-34.3690899999999</v>
      </c>
      <c r="AF4307">
        <v>-3.0551851754966899</v>
      </c>
      <c r="AG4307">
        <v>-1.121806044573</v>
      </c>
      <c r="AH4307">
        <v>34.486323446997702</v>
      </c>
      <c r="AI4307">
        <v>91.855854764149001</v>
      </c>
      <c r="AJ4307">
        <v>95.062685464422003</v>
      </c>
      <c r="AK4307">
        <v>34.639559901204798</v>
      </c>
      <c r="AL4307">
        <v>77.9760882412249</v>
      </c>
      <c r="AM4307">
        <v>89.261765235489804</v>
      </c>
      <c r="AN4307">
        <v>1.0000000395373601</v>
      </c>
    </row>
    <row r="4308" spans="1:40" x14ac:dyDescent="0.25">
      <c r="A4308" t="str">
        <f>"20190303171104363"</f>
        <v>20190303171104363</v>
      </c>
      <c r="B4308" t="str">
        <f>"1551604264355146"</f>
        <v>1551604264355146</v>
      </c>
      <c r="C4308" t="s">
        <v>40</v>
      </c>
      <c r="D4308">
        <v>4.8391190000000002</v>
      </c>
      <c r="E4308">
        <v>0.46442499999999998</v>
      </c>
      <c r="F4308" t="s">
        <v>68</v>
      </c>
      <c r="G4308">
        <v>-417.64400000000001</v>
      </c>
      <c r="H4308" s="1">
        <v>-1.2441060000000001E-5</v>
      </c>
      <c r="I4308">
        <v>18.3567</v>
      </c>
      <c r="J4308">
        <v>-422.54790000000003</v>
      </c>
      <c r="K4308">
        <v>1.121764</v>
      </c>
      <c r="L4308">
        <v>55.731810000000003</v>
      </c>
      <c r="M4308">
        <v>4.1193680000000003E-2</v>
      </c>
      <c r="N4308">
        <v>-1.3591499999999999E-2</v>
      </c>
      <c r="O4308">
        <v>-0.99905880000000002</v>
      </c>
      <c r="P4308">
        <v>2.673066E-2</v>
      </c>
      <c r="Q4308">
        <v>0.19700239999999999</v>
      </c>
      <c r="R4308">
        <v>-0.98003859999999998</v>
      </c>
      <c r="S4308">
        <v>0.40029910000000002</v>
      </c>
      <c r="T4308">
        <v>-9.1337440000000006E-2</v>
      </c>
      <c r="U4308">
        <v>-3.0669559999999998</v>
      </c>
      <c r="V4308">
        <v>1.3465009999999999E-2</v>
      </c>
      <c r="W4308">
        <v>0.21032110000000001</v>
      </c>
      <c r="X4308">
        <v>0.97753959999999995</v>
      </c>
      <c r="Y4308">
        <v>-8.8419040000000004E-2</v>
      </c>
      <c r="Z4308">
        <v>1.5994680000000001E-2</v>
      </c>
      <c r="AA4308">
        <v>0.99595489999999998</v>
      </c>
      <c r="AB4308">
        <v>30</v>
      </c>
      <c r="AC4308">
        <v>4.9039000000000197</v>
      </c>
      <c r="AD4308">
        <v>-1.12177644106</v>
      </c>
      <c r="AE4308">
        <v>-37.3751099999999</v>
      </c>
      <c r="AF4308">
        <v>-3.3570033171153102</v>
      </c>
      <c r="AG4308">
        <v>-1.12177644106</v>
      </c>
      <c r="AH4308">
        <v>37.512187166151101</v>
      </c>
      <c r="AI4308">
        <v>91.706066882605398</v>
      </c>
      <c r="AJ4308">
        <v>95.113834286454605</v>
      </c>
      <c r="AK4308">
        <v>37.678800931600598</v>
      </c>
      <c r="AL4308">
        <v>77.858829454601107</v>
      </c>
      <c r="AM4308">
        <v>89.2108355945917</v>
      </c>
      <c r="AN4308">
        <v>0.99999997058383405</v>
      </c>
    </row>
    <row r="4309" spans="1:40" x14ac:dyDescent="0.25">
      <c r="A4309" t="str">
        <f>"20190303171104385"</f>
        <v>20190303171104385</v>
      </c>
      <c r="B4309" t="str">
        <f>"1551604264375642"</f>
        <v>1551604264375642</v>
      </c>
      <c r="C4309" t="s">
        <v>40</v>
      </c>
      <c r="D4309">
        <v>4.8807739999999997</v>
      </c>
      <c r="E4309">
        <v>0.46435470000000001</v>
      </c>
      <c r="F4309" t="s">
        <v>68</v>
      </c>
      <c r="G4309">
        <v>-417.46800000000002</v>
      </c>
      <c r="H4309" s="1">
        <v>-1.2786099999999999E-5</v>
      </c>
      <c r="I4309">
        <v>16.55143</v>
      </c>
      <c r="J4309">
        <v>-422.53579999999999</v>
      </c>
      <c r="K4309">
        <v>1.121734</v>
      </c>
      <c r="L4309">
        <v>55.448270000000001</v>
      </c>
      <c r="M4309">
        <v>4.1585249999999997E-2</v>
      </c>
      <c r="N4309">
        <v>-1.358876E-2</v>
      </c>
      <c r="O4309">
        <v>-0.9990426</v>
      </c>
      <c r="P4309">
        <v>2.5552680000000001E-2</v>
      </c>
      <c r="Q4309">
        <v>0.19833509999999999</v>
      </c>
      <c r="R4309">
        <v>-0.97980129999999999</v>
      </c>
      <c r="S4309">
        <v>0.39776610000000001</v>
      </c>
      <c r="T4309">
        <v>-8.783734E-2</v>
      </c>
      <c r="U4309">
        <v>-3.0679020000000001</v>
      </c>
      <c r="V4309">
        <v>1.503181E-2</v>
      </c>
      <c r="W4309">
        <v>0.21164720000000001</v>
      </c>
      <c r="X4309">
        <v>0.9772305</v>
      </c>
      <c r="Y4309">
        <v>-8.7183860000000002E-2</v>
      </c>
      <c r="Z4309">
        <v>1.4859549999999999E-2</v>
      </c>
      <c r="AA4309">
        <v>0.99608140000000001</v>
      </c>
      <c r="AB4309">
        <v>30</v>
      </c>
      <c r="AC4309">
        <v>5.0677999999999699</v>
      </c>
      <c r="AD4309">
        <v>-1.1217467860999999</v>
      </c>
      <c r="AE4309">
        <v>-38.896839999999997</v>
      </c>
      <c r="AF4309">
        <v>-3.4429156028765102</v>
      </c>
      <c r="AG4309">
        <v>-1.1217467860999999</v>
      </c>
      <c r="AH4309">
        <v>39.0420227842759</v>
      </c>
      <c r="AI4309">
        <v>91.639398319985702</v>
      </c>
      <c r="AJ4309">
        <v>95.039584139613098</v>
      </c>
      <c r="AK4309">
        <v>39.2095846291257</v>
      </c>
      <c r="AL4309">
        <v>77.781099786714094</v>
      </c>
      <c r="AM4309">
        <v>89.118742861300802</v>
      </c>
      <c r="AN4309">
        <v>0.99999997135498198</v>
      </c>
    </row>
    <row r="4310" spans="1:40" x14ac:dyDescent="0.25">
      <c r="A4310" t="str">
        <f>"20190303171104408"</f>
        <v>20190303171104408</v>
      </c>
      <c r="B4310" t="str">
        <f>"1551604264395163"</f>
        <v>1551604264395163</v>
      </c>
      <c r="C4310" t="s">
        <v>40</v>
      </c>
      <c r="D4310">
        <v>4.8660170000000003</v>
      </c>
      <c r="E4310">
        <v>0.46429910000000002</v>
      </c>
      <c r="F4310" t="s">
        <v>68</v>
      </c>
      <c r="G4310">
        <v>-417.3236</v>
      </c>
      <c r="H4310" s="1">
        <v>-1.3107350000000001E-5</v>
      </c>
      <c r="I4310">
        <v>14.897640000000001</v>
      </c>
      <c r="J4310">
        <v>-422.52249999999998</v>
      </c>
      <c r="K4310">
        <v>1.1217140000000001</v>
      </c>
      <c r="L4310">
        <v>55.141240000000003</v>
      </c>
      <c r="M4310">
        <v>4.1995049999999999E-2</v>
      </c>
      <c r="N4310">
        <v>-1.3585939999999999E-2</v>
      </c>
      <c r="O4310">
        <v>-0.9990253</v>
      </c>
      <c r="P4310">
        <v>2.3520280000000001E-2</v>
      </c>
      <c r="Q4310">
        <v>0.19864660000000001</v>
      </c>
      <c r="R4310">
        <v>-0.97978900000000002</v>
      </c>
      <c r="S4310">
        <v>0.3944397</v>
      </c>
      <c r="T4310">
        <v>-8.4890599999999997E-2</v>
      </c>
      <c r="U4310">
        <v>-3.068756</v>
      </c>
      <c r="V4310">
        <v>1.747694E-2</v>
      </c>
      <c r="W4310">
        <v>0.21195620000000001</v>
      </c>
      <c r="X4310">
        <v>0.97712290000000002</v>
      </c>
      <c r="Y4310">
        <v>-8.5680469999999995E-2</v>
      </c>
      <c r="Z4310">
        <v>1.3905209999999999E-2</v>
      </c>
      <c r="AA4310">
        <v>0.99622569999999999</v>
      </c>
      <c r="AB4310">
        <v>30</v>
      </c>
      <c r="AC4310">
        <v>5.1988999999999796</v>
      </c>
      <c r="AD4310">
        <v>-1.1217271073499999</v>
      </c>
      <c r="AE4310">
        <v>-40.243600000000001</v>
      </c>
      <c r="AF4310">
        <v>-3.5014488305101099</v>
      </c>
      <c r="AG4310">
        <v>-1.1217271073499999</v>
      </c>
      <c r="AH4310">
        <v>40.395570258786996</v>
      </c>
      <c r="AI4310">
        <v>91.584674107695804</v>
      </c>
      <c r="AJ4310">
        <v>94.953960540689906</v>
      </c>
      <c r="AK4310">
        <v>40.562550611970103</v>
      </c>
      <c r="AL4310">
        <v>77.762984979073806</v>
      </c>
      <c r="AM4310">
        <v>88.975309923636303</v>
      </c>
      <c r="AN4310">
        <v>1.0000000179273001</v>
      </c>
    </row>
    <row r="4311" spans="1:40" x14ac:dyDescent="0.25">
      <c r="A4311" t="str">
        <f>"20190303171104442"</f>
        <v>20190303171104442</v>
      </c>
      <c r="B4311" t="str">
        <f>"1551604264435178"</f>
        <v>1551604264435178</v>
      </c>
      <c r="C4311" t="s">
        <v>40</v>
      </c>
      <c r="D4311">
        <v>4.846997</v>
      </c>
      <c r="E4311">
        <v>0.49001749999999999</v>
      </c>
      <c r="F4311" t="s">
        <v>68</v>
      </c>
      <c r="G4311">
        <v>-417.40199999999999</v>
      </c>
      <c r="H4311" s="1">
        <v>-1.31628399999999E-5</v>
      </c>
      <c r="I4311">
        <v>14.755629999999901</v>
      </c>
      <c r="J4311">
        <v>-422.5027</v>
      </c>
      <c r="K4311">
        <v>1.1216889999999999</v>
      </c>
      <c r="L4311">
        <v>54.69</v>
      </c>
      <c r="M4311">
        <v>4.2592610000000003E-2</v>
      </c>
      <c r="N4311">
        <v>-1.358208E-2</v>
      </c>
      <c r="O4311">
        <v>-0.99900029999999995</v>
      </c>
      <c r="P4311">
        <v>2.320589E-2</v>
      </c>
      <c r="Q4311">
        <v>0.19672890000000001</v>
      </c>
      <c r="R4311">
        <v>-0.98018340000000004</v>
      </c>
      <c r="S4311">
        <v>0.38922119999999999</v>
      </c>
      <c r="T4311">
        <v>-8.5265640000000004E-2</v>
      </c>
      <c r="U4311">
        <v>-3.0698240000000001</v>
      </c>
      <c r="V4311">
        <v>1.8407150000000001E-2</v>
      </c>
      <c r="W4311">
        <v>0.21003910000000001</v>
      </c>
      <c r="X4311">
        <v>0.97751969999999999</v>
      </c>
      <c r="Y4311">
        <v>-8.3374470000000006E-2</v>
      </c>
      <c r="Z4311">
        <v>1.402541E-2</v>
      </c>
      <c r="AA4311">
        <v>0.99641959999999996</v>
      </c>
      <c r="AB4311">
        <v>30</v>
      </c>
      <c r="AC4311">
        <v>5.1007000000000096</v>
      </c>
      <c r="AD4311">
        <v>-1.1217021628399999</v>
      </c>
      <c r="AE4311">
        <v>-39.934370000000001</v>
      </c>
      <c r="AF4311">
        <v>-3.3923710755965799</v>
      </c>
      <c r="AG4311">
        <v>-1.1217021628399999</v>
      </c>
      <c r="AH4311">
        <v>40.084278240261</v>
      </c>
      <c r="AI4311">
        <v>91.597216731695198</v>
      </c>
      <c r="AJ4311">
        <v>94.837469684947393</v>
      </c>
      <c r="AK4311">
        <v>40.243207616929901</v>
      </c>
      <c r="AL4311">
        <v>77.875356451420998</v>
      </c>
      <c r="AM4311">
        <v>88.921221353089393</v>
      </c>
      <c r="AN4311">
        <v>1.0000000052940099</v>
      </c>
    </row>
    <row r="4312" spans="1:40" x14ac:dyDescent="0.25">
      <c r="A4312" t="str">
        <f>"20190303171104463"</f>
        <v>20190303171104463</v>
      </c>
      <c r="B4312" t="str">
        <f>"1551604264455674"</f>
        <v>1551604264455674</v>
      </c>
      <c r="C4312" t="s">
        <v>40</v>
      </c>
      <c r="D4312">
        <v>4.9029339999999904</v>
      </c>
      <c r="E4312">
        <v>0.4924248</v>
      </c>
      <c r="F4312" t="s">
        <v>68</v>
      </c>
      <c r="G4312">
        <v>-420.2149</v>
      </c>
      <c r="H4312" s="1">
        <v>-1.077496E-5</v>
      </c>
      <c r="I4312">
        <v>15.9556</v>
      </c>
      <c r="J4312">
        <v>-422.49040000000002</v>
      </c>
      <c r="K4312">
        <v>1.121675</v>
      </c>
      <c r="L4312">
        <v>54.410640000000001</v>
      </c>
      <c r="M4312">
        <v>4.2964330000000002E-2</v>
      </c>
      <c r="N4312">
        <v>-1.357978E-2</v>
      </c>
      <c r="O4312">
        <v>-0.99898430000000005</v>
      </c>
      <c r="P4312">
        <v>2.3904060000000001E-2</v>
      </c>
      <c r="Q4312">
        <v>0.1961716</v>
      </c>
      <c r="R4312">
        <v>-0.98027839999999999</v>
      </c>
      <c r="S4312">
        <v>0.18157960000000001</v>
      </c>
      <c r="T4312">
        <v>-8.9025499999999994E-2</v>
      </c>
      <c r="U4312">
        <v>-3.0742189999999998</v>
      </c>
      <c r="V4312">
        <v>1.8082190000000001E-2</v>
      </c>
      <c r="W4312">
        <v>0.20948049999999999</v>
      </c>
      <c r="X4312">
        <v>0.9776456</v>
      </c>
      <c r="Y4312">
        <v>-1.6002990000000002E-2</v>
      </c>
      <c r="Z4312">
        <v>1.531997E-2</v>
      </c>
      <c r="AA4312">
        <v>0.99975449999999999</v>
      </c>
      <c r="AB4312">
        <v>30</v>
      </c>
      <c r="AC4312">
        <v>2.2755000000000201</v>
      </c>
      <c r="AD4312">
        <v>-1.12168577496</v>
      </c>
      <c r="AE4312">
        <v>-38.455039999999997</v>
      </c>
      <c r="AF4312">
        <v>-0.62052490957960904</v>
      </c>
      <c r="AG4312">
        <v>-1.12168577496</v>
      </c>
      <c r="AH4312">
        <v>38.484669534134497</v>
      </c>
      <c r="AI4312">
        <v>91.669270561770404</v>
      </c>
      <c r="AJ4312">
        <v>90.923754269653202</v>
      </c>
      <c r="AK4312">
        <v>38.506012768043099</v>
      </c>
      <c r="AL4312">
        <v>77.9080898196204</v>
      </c>
      <c r="AM4312">
        <v>88.940398180009097</v>
      </c>
      <c r="AN4312">
        <v>0.99999998233740295</v>
      </c>
    </row>
    <row r="4313" spans="1:40" x14ac:dyDescent="0.25">
      <c r="A4313" t="str">
        <f>"20190303171104486"</f>
        <v>20190303171104486</v>
      </c>
      <c r="B4313" t="str">
        <f>"1551604264475195"</f>
        <v>1551604264475195</v>
      </c>
      <c r="C4313" t="s">
        <v>40</v>
      </c>
      <c r="D4313">
        <v>4.9023560000000002</v>
      </c>
      <c r="E4313">
        <v>0.49340430000000002</v>
      </c>
      <c r="F4313" t="s">
        <v>68</v>
      </c>
      <c r="G4313">
        <v>-420.45030000000003</v>
      </c>
      <c r="H4313" s="1">
        <v>-1.0711869999999999E-5</v>
      </c>
      <c r="I4313">
        <v>16.181010000000001</v>
      </c>
      <c r="J4313">
        <v>-422.47680000000003</v>
      </c>
      <c r="K4313">
        <v>1.1216619999999999</v>
      </c>
      <c r="L4313">
        <v>54.105130000000003</v>
      </c>
      <c r="M4313">
        <v>4.337365E-2</v>
      </c>
      <c r="N4313">
        <v>-1.357743E-2</v>
      </c>
      <c r="O4313">
        <v>-0.99896689999999999</v>
      </c>
      <c r="P4313">
        <v>2.3727990000000001E-2</v>
      </c>
      <c r="Q4313">
        <v>0.19571959999999999</v>
      </c>
      <c r="R4313">
        <v>-0.9803733</v>
      </c>
      <c r="S4313">
        <v>0.1640625</v>
      </c>
      <c r="T4313">
        <v>-9.0205190000000005E-2</v>
      </c>
      <c r="U4313">
        <v>-3.0744020000000001</v>
      </c>
      <c r="V4313">
        <v>1.8665669999999999E-2</v>
      </c>
      <c r="W4313">
        <v>0.20902780000000001</v>
      </c>
      <c r="X4313">
        <v>0.97773149999999998</v>
      </c>
      <c r="Y4313">
        <v>-9.9125870000000005E-3</v>
      </c>
      <c r="Z4313">
        <v>1.5706600000000001E-2</v>
      </c>
      <c r="AA4313">
        <v>0.99982749999999998</v>
      </c>
      <c r="AB4313">
        <v>30</v>
      </c>
      <c r="AC4313">
        <v>2.0264999999999902</v>
      </c>
      <c r="AD4313">
        <v>-1.1216727118700001</v>
      </c>
      <c r="AE4313">
        <v>-37.924120000000002</v>
      </c>
      <c r="AF4313">
        <v>-0.37920303080366802</v>
      </c>
      <c r="AG4313">
        <v>-1.1216727118700001</v>
      </c>
      <c r="AH4313">
        <v>37.943230942363797</v>
      </c>
      <c r="AI4313">
        <v>91.693192516155406</v>
      </c>
      <c r="AJ4313">
        <v>90.572592512496101</v>
      </c>
      <c r="AK4313">
        <v>37.9617006857791</v>
      </c>
      <c r="AL4313">
        <v>77.934614542487495</v>
      </c>
      <c r="AM4313">
        <v>88.906310969697003</v>
      </c>
      <c r="AN4313">
        <v>0.99999995725081803</v>
      </c>
    </row>
    <row r="4314" spans="1:40" x14ac:dyDescent="0.25">
      <c r="A4314" t="str">
        <f>"20190303171104509"</f>
        <v>20190303171104509</v>
      </c>
      <c r="B4314" t="str">
        <f>"1551604264495691"</f>
        <v>1551604264495691</v>
      </c>
      <c r="C4314" t="s">
        <v>40</v>
      </c>
      <c r="D4314">
        <v>4.903016</v>
      </c>
      <c r="E4314">
        <v>0.4941064</v>
      </c>
      <c r="F4314" t="s">
        <v>68</v>
      </c>
      <c r="G4314">
        <v>-420.57049999999998</v>
      </c>
      <c r="H4314" s="1">
        <v>-1.0690459999999999E-5</v>
      </c>
      <c r="I4314">
        <v>16.404150000000001</v>
      </c>
      <c r="J4314">
        <v>-422.46359999999999</v>
      </c>
      <c r="K4314">
        <v>1.1216619999999999</v>
      </c>
      <c r="L4314">
        <v>53.811160000000001</v>
      </c>
      <c r="M4314">
        <v>4.3770719999999999E-2</v>
      </c>
      <c r="N4314">
        <v>-1.357527E-2</v>
      </c>
      <c r="O4314">
        <v>-0.99894950000000005</v>
      </c>
      <c r="P4314">
        <v>2.458637E-2</v>
      </c>
      <c r="Q4314">
        <v>0.19485739999999999</v>
      </c>
      <c r="R4314">
        <v>-0.9805237</v>
      </c>
      <c r="S4314">
        <v>0.1554565</v>
      </c>
      <c r="T4314">
        <v>-9.1473579999999999E-2</v>
      </c>
      <c r="U4314">
        <v>-3.074554</v>
      </c>
      <c r="V4314">
        <v>1.8205220000000001E-2</v>
      </c>
      <c r="W4314">
        <v>0.2081655</v>
      </c>
      <c r="X4314">
        <v>0.97792420000000002</v>
      </c>
      <c r="Y4314">
        <v>-6.721945E-3</v>
      </c>
      <c r="Z4314">
        <v>1.6119649999999999E-2</v>
      </c>
      <c r="AA4314">
        <v>0.9998475</v>
      </c>
      <c r="AB4314">
        <v>30</v>
      </c>
      <c r="AC4314">
        <v>1.8931</v>
      </c>
      <c r="AD4314">
        <v>-1.1216726904600001</v>
      </c>
      <c r="AE4314">
        <v>-37.40701</v>
      </c>
      <c r="AF4314">
        <v>-0.25357547438643202</v>
      </c>
      <c r="AG4314">
        <v>-1.1216726904600001</v>
      </c>
      <c r="AH4314">
        <v>37.420462397152697</v>
      </c>
      <c r="AI4314">
        <v>91.716878825533996</v>
      </c>
      <c r="AJ4314">
        <v>90.388252340060504</v>
      </c>
      <c r="AK4314">
        <v>37.438128374191599</v>
      </c>
      <c r="AL4314">
        <v>77.985132796318894</v>
      </c>
      <c r="AM4314">
        <v>88.933494233551798</v>
      </c>
      <c r="AN4314">
        <v>1.0000000231855599</v>
      </c>
    </row>
    <row r="4315" spans="1:40" x14ac:dyDescent="0.25">
      <c r="A4315" t="str">
        <f>"20190303171104532"</f>
        <v>20190303171104532</v>
      </c>
      <c r="B4315" t="str">
        <f>"1551604264524971"</f>
        <v>1551604264524971</v>
      </c>
      <c r="C4315" t="s">
        <v>40</v>
      </c>
      <c r="D4315">
        <v>4.8966200000000004</v>
      </c>
      <c r="E4315">
        <v>0.49448379999999997</v>
      </c>
      <c r="F4315" t="s">
        <v>68</v>
      </c>
      <c r="G4315">
        <v>-420.6268</v>
      </c>
      <c r="H4315" s="1">
        <v>-1.071588E-5</v>
      </c>
      <c r="I4315">
        <v>16.863409999999998</v>
      </c>
      <c r="J4315">
        <v>-422.44970000000001</v>
      </c>
      <c r="K4315">
        <v>1.121659</v>
      </c>
      <c r="L4315">
        <v>53.506070000000001</v>
      </c>
      <c r="M4315">
        <v>4.4186040000000003E-2</v>
      </c>
      <c r="N4315">
        <v>-1.3573099999999999E-2</v>
      </c>
      <c r="O4315">
        <v>-0.99893140000000002</v>
      </c>
      <c r="P4315">
        <v>2.5635999999999999E-2</v>
      </c>
      <c r="Q4315">
        <v>0.19425400000000001</v>
      </c>
      <c r="R4315">
        <v>-0.98061659999999995</v>
      </c>
      <c r="S4315">
        <v>0.152832</v>
      </c>
      <c r="T4315">
        <v>-9.3330979999999994E-2</v>
      </c>
      <c r="U4315">
        <v>-3.0743100000000001</v>
      </c>
      <c r="V4315">
        <v>1.7568509999999999E-2</v>
      </c>
      <c r="W4315">
        <v>0.20756150000000001</v>
      </c>
      <c r="X4315">
        <v>0.97806420000000005</v>
      </c>
      <c r="Y4315">
        <v>-5.4586269999999998E-3</v>
      </c>
      <c r="Z4315">
        <v>1.6726270000000001E-2</v>
      </c>
      <c r="AA4315">
        <v>0.99984519999999999</v>
      </c>
      <c r="AB4315">
        <v>30</v>
      </c>
      <c r="AC4315">
        <v>1.8229</v>
      </c>
      <c r="AD4315">
        <v>-1.12166971588</v>
      </c>
      <c r="AE4315">
        <v>-36.6426599999999</v>
      </c>
      <c r="AF4315">
        <v>-0.201688024703184</v>
      </c>
      <c r="AG4315">
        <v>-1.12166971588</v>
      </c>
      <c r="AH4315">
        <v>36.653158881240401</v>
      </c>
      <c r="AI4315">
        <v>91.7528071237966</v>
      </c>
      <c r="AJ4315">
        <v>90.315273125600598</v>
      </c>
      <c r="AK4315">
        <v>36.670872323743303</v>
      </c>
      <c r="AL4315">
        <v>78.020511977293694</v>
      </c>
      <c r="AM4315">
        <v>88.970933364666195</v>
      </c>
      <c r="AN4315">
        <v>1.00000000407375</v>
      </c>
    </row>
    <row r="4316" spans="1:40" x14ac:dyDescent="0.25">
      <c r="A4316" t="str">
        <f>"20190303171104553"</f>
        <v>20190303171104553</v>
      </c>
      <c r="B4316" t="str">
        <f>"1551604264545467"</f>
        <v>1551604264545467</v>
      </c>
      <c r="C4316" t="s">
        <v>40</v>
      </c>
      <c r="D4316">
        <v>4.8966129999999897</v>
      </c>
      <c r="E4316">
        <v>0.49486279999999999</v>
      </c>
      <c r="F4316" t="s">
        <v>68</v>
      </c>
      <c r="G4316">
        <v>-420.62610000000001</v>
      </c>
      <c r="H4316" s="1">
        <v>-1.0691980000000001E-5</v>
      </c>
      <c r="I4316">
        <v>16.621600000000001</v>
      </c>
      <c r="J4316">
        <v>-422.43689999999998</v>
      </c>
      <c r="K4316">
        <v>1.1216649999999999</v>
      </c>
      <c r="L4316">
        <v>53.226750000000003</v>
      </c>
      <c r="M4316">
        <v>4.4568709999999997E-2</v>
      </c>
      <c r="N4316">
        <v>-1.3571140000000001E-2</v>
      </c>
      <c r="O4316">
        <v>-0.99891450000000004</v>
      </c>
      <c r="P4316">
        <v>2.6259770000000002E-2</v>
      </c>
      <c r="Q4316">
        <v>0.19431010000000001</v>
      </c>
      <c r="R4316">
        <v>-0.98058889999999999</v>
      </c>
      <c r="S4316">
        <v>0.15197749999999999</v>
      </c>
      <c r="T4316">
        <v>-9.3476890000000007E-2</v>
      </c>
      <c r="U4316">
        <v>-3.0738530000000002</v>
      </c>
      <c r="V4316">
        <v>1.7319399999999999E-2</v>
      </c>
      <c r="W4316">
        <v>0.2076151</v>
      </c>
      <c r="X4316">
        <v>0.97805730000000002</v>
      </c>
      <c r="Y4316">
        <v>-4.8058229999999999E-3</v>
      </c>
      <c r="Z4316">
        <v>1.6779579999999999E-2</v>
      </c>
      <c r="AA4316">
        <v>0.99984770000000001</v>
      </c>
      <c r="AB4316">
        <v>30</v>
      </c>
      <c r="AC4316">
        <v>1.81079999999997</v>
      </c>
      <c r="AD4316">
        <v>-1.1216756919799999</v>
      </c>
      <c r="AE4316">
        <v>-36.605150000000002</v>
      </c>
      <c r="AF4316">
        <v>-0.177240318733075</v>
      </c>
      <c r="AG4316">
        <v>-1.1216756919799999</v>
      </c>
      <c r="AH4316">
        <v>36.615185474815398</v>
      </c>
      <c r="AI4316">
        <v>91.754639160334804</v>
      </c>
      <c r="AJ4316">
        <v>90.277345117206195</v>
      </c>
      <c r="AK4316">
        <v>36.632791019026897</v>
      </c>
      <c r="AL4316">
        <v>78.017372931839006</v>
      </c>
      <c r="AM4316">
        <v>88.985514630781296</v>
      </c>
      <c r="AN4316">
        <v>1.00000003672382</v>
      </c>
    </row>
    <row r="4317" spans="1:40" x14ac:dyDescent="0.25">
      <c r="A4317" t="str">
        <f>"20190303171104574"</f>
        <v>20190303171104574</v>
      </c>
      <c r="B4317" t="str">
        <f>"1551604264564987"</f>
        <v>1551604264564987</v>
      </c>
      <c r="C4317" t="s">
        <v>40</v>
      </c>
      <c r="D4317">
        <v>4.8966979999999998</v>
      </c>
      <c r="E4317">
        <v>0.49509890000000001</v>
      </c>
      <c r="F4317" t="s">
        <v>68</v>
      </c>
      <c r="G4317">
        <v>-420.61579999999998</v>
      </c>
      <c r="H4317" s="1">
        <v>-1.0649899999999999E-5</v>
      </c>
      <c r="I4317">
        <v>16.162769999999998</v>
      </c>
      <c r="J4317">
        <v>-422.42360000000002</v>
      </c>
      <c r="K4317">
        <v>1.1216680000000001</v>
      </c>
      <c r="L4317">
        <v>52.938720000000004</v>
      </c>
      <c r="M4317">
        <v>4.496518E-2</v>
      </c>
      <c r="N4317">
        <v>-1.356918E-2</v>
      </c>
      <c r="O4317">
        <v>-0.99889640000000002</v>
      </c>
      <c r="P4317">
        <v>2.6807549999999999E-2</v>
      </c>
      <c r="Q4317">
        <v>0.19512309999999999</v>
      </c>
      <c r="R4317">
        <v>-0.98041250000000002</v>
      </c>
      <c r="S4317">
        <v>0.15103150000000001</v>
      </c>
      <c r="T4317">
        <v>-9.3022820000000006E-2</v>
      </c>
      <c r="U4317">
        <v>-3.0737920000000001</v>
      </c>
      <c r="V4317">
        <v>1.71527E-2</v>
      </c>
      <c r="W4317">
        <v>0.20842430000000001</v>
      </c>
      <c r="X4317">
        <v>0.97788810000000004</v>
      </c>
      <c r="Y4317">
        <v>-4.1032330000000004E-3</v>
      </c>
      <c r="Z4317">
        <v>1.6634400000000001E-2</v>
      </c>
      <c r="AA4317">
        <v>0.9998532</v>
      </c>
      <c r="AB4317">
        <v>30</v>
      </c>
      <c r="AC4317">
        <v>1.80780000000004</v>
      </c>
      <c r="AD4317">
        <v>-1.1216786499</v>
      </c>
      <c r="AE4317">
        <v>-36.775950000000002</v>
      </c>
      <c r="AF4317">
        <v>-0.152040612687347</v>
      </c>
      <c r="AG4317">
        <v>-1.1216786499</v>
      </c>
      <c r="AH4317">
        <v>36.785903487726202</v>
      </c>
      <c r="AI4317">
        <v>91.746511334308806</v>
      </c>
      <c r="AJ4317">
        <v>90.236809076088207</v>
      </c>
      <c r="AK4317">
        <v>36.803314725033403</v>
      </c>
      <c r="AL4317">
        <v>77.969972077088002</v>
      </c>
      <c r="AM4317">
        <v>88.995103279056096</v>
      </c>
      <c r="AN4317">
        <v>1.0000000200346899</v>
      </c>
    </row>
    <row r="4318" spans="1:40" x14ac:dyDescent="0.25">
      <c r="A4318" t="str">
        <f>"20190303171104598"</f>
        <v>20190303171104598</v>
      </c>
      <c r="B4318" t="str">
        <f>"1551604264585482"</f>
        <v>1551604264585482</v>
      </c>
      <c r="C4318" t="s">
        <v>40</v>
      </c>
      <c r="D4318">
        <v>4.842155</v>
      </c>
      <c r="E4318">
        <v>0.4952548</v>
      </c>
      <c r="F4318" t="s">
        <v>68</v>
      </c>
      <c r="G4318">
        <v>-420.5292</v>
      </c>
      <c r="H4318" s="1">
        <v>-1.0513070000000001E-5</v>
      </c>
      <c r="I4318">
        <v>14.47799</v>
      </c>
      <c r="J4318">
        <v>-422.40980000000002</v>
      </c>
      <c r="K4318">
        <v>1.121667</v>
      </c>
      <c r="L4318">
        <v>52.640439999999998</v>
      </c>
      <c r="M4318">
        <v>4.5376159999999999E-2</v>
      </c>
      <c r="N4318">
        <v>-1.356715E-2</v>
      </c>
      <c r="O4318">
        <v>-0.99887800000000004</v>
      </c>
      <c r="P4318">
        <v>2.781546E-2</v>
      </c>
      <c r="Q4318">
        <v>0.19470519999999999</v>
      </c>
      <c r="R4318">
        <v>-0.98046759999999999</v>
      </c>
      <c r="S4318">
        <v>0.1513977</v>
      </c>
      <c r="T4318">
        <v>-8.9640380000000006E-2</v>
      </c>
      <c r="U4318">
        <v>-3.073639</v>
      </c>
      <c r="V4318">
        <v>1.6551860000000002E-2</v>
      </c>
      <c r="W4318">
        <v>0.20800550000000001</v>
      </c>
      <c r="X4318">
        <v>0.97798759999999996</v>
      </c>
      <c r="Y4318">
        <v>-3.8140639999999998E-3</v>
      </c>
      <c r="Z4318">
        <v>1.5540190000000001E-2</v>
      </c>
      <c r="AA4318">
        <v>0.99987199999999998</v>
      </c>
      <c r="AB4318">
        <v>30</v>
      </c>
      <c r="AC4318">
        <v>1.88060000000001</v>
      </c>
      <c r="AD4318">
        <v>-1.1216775130700001</v>
      </c>
      <c r="AE4318">
        <v>-38.16245</v>
      </c>
      <c r="AF4318">
        <v>-0.14671158350654001</v>
      </c>
      <c r="AG4318">
        <v>-1.1216775130700001</v>
      </c>
      <c r="AH4318">
        <v>38.175576620777903</v>
      </c>
      <c r="AI4318">
        <v>91.682972057443706</v>
      </c>
      <c r="AJ4318">
        <v>90.220190862899997</v>
      </c>
      <c r="AK4318">
        <v>38.192333459228998</v>
      </c>
      <c r="AL4318">
        <v>77.994504982885502</v>
      </c>
      <c r="AM4318">
        <v>89.030395488209194</v>
      </c>
      <c r="AN4318">
        <v>0.99999999892673397</v>
      </c>
    </row>
    <row r="4319" spans="1:40" x14ac:dyDescent="0.25">
      <c r="A4319" t="str">
        <f>"20190303171104621"</f>
        <v>20190303171104621</v>
      </c>
      <c r="B4319" t="str">
        <f>"1551604264614763"</f>
        <v>1551604264614763</v>
      </c>
      <c r="C4319" t="s">
        <v>40</v>
      </c>
      <c r="D4319">
        <v>4.8398729999999999</v>
      </c>
      <c r="E4319">
        <v>0.49560480000000001</v>
      </c>
      <c r="F4319" t="s">
        <v>68</v>
      </c>
      <c r="G4319">
        <v>-420.5247</v>
      </c>
      <c r="H4319" s="1">
        <v>-1.053922E-5</v>
      </c>
      <c r="I4319">
        <v>14.723409999999999</v>
      </c>
      <c r="J4319">
        <v>-422.39530000000002</v>
      </c>
      <c r="K4319">
        <v>1.1216699999999999</v>
      </c>
      <c r="L4319">
        <v>52.332430000000002</v>
      </c>
      <c r="M4319">
        <v>4.5800590000000002E-2</v>
      </c>
      <c r="N4319">
        <v>-1.356513E-2</v>
      </c>
      <c r="O4319">
        <v>-0.99885869999999999</v>
      </c>
      <c r="P4319">
        <v>2.923659E-2</v>
      </c>
      <c r="Q4319">
        <v>0.19353999999999999</v>
      </c>
      <c r="R4319">
        <v>-0.980657</v>
      </c>
      <c r="S4319">
        <v>0.15280150000000001</v>
      </c>
      <c r="T4319">
        <v>-9.0921160000000001E-2</v>
      </c>
      <c r="U4319">
        <v>-3.0734859999999999</v>
      </c>
      <c r="V4319">
        <v>1.555837E-2</v>
      </c>
      <c r="W4319">
        <v>0.20684079999999999</v>
      </c>
      <c r="X4319">
        <v>0.97825090000000003</v>
      </c>
      <c r="Y4319">
        <v>-3.8468199999999999E-3</v>
      </c>
      <c r="Z4319">
        <v>1.5958150000000001E-2</v>
      </c>
      <c r="AA4319">
        <v>0.99986520000000001</v>
      </c>
      <c r="AB4319">
        <v>29</v>
      </c>
      <c r="AC4319">
        <v>1.87060000000002</v>
      </c>
      <c r="AD4319">
        <v>-1.12168053922</v>
      </c>
      <c r="AE4319">
        <v>-37.609020000000001</v>
      </c>
      <c r="AF4319">
        <v>-0.14583377765441</v>
      </c>
      <c r="AG4319">
        <v>-1.12168053922</v>
      </c>
      <c r="AH4319">
        <v>37.621845688457398</v>
      </c>
      <c r="AI4319">
        <v>91.707732428444203</v>
      </c>
      <c r="AJ4319">
        <v>90.222094848551706</v>
      </c>
      <c r="AK4319">
        <v>37.638845727902897</v>
      </c>
      <c r="AL4319">
        <v>78.062721020026402</v>
      </c>
      <c r="AM4319">
        <v>89.088829064809701</v>
      </c>
      <c r="AN4319">
        <v>1.00000000138625</v>
      </c>
    </row>
    <row r="4320" spans="1:40" x14ac:dyDescent="0.25">
      <c r="A4320" t="str">
        <f>"20190303171104644"</f>
        <v>20190303171104644</v>
      </c>
      <c r="B4320" t="str">
        <f>"1551604264635259"</f>
        <v>1551604264635259</v>
      </c>
      <c r="C4320" t="s">
        <v>40</v>
      </c>
      <c r="D4320">
        <v>4.9583130000000004</v>
      </c>
      <c r="E4320">
        <v>0.4958786</v>
      </c>
      <c r="F4320" t="s">
        <v>68</v>
      </c>
      <c r="G4320">
        <v>-420.57229999999998</v>
      </c>
      <c r="H4320" s="1">
        <v>-1.063002E-5</v>
      </c>
      <c r="I4320">
        <v>15.805630000000001</v>
      </c>
      <c r="J4320">
        <v>-422.38139999999999</v>
      </c>
      <c r="K4320">
        <v>1.1216649999999999</v>
      </c>
      <c r="L4320">
        <v>52.03989</v>
      </c>
      <c r="M4320">
        <v>4.6203399999999999E-2</v>
      </c>
      <c r="N4320">
        <v>-1.3563230000000001E-2</v>
      </c>
      <c r="O4320">
        <v>-0.99884010000000001</v>
      </c>
      <c r="P4320">
        <v>2.9553010000000001E-2</v>
      </c>
      <c r="Q4320">
        <v>0.19320219999999999</v>
      </c>
      <c r="R4320">
        <v>-0.98071410000000003</v>
      </c>
      <c r="S4320">
        <v>0.1533813</v>
      </c>
      <c r="T4320">
        <v>-9.4373460000000006E-2</v>
      </c>
      <c r="U4320">
        <v>-3.0732119999999998</v>
      </c>
      <c r="V4320">
        <v>1.564076E-2</v>
      </c>
      <c r="W4320">
        <v>0.20650199999999999</v>
      </c>
      <c r="X4320">
        <v>0.97832110000000005</v>
      </c>
      <c r="Y4320">
        <v>-3.6352730000000001E-3</v>
      </c>
      <c r="Z4320">
        <v>1.7081619999999999E-2</v>
      </c>
      <c r="AA4320">
        <v>0.9998475</v>
      </c>
      <c r="AB4320">
        <v>29</v>
      </c>
      <c r="AC4320">
        <v>1.8090999999999999</v>
      </c>
      <c r="AD4320">
        <v>-1.1216756300199999</v>
      </c>
      <c r="AE4320">
        <v>-36.234259999999999</v>
      </c>
      <c r="AF4320">
        <v>-0.132740933267951</v>
      </c>
      <c r="AG4320">
        <v>-1.1216756300199999</v>
      </c>
      <c r="AH4320">
        <v>36.244504568318199</v>
      </c>
      <c r="AI4320">
        <v>91.7725816451604</v>
      </c>
      <c r="AJ4320">
        <v>90.209837638329105</v>
      </c>
      <c r="AK4320">
        <v>36.262099880966502</v>
      </c>
      <c r="AL4320">
        <v>78.082560453290995</v>
      </c>
      <c r="AM4320">
        <v>89.084070457493596</v>
      </c>
      <c r="AN4320">
        <v>0.99999994204129194</v>
      </c>
    </row>
    <row r="4321" spans="1:40" x14ac:dyDescent="0.25">
      <c r="A4321" t="str">
        <f>"20190303171104665"</f>
        <v>20190303171104665</v>
      </c>
      <c r="B4321" t="str">
        <f>"1551604264654779"</f>
        <v>1551604264654779</v>
      </c>
      <c r="C4321" t="s">
        <v>40</v>
      </c>
      <c r="D4321">
        <v>4.9008479999999999</v>
      </c>
      <c r="E4321">
        <v>0.49610919999999997</v>
      </c>
      <c r="F4321" t="s">
        <v>68</v>
      </c>
      <c r="G4321">
        <v>-420.58780000000002</v>
      </c>
      <c r="H4321" s="1">
        <v>-1.0630300000000001E-5</v>
      </c>
      <c r="I4321">
        <v>15.86492</v>
      </c>
      <c r="J4321">
        <v>-422.36779999999999</v>
      </c>
      <c r="K4321">
        <v>1.121661</v>
      </c>
      <c r="L4321">
        <v>51.754240000000003</v>
      </c>
      <c r="M4321">
        <v>4.6596390000000001E-2</v>
      </c>
      <c r="N4321">
        <v>-1.3561409999999999E-2</v>
      </c>
      <c r="O4321">
        <v>-0.99882199999999999</v>
      </c>
      <c r="P4321">
        <v>2.9033739999999999E-2</v>
      </c>
      <c r="Q4321">
        <v>0.19306300000000001</v>
      </c>
      <c r="R4321">
        <v>-0.98075710000000005</v>
      </c>
      <c r="S4321">
        <v>0.15237429999999999</v>
      </c>
      <c r="T4321">
        <v>-9.5289949999999998E-2</v>
      </c>
      <c r="U4321">
        <v>-3.0731809999999999</v>
      </c>
      <c r="V4321">
        <v>1.6547639999999999E-2</v>
      </c>
      <c r="W4321">
        <v>0.20636209999999999</v>
      </c>
      <c r="X4321">
        <v>0.97833579999999998</v>
      </c>
      <c r="Y4321">
        <v>-2.9154509999999999E-3</v>
      </c>
      <c r="Z4321">
        <v>1.7380429999999999E-2</v>
      </c>
      <c r="AA4321">
        <v>0.99984470000000003</v>
      </c>
      <c r="AB4321">
        <v>29</v>
      </c>
      <c r="AC4321">
        <v>1.7799999999999701</v>
      </c>
      <c r="AD4321">
        <v>-1.1216716303000001</v>
      </c>
      <c r="AE4321">
        <v>-35.889319999999998</v>
      </c>
      <c r="AF4321">
        <v>-0.105497296028606</v>
      </c>
      <c r="AG4321">
        <v>-1.1216716303000001</v>
      </c>
      <c r="AH4321">
        <v>35.898299944518698</v>
      </c>
      <c r="AI4321">
        <v>91.789663322509696</v>
      </c>
      <c r="AJ4321">
        <v>90.168379350018697</v>
      </c>
      <c r="AK4321">
        <v>35.915974382331903</v>
      </c>
      <c r="AL4321">
        <v>78.090753757389706</v>
      </c>
      <c r="AM4321">
        <v>89.030987586434307</v>
      </c>
      <c r="AN4321">
        <v>1.0000000391338</v>
      </c>
    </row>
    <row r="4322" spans="1:40" x14ac:dyDescent="0.25">
      <c r="A4322" t="str">
        <f>"20190303171104687"</f>
        <v>20190303171104687</v>
      </c>
      <c r="B4322" t="str">
        <f>"1551604264675275"</f>
        <v>1551604264675275</v>
      </c>
      <c r="C4322" t="s">
        <v>40</v>
      </c>
      <c r="D4322">
        <v>4.8463459999999996</v>
      </c>
      <c r="E4322">
        <v>0.49632029999999999</v>
      </c>
      <c r="F4322" t="s">
        <v>68</v>
      </c>
      <c r="G4322">
        <v>-420.62130000000002</v>
      </c>
      <c r="H4322" s="1">
        <v>-1.061107E-5</v>
      </c>
      <c r="I4322">
        <v>15.794429999999901</v>
      </c>
      <c r="J4322">
        <v>-422.35359999999997</v>
      </c>
      <c r="K4322">
        <v>1.1216600000000001</v>
      </c>
      <c r="L4322">
        <v>51.460169999999998</v>
      </c>
      <c r="M4322">
        <v>4.7000640000000003E-2</v>
      </c>
      <c r="N4322">
        <v>-1.355962E-2</v>
      </c>
      <c r="O4322">
        <v>-0.99880279999999999</v>
      </c>
      <c r="P4322">
        <v>2.9077809999999999E-2</v>
      </c>
      <c r="Q4322">
        <v>0.19279930000000001</v>
      </c>
      <c r="R4322">
        <v>-0.98080710000000004</v>
      </c>
      <c r="S4322">
        <v>0.14926149999999999</v>
      </c>
      <c r="T4322">
        <v>-9.5863580000000004E-2</v>
      </c>
      <c r="U4322">
        <v>-3.0733030000000001</v>
      </c>
      <c r="V4322">
        <v>1.6903499999999998E-2</v>
      </c>
      <c r="W4322">
        <v>0.20609749999999999</v>
      </c>
      <c r="X4322">
        <v>0.97838539999999996</v>
      </c>
      <c r="Y4322">
        <v>-1.4987449999999999E-3</v>
      </c>
      <c r="Z4322">
        <v>1.7566769999999999E-2</v>
      </c>
      <c r="AA4322">
        <v>0.99984459999999997</v>
      </c>
      <c r="AB4322">
        <v>29</v>
      </c>
      <c r="AC4322">
        <v>1.73229999999995</v>
      </c>
      <c r="AD4322">
        <v>-1.1216706110700001</v>
      </c>
      <c r="AE4322">
        <v>-35.66574</v>
      </c>
      <c r="AF4322">
        <v>-5.3865291272527399E-2</v>
      </c>
      <c r="AG4322">
        <v>-1.1216706110700001</v>
      </c>
      <c r="AH4322">
        <v>35.6725440802687</v>
      </c>
      <c r="AI4322">
        <v>91.800985964860701</v>
      </c>
      <c r="AJ4322">
        <v>90.086516159306797</v>
      </c>
      <c r="AK4322">
        <v>35.690215011793597</v>
      </c>
      <c r="AL4322">
        <v>78.106246191976794</v>
      </c>
      <c r="AM4322">
        <v>89.010203072306297</v>
      </c>
      <c r="AN4322">
        <v>0.99999994937582803</v>
      </c>
    </row>
    <row r="4323" spans="1:40" x14ac:dyDescent="0.25">
      <c r="A4323" t="str">
        <f>"20190303171104710"</f>
        <v>20190303171104710</v>
      </c>
      <c r="B4323" t="str">
        <f>"1551604264705530"</f>
        <v>1551604264705530</v>
      </c>
      <c r="C4323" t="s">
        <v>40</v>
      </c>
      <c r="D4323">
        <v>4.8468109999999998</v>
      </c>
      <c r="E4323">
        <v>0.49654429999999999</v>
      </c>
      <c r="F4323" t="s">
        <v>68</v>
      </c>
      <c r="G4323">
        <v>-420.65190000000001</v>
      </c>
      <c r="H4323" s="1">
        <v>-1.0629190000000001E-5</v>
      </c>
      <c r="I4323">
        <v>16.087109999999999</v>
      </c>
      <c r="J4323">
        <v>-422.33949999999999</v>
      </c>
      <c r="K4323">
        <v>1.1216600000000001</v>
      </c>
      <c r="L4323">
        <v>51.168729999999996</v>
      </c>
      <c r="M4323">
        <v>4.7400810000000002E-2</v>
      </c>
      <c r="N4323">
        <v>-1.3557909999999999E-2</v>
      </c>
      <c r="O4323">
        <v>-0.99878409999999995</v>
      </c>
      <c r="P4323">
        <v>2.984765E-2</v>
      </c>
      <c r="Q4323">
        <v>0.19165299999999999</v>
      </c>
      <c r="R4323">
        <v>-0.98100909999999997</v>
      </c>
      <c r="S4323">
        <v>0.14785770000000001</v>
      </c>
      <c r="T4323">
        <v>-9.7459439999999994E-2</v>
      </c>
      <c r="U4323">
        <v>-3.0734859999999999</v>
      </c>
      <c r="V4323">
        <v>1.653841E-2</v>
      </c>
      <c r="W4323">
        <v>0.20495279999999999</v>
      </c>
      <c r="X4323">
        <v>0.97863219999999995</v>
      </c>
      <c r="Y4323">
        <v>-6.3942449999999896E-4</v>
      </c>
      <c r="Z4323">
        <v>1.808355E-2</v>
      </c>
      <c r="AA4323">
        <v>0.99983630000000001</v>
      </c>
      <c r="AB4323">
        <v>29</v>
      </c>
      <c r="AC4323">
        <v>1.68759999999997</v>
      </c>
      <c r="AD4323">
        <v>-1.12167062919</v>
      </c>
      <c r="AE4323">
        <v>-35.081620000000001</v>
      </c>
      <c r="AF4323">
        <v>-2.26298406710576E-2</v>
      </c>
      <c r="AG4323">
        <v>-1.12167062919</v>
      </c>
      <c r="AH4323">
        <v>35.086394768917103</v>
      </c>
      <c r="AI4323">
        <v>91.831054452948194</v>
      </c>
      <c r="AJ4323">
        <v>90.036954329170996</v>
      </c>
      <c r="AK4323">
        <v>35.104326727490097</v>
      </c>
      <c r="AL4323">
        <v>78.173264892207499</v>
      </c>
      <c r="AM4323">
        <v>89.031821249489198</v>
      </c>
      <c r="AN4323">
        <v>1.0000000760550001</v>
      </c>
    </row>
    <row r="4324" spans="1:40" x14ac:dyDescent="0.25">
      <c r="A4324" t="str">
        <f>"20190303171104732"</f>
        <v>20190303171104732</v>
      </c>
      <c r="B4324" t="str">
        <f>"1551604264725050"</f>
        <v>1551604264725050</v>
      </c>
      <c r="C4324" t="s">
        <v>40</v>
      </c>
      <c r="D4324">
        <v>4.9014620000000004</v>
      </c>
      <c r="E4324">
        <v>0.4966525</v>
      </c>
      <c r="F4324" t="s">
        <v>68</v>
      </c>
      <c r="G4324">
        <v>-420.71019999999999</v>
      </c>
      <c r="H4324" s="1">
        <v>-1.0745239999999999E-5</v>
      </c>
      <c r="I4324">
        <v>17.460979999999999</v>
      </c>
      <c r="J4324">
        <v>-422.32470000000001</v>
      </c>
      <c r="K4324">
        <v>1.121656</v>
      </c>
      <c r="L4324">
        <v>50.866639999999997</v>
      </c>
      <c r="M4324">
        <v>4.7815200000000002E-2</v>
      </c>
      <c r="N4324">
        <v>-1.35561E-2</v>
      </c>
      <c r="O4324">
        <v>-0.99876430000000005</v>
      </c>
      <c r="P4324">
        <v>2.992612E-2</v>
      </c>
      <c r="Q4324">
        <v>0.19070889999999999</v>
      </c>
      <c r="R4324">
        <v>-0.98119060000000002</v>
      </c>
      <c r="S4324">
        <v>0.14855960000000001</v>
      </c>
      <c r="T4324">
        <v>-0.1022764</v>
      </c>
      <c r="U4324">
        <v>-3.073547</v>
      </c>
      <c r="V4324">
        <v>1.6877079999999999E-2</v>
      </c>
      <c r="W4324">
        <v>0.20400950000000001</v>
      </c>
      <c r="X4324">
        <v>0.97882340000000001</v>
      </c>
      <c r="Y4324">
        <v>-4.4999020000000001E-4</v>
      </c>
      <c r="Z4324">
        <v>1.9645550000000001E-2</v>
      </c>
      <c r="AA4324">
        <v>0.99980690000000005</v>
      </c>
      <c r="AB4324">
        <v>29</v>
      </c>
      <c r="AC4324">
        <v>1.61450000000002</v>
      </c>
      <c r="AD4324">
        <v>-1.12166674524</v>
      </c>
      <c r="AE4324">
        <v>-33.405659999999997</v>
      </c>
      <c r="AF4324">
        <v>-1.51909575754478E-2</v>
      </c>
      <c r="AG4324">
        <v>-1.12166674524</v>
      </c>
      <c r="AH4324">
        <v>33.407072096086502</v>
      </c>
      <c r="AI4324">
        <v>91.923024863753795</v>
      </c>
      <c r="AJ4324">
        <v>90.026053695856405</v>
      </c>
      <c r="AK4324">
        <v>33.425900632379303</v>
      </c>
      <c r="AL4324">
        <v>78.228477492773607</v>
      </c>
      <c r="AM4324">
        <v>89.012191938488002</v>
      </c>
      <c r="AN4324">
        <v>0.99999998015356795</v>
      </c>
    </row>
    <row r="4325" spans="1:40" x14ac:dyDescent="0.25">
      <c r="A4325" t="str">
        <f>"20190303171104754"</f>
        <v>20190303171104754</v>
      </c>
      <c r="B4325" t="str">
        <f>"1551604264745547"</f>
        <v>1551604264745547</v>
      </c>
      <c r="C4325" t="s">
        <v>40</v>
      </c>
      <c r="D4325">
        <v>4.8407339999999897</v>
      </c>
      <c r="E4325">
        <v>0.4968071</v>
      </c>
      <c r="F4325" t="s">
        <v>68</v>
      </c>
      <c r="G4325">
        <v>-420.75369999999998</v>
      </c>
      <c r="H4325" s="1">
        <v>-1.082017E-5</v>
      </c>
      <c r="I4325">
        <v>18.36917</v>
      </c>
      <c r="J4325">
        <v>-422.31110000000001</v>
      </c>
      <c r="K4325">
        <v>1.1216489999999999</v>
      </c>
      <c r="L4325">
        <v>50.59158</v>
      </c>
      <c r="M4325">
        <v>4.8192249999999999E-2</v>
      </c>
      <c r="N4325">
        <v>-1.355428E-2</v>
      </c>
      <c r="O4325">
        <v>-0.99874620000000003</v>
      </c>
      <c r="P4325">
        <v>2.9745379999999998E-2</v>
      </c>
      <c r="Q4325">
        <v>0.1906978</v>
      </c>
      <c r="R4325">
        <v>-0.98119840000000003</v>
      </c>
      <c r="S4325">
        <v>0.1485901</v>
      </c>
      <c r="T4325">
        <v>-0.10608720000000001</v>
      </c>
      <c r="U4325">
        <v>-3.0736080000000001</v>
      </c>
      <c r="V4325">
        <v>1.7428989999999998E-2</v>
      </c>
      <c r="W4325">
        <v>0.20399690000000001</v>
      </c>
      <c r="X4325">
        <v>0.97881640000000003</v>
      </c>
      <c r="Y4325" s="1">
        <v>-8.0329559999999995E-5</v>
      </c>
      <c r="Z4325">
        <v>2.0881219999999999E-2</v>
      </c>
      <c r="AA4325">
        <v>0.99978199999999995</v>
      </c>
      <c r="AB4325">
        <v>29</v>
      </c>
      <c r="AC4325">
        <v>1.5574000000000201</v>
      </c>
      <c r="AD4325">
        <v>-1.1216598201700001</v>
      </c>
      <c r="AE4325">
        <v>-32.222410000000004</v>
      </c>
      <c r="AF4325">
        <v>-2.5740183161551099E-3</v>
      </c>
      <c r="AG4325">
        <v>-1.1216598201700001</v>
      </c>
      <c r="AH4325">
        <v>32.221072427029299</v>
      </c>
      <c r="AI4325">
        <v>91.993739734555902</v>
      </c>
      <c r="AJ4325">
        <v>90.004577140811307</v>
      </c>
      <c r="AK4325">
        <v>32.240589878685903</v>
      </c>
      <c r="AL4325">
        <v>78.229215462007105</v>
      </c>
      <c r="AM4325">
        <v>88.979888313457806</v>
      </c>
      <c r="AN4325">
        <v>1.0000000249054899</v>
      </c>
    </row>
    <row r="4326" spans="1:40" x14ac:dyDescent="0.25">
      <c r="A4326" t="str">
        <f>"20190303171104776"</f>
        <v>20190303171104776</v>
      </c>
      <c r="B4326" t="str">
        <f>"1551604264765067"</f>
        <v>1551604264765067</v>
      </c>
      <c r="C4326" t="s">
        <v>40</v>
      </c>
      <c r="D4326">
        <v>4.8426390000000001</v>
      </c>
      <c r="E4326">
        <v>0.49694250000000001</v>
      </c>
      <c r="F4326" t="s">
        <v>68</v>
      </c>
      <c r="G4326">
        <v>-420.762</v>
      </c>
      <c r="H4326" s="1">
        <v>-1.080628E-5</v>
      </c>
      <c r="I4326">
        <v>18.26042</v>
      </c>
      <c r="J4326">
        <v>-422.29669999999999</v>
      </c>
      <c r="K4326">
        <v>1.1216429999999999</v>
      </c>
      <c r="L4326">
        <v>50.30209</v>
      </c>
      <c r="M4326">
        <v>4.8588720000000002E-2</v>
      </c>
      <c r="N4326">
        <v>-1.355259E-2</v>
      </c>
      <c r="O4326">
        <v>-0.99872689999999997</v>
      </c>
      <c r="P4326">
        <v>2.9111700000000001E-2</v>
      </c>
      <c r="Q4326">
        <v>0.19088569999999999</v>
      </c>
      <c r="R4326">
        <v>-0.98118050000000001</v>
      </c>
      <c r="S4326">
        <v>0.14727779999999999</v>
      </c>
      <c r="T4326">
        <v>-0.1066375</v>
      </c>
      <c r="U4326">
        <v>-3.0737610000000002</v>
      </c>
      <c r="V4326">
        <v>1.8450950000000001E-2</v>
      </c>
      <c r="W4326">
        <v>0.20418310000000001</v>
      </c>
      <c r="X4326">
        <v>0.97875880000000004</v>
      </c>
      <c r="Y4326">
        <v>7.4479889999999995E-4</v>
      </c>
      <c r="Z4326">
        <v>2.105889E-2</v>
      </c>
      <c r="AA4326">
        <v>0.99977800000000006</v>
      </c>
      <c r="AB4326">
        <v>29</v>
      </c>
      <c r="AC4326">
        <v>1.5347000000000399</v>
      </c>
      <c r="AD4326">
        <v>-1.1216538062800001</v>
      </c>
      <c r="AE4326">
        <v>-32.041670000000003</v>
      </c>
      <c r="AF4326">
        <v>2.4090320866627799E-2</v>
      </c>
      <c r="AG4326">
        <v>-1.1216538062800001</v>
      </c>
      <c r="AH4326">
        <v>32.039221786285601</v>
      </c>
      <c r="AI4326">
        <v>92.005035441615405</v>
      </c>
      <c r="AJ4326">
        <v>89.956919257843794</v>
      </c>
      <c r="AK4326">
        <v>32.058858686414602</v>
      </c>
      <c r="AL4326">
        <v>78.218317101572595</v>
      </c>
      <c r="AM4326">
        <v>88.920023645941299</v>
      </c>
      <c r="AN4326">
        <v>0.99999998222947595</v>
      </c>
    </row>
    <row r="4327" spans="1:40" x14ac:dyDescent="0.25">
      <c r="A4327" t="str">
        <f>"20190303171104801"</f>
        <v>20190303171104801</v>
      </c>
      <c r="B4327" t="str">
        <f>"1551604264795323"</f>
        <v>1551604264795323</v>
      </c>
      <c r="C4327" t="s">
        <v>40</v>
      </c>
      <c r="D4327">
        <v>4.9360229999999996</v>
      </c>
      <c r="E4327">
        <v>0.46800700000000001</v>
      </c>
      <c r="F4327" t="s">
        <v>68</v>
      </c>
      <c r="G4327">
        <v>-420.7629</v>
      </c>
      <c r="H4327" s="1">
        <v>-1.076651E-5</v>
      </c>
      <c r="I4327">
        <v>17.86561</v>
      </c>
      <c r="J4327">
        <v>-422.28140000000002</v>
      </c>
      <c r="K4327">
        <v>1.1216410000000001</v>
      </c>
      <c r="L4327">
        <v>49.996310000000001</v>
      </c>
      <c r="M4327">
        <v>4.900736E-2</v>
      </c>
      <c r="N4327">
        <v>-1.3550970000000001E-2</v>
      </c>
      <c r="O4327">
        <v>-0.9987066</v>
      </c>
      <c r="P4327">
        <v>2.9193230000000001E-2</v>
      </c>
      <c r="Q4327">
        <v>0.19116169999999999</v>
      </c>
      <c r="R4327">
        <v>-0.98112460000000001</v>
      </c>
      <c r="S4327">
        <v>0.14535519999999999</v>
      </c>
      <c r="T4327">
        <v>-0.106295899999999</v>
      </c>
      <c r="U4327">
        <v>-3.0739139999999998</v>
      </c>
      <c r="V4327">
        <v>1.8778320000000001E-2</v>
      </c>
      <c r="W4327">
        <v>0.20445669999999999</v>
      </c>
      <c r="X4327">
        <v>0.97869550000000005</v>
      </c>
      <c r="Y4327">
        <v>1.7897950000000001E-3</v>
      </c>
      <c r="Z4327">
        <v>2.0947460000000001E-2</v>
      </c>
      <c r="AA4327">
        <v>0.99977899999999997</v>
      </c>
      <c r="AB4327">
        <v>29</v>
      </c>
      <c r="AC4327">
        <v>1.51850000000001</v>
      </c>
      <c r="AD4327">
        <v>-1.1216517665100001</v>
      </c>
      <c r="AE4327">
        <v>-32.130699999999997</v>
      </c>
      <c r="AF4327">
        <v>5.8039567202574603E-2</v>
      </c>
      <c r="AG4327">
        <v>-1.1216517665100001</v>
      </c>
      <c r="AH4327">
        <v>32.127445161801802</v>
      </c>
      <c r="AI4327">
        <v>91.999527673043403</v>
      </c>
      <c r="AJ4327">
        <v>89.896492901594698</v>
      </c>
      <c r="AK4327">
        <v>32.147071466951097</v>
      </c>
      <c r="AL4327">
        <v>78.2023036553949</v>
      </c>
      <c r="AM4327">
        <v>88.900795517754204</v>
      </c>
      <c r="AN4327">
        <v>1.0000000245985801</v>
      </c>
    </row>
    <row r="4328" spans="1:40" x14ac:dyDescent="0.25">
      <c r="A4328" t="str">
        <f>"20190303171104822"</f>
        <v>20190303171104822</v>
      </c>
      <c r="B4328" t="str">
        <f>"1551604264814844"</f>
        <v>1551604264814844</v>
      </c>
      <c r="C4328" t="s">
        <v>40</v>
      </c>
      <c r="D4328">
        <v>4.8404579999999999</v>
      </c>
      <c r="E4328">
        <v>0.45108880000000001</v>
      </c>
      <c r="F4328" t="s">
        <v>68</v>
      </c>
      <c r="G4328">
        <v>-418.2912</v>
      </c>
      <c r="H4328" s="1">
        <v>-1.280211E-5</v>
      </c>
      <c r="I4328">
        <v>17.62359</v>
      </c>
      <c r="J4328">
        <v>-422.26639999999998</v>
      </c>
      <c r="K4328">
        <v>1.1216429999999999</v>
      </c>
      <c r="L4328">
        <v>49.701900000000002</v>
      </c>
      <c r="M4328">
        <v>4.9410349999999999E-2</v>
      </c>
      <c r="N4328">
        <v>-1.354942E-2</v>
      </c>
      <c r="O4328">
        <v>-0.99868690000000004</v>
      </c>
      <c r="P4328">
        <v>2.9430709999999999E-2</v>
      </c>
      <c r="Q4328">
        <v>0.1906148</v>
      </c>
      <c r="R4328">
        <v>-0.98122390000000004</v>
      </c>
      <c r="S4328">
        <v>0.37805179999999999</v>
      </c>
      <c r="T4328">
        <v>-0.10627159999999999</v>
      </c>
      <c r="U4328">
        <v>-3.0671689999999998</v>
      </c>
      <c r="V4328">
        <v>1.894274E-2</v>
      </c>
      <c r="W4328">
        <v>0.20391010000000001</v>
      </c>
      <c r="X4328">
        <v>0.97880630000000002</v>
      </c>
      <c r="Y4328">
        <v>-7.3088269999999997E-2</v>
      </c>
      <c r="Z4328">
        <v>2.0884239999999998E-2</v>
      </c>
      <c r="AA4328">
        <v>0.99710679999999996</v>
      </c>
      <c r="AB4328">
        <v>29</v>
      </c>
      <c r="AC4328">
        <v>3.9751999999999699</v>
      </c>
      <c r="AD4328">
        <v>-1.12165580211</v>
      </c>
      <c r="AE4328">
        <v>-32.078309999999902</v>
      </c>
      <c r="AF4328">
        <v>-2.3823293444725699</v>
      </c>
      <c r="AG4328">
        <v>-1.12165580211</v>
      </c>
      <c r="AH4328">
        <v>32.1967856852661</v>
      </c>
      <c r="AI4328">
        <v>91.989800123338</v>
      </c>
      <c r="AJ4328">
        <v>94.231761788067502</v>
      </c>
      <c r="AK4328">
        <v>32.304281655949303</v>
      </c>
      <c r="AL4328">
        <v>78.234294795653099</v>
      </c>
      <c r="AM4328">
        <v>88.891298936468104</v>
      </c>
      <c r="AN4328">
        <v>0.99999996460020302</v>
      </c>
    </row>
    <row r="4329" spans="1:40" x14ac:dyDescent="0.25">
      <c r="A4329" t="str">
        <f>"20190303171104843"</f>
        <v>20190303171104843</v>
      </c>
      <c r="B4329" t="str">
        <f>"1551604264835339"</f>
        <v>1551604264835339</v>
      </c>
      <c r="C4329" t="s">
        <v>40</v>
      </c>
      <c r="D4329">
        <v>4.7941449999999897</v>
      </c>
      <c r="E4329">
        <v>0.43937880000000001</v>
      </c>
      <c r="F4329" t="s">
        <v>68</v>
      </c>
      <c r="G4329">
        <v>-415.0951</v>
      </c>
      <c r="H4329">
        <v>7.9986559999999998E-2</v>
      </c>
      <c r="I4329">
        <v>6.974316</v>
      </c>
      <c r="J4329">
        <v>-422.25240000000002</v>
      </c>
      <c r="K4329">
        <v>1.121634</v>
      </c>
      <c r="L4329">
        <v>49.425930000000001</v>
      </c>
      <c r="M4329">
        <v>4.9788220000000001E-2</v>
      </c>
      <c r="N4329">
        <v>-1.3547979999999999E-2</v>
      </c>
      <c r="O4329">
        <v>-0.998668</v>
      </c>
      <c r="P4329">
        <v>2.9798330000000001E-2</v>
      </c>
      <c r="Q4329">
        <v>0.18966720000000001</v>
      </c>
      <c r="R4329">
        <v>-0.98139639999999995</v>
      </c>
      <c r="S4329">
        <v>0.51300049999999997</v>
      </c>
      <c r="T4329">
        <v>-7.4514150000000001E-2</v>
      </c>
      <c r="U4329">
        <v>-3.0564879999999999</v>
      </c>
      <c r="V4329">
        <v>1.8956520000000001E-2</v>
      </c>
      <c r="W4329">
        <v>0.20296320000000001</v>
      </c>
      <c r="X4329">
        <v>0.97900279999999995</v>
      </c>
      <c r="Y4329">
        <v>-0.11617470000000001</v>
      </c>
      <c r="Z4329">
        <v>1.0585600000000001E-2</v>
      </c>
      <c r="AA4329">
        <v>0.99317239999999996</v>
      </c>
      <c r="AB4329">
        <v>29</v>
      </c>
      <c r="AC4329">
        <v>7.1573000000000198</v>
      </c>
      <c r="AD4329">
        <v>-1.04164744</v>
      </c>
      <c r="AE4329">
        <v>-42.451613999999999</v>
      </c>
      <c r="AF4329">
        <v>-5.0316920343506304</v>
      </c>
      <c r="AG4329">
        <v>-1.04164744</v>
      </c>
      <c r="AH4329">
        <v>42.7303217300162</v>
      </c>
      <c r="AI4329">
        <v>91.386858271648407</v>
      </c>
      <c r="AJ4329">
        <v>96.715914389827304</v>
      </c>
      <c r="AK4329">
        <v>43.038161546103403</v>
      </c>
      <c r="AL4329">
        <v>78.289706729141301</v>
      </c>
      <c r="AM4329">
        <v>88.890715245847503</v>
      </c>
      <c r="AN4329">
        <v>0.99999994630629296</v>
      </c>
    </row>
    <row r="4330" spans="1:40" x14ac:dyDescent="0.25">
      <c r="A4330" t="str">
        <f>"20190303171104865"</f>
        <v>20190303171104865</v>
      </c>
      <c r="B4330" t="str">
        <f>"1551604264854859"</f>
        <v>1551604264854859</v>
      </c>
      <c r="C4330" t="s">
        <v>40</v>
      </c>
      <c r="D4330">
        <v>4.767506</v>
      </c>
      <c r="E4330">
        <v>0.43335069999999998</v>
      </c>
      <c r="F4330" t="s">
        <v>92</v>
      </c>
      <c r="G4330">
        <v>-412.52260000000001</v>
      </c>
      <c r="H4330">
        <v>0.23748250000000001</v>
      </c>
      <c r="I4330">
        <v>0.55342860000000005</v>
      </c>
      <c r="J4330">
        <v>-422.23739999999998</v>
      </c>
      <c r="K4330">
        <v>1.1216200000000001</v>
      </c>
      <c r="L4330">
        <v>49.134639999999997</v>
      </c>
      <c r="M4330">
        <v>5.0187210000000003E-2</v>
      </c>
      <c r="N4330">
        <v>-1.354646E-2</v>
      </c>
      <c r="O4330">
        <v>-0.99864819999999999</v>
      </c>
      <c r="P4330">
        <v>3.0460620000000001E-2</v>
      </c>
      <c r="Q4330">
        <v>0.18792639999999999</v>
      </c>
      <c r="R4330">
        <v>-0.98171120000000001</v>
      </c>
      <c r="S4330">
        <v>0.60702509999999998</v>
      </c>
      <c r="T4330">
        <v>-5.5162790000000003E-2</v>
      </c>
      <c r="U4330">
        <v>-3.0491030000000001</v>
      </c>
      <c r="V4330">
        <v>1.870461E-2</v>
      </c>
      <c r="W4330">
        <v>0.2012255</v>
      </c>
      <c r="X4330">
        <v>0.97936639999999997</v>
      </c>
      <c r="Y4330">
        <v>-0.14574719999999999</v>
      </c>
      <c r="Z4330">
        <v>4.3043439999999999E-3</v>
      </c>
      <c r="AA4330">
        <v>0.98931250000000004</v>
      </c>
      <c r="AB4330">
        <v>29</v>
      </c>
      <c r="AC4330">
        <v>9.7147999999999595</v>
      </c>
      <c r="AD4330">
        <v>-0.88413750000000002</v>
      </c>
      <c r="AE4330">
        <v>-48.581211400000001</v>
      </c>
      <c r="AF4330">
        <v>-7.2618641196268001</v>
      </c>
      <c r="AG4330">
        <v>-0.88413750000000002</v>
      </c>
      <c r="AH4330">
        <v>48.991980138980601</v>
      </c>
      <c r="AI4330">
        <v>91.022708995905603</v>
      </c>
      <c r="AJ4330">
        <v>98.431309578645198</v>
      </c>
      <c r="AK4330">
        <v>49.535143964150301</v>
      </c>
      <c r="AL4330">
        <v>78.391368561360395</v>
      </c>
      <c r="AM4330">
        <v>88.9058589970127</v>
      </c>
      <c r="AN4330">
        <v>1.0000000548672201</v>
      </c>
    </row>
    <row r="4331" spans="1:40" x14ac:dyDescent="0.25">
      <c r="A4331" t="str">
        <f>"20190303171104888"</f>
        <v>20190303171104888</v>
      </c>
      <c r="B4331" t="str">
        <f>"1551604264885115"</f>
        <v>1551604264885115</v>
      </c>
      <c r="C4331" t="s">
        <v>40</v>
      </c>
      <c r="D4331">
        <v>4.7658079999999998</v>
      </c>
      <c r="E4331">
        <v>0.428535</v>
      </c>
      <c r="F4331" t="s">
        <v>92</v>
      </c>
      <c r="G4331">
        <v>-411.7586</v>
      </c>
      <c r="H4331">
        <v>0.3571203</v>
      </c>
      <c r="I4331">
        <v>0.56120300000000001</v>
      </c>
      <c r="J4331">
        <v>-422.22250000000003</v>
      </c>
      <c r="K4331">
        <v>1.1216079999999999</v>
      </c>
      <c r="L4331">
        <v>48.846649999999997</v>
      </c>
      <c r="M4331">
        <v>5.0581809999999998E-2</v>
      </c>
      <c r="N4331">
        <v>-1.354495E-2</v>
      </c>
      <c r="O4331">
        <v>-0.99862819999999997</v>
      </c>
      <c r="P4331">
        <v>3.2169330000000003E-2</v>
      </c>
      <c r="Q4331">
        <v>0.18602389999999999</v>
      </c>
      <c r="R4331">
        <v>-0.98201859999999996</v>
      </c>
      <c r="S4331">
        <v>0.65682980000000002</v>
      </c>
      <c r="T4331">
        <v>-4.7921900000000003E-2</v>
      </c>
      <c r="U4331">
        <v>-3.0446780000000002</v>
      </c>
      <c r="V4331">
        <v>1.7403350000000001E-2</v>
      </c>
      <c r="W4331">
        <v>0.199326</v>
      </c>
      <c r="X4331">
        <v>0.9797787</v>
      </c>
      <c r="Y4331">
        <v>-0.16112870000000001</v>
      </c>
      <c r="Z4331">
        <v>1.9554059999999998E-3</v>
      </c>
      <c r="AA4331">
        <v>0.98693140000000001</v>
      </c>
      <c r="AB4331">
        <v>29</v>
      </c>
      <c r="AC4331">
        <v>10.463900000000001</v>
      </c>
      <c r="AD4331">
        <v>-0.76448769999999899</v>
      </c>
      <c r="AE4331">
        <v>-48.285446999999998</v>
      </c>
      <c r="AF4331">
        <v>-8.0059969993264897</v>
      </c>
      <c r="AG4331">
        <v>-0.76448769999999899</v>
      </c>
      <c r="AH4331">
        <v>48.741287878172002</v>
      </c>
      <c r="AI4331">
        <v>90.886707811814901</v>
      </c>
      <c r="AJ4331">
        <v>99.327822373865303</v>
      </c>
      <c r="AK4331">
        <v>49.400339810769701</v>
      </c>
      <c r="AL4331">
        <v>78.502452062357904</v>
      </c>
      <c r="AM4331">
        <v>88.982388925169602</v>
      </c>
      <c r="AN4331">
        <v>1.0000000159204501</v>
      </c>
    </row>
    <row r="4332" spans="1:40" x14ac:dyDescent="0.25">
      <c r="A4332" t="str">
        <f>"20190303171104912"</f>
        <v>20190303171104912</v>
      </c>
      <c r="B4332" t="str">
        <f>"1551604264905612"</f>
        <v>1551604264905612</v>
      </c>
      <c r="C4332" t="s">
        <v>40</v>
      </c>
      <c r="D4332">
        <v>4.7696100000000001</v>
      </c>
      <c r="E4332">
        <v>0.42651319999999998</v>
      </c>
      <c r="F4332" t="s">
        <v>92</v>
      </c>
      <c r="G4332">
        <v>-411.11660000000001</v>
      </c>
      <c r="H4332">
        <v>0.3958006</v>
      </c>
      <c r="I4332">
        <v>0.56773189999999996</v>
      </c>
      <c r="J4332">
        <v>-422.20650000000001</v>
      </c>
      <c r="K4332">
        <v>1.121607</v>
      </c>
      <c r="L4332">
        <v>48.540309999999998</v>
      </c>
      <c r="M4332">
        <v>5.1001730000000002E-2</v>
      </c>
      <c r="N4332">
        <v>-1.3543390000000001E-2</v>
      </c>
      <c r="O4332">
        <v>-0.99860669999999996</v>
      </c>
      <c r="P4332">
        <v>3.3636659999999999E-2</v>
      </c>
      <c r="Q4332">
        <v>0.1860089</v>
      </c>
      <c r="R4332">
        <v>-0.98197230000000002</v>
      </c>
      <c r="S4332">
        <v>0.6994629</v>
      </c>
      <c r="T4332">
        <v>-4.571426E-2</v>
      </c>
      <c r="U4332">
        <v>-3.04068</v>
      </c>
      <c r="V4332">
        <v>1.6348959999999999E-2</v>
      </c>
      <c r="W4332">
        <v>0.19930919999999999</v>
      </c>
      <c r="X4332">
        <v>0.97980029999999996</v>
      </c>
      <c r="Y4332">
        <v>-0.1741471</v>
      </c>
      <c r="Z4332">
        <v>1.231511E-3</v>
      </c>
      <c r="AA4332">
        <v>0.98471889999999995</v>
      </c>
      <c r="AB4332">
        <v>29</v>
      </c>
      <c r="AC4332">
        <v>11.0899</v>
      </c>
      <c r="AD4332">
        <v>-0.72580639999999996</v>
      </c>
      <c r="AE4332">
        <v>-47.9725781</v>
      </c>
      <c r="AF4332">
        <v>-8.6266810798756399</v>
      </c>
      <c r="AG4332">
        <v>-0.72580639999999996</v>
      </c>
      <c r="AH4332">
        <v>48.465258263658001</v>
      </c>
      <c r="AI4332">
        <v>90.844711269533306</v>
      </c>
      <c r="AJ4332">
        <v>100.092785260714</v>
      </c>
      <c r="AK4332">
        <v>49.232384463351302</v>
      </c>
      <c r="AL4332">
        <v>78.503434584100006</v>
      </c>
      <c r="AM4332">
        <v>89.044050622813103</v>
      </c>
      <c r="AN4332">
        <v>1.0000000367888999</v>
      </c>
    </row>
    <row r="4333" spans="1:40" x14ac:dyDescent="0.25">
      <c r="A4333" t="str">
        <f>"20190303171104934"</f>
        <v>20190303171104934</v>
      </c>
      <c r="B4333" t="str">
        <f>"1551604264925131"</f>
        <v>1551604264925131</v>
      </c>
      <c r="C4333" t="s">
        <v>40</v>
      </c>
      <c r="D4333">
        <v>4.7628469999999998</v>
      </c>
      <c r="E4333">
        <v>0.42498419999999998</v>
      </c>
      <c r="F4333" t="s">
        <v>92</v>
      </c>
      <c r="G4333">
        <v>-410.8501</v>
      </c>
      <c r="H4333">
        <v>0.42914590000000002</v>
      </c>
      <c r="I4333">
        <v>0.57044220000000001</v>
      </c>
      <c r="J4333">
        <v>-422.19060000000002</v>
      </c>
      <c r="K4333">
        <v>1.1216140000000001</v>
      </c>
      <c r="L4333">
        <v>48.238129999999998</v>
      </c>
      <c r="M4333">
        <v>5.1420720000000003E-2</v>
      </c>
      <c r="N4333">
        <v>-1.354179E-2</v>
      </c>
      <c r="O4333">
        <v>-0.99858550000000001</v>
      </c>
      <c r="P4333">
        <v>3.4595319999999999E-2</v>
      </c>
      <c r="Q4333">
        <v>0.1870095</v>
      </c>
      <c r="R4333">
        <v>-0.98174910000000004</v>
      </c>
      <c r="S4333">
        <v>0.71939090000000006</v>
      </c>
      <c r="T4333">
        <v>-4.3867110000000001E-2</v>
      </c>
      <c r="U4333">
        <v>-3.0387569999999999</v>
      </c>
      <c r="V4333">
        <v>1.5790869999999999E-2</v>
      </c>
      <c r="W4333">
        <v>0.20030529999999999</v>
      </c>
      <c r="X4333">
        <v>0.97960630000000004</v>
      </c>
      <c r="Y4333">
        <v>-0.1799907</v>
      </c>
      <c r="Z4333">
        <v>6.3257549999999997E-4</v>
      </c>
      <c r="AA4333">
        <v>0.98366810000000005</v>
      </c>
      <c r="AB4333">
        <v>29</v>
      </c>
      <c r="AC4333">
        <v>11.3405</v>
      </c>
      <c r="AD4333">
        <v>-0.69246809999999903</v>
      </c>
      <c r="AE4333">
        <v>-47.667687800000003</v>
      </c>
      <c r="AF4333">
        <v>-8.8723915810610805</v>
      </c>
      <c r="AG4333">
        <v>-0.69246809999999903</v>
      </c>
      <c r="AH4333">
        <v>48.178183145301503</v>
      </c>
      <c r="AI4333">
        <v>90.809842994099597</v>
      </c>
      <c r="AJ4333">
        <v>100.43455734743</v>
      </c>
      <c r="AK4333">
        <v>48.993225813569602</v>
      </c>
      <c r="AL4333">
        <v>78.4451876885947</v>
      </c>
      <c r="AM4333">
        <v>89.076494450793305</v>
      </c>
      <c r="AN4333">
        <v>1.00000003389156</v>
      </c>
    </row>
    <row r="4334" spans="1:40" x14ac:dyDescent="0.25">
      <c r="A4334" t="str">
        <f>"20190303171104955"</f>
        <v>20190303171104955</v>
      </c>
      <c r="B4334" t="str">
        <f>"1551604264945628"</f>
        <v>1551604264945628</v>
      </c>
      <c r="C4334" t="s">
        <v>40</v>
      </c>
      <c r="D4334">
        <v>4.7471940000000004</v>
      </c>
      <c r="E4334">
        <v>0.4238497</v>
      </c>
      <c r="F4334" t="s">
        <v>92</v>
      </c>
      <c r="G4334">
        <v>-410.67169999999999</v>
      </c>
      <c r="H4334">
        <v>0.52645589999999998</v>
      </c>
      <c r="I4334">
        <v>0.57225419999999905</v>
      </c>
      <c r="J4334">
        <v>-422.17660000000001</v>
      </c>
      <c r="K4334">
        <v>1.1216269999999999</v>
      </c>
      <c r="L4334">
        <v>47.976529999999997</v>
      </c>
      <c r="M4334">
        <v>5.1797870000000003E-2</v>
      </c>
      <c r="N4334">
        <v>-1.35403E-2</v>
      </c>
      <c r="O4334">
        <v>-0.9985657</v>
      </c>
      <c r="P4334">
        <v>3.5872090000000002E-2</v>
      </c>
      <c r="Q4334">
        <v>0.1876698</v>
      </c>
      <c r="R4334">
        <v>-0.98157689999999997</v>
      </c>
      <c r="S4334">
        <v>0.73394780000000004</v>
      </c>
      <c r="T4334">
        <v>-3.7923690000000003E-2</v>
      </c>
      <c r="U4334">
        <v>-3.03714</v>
      </c>
      <c r="V4334">
        <v>1.4873900000000001E-2</v>
      </c>
      <c r="W4334">
        <v>0.20096159999999999</v>
      </c>
      <c r="X4334">
        <v>0.97948619999999997</v>
      </c>
      <c r="Y4334">
        <v>-0.18419569999999999</v>
      </c>
      <c r="Z4334">
        <v>-1.278541E-3</v>
      </c>
      <c r="AA4334">
        <v>0.98288880000000001</v>
      </c>
      <c r="AB4334">
        <v>29</v>
      </c>
      <c r="AC4334">
        <v>11.504899999999999</v>
      </c>
      <c r="AD4334">
        <v>-0.59517109999999995</v>
      </c>
      <c r="AE4334">
        <v>-47.404275799999901</v>
      </c>
      <c r="AF4334">
        <v>-9.03244238524419</v>
      </c>
      <c r="AG4334">
        <v>-0.59517109999999995</v>
      </c>
      <c r="AH4334">
        <v>47.929477084343198</v>
      </c>
      <c r="AI4334">
        <v>90.699136764633593</v>
      </c>
      <c r="AJ4334">
        <v>100.67238148407</v>
      </c>
      <c r="AK4334">
        <v>48.776777442340503</v>
      </c>
      <c r="AL4334">
        <v>78.406803670903301</v>
      </c>
      <c r="AM4334">
        <v>89.130006938097694</v>
      </c>
      <c r="AN4334">
        <v>1.0000000067831001</v>
      </c>
    </row>
    <row r="4335" spans="1:40" x14ac:dyDescent="0.25">
      <c r="A4335" t="str">
        <f>"20190303171104977"</f>
        <v>20190303171104977</v>
      </c>
      <c r="B4335" t="str">
        <f>"1551604264965147"</f>
        <v>1551604264965147</v>
      </c>
      <c r="C4335" t="s">
        <v>40</v>
      </c>
      <c r="D4335">
        <v>4.7377279999999997</v>
      </c>
      <c r="E4335">
        <v>0.42290339999999998</v>
      </c>
      <c r="F4335" t="s">
        <v>92</v>
      </c>
      <c r="G4335">
        <v>-410.51530000000002</v>
      </c>
      <c r="H4335">
        <v>0.60805889999999996</v>
      </c>
      <c r="I4335">
        <v>0.57385059999999999</v>
      </c>
      <c r="J4335">
        <v>-422.16109999999998</v>
      </c>
      <c r="K4335">
        <v>1.1216459999999999</v>
      </c>
      <c r="L4335">
        <v>47.687989999999999</v>
      </c>
      <c r="M4335">
        <v>5.2253960000000002E-2</v>
      </c>
      <c r="N4335">
        <v>-1.353879E-2</v>
      </c>
      <c r="O4335">
        <v>-0.99854219999999905</v>
      </c>
      <c r="P4335">
        <v>3.6549989999999997E-2</v>
      </c>
      <c r="Q4335">
        <v>0.18754109999999999</v>
      </c>
      <c r="R4335">
        <v>-0.98157680000000003</v>
      </c>
      <c r="S4335">
        <v>0.74670409999999998</v>
      </c>
      <c r="T4335">
        <v>-3.2886739999999998E-2</v>
      </c>
      <c r="U4335">
        <v>-3.0353089999999998</v>
      </c>
      <c r="V4335">
        <v>1.4634319999999999E-2</v>
      </c>
      <c r="W4335">
        <v>0.2008327</v>
      </c>
      <c r="X4335">
        <v>0.97951630000000001</v>
      </c>
      <c r="Y4335">
        <v>-0.18778030000000001</v>
      </c>
      <c r="Z4335">
        <v>-2.8952660000000001E-3</v>
      </c>
      <c r="AA4335">
        <v>0.98220680000000005</v>
      </c>
      <c r="AB4335">
        <v>29</v>
      </c>
      <c r="AC4335">
        <v>11.6457999999999</v>
      </c>
      <c r="AD4335">
        <v>-0.51358709999999996</v>
      </c>
      <c r="AE4335">
        <v>-47.114139399999999</v>
      </c>
      <c r="AF4335">
        <v>-9.1667347187230099</v>
      </c>
      <c r="AG4335">
        <v>-0.51358709999999996</v>
      </c>
      <c r="AH4335">
        <v>47.653019933943398</v>
      </c>
      <c r="AI4335">
        <v>90.606373039929096</v>
      </c>
      <c r="AJ4335">
        <v>100.88864881630801</v>
      </c>
      <c r="AK4335">
        <v>48.529404549587603</v>
      </c>
      <c r="AL4335">
        <v>78.414343419410102</v>
      </c>
      <c r="AM4335">
        <v>89.144044470550696</v>
      </c>
      <c r="AN4335">
        <v>1.00000005933841</v>
      </c>
    </row>
    <row r="4336" spans="1:40" x14ac:dyDescent="0.25">
      <c r="A4336" t="str">
        <f>"20190303171105000"</f>
        <v>20190303171105000</v>
      </c>
      <c r="B4336" t="str">
        <f>"1551604264995402"</f>
        <v>1551604264995402</v>
      </c>
      <c r="C4336" t="s">
        <v>40</v>
      </c>
      <c r="D4336">
        <v>4.7220740000000001</v>
      </c>
      <c r="E4336">
        <v>0.42189290000000002</v>
      </c>
      <c r="F4336" t="s">
        <v>92</v>
      </c>
      <c r="G4336">
        <v>-410.41030000000001</v>
      </c>
      <c r="H4336">
        <v>0.64994839999999998</v>
      </c>
      <c r="I4336">
        <v>0.57491490000000001</v>
      </c>
      <c r="J4336">
        <v>-422.14499999999998</v>
      </c>
      <c r="K4336">
        <v>1.121694</v>
      </c>
      <c r="L4336">
        <v>47.390079999999998</v>
      </c>
      <c r="M4336">
        <v>5.280162E-2</v>
      </c>
      <c r="N4336">
        <v>-1.3537489999999999E-2</v>
      </c>
      <c r="O4336">
        <v>-0.9985134</v>
      </c>
      <c r="P4336">
        <v>3.7497740000000002E-2</v>
      </c>
      <c r="Q4336">
        <v>0.18609249999999999</v>
      </c>
      <c r="R4336">
        <v>-0.98181660000000004</v>
      </c>
      <c r="S4336">
        <v>0.75671390000000005</v>
      </c>
      <c r="T4336">
        <v>-3.037751E-2</v>
      </c>
      <c r="U4336">
        <v>-3.0339360000000002</v>
      </c>
      <c r="V4336">
        <v>1.421744E-2</v>
      </c>
      <c r="W4336">
        <v>0.19938819999999999</v>
      </c>
      <c r="X4336">
        <v>0.97981750000000001</v>
      </c>
      <c r="Y4336">
        <v>-0.19039719999999999</v>
      </c>
      <c r="Z4336">
        <v>-3.6998859999999999E-3</v>
      </c>
      <c r="AA4336">
        <v>0.98170020000000002</v>
      </c>
      <c r="AB4336">
        <v>29</v>
      </c>
      <c r="AC4336">
        <v>11.734699999999901</v>
      </c>
      <c r="AD4336">
        <v>-0.47174559999999899</v>
      </c>
      <c r="AE4336">
        <v>-46.815165100000002</v>
      </c>
      <c r="AF4336">
        <v>-9.2453013218634901</v>
      </c>
      <c r="AG4336">
        <v>-0.47174559999999899</v>
      </c>
      <c r="AH4336">
        <v>47.364989674361802</v>
      </c>
      <c r="AI4336">
        <v>90.560066470743493</v>
      </c>
      <c r="AJ4336">
        <v>101.044846347915</v>
      </c>
      <c r="AK4336">
        <v>48.261168523934103</v>
      </c>
      <c r="AL4336">
        <v>78.498815795701901</v>
      </c>
      <c r="AM4336">
        <v>89.168679734972599</v>
      </c>
      <c r="AN4336">
        <v>1.00000006160281</v>
      </c>
    </row>
    <row r="4337" spans="1:40" x14ac:dyDescent="0.25">
      <c r="A4337" t="str">
        <f>"20190303171105022"</f>
        <v>20190303171105022</v>
      </c>
      <c r="B4337" t="str">
        <f>"1551604265014923"</f>
        <v>1551604265014923</v>
      </c>
      <c r="C4337" t="s">
        <v>40</v>
      </c>
      <c r="D4337">
        <v>4.7221320000000002</v>
      </c>
      <c r="E4337">
        <v>0.42132320000000001</v>
      </c>
      <c r="F4337" t="s">
        <v>92</v>
      </c>
      <c r="G4337">
        <v>-410.30259999999998</v>
      </c>
      <c r="H4337">
        <v>0.62423769999999901</v>
      </c>
      <c r="I4337">
        <v>0.57601169999999902</v>
      </c>
      <c r="J4337">
        <v>-422.12920000000003</v>
      </c>
      <c r="K4337">
        <v>1.1217509999999999</v>
      </c>
      <c r="L4337">
        <v>47.103700000000003</v>
      </c>
      <c r="M4337">
        <v>5.3400679999999999E-2</v>
      </c>
      <c r="N4337">
        <v>-1.353641E-2</v>
      </c>
      <c r="O4337">
        <v>-0.99848179999999997</v>
      </c>
      <c r="P4337">
        <v>3.8874579999999999E-2</v>
      </c>
      <c r="Q4337">
        <v>0.1852741</v>
      </c>
      <c r="R4337">
        <v>-0.98191799999999996</v>
      </c>
      <c r="S4337">
        <v>0.76708980000000004</v>
      </c>
      <c r="T4337">
        <v>-3.2224419999999997E-2</v>
      </c>
      <c r="U4337">
        <v>-3.0323790000000002</v>
      </c>
      <c r="V4337">
        <v>1.340993E-2</v>
      </c>
      <c r="W4337">
        <v>0.19857269999999999</v>
      </c>
      <c r="X4337">
        <v>0.97999440000000004</v>
      </c>
      <c r="Y4337">
        <v>-0.1930848</v>
      </c>
      <c r="Z4337">
        <v>-3.106176E-3</v>
      </c>
      <c r="AA4337">
        <v>0.98117719999999997</v>
      </c>
      <c r="AB4337">
        <v>29</v>
      </c>
      <c r="AC4337">
        <v>11.826599999999999</v>
      </c>
      <c r="AD4337">
        <v>-0.49751329999999999</v>
      </c>
      <c r="AE4337">
        <v>-46.527688299999902</v>
      </c>
      <c r="AF4337">
        <v>-9.3238840551143305</v>
      </c>
      <c r="AG4337">
        <v>-0.49751329999999999</v>
      </c>
      <c r="AH4337">
        <v>47.087837845873104</v>
      </c>
      <c r="AI4337">
        <v>90.593815813233604</v>
      </c>
      <c r="AJ4337">
        <v>101.20028228576599</v>
      </c>
      <c r="AK4337">
        <v>48.004654007253599</v>
      </c>
      <c r="AL4337">
        <v>78.546492995439195</v>
      </c>
      <c r="AM4337">
        <v>89.216031802863498</v>
      </c>
      <c r="AN4337">
        <v>0.99999998371962695</v>
      </c>
    </row>
    <row r="4338" spans="1:40" x14ac:dyDescent="0.25">
      <c r="A4338" t="str">
        <f>"20190303171105045"</f>
        <v>20190303171105045</v>
      </c>
      <c r="B4338" t="str">
        <f>"1551604265035419"</f>
        <v>1551604265035419</v>
      </c>
      <c r="C4338" t="s">
        <v>40</v>
      </c>
      <c r="D4338">
        <v>4.688231</v>
      </c>
      <c r="E4338">
        <v>0.42079569999999999</v>
      </c>
      <c r="F4338" t="s">
        <v>92</v>
      </c>
      <c r="G4338">
        <v>-410.2287</v>
      </c>
      <c r="H4338">
        <v>0.59272969999999903</v>
      </c>
      <c r="I4338">
        <v>0.57675929999999997</v>
      </c>
      <c r="J4338">
        <v>-422.11309999999997</v>
      </c>
      <c r="K4338">
        <v>1.1218239999999999</v>
      </c>
      <c r="L4338">
        <v>46.818179999999998</v>
      </c>
      <c r="M4338">
        <v>5.4110619999999998E-2</v>
      </c>
      <c r="N4338">
        <v>-1.353555E-2</v>
      </c>
      <c r="O4338">
        <v>-0.99844339999999998</v>
      </c>
      <c r="P4338">
        <v>3.9457319999999997E-2</v>
      </c>
      <c r="Q4338">
        <v>0.18542049999999999</v>
      </c>
      <c r="R4338">
        <v>-0.98186700000000005</v>
      </c>
      <c r="S4338">
        <v>0.77526859999999997</v>
      </c>
      <c r="T4338">
        <v>-3.4465429999999998E-2</v>
      </c>
      <c r="U4338">
        <v>-3.0310670000000002</v>
      </c>
      <c r="V4338">
        <v>1.348619E-2</v>
      </c>
      <c r="W4338">
        <v>0.19872039999999999</v>
      </c>
      <c r="X4338">
        <v>0.97996340000000004</v>
      </c>
      <c r="Y4338">
        <v>-0.19497349999999999</v>
      </c>
      <c r="Z4338">
        <v>-2.3857850000000001E-3</v>
      </c>
      <c r="AA4338">
        <v>0.98080560000000006</v>
      </c>
      <c r="AB4338">
        <v>29</v>
      </c>
      <c r="AC4338">
        <v>11.8843999999999</v>
      </c>
      <c r="AD4338">
        <v>-0.52909430000000002</v>
      </c>
      <c r="AE4338">
        <v>-46.241420699999999</v>
      </c>
      <c r="AF4338">
        <v>-9.3634549436290406</v>
      </c>
      <c r="AG4338">
        <v>-0.52909430000000002</v>
      </c>
      <c r="AH4338">
        <v>46.811044474526099</v>
      </c>
      <c r="AI4338">
        <v>90.634995590110293</v>
      </c>
      <c r="AJ4338">
        <v>101.31139894597899</v>
      </c>
      <c r="AK4338">
        <v>47.741262174933397</v>
      </c>
      <c r="AL4338">
        <v>78.537858170918099</v>
      </c>
      <c r="AM4338">
        <v>89.211549131947095</v>
      </c>
      <c r="AN4338">
        <v>0.99999997001821705</v>
      </c>
    </row>
    <row r="4339" spans="1:40" x14ac:dyDescent="0.25">
      <c r="A4339" t="str">
        <f>"20190303171105066"</f>
        <v>20190303171105066</v>
      </c>
      <c r="B4339" t="str">
        <f>"1551604265054939"</f>
        <v>1551604265054939</v>
      </c>
      <c r="C4339" t="s">
        <v>40</v>
      </c>
      <c r="D4339">
        <v>4.6761509999999999</v>
      </c>
      <c r="E4339">
        <v>0.42032920000000001</v>
      </c>
      <c r="F4339" t="s">
        <v>92</v>
      </c>
      <c r="G4339">
        <v>-410.19479999999999</v>
      </c>
      <c r="H4339">
        <v>0.61403719999999995</v>
      </c>
      <c r="I4339">
        <v>0.57710649999999997</v>
      </c>
      <c r="J4339">
        <v>-422.09679999999997</v>
      </c>
      <c r="K4339">
        <v>1.1219300000000001</v>
      </c>
      <c r="L4339">
        <v>46.533290000000001</v>
      </c>
      <c r="M4339">
        <v>5.4983150000000001E-2</v>
      </c>
      <c r="N4339">
        <v>-1.3535220000000001E-2</v>
      </c>
      <c r="O4339">
        <v>-0.99839549999999999</v>
      </c>
      <c r="P4339">
        <v>4.0383990000000002E-2</v>
      </c>
      <c r="Q4339">
        <v>0.18560989999999999</v>
      </c>
      <c r="R4339">
        <v>-0.98179340000000004</v>
      </c>
      <c r="S4339">
        <v>0.78103639999999996</v>
      </c>
      <c r="T4339">
        <v>-3.3278349999999998E-2</v>
      </c>
      <c r="U4339">
        <v>-3.0303040000000001</v>
      </c>
      <c r="V4339">
        <v>1.336331E-2</v>
      </c>
      <c r="W4339">
        <v>0.19891249999999999</v>
      </c>
      <c r="X4339">
        <v>0.97992619999999997</v>
      </c>
      <c r="Y4339">
        <v>-0.19592699999999999</v>
      </c>
      <c r="Z4339">
        <v>-2.765811E-3</v>
      </c>
      <c r="AA4339">
        <v>0.9806146</v>
      </c>
      <c r="AB4339">
        <v>29</v>
      </c>
      <c r="AC4339">
        <v>11.9019999999999</v>
      </c>
      <c r="AD4339">
        <v>-0.50789279999999903</v>
      </c>
      <c r="AE4339">
        <v>-45.956183500000002</v>
      </c>
      <c r="AF4339">
        <v>-9.35587412105866</v>
      </c>
      <c r="AG4339">
        <v>-0.50789279999999903</v>
      </c>
      <c r="AH4339">
        <v>46.535794864692498</v>
      </c>
      <c r="AI4339">
        <v>90.613036974153005</v>
      </c>
      <c r="AJ4339">
        <v>101.367593002272</v>
      </c>
      <c r="AK4339">
        <v>47.469680211205599</v>
      </c>
      <c r="AL4339">
        <v>78.526628485243805</v>
      </c>
      <c r="AM4339">
        <v>89.218702586534306</v>
      </c>
      <c r="AN4339">
        <v>1.0000000590784199</v>
      </c>
    </row>
    <row r="4340" spans="1:40" x14ac:dyDescent="0.25">
      <c r="A4340" t="str">
        <f>"20190303171105091"</f>
        <v>20190303171105091</v>
      </c>
      <c r="B4340" t="str">
        <f>"1551604265085195"</f>
        <v>1551604265085195</v>
      </c>
      <c r="C4340" t="s">
        <v>40</v>
      </c>
      <c r="D4340">
        <v>4.6668469999999997</v>
      </c>
      <c r="E4340">
        <v>0.41972199999999998</v>
      </c>
      <c r="F4340" t="s">
        <v>92</v>
      </c>
      <c r="G4340">
        <v>-410.14769999999999</v>
      </c>
      <c r="H4340">
        <v>0.64427829999999997</v>
      </c>
      <c r="I4340">
        <v>0.57758330000000002</v>
      </c>
      <c r="J4340">
        <v>-422.07909999999998</v>
      </c>
      <c r="K4340">
        <v>1.122079</v>
      </c>
      <c r="L4340">
        <v>46.233730000000001</v>
      </c>
      <c r="M4340">
        <v>5.6124880000000002E-2</v>
      </c>
      <c r="N4340">
        <v>-1.353586E-2</v>
      </c>
      <c r="O4340">
        <v>-0.99833229999999995</v>
      </c>
      <c r="P4340">
        <v>4.2735839999999997E-2</v>
      </c>
      <c r="Q4340">
        <v>0.1851508</v>
      </c>
      <c r="R4340">
        <v>-0.98178069999999895</v>
      </c>
      <c r="S4340">
        <v>0.787628199999999</v>
      </c>
      <c r="T4340">
        <v>-3.1486510000000002E-2</v>
      </c>
      <c r="U4340">
        <v>-3.0292050000000001</v>
      </c>
      <c r="V4340">
        <v>1.2065680000000001E-2</v>
      </c>
      <c r="W4340">
        <v>0.19845769999999999</v>
      </c>
      <c r="X4340">
        <v>0.9800352</v>
      </c>
      <c r="Y4340">
        <v>-0.19689139999999999</v>
      </c>
      <c r="Z4340">
        <v>-3.3395769999999998E-3</v>
      </c>
      <c r="AA4340">
        <v>0.98041959999999995</v>
      </c>
      <c r="AB4340">
        <v>29</v>
      </c>
      <c r="AC4340">
        <v>11.931399999999901</v>
      </c>
      <c r="AD4340">
        <v>-0.47780070000000002</v>
      </c>
      <c r="AE4340">
        <v>-45.656146700000001</v>
      </c>
      <c r="AF4340">
        <v>-9.34895156818523</v>
      </c>
      <c r="AG4340">
        <v>-0.47780070000000002</v>
      </c>
      <c r="AH4340">
        <v>46.249136480732702</v>
      </c>
      <c r="AI4340">
        <v>90.580168821741594</v>
      </c>
      <c r="AJ4340">
        <v>101.427960758936</v>
      </c>
      <c r="AK4340">
        <v>47.187008955290203</v>
      </c>
      <c r="AL4340">
        <v>78.553216186679904</v>
      </c>
      <c r="AM4340">
        <v>89.294640012772803</v>
      </c>
      <c r="AN4340">
        <v>1.00000001628109</v>
      </c>
    </row>
    <row r="4341" spans="1:40" x14ac:dyDescent="0.25">
      <c r="A4341" t="str">
        <f>"20190303171105113"</f>
        <v>20190303171105113</v>
      </c>
      <c r="B4341" t="str">
        <f>"1551604265104715"</f>
        <v>1551604265104715</v>
      </c>
      <c r="C4341" t="s">
        <v>40</v>
      </c>
      <c r="D4341">
        <v>4.6693030000000002</v>
      </c>
      <c r="E4341">
        <v>0.41935169999999999</v>
      </c>
      <c r="F4341" t="s">
        <v>92</v>
      </c>
      <c r="G4341">
        <v>-410.0326</v>
      </c>
      <c r="H4341">
        <v>0.64107099999999995</v>
      </c>
      <c r="I4341">
        <v>0.5787601</v>
      </c>
      <c r="J4341">
        <v>-422.06119999999999</v>
      </c>
      <c r="K4341">
        <v>1.12226</v>
      </c>
      <c r="L4341">
        <v>45.940309999999997</v>
      </c>
      <c r="M4341">
        <v>5.7509600000000001E-2</v>
      </c>
      <c r="N4341">
        <v>-1.3537830000000001E-2</v>
      </c>
      <c r="O4341">
        <v>-0.99825350000000002</v>
      </c>
      <c r="P4341">
        <v>4.5840909999999999E-2</v>
      </c>
      <c r="Q4341">
        <v>0.1848785</v>
      </c>
      <c r="R4341">
        <v>-0.98169189999999995</v>
      </c>
      <c r="S4341">
        <v>0.79867549999999998</v>
      </c>
      <c r="T4341">
        <v>-3.1892539999999997E-2</v>
      </c>
      <c r="U4341">
        <v>-3.0269170000000001</v>
      </c>
      <c r="V4341">
        <v>1.023464E-2</v>
      </c>
      <c r="W4341">
        <v>0.1981899</v>
      </c>
      <c r="X4341">
        <v>0.98011020000000004</v>
      </c>
      <c r="Y4341">
        <v>-0.1990595</v>
      </c>
      <c r="Z4341">
        <v>-3.2081599999999998E-3</v>
      </c>
      <c r="AA4341">
        <v>0.97998209999999997</v>
      </c>
      <c r="AB4341">
        <v>29</v>
      </c>
      <c r="AC4341">
        <v>12.0285999999999</v>
      </c>
      <c r="AD4341">
        <v>-0.48118899999999998</v>
      </c>
      <c r="AE4341">
        <v>-45.3615499</v>
      </c>
      <c r="AF4341">
        <v>-9.3987375458774896</v>
      </c>
      <c r="AG4341">
        <v>-0.48118899999999998</v>
      </c>
      <c r="AH4341">
        <v>45.973450459426701</v>
      </c>
      <c r="AI4341">
        <v>90.587522977394102</v>
      </c>
      <c r="AJ4341">
        <v>101.554241894827</v>
      </c>
      <c r="AK4341">
        <v>46.926814908486698</v>
      </c>
      <c r="AL4341">
        <v>78.568870698345506</v>
      </c>
      <c r="AM4341">
        <v>89.4017199657563</v>
      </c>
      <c r="AN4341">
        <v>0.99999999423098895</v>
      </c>
    </row>
    <row r="4342" spans="1:40" x14ac:dyDescent="0.25">
      <c r="A4342" t="str">
        <f>"20190303171105134"</f>
        <v>20190303171105134</v>
      </c>
      <c r="B4342" t="str">
        <f>"1551604265125211"</f>
        <v>1551604265125211</v>
      </c>
      <c r="C4342" t="s">
        <v>40</v>
      </c>
      <c r="D4342">
        <v>4.6745000000000001</v>
      </c>
      <c r="E4342">
        <v>0.41907290000000003</v>
      </c>
      <c r="F4342" t="s">
        <v>92</v>
      </c>
      <c r="G4342">
        <v>-409.89240000000001</v>
      </c>
      <c r="H4342">
        <v>0.64136910000000003</v>
      </c>
      <c r="I4342">
        <v>0.580183</v>
      </c>
      <c r="J4342">
        <v>-422.04340000000002</v>
      </c>
      <c r="K4342">
        <v>1.1224670000000001</v>
      </c>
      <c r="L4342">
        <v>45.660519999999998</v>
      </c>
      <c r="M4342">
        <v>5.9119789999999998E-2</v>
      </c>
      <c r="N4342">
        <v>-1.354117E-2</v>
      </c>
      <c r="O4342">
        <v>-0.99815909999999997</v>
      </c>
      <c r="P4342">
        <v>4.9418520000000001E-2</v>
      </c>
      <c r="Q4342">
        <v>0.1843717</v>
      </c>
      <c r="R4342">
        <v>-0.98161359999999998</v>
      </c>
      <c r="S4342">
        <v>0.81127930000000004</v>
      </c>
      <c r="T4342">
        <v>-3.2062050000000002E-2</v>
      </c>
      <c r="U4342">
        <v>-3.0241090000000002</v>
      </c>
      <c r="V4342">
        <v>8.1451179999999998E-3</v>
      </c>
      <c r="W4342">
        <v>0.197687</v>
      </c>
      <c r="X4342">
        <v>0.98023130000000003</v>
      </c>
      <c r="Y4342">
        <v>-0.2015161</v>
      </c>
      <c r="Z4342">
        <v>-3.1529000000000001E-3</v>
      </c>
      <c r="AA4342">
        <v>0.97948009999999996</v>
      </c>
      <c r="AB4342">
        <v>29</v>
      </c>
      <c r="AC4342">
        <v>12.151</v>
      </c>
      <c r="AD4342">
        <v>-0.48109790000000002</v>
      </c>
      <c r="AE4342">
        <v>-45.080337</v>
      </c>
      <c r="AF4342">
        <v>-9.4633536357757393</v>
      </c>
      <c r="AG4342">
        <v>-0.48109790000000002</v>
      </c>
      <c r="AH4342">
        <v>45.715048795060902</v>
      </c>
      <c r="AI4342">
        <v>90.5904323976808</v>
      </c>
      <c r="AJ4342">
        <v>101.695459764821</v>
      </c>
      <c r="AK4342">
        <v>46.686745480488703</v>
      </c>
      <c r="AL4342">
        <v>78.598265812271407</v>
      </c>
      <c r="AM4342">
        <v>89.523918339796893</v>
      </c>
      <c r="AN4342">
        <v>0.99999994720796004</v>
      </c>
    </row>
    <row r="4343" spans="1:40" x14ac:dyDescent="0.25">
      <c r="A4343" t="str">
        <f>"20190303171105156"</f>
        <v>20190303171105156</v>
      </c>
      <c r="B4343" t="str">
        <f>"1551604265145707"</f>
        <v>1551604265145707</v>
      </c>
      <c r="C4343" t="s">
        <v>40</v>
      </c>
      <c r="D4343">
        <v>4.7045349999999999</v>
      </c>
      <c r="E4343">
        <v>0.39616489999999999</v>
      </c>
      <c r="F4343" t="s">
        <v>92</v>
      </c>
      <c r="G4343">
        <v>-409.73750000000001</v>
      </c>
      <c r="H4343">
        <v>0.64374140000000002</v>
      </c>
      <c r="I4343">
        <v>0.58175659999999996</v>
      </c>
      <c r="J4343">
        <v>-422.02510000000001</v>
      </c>
      <c r="K4343">
        <v>1.1226940000000001</v>
      </c>
      <c r="L4343">
        <v>45.384030000000003</v>
      </c>
      <c r="M4343">
        <v>6.1013619999999998E-2</v>
      </c>
      <c r="N4343">
        <v>-1.3545969999999999E-2</v>
      </c>
      <c r="O4343">
        <v>-0.99804530000000002</v>
      </c>
      <c r="P4343">
        <v>5.4290480000000002E-2</v>
      </c>
      <c r="Q4343">
        <v>0.18396709999999999</v>
      </c>
      <c r="R4343">
        <v>-0.98143230000000004</v>
      </c>
      <c r="S4343">
        <v>0.82461549999999995</v>
      </c>
      <c r="T4343">
        <v>-3.2081129999999999E-2</v>
      </c>
      <c r="U4343">
        <v>-3.020721</v>
      </c>
      <c r="V4343">
        <v>5.0288659999999999E-3</v>
      </c>
      <c r="W4343">
        <v>0.19728319999999999</v>
      </c>
      <c r="X4343">
        <v>0.98033360000000003</v>
      </c>
      <c r="Y4343">
        <v>-0.20396030000000001</v>
      </c>
      <c r="Z4343">
        <v>-3.1454450000000002E-3</v>
      </c>
      <c r="AA4343">
        <v>0.97897409999999996</v>
      </c>
      <c r="AB4343">
        <v>29</v>
      </c>
      <c r="AC4343">
        <v>12.2875999999999</v>
      </c>
      <c r="AD4343">
        <v>-0.47895260000000001</v>
      </c>
      <c r="AE4343">
        <v>-44.802273399999997</v>
      </c>
      <c r="AF4343">
        <v>-9.5298913466244795</v>
      </c>
      <c r="AG4343">
        <v>-0.47895260000000001</v>
      </c>
      <c r="AH4343">
        <v>45.463735751035401</v>
      </c>
      <c r="AI4343">
        <v>90.590741107649393</v>
      </c>
      <c r="AJ4343">
        <v>101.838662846167</v>
      </c>
      <c r="AK4343">
        <v>46.454273141568898</v>
      </c>
      <c r="AL4343">
        <v>78.621866781680794</v>
      </c>
      <c r="AM4343">
        <v>89.706089569677005</v>
      </c>
      <c r="AN4343">
        <v>0.99999995889222204</v>
      </c>
    </row>
    <row r="4344" spans="1:40" x14ac:dyDescent="0.25">
      <c r="A4344" t="str">
        <f>"20190303171105179"</f>
        <v>20190303171105179</v>
      </c>
      <c r="B4344" t="str">
        <f>"1551604265174987"</f>
        <v>1551604265174987</v>
      </c>
      <c r="C4344" t="s">
        <v>40</v>
      </c>
      <c r="D4344">
        <v>4.5302300000000004</v>
      </c>
      <c r="E4344">
        <v>0.37900250000000002</v>
      </c>
      <c r="F4344" t="s">
        <v>92</v>
      </c>
      <c r="G4344">
        <v>-406.79140000000001</v>
      </c>
      <c r="H4344">
        <v>1.590355</v>
      </c>
      <c r="I4344">
        <v>0.61172490000000002</v>
      </c>
      <c r="J4344">
        <v>-422.00529999999998</v>
      </c>
      <c r="K4344">
        <v>1.1229389999999999</v>
      </c>
      <c r="L4344">
        <v>45.098790000000001</v>
      </c>
      <c r="M4344">
        <v>6.3315239999999995E-2</v>
      </c>
      <c r="N4344">
        <v>-1.3552420000000001E-2</v>
      </c>
      <c r="O4344">
        <v>-0.9979017</v>
      </c>
      <c r="P4344">
        <v>6.0961439999999999E-2</v>
      </c>
      <c r="Q4344">
        <v>0.18391759999999999</v>
      </c>
      <c r="R4344">
        <v>-0.98104970000000002</v>
      </c>
      <c r="S4344">
        <v>1.0188900000000001</v>
      </c>
      <c r="T4344">
        <v>3.1277060000000002E-2</v>
      </c>
      <c r="U4344">
        <v>-2.9945369999999998</v>
      </c>
      <c r="V4344">
        <v>4.9746709999999995E-4</v>
      </c>
      <c r="W4344">
        <v>0.1972256</v>
      </c>
      <c r="X4344">
        <v>0.98035799999999995</v>
      </c>
      <c r="Y4344">
        <v>-0.26142769999999999</v>
      </c>
      <c r="Z4344">
        <v>-2.336046E-2</v>
      </c>
      <c r="AA4344">
        <v>0.96494029999999997</v>
      </c>
      <c r="AB4344">
        <v>29</v>
      </c>
      <c r="AC4344">
        <v>15.213899999999899</v>
      </c>
      <c r="AD4344">
        <v>0.467416</v>
      </c>
      <c r="AE4344">
        <v>-44.487065100000002</v>
      </c>
      <c r="AF4344">
        <v>-12.3651792870525</v>
      </c>
      <c r="AG4344">
        <v>0.467416</v>
      </c>
      <c r="AH4344">
        <v>45.356666157874002</v>
      </c>
      <c r="AI4344">
        <v>89.4303560413436</v>
      </c>
      <c r="AJ4344">
        <v>105.249450648633</v>
      </c>
      <c r="AK4344">
        <v>47.014288269363803</v>
      </c>
      <c r="AL4344">
        <v>78.625233593301104</v>
      </c>
      <c r="AM4344">
        <v>89.970926168980895</v>
      </c>
      <c r="AN4344">
        <v>0.999999996466437</v>
      </c>
    </row>
    <row r="4345" spans="1:40" x14ac:dyDescent="0.25">
      <c r="A4345" t="str">
        <f>"20190303171105201"</f>
        <v>20190303171105201</v>
      </c>
      <c r="B4345" t="str">
        <f>"1551604265195483"</f>
        <v>1551604265195483</v>
      </c>
      <c r="C4345" t="s">
        <v>40</v>
      </c>
      <c r="D4345">
        <v>4.470936</v>
      </c>
      <c r="E4345">
        <v>0.3368274</v>
      </c>
      <c r="F4345" t="s">
        <v>92</v>
      </c>
      <c r="G4345">
        <v>-404.43849999999998</v>
      </c>
      <c r="H4345">
        <v>2.4000599999999999</v>
      </c>
      <c r="I4345">
        <v>0.63565249999999995</v>
      </c>
      <c r="J4345">
        <v>-421.98410000000001</v>
      </c>
      <c r="K4345">
        <v>1.123183</v>
      </c>
      <c r="L4345">
        <v>44.808720000000001</v>
      </c>
      <c r="M4345">
        <v>6.5977359999999999E-2</v>
      </c>
      <c r="N4345">
        <v>-1.355992E-2</v>
      </c>
      <c r="O4345">
        <v>-0.99772910000000004</v>
      </c>
      <c r="P4345">
        <v>6.7079509999999995E-2</v>
      </c>
      <c r="Q4345">
        <v>0.18494930000000001</v>
      </c>
      <c r="R4345">
        <v>-0.98045629999999995</v>
      </c>
      <c r="S4345">
        <v>1.173035</v>
      </c>
      <c r="T4345">
        <v>8.5278989999999999E-2</v>
      </c>
      <c r="U4345">
        <v>-2.969055</v>
      </c>
      <c r="V4345">
        <v>-3.14431E-3</v>
      </c>
      <c r="W4345">
        <v>0.19824600000000001</v>
      </c>
      <c r="X4345">
        <v>0.9801472</v>
      </c>
      <c r="Y4345">
        <v>-0.30500739999999998</v>
      </c>
      <c r="Z4345">
        <v>-4.030425E-2</v>
      </c>
      <c r="AA4345">
        <v>0.95149680000000003</v>
      </c>
      <c r="AB4345">
        <v>29</v>
      </c>
      <c r="AC4345">
        <v>17.5456</v>
      </c>
      <c r="AD4345">
        <v>1.27687699999999</v>
      </c>
      <c r="AE4345">
        <v>-44.173067500000002</v>
      </c>
      <c r="AF4345">
        <v>-14.5821491706398</v>
      </c>
      <c r="AG4345">
        <v>1.27687699999999</v>
      </c>
      <c r="AH4345">
        <v>45.201898125985501</v>
      </c>
      <c r="AI4345">
        <v>88.460031182010198</v>
      </c>
      <c r="AJ4345">
        <v>107.87972034937</v>
      </c>
      <c r="AK4345">
        <v>47.5129570064829</v>
      </c>
      <c r="AL4345">
        <v>78.565590805164504</v>
      </c>
      <c r="AM4345">
        <v>90.183804100522295</v>
      </c>
      <c r="AN4345">
        <v>0.99999994843460605</v>
      </c>
    </row>
    <row r="4346" spans="1:40" x14ac:dyDescent="0.25">
      <c r="A4346" t="str">
        <f>"20190303171105223"</f>
        <v>20190303171105223</v>
      </c>
      <c r="B4346" t="str">
        <f>"1551604265215003"</f>
        <v>1551604265215003</v>
      </c>
      <c r="C4346" t="s">
        <v>40</v>
      </c>
      <c r="D4346">
        <v>4.5295370000000004</v>
      </c>
      <c r="E4346">
        <v>0.33765129999999999</v>
      </c>
      <c r="F4346" t="s">
        <v>92</v>
      </c>
      <c r="G4346">
        <v>-398.98540000000003</v>
      </c>
      <c r="H4346">
        <v>4.5041460000000004</v>
      </c>
      <c r="I4346">
        <v>0.69111820000000002</v>
      </c>
      <c r="J4346">
        <v>-421.96260000000001</v>
      </c>
      <c r="K4346">
        <v>1.123394</v>
      </c>
      <c r="L4346">
        <v>44.528109999999998</v>
      </c>
      <c r="M4346">
        <v>6.8802240000000001E-2</v>
      </c>
      <c r="N4346">
        <v>-1.356686E-2</v>
      </c>
      <c r="O4346">
        <v>-0.99753809999999998</v>
      </c>
      <c r="P4346">
        <v>7.1979860000000007E-2</v>
      </c>
      <c r="Q4346">
        <v>0.18679699999999999</v>
      </c>
      <c r="R4346">
        <v>-0.97975800000000002</v>
      </c>
      <c r="S4346">
        <v>1.5189509999999999</v>
      </c>
      <c r="T4346">
        <v>0.22329470000000001</v>
      </c>
      <c r="U4346">
        <v>-2.9137569999999999</v>
      </c>
      <c r="V4346">
        <v>-5.406648E-3</v>
      </c>
      <c r="W4346">
        <v>0.20008290000000001</v>
      </c>
      <c r="X4346">
        <v>0.97976399999999997</v>
      </c>
      <c r="Y4346">
        <v>-0.39873900000000001</v>
      </c>
      <c r="Z4346">
        <v>-8.1913310000000003E-2</v>
      </c>
      <c r="AA4346">
        <v>0.91339879999999996</v>
      </c>
      <c r="AB4346">
        <v>29</v>
      </c>
      <c r="AC4346">
        <v>22.9771999999999</v>
      </c>
      <c r="AD4346">
        <v>3.38075199999999</v>
      </c>
      <c r="AE4346">
        <v>-43.8369917999999</v>
      </c>
      <c r="AF4346">
        <v>-19.813932863778899</v>
      </c>
      <c r="AG4346">
        <v>3.38075199999999</v>
      </c>
      <c r="AH4346">
        <v>45.103676785326201</v>
      </c>
      <c r="AI4346">
        <v>86.074213961561696</v>
      </c>
      <c r="AJ4346">
        <v>113.715764445986</v>
      </c>
      <c r="AK4346">
        <v>49.3797841142609</v>
      </c>
      <c r="AL4346">
        <v>78.458192542731695</v>
      </c>
      <c r="AM4346">
        <v>90.316173045074805</v>
      </c>
      <c r="AN4346">
        <v>0.99999994720550101</v>
      </c>
    </row>
    <row r="4347" spans="1:40" x14ac:dyDescent="0.25">
      <c r="A4347" t="str">
        <f>"20190303171105246"</f>
        <v>20190303171105246</v>
      </c>
      <c r="B4347" t="str">
        <f>"1551604265235572"</f>
        <v>1551604265235572</v>
      </c>
      <c r="C4347" t="s">
        <v>40</v>
      </c>
      <c r="D4347">
        <v>4.5379019999999999</v>
      </c>
      <c r="E4347">
        <v>0.33757029999999999</v>
      </c>
      <c r="F4347" t="s">
        <v>92</v>
      </c>
      <c r="G4347">
        <v>-398.9307</v>
      </c>
      <c r="H4347">
        <v>4.5070579999999998</v>
      </c>
      <c r="I4347">
        <v>0.69167519999999905</v>
      </c>
      <c r="J4347">
        <v>-421.94</v>
      </c>
      <c r="K4347">
        <v>1.123583</v>
      </c>
      <c r="L4347">
        <v>44.246549999999999</v>
      </c>
      <c r="M4347">
        <v>7.1871569999999996E-2</v>
      </c>
      <c r="N4347">
        <v>-1.3572809999999999E-2</v>
      </c>
      <c r="O4347">
        <v>-0.99732180000000004</v>
      </c>
      <c r="P4347">
        <v>7.5076160000000003E-2</v>
      </c>
      <c r="Q4347">
        <v>0.1880145</v>
      </c>
      <c r="R4347">
        <v>-0.97929299999999997</v>
      </c>
      <c r="S4347">
        <v>1.527344</v>
      </c>
      <c r="T4347">
        <v>0.22438359999999999</v>
      </c>
      <c r="U4347">
        <v>-2.9069820000000002</v>
      </c>
      <c r="V4347">
        <v>-5.6000420000000004E-3</v>
      </c>
      <c r="W4347">
        <v>0.2012998</v>
      </c>
      <c r="X4347">
        <v>0.97951359999999998</v>
      </c>
      <c r="Y4347">
        <v>-0.39884579999999997</v>
      </c>
      <c r="Z4347">
        <v>-8.2313430000000007E-2</v>
      </c>
      <c r="AA4347">
        <v>0.91331620000000002</v>
      </c>
      <c r="AB4347">
        <v>29</v>
      </c>
      <c r="AC4347">
        <v>23.0093</v>
      </c>
      <c r="AD4347">
        <v>3.3834749999999998</v>
      </c>
      <c r="AE4347">
        <v>-43.554874799999901</v>
      </c>
      <c r="AF4347">
        <v>-19.726073072422398</v>
      </c>
      <c r="AG4347">
        <v>3.3834749999999998</v>
      </c>
      <c r="AH4347">
        <v>44.884320859979098</v>
      </c>
      <c r="AI4347">
        <v>86.052195741372998</v>
      </c>
      <c r="AJ4347">
        <v>113.72486193556099</v>
      </c>
      <c r="AK4347">
        <v>49.1443600120678</v>
      </c>
      <c r="AL4347">
        <v>78.387021098854007</v>
      </c>
      <c r="AM4347">
        <v>90.327565922415403</v>
      </c>
      <c r="AN4347">
        <v>0.99999993126769804</v>
      </c>
    </row>
    <row r="4348" spans="1:40" x14ac:dyDescent="0.25">
      <c r="A4348" t="str">
        <f>"20190303171105268"</f>
        <v>20190303171105268</v>
      </c>
      <c r="B4348" t="str">
        <f>"1551604265255092"</f>
        <v>1551604265255092</v>
      </c>
      <c r="C4348" t="s">
        <v>40</v>
      </c>
      <c r="D4348">
        <v>4.5722589999999999</v>
      </c>
      <c r="E4348">
        <v>0.33786260000000001</v>
      </c>
      <c r="F4348" t="s">
        <v>92</v>
      </c>
      <c r="G4348">
        <v>-398.87569999999999</v>
      </c>
      <c r="H4348">
        <v>4.5868779999999996</v>
      </c>
      <c r="I4348">
        <v>0.69223400000000002</v>
      </c>
      <c r="J4348">
        <v>-421.9153</v>
      </c>
      <c r="K4348">
        <v>1.1237649999999999</v>
      </c>
      <c r="L4348">
        <v>43.953249999999997</v>
      </c>
      <c r="M4348">
        <v>7.5307719999999995E-2</v>
      </c>
      <c r="N4348">
        <v>-1.357937E-2</v>
      </c>
      <c r="O4348">
        <v>-0.99706790000000001</v>
      </c>
      <c r="P4348">
        <v>7.9179970000000002E-2</v>
      </c>
      <c r="Q4348">
        <v>0.1875416</v>
      </c>
      <c r="R4348">
        <v>-0.97906020000000005</v>
      </c>
      <c r="S4348">
        <v>1.5364070000000001</v>
      </c>
      <c r="T4348">
        <v>0.23070289999999999</v>
      </c>
      <c r="U4348">
        <v>-2.9013369999999998</v>
      </c>
      <c r="V4348">
        <v>-6.408703E-3</v>
      </c>
      <c r="W4348">
        <v>0.20082800000000001</v>
      </c>
      <c r="X4348">
        <v>0.97960559999999997</v>
      </c>
      <c r="Y4348">
        <v>-0.39857860000000001</v>
      </c>
      <c r="Z4348">
        <v>-8.4287429999999997E-2</v>
      </c>
      <c r="AA4348">
        <v>0.91325279999999998</v>
      </c>
      <c r="AB4348">
        <v>29</v>
      </c>
      <c r="AC4348">
        <v>23.0396</v>
      </c>
      <c r="AD4348">
        <v>3.4631129999999999</v>
      </c>
      <c r="AE4348">
        <v>-43.261015999999998</v>
      </c>
      <c r="AF4348">
        <v>-19.618035750735899</v>
      </c>
      <c r="AG4348">
        <v>3.4631129999999999</v>
      </c>
      <c r="AH4348">
        <v>44.650458842806003</v>
      </c>
      <c r="AI4348">
        <v>85.938312051288506</v>
      </c>
      <c r="AJ4348">
        <v>113.719206799991</v>
      </c>
      <c r="AK4348">
        <v>48.892984703749001</v>
      </c>
      <c r="AL4348">
        <v>78.414618133587695</v>
      </c>
      <c r="AM4348">
        <v>90.374830845861794</v>
      </c>
      <c r="AN4348">
        <v>1.0000000443047501</v>
      </c>
    </row>
    <row r="4349" spans="1:40" x14ac:dyDescent="0.25">
      <c r="A4349" t="str">
        <f>"20190303171105287"</f>
        <v>20190303171105287</v>
      </c>
      <c r="B4349" t="str">
        <f>"1551604265275588"</f>
        <v>1551604265275588</v>
      </c>
      <c r="C4349" t="s">
        <v>40</v>
      </c>
      <c r="D4349">
        <v>4.5758799999999997</v>
      </c>
      <c r="E4349">
        <v>0.33827639999999998</v>
      </c>
      <c r="F4349" t="s">
        <v>92</v>
      </c>
      <c r="G4349">
        <v>-398.8168</v>
      </c>
      <c r="H4349">
        <v>4.540279</v>
      </c>
      <c r="I4349">
        <v>0.69283490000000003</v>
      </c>
      <c r="J4349">
        <v>-421.89569999999998</v>
      </c>
      <c r="K4349">
        <v>1.1238919999999999</v>
      </c>
      <c r="L4349">
        <v>43.731140000000003</v>
      </c>
      <c r="M4349">
        <v>7.806391E-2</v>
      </c>
      <c r="N4349">
        <v>-1.3585059999999999E-2</v>
      </c>
      <c r="O4349">
        <v>-0.99685590000000002</v>
      </c>
      <c r="P4349">
        <v>8.3138820000000002E-2</v>
      </c>
      <c r="Q4349">
        <v>0.18710850000000001</v>
      </c>
      <c r="R4349">
        <v>-0.97881470000000004</v>
      </c>
      <c r="S4349">
        <v>1.5459290000000001</v>
      </c>
      <c r="T4349">
        <v>0.228658</v>
      </c>
      <c r="U4349">
        <v>-2.8953250000000001</v>
      </c>
      <c r="V4349">
        <v>-7.720116E-3</v>
      </c>
      <c r="W4349">
        <v>0.20039170000000001</v>
      </c>
      <c r="X4349">
        <v>0.97968540000000004</v>
      </c>
      <c r="Y4349">
        <v>-0.39919100000000002</v>
      </c>
      <c r="Z4349">
        <v>-8.3701289999999998E-2</v>
      </c>
      <c r="AA4349">
        <v>0.9130393</v>
      </c>
      <c r="AB4349">
        <v>29</v>
      </c>
      <c r="AC4349">
        <v>23.078899999999901</v>
      </c>
      <c r="AD4349">
        <v>3.4163869999999998</v>
      </c>
      <c r="AE4349">
        <v>-43.038305100000002</v>
      </c>
      <c r="AF4349">
        <v>-19.552720584268599</v>
      </c>
      <c r="AG4349">
        <v>3.4163869999999998</v>
      </c>
      <c r="AH4349">
        <v>44.491002448172097</v>
      </c>
      <c r="AI4349">
        <v>85.9787776734034</v>
      </c>
      <c r="AJ4349">
        <v>113.72432854729399</v>
      </c>
      <c r="AK4349">
        <v>48.7178599819769</v>
      </c>
      <c r="AL4349">
        <v>78.440134000390003</v>
      </c>
      <c r="AM4349">
        <v>90.451492804346401</v>
      </c>
      <c r="AN4349">
        <v>0.99999995829655097</v>
      </c>
    </row>
    <row r="4350" spans="1:40" x14ac:dyDescent="0.25">
      <c r="A4350" t="str">
        <f>"20190303171105303"</f>
        <v>20190303171105303</v>
      </c>
      <c r="B4350" t="str">
        <f>"1551604265295108"</f>
        <v>1551604265295108</v>
      </c>
      <c r="C4350" t="s">
        <v>40</v>
      </c>
      <c r="D4350">
        <v>4.533563</v>
      </c>
      <c r="E4350">
        <v>0.33874159999999998</v>
      </c>
      <c r="F4350" t="s">
        <v>92</v>
      </c>
      <c r="G4350">
        <v>-398.75110000000001</v>
      </c>
      <c r="H4350">
        <v>4.4872290000000001</v>
      </c>
      <c r="I4350">
        <v>0.69350429999999996</v>
      </c>
      <c r="J4350">
        <v>-421.87520000000001</v>
      </c>
      <c r="K4350">
        <v>1.12402</v>
      </c>
      <c r="L4350">
        <v>43.506869999999999</v>
      </c>
      <c r="M4350">
        <v>8.0971349999999997E-2</v>
      </c>
      <c r="N4350">
        <v>-1.3591249999999999E-2</v>
      </c>
      <c r="O4350">
        <v>-0.99662390000000001</v>
      </c>
      <c r="P4350">
        <v>8.7514469999999997E-2</v>
      </c>
      <c r="Q4350">
        <v>0.18696090000000001</v>
      </c>
      <c r="R4350">
        <v>-0.97846160000000004</v>
      </c>
      <c r="S4350">
        <v>1.554047</v>
      </c>
      <c r="T4350">
        <v>0.22583010000000001</v>
      </c>
      <c r="U4350">
        <v>-2.8897710000000001</v>
      </c>
      <c r="V4350">
        <v>-9.306847E-3</v>
      </c>
      <c r="W4350">
        <v>0.200238</v>
      </c>
      <c r="X4350">
        <v>0.97970310000000005</v>
      </c>
      <c r="Y4350">
        <v>-0.3992695</v>
      </c>
      <c r="Z4350">
        <v>-8.2878400000000005E-2</v>
      </c>
      <c r="AA4350">
        <v>0.91308</v>
      </c>
      <c r="AB4350">
        <v>29</v>
      </c>
      <c r="AC4350">
        <v>23.124099999999999</v>
      </c>
      <c r="AD4350">
        <v>3.3632089999999999</v>
      </c>
      <c r="AE4350">
        <v>-42.813365699999999</v>
      </c>
      <c r="AF4350">
        <v>-19.488080824252599</v>
      </c>
      <c r="AG4350">
        <v>3.3632089999999999</v>
      </c>
      <c r="AH4350">
        <v>44.333528199948503</v>
      </c>
      <c r="AI4350">
        <v>86.027302985432797</v>
      </c>
      <c r="AJ4350">
        <v>113.729274541967</v>
      </c>
      <c r="AK4350">
        <v>48.544394029031999</v>
      </c>
      <c r="AL4350">
        <v>78.449123257717204</v>
      </c>
      <c r="AM4350">
        <v>90.544274090752495</v>
      </c>
      <c r="AN4350">
        <v>1.0000000190973399</v>
      </c>
    </row>
    <row r="4351" spans="1:40" x14ac:dyDescent="0.25">
      <c r="A4351" t="str">
        <f>"20190303171105324"</f>
        <v>20190303171105324</v>
      </c>
      <c r="B4351" t="str">
        <f>"1551604265315604"</f>
        <v>1551604265315604</v>
      </c>
      <c r="C4351" t="s">
        <v>40</v>
      </c>
      <c r="D4351">
        <v>4.5602140000000002</v>
      </c>
      <c r="E4351">
        <v>0.33918779999999998</v>
      </c>
      <c r="F4351" t="s">
        <v>92</v>
      </c>
      <c r="G4351">
        <v>-398.67930000000001</v>
      </c>
      <c r="H4351">
        <v>4.417211</v>
      </c>
      <c r="I4351">
        <v>0.69423290000000004</v>
      </c>
      <c r="J4351">
        <v>-421.8503</v>
      </c>
      <c r="K4351">
        <v>1.124169</v>
      </c>
      <c r="L4351">
        <v>43.245939999999997</v>
      </c>
      <c r="M4351">
        <v>8.4509070000000006E-2</v>
      </c>
      <c r="N4351">
        <v>-1.3598860000000001E-2</v>
      </c>
      <c r="O4351">
        <v>-0.99632989999999999</v>
      </c>
      <c r="P4351">
        <v>9.1218930000000004E-2</v>
      </c>
      <c r="Q4351">
        <v>0.187641</v>
      </c>
      <c r="R4351">
        <v>-0.97799290000000005</v>
      </c>
      <c r="S4351">
        <v>1.5625</v>
      </c>
      <c r="T4351">
        <v>0.22183140000000001</v>
      </c>
      <c r="U4351">
        <v>-2.8839109999999999</v>
      </c>
      <c r="V4351">
        <v>-9.6282859999999998E-3</v>
      </c>
      <c r="W4351">
        <v>0.20091819999999999</v>
      </c>
      <c r="X4351">
        <v>0.97956069999999995</v>
      </c>
      <c r="Y4351">
        <v>-0.39890490000000001</v>
      </c>
      <c r="Z4351">
        <v>-8.1699060000000004E-2</v>
      </c>
      <c r="AA4351">
        <v>0.91334559999999998</v>
      </c>
      <c r="AB4351">
        <v>29</v>
      </c>
      <c r="AC4351">
        <v>23.1709999999999</v>
      </c>
      <c r="AD4351">
        <v>3.2930419999999998</v>
      </c>
      <c r="AE4351">
        <v>-42.551707100000002</v>
      </c>
      <c r="AF4351">
        <v>-19.4021322154045</v>
      </c>
      <c r="AG4351">
        <v>3.2930419999999998</v>
      </c>
      <c r="AH4351">
        <v>44.153837778789502</v>
      </c>
      <c r="AI4351">
        <v>86.093920217638598</v>
      </c>
      <c r="AJ4351">
        <v>113.72170454036799</v>
      </c>
      <c r="AK4351">
        <v>48.340958313974902</v>
      </c>
      <c r="AL4351">
        <v>78.409341955332806</v>
      </c>
      <c r="AM4351">
        <v>90.563152836715403</v>
      </c>
      <c r="AN4351">
        <v>0.99999999598351297</v>
      </c>
    </row>
    <row r="4352" spans="1:40" x14ac:dyDescent="0.25">
      <c r="A4352" t="str">
        <f>"20190303171105347"</f>
        <v>20190303171105347</v>
      </c>
      <c r="B4352" t="str">
        <f>"1551604265335430"</f>
        <v>1551604265335430</v>
      </c>
      <c r="C4352" t="s">
        <v>40</v>
      </c>
      <c r="D4352">
        <v>4.5848930000000001</v>
      </c>
      <c r="E4352">
        <v>0.33944590000000002</v>
      </c>
      <c r="F4352" t="s">
        <v>92</v>
      </c>
      <c r="G4352">
        <v>-398.64120000000003</v>
      </c>
      <c r="H4352">
        <v>4.4280980000000003</v>
      </c>
      <c r="I4352">
        <v>0.69462009999999996</v>
      </c>
      <c r="J4352">
        <v>-421.82260000000002</v>
      </c>
      <c r="K4352">
        <v>1.1243179999999999</v>
      </c>
      <c r="L4352">
        <v>42.967930000000003</v>
      </c>
      <c r="M4352">
        <v>8.8453019999999993E-2</v>
      </c>
      <c r="N4352">
        <v>-1.3607259999999999E-2</v>
      </c>
      <c r="O4352">
        <v>-0.99598750000000003</v>
      </c>
      <c r="P4352">
        <v>9.4187800000000002E-2</v>
      </c>
      <c r="Q4352">
        <v>0.18829309999999999</v>
      </c>
      <c r="R4352">
        <v>-0.97758619999999996</v>
      </c>
      <c r="S4352">
        <v>1.569885</v>
      </c>
      <c r="T4352">
        <v>0.2234786</v>
      </c>
      <c r="U4352">
        <v>-2.8782040000000002</v>
      </c>
      <c r="V4352">
        <v>-8.8119840000000001E-3</v>
      </c>
      <c r="W4352">
        <v>0.2015805</v>
      </c>
      <c r="X4352">
        <v>0.97943230000000003</v>
      </c>
      <c r="Y4352">
        <v>-0.39782200000000001</v>
      </c>
      <c r="Z4352">
        <v>-8.2257549999999999E-2</v>
      </c>
      <c r="AA4352">
        <v>0.91376769999999996</v>
      </c>
      <c r="AB4352">
        <v>29</v>
      </c>
      <c r="AC4352">
        <v>23.1814</v>
      </c>
      <c r="AD4352">
        <v>3.3037800000000002</v>
      </c>
      <c r="AE4352">
        <v>-42.273309900000001</v>
      </c>
      <c r="AF4352">
        <v>-19.260528825378898</v>
      </c>
      <c r="AG4352">
        <v>3.3037800000000002</v>
      </c>
      <c r="AH4352">
        <v>43.951848049364699</v>
      </c>
      <c r="AI4352">
        <v>86.061533215949396</v>
      </c>
      <c r="AJ4352">
        <v>113.663939301442</v>
      </c>
      <c r="AK4352">
        <v>48.1003937600941</v>
      </c>
      <c r="AL4352">
        <v>78.370602274440003</v>
      </c>
      <c r="AM4352">
        <v>90.515478068234899</v>
      </c>
      <c r="AN4352">
        <v>0.99999998966277803</v>
      </c>
    </row>
    <row r="4353" spans="1:40" x14ac:dyDescent="0.25">
      <c r="A4353" t="str">
        <f>"20190303171105369"</f>
        <v>20190303171105369</v>
      </c>
      <c r="B4353" t="str">
        <f>"1551604265365686"</f>
        <v>1551604265365686</v>
      </c>
      <c r="C4353" t="s">
        <v>40</v>
      </c>
      <c r="D4353">
        <v>4.55321</v>
      </c>
      <c r="E4353">
        <v>0.33994190000000002</v>
      </c>
      <c r="F4353" t="s">
        <v>92</v>
      </c>
      <c r="G4353">
        <v>-398.61880000000002</v>
      </c>
      <c r="H4353">
        <v>4.4497030000000004</v>
      </c>
      <c r="I4353">
        <v>0.69484899999999905</v>
      </c>
      <c r="J4353">
        <v>-421.79320000000001</v>
      </c>
      <c r="K4353">
        <v>1.12446</v>
      </c>
      <c r="L4353">
        <v>42.686979999999998</v>
      </c>
      <c r="M4353">
        <v>9.2618489999999998E-2</v>
      </c>
      <c r="N4353">
        <v>-1.36158999999999E-2</v>
      </c>
      <c r="O4353">
        <v>-0.99560859999999995</v>
      </c>
      <c r="P4353">
        <v>9.8337229999999998E-2</v>
      </c>
      <c r="Q4353">
        <v>0.1873389</v>
      </c>
      <c r="R4353">
        <v>-0.97736089999999998</v>
      </c>
      <c r="S4353">
        <v>1.577148</v>
      </c>
      <c r="T4353">
        <v>0.2260238</v>
      </c>
      <c r="U4353">
        <v>-2.873291</v>
      </c>
      <c r="V4353">
        <v>-8.9197700000000005E-3</v>
      </c>
      <c r="W4353">
        <v>0.2006337</v>
      </c>
      <c r="X4353">
        <v>0.97962570000000004</v>
      </c>
      <c r="Y4353">
        <v>-0.39638859999999998</v>
      </c>
      <c r="Z4353">
        <v>-8.3077239999999997E-2</v>
      </c>
      <c r="AA4353">
        <v>0.91431620000000002</v>
      </c>
      <c r="AB4353">
        <v>29</v>
      </c>
      <c r="AC4353">
        <v>23.174399999999899</v>
      </c>
      <c r="AD4353">
        <v>3.3252429999999902</v>
      </c>
      <c r="AE4353">
        <v>-41.992131000000001</v>
      </c>
      <c r="AF4353">
        <v>-19.093386315912301</v>
      </c>
      <c r="AG4353">
        <v>3.3252429999999902</v>
      </c>
      <c r="AH4353">
        <v>43.747896272260299</v>
      </c>
      <c r="AI4353">
        <v>86.015016298982303</v>
      </c>
      <c r="AJ4353">
        <v>113.57844147775199</v>
      </c>
      <c r="AK4353">
        <v>47.848647528077201</v>
      </c>
      <c r="AL4353">
        <v>78.425981220098294</v>
      </c>
      <c r="AM4353">
        <v>90.5216799155438</v>
      </c>
      <c r="AN4353">
        <v>0.99999997798651596</v>
      </c>
    </row>
    <row r="4354" spans="1:40" x14ac:dyDescent="0.25">
      <c r="A4354" t="str">
        <f>"20190303171105392"</f>
        <v>20190303171105392</v>
      </c>
      <c r="B4354" t="str">
        <f>"1551604265385206"</f>
        <v>1551604265385206</v>
      </c>
      <c r="C4354" t="s">
        <v>40</v>
      </c>
      <c r="D4354">
        <v>4.5467440000000003</v>
      </c>
      <c r="E4354">
        <v>0.34041399999999999</v>
      </c>
      <c r="F4354" t="s">
        <v>92</v>
      </c>
      <c r="G4354">
        <v>-398.58319999999998</v>
      </c>
      <c r="H4354">
        <v>4.343934</v>
      </c>
      <c r="I4354">
        <v>0.69521140000000003</v>
      </c>
      <c r="J4354">
        <v>-421.7611</v>
      </c>
      <c r="K4354">
        <v>1.1245959999999999</v>
      </c>
      <c r="L4354">
        <v>42.394129999999997</v>
      </c>
      <c r="M4354">
        <v>9.7149669999999994E-2</v>
      </c>
      <c r="N4354">
        <v>-1.3625129999999999E-2</v>
      </c>
      <c r="O4354">
        <v>-0.99517650000000002</v>
      </c>
      <c r="P4354">
        <v>0.10328329999999999</v>
      </c>
      <c r="Q4354">
        <v>0.18618689999999999</v>
      </c>
      <c r="R4354">
        <v>-0.97707080000000002</v>
      </c>
      <c r="S4354">
        <v>1.5851440000000001</v>
      </c>
      <c r="T4354">
        <v>0.2198746</v>
      </c>
      <c r="U4354">
        <v>-2.8678590000000002</v>
      </c>
      <c r="V4354">
        <v>-9.4582829999999996E-3</v>
      </c>
      <c r="W4354">
        <v>0.1994872</v>
      </c>
      <c r="X4354">
        <v>0.97985480000000003</v>
      </c>
      <c r="Y4354">
        <v>-0.39496520000000002</v>
      </c>
      <c r="Z4354">
        <v>-8.1226850000000003E-2</v>
      </c>
      <c r="AA4354">
        <v>0.91509819999999997</v>
      </c>
      <c r="AB4354">
        <v>29</v>
      </c>
      <c r="AC4354">
        <v>23.177900000000001</v>
      </c>
      <c r="AD4354">
        <v>3.219338</v>
      </c>
      <c r="AE4354">
        <v>-41.698918599999999</v>
      </c>
      <c r="AF4354">
        <v>-18.9306276422009</v>
      </c>
      <c r="AG4354">
        <v>3.219338</v>
      </c>
      <c r="AH4354">
        <v>43.555236794877501</v>
      </c>
      <c r="AI4354">
        <v>86.121972467111902</v>
      </c>
      <c r="AJ4354">
        <v>113.49144951856501</v>
      </c>
      <c r="AK4354">
        <v>47.600330380615603</v>
      </c>
      <c r="AL4354">
        <v>78.493026687639698</v>
      </c>
      <c r="AM4354">
        <v>90.553044050088303</v>
      </c>
      <c r="AN4354">
        <v>1.0000000155820901</v>
      </c>
    </row>
    <row r="4355" spans="1:40" x14ac:dyDescent="0.25">
      <c r="A4355" t="str">
        <f>"20190303171105413"</f>
        <v>20190303171105413</v>
      </c>
      <c r="B4355" t="str">
        <f>"1551604265405703"</f>
        <v>1551604265405703</v>
      </c>
      <c r="C4355" t="s">
        <v>40</v>
      </c>
      <c r="D4355">
        <v>4.5164749999999998</v>
      </c>
      <c r="E4355">
        <v>0.3407789</v>
      </c>
      <c r="F4355" t="s">
        <v>92</v>
      </c>
      <c r="G4355">
        <v>-398.50959999999998</v>
      </c>
      <c r="H4355">
        <v>4.2160840000000004</v>
      </c>
      <c r="I4355">
        <v>0.69595909999999905</v>
      </c>
      <c r="J4355">
        <v>-421.73050000000001</v>
      </c>
      <c r="K4355">
        <v>1.124727</v>
      </c>
      <c r="L4355">
        <v>42.127040000000001</v>
      </c>
      <c r="M4355">
        <v>0.1014549</v>
      </c>
      <c r="N4355">
        <v>-1.36341E-2</v>
      </c>
      <c r="O4355">
        <v>-0.99474669999999998</v>
      </c>
      <c r="P4355">
        <v>0.1080097</v>
      </c>
      <c r="Q4355">
        <v>0.18595490000000001</v>
      </c>
      <c r="R4355">
        <v>-0.97660389999999997</v>
      </c>
      <c r="S4355">
        <v>1.59552</v>
      </c>
      <c r="T4355">
        <v>0.21213599999999999</v>
      </c>
      <c r="U4355">
        <v>-2.8613279999999999</v>
      </c>
      <c r="V4355">
        <v>-1.0014769999999999E-2</v>
      </c>
      <c r="W4355">
        <v>0.1992573</v>
      </c>
      <c r="X4355">
        <v>0.97989599999999999</v>
      </c>
      <c r="Y4355">
        <v>-0.39449719999999999</v>
      </c>
      <c r="Z4355">
        <v>-7.8879260000000007E-2</v>
      </c>
      <c r="AA4355">
        <v>0.91550529999999997</v>
      </c>
      <c r="AB4355">
        <v>29</v>
      </c>
      <c r="AC4355">
        <v>23.2209</v>
      </c>
      <c r="AD4355">
        <v>3.0913569999999901</v>
      </c>
      <c r="AE4355">
        <v>-41.431080899999998</v>
      </c>
      <c r="AF4355">
        <v>-18.817563295826702</v>
      </c>
      <c r="AG4355">
        <v>3.0913569999999901</v>
      </c>
      <c r="AH4355">
        <v>43.3895352914193</v>
      </c>
      <c r="AI4355">
        <v>86.260225044179194</v>
      </c>
      <c r="AJ4355">
        <v>113.445846184953</v>
      </c>
      <c r="AK4355">
        <v>47.395241842396203</v>
      </c>
      <c r="AL4355">
        <v>78.506468311968007</v>
      </c>
      <c r="AM4355">
        <v>90.585556096237397</v>
      </c>
      <c r="AN4355">
        <v>0.99999996901872101</v>
      </c>
    </row>
    <row r="4356" spans="1:40" x14ac:dyDescent="0.25">
      <c r="A4356" t="str">
        <f>"20190303171105435"</f>
        <v>20190303171105435</v>
      </c>
      <c r="B4356" t="str">
        <f>"1551604265425222"</f>
        <v>1551604265425222</v>
      </c>
      <c r="C4356" t="s">
        <v>40</v>
      </c>
      <c r="D4356">
        <v>4.5538939999999997</v>
      </c>
      <c r="E4356">
        <v>0.34115790000000001</v>
      </c>
      <c r="F4356" t="s">
        <v>92</v>
      </c>
      <c r="G4356">
        <v>-399.14170000000001</v>
      </c>
      <c r="H4356">
        <v>4.0483260000000003</v>
      </c>
      <c r="I4356">
        <v>1.9865550000000001</v>
      </c>
      <c r="J4356">
        <v>-421.69659999999999</v>
      </c>
      <c r="K4356">
        <v>1.124862</v>
      </c>
      <c r="L4356">
        <v>41.843870000000003</v>
      </c>
      <c r="M4356">
        <v>0.10619190000000001</v>
      </c>
      <c r="N4356">
        <v>-1.364427E-2</v>
      </c>
      <c r="O4356">
        <v>-0.99425229999999998</v>
      </c>
      <c r="P4356">
        <v>0.1130616</v>
      </c>
      <c r="Q4356">
        <v>0.18676090000000001</v>
      </c>
      <c r="R4356">
        <v>-0.97587820000000003</v>
      </c>
      <c r="S4356">
        <v>1.6064149999999999</v>
      </c>
      <c r="T4356">
        <v>0.2079116</v>
      </c>
      <c r="U4356">
        <v>-2.8546140000000002</v>
      </c>
      <c r="V4356">
        <v>-1.0505479999999999E-2</v>
      </c>
      <c r="W4356">
        <v>0.2000642</v>
      </c>
      <c r="X4356">
        <v>0.9797264</v>
      </c>
      <c r="Y4356">
        <v>-0.39374150000000002</v>
      </c>
      <c r="Z4356">
        <v>-7.7607239999999994E-2</v>
      </c>
      <c r="AA4356">
        <v>0.91593930000000001</v>
      </c>
      <c r="AB4356">
        <v>28</v>
      </c>
      <c r="AC4356">
        <v>22.5548999999999</v>
      </c>
      <c r="AD4356">
        <v>2.9234640000000001</v>
      </c>
      <c r="AE4356">
        <v>-39.857315</v>
      </c>
      <c r="AF4356">
        <v>-18.120584512153499</v>
      </c>
      <c r="AG4356">
        <v>2.9234640000000001</v>
      </c>
      <c r="AH4356">
        <v>41.856709433902701</v>
      </c>
      <c r="AI4356">
        <v>86.332589083513895</v>
      </c>
      <c r="AJ4356">
        <v>113.408725996087</v>
      </c>
      <c r="AK4356">
        <v>45.704336221583603</v>
      </c>
      <c r="AL4356">
        <v>78.459285930337501</v>
      </c>
      <c r="AM4356">
        <v>90.614351718788797</v>
      </c>
      <c r="AN4356">
        <v>0.99999993404431298</v>
      </c>
    </row>
    <row r="4357" spans="1:40" x14ac:dyDescent="0.25">
      <c r="A4357" t="str">
        <f>"20190303171105458"</f>
        <v>20190303171105458</v>
      </c>
      <c r="B4357" t="str">
        <f>"1551604265445720"</f>
        <v>1551604265445720</v>
      </c>
      <c r="C4357" t="s">
        <v>40</v>
      </c>
      <c r="D4357">
        <v>4.5452899999999996</v>
      </c>
      <c r="E4357">
        <v>0.3414703</v>
      </c>
      <c r="F4357" t="s">
        <v>92</v>
      </c>
      <c r="G4357">
        <v>-399.02679999999998</v>
      </c>
      <c r="H4357">
        <v>4.0507109999999997</v>
      </c>
      <c r="I4357">
        <v>1.987724</v>
      </c>
      <c r="J4357">
        <v>-421.6617</v>
      </c>
      <c r="K4357">
        <v>1.124997</v>
      </c>
      <c r="L4357">
        <v>41.565950000000001</v>
      </c>
      <c r="M4357">
        <v>0.111027</v>
      </c>
      <c r="N4357">
        <v>-1.3654909999999999E-2</v>
      </c>
      <c r="O4357">
        <v>-0.99372389999999999</v>
      </c>
      <c r="P4357">
        <v>0.1177021</v>
      </c>
      <c r="Q4357">
        <v>0.18814700000000001</v>
      </c>
      <c r="R4357">
        <v>-0.97506280000000001</v>
      </c>
      <c r="S4357">
        <v>1.61911</v>
      </c>
      <c r="T4357">
        <v>0.20896690000000001</v>
      </c>
      <c r="U4357">
        <v>-2.8465880000000001</v>
      </c>
      <c r="V4357">
        <v>-1.0504299999999999E-2</v>
      </c>
      <c r="W4357">
        <v>0.20145440000000001</v>
      </c>
      <c r="X4357">
        <v>0.97944160000000002</v>
      </c>
      <c r="Y4357">
        <v>-0.3934551</v>
      </c>
      <c r="Z4357">
        <v>-7.7965160000000006E-2</v>
      </c>
      <c r="AA4357">
        <v>0.91603199999999996</v>
      </c>
      <c r="AB4357">
        <v>28</v>
      </c>
      <c r="AC4357">
        <v>22.634899999999998</v>
      </c>
      <c r="AD4357">
        <v>2.9257140000000001</v>
      </c>
      <c r="AE4357">
        <v>-39.578226000000001</v>
      </c>
      <c r="AF4357">
        <v>-18.026045020080598</v>
      </c>
      <c r="AG4357">
        <v>2.9257140000000001</v>
      </c>
      <c r="AH4357">
        <v>41.675195624604903</v>
      </c>
      <c r="AI4357">
        <v>86.313319666491196</v>
      </c>
      <c r="AJ4357">
        <v>113.39024620259499</v>
      </c>
      <c r="AK4357">
        <v>45.500769573984797</v>
      </c>
      <c r="AL4357">
        <v>78.377979093577693</v>
      </c>
      <c r="AM4357">
        <v>90.614461324823196</v>
      </c>
      <c r="AN4357">
        <v>1.0000000317041999</v>
      </c>
    </row>
    <row r="4358" spans="1:40" x14ac:dyDescent="0.25">
      <c r="A4358" t="str">
        <f>"20190303171105492"</f>
        <v>20190303171105492</v>
      </c>
      <c r="B4358" t="str">
        <f>"1551604265484758"</f>
        <v>1551604265484758</v>
      </c>
      <c r="C4358" t="s">
        <v>40</v>
      </c>
      <c r="D4358">
        <v>4.585769</v>
      </c>
      <c r="E4358">
        <v>0.34209630000000002</v>
      </c>
      <c r="F4358" t="s">
        <v>92</v>
      </c>
      <c r="G4358">
        <v>-398.94099999999997</v>
      </c>
      <c r="H4358">
        <v>4.0659349999999996</v>
      </c>
      <c r="I4358">
        <v>1.9885980000000001</v>
      </c>
      <c r="J4358">
        <v>-421.6046</v>
      </c>
      <c r="K4358">
        <v>1.125192</v>
      </c>
      <c r="L4358">
        <v>41.135530000000003</v>
      </c>
      <c r="M4358">
        <v>0.1188423</v>
      </c>
      <c r="N4358">
        <v>-1.3672220000000001E-2</v>
      </c>
      <c r="O4358">
        <v>-0.99281889999999995</v>
      </c>
      <c r="P4358">
        <v>0.12631800000000001</v>
      </c>
      <c r="Q4358">
        <v>0.18750230000000001</v>
      </c>
      <c r="R4358">
        <v>-0.97410850000000004</v>
      </c>
      <c r="S4358">
        <v>1.629974</v>
      </c>
      <c r="T4358">
        <v>0.2109799</v>
      </c>
      <c r="U4358">
        <v>-2.839264</v>
      </c>
      <c r="V4358">
        <v>-1.153378E-2</v>
      </c>
      <c r="W4358">
        <v>0.20081450000000001</v>
      </c>
      <c r="X4358">
        <v>0.97956140000000003</v>
      </c>
      <c r="Y4358">
        <v>-0.3898528</v>
      </c>
      <c r="Z4358">
        <v>-7.862044E-2</v>
      </c>
      <c r="AA4358">
        <v>0.91751490000000002</v>
      </c>
      <c r="AB4358">
        <v>28</v>
      </c>
      <c r="AC4358">
        <v>22.663599999999999</v>
      </c>
      <c r="AD4358">
        <v>2.9407429999999901</v>
      </c>
      <c r="AE4358">
        <v>-39.1469319999999</v>
      </c>
      <c r="AF4358">
        <v>-17.775082579921801</v>
      </c>
      <c r="AG4358">
        <v>2.9407429999999901</v>
      </c>
      <c r="AH4358">
        <v>41.388169664802398</v>
      </c>
      <c r="AI4358">
        <v>86.264662645773797</v>
      </c>
      <c r="AJ4358">
        <v>113.24219489362299</v>
      </c>
      <c r="AK4358">
        <v>45.139584826597101</v>
      </c>
      <c r="AL4358">
        <v>78.415407355197203</v>
      </c>
      <c r="AM4358">
        <v>90.674594139271903</v>
      </c>
      <c r="AN4358">
        <v>1.00000001393064</v>
      </c>
    </row>
    <row r="4359" spans="1:40" x14ac:dyDescent="0.25">
      <c r="A4359" t="str">
        <f>"20190303171105514"</f>
        <v>20190303171105514</v>
      </c>
      <c r="B4359" t="str">
        <f>"1551604265505255"</f>
        <v>1551604265505255</v>
      </c>
      <c r="C4359" t="s">
        <v>40</v>
      </c>
      <c r="D4359">
        <v>4.578633</v>
      </c>
      <c r="E4359">
        <v>0.3423175</v>
      </c>
      <c r="F4359" t="s">
        <v>92</v>
      </c>
      <c r="G4359">
        <v>-398.7604</v>
      </c>
      <c r="H4359">
        <v>3.9324840000000001</v>
      </c>
      <c r="I4359">
        <v>1.9904329999999999</v>
      </c>
      <c r="J4359">
        <v>-421.56799999999998</v>
      </c>
      <c r="K4359">
        <v>1.1252879999999901</v>
      </c>
      <c r="L4359">
        <v>40.873379999999997</v>
      </c>
      <c r="M4359">
        <v>0.1237661</v>
      </c>
      <c r="N4359">
        <v>-1.368195E-2</v>
      </c>
      <c r="O4359">
        <v>-0.99221720000000002</v>
      </c>
      <c r="P4359">
        <v>0.13417229999999999</v>
      </c>
      <c r="Q4359">
        <v>0.18573000000000001</v>
      </c>
      <c r="R4359">
        <v>-0.97339739999999997</v>
      </c>
      <c r="S4359">
        <v>1.6496580000000001</v>
      </c>
      <c r="T4359">
        <v>0.20272309999999999</v>
      </c>
      <c r="U4359">
        <v>-2.826813</v>
      </c>
      <c r="V4359">
        <v>-1.4576179999999999E-2</v>
      </c>
      <c r="W4359">
        <v>0.19902410000000001</v>
      </c>
      <c r="X4359">
        <v>0.97988620000000004</v>
      </c>
      <c r="Y4359">
        <v>-0.39190219999999998</v>
      </c>
      <c r="Z4359">
        <v>-7.6109460000000004E-2</v>
      </c>
      <c r="AA4359">
        <v>0.91685329999999998</v>
      </c>
      <c r="AB4359">
        <v>28</v>
      </c>
      <c r="AC4359">
        <v>22.807600000000001</v>
      </c>
      <c r="AD4359">
        <v>2.8071959999999998</v>
      </c>
      <c r="AE4359">
        <v>-38.882947000000001</v>
      </c>
      <c r="AF4359">
        <v>-17.750531920632699</v>
      </c>
      <c r="AG4359">
        <v>2.8071959999999998</v>
      </c>
      <c r="AH4359">
        <v>41.247052148529598</v>
      </c>
      <c r="AI4359">
        <v>86.422808862030294</v>
      </c>
      <c r="AJ4359">
        <v>113.284466357997</v>
      </c>
      <c r="AK4359">
        <v>44.992010888504801</v>
      </c>
      <c r="AL4359">
        <v>78.520103264664399</v>
      </c>
      <c r="AM4359">
        <v>90.852233660931205</v>
      </c>
      <c r="AN4359">
        <v>1.00000001117732</v>
      </c>
    </row>
    <row r="4360" spans="1:40" x14ac:dyDescent="0.25">
      <c r="A4360" t="str">
        <f>"20190303171105536"</f>
        <v>20190303171105536</v>
      </c>
      <c r="B4360" t="str">
        <f>"1551604265525750"</f>
        <v>1551604265525750</v>
      </c>
      <c r="C4360" t="s">
        <v>40</v>
      </c>
      <c r="D4360">
        <v>4.6470729999999998</v>
      </c>
      <c r="E4360">
        <v>0.34267579999999997</v>
      </c>
      <c r="F4360" t="s">
        <v>92</v>
      </c>
      <c r="G4360">
        <v>-398.49</v>
      </c>
      <c r="H4360">
        <v>3.834829</v>
      </c>
      <c r="I4360">
        <v>1.9931829999999999</v>
      </c>
      <c r="J4360">
        <v>-421.52710000000002</v>
      </c>
      <c r="K4360">
        <v>1.125399</v>
      </c>
      <c r="L4360">
        <v>40.592559999999999</v>
      </c>
      <c r="M4360">
        <v>0.1292007</v>
      </c>
      <c r="N4360">
        <v>-1.369218E-2</v>
      </c>
      <c r="O4360">
        <v>-0.99152399999999996</v>
      </c>
      <c r="P4360">
        <v>0.1437795</v>
      </c>
      <c r="Q4360">
        <v>0.18493709999999999</v>
      </c>
      <c r="R4360">
        <v>-0.97217600000000004</v>
      </c>
      <c r="S4360">
        <v>1.67047099999999</v>
      </c>
      <c r="T4360">
        <v>0.1961253</v>
      </c>
      <c r="U4360">
        <v>-2.8143009999999999</v>
      </c>
      <c r="V4360">
        <v>-1.892278E-2</v>
      </c>
      <c r="W4360">
        <v>0.19819600000000001</v>
      </c>
      <c r="X4360">
        <v>0.97997979999999996</v>
      </c>
      <c r="Y4360">
        <v>-0.39373930000000001</v>
      </c>
      <c r="Z4360">
        <v>-7.4091790000000005E-2</v>
      </c>
      <c r="AA4360">
        <v>0.91623129999999997</v>
      </c>
      <c r="AB4360">
        <v>28</v>
      </c>
      <c r="AC4360">
        <v>23.037099999999999</v>
      </c>
      <c r="AD4360">
        <v>2.7094299999999998</v>
      </c>
      <c r="AE4360">
        <v>-38.599376999999997</v>
      </c>
      <c r="AF4360">
        <v>-17.791805174002899</v>
      </c>
      <c r="AG4360">
        <v>2.7094299999999998</v>
      </c>
      <c r="AH4360">
        <v>41.103152591130403</v>
      </c>
      <c r="AI4360">
        <v>86.538181594063602</v>
      </c>
      <c r="AJ4360">
        <v>113.40573250622499</v>
      </c>
      <c r="AK4360">
        <v>44.870463505566001</v>
      </c>
      <c r="AL4360">
        <v>78.568514966213399</v>
      </c>
      <c r="AM4360">
        <v>91.1062072023404</v>
      </c>
      <c r="AN4360">
        <v>1.0000000672134799</v>
      </c>
    </row>
    <row r="4361" spans="1:40" x14ac:dyDescent="0.25">
      <c r="A4361" t="str">
        <f>"20190303171105562"</f>
        <v>20190303171105562</v>
      </c>
      <c r="B4361" t="str">
        <f>"1551604265555030"</f>
        <v>1551604265555030</v>
      </c>
      <c r="C4361" t="s">
        <v>40</v>
      </c>
      <c r="D4361">
        <v>4.7249889999999999</v>
      </c>
      <c r="E4361">
        <v>0.38953369999999998</v>
      </c>
      <c r="F4361" t="s">
        <v>92</v>
      </c>
      <c r="G4361">
        <v>-398.14830000000001</v>
      </c>
      <c r="H4361">
        <v>3.763449</v>
      </c>
      <c r="I4361">
        <v>1.9966600000000001</v>
      </c>
      <c r="J4361">
        <v>-421.47919999999999</v>
      </c>
      <c r="K4361">
        <v>1.125542</v>
      </c>
      <c r="L4361">
        <v>40.279110000000003</v>
      </c>
      <c r="M4361">
        <v>0.13550580000000001</v>
      </c>
      <c r="N4361">
        <v>-1.3706289999999999E-2</v>
      </c>
      <c r="O4361">
        <v>-0.9906819</v>
      </c>
      <c r="P4361">
        <v>0.1541187</v>
      </c>
      <c r="Q4361">
        <v>0.1864634</v>
      </c>
      <c r="R4361">
        <v>-0.97029869999999996</v>
      </c>
      <c r="S4361">
        <v>1.695282</v>
      </c>
      <c r="T4361">
        <v>0.1912932</v>
      </c>
      <c r="U4361">
        <v>-2.798737</v>
      </c>
      <c r="V4361">
        <v>-2.3250960000000001E-2</v>
      </c>
      <c r="W4361">
        <v>0.1996811</v>
      </c>
      <c r="X4361">
        <v>0.97958509999999999</v>
      </c>
      <c r="Y4361">
        <v>-0.39614500000000002</v>
      </c>
      <c r="Z4361">
        <v>-7.2627399999999995E-2</v>
      </c>
      <c r="AA4361">
        <v>0.91531110000000004</v>
      </c>
      <c r="AB4361">
        <v>28</v>
      </c>
      <c r="AC4361">
        <v>23.3308999999999</v>
      </c>
      <c r="AD4361">
        <v>2.6379069999999998</v>
      </c>
      <c r="AE4361">
        <v>-38.282449999999997</v>
      </c>
      <c r="AF4361">
        <v>-17.8658328758344</v>
      </c>
      <c r="AG4361">
        <v>2.6379069999999998</v>
      </c>
      <c r="AH4361">
        <v>40.949282348437499</v>
      </c>
      <c r="AI4361">
        <v>86.620951096668605</v>
      </c>
      <c r="AJ4361">
        <v>113.571244759688</v>
      </c>
      <c r="AK4361">
        <v>44.754779214514599</v>
      </c>
      <c r="AL4361">
        <v>78.481689429253507</v>
      </c>
      <c r="AM4361">
        <v>91.359689719229394</v>
      </c>
      <c r="AN4361">
        <v>1.0000000584900599</v>
      </c>
    </row>
    <row r="4362" spans="1:40" x14ac:dyDescent="0.25">
      <c r="A4362" t="str">
        <f>"20190303171105582"</f>
        <v>20190303171105582</v>
      </c>
      <c r="B4362" t="str">
        <f>"1551604265575527"</f>
        <v>1551604265575527</v>
      </c>
      <c r="C4362" t="s">
        <v>40</v>
      </c>
      <c r="D4362">
        <v>4.7579190000000002</v>
      </c>
      <c r="E4362">
        <v>0.3996054</v>
      </c>
      <c r="F4362" t="s">
        <v>92</v>
      </c>
      <c r="G4362">
        <v>-402.6148</v>
      </c>
      <c r="H4362">
        <v>1.76816199999999</v>
      </c>
      <c r="I4362">
        <v>0.65419959999999999</v>
      </c>
      <c r="J4362">
        <v>-421.43920000000003</v>
      </c>
      <c r="K4362">
        <v>1.125669</v>
      </c>
      <c r="L4362">
        <v>40.026980000000002</v>
      </c>
      <c r="M4362">
        <v>0.1407332</v>
      </c>
      <c r="N4362">
        <v>-1.371884E-2</v>
      </c>
      <c r="O4362">
        <v>-0.98995270000000002</v>
      </c>
      <c r="P4362">
        <v>0.1607789</v>
      </c>
      <c r="Q4362">
        <v>0.18886720000000001</v>
      </c>
      <c r="R4362">
        <v>-0.96875199999999995</v>
      </c>
      <c r="S4362">
        <v>1.3645020000000001</v>
      </c>
      <c r="T4362">
        <v>4.6480180000000003E-2</v>
      </c>
      <c r="U4362">
        <v>-2.8661500000000002</v>
      </c>
      <c r="V4362">
        <v>-2.4960659999999999E-2</v>
      </c>
      <c r="W4362">
        <v>0.2020662</v>
      </c>
      <c r="X4362">
        <v>0.97905370000000003</v>
      </c>
      <c r="Y4362">
        <v>-0.29831999999999997</v>
      </c>
      <c r="Z4362">
        <v>-2.8094259999999999E-2</v>
      </c>
      <c r="AA4362">
        <v>0.95405229999999996</v>
      </c>
      <c r="AB4362">
        <v>28</v>
      </c>
      <c r="AC4362">
        <v>18.824400000000001</v>
      </c>
      <c r="AD4362">
        <v>0.64249299999999898</v>
      </c>
      <c r="AE4362">
        <v>-39.372780400000003</v>
      </c>
      <c r="AF4362">
        <v>-13.0926003761</v>
      </c>
      <c r="AG4362">
        <v>0.64249299999999898</v>
      </c>
      <c r="AH4362">
        <v>41.621296964411101</v>
      </c>
      <c r="AI4362">
        <v>89.156364486308604</v>
      </c>
      <c r="AJ4362">
        <v>107.461747009345</v>
      </c>
      <c r="AK4362">
        <v>43.636697203878803</v>
      </c>
      <c r="AL4362">
        <v>78.342188739748295</v>
      </c>
      <c r="AM4362">
        <v>91.460421158762202</v>
      </c>
      <c r="AN4362">
        <v>0.99999996560688198</v>
      </c>
    </row>
    <row r="4363" spans="1:40" x14ac:dyDescent="0.25">
      <c r="A4363" t="str">
        <f>"20190303171105603"</f>
        <v>20190303171105603</v>
      </c>
      <c r="B4363" t="str">
        <f>"1551604265595046"</f>
        <v>1551604265595046</v>
      </c>
      <c r="C4363" t="s">
        <v>40</v>
      </c>
      <c r="D4363">
        <v>4.7490769999999998</v>
      </c>
      <c r="E4363">
        <v>0.40502169999999998</v>
      </c>
      <c r="F4363" t="s">
        <v>92</v>
      </c>
      <c r="G4363">
        <v>-403.52530000000002</v>
      </c>
      <c r="H4363">
        <v>1.547757</v>
      </c>
      <c r="I4363">
        <v>0.64493559999999905</v>
      </c>
      <c r="J4363">
        <v>-421.39449999999999</v>
      </c>
      <c r="K4363">
        <v>1.1257950000000001</v>
      </c>
      <c r="L4363">
        <v>39.75656</v>
      </c>
      <c r="M4363">
        <v>0.1464898</v>
      </c>
      <c r="N4363">
        <v>-1.373246E-2</v>
      </c>
      <c r="O4363">
        <v>-0.98911700000000002</v>
      </c>
      <c r="P4363">
        <v>0.16669030000000001</v>
      </c>
      <c r="Q4363">
        <v>0.18979019999999999</v>
      </c>
      <c r="R4363">
        <v>-0.96757150000000003</v>
      </c>
      <c r="S4363">
        <v>1.30722</v>
      </c>
      <c r="T4363">
        <v>3.0799030000000002E-2</v>
      </c>
      <c r="U4363">
        <v>-2.8738100000000002</v>
      </c>
      <c r="V4363">
        <v>-2.5339939999999998E-2</v>
      </c>
      <c r="W4363">
        <v>0.202989</v>
      </c>
      <c r="X4363">
        <v>0.97885310000000003</v>
      </c>
      <c r="Y4363">
        <v>-0.27610800000000002</v>
      </c>
      <c r="Z4363">
        <v>-2.3150239999999999E-2</v>
      </c>
      <c r="AA4363">
        <v>0.96084780000000003</v>
      </c>
      <c r="AB4363">
        <v>28</v>
      </c>
      <c r="AC4363">
        <v>17.8691999999999</v>
      </c>
      <c r="AD4363">
        <v>0.421962</v>
      </c>
      <c r="AE4363">
        <v>-39.111624399999997</v>
      </c>
      <c r="AF4363">
        <v>-11.9452499930354</v>
      </c>
      <c r="AG4363">
        <v>0.421962</v>
      </c>
      <c r="AH4363">
        <v>41.303540066458602</v>
      </c>
      <c r="AI4363">
        <v>89.437720605117093</v>
      </c>
      <c r="AJ4363">
        <v>106.130209941228</v>
      </c>
      <c r="AK4363">
        <v>42.998249631201297</v>
      </c>
      <c r="AL4363">
        <v>78.288197936257802</v>
      </c>
      <c r="AM4363">
        <v>91.482906289491595</v>
      </c>
      <c r="AN4363">
        <v>1.0000000190299001</v>
      </c>
    </row>
    <row r="4364" spans="1:40" x14ac:dyDescent="0.25">
      <c r="A4364" t="str">
        <f>"20190303171105626"</f>
        <v>20190303171105626</v>
      </c>
      <c r="B4364" t="str">
        <f>"1551604265615543"</f>
        <v>1551604265615543</v>
      </c>
      <c r="C4364" t="s">
        <v>40</v>
      </c>
      <c r="D4364">
        <v>4.7248809999999999</v>
      </c>
      <c r="E4364">
        <v>0.40844409999999998</v>
      </c>
      <c r="F4364" t="s">
        <v>92</v>
      </c>
      <c r="G4364">
        <v>-403.93509999999998</v>
      </c>
      <c r="H4364">
        <v>1.40259</v>
      </c>
      <c r="I4364">
        <v>0.64076999999999995</v>
      </c>
      <c r="J4364">
        <v>-421.3476</v>
      </c>
      <c r="K4364">
        <v>1.1259129999999999</v>
      </c>
      <c r="L4364">
        <v>39.483400000000003</v>
      </c>
      <c r="M4364">
        <v>0.15247659999999999</v>
      </c>
      <c r="N4364">
        <v>-1.3745719999999999E-2</v>
      </c>
      <c r="O4364">
        <v>-0.98821150000000002</v>
      </c>
      <c r="P4364">
        <v>0.17297190000000001</v>
      </c>
      <c r="Q4364">
        <v>0.18838920000000001</v>
      </c>
      <c r="R4364">
        <v>-0.9667424</v>
      </c>
      <c r="S4364">
        <v>1.283447</v>
      </c>
      <c r="T4364">
        <v>2.0345450000000001E-2</v>
      </c>
      <c r="U4364">
        <v>-2.8754270000000002</v>
      </c>
      <c r="V4364">
        <v>-2.5776940000000002E-2</v>
      </c>
      <c r="W4364">
        <v>0.20159260000000001</v>
      </c>
      <c r="X4364">
        <v>0.97913019999999995</v>
      </c>
      <c r="Y4364">
        <v>-0.26348100000000002</v>
      </c>
      <c r="Z4364">
        <v>-1.9820540000000001E-2</v>
      </c>
      <c r="AA4364">
        <v>0.96446100000000001</v>
      </c>
      <c r="AB4364">
        <v>28</v>
      </c>
      <c r="AC4364">
        <v>17.412500000000001</v>
      </c>
      <c r="AD4364">
        <v>0.27667700000000001</v>
      </c>
      <c r="AE4364">
        <v>-38.84263</v>
      </c>
      <c r="AF4364">
        <v>-11.285229898799299</v>
      </c>
      <c r="AG4364">
        <v>0.27667700000000001</v>
      </c>
      <c r="AH4364">
        <v>41.0418756524979</v>
      </c>
      <c r="AI4364">
        <v>89.627577930854599</v>
      </c>
      <c r="AJ4364">
        <v>105.374582284231</v>
      </c>
      <c r="AK4364">
        <v>42.566048925243003</v>
      </c>
      <c r="AL4364">
        <v>78.369894442477502</v>
      </c>
      <c r="AM4364">
        <v>91.508041329155105</v>
      </c>
      <c r="AN4364">
        <v>0.99999998778128096</v>
      </c>
    </row>
    <row r="4365" spans="1:40" x14ac:dyDescent="0.25">
      <c r="A4365" t="str">
        <f>"20190303171105649"</f>
        <v>20190303171105649</v>
      </c>
      <c r="B4365" t="str">
        <f>"1551604265635062"</f>
        <v>1551604265635062</v>
      </c>
      <c r="C4365" t="s">
        <v>40</v>
      </c>
      <c r="D4365">
        <v>4.7688709999999999</v>
      </c>
      <c r="E4365">
        <v>0.41098889999999999</v>
      </c>
      <c r="F4365" t="s">
        <v>92</v>
      </c>
      <c r="G4365">
        <v>-404.10770000000002</v>
      </c>
      <c r="H4365">
        <v>1.208896</v>
      </c>
      <c r="I4365">
        <v>0.63901519999999901</v>
      </c>
      <c r="J4365">
        <v>-421.29739999999998</v>
      </c>
      <c r="K4365">
        <v>1.126044</v>
      </c>
      <c r="L4365">
        <v>39.20337</v>
      </c>
      <c r="M4365">
        <v>0.1588135</v>
      </c>
      <c r="N4365">
        <v>-1.376054E-2</v>
      </c>
      <c r="O4365">
        <v>-0.98721270000000005</v>
      </c>
      <c r="P4365">
        <v>0.17859510000000001</v>
      </c>
      <c r="Q4365">
        <v>0.18904840000000001</v>
      </c>
      <c r="R4365">
        <v>-0.96559019999999995</v>
      </c>
      <c r="S4365">
        <v>1.275452</v>
      </c>
      <c r="T4365">
        <v>6.137371E-3</v>
      </c>
      <c r="U4365">
        <v>-2.8738100000000002</v>
      </c>
      <c r="V4365">
        <v>-2.5284999999999998E-2</v>
      </c>
      <c r="W4365">
        <v>0.20226279999999999</v>
      </c>
      <c r="X4365">
        <v>0.97900480000000001</v>
      </c>
      <c r="Y4365">
        <v>-0.25527060000000001</v>
      </c>
      <c r="Z4365">
        <v>-1.5269370000000001E-2</v>
      </c>
      <c r="AA4365">
        <v>0.96674910000000003</v>
      </c>
      <c r="AB4365">
        <v>28</v>
      </c>
      <c r="AC4365">
        <v>17.189699999999899</v>
      </c>
      <c r="AD4365">
        <v>8.2851999999999898E-2</v>
      </c>
      <c r="AE4365">
        <v>-38.564354799999997</v>
      </c>
      <c r="AF4365">
        <v>-10.846335191491599</v>
      </c>
      <c r="AG4365">
        <v>8.2851999999999898E-2</v>
      </c>
      <c r="AH4365">
        <v>40.804883669918397</v>
      </c>
      <c r="AI4365">
        <v>89.887568451943395</v>
      </c>
      <c r="AJ4365">
        <v>104.885568332517</v>
      </c>
      <c r="AK4365">
        <v>42.221894591025503</v>
      </c>
      <c r="AL4365">
        <v>78.330687123082697</v>
      </c>
      <c r="AM4365">
        <v>91.479463422124397</v>
      </c>
      <c r="AN4365">
        <v>0.99999998495594</v>
      </c>
    </row>
    <row r="4366" spans="1:40" x14ac:dyDescent="0.25">
      <c r="A4366" t="str">
        <f>"20190303171105671"</f>
        <v>20190303171105671</v>
      </c>
      <c r="B4366" t="str">
        <f>"1551604265665318"</f>
        <v>1551604265665318</v>
      </c>
      <c r="C4366" t="s">
        <v>40</v>
      </c>
      <c r="D4366">
        <v>4.7956989999999999</v>
      </c>
      <c r="E4366">
        <v>0.41388550000000002</v>
      </c>
      <c r="F4366" t="s">
        <v>92</v>
      </c>
      <c r="G4366">
        <v>-404.21170000000001</v>
      </c>
      <c r="H4366">
        <v>1.129356</v>
      </c>
      <c r="I4366">
        <v>0.63795469999999999</v>
      </c>
      <c r="J4366">
        <v>-421.24619999999999</v>
      </c>
      <c r="K4366">
        <v>1.126193</v>
      </c>
      <c r="L4366">
        <v>38.927979999999998</v>
      </c>
      <c r="M4366">
        <v>0.16525960000000001</v>
      </c>
      <c r="N4366">
        <v>-1.3777319999999999E-2</v>
      </c>
      <c r="O4366">
        <v>-0.98615390000000003</v>
      </c>
      <c r="P4366">
        <v>0.1820561</v>
      </c>
      <c r="Q4366">
        <v>0.1914631</v>
      </c>
      <c r="R4366">
        <v>-0.96446750000000003</v>
      </c>
      <c r="S4366">
        <v>1.272186</v>
      </c>
      <c r="T4366">
        <v>2.4461749999999999E-4</v>
      </c>
      <c r="U4366">
        <v>-2.8715519999999999</v>
      </c>
      <c r="V4366">
        <v>-2.256932E-2</v>
      </c>
      <c r="W4366">
        <v>0.20471249999999999</v>
      </c>
      <c r="X4366">
        <v>0.97856189999999998</v>
      </c>
      <c r="Y4366">
        <v>-0.24831929999999999</v>
      </c>
      <c r="Z4366">
        <v>-1.3378960000000001E-2</v>
      </c>
      <c r="AA4366">
        <v>0.96858580000000005</v>
      </c>
      <c r="AB4366">
        <v>28</v>
      </c>
      <c r="AC4366">
        <v>17.034499999999898</v>
      </c>
      <c r="AD4366">
        <v>3.16300000000002E-3</v>
      </c>
      <c r="AE4366">
        <v>-38.290025300000003</v>
      </c>
      <c r="AF4366">
        <v>-10.4718378482284</v>
      </c>
      <c r="AG4366">
        <v>3.16300000000002E-3</v>
      </c>
      <c r="AH4366">
        <v>40.578822306665202</v>
      </c>
      <c r="AI4366">
        <v>89.995675633969398</v>
      </c>
      <c r="AJ4366">
        <v>104.47014014795199</v>
      </c>
      <c r="AK4366">
        <v>41.908235678921898</v>
      </c>
      <c r="AL4366">
        <v>78.187330250067902</v>
      </c>
      <c r="AM4366">
        <v>91.321222058849202</v>
      </c>
      <c r="AN4366">
        <v>0.99999998699656101</v>
      </c>
    </row>
    <row r="4367" spans="1:40" x14ac:dyDescent="0.25">
      <c r="A4367" t="str">
        <f>"20190303171105692"</f>
        <v>20190303171105692</v>
      </c>
      <c r="B4367" t="str">
        <f>"1551604265684839"</f>
        <v>1551604265684839</v>
      </c>
      <c r="C4367" t="s">
        <v>40</v>
      </c>
      <c r="D4367">
        <v>4.7955889999999997</v>
      </c>
      <c r="E4367">
        <v>0.41563250000000002</v>
      </c>
      <c r="F4367" t="s">
        <v>92</v>
      </c>
      <c r="G4367">
        <v>-404.42450000000002</v>
      </c>
      <c r="H4367">
        <v>1.1416580000000001</v>
      </c>
      <c r="I4367">
        <v>0.63579560000000002</v>
      </c>
      <c r="J4367">
        <v>-421.19490000000002</v>
      </c>
      <c r="K4367">
        <v>1.1263479999999999</v>
      </c>
      <c r="L4367">
        <v>38.663359999999997</v>
      </c>
      <c r="M4367">
        <v>0.17166879999999901</v>
      </c>
      <c r="N4367">
        <v>-1.379529E-2</v>
      </c>
      <c r="O4367">
        <v>-0.98505819999999999</v>
      </c>
      <c r="P4367">
        <v>0.18639169999999999</v>
      </c>
      <c r="Q4367">
        <v>0.19227639999999999</v>
      </c>
      <c r="R4367">
        <v>-0.96347740000000004</v>
      </c>
      <c r="S4367">
        <v>1.261719</v>
      </c>
      <c r="T4367">
        <v>1.1579989999999901E-3</v>
      </c>
      <c r="U4367">
        <v>-2.872131</v>
      </c>
      <c r="V4367">
        <v>-2.0714469999999999E-2</v>
      </c>
      <c r="W4367">
        <v>0.20555670000000001</v>
      </c>
      <c r="X4367">
        <v>0.97842600000000002</v>
      </c>
      <c r="Y4367">
        <v>-0.238981</v>
      </c>
      <c r="Z4367">
        <v>-1.3674479999999999E-2</v>
      </c>
      <c r="AA4367">
        <v>0.97092800000000001</v>
      </c>
      <c r="AB4367">
        <v>28</v>
      </c>
      <c r="AC4367">
        <v>16.770399999999899</v>
      </c>
      <c r="AD4367">
        <v>1.53100000000001E-2</v>
      </c>
      <c r="AE4367">
        <v>-38.027564400000003</v>
      </c>
      <c r="AF4367">
        <v>-9.9926225062617604</v>
      </c>
      <c r="AG4367">
        <v>1.53100000000001E-2</v>
      </c>
      <c r="AH4367">
        <v>40.342149137241002</v>
      </c>
      <c r="AI4367">
        <v>89.9788938655838</v>
      </c>
      <c r="AJ4367">
        <v>103.911976931575</v>
      </c>
      <c r="AK4367">
        <v>41.561300941622797</v>
      </c>
      <c r="AL4367">
        <v>78.137910831870798</v>
      </c>
      <c r="AM4367">
        <v>91.2128402452324</v>
      </c>
      <c r="AN4367">
        <v>1.0000000418291299</v>
      </c>
    </row>
    <row r="4368" spans="1:40" x14ac:dyDescent="0.25">
      <c r="A4368" t="str">
        <f>"20190303171105715"</f>
        <v>20190303171105715</v>
      </c>
      <c r="B4368" t="str">
        <f>"1551604265705334"</f>
        <v>1551604265705334</v>
      </c>
      <c r="C4368" t="s">
        <v>40</v>
      </c>
      <c r="D4368">
        <v>4.8139029999999998</v>
      </c>
      <c r="E4368">
        <v>0.4162844</v>
      </c>
      <c r="F4368" t="s">
        <v>92</v>
      </c>
      <c r="G4368">
        <v>-404.47550000000001</v>
      </c>
      <c r="H4368">
        <v>1.10362</v>
      </c>
      <c r="I4368">
        <v>0.63527299999999998</v>
      </c>
      <c r="J4368">
        <v>-421.14120000000003</v>
      </c>
      <c r="K4368">
        <v>1.1265039999999999</v>
      </c>
      <c r="L4368">
        <v>38.396299999999997</v>
      </c>
      <c r="M4368">
        <v>0.17836109999999999</v>
      </c>
      <c r="N4368">
        <v>-1.381518E-2</v>
      </c>
      <c r="O4368">
        <v>-0.98386819999999997</v>
      </c>
      <c r="P4368">
        <v>0.19306139999999999</v>
      </c>
      <c r="Q4368">
        <v>0.1911689</v>
      </c>
      <c r="R4368">
        <v>-0.96238360000000001</v>
      </c>
      <c r="S4368">
        <v>1.2618100000000001</v>
      </c>
      <c r="T4368">
        <v>-1.7173290000000001E-3</v>
      </c>
      <c r="U4368">
        <v>-2.8699650000000001</v>
      </c>
      <c r="V4368">
        <v>-2.0870980000000001E-2</v>
      </c>
      <c r="W4368">
        <v>0.2044628</v>
      </c>
      <c r="X4368">
        <v>0.97865179999999996</v>
      </c>
      <c r="Y4368">
        <v>-0.23267499999999999</v>
      </c>
      <c r="Z4368">
        <v>-1.2752350000000001E-2</v>
      </c>
      <c r="AA4368">
        <v>0.97247090000000003</v>
      </c>
      <c r="AB4368">
        <v>28</v>
      </c>
      <c r="AC4368">
        <v>16.665700000000001</v>
      </c>
      <c r="AD4368">
        <v>-2.2884000000000099E-2</v>
      </c>
      <c r="AE4368">
        <v>-37.761026999999999</v>
      </c>
      <c r="AF4368">
        <v>-9.6626722757527208</v>
      </c>
      <c r="AG4368">
        <v>-2.2884000000000099E-2</v>
      </c>
      <c r="AH4368">
        <v>40.128199981081799</v>
      </c>
      <c r="AI4368">
        <v>90.031766228459205</v>
      </c>
      <c r="AJ4368">
        <v>103.53879804090199</v>
      </c>
      <c r="AK4368">
        <v>41.275176473369001</v>
      </c>
      <c r="AL4368">
        <v>78.201946194657793</v>
      </c>
      <c r="AM4368">
        <v>91.221719336643304</v>
      </c>
      <c r="AN4368">
        <v>0.99999999001661999</v>
      </c>
    </row>
    <row r="4369" spans="1:40" x14ac:dyDescent="0.25">
      <c r="A4369" t="str">
        <f>"20190303171105738"</f>
        <v>20190303171105738</v>
      </c>
      <c r="B4369" t="str">
        <f>"1551604265724854"</f>
        <v>1551604265724854</v>
      </c>
      <c r="C4369" t="s">
        <v>40</v>
      </c>
      <c r="D4369">
        <v>4.8020509999999996</v>
      </c>
      <c r="E4369">
        <v>0.42776639999999999</v>
      </c>
      <c r="F4369" t="s">
        <v>92</v>
      </c>
      <c r="G4369">
        <v>-404.28230000000002</v>
      </c>
      <c r="H4369">
        <v>1.048845</v>
      </c>
      <c r="I4369">
        <v>0.63723949999999996</v>
      </c>
      <c r="J4369">
        <v>-421.08190000000002</v>
      </c>
      <c r="K4369">
        <v>1.126673</v>
      </c>
      <c r="L4369">
        <v>38.114350000000002</v>
      </c>
      <c r="M4369">
        <v>0.1856902</v>
      </c>
      <c r="N4369">
        <v>-1.383801E-2</v>
      </c>
      <c r="O4369">
        <v>-0.98251089999999996</v>
      </c>
      <c r="P4369">
        <v>0.20194799999999999</v>
      </c>
      <c r="Q4369">
        <v>0.18852140000000001</v>
      </c>
      <c r="R4369">
        <v>-0.96108099999999996</v>
      </c>
      <c r="S4369">
        <v>1.277863</v>
      </c>
      <c r="T4369">
        <v>-5.8883429999999999E-3</v>
      </c>
      <c r="U4369">
        <v>-2.8620610000000002</v>
      </c>
      <c r="V4369">
        <v>-2.2583659999999998E-2</v>
      </c>
      <c r="W4369">
        <v>0.20181360000000001</v>
      </c>
      <c r="X4369">
        <v>0.97916349999999996</v>
      </c>
      <c r="Y4369">
        <v>-0.23097570000000001</v>
      </c>
      <c r="Z4369">
        <v>-1.140969E-2</v>
      </c>
      <c r="AA4369">
        <v>0.9728926</v>
      </c>
      <c r="AB4369">
        <v>28</v>
      </c>
      <c r="AC4369">
        <v>16.799599999999899</v>
      </c>
      <c r="AD4369">
        <v>-7.7827999999999994E-2</v>
      </c>
      <c r="AE4369">
        <v>-37.477110499999903</v>
      </c>
      <c r="AF4369">
        <v>-9.5475378191455498</v>
      </c>
      <c r="AG4369">
        <v>-7.7827999999999994E-2</v>
      </c>
      <c r="AH4369">
        <v>39.944871746586898</v>
      </c>
      <c r="AI4369">
        <v>90.108575752433595</v>
      </c>
      <c r="AJ4369">
        <v>103.442513798489</v>
      </c>
      <c r="AK4369">
        <v>41.070114614606098</v>
      </c>
      <c r="AL4369">
        <v>78.356965976790804</v>
      </c>
      <c r="AM4369">
        <v>91.321249244514604</v>
      </c>
      <c r="AN4369">
        <v>0.99999995528810104</v>
      </c>
    </row>
    <row r="4370" spans="1:40" x14ac:dyDescent="0.25">
      <c r="A4370" t="str">
        <f>"20190303171105760"</f>
        <v>20190303171105760</v>
      </c>
      <c r="B4370" t="str">
        <f>"1551604265755110"</f>
        <v>1551604265755110</v>
      </c>
      <c r="C4370" t="s">
        <v>40</v>
      </c>
      <c r="D4370">
        <v>4.8137309999999998</v>
      </c>
      <c r="E4370">
        <v>0.42849379999999998</v>
      </c>
      <c r="F4370" t="s">
        <v>92</v>
      </c>
      <c r="G4370">
        <v>-405.20859999999999</v>
      </c>
      <c r="H4370">
        <v>0.35310049999999998</v>
      </c>
      <c r="I4370">
        <v>0.62781330000000002</v>
      </c>
      <c r="J4370">
        <v>-421.02140000000003</v>
      </c>
      <c r="K4370">
        <v>1.126844</v>
      </c>
      <c r="L4370">
        <v>37.837589999999999</v>
      </c>
      <c r="M4370">
        <v>0.19314870000000001</v>
      </c>
      <c r="N4370">
        <v>-1.386162E-2</v>
      </c>
      <c r="O4370">
        <v>-0.98107169999999999</v>
      </c>
      <c r="P4370">
        <v>0.2111391</v>
      </c>
      <c r="Q4370">
        <v>0.18796379999999999</v>
      </c>
      <c r="R4370">
        <v>-0.9592136</v>
      </c>
      <c r="S4370">
        <v>1.2182919999999999</v>
      </c>
      <c r="T4370">
        <v>-5.9374690000000001E-2</v>
      </c>
      <c r="U4370">
        <v>-2.8771360000000001</v>
      </c>
      <c r="V4370">
        <v>-2.4582090000000001E-2</v>
      </c>
      <c r="W4370">
        <v>0.2012447</v>
      </c>
      <c r="X4370">
        <v>0.97923249999999995</v>
      </c>
      <c r="Y4370">
        <v>-0.20465</v>
      </c>
      <c r="Z4370">
        <v>5.6987369999999997E-3</v>
      </c>
      <c r="AA4370">
        <v>0.97881859999999998</v>
      </c>
      <c r="AB4370">
        <v>28</v>
      </c>
      <c r="AC4370">
        <v>15.812799999999999</v>
      </c>
      <c r="AD4370">
        <v>-0.77374349999999903</v>
      </c>
      <c r="AE4370">
        <v>-37.209776699999999</v>
      </c>
      <c r="AF4370">
        <v>-8.3242208595030505</v>
      </c>
      <c r="AG4370">
        <v>-0.77374349999999903</v>
      </c>
      <c r="AH4370">
        <v>39.548992053635303</v>
      </c>
      <c r="AI4370">
        <v>91.096776834688796</v>
      </c>
      <c r="AJ4370">
        <v>101.88604620638699</v>
      </c>
      <c r="AK4370">
        <v>40.422940323287797</v>
      </c>
      <c r="AL4370">
        <v>78.390244847453204</v>
      </c>
      <c r="AM4370">
        <v>91.438018305658602</v>
      </c>
      <c r="AN4370">
        <v>0.99999999874155399</v>
      </c>
    </row>
    <row r="4371" spans="1:40" x14ac:dyDescent="0.25">
      <c r="A4371" t="str">
        <f>"20190303171105782"</f>
        <v>20190303171105782</v>
      </c>
      <c r="B4371" t="str">
        <f>"1551604265775607"</f>
        <v>1551604265775607</v>
      </c>
      <c r="C4371" t="s">
        <v>40</v>
      </c>
      <c r="D4371">
        <v>4.8408989999999896</v>
      </c>
      <c r="E4371">
        <v>0.4336487</v>
      </c>
      <c r="F4371" t="s">
        <v>92</v>
      </c>
      <c r="G4371">
        <v>-404.90719999999999</v>
      </c>
      <c r="H4371">
        <v>0.32664850000000001</v>
      </c>
      <c r="I4371">
        <v>0.63087839999999995</v>
      </c>
      <c r="J4371">
        <v>-420.96190000000001</v>
      </c>
      <c r="K4371">
        <v>1.126995</v>
      </c>
      <c r="L4371">
        <v>37.576169999999998</v>
      </c>
      <c r="M4371">
        <v>0.2003894</v>
      </c>
      <c r="N4371">
        <v>-1.388343E-2</v>
      </c>
      <c r="O4371">
        <v>-0.97961830000000005</v>
      </c>
      <c r="P4371">
        <v>0.2200686</v>
      </c>
      <c r="Q4371">
        <v>0.1893408</v>
      </c>
      <c r="R4371">
        <v>-0.95693280000000003</v>
      </c>
      <c r="S4371">
        <v>1.241425</v>
      </c>
      <c r="T4371">
        <v>-6.1648849999999998E-2</v>
      </c>
      <c r="U4371">
        <v>-2.8663940000000001</v>
      </c>
      <c r="V4371">
        <v>-2.6625659999999999E-2</v>
      </c>
      <c r="W4371">
        <v>0.20260230000000001</v>
      </c>
      <c r="X4371">
        <v>0.97889910000000002</v>
      </c>
      <c r="Y4371">
        <v>-0.2054049</v>
      </c>
      <c r="Z4371">
        <v>6.4303449999999996E-3</v>
      </c>
      <c r="AA4371">
        <v>0.97865590000000002</v>
      </c>
      <c r="AB4371">
        <v>28</v>
      </c>
      <c r="AC4371">
        <v>16.0547</v>
      </c>
      <c r="AD4371">
        <v>-0.80034649999999996</v>
      </c>
      <c r="AE4371">
        <v>-36.945291599999997</v>
      </c>
      <c r="AF4371">
        <v>-8.3215477550851205</v>
      </c>
      <c r="AG4371">
        <v>-0.80034649999999996</v>
      </c>
      <c r="AH4371">
        <v>39.397708760601603</v>
      </c>
      <c r="AI4371">
        <v>91.138661717666494</v>
      </c>
      <c r="AJ4371">
        <v>101.926660570908</v>
      </c>
      <c r="AK4371">
        <v>40.274907413244399</v>
      </c>
      <c r="AL4371">
        <v>78.310824530619399</v>
      </c>
      <c r="AM4371">
        <v>91.558037906905994</v>
      </c>
      <c r="AN4371">
        <v>1.0000000328582599</v>
      </c>
    </row>
    <row r="4372" spans="1:40" x14ac:dyDescent="0.25">
      <c r="A4372" t="str">
        <f>"20190303171105803"</f>
        <v>20190303171105803</v>
      </c>
      <c r="B4372" t="str">
        <f>"1551604265795126"</f>
        <v>1551604265795126</v>
      </c>
      <c r="C4372" t="s">
        <v>40</v>
      </c>
      <c r="D4372">
        <v>4.8334210000000004</v>
      </c>
      <c r="E4372">
        <v>0.43489450000000002</v>
      </c>
      <c r="F4372" t="s">
        <v>92</v>
      </c>
      <c r="G4372">
        <v>-405.09980000000002</v>
      </c>
      <c r="H4372">
        <v>0.18569450000000001</v>
      </c>
      <c r="I4372">
        <v>0.62891960000000002</v>
      </c>
      <c r="J4372">
        <v>-420.9</v>
      </c>
      <c r="K4372">
        <v>1.127124</v>
      </c>
      <c r="L4372">
        <v>37.313870000000001</v>
      </c>
      <c r="M4372">
        <v>0.20784710000000001</v>
      </c>
      <c r="N4372">
        <v>-1.39037999999999E-2</v>
      </c>
      <c r="O4372">
        <v>-0.97806269999999995</v>
      </c>
      <c r="P4372">
        <v>0.22871449999999999</v>
      </c>
      <c r="Q4372">
        <v>0.1899226</v>
      </c>
      <c r="R4372">
        <v>-0.95478790000000002</v>
      </c>
      <c r="S4372">
        <v>1.230621</v>
      </c>
      <c r="T4372">
        <v>-7.3030230000000002E-2</v>
      </c>
      <c r="U4372">
        <v>-2.8664550000000002</v>
      </c>
      <c r="V4372">
        <v>-2.8123390000000002E-2</v>
      </c>
      <c r="W4372">
        <v>0.2031734</v>
      </c>
      <c r="X4372">
        <v>0.97873880000000002</v>
      </c>
      <c r="Y4372">
        <v>-0.19480449999999999</v>
      </c>
      <c r="Z4372">
        <v>1.005785E-2</v>
      </c>
      <c r="AA4372">
        <v>0.98079059999999996</v>
      </c>
      <c r="AB4372">
        <v>28</v>
      </c>
      <c r="AC4372">
        <v>15.800199999999901</v>
      </c>
      <c r="AD4372">
        <v>-0.94142950000000003</v>
      </c>
      <c r="AE4372">
        <v>-36.684950399999998</v>
      </c>
      <c r="AF4372">
        <v>-7.8251340616801697</v>
      </c>
      <c r="AG4372">
        <v>-0.94142950000000003</v>
      </c>
      <c r="AH4372">
        <v>39.146239663006703</v>
      </c>
      <c r="AI4372">
        <v>91.350927369710305</v>
      </c>
      <c r="AJ4372">
        <v>101.304142739117</v>
      </c>
      <c r="AK4372">
        <v>39.931780480468198</v>
      </c>
      <c r="AL4372">
        <v>78.277407486705201</v>
      </c>
      <c r="AM4372">
        <v>91.645902150298099</v>
      </c>
      <c r="AN4372">
        <v>0.99999999707904597</v>
      </c>
    </row>
    <row r="4373" spans="1:40" x14ac:dyDescent="0.25">
      <c r="A4373" t="str">
        <f>"20190303171105827"</f>
        <v>20190303171105827</v>
      </c>
      <c r="B4373" t="str">
        <f>"1551604265815622"</f>
        <v>1551604265815622</v>
      </c>
      <c r="C4373" t="s">
        <v>40</v>
      </c>
      <c r="D4373">
        <v>4.8274239999999997</v>
      </c>
      <c r="E4373">
        <v>0.43580950000000002</v>
      </c>
      <c r="F4373" t="s">
        <v>92</v>
      </c>
      <c r="G4373">
        <v>-404.8809</v>
      </c>
      <c r="H4373">
        <v>0.2270558</v>
      </c>
      <c r="I4373">
        <v>0.63114740000000003</v>
      </c>
      <c r="J4373">
        <v>-420.83420000000001</v>
      </c>
      <c r="K4373">
        <v>1.1272610000000001</v>
      </c>
      <c r="L4373">
        <v>37.045319999999997</v>
      </c>
      <c r="M4373">
        <v>0.2156796</v>
      </c>
      <c r="N4373">
        <v>-1.3924819999999999E-2</v>
      </c>
      <c r="O4373">
        <v>-0.97636489999999998</v>
      </c>
      <c r="P4373">
        <v>0.2381752</v>
      </c>
      <c r="Q4373">
        <v>0.18836259999999999</v>
      </c>
      <c r="R4373">
        <v>-0.95278160000000001</v>
      </c>
      <c r="S4373">
        <v>1.247681</v>
      </c>
      <c r="T4373">
        <v>-7.0105909999999994E-2</v>
      </c>
      <c r="U4373">
        <v>-2.8571170000000001</v>
      </c>
      <c r="V4373">
        <v>-2.9969260000000001E-2</v>
      </c>
      <c r="W4373">
        <v>0.2016029</v>
      </c>
      <c r="X4373">
        <v>0.97900869999999995</v>
      </c>
      <c r="Y4373">
        <v>-0.1930383</v>
      </c>
      <c r="Z4373">
        <v>9.1213779999999994E-3</v>
      </c>
      <c r="AA4373">
        <v>0.98114880000000004</v>
      </c>
      <c r="AB4373">
        <v>28</v>
      </c>
      <c r="AC4373">
        <v>15.9533</v>
      </c>
      <c r="AD4373">
        <v>-0.90020519999999904</v>
      </c>
      <c r="AE4373">
        <v>-36.414172600000001</v>
      </c>
      <c r="AF4373">
        <v>-7.7192388643367202</v>
      </c>
      <c r="AG4373">
        <v>-0.90020519999999904</v>
      </c>
      <c r="AH4373">
        <v>38.978117004722399</v>
      </c>
      <c r="AI4373">
        <v>91.297822407519504</v>
      </c>
      <c r="AJ4373">
        <v>101.20192916253001</v>
      </c>
      <c r="AK4373">
        <v>39.745322030153702</v>
      </c>
      <c r="AL4373">
        <v>78.369291600672597</v>
      </c>
      <c r="AM4373">
        <v>91.753381818319994</v>
      </c>
      <c r="AN4373">
        <v>0.99999996025452298</v>
      </c>
    </row>
    <row r="4374" spans="1:40" x14ac:dyDescent="0.25">
      <c r="A4374" t="str">
        <f>"20190303171105849"</f>
        <v>20190303171105849</v>
      </c>
      <c r="B4374" t="str">
        <f>"1551604265835142"</f>
        <v>1551604265835142</v>
      </c>
      <c r="C4374" t="s">
        <v>40</v>
      </c>
      <c r="D4374">
        <v>4.8507110000000004</v>
      </c>
      <c r="E4374">
        <v>0.4359615</v>
      </c>
      <c r="F4374" t="s">
        <v>92</v>
      </c>
      <c r="G4374">
        <v>-404.61200000000002</v>
      </c>
      <c r="H4374">
        <v>0.15127109999999999</v>
      </c>
      <c r="I4374">
        <v>0.63388440000000001</v>
      </c>
      <c r="J4374">
        <v>-420.76519999999999</v>
      </c>
      <c r="K4374">
        <v>1.1273820000000001</v>
      </c>
      <c r="L4374">
        <v>36.773739999999997</v>
      </c>
      <c r="M4374">
        <v>0.22379550000000001</v>
      </c>
      <c r="N4374">
        <v>-1.394722E-2</v>
      </c>
      <c r="O4374">
        <v>-0.97453639999999997</v>
      </c>
      <c r="P4374">
        <v>0.24836839999999999</v>
      </c>
      <c r="Q4374">
        <v>0.18730740000000001</v>
      </c>
      <c r="R4374">
        <v>-0.9503838</v>
      </c>
      <c r="S4374">
        <v>1.2682800000000001</v>
      </c>
      <c r="T4374">
        <v>-7.6306460000000007E-2</v>
      </c>
      <c r="U4374">
        <v>-2.8467099999999999</v>
      </c>
      <c r="V4374">
        <v>-3.232086E-2</v>
      </c>
      <c r="W4374">
        <v>0.20052809999999999</v>
      </c>
      <c r="X4374">
        <v>0.97915459999999999</v>
      </c>
      <c r="Y4374">
        <v>-0.19211839999999999</v>
      </c>
      <c r="Z4374">
        <v>1.109916E-2</v>
      </c>
      <c r="AA4374">
        <v>0.98130899999999999</v>
      </c>
      <c r="AB4374">
        <v>28</v>
      </c>
      <c r="AC4374">
        <v>16.153199999999998</v>
      </c>
      <c r="AD4374">
        <v>-0.9761109</v>
      </c>
      <c r="AE4374">
        <v>-36.139855599999997</v>
      </c>
      <c r="AF4374">
        <v>-7.6500368614456002</v>
      </c>
      <c r="AG4374">
        <v>-0.9761109</v>
      </c>
      <c r="AH4374">
        <v>38.8147925492475</v>
      </c>
      <c r="AI4374">
        <v>91.413386998974403</v>
      </c>
      <c r="AJ4374">
        <v>101.149566900591</v>
      </c>
      <c r="AK4374">
        <v>39.573526215283103</v>
      </c>
      <c r="AL4374">
        <v>78.432156766425393</v>
      </c>
      <c r="AM4374">
        <v>91.890586759227901</v>
      </c>
      <c r="AN4374">
        <v>0.99999994379095303</v>
      </c>
    </row>
    <row r="4375" spans="1:40" x14ac:dyDescent="0.25">
      <c r="A4375" t="str">
        <f>"20190303171105872"</f>
        <v>20190303171105872</v>
      </c>
      <c r="B4375" t="str">
        <f>"1551604265865399"</f>
        <v>1551604265865399</v>
      </c>
      <c r="C4375" t="s">
        <v>40</v>
      </c>
      <c r="D4375">
        <v>4.7446260000000002</v>
      </c>
      <c r="E4375">
        <v>0.40244940000000001</v>
      </c>
      <c r="F4375" t="s">
        <v>92</v>
      </c>
      <c r="G4375">
        <v>-404.22660000000002</v>
      </c>
      <c r="H4375">
        <v>0.1121914</v>
      </c>
      <c r="I4375">
        <v>0.63780209999999904</v>
      </c>
      <c r="J4375">
        <v>-420.69450000000001</v>
      </c>
      <c r="K4375">
        <v>1.1275109999999999</v>
      </c>
      <c r="L4375">
        <v>36.505400000000002</v>
      </c>
      <c r="M4375">
        <v>0.23199739999999999</v>
      </c>
      <c r="N4375">
        <v>-1.396999E-2</v>
      </c>
      <c r="O4375">
        <v>-0.97261609999999998</v>
      </c>
      <c r="P4375">
        <v>0.2581659</v>
      </c>
      <c r="Q4375">
        <v>0.18751599999999999</v>
      </c>
      <c r="R4375">
        <v>-0.94772769999999995</v>
      </c>
      <c r="S4375">
        <v>1.296783</v>
      </c>
      <c r="T4375">
        <v>-7.9602720000000002E-2</v>
      </c>
      <c r="U4375">
        <v>-2.833405</v>
      </c>
      <c r="V4375">
        <v>-3.4261720000000002E-2</v>
      </c>
      <c r="W4375">
        <v>0.20071919999999999</v>
      </c>
      <c r="X4375">
        <v>0.97904950000000002</v>
      </c>
      <c r="Y4375">
        <v>-0.19374820000000001</v>
      </c>
      <c r="Z4375">
        <v>1.215069E-2</v>
      </c>
      <c r="AA4375">
        <v>0.98097599999999996</v>
      </c>
      <c r="AB4375">
        <v>28</v>
      </c>
      <c r="AC4375">
        <v>16.467899999999901</v>
      </c>
      <c r="AD4375">
        <v>-1.0153196</v>
      </c>
      <c r="AE4375">
        <v>-35.8675979</v>
      </c>
      <c r="AF4375">
        <v>-7.6914159589054201</v>
      </c>
      <c r="AG4375">
        <v>-1.0153196</v>
      </c>
      <c r="AH4375">
        <v>38.684088811716201</v>
      </c>
      <c r="AI4375">
        <v>91.474613522088603</v>
      </c>
      <c r="AJ4375">
        <v>101.245258749302</v>
      </c>
      <c r="AK4375">
        <v>39.454372134603702</v>
      </c>
      <c r="AL4375">
        <v>78.420980885459301</v>
      </c>
      <c r="AM4375">
        <v>92.004241050226398</v>
      </c>
      <c r="AN4375">
        <v>0.99999999307812404</v>
      </c>
    </row>
    <row r="4376" spans="1:40" x14ac:dyDescent="0.25">
      <c r="A4376" t="str">
        <f>"20190303171105893"</f>
        <v>20190303171105893</v>
      </c>
      <c r="B4376" t="str">
        <f>"1551604265884918"</f>
        <v>1551604265884918</v>
      </c>
      <c r="C4376" t="s">
        <v>40</v>
      </c>
      <c r="D4376">
        <v>4.7361930000000001</v>
      </c>
      <c r="E4376">
        <v>0.39701150000000002</v>
      </c>
      <c r="F4376" t="s">
        <v>92</v>
      </c>
      <c r="G4376">
        <v>-400.04939999999999</v>
      </c>
      <c r="H4376">
        <v>0.88008379999999997</v>
      </c>
      <c r="I4376">
        <v>0.68029019999999996</v>
      </c>
      <c r="J4376">
        <v>-420.62419999999997</v>
      </c>
      <c r="K4376">
        <v>1.1276440000000001</v>
      </c>
      <c r="L4376">
        <v>36.248379999999997</v>
      </c>
      <c r="M4376">
        <v>0.24002200000000001</v>
      </c>
      <c r="N4376">
        <v>-1.399186E-2</v>
      </c>
      <c r="O4376">
        <v>-0.97066680000000005</v>
      </c>
      <c r="P4376">
        <v>0.26630989999999999</v>
      </c>
      <c r="Q4376">
        <v>0.18931999999999999</v>
      </c>
      <c r="R4376">
        <v>-0.94511250000000002</v>
      </c>
      <c r="S4376">
        <v>1.578522</v>
      </c>
      <c r="T4376">
        <v>-1.8920300000000001E-2</v>
      </c>
      <c r="U4376">
        <v>-2.7391969999999999</v>
      </c>
      <c r="V4376">
        <v>-3.4775140000000003E-2</v>
      </c>
      <c r="W4376">
        <v>0.20252200000000001</v>
      </c>
      <c r="X4376">
        <v>0.97865999999999997</v>
      </c>
      <c r="Y4376">
        <v>-0.27666780000000002</v>
      </c>
      <c r="Z4376">
        <v>-7.0967979999999996E-3</v>
      </c>
      <c r="AA4376">
        <v>0.9609394</v>
      </c>
      <c r="AB4376">
        <v>28</v>
      </c>
      <c r="AC4376">
        <v>20.5747999999999</v>
      </c>
      <c r="AD4376">
        <v>-0.24756020000000001</v>
      </c>
      <c r="AE4376">
        <v>-35.568089800000003</v>
      </c>
      <c r="AF4376">
        <v>-11.434853460571199</v>
      </c>
      <c r="AG4376">
        <v>-0.24756020000000001</v>
      </c>
      <c r="AH4376">
        <v>39.465592203389598</v>
      </c>
      <c r="AI4376">
        <v>90.345203211387698</v>
      </c>
      <c r="AJ4376">
        <v>106.15854105691299</v>
      </c>
      <c r="AK4376">
        <v>41.089537934632503</v>
      </c>
      <c r="AL4376">
        <v>78.315521598426301</v>
      </c>
      <c r="AM4376">
        <v>92.035058967319102</v>
      </c>
      <c r="AN4376">
        <v>0.99999993322300695</v>
      </c>
    </row>
    <row r="4377" spans="1:40" x14ac:dyDescent="0.25">
      <c r="A4377" t="str">
        <f>"20190303171105916"</f>
        <v>20190303171105916</v>
      </c>
      <c r="B4377" t="str">
        <f>"1551604265905415"</f>
        <v>1551604265905415</v>
      </c>
      <c r="C4377" t="s">
        <v>40</v>
      </c>
      <c r="D4377">
        <v>4.736618</v>
      </c>
      <c r="E4377">
        <v>0.39486510000000002</v>
      </c>
      <c r="F4377" t="s">
        <v>92</v>
      </c>
      <c r="G4377">
        <v>-399.06259999999997</v>
      </c>
      <c r="H4377">
        <v>1.2047559999999999</v>
      </c>
      <c r="I4377">
        <v>0.69032289999999996</v>
      </c>
      <c r="J4377">
        <v>-420.54880000000003</v>
      </c>
      <c r="K4377">
        <v>1.1277809999999999</v>
      </c>
      <c r="L4377">
        <v>35.981630000000003</v>
      </c>
      <c r="M4377">
        <v>0.24852060000000001</v>
      </c>
      <c r="N4377">
        <v>-1.401434E-2</v>
      </c>
      <c r="O4377">
        <v>-0.96852550000000004</v>
      </c>
      <c r="P4377">
        <v>0.27438940000000001</v>
      </c>
      <c r="Q4377">
        <v>0.19121079999999999</v>
      </c>
      <c r="R4377">
        <v>-0.9424167</v>
      </c>
      <c r="S4377">
        <v>1.6432800000000001</v>
      </c>
      <c r="T4377">
        <v>5.8749910000000004E-3</v>
      </c>
      <c r="U4377">
        <v>-2.709991</v>
      </c>
      <c r="V4377">
        <v>-3.4760199999999998E-2</v>
      </c>
      <c r="W4377">
        <v>0.2044203</v>
      </c>
      <c r="X4377">
        <v>0.97826590000000002</v>
      </c>
      <c r="Y4377">
        <v>-0.28962149999999998</v>
      </c>
      <c r="Z4377">
        <v>-1.492247E-2</v>
      </c>
      <c r="AA4377">
        <v>0.95702489999999996</v>
      </c>
      <c r="AB4377">
        <v>28</v>
      </c>
      <c r="AC4377">
        <v>21.4862</v>
      </c>
      <c r="AD4377">
        <v>7.6975000000000002E-2</v>
      </c>
      <c r="AE4377">
        <v>-35.291307099999997</v>
      </c>
      <c r="AF4377">
        <v>-12.0404532195074</v>
      </c>
      <c r="AG4377">
        <v>7.6975000000000002E-2</v>
      </c>
      <c r="AH4377">
        <v>39.524027923477199</v>
      </c>
      <c r="AI4377">
        <v>89.893256942755499</v>
      </c>
      <c r="AJ4377">
        <v>106.94263845334299</v>
      </c>
      <c r="AK4377">
        <v>41.317396120491203</v>
      </c>
      <c r="AL4377">
        <v>78.204434534362406</v>
      </c>
      <c r="AM4377">
        <v>92.035004199872006</v>
      </c>
      <c r="AN4377">
        <v>1.00000005082946</v>
      </c>
    </row>
    <row r="4378" spans="1:40" x14ac:dyDescent="0.25">
      <c r="A4378" t="str">
        <f>"20190303171105939"</f>
        <v>20190303171105939</v>
      </c>
      <c r="B4378" t="str">
        <f>"1551604265935671"</f>
        <v>1551604265935671</v>
      </c>
      <c r="C4378" t="s">
        <v>40</v>
      </c>
      <c r="D4378">
        <v>4.7363869999999997</v>
      </c>
      <c r="E4378">
        <v>0.39422689999999999</v>
      </c>
      <c r="F4378" t="s">
        <v>92</v>
      </c>
      <c r="G4378">
        <v>-398.46940000000001</v>
      </c>
      <c r="H4378">
        <v>1.3479859999999999</v>
      </c>
      <c r="I4378">
        <v>0.69635769999999997</v>
      </c>
      <c r="J4378">
        <v>-420.47030000000001</v>
      </c>
      <c r="K4378">
        <v>1.1279110000000001</v>
      </c>
      <c r="L4378">
        <v>35.71472</v>
      </c>
      <c r="M4378">
        <v>0.25721500000000003</v>
      </c>
      <c r="N4378">
        <v>-1.4037269999999999E-2</v>
      </c>
      <c r="O4378">
        <v>-0.96625209999999995</v>
      </c>
      <c r="P4378">
        <v>0.28306029999999999</v>
      </c>
      <c r="Q4378">
        <v>0.19071560000000001</v>
      </c>
      <c r="R4378">
        <v>-0.93994920000000004</v>
      </c>
      <c r="S4378">
        <v>1.683136</v>
      </c>
      <c r="T4378">
        <v>1.6784549999999999E-2</v>
      </c>
      <c r="U4378">
        <v>-2.6898499999999999</v>
      </c>
      <c r="V4378">
        <v>-3.5008240000000003E-2</v>
      </c>
      <c r="W4378">
        <v>0.20393530000000001</v>
      </c>
      <c r="X4378">
        <v>0.97835819999999996</v>
      </c>
      <c r="Y4378">
        <v>-0.29441970000000001</v>
      </c>
      <c r="Z4378">
        <v>-1.8336890000000002E-2</v>
      </c>
      <c r="AA4378">
        <v>0.95550029999999997</v>
      </c>
      <c r="AB4378">
        <v>28</v>
      </c>
      <c r="AC4378">
        <v>22.000900000000001</v>
      </c>
      <c r="AD4378">
        <v>0.22007499999999999</v>
      </c>
      <c r="AE4378">
        <v>-35.0183623</v>
      </c>
      <c r="AF4378">
        <v>-12.252029712444401</v>
      </c>
      <c r="AG4378">
        <v>0.22007499999999999</v>
      </c>
      <c r="AH4378">
        <v>39.498306356255398</v>
      </c>
      <c r="AI4378">
        <v>89.695096660143193</v>
      </c>
      <c r="AJ4378">
        <v>107.233433661411</v>
      </c>
      <c r="AK4378">
        <v>41.3554938320516</v>
      </c>
      <c r="AL4378">
        <v>78.232820080898506</v>
      </c>
      <c r="AM4378">
        <v>92.049319945552696</v>
      </c>
      <c r="AN4378">
        <v>0.99999997548061303</v>
      </c>
    </row>
    <row r="4379" spans="1:40" x14ac:dyDescent="0.25">
      <c r="A4379" t="str">
        <f>"20190303171105962"</f>
        <v>20190303171105962</v>
      </c>
      <c r="B4379" t="str">
        <f>"1551604265955190"</f>
        <v>1551604265955190</v>
      </c>
      <c r="C4379" t="s">
        <v>40</v>
      </c>
      <c r="D4379">
        <v>4.7212569999999996</v>
      </c>
      <c r="E4379">
        <v>0.39397159999999998</v>
      </c>
      <c r="F4379" t="s">
        <v>92</v>
      </c>
      <c r="G4379">
        <v>-398.04509999999999</v>
      </c>
      <c r="H4379">
        <v>1.2925150000000001</v>
      </c>
      <c r="I4379">
        <v>0.70067209999999902</v>
      </c>
      <c r="J4379">
        <v>-420.38929999999999</v>
      </c>
      <c r="K4379">
        <v>1.128018</v>
      </c>
      <c r="L4379">
        <v>35.44885</v>
      </c>
      <c r="M4379">
        <v>0.26604029999999901</v>
      </c>
      <c r="N4379">
        <v>-1.405993E-2</v>
      </c>
      <c r="O4379">
        <v>-0.96385949999999998</v>
      </c>
      <c r="P4379">
        <v>0.29215410000000003</v>
      </c>
      <c r="Q4379">
        <v>0.1895792</v>
      </c>
      <c r="R4379">
        <v>-0.93739320000000004</v>
      </c>
      <c r="S4379">
        <v>1.71225</v>
      </c>
      <c r="T4379">
        <v>1.256621E-2</v>
      </c>
      <c r="U4379">
        <v>-2.6734619999999998</v>
      </c>
      <c r="V4379">
        <v>-3.551824E-2</v>
      </c>
      <c r="W4379">
        <v>0.2028073</v>
      </c>
      <c r="X4379">
        <v>0.97857430000000001</v>
      </c>
      <c r="Y4379">
        <v>-0.29573509999999997</v>
      </c>
      <c r="Z4379">
        <v>-1.696137E-2</v>
      </c>
      <c r="AA4379">
        <v>0.95511939999999995</v>
      </c>
      <c r="AB4379">
        <v>28</v>
      </c>
      <c r="AC4379">
        <v>22.344200000000001</v>
      </c>
      <c r="AD4379">
        <v>0.16449699999999901</v>
      </c>
      <c r="AE4379">
        <v>-34.748177899999902</v>
      </c>
      <c r="AF4379">
        <v>-12.2932724270704</v>
      </c>
      <c r="AG4379">
        <v>0.16449699999999901</v>
      </c>
      <c r="AH4379">
        <v>39.440087180492903</v>
      </c>
      <c r="AI4379">
        <v>89.771857225023993</v>
      </c>
      <c r="AJ4379">
        <v>107.31198804357</v>
      </c>
      <c r="AK4379">
        <v>41.311887914183501</v>
      </c>
      <c r="AL4379">
        <v>78.298829537249603</v>
      </c>
      <c r="AM4379">
        <v>92.078689683725898</v>
      </c>
      <c r="AN4379">
        <v>1.0000000034632299</v>
      </c>
    </row>
    <row r="4380" spans="1:40" x14ac:dyDescent="0.25">
      <c r="A4380" t="str">
        <f>"20190303171105983"</f>
        <v>20190303171105983</v>
      </c>
      <c r="B4380" t="str">
        <f>"1551604265975687"</f>
        <v>1551604265975687</v>
      </c>
      <c r="C4380" t="s">
        <v>40</v>
      </c>
      <c r="D4380">
        <v>4.7308599999999998</v>
      </c>
      <c r="E4380">
        <v>0.39420490000000002</v>
      </c>
      <c r="F4380" t="s">
        <v>92</v>
      </c>
      <c r="G4380">
        <v>-397.63130000000001</v>
      </c>
      <c r="H4380">
        <v>1.2463759999999999</v>
      </c>
      <c r="I4380">
        <v>0.70487979999999995</v>
      </c>
      <c r="J4380">
        <v>-420.30930000000001</v>
      </c>
      <c r="K4380">
        <v>1.1281129999999999</v>
      </c>
      <c r="L4380">
        <v>35.19455</v>
      </c>
      <c r="M4380">
        <v>0.27460620000000002</v>
      </c>
      <c r="N4380">
        <v>-1.4080270000000001E-2</v>
      </c>
      <c r="O4380">
        <v>-0.96145380000000003</v>
      </c>
      <c r="P4380">
        <v>0.30021399999999998</v>
      </c>
      <c r="Q4380">
        <v>0.18886829999999999</v>
      </c>
      <c r="R4380">
        <v>-0.93498680000000001</v>
      </c>
      <c r="S4380">
        <v>1.7398990000000001</v>
      </c>
      <c r="T4380">
        <v>9.0467929999999992E-3</v>
      </c>
      <c r="U4380">
        <v>-2.65625</v>
      </c>
      <c r="V4380">
        <v>-3.5229879999999998E-2</v>
      </c>
      <c r="W4380">
        <v>0.20211570000000001</v>
      </c>
      <c r="X4380">
        <v>0.97872780000000004</v>
      </c>
      <c r="Y4380">
        <v>-0.29703879999999999</v>
      </c>
      <c r="Z4380">
        <v>-1.5809159999999999E-2</v>
      </c>
      <c r="AA4380">
        <v>0.95473459999999999</v>
      </c>
      <c r="AB4380">
        <v>28</v>
      </c>
      <c r="AC4380">
        <v>22.678000000000001</v>
      </c>
      <c r="AD4380">
        <v>0.11826299999999999</v>
      </c>
      <c r="AE4380">
        <v>-34.489670199999999</v>
      </c>
      <c r="AF4380">
        <v>-12.3338920412766</v>
      </c>
      <c r="AG4380">
        <v>0.11826299999999999</v>
      </c>
      <c r="AH4380">
        <v>39.391320994464998</v>
      </c>
      <c r="AI4380">
        <v>89.835842438072802</v>
      </c>
      <c r="AJ4380">
        <v>107.385960105885</v>
      </c>
      <c r="AK4380">
        <v>41.2772945905132</v>
      </c>
      <c r="AL4380">
        <v>78.339293295702205</v>
      </c>
      <c r="AM4380">
        <v>92.061505073824307</v>
      </c>
      <c r="AN4380">
        <v>1.00000000356207</v>
      </c>
    </row>
    <row r="4381" spans="1:40" x14ac:dyDescent="0.25">
      <c r="A4381" t="str">
        <f>"20190303171106004"</f>
        <v>20190303171106004</v>
      </c>
      <c r="B4381" t="str">
        <f>"1551604265995207"</f>
        <v>1551604265995207</v>
      </c>
      <c r="C4381" t="s">
        <v>40</v>
      </c>
      <c r="D4381">
        <v>4.7091539999999998</v>
      </c>
      <c r="E4381">
        <v>0.39432889999999998</v>
      </c>
      <c r="F4381" t="s">
        <v>92</v>
      </c>
      <c r="G4381">
        <v>-397.31150000000002</v>
      </c>
      <c r="H4381">
        <v>1.2312110000000001</v>
      </c>
      <c r="I4381">
        <v>0.70813369999999998</v>
      </c>
      <c r="J4381">
        <v>-420.22649999999999</v>
      </c>
      <c r="K4381">
        <v>1.1281909999999999</v>
      </c>
      <c r="L4381">
        <v>34.939700000000002</v>
      </c>
      <c r="M4381">
        <v>0.28331020000000001</v>
      </c>
      <c r="N4381">
        <v>-1.4098909999999999E-2</v>
      </c>
      <c r="O4381">
        <v>-0.95892500000000003</v>
      </c>
      <c r="P4381">
        <v>0.30943609999999999</v>
      </c>
      <c r="Q4381">
        <v>0.18911839999999999</v>
      </c>
      <c r="R4381">
        <v>-0.93192489999999994</v>
      </c>
      <c r="S4381">
        <v>1.7614749999999999</v>
      </c>
      <c r="T4381">
        <v>7.8945159999999903E-3</v>
      </c>
      <c r="U4381">
        <v>-2.6414179999999998</v>
      </c>
      <c r="V4381">
        <v>-3.6086239999999999E-2</v>
      </c>
      <c r="W4381">
        <v>0.20236229999999999</v>
      </c>
      <c r="X4381">
        <v>0.9786456</v>
      </c>
      <c r="Y4381">
        <v>-0.2962573</v>
      </c>
      <c r="Z4381">
        <v>-1.540672E-2</v>
      </c>
      <c r="AA4381">
        <v>0.9549839</v>
      </c>
      <c r="AB4381">
        <v>28</v>
      </c>
      <c r="AC4381">
        <v>22.9149999999999</v>
      </c>
      <c r="AD4381">
        <v>0.10302</v>
      </c>
      <c r="AE4381">
        <v>-34.231566299999997</v>
      </c>
      <c r="AF4381">
        <v>-12.276754236639899</v>
      </c>
      <c r="AG4381">
        <v>0.10302</v>
      </c>
      <c r="AH4381">
        <v>39.321208472308797</v>
      </c>
      <c r="AI4381">
        <v>89.856709234685596</v>
      </c>
      <c r="AJ4381">
        <v>107.33925729292299</v>
      </c>
      <c r="AK4381">
        <v>41.193285174042998</v>
      </c>
      <c r="AL4381">
        <v>78.324865563508595</v>
      </c>
      <c r="AM4381">
        <v>92.111748049549007</v>
      </c>
      <c r="AN4381">
        <v>0.99999996378899303</v>
      </c>
    </row>
    <row r="4382" spans="1:40" x14ac:dyDescent="0.25">
      <c r="A4382" t="str">
        <f>"20190303171106021"</f>
        <v>20190303171106021</v>
      </c>
      <c r="B4382" t="str">
        <f>"1551604266015703"</f>
        <v>1551604266015703</v>
      </c>
      <c r="C4382" t="s">
        <v>40</v>
      </c>
      <c r="D4382">
        <v>4.698143</v>
      </c>
      <c r="E4382">
        <v>0.39471919999999999</v>
      </c>
      <c r="F4382" t="s">
        <v>92</v>
      </c>
      <c r="G4382">
        <v>-396.91860000000003</v>
      </c>
      <c r="H4382">
        <v>1.2431650000000001</v>
      </c>
      <c r="I4382">
        <v>0.71212769999999903</v>
      </c>
      <c r="J4382">
        <v>-420.16739999999999</v>
      </c>
      <c r="K4382">
        <v>1.128242</v>
      </c>
      <c r="L4382">
        <v>34.762450000000001</v>
      </c>
      <c r="M4382">
        <v>0.28942820000000002</v>
      </c>
      <c r="N4382">
        <v>-1.411137E-2</v>
      </c>
      <c r="O4382">
        <v>-0.9570959</v>
      </c>
      <c r="P4382">
        <v>0.3161176</v>
      </c>
      <c r="Q4382">
        <v>0.18928729999999999</v>
      </c>
      <c r="R4382">
        <v>-0.92964539999999996</v>
      </c>
      <c r="S4382">
        <v>1.78689599999999</v>
      </c>
      <c r="T4382">
        <v>8.8124280000000006E-3</v>
      </c>
      <c r="U4382">
        <v>-2.6240540000000001</v>
      </c>
      <c r="V4382">
        <v>-3.6901610000000001E-2</v>
      </c>
      <c r="W4382">
        <v>0.20252529999999999</v>
      </c>
      <c r="X4382">
        <v>0.97858149999999999</v>
      </c>
      <c r="Y4382">
        <v>-0.29941449999999997</v>
      </c>
      <c r="Z4382">
        <v>-1.566099E-2</v>
      </c>
      <c r="AA4382">
        <v>0.95399460000000003</v>
      </c>
      <c r="AB4382">
        <v>28</v>
      </c>
      <c r="AC4382">
        <v>23.2487999999999</v>
      </c>
      <c r="AD4382">
        <v>0.114922999999999</v>
      </c>
      <c r="AE4382">
        <v>-34.050322299999998</v>
      </c>
      <c r="AF4382">
        <v>-12.3973434377091</v>
      </c>
      <c r="AG4382">
        <v>0.114922999999999</v>
      </c>
      <c r="AH4382">
        <v>39.321884639184503</v>
      </c>
      <c r="AI4382">
        <v>89.840295861556697</v>
      </c>
      <c r="AJ4382">
        <v>107.498940827856</v>
      </c>
      <c r="AK4382">
        <v>41.230061159132099</v>
      </c>
      <c r="AL4382">
        <v>78.315329182808497</v>
      </c>
      <c r="AM4382">
        <v>92.159559719845703</v>
      </c>
      <c r="AN4382">
        <v>0.99999998905146603</v>
      </c>
    </row>
    <row r="4383" spans="1:40" x14ac:dyDescent="0.25">
      <c r="A4383" t="str">
        <f>"20190303171106039"</f>
        <v>20190303171106039</v>
      </c>
      <c r="B4383" t="str">
        <f>"1551604266035222"</f>
        <v>1551604266035222</v>
      </c>
      <c r="C4383" t="s">
        <v>40</v>
      </c>
      <c r="D4383">
        <v>4.7007960000000004</v>
      </c>
      <c r="E4383">
        <v>0.39515479999999997</v>
      </c>
      <c r="F4383" t="s">
        <v>92</v>
      </c>
      <c r="G4383">
        <v>-396.6651</v>
      </c>
      <c r="H4383">
        <v>1.2331540000000001</v>
      </c>
      <c r="I4383">
        <v>0.71470639999999996</v>
      </c>
      <c r="J4383">
        <v>-420.09410000000003</v>
      </c>
      <c r="K4383">
        <v>1.1283000000000001</v>
      </c>
      <c r="L4383">
        <v>34.548029999999997</v>
      </c>
      <c r="M4383">
        <v>0.29690729999999999</v>
      </c>
      <c r="N4383">
        <v>-1.412661E-2</v>
      </c>
      <c r="O4383">
        <v>-0.95480180000000003</v>
      </c>
      <c r="P4383">
        <v>0.32484079999999999</v>
      </c>
      <c r="Q4383">
        <v>0.18969</v>
      </c>
      <c r="R4383">
        <v>-0.92655089999999996</v>
      </c>
      <c r="S4383">
        <v>1.8031619999999999</v>
      </c>
      <c r="T4383">
        <v>8.0472229999999992E-3</v>
      </c>
      <c r="U4383">
        <v>-2.612244</v>
      </c>
      <c r="V4383">
        <v>-3.8508279999999999E-2</v>
      </c>
      <c r="W4383">
        <v>0.20290859999999999</v>
      </c>
      <c r="X4383">
        <v>0.97844019999999998</v>
      </c>
      <c r="Y4383">
        <v>-0.29799009999999998</v>
      </c>
      <c r="Z4383">
        <v>-1.5385080000000001E-2</v>
      </c>
      <c r="AA4383">
        <v>0.95444490000000004</v>
      </c>
      <c r="AB4383">
        <v>28</v>
      </c>
      <c r="AC4383">
        <v>23.428999999999998</v>
      </c>
      <c r="AD4383">
        <v>0.104854</v>
      </c>
      <c r="AE4383">
        <v>-33.8333236</v>
      </c>
      <c r="AF4383">
        <v>-12.3258406490657</v>
      </c>
      <c r="AG4383">
        <v>0.104854</v>
      </c>
      <c r="AH4383">
        <v>39.264022853085699</v>
      </c>
      <c r="AI4383">
        <v>89.854016902039504</v>
      </c>
      <c r="AJ4383">
        <v>107.42822061499901</v>
      </c>
      <c r="AK4383">
        <v>41.1533817890476</v>
      </c>
      <c r="AL4383">
        <v>78.292902268820598</v>
      </c>
      <c r="AM4383">
        <v>92.253815604152507</v>
      </c>
      <c r="AN4383">
        <v>1.00000000627927</v>
      </c>
    </row>
    <row r="4384" spans="1:40" x14ac:dyDescent="0.25">
      <c r="A4384" t="str">
        <f>"20190303171106052"</f>
        <v>20190303171106052</v>
      </c>
      <c r="B4384" t="str">
        <f>"1551604266044983"</f>
        <v>1551604266044983</v>
      </c>
      <c r="C4384" t="s">
        <v>40</v>
      </c>
      <c r="D4384">
        <v>4.6972170000000002</v>
      </c>
      <c r="E4384">
        <v>0.39539600000000003</v>
      </c>
      <c r="F4384" t="s">
        <v>92</v>
      </c>
      <c r="G4384">
        <v>-396.32900000000001</v>
      </c>
      <c r="H4384">
        <v>1.220704</v>
      </c>
      <c r="I4384">
        <v>0.7181244</v>
      </c>
      <c r="J4384">
        <v>-420.03719999999998</v>
      </c>
      <c r="K4384">
        <v>1.128349</v>
      </c>
      <c r="L4384">
        <v>34.385680000000001</v>
      </c>
      <c r="M4384">
        <v>0.30262889999999998</v>
      </c>
      <c r="N4384">
        <v>-1.413844E-2</v>
      </c>
      <c r="O4384">
        <v>-0.95300370000000001</v>
      </c>
      <c r="P4384">
        <v>0.33069120000000002</v>
      </c>
      <c r="Q4384">
        <v>0.19001309999999999</v>
      </c>
      <c r="R4384">
        <v>-0.92441240000000002</v>
      </c>
      <c r="S4384">
        <v>1.824219</v>
      </c>
      <c r="T4384">
        <v>7.0910449999999998E-3</v>
      </c>
      <c r="U4384">
        <v>-2.5968019999999998</v>
      </c>
      <c r="V4384">
        <v>-3.8874199999999998E-2</v>
      </c>
      <c r="W4384">
        <v>0.20323169999999999</v>
      </c>
      <c r="X4384">
        <v>0.97835859999999997</v>
      </c>
      <c r="Y4384">
        <v>-0.3001163</v>
      </c>
      <c r="Z4384">
        <v>-1.50511E-2</v>
      </c>
      <c r="AA4384">
        <v>0.95378390000000002</v>
      </c>
      <c r="AB4384">
        <v>28</v>
      </c>
      <c r="AC4384">
        <v>23.708199999999898</v>
      </c>
      <c r="AD4384">
        <v>9.2354999999999896E-2</v>
      </c>
      <c r="AE4384">
        <v>-33.6675556</v>
      </c>
      <c r="AF4384">
        <v>-12.4064034211743</v>
      </c>
      <c r="AG4384">
        <v>9.2354999999999896E-2</v>
      </c>
      <c r="AH4384">
        <v>39.263814673396602</v>
      </c>
      <c r="AI4384">
        <v>89.871493537493805</v>
      </c>
      <c r="AJ4384">
        <v>107.53525979357801</v>
      </c>
      <c r="AK4384">
        <v>41.177354431796402</v>
      </c>
      <c r="AL4384">
        <v>78.273995273624394</v>
      </c>
      <c r="AM4384">
        <v>92.275399361408802</v>
      </c>
      <c r="AN4384">
        <v>0.99999993875224302</v>
      </c>
    </row>
    <row r="4385" spans="1:40" x14ac:dyDescent="0.25">
      <c r="A4385" t="str">
        <f>"20190303171106068"</f>
        <v>20190303171106068</v>
      </c>
      <c r="B4385" t="str">
        <f>"1551604266055719"</f>
        <v>1551604266055719</v>
      </c>
      <c r="C4385" t="s">
        <v>40</v>
      </c>
      <c r="D4385">
        <v>4.6951869999999998</v>
      </c>
      <c r="E4385">
        <v>0.395648</v>
      </c>
      <c r="F4385" t="s">
        <v>92</v>
      </c>
      <c r="G4385">
        <v>-396.09300000000002</v>
      </c>
      <c r="H4385">
        <v>1.2188270000000001</v>
      </c>
      <c r="I4385">
        <v>0.72052569999999905</v>
      </c>
      <c r="J4385">
        <v>-419.97680000000003</v>
      </c>
      <c r="K4385">
        <v>1.1284019999999999</v>
      </c>
      <c r="L4385">
        <v>34.21707</v>
      </c>
      <c r="M4385">
        <v>0.30862580000000001</v>
      </c>
      <c r="N4385">
        <v>-1.4150980000000001E-2</v>
      </c>
      <c r="O4385">
        <v>-0.95107819999999998</v>
      </c>
      <c r="P4385">
        <v>0.33643970000000001</v>
      </c>
      <c r="Q4385">
        <v>0.1905434</v>
      </c>
      <c r="R4385">
        <v>-0.92222660000000001</v>
      </c>
      <c r="S4385">
        <v>1.8392329999999999</v>
      </c>
      <c r="T4385">
        <v>6.9479939999999999E-3</v>
      </c>
      <c r="U4385">
        <v>-2.5859380000000001</v>
      </c>
      <c r="V4385">
        <v>-3.8869760000000003E-2</v>
      </c>
      <c r="W4385">
        <v>0.20376910000000001</v>
      </c>
      <c r="X4385">
        <v>0.97824699999999998</v>
      </c>
      <c r="Y4385">
        <v>-0.2996781</v>
      </c>
      <c r="Z4385">
        <v>-1.497595E-2</v>
      </c>
      <c r="AA4385">
        <v>0.95392279999999996</v>
      </c>
      <c r="AB4385">
        <v>28</v>
      </c>
      <c r="AC4385">
        <v>23.883800000000001</v>
      </c>
      <c r="AD4385">
        <v>9.0424999999999894E-2</v>
      </c>
      <c r="AE4385">
        <v>-33.496544299999996</v>
      </c>
      <c r="AF4385">
        <v>-12.378644168458701</v>
      </c>
      <c r="AG4385">
        <v>9.0424999999999894E-2</v>
      </c>
      <c r="AH4385">
        <v>39.232731204821803</v>
      </c>
      <c r="AI4385">
        <v>89.874062791455302</v>
      </c>
      <c r="AJ4385">
        <v>107.511438427621</v>
      </c>
      <c r="AK4385">
        <v>41.139351063425202</v>
      </c>
      <c r="AL4385">
        <v>78.242546566758804</v>
      </c>
      <c r="AM4385">
        <v>92.275399029591895</v>
      </c>
      <c r="AN4385">
        <v>0.99999994868313202</v>
      </c>
    </row>
    <row r="4386" spans="1:40" x14ac:dyDescent="0.25">
      <c r="A4386" t="str">
        <f>"20190303171106084"</f>
        <v>20190303171106084</v>
      </c>
      <c r="B4386" t="str">
        <f>"1551604266075239"</f>
        <v>1551604266075239</v>
      </c>
      <c r="C4386" t="s">
        <v>40</v>
      </c>
      <c r="D4386">
        <v>4.686496</v>
      </c>
      <c r="E4386">
        <v>0.39622550000000001</v>
      </c>
      <c r="F4386" t="s">
        <v>92</v>
      </c>
      <c r="G4386">
        <v>-396.01429999999999</v>
      </c>
      <c r="H4386">
        <v>1.22895</v>
      </c>
      <c r="I4386">
        <v>0.92362979999999995</v>
      </c>
      <c r="J4386">
        <v>-419.91210000000001</v>
      </c>
      <c r="K4386">
        <v>1.1284609999999999</v>
      </c>
      <c r="L4386">
        <v>34.039610000000003</v>
      </c>
      <c r="M4386">
        <v>0.31498779999999998</v>
      </c>
      <c r="N4386">
        <v>-1.4164110000000001E-2</v>
      </c>
      <c r="O4386">
        <v>-0.94899009999999995</v>
      </c>
      <c r="P4386">
        <v>0.34172770000000002</v>
      </c>
      <c r="Q4386">
        <v>0.1912392</v>
      </c>
      <c r="R4386">
        <v>-0.92013560000000005</v>
      </c>
      <c r="S4386">
        <v>1.853485</v>
      </c>
      <c r="T4386">
        <v>7.7754259999999898E-3</v>
      </c>
      <c r="U4386">
        <v>-2.5752259999999998</v>
      </c>
      <c r="V4386">
        <v>-3.801591E-2</v>
      </c>
      <c r="W4386">
        <v>0.20448649999999999</v>
      </c>
      <c r="X4386">
        <v>0.97813090000000003</v>
      </c>
      <c r="Y4386">
        <v>-0.29864570000000001</v>
      </c>
      <c r="Z4386">
        <v>-1.520437E-2</v>
      </c>
      <c r="AA4386">
        <v>0.95424290000000001</v>
      </c>
      <c r="AB4386">
        <v>28</v>
      </c>
      <c r="AC4386">
        <v>23.8978</v>
      </c>
      <c r="AD4386">
        <v>0.100488999999999</v>
      </c>
      <c r="AE4386">
        <v>-33.115980200000003</v>
      </c>
      <c r="AF4386">
        <v>-12.2487995635139</v>
      </c>
      <c r="AG4386">
        <v>0.100488999999999</v>
      </c>
      <c r="AH4386">
        <v>38.957922208516599</v>
      </c>
      <c r="AI4386">
        <v>89.859014502255704</v>
      </c>
      <c r="AJ4386">
        <v>107.453721607723</v>
      </c>
      <c r="AK4386">
        <v>40.838252797972302</v>
      </c>
      <c r="AL4386">
        <v>78.200559068644793</v>
      </c>
      <c r="AM4386">
        <v>92.225730166094706</v>
      </c>
      <c r="AN4386">
        <v>0.99999999781509397</v>
      </c>
    </row>
    <row r="4387" spans="1:40" x14ac:dyDescent="0.25">
      <c r="A4387" t="str">
        <f>"20190303171106097"</f>
        <v>20190303171106097</v>
      </c>
      <c r="B4387" t="str">
        <f>"1551604266084999"</f>
        <v>1551604266084999</v>
      </c>
      <c r="C4387" t="s">
        <v>40</v>
      </c>
      <c r="D4387">
        <v>4.6803319999999999</v>
      </c>
      <c r="E4387">
        <v>0.39622550000000001</v>
      </c>
      <c r="F4387" t="s">
        <v>92</v>
      </c>
      <c r="G4387">
        <v>-395.98090000000002</v>
      </c>
      <c r="H4387">
        <v>1.2305410000000001</v>
      </c>
      <c r="I4387">
        <v>1.1099110000000001</v>
      </c>
      <c r="J4387">
        <v>-419.85359999999997</v>
      </c>
      <c r="K4387">
        <v>1.1285130000000001</v>
      </c>
      <c r="L4387">
        <v>33.881990000000002</v>
      </c>
      <c r="M4387">
        <v>0.32068010000000002</v>
      </c>
      <c r="N4387">
        <v>-1.417564E-2</v>
      </c>
      <c r="O4387">
        <v>-0.94708159999999997</v>
      </c>
      <c r="P4387">
        <v>0.34700229999999999</v>
      </c>
      <c r="Q4387">
        <v>0.19112899999999999</v>
      </c>
      <c r="R4387">
        <v>-0.91818239999999995</v>
      </c>
      <c r="S4387">
        <v>1.8648990000000001</v>
      </c>
      <c r="T4387">
        <v>7.9528089999999999E-3</v>
      </c>
      <c r="U4387">
        <v>-2.5661320000000001</v>
      </c>
      <c r="V4387">
        <v>-3.7771840000000001E-2</v>
      </c>
      <c r="W4387">
        <v>0.20438799999999999</v>
      </c>
      <c r="X4387">
        <v>0.9781609</v>
      </c>
      <c r="Y4387">
        <v>-0.2972998</v>
      </c>
      <c r="Z4387">
        <v>-1.523175E-2</v>
      </c>
      <c r="AA4387">
        <v>0.95466269999999998</v>
      </c>
      <c r="AB4387">
        <v>28</v>
      </c>
      <c r="AC4387">
        <v>23.872699999999899</v>
      </c>
      <c r="AD4387">
        <v>0.10202799999999999</v>
      </c>
      <c r="AE4387">
        <v>-32.772078999999998</v>
      </c>
      <c r="AF4387">
        <v>-12.101179234698099</v>
      </c>
      <c r="AG4387">
        <v>0.10202799999999999</v>
      </c>
      <c r="AH4387">
        <v>38.696971576263302</v>
      </c>
      <c r="AI4387">
        <v>89.855820284416396</v>
      </c>
      <c r="AJ4387">
        <v>107.36532179806299</v>
      </c>
      <c r="AK4387">
        <v>40.545092893680703</v>
      </c>
      <c r="AL4387">
        <v>78.206323974243503</v>
      </c>
      <c r="AM4387">
        <v>92.211386994291999</v>
      </c>
      <c r="AN4387">
        <v>0.99999995636489603</v>
      </c>
    </row>
    <row r="4388" spans="1:40" x14ac:dyDescent="0.25">
      <c r="A4388" t="str">
        <f>"20190303171106112"</f>
        <v>20190303171106112</v>
      </c>
      <c r="B4388" t="str">
        <f>"1551604266105495"</f>
        <v>1551604266105495</v>
      </c>
      <c r="C4388" t="s">
        <v>40</v>
      </c>
      <c r="D4388">
        <v>4.646312</v>
      </c>
      <c r="E4388">
        <v>0.40606759999999997</v>
      </c>
      <c r="F4388" t="s">
        <v>92</v>
      </c>
      <c r="G4388">
        <v>-395.9015</v>
      </c>
      <c r="H4388">
        <v>1.2289509999999999</v>
      </c>
      <c r="I4388">
        <v>1.320225</v>
      </c>
      <c r="J4388">
        <v>-419.78879999999998</v>
      </c>
      <c r="K4388">
        <v>1.128566</v>
      </c>
      <c r="L4388">
        <v>33.7121</v>
      </c>
      <c r="M4388">
        <v>0.32689249999999997</v>
      </c>
      <c r="N4388">
        <v>-1.4188940000000001E-2</v>
      </c>
      <c r="O4388">
        <v>-0.94495530000000005</v>
      </c>
      <c r="P4388">
        <v>0.35309459999999998</v>
      </c>
      <c r="Q4388">
        <v>0.19065099999999999</v>
      </c>
      <c r="R4388">
        <v>-0.91595689999999996</v>
      </c>
      <c r="S4388">
        <v>1.879669</v>
      </c>
      <c r="T4388">
        <v>7.8799719999999903E-3</v>
      </c>
      <c r="U4388">
        <v>-2.5553279999999998</v>
      </c>
      <c r="V4388">
        <v>-3.783533E-2</v>
      </c>
      <c r="W4388">
        <v>0.20391799999999999</v>
      </c>
      <c r="X4388">
        <v>0.97825660000000003</v>
      </c>
      <c r="Y4388">
        <v>-0.29653750000000001</v>
      </c>
      <c r="Z4388">
        <v>-1.5175869999999999E-2</v>
      </c>
      <c r="AA4388">
        <v>0.95490059999999999</v>
      </c>
      <c r="AB4388">
        <v>28</v>
      </c>
      <c r="AC4388">
        <v>23.8872999999999</v>
      </c>
      <c r="AD4388">
        <v>0.100385</v>
      </c>
      <c r="AE4388">
        <v>-32.391874999999999</v>
      </c>
      <c r="AF4388">
        <v>-11.9848983786767</v>
      </c>
      <c r="AG4388">
        <v>0.100385</v>
      </c>
      <c r="AH4388">
        <v>38.421071354792197</v>
      </c>
      <c r="AI4388">
        <v>89.857091637116199</v>
      </c>
      <c r="AJ4388">
        <v>107.32455705962801</v>
      </c>
      <c r="AK4388">
        <v>40.247069338592397</v>
      </c>
      <c r="AL4388">
        <v>78.233833095821595</v>
      </c>
      <c r="AM4388">
        <v>92.214883893902297</v>
      </c>
      <c r="AN4388">
        <v>1.0000000191818801</v>
      </c>
    </row>
    <row r="4389" spans="1:40" x14ac:dyDescent="0.25">
      <c r="A4389" t="str">
        <f>"20190303171106125"</f>
        <v>20190303171106125</v>
      </c>
      <c r="B4389" t="str">
        <f>"1551604266115255"</f>
        <v>1551604266115255</v>
      </c>
      <c r="C4389" t="s">
        <v>40</v>
      </c>
      <c r="D4389">
        <v>4.6745109999999999</v>
      </c>
      <c r="E4389">
        <v>0.40546110000000002</v>
      </c>
      <c r="F4389" t="s">
        <v>92</v>
      </c>
      <c r="G4389">
        <v>-396.39449999999999</v>
      </c>
      <c r="H4389">
        <v>0.77966859999999905</v>
      </c>
      <c r="I4389">
        <v>0.71745680000000001</v>
      </c>
      <c r="J4389">
        <v>-419.73180000000002</v>
      </c>
      <c r="K4389">
        <v>1.1286130000000001</v>
      </c>
      <c r="L4389">
        <v>33.565059999999903</v>
      </c>
      <c r="M4389">
        <v>0.3323159</v>
      </c>
      <c r="N4389">
        <v>-1.4200610000000001E-2</v>
      </c>
      <c r="O4389">
        <v>-0.94306120000000004</v>
      </c>
      <c r="P4389">
        <v>0.35851169999999999</v>
      </c>
      <c r="Q4389">
        <v>0.1901024</v>
      </c>
      <c r="R4389">
        <v>-0.9139642</v>
      </c>
      <c r="S4389">
        <v>1.826935</v>
      </c>
      <c r="T4389">
        <v>-2.7248620000000001E-2</v>
      </c>
      <c r="U4389">
        <v>-2.57666</v>
      </c>
      <c r="V4389">
        <v>-3.7984770000000001E-2</v>
      </c>
      <c r="W4389">
        <v>0.20337549999999999</v>
      </c>
      <c r="X4389">
        <v>0.97836369999999895</v>
      </c>
      <c r="Y4389">
        <v>-0.27435549999999997</v>
      </c>
      <c r="Z4389">
        <v>-4.1963540000000002E-3</v>
      </c>
      <c r="AA4389">
        <v>0.96161920000000001</v>
      </c>
      <c r="AB4389">
        <v>28</v>
      </c>
      <c r="AC4389">
        <v>23.337299999999999</v>
      </c>
      <c r="AD4389">
        <v>-0.34894439999999899</v>
      </c>
      <c r="AE4389">
        <v>-32.847603199999902</v>
      </c>
      <c r="AF4389">
        <v>-11.093008354547999</v>
      </c>
      <c r="AG4389">
        <v>-0.34894439999999899</v>
      </c>
      <c r="AH4389">
        <v>38.7336581789544</v>
      </c>
      <c r="AI4389">
        <v>90.496205731359495</v>
      </c>
      <c r="AJ4389">
        <v>105.981287038782</v>
      </c>
      <c r="AK4389">
        <v>40.292342603433298</v>
      </c>
      <c r="AL4389">
        <v>78.265580929655101</v>
      </c>
      <c r="AM4389">
        <v>92.223380189239094</v>
      </c>
      <c r="AN4389">
        <v>0.99999998311494598</v>
      </c>
    </row>
    <row r="4390" spans="1:40" x14ac:dyDescent="0.25">
      <c r="A4390" t="str">
        <f>"20190303171106141"</f>
        <v>20190303171106141</v>
      </c>
      <c r="B4390" t="str">
        <f>"1551604266134774"</f>
        <v>1551604266134774</v>
      </c>
      <c r="C4390" t="s">
        <v>40</v>
      </c>
      <c r="D4390">
        <v>4.6204090000000004</v>
      </c>
      <c r="E4390">
        <v>0.40523189999999998</v>
      </c>
      <c r="F4390" t="s">
        <v>92</v>
      </c>
      <c r="G4390">
        <v>-396.07600000000002</v>
      </c>
      <c r="H4390">
        <v>0.82773569999999996</v>
      </c>
      <c r="I4390">
        <v>0.72069550000000004</v>
      </c>
      <c r="J4390">
        <v>-419.66090000000003</v>
      </c>
      <c r="K4390">
        <v>1.128668</v>
      </c>
      <c r="L4390">
        <v>33.385710000000003</v>
      </c>
      <c r="M4390">
        <v>0.33897929999999998</v>
      </c>
      <c r="N4390">
        <v>-1.421471E-2</v>
      </c>
      <c r="O4390">
        <v>-0.94068660000000004</v>
      </c>
      <c r="P4390">
        <v>0.36557050000000002</v>
      </c>
      <c r="Q4390">
        <v>0.18969839999999999</v>
      </c>
      <c r="R4390">
        <v>-0.91124810000000001</v>
      </c>
      <c r="S4390">
        <v>1.846069</v>
      </c>
      <c r="T4390">
        <v>-2.3482079999999999E-2</v>
      </c>
      <c r="U4390">
        <v>-2.5631409999999999</v>
      </c>
      <c r="V4390">
        <v>-3.8627229999999999E-2</v>
      </c>
      <c r="W4390">
        <v>0.20296980000000001</v>
      </c>
      <c r="X4390">
        <v>0.97842280000000004</v>
      </c>
      <c r="Y4390">
        <v>-0.27468340000000002</v>
      </c>
      <c r="Z4390">
        <v>-5.3517340000000004E-3</v>
      </c>
      <c r="AA4390">
        <v>0.96151980000000004</v>
      </c>
      <c r="AB4390">
        <v>28</v>
      </c>
      <c r="AC4390">
        <v>23.584900000000001</v>
      </c>
      <c r="AD4390">
        <v>-0.30093229999999999</v>
      </c>
      <c r="AE4390">
        <v>-32.665014499999998</v>
      </c>
      <c r="AF4390">
        <v>-11.113736857180999</v>
      </c>
      <c r="AG4390">
        <v>-0.30093229999999999</v>
      </c>
      <c r="AH4390">
        <v>38.724080725331198</v>
      </c>
      <c r="AI4390">
        <v>90.427971443296798</v>
      </c>
      <c r="AJ4390">
        <v>106.013377467612</v>
      </c>
      <c r="AK4390">
        <v>40.288461564098199</v>
      </c>
      <c r="AL4390">
        <v>78.289321046742799</v>
      </c>
      <c r="AM4390">
        <v>92.260810469425493</v>
      </c>
      <c r="AN4390">
        <v>0.99999998908467602</v>
      </c>
    </row>
    <row r="4391" spans="1:40" x14ac:dyDescent="0.25">
      <c r="A4391" t="str">
        <f>"20190303171106164"</f>
        <v>20190303171106164</v>
      </c>
      <c r="B4391" t="str">
        <f>"1551604266155272"</f>
        <v>1551604266155272</v>
      </c>
      <c r="C4391" t="s">
        <v>40</v>
      </c>
      <c r="D4391">
        <v>4.6298409999999999</v>
      </c>
      <c r="E4391">
        <v>0.40576279999999998</v>
      </c>
      <c r="F4391" t="s">
        <v>92</v>
      </c>
      <c r="G4391">
        <v>-395.98430000000002</v>
      </c>
      <c r="H4391">
        <v>0.82795549999999996</v>
      </c>
      <c r="I4391">
        <v>1.0899369999999999</v>
      </c>
      <c r="J4391">
        <v>-419.56130000000002</v>
      </c>
      <c r="K4391">
        <v>1.1287469999999999</v>
      </c>
      <c r="L4391">
        <v>33.14029</v>
      </c>
      <c r="M4391">
        <v>0.3482209</v>
      </c>
      <c r="N4391">
        <v>-1.4234E-2</v>
      </c>
      <c r="O4391">
        <v>-0.93730469999999999</v>
      </c>
      <c r="P4391">
        <v>0.3744615</v>
      </c>
      <c r="Q4391">
        <v>0.18970609999999999</v>
      </c>
      <c r="R4391">
        <v>-0.90762949999999998</v>
      </c>
      <c r="S4391">
        <v>1.867828</v>
      </c>
      <c r="T4391">
        <v>-2.3725030000000001E-2</v>
      </c>
      <c r="U4391">
        <v>-2.5477910000000001</v>
      </c>
      <c r="V4391">
        <v>-3.8604670000000001E-2</v>
      </c>
      <c r="W4391">
        <v>0.20298939999999999</v>
      </c>
      <c r="X4391">
        <v>0.9784197</v>
      </c>
      <c r="Y4391">
        <v>-0.27332459999999997</v>
      </c>
      <c r="Z4391">
        <v>-5.2483989999999999E-3</v>
      </c>
      <c r="AA4391">
        <v>0.96190759999999997</v>
      </c>
      <c r="AB4391">
        <v>27</v>
      </c>
      <c r="AC4391">
        <v>23.577000000000002</v>
      </c>
      <c r="AD4391">
        <v>-0.30079149999999899</v>
      </c>
      <c r="AE4391">
        <v>-32.050353000000001</v>
      </c>
      <c r="AF4391">
        <v>-10.938710486718801</v>
      </c>
      <c r="AG4391">
        <v>-0.30079149999999899</v>
      </c>
      <c r="AH4391">
        <v>38.252630416358102</v>
      </c>
      <c r="AI4391">
        <v>90.433162204292202</v>
      </c>
      <c r="AJ4391">
        <v>105.95839471762901</v>
      </c>
      <c r="AK4391">
        <v>39.787053125473001</v>
      </c>
      <c r="AL4391">
        <v>78.288175055341895</v>
      </c>
      <c r="AM4391">
        <v>92.259498577188396</v>
      </c>
      <c r="AN4391">
        <v>1.0000000632031201</v>
      </c>
    </row>
    <row r="4392" spans="1:40" x14ac:dyDescent="0.25">
      <c r="A4392" t="str">
        <f>"20190303171106184"</f>
        <v>20190303171106184</v>
      </c>
      <c r="B4392" t="str">
        <f>"1551604266174791"</f>
        <v>1551604266174791</v>
      </c>
      <c r="C4392" t="s">
        <v>40</v>
      </c>
      <c r="D4392">
        <v>4.5995109999999997</v>
      </c>
      <c r="E4392">
        <v>0.40650370000000002</v>
      </c>
      <c r="F4392" t="s">
        <v>92</v>
      </c>
      <c r="G4392">
        <v>-395.80110000000002</v>
      </c>
      <c r="H4392">
        <v>0.85651279999999996</v>
      </c>
      <c r="I4392">
        <v>1.3243769999999999</v>
      </c>
      <c r="J4392">
        <v>-419.46260000000001</v>
      </c>
      <c r="K4392">
        <v>1.1288180000000001</v>
      </c>
      <c r="L4392">
        <v>32.904020000000003</v>
      </c>
      <c r="M4392">
        <v>0.35723519999999997</v>
      </c>
      <c r="N4392">
        <v>-1.4252849999999999E-2</v>
      </c>
      <c r="O4392">
        <v>-0.93390580000000001</v>
      </c>
      <c r="P4392">
        <v>0.38251790000000002</v>
      </c>
      <c r="Q4392">
        <v>0.18968930000000001</v>
      </c>
      <c r="R4392">
        <v>-0.90426669999999998</v>
      </c>
      <c r="S4392">
        <v>1.8895869999999999</v>
      </c>
      <c r="T4392">
        <v>-2.165222E-2</v>
      </c>
      <c r="U4392">
        <v>-2.530243</v>
      </c>
      <c r="V4392">
        <v>-3.7913639999999998E-2</v>
      </c>
      <c r="W4392">
        <v>0.20299780000000001</v>
      </c>
      <c r="X4392">
        <v>0.97844489999999995</v>
      </c>
      <c r="Y4392">
        <v>-0.2725611</v>
      </c>
      <c r="Z4392">
        <v>-5.8609100000000004E-3</v>
      </c>
      <c r="AA4392">
        <v>0.96212059999999999</v>
      </c>
      <c r="AB4392">
        <v>27</v>
      </c>
      <c r="AC4392">
        <v>23.661499999999901</v>
      </c>
      <c r="AD4392">
        <v>-0.27230520000000003</v>
      </c>
      <c r="AE4392">
        <v>-31.579643000000001</v>
      </c>
      <c r="AF4392">
        <v>-10.816834759212499</v>
      </c>
      <c r="AG4392">
        <v>-0.27230520000000003</v>
      </c>
      <c r="AH4392">
        <v>37.947176843577303</v>
      </c>
      <c r="AI4392">
        <v>90.395392532054899</v>
      </c>
      <c r="AJ4392">
        <v>105.910190301263</v>
      </c>
      <c r="AK4392">
        <v>39.459679354092401</v>
      </c>
      <c r="AL4392">
        <v>78.287682627776306</v>
      </c>
      <c r="AM4392">
        <v>92.219036884227705</v>
      </c>
      <c r="AN4392">
        <v>0.999999986619449</v>
      </c>
    </row>
    <row r="4393" spans="1:40" x14ac:dyDescent="0.25">
      <c r="A4393" t="str">
        <f>"20190303171106208"</f>
        <v>20190303171106208</v>
      </c>
      <c r="B4393" t="str">
        <f>"1551604266195287"</f>
        <v>1551604266195287</v>
      </c>
      <c r="C4393" t="s">
        <v>40</v>
      </c>
      <c r="D4393">
        <v>4.589143</v>
      </c>
      <c r="E4393">
        <v>0.40686369999999999</v>
      </c>
      <c r="F4393" t="s">
        <v>92</v>
      </c>
      <c r="G4393">
        <v>-395.52179999999998</v>
      </c>
      <c r="H4393">
        <v>0.86371450000000005</v>
      </c>
      <c r="I4393">
        <v>1.3359449999999999</v>
      </c>
      <c r="J4393">
        <v>-419.3562</v>
      </c>
      <c r="K4393">
        <v>1.1288940000000001</v>
      </c>
      <c r="L4393">
        <v>32.656370000000003</v>
      </c>
      <c r="M4393">
        <v>0.36680740000000001</v>
      </c>
      <c r="N4393">
        <v>-1.4272470000000001E-2</v>
      </c>
      <c r="O4393">
        <v>-0.9301876</v>
      </c>
      <c r="P4393">
        <v>0.3911888</v>
      </c>
      <c r="Q4393">
        <v>0.18929609999999999</v>
      </c>
      <c r="R4393">
        <v>-0.9006324</v>
      </c>
      <c r="S4393">
        <v>1.90744</v>
      </c>
      <c r="T4393">
        <v>-2.112377E-2</v>
      </c>
      <c r="U4393">
        <v>-2.5151370000000002</v>
      </c>
      <c r="V4393">
        <v>-3.7266140000000003E-2</v>
      </c>
      <c r="W4393">
        <v>0.2026308</v>
      </c>
      <c r="X4393">
        <v>0.97854580000000002</v>
      </c>
      <c r="Y4393">
        <v>-0.26979379999999997</v>
      </c>
      <c r="Z4393">
        <v>-5.9952599999999997E-3</v>
      </c>
      <c r="AA4393">
        <v>0.96289939999999996</v>
      </c>
      <c r="AB4393">
        <v>27</v>
      </c>
      <c r="AC4393">
        <v>23.834399999999999</v>
      </c>
      <c r="AD4393">
        <v>-0.26517950000000001</v>
      </c>
      <c r="AE4393">
        <v>-31.320425</v>
      </c>
      <c r="AF4393">
        <v>-10.6825010340741</v>
      </c>
      <c r="AG4393">
        <v>-0.26517950000000001</v>
      </c>
      <c r="AH4393">
        <v>37.878637600094798</v>
      </c>
      <c r="AI4393">
        <v>90.386049802248706</v>
      </c>
      <c r="AJ4393">
        <v>105.749468081666</v>
      </c>
      <c r="AK4393">
        <v>39.357049367928099</v>
      </c>
      <c r="AL4393">
        <v>78.309155965998499</v>
      </c>
      <c r="AM4393">
        <v>92.1809517696949</v>
      </c>
      <c r="AN4393">
        <v>0.99999994449838803</v>
      </c>
    </row>
    <row r="4394" spans="1:40" x14ac:dyDescent="0.25">
      <c r="A4394" t="str">
        <f>"20190303171106224"</f>
        <v>20190303171106224</v>
      </c>
      <c r="B4394" t="str">
        <f>"1551604266214808"</f>
        <v>1551604266214808</v>
      </c>
      <c r="C4394" t="s">
        <v>40</v>
      </c>
      <c r="D4394">
        <v>4.5455889999999997</v>
      </c>
      <c r="E4394">
        <v>0.41392610000000002</v>
      </c>
      <c r="F4394" t="s">
        <v>92</v>
      </c>
      <c r="G4394">
        <v>-395.16629999999998</v>
      </c>
      <c r="H4394">
        <v>0.84699559999999996</v>
      </c>
      <c r="I4394">
        <v>1.3506720000000001</v>
      </c>
      <c r="J4394">
        <v>-419.27010000000001</v>
      </c>
      <c r="K4394">
        <v>1.128951</v>
      </c>
      <c r="L4394">
        <v>32.461269999999999</v>
      </c>
      <c r="M4394">
        <v>0.3744384</v>
      </c>
      <c r="N4394">
        <v>-1.4287799999999899E-2</v>
      </c>
      <c r="O4394">
        <v>-0.92714180000000002</v>
      </c>
      <c r="P4394">
        <v>0.39850940000000001</v>
      </c>
      <c r="Q4394">
        <v>0.18895909999999999</v>
      </c>
      <c r="R4394">
        <v>-0.89748799999999995</v>
      </c>
      <c r="S4394">
        <v>1.92981</v>
      </c>
      <c r="T4394">
        <v>-2.2491219999999999E-2</v>
      </c>
      <c r="U4394">
        <v>-2.4974980000000002</v>
      </c>
      <c r="V4394">
        <v>-3.718983E-2</v>
      </c>
      <c r="W4394">
        <v>0.20230629999999999</v>
      </c>
      <c r="X4394">
        <v>0.97861589999999998</v>
      </c>
      <c r="Y4394">
        <v>-0.27057150000000002</v>
      </c>
      <c r="Z4394">
        <v>-5.5354540000000004E-3</v>
      </c>
      <c r="AA4394">
        <v>0.96268399999999998</v>
      </c>
      <c r="AB4394">
        <v>27</v>
      </c>
      <c r="AC4394">
        <v>24.1038</v>
      </c>
      <c r="AD4394">
        <v>-0.28195540000000002</v>
      </c>
      <c r="AE4394">
        <v>-31.110598</v>
      </c>
      <c r="AF4394">
        <v>-10.699180074295199</v>
      </c>
      <c r="AG4394">
        <v>-0.28195540000000002</v>
      </c>
      <c r="AH4394">
        <v>37.871242950829597</v>
      </c>
      <c r="AI4394">
        <v>90.410498409295798</v>
      </c>
      <c r="AJ4394">
        <v>105.77576207534899</v>
      </c>
      <c r="AK4394">
        <v>39.3545803655756</v>
      </c>
      <c r="AL4394">
        <v>78.328142334869895</v>
      </c>
      <c r="AM4394">
        <v>92.176334370906005</v>
      </c>
      <c r="AN4394">
        <v>1.00000000110396</v>
      </c>
    </row>
    <row r="4395" spans="1:40" x14ac:dyDescent="0.25">
      <c r="A4395" t="str">
        <f>"20190303171106239"</f>
        <v>20190303171106239</v>
      </c>
      <c r="B4395" t="str">
        <f>"1551604266225543"</f>
        <v>1551604266225543</v>
      </c>
      <c r="C4395" t="s">
        <v>40</v>
      </c>
      <c r="D4395">
        <v>4.5712609999999998</v>
      </c>
      <c r="E4395">
        <v>0.41481790000000002</v>
      </c>
      <c r="F4395" t="s">
        <v>92</v>
      </c>
      <c r="G4395">
        <v>-395.66469999999998</v>
      </c>
      <c r="H4395">
        <v>0.56763909999999995</v>
      </c>
      <c r="I4395">
        <v>1.330025</v>
      </c>
      <c r="J4395">
        <v>-419.1995</v>
      </c>
      <c r="K4395">
        <v>1.129</v>
      </c>
      <c r="L4395">
        <v>32.304200000000002</v>
      </c>
      <c r="M4395">
        <v>0.3806312</v>
      </c>
      <c r="N4395">
        <v>-1.4300119999999999E-2</v>
      </c>
      <c r="O4395">
        <v>-0.92461629999999995</v>
      </c>
      <c r="P4395">
        <v>0.4041863</v>
      </c>
      <c r="Q4395">
        <v>0.1885251</v>
      </c>
      <c r="R4395">
        <v>-0.89503739999999998</v>
      </c>
      <c r="S4395">
        <v>1.901581</v>
      </c>
      <c r="T4395">
        <v>-4.5219780000000001E-2</v>
      </c>
      <c r="U4395">
        <v>-2.5078429999999998</v>
      </c>
      <c r="V4395">
        <v>-3.682349E-2</v>
      </c>
      <c r="W4395">
        <v>0.20188829999999999</v>
      </c>
      <c r="X4395">
        <v>0.97871609999999998</v>
      </c>
      <c r="Y4395">
        <v>-0.25533139999999999</v>
      </c>
      <c r="Z4395">
        <v>1.4782160000000001E-3</v>
      </c>
      <c r="AA4395">
        <v>0.9668525</v>
      </c>
      <c r="AB4395">
        <v>27</v>
      </c>
      <c r="AC4395">
        <v>23.534800000000001</v>
      </c>
      <c r="AD4395">
        <v>-0.56136090000000005</v>
      </c>
      <c r="AE4395">
        <v>-30.974174999999999</v>
      </c>
      <c r="AF4395">
        <v>-9.9698662964040707</v>
      </c>
      <c r="AG4395">
        <v>-0.56136090000000005</v>
      </c>
      <c r="AH4395">
        <v>37.593324390014097</v>
      </c>
      <c r="AI4395">
        <v>90.826921931341204</v>
      </c>
      <c r="AJ4395">
        <v>104.853099896689</v>
      </c>
      <c r="AK4395">
        <v>38.896933024610703</v>
      </c>
      <c r="AL4395">
        <v>78.352596911404504</v>
      </c>
      <c r="AM4395">
        <v>92.154696197804995</v>
      </c>
      <c r="AN4395">
        <v>1.0000000297459299</v>
      </c>
    </row>
    <row r="4396" spans="1:40" x14ac:dyDescent="0.25">
      <c r="A4396" t="str">
        <f>"20190303171106251"</f>
        <v>20190303171106251</v>
      </c>
      <c r="B4396" t="str">
        <f>"1551604266245063"</f>
        <v>1551604266245063</v>
      </c>
      <c r="C4396" t="s">
        <v>40</v>
      </c>
      <c r="D4396">
        <v>4.566789</v>
      </c>
      <c r="E4396">
        <v>0.41599120000000001</v>
      </c>
      <c r="F4396" t="s">
        <v>92</v>
      </c>
      <c r="G4396">
        <v>-395.512</v>
      </c>
      <c r="H4396">
        <v>0.56994609999999901</v>
      </c>
      <c r="I4396">
        <v>1.3363510000000001</v>
      </c>
      <c r="J4396">
        <v>-419.13189999999997</v>
      </c>
      <c r="K4396">
        <v>1.1290469999999999</v>
      </c>
      <c r="L4396">
        <v>32.156979999999997</v>
      </c>
      <c r="M4396">
        <v>0.38649689999999998</v>
      </c>
      <c r="N4396">
        <v>-1.431209E-2</v>
      </c>
      <c r="O4396">
        <v>-0.92217979999999999</v>
      </c>
      <c r="P4396">
        <v>0.40933999999999998</v>
      </c>
      <c r="Q4396">
        <v>0.1885182</v>
      </c>
      <c r="R4396">
        <v>-0.89269349999999903</v>
      </c>
      <c r="S4396">
        <v>1.9109799999999999</v>
      </c>
      <c r="T4396">
        <v>-4.5103549999999999E-2</v>
      </c>
      <c r="U4396">
        <v>-2.4983219999999999</v>
      </c>
      <c r="V4396">
        <v>-3.6269889999999999E-2</v>
      </c>
      <c r="W4396">
        <v>0.20190040000000001</v>
      </c>
      <c r="X4396">
        <v>0.97873429999999995</v>
      </c>
      <c r="Y4396">
        <v>-0.25326029999999999</v>
      </c>
      <c r="Z4396">
        <v>1.449812E-3</v>
      </c>
      <c r="AA4396">
        <v>0.96739710000000001</v>
      </c>
      <c r="AB4396">
        <v>27</v>
      </c>
      <c r="AC4396">
        <v>23.619900000000001</v>
      </c>
      <c r="AD4396">
        <v>-0.55910090000000001</v>
      </c>
      <c r="AE4396">
        <v>-30.820629</v>
      </c>
      <c r="AF4396">
        <v>-9.8686807979522406</v>
      </c>
      <c r="AG4396">
        <v>-0.55910090000000001</v>
      </c>
      <c r="AH4396">
        <v>37.547236835813798</v>
      </c>
      <c r="AI4396">
        <v>90.825086340162798</v>
      </c>
      <c r="AJ4396">
        <v>104.726191810119</v>
      </c>
      <c r="AK4396">
        <v>38.826517336904502</v>
      </c>
      <c r="AL4396">
        <v>78.351889333083605</v>
      </c>
      <c r="AM4396">
        <v>92.122293168686497</v>
      </c>
      <c r="AN4396">
        <v>1.00000005321862</v>
      </c>
    </row>
    <row r="4397" spans="1:40" x14ac:dyDescent="0.25">
      <c r="A4397" t="str">
        <f>"20190303171106265"</f>
        <v>20190303171106265</v>
      </c>
      <c r="B4397" t="str">
        <f>"1551604266254824"</f>
        <v>1551604266254824</v>
      </c>
      <c r="C4397" t="s">
        <v>40</v>
      </c>
      <c r="D4397">
        <v>4.5674060000000001</v>
      </c>
      <c r="E4397">
        <v>0.41655959999999997</v>
      </c>
      <c r="F4397" t="s">
        <v>92</v>
      </c>
      <c r="G4397">
        <v>-395.40379999999999</v>
      </c>
      <c r="H4397">
        <v>0.51830940000000003</v>
      </c>
      <c r="I4397">
        <v>1.3408260000000001</v>
      </c>
      <c r="J4397">
        <v>-419.0675</v>
      </c>
      <c r="K4397">
        <v>1.1290910000000001</v>
      </c>
      <c r="L4397">
        <v>32.019379999999998</v>
      </c>
      <c r="M4397">
        <v>0.39202150000000002</v>
      </c>
      <c r="N4397">
        <v>-1.432342E-2</v>
      </c>
      <c r="O4397">
        <v>-0.91984449999999995</v>
      </c>
      <c r="P4397">
        <v>0.41435430000000001</v>
      </c>
      <c r="Q4397">
        <v>0.189189</v>
      </c>
      <c r="R4397">
        <v>-0.89023490000000005</v>
      </c>
      <c r="S4397">
        <v>1.9183349999999999</v>
      </c>
      <c r="T4397">
        <v>-4.9378279999999997E-2</v>
      </c>
      <c r="U4397">
        <v>-2.4913940000000001</v>
      </c>
      <c r="V4397">
        <v>-3.5992639999999999E-2</v>
      </c>
      <c r="W4397">
        <v>0.20258219999999999</v>
      </c>
      <c r="X4397">
        <v>0.97860360000000002</v>
      </c>
      <c r="Y4397">
        <v>-0.25054490000000001</v>
      </c>
      <c r="Z4397">
        <v>2.766952E-3</v>
      </c>
      <c r="AA4397">
        <v>0.96810099999999999</v>
      </c>
      <c r="AB4397">
        <v>27</v>
      </c>
      <c r="AC4397">
        <v>23.663699999999999</v>
      </c>
      <c r="AD4397">
        <v>-0.61078160000000004</v>
      </c>
      <c r="AE4397">
        <v>-30.678553999999998</v>
      </c>
      <c r="AF4397">
        <v>-9.7388510023216401</v>
      </c>
      <c r="AG4397">
        <v>-0.61078160000000004</v>
      </c>
      <c r="AH4397">
        <v>37.490709837027602</v>
      </c>
      <c r="AI4397">
        <v>90.903377502697296</v>
      </c>
      <c r="AJ4397">
        <v>104.56171343180399</v>
      </c>
      <c r="AK4397">
        <v>38.739793457019303</v>
      </c>
      <c r="AL4397">
        <v>78.312000314641907</v>
      </c>
      <c r="AM4397">
        <v>92.106365882305894</v>
      </c>
      <c r="AN4397">
        <v>1.0000000119119801</v>
      </c>
    </row>
    <row r="4398" spans="1:40" x14ac:dyDescent="0.25">
      <c r="A4398" t="str">
        <f>"20190303171106285"</f>
        <v>20190303171106285</v>
      </c>
      <c r="B4398" t="str">
        <f>"1551604266275319"</f>
        <v>1551604266275319</v>
      </c>
      <c r="C4398" t="s">
        <v>40</v>
      </c>
      <c r="D4398">
        <v>4.5366070000000001</v>
      </c>
      <c r="E4398">
        <v>0.41741709999999899</v>
      </c>
      <c r="F4398" t="s">
        <v>92</v>
      </c>
      <c r="G4398">
        <v>-395.22800000000001</v>
      </c>
      <c r="H4398">
        <v>0.53321580000000002</v>
      </c>
      <c r="I4398">
        <v>1.3481099999999999</v>
      </c>
      <c r="J4398">
        <v>-418.96370000000002</v>
      </c>
      <c r="K4398">
        <v>1.129154</v>
      </c>
      <c r="L4398">
        <v>31.801639999999999</v>
      </c>
      <c r="M4398">
        <v>0.4008388</v>
      </c>
      <c r="N4398">
        <v>-1.434149E-2</v>
      </c>
      <c r="O4398">
        <v>-0.91603639999999997</v>
      </c>
      <c r="P4398">
        <v>0.42252020000000001</v>
      </c>
      <c r="Q4398">
        <v>0.18995210000000001</v>
      </c>
      <c r="R4398">
        <v>-0.88622520000000005</v>
      </c>
      <c r="S4398">
        <v>1.9292910000000001</v>
      </c>
      <c r="T4398">
        <v>-4.8225280000000002E-2</v>
      </c>
      <c r="U4398">
        <v>-2.4821780000000002</v>
      </c>
      <c r="V4398">
        <v>-3.5701629999999998E-2</v>
      </c>
      <c r="W4398">
        <v>0.20336099999999999</v>
      </c>
      <c r="X4398">
        <v>0.97845269999999995</v>
      </c>
      <c r="Y4398">
        <v>-0.24564939999999999</v>
      </c>
      <c r="Z4398">
        <v>2.3974349999999998E-3</v>
      </c>
      <c r="AA4398">
        <v>0.96935579999999999</v>
      </c>
      <c r="AB4398">
        <v>27</v>
      </c>
      <c r="AC4398">
        <v>23.735700000000001</v>
      </c>
      <c r="AD4398">
        <v>-0.59593819999999997</v>
      </c>
      <c r="AE4398">
        <v>-30.453529999999901</v>
      </c>
      <c r="AF4398">
        <v>-9.5345177124296594</v>
      </c>
      <c r="AG4398">
        <v>-0.59593819999999997</v>
      </c>
      <c r="AH4398">
        <v>37.405666482418503</v>
      </c>
      <c r="AI4398">
        <v>90.884469731566199</v>
      </c>
      <c r="AJ4398">
        <v>104.299903467276</v>
      </c>
      <c r="AK4398">
        <v>38.606295540245497</v>
      </c>
      <c r="AL4398">
        <v>78.266429585143101</v>
      </c>
      <c r="AM4398">
        <v>92.089672453534504</v>
      </c>
      <c r="AN4398">
        <v>0.99999999442147303</v>
      </c>
    </row>
    <row r="4399" spans="1:40" x14ac:dyDescent="0.25">
      <c r="A4399" t="str">
        <f>"20190303171106299"</f>
        <v>20190303171106299</v>
      </c>
      <c r="B4399" t="str">
        <f>"1551604266294839"</f>
        <v>1551604266294839</v>
      </c>
      <c r="C4399" t="s">
        <v>40</v>
      </c>
      <c r="D4399">
        <v>4.5248150000000003</v>
      </c>
      <c r="E4399">
        <v>0.42292469999999999</v>
      </c>
      <c r="F4399" t="s">
        <v>92</v>
      </c>
      <c r="G4399">
        <v>-394.93990000000002</v>
      </c>
      <c r="H4399">
        <v>0.54703550000000001</v>
      </c>
      <c r="I4399">
        <v>1.3600410000000001</v>
      </c>
      <c r="J4399">
        <v>-418.8904</v>
      </c>
      <c r="K4399">
        <v>1.129205</v>
      </c>
      <c r="L4399">
        <v>31.650759999999998</v>
      </c>
      <c r="M4399">
        <v>0.4070009</v>
      </c>
      <c r="N4399">
        <v>-1.435407E-2</v>
      </c>
      <c r="O4399">
        <v>-0.91331519999999999</v>
      </c>
      <c r="P4399">
        <v>0.42842069999999999</v>
      </c>
      <c r="Q4399">
        <v>0.19006339999999999</v>
      </c>
      <c r="R4399">
        <v>-0.88336389999999998</v>
      </c>
      <c r="S4399">
        <v>1.94693</v>
      </c>
      <c r="T4399">
        <v>-4.7178030000000003E-2</v>
      </c>
      <c r="U4399">
        <v>-2.467041</v>
      </c>
      <c r="V4399">
        <v>-3.567087E-2</v>
      </c>
      <c r="W4399">
        <v>0.203481</v>
      </c>
      <c r="X4399">
        <v>0.97842890000000005</v>
      </c>
      <c r="Y4399">
        <v>-0.24628059999999999</v>
      </c>
      <c r="Z4399">
        <v>2.0943250000000002E-3</v>
      </c>
      <c r="AA4399">
        <v>0.96919630000000001</v>
      </c>
      <c r="AB4399">
        <v>27</v>
      </c>
      <c r="AC4399">
        <v>23.950499999999899</v>
      </c>
      <c r="AD4399">
        <v>-0.58216950000000001</v>
      </c>
      <c r="AE4399">
        <v>-30.290718999999999</v>
      </c>
      <c r="AF4399">
        <v>-9.5448179231554704</v>
      </c>
      <c r="AG4399">
        <v>-0.58216950000000001</v>
      </c>
      <c r="AH4399">
        <v>37.408193580758102</v>
      </c>
      <c r="AI4399">
        <v>90.863926111385297</v>
      </c>
      <c r="AJ4399">
        <v>104.313789919652</v>
      </c>
      <c r="AK4399">
        <v>38.611078947478099</v>
      </c>
      <c r="AL4399">
        <v>78.259407573047298</v>
      </c>
      <c r="AM4399">
        <v>92.087924358531694</v>
      </c>
      <c r="AN4399">
        <v>1.0000000203413799</v>
      </c>
    </row>
    <row r="4400" spans="1:40" x14ac:dyDescent="0.25">
      <c r="A4400" t="str">
        <f>"20190303171106312"</f>
        <v>20190303171106312</v>
      </c>
      <c r="B4400" t="str">
        <f>"1551604266305576"</f>
        <v>1551604266305576</v>
      </c>
      <c r="C4400" t="s">
        <v>40</v>
      </c>
      <c r="D4400">
        <v>4.5276909999999999</v>
      </c>
      <c r="E4400">
        <v>0.4236877</v>
      </c>
      <c r="F4400" t="s">
        <v>92</v>
      </c>
      <c r="G4400">
        <v>-395.30110000000002</v>
      </c>
      <c r="H4400">
        <v>0.31834770000000001</v>
      </c>
      <c r="I4400">
        <v>1.345081</v>
      </c>
      <c r="J4400">
        <v>-418.81540000000001</v>
      </c>
      <c r="K4400">
        <v>1.129259</v>
      </c>
      <c r="L4400">
        <v>31.499659999999999</v>
      </c>
      <c r="M4400">
        <v>0.41322910000000002</v>
      </c>
      <c r="N4400">
        <v>-1.436685E-2</v>
      </c>
      <c r="O4400">
        <v>-0.91051380000000004</v>
      </c>
      <c r="P4400">
        <v>0.4341275</v>
      </c>
      <c r="Q4400">
        <v>0.19030349999999999</v>
      </c>
      <c r="R4400">
        <v>-0.88052149999999996</v>
      </c>
      <c r="S4400">
        <v>1.927063</v>
      </c>
      <c r="T4400">
        <v>-6.6242809999999999E-2</v>
      </c>
      <c r="U4400">
        <v>-2.4757389999999999</v>
      </c>
      <c r="V4400">
        <v>-3.5368959999999998E-2</v>
      </c>
      <c r="W4400">
        <v>0.20373550000000001</v>
      </c>
      <c r="X4400">
        <v>0.97838689999999995</v>
      </c>
      <c r="Y4400">
        <v>-0.2331308</v>
      </c>
      <c r="Z4400">
        <v>7.8742059999999999E-3</v>
      </c>
      <c r="AA4400">
        <v>0.97241350000000004</v>
      </c>
      <c r="AB4400">
        <v>27</v>
      </c>
      <c r="AC4400">
        <v>23.514299999999899</v>
      </c>
      <c r="AD4400">
        <v>-0.8109113</v>
      </c>
      <c r="AE4400">
        <v>-30.154578999999998</v>
      </c>
      <c r="AF4400">
        <v>-8.9462452857830002</v>
      </c>
      <c r="AG4400">
        <v>-0.8109113</v>
      </c>
      <c r="AH4400">
        <v>37.1600775940883</v>
      </c>
      <c r="AI4400">
        <v>91.215401030746804</v>
      </c>
      <c r="AJ4400">
        <v>103.53629457866801</v>
      </c>
      <c r="AK4400">
        <v>38.230409998436201</v>
      </c>
      <c r="AL4400">
        <v>78.244513825518894</v>
      </c>
      <c r="AM4400">
        <v>92.070356886910105</v>
      </c>
      <c r="AN4400">
        <v>1.00000002169167</v>
      </c>
    </row>
    <row r="4401" spans="1:40" x14ac:dyDescent="0.25">
      <c r="A4401" t="str">
        <f>"20190303171106326"</f>
        <v>20190303171106326</v>
      </c>
      <c r="B4401" t="str">
        <f>"1551604266315336"</f>
        <v>1551604266315336</v>
      </c>
      <c r="C4401" t="s">
        <v>40</v>
      </c>
      <c r="D4401">
        <v>4.5246029999999999</v>
      </c>
      <c r="E4401">
        <v>0.42393459999999999</v>
      </c>
      <c r="F4401" t="s">
        <v>92</v>
      </c>
      <c r="G4401">
        <v>-395.12430000000001</v>
      </c>
      <c r="H4401">
        <v>0.31716080000000002</v>
      </c>
      <c r="I4401">
        <v>1.3524020000000001</v>
      </c>
      <c r="J4401">
        <v>-418.74720000000002</v>
      </c>
      <c r="K4401">
        <v>1.1293010000000001</v>
      </c>
      <c r="L4401">
        <v>31.364750000000001</v>
      </c>
      <c r="M4401">
        <v>0.41883819999999999</v>
      </c>
      <c r="N4401">
        <v>-1.437829E-2</v>
      </c>
      <c r="O4401">
        <v>-0.90794710000000001</v>
      </c>
      <c r="P4401">
        <v>0.43926280000000001</v>
      </c>
      <c r="Q4401">
        <v>0.19041240000000001</v>
      </c>
      <c r="R4401">
        <v>-0.87794760000000005</v>
      </c>
      <c r="S4401">
        <v>1.937897</v>
      </c>
      <c r="T4401">
        <v>-6.6430569999999994E-2</v>
      </c>
      <c r="U4401">
        <v>-2.4660030000000002</v>
      </c>
      <c r="V4401">
        <v>-3.5079730000000003E-2</v>
      </c>
      <c r="W4401">
        <v>0.20385780000000001</v>
      </c>
      <c r="X4401">
        <v>0.97837180000000001</v>
      </c>
      <c r="Y4401">
        <v>-0.2316358</v>
      </c>
      <c r="Z4401">
        <v>7.9226959999999999E-3</v>
      </c>
      <c r="AA4401">
        <v>0.97277029999999998</v>
      </c>
      <c r="AB4401">
        <v>27</v>
      </c>
      <c r="AC4401">
        <v>23.622900000000001</v>
      </c>
      <c r="AD4401">
        <v>-0.81214019999999998</v>
      </c>
      <c r="AE4401">
        <v>-30.012347999999999</v>
      </c>
      <c r="AF4401">
        <v>-8.8749303936195592</v>
      </c>
      <c r="AG4401">
        <v>-0.81214019999999998</v>
      </c>
      <c r="AH4401">
        <v>37.130846988681</v>
      </c>
      <c r="AI4401">
        <v>91.218678626128096</v>
      </c>
      <c r="AJ4401">
        <v>103.442506141064</v>
      </c>
      <c r="AK4401">
        <v>38.185386724411899</v>
      </c>
      <c r="AL4401">
        <v>78.237355896349399</v>
      </c>
      <c r="AM4401">
        <v>92.053472742933096</v>
      </c>
      <c r="AN4401">
        <v>0.99999998455647598</v>
      </c>
    </row>
    <row r="4402" spans="1:40" x14ac:dyDescent="0.25">
      <c r="A4402" t="str">
        <f>"20190303171106341"</f>
        <v>20190303171106341</v>
      </c>
      <c r="B4402" t="str">
        <f>"1551604266334855"</f>
        <v>1551604266334855</v>
      </c>
      <c r="C4402" t="s">
        <v>40</v>
      </c>
      <c r="D4402">
        <v>4.5261639999999996</v>
      </c>
      <c r="E4402">
        <v>0.42475390000000002</v>
      </c>
      <c r="F4402" t="s">
        <v>92</v>
      </c>
      <c r="G4402">
        <v>-394.90010000000001</v>
      </c>
      <c r="H4402">
        <v>0.30826969999999998</v>
      </c>
      <c r="I4402">
        <v>1.361691</v>
      </c>
      <c r="J4402">
        <v>-418.66399999999999</v>
      </c>
      <c r="K4402">
        <v>1.1293519999999999</v>
      </c>
      <c r="L4402">
        <v>31.202390000000001</v>
      </c>
      <c r="M4402">
        <v>0.42562440000000001</v>
      </c>
      <c r="N4402">
        <v>-1.439179E-2</v>
      </c>
      <c r="O4402">
        <v>-0.90478559999999997</v>
      </c>
      <c r="P4402">
        <v>0.44568849999999999</v>
      </c>
      <c r="Q4402">
        <v>0.18990660000000001</v>
      </c>
      <c r="R4402">
        <v>-0.8748127</v>
      </c>
      <c r="S4402">
        <v>1.9514769999999999</v>
      </c>
      <c r="T4402">
        <v>-6.7189219999999994E-2</v>
      </c>
      <c r="U4402">
        <v>-2.4552309999999999</v>
      </c>
      <c r="V4402">
        <v>-3.4896299999999998E-2</v>
      </c>
      <c r="W4402">
        <v>0.20336660000000001</v>
      </c>
      <c r="X4402">
        <v>0.97848060000000003</v>
      </c>
      <c r="Y4402">
        <v>-0.22972719999999999</v>
      </c>
      <c r="Z4402">
        <v>8.1339099999999994E-3</v>
      </c>
      <c r="AA4402">
        <v>0.97322109999999995</v>
      </c>
      <c r="AB4402">
        <v>27</v>
      </c>
      <c r="AC4402">
        <v>23.7638999999999</v>
      </c>
      <c r="AD4402">
        <v>-0.82108230000000004</v>
      </c>
      <c r="AE4402">
        <v>-29.840699000000001</v>
      </c>
      <c r="AF4402">
        <v>-8.7971397598822492</v>
      </c>
      <c r="AG4402">
        <v>-0.82108230000000004</v>
      </c>
      <c r="AH4402">
        <v>37.1005818851554</v>
      </c>
      <c r="AI4402">
        <v>91.233625886637299</v>
      </c>
      <c r="AJ4402">
        <v>103.33938717795</v>
      </c>
      <c r="AK4402">
        <v>38.138130792100903</v>
      </c>
      <c r="AL4402">
        <v>78.2661020086489</v>
      </c>
      <c r="AM4402">
        <v>92.042517420168195</v>
      </c>
      <c r="AN4402">
        <v>1.0000000051628</v>
      </c>
    </row>
    <row r="4403" spans="1:40" x14ac:dyDescent="0.25">
      <c r="A4403" t="str">
        <f>"20190303171106356"</f>
        <v>20190303171106356</v>
      </c>
      <c r="B4403" t="str">
        <f>"1551604266345591"</f>
        <v>1551604266345591</v>
      </c>
      <c r="C4403" t="s">
        <v>40</v>
      </c>
      <c r="D4403">
        <v>4.5192410000000001</v>
      </c>
      <c r="E4403">
        <v>0.42475390000000002</v>
      </c>
      <c r="F4403" t="s">
        <v>92</v>
      </c>
      <c r="G4403">
        <v>-394.68830000000003</v>
      </c>
      <c r="H4403">
        <v>0.22849349999999999</v>
      </c>
      <c r="I4403">
        <v>1.3704620000000001</v>
      </c>
      <c r="J4403">
        <v>-418.57859999999999</v>
      </c>
      <c r="K4403">
        <v>1.129407</v>
      </c>
      <c r="L4403">
        <v>31.03867</v>
      </c>
      <c r="M4403">
        <v>0.43251889999999998</v>
      </c>
      <c r="N4403">
        <v>-1.440513E-2</v>
      </c>
      <c r="O4403">
        <v>-0.90150989999999998</v>
      </c>
      <c r="P4403">
        <v>0.4516193</v>
      </c>
      <c r="Q4403">
        <v>0.19006590000000001</v>
      </c>
      <c r="R4403">
        <v>-0.87173129999999999</v>
      </c>
      <c r="S4403">
        <v>1.964569</v>
      </c>
      <c r="T4403">
        <v>-7.3818449999999994E-2</v>
      </c>
      <c r="U4403">
        <v>-2.4444270000000001</v>
      </c>
      <c r="V4403">
        <v>-3.4112980000000001E-2</v>
      </c>
      <c r="W4403">
        <v>0.2035506</v>
      </c>
      <c r="X4403">
        <v>0.97846999999999995</v>
      </c>
      <c r="Y4403">
        <v>-0.22754840000000001</v>
      </c>
      <c r="Z4403">
        <v>1.012272E-2</v>
      </c>
      <c r="AA4403">
        <v>0.97371419999999997</v>
      </c>
      <c r="AB4403">
        <v>27</v>
      </c>
      <c r="AC4403">
        <v>23.8902999999999</v>
      </c>
      <c r="AD4403">
        <v>-0.90091350000000003</v>
      </c>
      <c r="AE4403">
        <v>-29.668208</v>
      </c>
      <c r="AF4403">
        <v>-8.7013163014380499</v>
      </c>
      <c r="AG4403">
        <v>-0.90091350000000003</v>
      </c>
      <c r="AH4403">
        <v>37.062301135195099</v>
      </c>
      <c r="AI4403">
        <v>91.355630946170393</v>
      </c>
      <c r="AJ4403">
        <v>103.212355028462</v>
      </c>
      <c r="AK4403">
        <v>38.080686915391098</v>
      </c>
      <c r="AL4403">
        <v>78.255334797599502</v>
      </c>
      <c r="AM4403">
        <v>91.9967280210643</v>
      </c>
      <c r="AN4403">
        <v>1.00000004153241</v>
      </c>
    </row>
    <row r="4404" spans="1:40" x14ac:dyDescent="0.25">
      <c r="A4404" t="str">
        <f>"20190303171106375"</f>
        <v>20190303171106375</v>
      </c>
      <c r="B4404" t="str">
        <f>"1551604266365112"</f>
        <v>1551604266365112</v>
      </c>
      <c r="C4404" t="s">
        <v>40</v>
      </c>
      <c r="D4404">
        <v>4.486637</v>
      </c>
      <c r="E4404">
        <v>0.42998979999999998</v>
      </c>
      <c r="F4404" t="s">
        <v>92</v>
      </c>
      <c r="G4404">
        <v>-393.87470000000002</v>
      </c>
      <c r="H4404">
        <v>0.2242625</v>
      </c>
      <c r="I4404">
        <v>0.74308399999999997</v>
      </c>
      <c r="J4404">
        <v>-418.47250000000003</v>
      </c>
      <c r="K4404">
        <v>1.129464</v>
      </c>
      <c r="L4404">
        <v>30.840450000000001</v>
      </c>
      <c r="M4404">
        <v>0.44095889999999999</v>
      </c>
      <c r="N4404">
        <v>-1.442184E-2</v>
      </c>
      <c r="O4404">
        <v>-0.89741150000000003</v>
      </c>
      <c r="P4404">
        <v>0.45869729999999997</v>
      </c>
      <c r="Q4404">
        <v>0.1906052</v>
      </c>
      <c r="R4404">
        <v>-0.86790959999999995</v>
      </c>
      <c r="S4404">
        <v>1.981903</v>
      </c>
      <c r="T4404">
        <v>-7.2618719999999998E-2</v>
      </c>
      <c r="U4404">
        <v>-2.4305110000000001</v>
      </c>
      <c r="V4404">
        <v>-3.2981690000000001E-2</v>
      </c>
      <c r="W4404">
        <v>0.2041229</v>
      </c>
      <c r="X4404">
        <v>0.97838950000000002</v>
      </c>
      <c r="Y4404">
        <v>-0.22531599999999999</v>
      </c>
      <c r="Z4404">
        <v>9.7256019999999999E-3</v>
      </c>
      <c r="AA4404">
        <v>0.97423720000000003</v>
      </c>
      <c r="AB4404">
        <v>27</v>
      </c>
      <c r="AC4404">
        <v>24.597799999999999</v>
      </c>
      <c r="AD4404">
        <v>-0.90520149999999999</v>
      </c>
      <c r="AE4404">
        <v>-30.097365999999901</v>
      </c>
      <c r="AF4404">
        <v>-8.7987903992021597</v>
      </c>
      <c r="AG4404">
        <v>-0.90520149999999999</v>
      </c>
      <c r="AH4404">
        <v>37.839754823774797</v>
      </c>
      <c r="AI4404">
        <v>91.334770079032197</v>
      </c>
      <c r="AJ4404">
        <v>103.090237391427</v>
      </c>
      <c r="AK4404">
        <v>38.859814041861803</v>
      </c>
      <c r="AL4404">
        <v>78.221840510781306</v>
      </c>
      <c r="AM4404">
        <v>91.930720145609897</v>
      </c>
      <c r="AN4404">
        <v>0.99999998194495798</v>
      </c>
    </row>
    <row r="4405" spans="1:40" x14ac:dyDescent="0.25">
      <c r="A4405" t="str">
        <f>"20190303171106389"</f>
        <v>20190303171106389</v>
      </c>
      <c r="B4405" t="str">
        <f>"1551604266385607"</f>
        <v>1551604266385607</v>
      </c>
      <c r="C4405" t="s">
        <v>40</v>
      </c>
      <c r="D4405">
        <v>4.514005</v>
      </c>
      <c r="E4405">
        <v>0.43056699999999998</v>
      </c>
      <c r="F4405" t="s">
        <v>41</v>
      </c>
      <c r="G4405">
        <v>-392.74250000000001</v>
      </c>
      <c r="H4405">
        <v>-0.05</v>
      </c>
      <c r="I4405">
        <v>-0.99681090000000006</v>
      </c>
      <c r="J4405">
        <v>-418.39400000000001</v>
      </c>
      <c r="K4405">
        <v>1.129508</v>
      </c>
      <c r="L4405">
        <v>30.69708</v>
      </c>
      <c r="M4405">
        <v>0.44712639999999998</v>
      </c>
      <c r="N4405">
        <v>-1.4433959999999999E-2</v>
      </c>
      <c r="O4405">
        <v>-0.8943546</v>
      </c>
      <c r="P4405">
        <v>0.46419450000000001</v>
      </c>
      <c r="Q4405">
        <v>0.19091240000000001</v>
      </c>
      <c r="R4405">
        <v>-0.86491419999999997</v>
      </c>
      <c r="S4405">
        <v>1.968658</v>
      </c>
      <c r="T4405">
        <v>-9.0243580000000004E-2</v>
      </c>
      <c r="U4405">
        <v>-2.4359440000000001</v>
      </c>
      <c r="V4405">
        <v>-3.2510120000000003E-2</v>
      </c>
      <c r="W4405">
        <v>0.20444780000000001</v>
      </c>
      <c r="X4405">
        <v>0.97833749999999997</v>
      </c>
      <c r="Y4405">
        <v>-0.2142839</v>
      </c>
      <c r="Z4405">
        <v>1.495017E-2</v>
      </c>
      <c r="AA4405">
        <v>0.976657</v>
      </c>
      <c r="AB4405">
        <v>27</v>
      </c>
      <c r="AC4405">
        <v>25.651499999999999</v>
      </c>
      <c r="AD4405">
        <v>-1.179508</v>
      </c>
      <c r="AE4405">
        <v>-31.6938909</v>
      </c>
      <c r="AF4405">
        <v>-8.7639392378275005</v>
      </c>
      <c r="AG4405">
        <v>-1.179508</v>
      </c>
      <c r="AH4405">
        <v>39.785883831331098</v>
      </c>
      <c r="AI4405">
        <v>91.658381292806098</v>
      </c>
      <c r="AJ4405">
        <v>102.42258899467799</v>
      </c>
      <c r="AK4405">
        <v>40.756771490472197</v>
      </c>
      <c r="AL4405">
        <v>78.2028247445933</v>
      </c>
      <c r="AM4405">
        <v>91.903236365082805</v>
      </c>
      <c r="AN4405">
        <v>1.0000000373667499</v>
      </c>
    </row>
    <row r="4406" spans="1:40" x14ac:dyDescent="0.25">
      <c r="A4406" t="str">
        <f>"20190303171106403"</f>
        <v>20190303171106403</v>
      </c>
      <c r="B4406" t="str">
        <f>"1551604266395367"</f>
        <v>1551604266395367</v>
      </c>
      <c r="C4406" t="s">
        <v>40</v>
      </c>
      <c r="D4406">
        <v>4.5247529999999996</v>
      </c>
      <c r="E4406">
        <v>0.43081269999999999</v>
      </c>
      <c r="F4406" t="s">
        <v>41</v>
      </c>
      <c r="G4406">
        <v>-393.19389999999999</v>
      </c>
      <c r="H4406">
        <v>-0.05</v>
      </c>
      <c r="I4406">
        <v>-0.157119799999999</v>
      </c>
      <c r="J4406">
        <v>-418.31169999999997</v>
      </c>
      <c r="K4406">
        <v>1.1295470000000001</v>
      </c>
      <c r="L4406">
        <v>30.5488</v>
      </c>
      <c r="M4406">
        <v>0.45353579999999999</v>
      </c>
      <c r="N4406">
        <v>-1.444635E-2</v>
      </c>
      <c r="O4406">
        <v>-0.891121099999999</v>
      </c>
      <c r="P4406">
        <v>0.4698447</v>
      </c>
      <c r="Q4406">
        <v>0.1911757</v>
      </c>
      <c r="R4406">
        <v>-0.86179910000000004</v>
      </c>
      <c r="S4406">
        <v>1.981201</v>
      </c>
      <c r="T4406">
        <v>-9.2731480000000005E-2</v>
      </c>
      <c r="U4406">
        <v>-2.4257200000000001</v>
      </c>
      <c r="V4406">
        <v>-3.1940429999999999E-2</v>
      </c>
      <c r="W4406">
        <v>0.20473160000000001</v>
      </c>
      <c r="X4406">
        <v>0.97829690000000002</v>
      </c>
      <c r="Y4406">
        <v>-0.21230830000000001</v>
      </c>
      <c r="Z4406">
        <v>1.564946E-2</v>
      </c>
      <c r="AA4406">
        <v>0.97707739999999998</v>
      </c>
      <c r="AB4406">
        <v>27</v>
      </c>
      <c r="AC4406">
        <v>25.1177999999999</v>
      </c>
      <c r="AD4406">
        <v>-1.1795469999999999</v>
      </c>
      <c r="AE4406">
        <v>-30.7059198</v>
      </c>
      <c r="AF4406">
        <v>-8.4501786110976997</v>
      </c>
      <c r="AG4406">
        <v>-1.1795469999999999</v>
      </c>
      <c r="AH4406">
        <v>38.724319136725398</v>
      </c>
      <c r="AI4406">
        <v>91.704608356294997</v>
      </c>
      <c r="AJ4406">
        <v>102.309761827728</v>
      </c>
      <c r="AK4406">
        <v>39.653117686855502</v>
      </c>
      <c r="AL4406">
        <v>78.186212638401699</v>
      </c>
      <c r="AM4406">
        <v>91.8699865015423</v>
      </c>
      <c r="AN4406">
        <v>1.00000002182837</v>
      </c>
    </row>
    <row r="4407" spans="1:40" x14ac:dyDescent="0.25">
      <c r="A4407" t="str">
        <f>"20190303171106415"</f>
        <v>20190303171106415</v>
      </c>
      <c r="B4407" t="str">
        <f>"1551604266405127"</f>
        <v>1551604266405127</v>
      </c>
      <c r="C4407" t="s">
        <v>40</v>
      </c>
      <c r="D4407">
        <v>4.5316269999999896</v>
      </c>
      <c r="E4407">
        <v>0.43081269999999999</v>
      </c>
      <c r="F4407" t="s">
        <v>41</v>
      </c>
      <c r="G4407">
        <v>-392.30200000000002</v>
      </c>
      <c r="H4407">
        <v>-0.05</v>
      </c>
      <c r="I4407">
        <v>-0.90295409999999998</v>
      </c>
      <c r="J4407">
        <v>-418.23379999999997</v>
      </c>
      <c r="K4407">
        <v>1.1295809999999999</v>
      </c>
      <c r="L4407">
        <v>30.410250000000001</v>
      </c>
      <c r="M4407">
        <v>0.4595515</v>
      </c>
      <c r="N4407">
        <v>-1.445779E-2</v>
      </c>
      <c r="O4407">
        <v>-0.88803369999999904</v>
      </c>
      <c r="P4407">
        <v>0.4752461</v>
      </c>
      <c r="Q4407">
        <v>0.19095319999999999</v>
      </c>
      <c r="R4407">
        <v>-0.85888220000000004</v>
      </c>
      <c r="S4407">
        <v>1.9956050000000001</v>
      </c>
      <c r="T4407">
        <v>-9.0501189999999995E-2</v>
      </c>
      <c r="U4407">
        <v>-2.4131469999999999</v>
      </c>
      <c r="V4407">
        <v>-3.1458519999999997E-2</v>
      </c>
      <c r="W4407">
        <v>0.2045276</v>
      </c>
      <c r="X4407">
        <v>0.97835519999999998</v>
      </c>
      <c r="Y4407">
        <v>-0.2116712</v>
      </c>
      <c r="Z4407">
        <v>1.49529E-2</v>
      </c>
      <c r="AA4407">
        <v>0.97722659999999995</v>
      </c>
      <c r="AB4407">
        <v>27</v>
      </c>
      <c r="AC4407">
        <v>25.931799999999999</v>
      </c>
      <c r="AD4407">
        <v>-1.179581</v>
      </c>
      <c r="AE4407">
        <v>-31.3132041</v>
      </c>
      <c r="AF4407">
        <v>-8.6319173379346292</v>
      </c>
      <c r="AG4407">
        <v>-1.179581</v>
      </c>
      <c r="AH4407">
        <v>39.694907638383199</v>
      </c>
      <c r="AI4407">
        <v>91.663261973972695</v>
      </c>
      <c r="AJ4407">
        <v>102.268342829801</v>
      </c>
      <c r="AK4407">
        <v>40.6397231866098</v>
      </c>
      <c r="AL4407">
        <v>78.198153842983302</v>
      </c>
      <c r="AM4407">
        <v>91.841682471460103</v>
      </c>
      <c r="AN4407">
        <v>1.00000003750469</v>
      </c>
    </row>
    <row r="4408" spans="1:40" x14ac:dyDescent="0.25">
      <c r="A4408" t="str">
        <f>"20190303171106430"</f>
        <v>20190303171106430</v>
      </c>
      <c r="B4408" t="str">
        <f>"1551604266425623"</f>
        <v>1551604266425623</v>
      </c>
      <c r="C4408" t="s">
        <v>40</v>
      </c>
      <c r="D4408">
        <v>4.4843019999999996</v>
      </c>
      <c r="E4408">
        <v>0.43541940000000001</v>
      </c>
      <c r="F4408" t="s">
        <v>41</v>
      </c>
      <c r="G4408">
        <v>-392.1182</v>
      </c>
      <c r="H4408">
        <v>-0.05</v>
      </c>
      <c r="I4408">
        <v>-0.76153559999999998</v>
      </c>
      <c r="J4408">
        <v>-418.14819999999997</v>
      </c>
      <c r="K4408">
        <v>1.129616</v>
      </c>
      <c r="L4408">
        <v>30.26172</v>
      </c>
      <c r="M4408">
        <v>0.46606890000000001</v>
      </c>
      <c r="N4408">
        <v>-1.4470159999999999E-2</v>
      </c>
      <c r="O4408">
        <v>-0.88463009999999997</v>
      </c>
      <c r="P4408">
        <v>0.4807439</v>
      </c>
      <c r="Q4408">
        <v>0.19019610000000001</v>
      </c>
      <c r="R4408">
        <v>-0.85598560000000001</v>
      </c>
      <c r="S4408">
        <v>2.0110169999999998</v>
      </c>
      <c r="T4408">
        <v>-9.0832830000000003E-2</v>
      </c>
      <c r="U4408">
        <v>-2.40036</v>
      </c>
      <c r="V4408">
        <v>-3.0462059999999999E-2</v>
      </c>
      <c r="W4408">
        <v>0.20380319999999999</v>
      </c>
      <c r="X4408">
        <v>0.97853789999999996</v>
      </c>
      <c r="Y4408">
        <v>-0.210733</v>
      </c>
      <c r="Z4408">
        <v>1.501249E-2</v>
      </c>
      <c r="AA4408">
        <v>0.97742839999999998</v>
      </c>
      <c r="AB4408">
        <v>27</v>
      </c>
      <c r="AC4408">
        <v>26.029999999999902</v>
      </c>
      <c r="AD4408">
        <v>-1.179616</v>
      </c>
      <c r="AE4408">
        <v>-31.023255599999999</v>
      </c>
      <c r="AF4408">
        <v>-8.5615797078291394</v>
      </c>
      <c r="AG4408">
        <v>-1.179616</v>
      </c>
      <c r="AH4408">
        <v>39.546468755567901</v>
      </c>
      <c r="AI4408">
        <v>91.669883853435294</v>
      </c>
      <c r="AJ4408">
        <v>102.215681864236</v>
      </c>
      <c r="AK4408">
        <v>40.479813883416902</v>
      </c>
      <c r="AL4408">
        <v>78.240552129735207</v>
      </c>
      <c r="AM4408">
        <v>91.783052043679106</v>
      </c>
      <c r="AN4408">
        <v>1.0000000515830401</v>
      </c>
    </row>
    <row r="4409" spans="1:40" x14ac:dyDescent="0.25">
      <c r="A4409" t="str">
        <f>"20190303171106443"</f>
        <v>20190303171106443</v>
      </c>
      <c r="B4409" t="str">
        <f>"1551604266435602"</f>
        <v>1551604266435602</v>
      </c>
      <c r="C4409" t="s">
        <v>40</v>
      </c>
      <c r="D4409">
        <v>4.5134919999999896</v>
      </c>
      <c r="E4409">
        <v>0.43617460000000002</v>
      </c>
      <c r="F4409" t="s">
        <v>42</v>
      </c>
      <c r="G4409">
        <v>-397.98169999999999</v>
      </c>
      <c r="H4409">
        <v>7.998603E-2</v>
      </c>
      <c r="I4409">
        <v>5.9499209999999998</v>
      </c>
      <c r="J4409">
        <v>-418.0761</v>
      </c>
      <c r="K4409">
        <v>1.1296440000000001</v>
      </c>
      <c r="L4409">
        <v>30.13824</v>
      </c>
      <c r="M4409">
        <v>0.47150760000000003</v>
      </c>
      <c r="N4409">
        <v>-1.448003E-2</v>
      </c>
      <c r="O4409">
        <v>-0.88174319999999895</v>
      </c>
      <c r="P4409">
        <v>0.48561609999999999</v>
      </c>
      <c r="Q4409">
        <v>0.1896072</v>
      </c>
      <c r="R4409">
        <v>-0.85336190000000001</v>
      </c>
      <c r="S4409">
        <v>1.9962770000000001</v>
      </c>
      <c r="T4409">
        <v>-0.10390249999999999</v>
      </c>
      <c r="U4409">
        <v>-2.4066160000000001</v>
      </c>
      <c r="V4409">
        <v>-2.9955679999999998E-2</v>
      </c>
      <c r="W4409">
        <v>0.2032341</v>
      </c>
      <c r="X4409">
        <v>0.97867179999999998</v>
      </c>
      <c r="Y4409">
        <v>-0.19986409999999999</v>
      </c>
      <c r="Z4409">
        <v>1.8793399999999998E-2</v>
      </c>
      <c r="AA4409">
        <v>0.97964340000000005</v>
      </c>
      <c r="AB4409">
        <v>27</v>
      </c>
      <c r="AC4409">
        <v>20.0944</v>
      </c>
      <c r="AD4409">
        <v>-1.0496579699999999</v>
      </c>
      <c r="AE4409">
        <v>-24.188319</v>
      </c>
      <c r="AF4409">
        <v>-6.3067588063096096</v>
      </c>
      <c r="AG4409">
        <v>-1.0496579699999999</v>
      </c>
      <c r="AH4409">
        <v>30.771489960523098</v>
      </c>
      <c r="AI4409">
        <v>91.913926013761994</v>
      </c>
      <c r="AJ4409">
        <v>101.582630579019</v>
      </c>
      <c r="AK4409">
        <v>31.428674532749898</v>
      </c>
      <c r="AL4409">
        <v>78.273855170424</v>
      </c>
      <c r="AM4409">
        <v>91.753190740307403</v>
      </c>
      <c r="AN4409">
        <v>0.99999996714115502</v>
      </c>
    </row>
    <row r="4410" spans="1:40" x14ac:dyDescent="0.25">
      <c r="A4410" t="str">
        <f>"20190303171106455"</f>
        <v>20190303171106455</v>
      </c>
      <c r="B4410" t="str">
        <f>"1551604266445336"</f>
        <v>1551604266445336</v>
      </c>
      <c r="C4410" t="s">
        <v>40</v>
      </c>
      <c r="D4410">
        <v>4.5287559999999996</v>
      </c>
      <c r="E4410">
        <v>0.43689169999999999</v>
      </c>
      <c r="F4410" t="s">
        <v>42</v>
      </c>
      <c r="G4410">
        <v>-398.57560000000001</v>
      </c>
      <c r="H4410">
        <v>7.9985840000000002E-2</v>
      </c>
      <c r="I4410">
        <v>6.8139320000000003</v>
      </c>
      <c r="J4410">
        <v>-418.00049999999999</v>
      </c>
      <c r="K4410">
        <v>1.12967</v>
      </c>
      <c r="L4410">
        <v>30.01013</v>
      </c>
      <c r="M4410">
        <v>0.47716520000000001</v>
      </c>
      <c r="N4410">
        <v>-1.448991E-2</v>
      </c>
      <c r="O4410">
        <v>-0.87869430000000004</v>
      </c>
      <c r="P4410">
        <v>0.49067349999999998</v>
      </c>
      <c r="Q4410">
        <v>0.1892923</v>
      </c>
      <c r="R4410">
        <v>-0.85053419999999902</v>
      </c>
      <c r="S4410">
        <v>2.0052189999999999</v>
      </c>
      <c r="T4410">
        <v>-0.107935</v>
      </c>
      <c r="U4410">
        <v>-2.3984070000000002</v>
      </c>
      <c r="V4410">
        <v>-2.944838E-2</v>
      </c>
      <c r="W4410">
        <v>0.20293849999999999</v>
      </c>
      <c r="X4410">
        <v>0.97874859999999997</v>
      </c>
      <c r="Y4410">
        <v>-0.19734760000000001</v>
      </c>
      <c r="Z4410">
        <v>1.9925020000000002E-2</v>
      </c>
      <c r="AA4410">
        <v>0.98013110000000003</v>
      </c>
      <c r="AB4410">
        <v>27</v>
      </c>
      <c r="AC4410">
        <v>19.424899999999901</v>
      </c>
      <c r="AD4410">
        <v>-1.04968416</v>
      </c>
      <c r="AE4410">
        <v>-23.196197999999999</v>
      </c>
      <c r="AF4410">
        <v>-5.9935453506795504</v>
      </c>
      <c r="AG4410">
        <v>-1.04968416</v>
      </c>
      <c r="AH4410">
        <v>29.618711223198002</v>
      </c>
      <c r="AI4410">
        <v>91.989417671136707</v>
      </c>
      <c r="AJ4410">
        <v>101.43971025864001</v>
      </c>
      <c r="AK4410">
        <v>30.237269672204199</v>
      </c>
      <c r="AL4410">
        <v>78.291153029682505</v>
      </c>
      <c r="AM4410">
        <v>91.723383325140503</v>
      </c>
      <c r="AN4410">
        <v>1.00000003193441</v>
      </c>
    </row>
    <row r="4411" spans="1:40" x14ac:dyDescent="0.25">
      <c r="A4411" t="str">
        <f>"20190303171106467"</f>
        <v>20190303171106467</v>
      </c>
      <c r="B4411" t="str">
        <f>"1551604266455098"</f>
        <v>1551604266455098</v>
      </c>
      <c r="C4411" t="s">
        <v>40</v>
      </c>
      <c r="D4411">
        <v>4.5286280000000003</v>
      </c>
      <c r="E4411">
        <v>0.43689169999999999</v>
      </c>
      <c r="F4411" t="s">
        <v>42</v>
      </c>
      <c r="G4411">
        <v>-399.21629999999999</v>
      </c>
      <c r="H4411">
        <v>7.9985639999999997E-2</v>
      </c>
      <c r="I4411">
        <v>7.7324159999999997</v>
      </c>
      <c r="J4411">
        <v>-417.92469999999997</v>
      </c>
      <c r="K4411">
        <v>1.129694</v>
      </c>
      <c r="L4411">
        <v>29.88449</v>
      </c>
      <c r="M4411">
        <v>0.48276429999999998</v>
      </c>
      <c r="N4411">
        <v>-1.4499049999999999E-2</v>
      </c>
      <c r="O4411">
        <v>-0.87563029999999997</v>
      </c>
      <c r="P4411">
        <v>0.49559730000000002</v>
      </c>
      <c r="Q4411">
        <v>0.18906590000000001</v>
      </c>
      <c r="R4411">
        <v>-0.84772449999999999</v>
      </c>
      <c r="S4411">
        <v>2.015015</v>
      </c>
      <c r="T4411">
        <v>-0.11260149999999999</v>
      </c>
      <c r="U4411">
        <v>-2.3897710000000001</v>
      </c>
      <c r="V4411">
        <v>-2.8859260000000001E-2</v>
      </c>
      <c r="W4411">
        <v>0.20273169999999999</v>
      </c>
      <c r="X4411">
        <v>0.97880900000000004</v>
      </c>
      <c r="Y4411">
        <v>-0.19516159999999999</v>
      </c>
      <c r="Z4411">
        <v>2.123661E-2</v>
      </c>
      <c r="AA4411">
        <v>0.9805412</v>
      </c>
      <c r="AB4411">
        <v>27</v>
      </c>
      <c r="AC4411">
        <v>18.708399999999902</v>
      </c>
      <c r="AD4411">
        <v>-1.0497083599999999</v>
      </c>
      <c r="AE4411">
        <v>-22.152073999999999</v>
      </c>
      <c r="AF4411">
        <v>-5.6805640415061101</v>
      </c>
      <c r="AG4411">
        <v>-1.0497083599999999</v>
      </c>
      <c r="AH4411">
        <v>28.394547979446401</v>
      </c>
      <c r="AI4411">
        <v>92.076082783490605</v>
      </c>
      <c r="AJ4411">
        <v>101.31314245133299</v>
      </c>
      <c r="AK4411">
        <v>28.9762152536833</v>
      </c>
      <c r="AL4411">
        <v>78.303253289024795</v>
      </c>
      <c r="AM4411">
        <v>91.688822752096399</v>
      </c>
      <c r="AN4411">
        <v>1.00000002877681</v>
      </c>
    </row>
    <row r="4412" spans="1:40" x14ac:dyDescent="0.25">
      <c r="A4412" t="str">
        <f>"20190303171106480"</f>
        <v>20190303171106480</v>
      </c>
      <c r="B4412" t="str">
        <f>"1551604266475593"</f>
        <v>1551604266475593</v>
      </c>
      <c r="C4412" t="s">
        <v>40</v>
      </c>
      <c r="D4412">
        <v>4.503946</v>
      </c>
      <c r="E4412">
        <v>0.44163419999999998</v>
      </c>
      <c r="F4412" t="s">
        <v>42</v>
      </c>
      <c r="G4412">
        <v>-399.11239999999998</v>
      </c>
      <c r="H4412">
        <v>7.9985650000000005E-2</v>
      </c>
      <c r="I4412">
        <v>7.8332649999999902</v>
      </c>
      <c r="J4412">
        <v>-417.84769999999997</v>
      </c>
      <c r="K4412">
        <v>1.1297159999999999</v>
      </c>
      <c r="L4412">
        <v>29.758179999999999</v>
      </c>
      <c r="M4412">
        <v>0.48839880000000002</v>
      </c>
      <c r="N4412">
        <v>-1.4507819999999999E-2</v>
      </c>
      <c r="O4412">
        <v>-0.87249979999999905</v>
      </c>
      <c r="P4412">
        <v>0.50032069999999995</v>
      </c>
      <c r="Q4412">
        <v>0.1895503</v>
      </c>
      <c r="R4412">
        <v>-0.84483730000000001</v>
      </c>
      <c r="S4412">
        <v>2.028778</v>
      </c>
      <c r="T4412">
        <v>-0.1132042</v>
      </c>
      <c r="U4412">
        <v>-2.378082</v>
      </c>
      <c r="V4412">
        <v>-2.8085189999999999E-2</v>
      </c>
      <c r="W4412">
        <v>0.20323820000000001</v>
      </c>
      <c r="X4412">
        <v>0.9787264</v>
      </c>
      <c r="Y4412">
        <v>-0.1945008</v>
      </c>
      <c r="Z4412">
        <v>2.1359110000000001E-2</v>
      </c>
      <c r="AA4412">
        <v>0.98066980000000004</v>
      </c>
      <c r="AB4412">
        <v>27</v>
      </c>
      <c r="AC4412">
        <v>18.735299999999899</v>
      </c>
      <c r="AD4412">
        <v>-1.0497303499999999</v>
      </c>
      <c r="AE4412">
        <v>-21.924914999999999</v>
      </c>
      <c r="AF4412">
        <v>-5.63157620873403</v>
      </c>
      <c r="AG4412">
        <v>-1.0497303499999999</v>
      </c>
      <c r="AH4412">
        <v>28.245339752889699</v>
      </c>
      <c r="AI4412">
        <v>92.087355229368598</v>
      </c>
      <c r="AJ4412">
        <v>101.275811044169</v>
      </c>
      <c r="AK4412">
        <v>28.820406002668701</v>
      </c>
      <c r="AL4412">
        <v>78.273615105505201</v>
      </c>
      <c r="AM4412">
        <v>91.6436885617114</v>
      </c>
      <c r="AN4412">
        <v>0.99999995494676697</v>
      </c>
    </row>
    <row r="4413" spans="1:40" x14ac:dyDescent="0.25">
      <c r="A4413" t="str">
        <f>"20190303171106493"</f>
        <v>20190303171106493</v>
      </c>
      <c r="B4413" t="str">
        <f>"1551604266485353"</f>
        <v>1551604266485353</v>
      </c>
      <c r="C4413" t="s">
        <v>40</v>
      </c>
      <c r="D4413">
        <v>4.4916559999999999</v>
      </c>
      <c r="E4413">
        <v>0.44094329999999998</v>
      </c>
      <c r="F4413" t="s">
        <v>68</v>
      </c>
      <c r="G4413">
        <v>-400.86959999999999</v>
      </c>
      <c r="H4413">
        <v>2.879259E-2</v>
      </c>
      <c r="I4413">
        <v>9.6162200000000002</v>
      </c>
      <c r="J4413">
        <v>-417.76639999999998</v>
      </c>
      <c r="K4413">
        <v>1.1297379999999999</v>
      </c>
      <c r="L4413">
        <v>29.626919999999998</v>
      </c>
      <c r="M4413">
        <v>0.49428319999999998</v>
      </c>
      <c r="N4413">
        <v>-1.4516589999999999E-2</v>
      </c>
      <c r="O4413">
        <v>-0.86917979999999995</v>
      </c>
      <c r="P4413">
        <v>0.50565289999999996</v>
      </c>
      <c r="Q4413">
        <v>0.18983140000000001</v>
      </c>
      <c r="R4413">
        <v>-0.84159359999999905</v>
      </c>
      <c r="S4413">
        <v>2.0130309999999998</v>
      </c>
      <c r="T4413">
        <v>-0.13053210000000001</v>
      </c>
      <c r="U4413">
        <v>-2.388153</v>
      </c>
      <c r="V4413">
        <v>-2.7707300000000001E-2</v>
      </c>
      <c r="W4413">
        <v>0.20353379999999999</v>
      </c>
      <c r="X4413">
        <v>0.97867579999999998</v>
      </c>
      <c r="Y4413">
        <v>-0.18195520000000001</v>
      </c>
      <c r="Z4413">
        <v>2.6240090000000001E-2</v>
      </c>
      <c r="AA4413">
        <v>0.98295659999999896</v>
      </c>
      <c r="AB4413">
        <v>27</v>
      </c>
      <c r="AC4413">
        <v>16.896799999999899</v>
      </c>
      <c r="AD4413">
        <v>-1.10094541</v>
      </c>
      <c r="AE4413">
        <v>-20.0107</v>
      </c>
      <c r="AF4413">
        <v>-4.7874497139846897</v>
      </c>
      <c r="AG4413">
        <v>-1.10094541</v>
      </c>
      <c r="AH4413">
        <v>25.701994839598701</v>
      </c>
      <c r="AI4413">
        <v>92.4113417284224</v>
      </c>
      <c r="AJ4413">
        <v>100.551428646227</v>
      </c>
      <c r="AK4413">
        <v>26.1672370397505</v>
      </c>
      <c r="AL4413">
        <v>78.256317594329403</v>
      </c>
      <c r="AM4413">
        <v>91.621668195352001</v>
      </c>
      <c r="AN4413">
        <v>1.00000001186068</v>
      </c>
    </row>
    <row r="4414" spans="1:40" x14ac:dyDescent="0.25">
      <c r="A4414" t="str">
        <f>"20190303171106506"</f>
        <v>20190303171106506</v>
      </c>
      <c r="B4414" t="str">
        <f>"1551604266495112"</f>
        <v>1551604266495112</v>
      </c>
      <c r="C4414" t="s">
        <v>40</v>
      </c>
      <c r="D4414">
        <v>4.5404200000000001</v>
      </c>
      <c r="E4414">
        <v>0.44094329999999998</v>
      </c>
      <c r="F4414" t="s">
        <v>68</v>
      </c>
      <c r="G4414">
        <v>-400.60930000000002</v>
      </c>
      <c r="H4414">
        <v>4.6929720000000001E-2</v>
      </c>
      <c r="I4414">
        <v>9.6162189999999992</v>
      </c>
      <c r="J4414">
        <v>-417.68310000000002</v>
      </c>
      <c r="K4414">
        <v>1.129761</v>
      </c>
      <c r="L4414">
        <v>29.494959999999999</v>
      </c>
      <c r="M4414">
        <v>0.50022749999999905</v>
      </c>
      <c r="N4414">
        <v>-1.452496E-2</v>
      </c>
      <c r="O4414">
        <v>-0.86577219999999999</v>
      </c>
      <c r="P4414">
        <v>0.51094969999999995</v>
      </c>
      <c r="Q4414">
        <v>0.1896399</v>
      </c>
      <c r="R4414">
        <v>-0.83843120000000004</v>
      </c>
      <c r="S4414">
        <v>2.033569</v>
      </c>
      <c r="T4414">
        <v>-0.12834129999999999</v>
      </c>
      <c r="U4414">
        <v>-2.3717959999999998</v>
      </c>
      <c r="V4414">
        <v>-2.715482E-2</v>
      </c>
      <c r="W4414">
        <v>0.20336099999999999</v>
      </c>
      <c r="X4414">
        <v>0.97872720000000002</v>
      </c>
      <c r="Y4414">
        <v>-0.18348780000000001</v>
      </c>
      <c r="Z4414">
        <v>2.5544560000000001E-2</v>
      </c>
      <c r="AA4414">
        <v>0.98268999999999995</v>
      </c>
      <c r="AB4414">
        <v>27</v>
      </c>
      <c r="AC4414">
        <v>17.073799999999999</v>
      </c>
      <c r="AD4414">
        <v>-1.08283128</v>
      </c>
      <c r="AE4414">
        <v>-19.878741000000002</v>
      </c>
      <c r="AF4414">
        <v>-4.8303908199130099</v>
      </c>
      <c r="AG4414">
        <v>-1.08283128</v>
      </c>
      <c r="AH4414">
        <v>25.710061459571701</v>
      </c>
      <c r="AI4414">
        <v>92.370279890682099</v>
      </c>
      <c r="AJ4414">
        <v>100.64065336102399</v>
      </c>
      <c r="AK4414">
        <v>26.1822928581322</v>
      </c>
      <c r="AL4414">
        <v>78.266429726443306</v>
      </c>
      <c r="AM4414">
        <v>91.589265668411599</v>
      </c>
      <c r="AN4414">
        <v>1.0000000062950301</v>
      </c>
    </row>
    <row r="4415" spans="1:40" x14ac:dyDescent="0.25">
      <c r="A4415" t="str">
        <f>"20190303171106520"</f>
        <v>20190303171106520</v>
      </c>
      <c r="B4415" t="str">
        <f>"1551604266504873"</f>
        <v>1551604266504873</v>
      </c>
      <c r="C4415" t="s">
        <v>40</v>
      </c>
      <c r="D4415">
        <v>4.5064469999999996</v>
      </c>
      <c r="E4415">
        <v>0.40967009999999998</v>
      </c>
      <c r="F4415" t="s">
        <v>68</v>
      </c>
      <c r="G4415">
        <v>-400.41289999999998</v>
      </c>
      <c r="H4415">
        <v>4.6633050000000002E-2</v>
      </c>
      <c r="I4415">
        <v>9.6162170000000007</v>
      </c>
      <c r="J4415">
        <v>-417.59739999999999</v>
      </c>
      <c r="K4415">
        <v>1.129783</v>
      </c>
      <c r="L4415">
        <v>29.360659999999999</v>
      </c>
      <c r="M4415">
        <v>0.50628600000000001</v>
      </c>
      <c r="N4415">
        <v>-1.4532979999999999E-2</v>
      </c>
      <c r="O4415">
        <v>-0.86224330000000005</v>
      </c>
      <c r="P4415">
        <v>0.51635690000000001</v>
      </c>
      <c r="Q4415">
        <v>0.1892858</v>
      </c>
      <c r="R4415">
        <v>-0.83519249999999901</v>
      </c>
      <c r="S4415">
        <v>2.0490110000000001</v>
      </c>
      <c r="T4415">
        <v>-0.12850639999999999</v>
      </c>
      <c r="U4415">
        <v>-2.3584900000000002</v>
      </c>
      <c r="V4415">
        <v>-2.6574730000000001E-2</v>
      </c>
      <c r="W4415">
        <v>0.20302770000000001</v>
      </c>
      <c r="X4415">
        <v>0.97881229999999997</v>
      </c>
      <c r="Y4415">
        <v>-0.18300620000000001</v>
      </c>
      <c r="Z4415">
        <v>2.5516420000000001E-2</v>
      </c>
      <c r="AA4415">
        <v>0.9827806</v>
      </c>
      <c r="AB4415">
        <v>27</v>
      </c>
      <c r="AC4415">
        <v>17.1845</v>
      </c>
      <c r="AD4415">
        <v>-1.0831499499999999</v>
      </c>
      <c r="AE4415">
        <v>-19.744443</v>
      </c>
      <c r="AF4415">
        <v>-4.81315177049611</v>
      </c>
      <c r="AG4415">
        <v>-1.0831499499999999</v>
      </c>
      <c r="AH4415">
        <v>25.6835204975579</v>
      </c>
      <c r="AI4415">
        <v>92.373628990061505</v>
      </c>
      <c r="AJ4415">
        <v>100.614249559512</v>
      </c>
      <c r="AK4415">
        <v>26.153066147748099</v>
      </c>
      <c r="AL4415">
        <v>78.285933102208801</v>
      </c>
      <c r="AM4415">
        <v>91.555196964348795</v>
      </c>
      <c r="AN4415">
        <v>0.99999999093657599</v>
      </c>
    </row>
    <row r="4416" spans="1:40" x14ac:dyDescent="0.25">
      <c r="A4416" t="str">
        <f>"20190303171106532"</f>
        <v>20190303171106532</v>
      </c>
      <c r="B4416" t="str">
        <f>"1551604266525369"</f>
        <v>1551604266525369</v>
      </c>
      <c r="C4416" t="s">
        <v>40</v>
      </c>
      <c r="D4416">
        <v>4.4486679999999996</v>
      </c>
      <c r="E4416">
        <v>0.38937549999999999</v>
      </c>
      <c r="F4416" t="s">
        <v>92</v>
      </c>
      <c r="G4416">
        <v>-388.26690000000002</v>
      </c>
      <c r="H4416">
        <v>0.80434969999999995</v>
      </c>
      <c r="I4416">
        <v>0.80011750000000004</v>
      </c>
      <c r="J4416">
        <v>-417.51549999999997</v>
      </c>
      <c r="K4416">
        <v>1.1297900000000001</v>
      </c>
      <c r="L4416">
        <v>29.23441</v>
      </c>
      <c r="M4416">
        <v>0.51200429999999997</v>
      </c>
      <c r="N4416">
        <v>-1.453979E-2</v>
      </c>
      <c r="O4416">
        <v>-0.85886010000000002</v>
      </c>
      <c r="P4416">
        <v>0.5217849</v>
      </c>
      <c r="Q4416">
        <v>0.18865290000000001</v>
      </c>
      <c r="R4416">
        <v>-0.83195599999999903</v>
      </c>
      <c r="S4416">
        <v>2.2598569999999998</v>
      </c>
      <c r="T4416">
        <v>-2.507591E-2</v>
      </c>
      <c r="U4416">
        <v>-2.2005309999999998</v>
      </c>
      <c r="V4416">
        <v>-2.636349E-2</v>
      </c>
      <c r="W4416">
        <v>0.20240659999999999</v>
      </c>
      <c r="X4416">
        <v>0.9789466</v>
      </c>
      <c r="Y4416">
        <v>-0.25811529999999999</v>
      </c>
      <c r="Z4416">
        <v>-4.1488189999999998E-3</v>
      </c>
      <c r="AA4416">
        <v>0.9661052</v>
      </c>
      <c r="AB4416">
        <v>27</v>
      </c>
      <c r="AC4416">
        <v>29.2485999999999</v>
      </c>
      <c r="AD4416">
        <v>-0.32544030000000002</v>
      </c>
      <c r="AE4416">
        <v>-28.434292500000002</v>
      </c>
      <c r="AF4416">
        <v>-10.562417276118399</v>
      </c>
      <c r="AG4416">
        <v>-0.32544030000000002</v>
      </c>
      <c r="AH4416">
        <v>39.398136131862202</v>
      </c>
      <c r="AI4416">
        <v>90.457127225552298</v>
      </c>
      <c r="AJ4416">
        <v>105.007758934999</v>
      </c>
      <c r="AK4416">
        <v>40.790730574095598</v>
      </c>
      <c r="AL4416">
        <v>78.322273626989499</v>
      </c>
      <c r="AM4416">
        <v>91.54262929315</v>
      </c>
      <c r="AN4416">
        <v>0.99999995549004905</v>
      </c>
    </row>
    <row r="4417" spans="1:40" x14ac:dyDescent="0.25">
      <c r="A4417" t="str">
        <f>"20190303171106546"</f>
        <v>20190303171106546</v>
      </c>
      <c r="B4417" t="str">
        <f>"1551604266535129"</f>
        <v>1551604266535129</v>
      </c>
      <c r="C4417" t="s">
        <v>40</v>
      </c>
      <c r="D4417">
        <v>4.405659</v>
      </c>
      <c r="E4417">
        <v>0.38937549999999999</v>
      </c>
      <c r="F4417" t="s">
        <v>92</v>
      </c>
      <c r="G4417">
        <v>-384.92469999999997</v>
      </c>
      <c r="H4417">
        <v>1.874182</v>
      </c>
      <c r="I4417">
        <v>0.83410839999999997</v>
      </c>
      <c r="J4417">
        <v>-417.42970000000003</v>
      </c>
      <c r="K4417">
        <v>1.129799</v>
      </c>
      <c r="L4417">
        <v>29.104430000000001</v>
      </c>
      <c r="M4417">
        <v>0.51790570000000002</v>
      </c>
      <c r="N4417">
        <v>-1.4546079999999999E-2</v>
      </c>
      <c r="O4417">
        <v>-0.85531429999999997</v>
      </c>
      <c r="P4417">
        <v>0.52733949999999996</v>
      </c>
      <c r="Q4417">
        <v>0.18823490000000001</v>
      </c>
      <c r="R4417">
        <v>-0.82854179999999999</v>
      </c>
      <c r="S4417">
        <v>2.3979189999999999</v>
      </c>
      <c r="T4417">
        <v>5.4767969999999999E-2</v>
      </c>
      <c r="U4417">
        <v>-2.0895999999999999</v>
      </c>
      <c r="V4417">
        <v>-2.6118329999999999E-2</v>
      </c>
      <c r="W4417">
        <v>0.20200080000000001</v>
      </c>
      <c r="X4417">
        <v>0.97903700000000005</v>
      </c>
      <c r="Y4417">
        <v>-0.30428769999999999</v>
      </c>
      <c r="Z4417">
        <v>-2.7382400000000001E-2</v>
      </c>
      <c r="AA4417">
        <v>0.95218650000000005</v>
      </c>
      <c r="AB4417">
        <v>27</v>
      </c>
      <c r="AC4417">
        <v>32.505000000000003</v>
      </c>
      <c r="AD4417">
        <v>0.74438300000000002</v>
      </c>
      <c r="AE4417">
        <v>-28.2703215999999</v>
      </c>
      <c r="AF4417">
        <v>-13.158091391709601</v>
      </c>
      <c r="AG4417">
        <v>0.74438300000000002</v>
      </c>
      <c r="AH4417">
        <v>41.006621701083397</v>
      </c>
      <c r="AI4417">
        <v>89.009757577024104</v>
      </c>
      <c r="AJ4417">
        <v>107.790253140031</v>
      </c>
      <c r="AK4417">
        <v>43.072409944871097</v>
      </c>
      <c r="AL4417">
        <v>78.346014820682498</v>
      </c>
      <c r="AM4417">
        <v>91.528149824196603</v>
      </c>
      <c r="AN4417">
        <v>0.99999996886581399</v>
      </c>
    </row>
    <row r="4418" spans="1:40" x14ac:dyDescent="0.25">
      <c r="A4418" t="str">
        <f>"20190303171106565"</f>
        <v>20190303171106565</v>
      </c>
      <c r="B4418" t="str">
        <f>"1551604266555625"</f>
        <v>1551604266555625</v>
      </c>
      <c r="C4418" t="s">
        <v>40</v>
      </c>
      <c r="D4418">
        <v>4.5395190000000003</v>
      </c>
      <c r="E4418">
        <v>0.33690219999999999</v>
      </c>
      <c r="F4418" t="s">
        <v>92</v>
      </c>
      <c r="G4418">
        <v>-384.69619999999998</v>
      </c>
      <c r="H4418">
        <v>1.8564929999999999</v>
      </c>
      <c r="I4418">
        <v>0.96442410000000001</v>
      </c>
      <c r="J4418">
        <v>-417.30259999999998</v>
      </c>
      <c r="K4418">
        <v>1.129802</v>
      </c>
      <c r="L4418">
        <v>28.915220000000001</v>
      </c>
      <c r="M4418">
        <v>0.52651219999999999</v>
      </c>
      <c r="N4418">
        <v>-1.455412E-2</v>
      </c>
      <c r="O4418">
        <v>-0.850043199999999</v>
      </c>
      <c r="P4418">
        <v>0.53539930000000002</v>
      </c>
      <c r="Q4418">
        <v>0.18764339999999999</v>
      </c>
      <c r="R4418">
        <v>-0.82349130000000004</v>
      </c>
      <c r="S4418">
        <v>2.4119869999999999</v>
      </c>
      <c r="T4418">
        <v>5.3545000000000002E-2</v>
      </c>
      <c r="U4418">
        <v>-2.0735169999999998</v>
      </c>
      <c r="V4418">
        <v>-2.5709200000000001E-2</v>
      </c>
      <c r="W4418">
        <v>0.2014273</v>
      </c>
      <c r="X4418">
        <v>0.97916599999999998</v>
      </c>
      <c r="Y4418">
        <v>-0.30107840000000002</v>
      </c>
      <c r="Z4418">
        <v>-2.6863919999999999E-2</v>
      </c>
      <c r="AA4418">
        <v>0.95322090000000004</v>
      </c>
      <c r="AB4418">
        <v>27</v>
      </c>
      <c r="AC4418">
        <v>32.606400000000001</v>
      </c>
      <c r="AD4418">
        <v>0.72669099999999998</v>
      </c>
      <c r="AE4418">
        <v>-27.950795899999999</v>
      </c>
      <c r="AF4418">
        <v>-12.9980668207525</v>
      </c>
      <c r="AG4418">
        <v>0.72669099999999998</v>
      </c>
      <c r="AH4418">
        <v>40.919663550920703</v>
      </c>
      <c r="AI4418">
        <v>89.030328002544593</v>
      </c>
      <c r="AJ4418">
        <v>107.622368511573</v>
      </c>
      <c r="AK4418">
        <v>42.9406181372226</v>
      </c>
      <c r="AL4418">
        <v>78.379563788229802</v>
      </c>
      <c r="AM4418">
        <v>91.5040251580632</v>
      </c>
      <c r="AN4418">
        <v>0.99999998785296496</v>
      </c>
    </row>
    <row r="4419" spans="1:40" x14ac:dyDescent="0.25">
      <c r="A4419" t="str">
        <f>"20190303171106581"</f>
        <v>20190303171106581</v>
      </c>
      <c r="B4419" t="str">
        <f>"1551604266575145"</f>
        <v>1551604266575145</v>
      </c>
      <c r="C4419" t="s">
        <v>40</v>
      </c>
      <c r="D4419">
        <v>4.5643440000000002</v>
      </c>
      <c r="E4419">
        <v>0.33741850000000001</v>
      </c>
      <c r="F4419" t="s">
        <v>93</v>
      </c>
      <c r="G4419">
        <v>-364.4</v>
      </c>
      <c r="H4419">
        <v>5.9224399999999999</v>
      </c>
      <c r="I4419">
        <v>-5.6528869999999998</v>
      </c>
      <c r="J4419">
        <v>-417.2047</v>
      </c>
      <c r="K4419">
        <v>1.129802</v>
      </c>
      <c r="L4419">
        <v>28.771850000000001</v>
      </c>
      <c r="M4419">
        <v>0.53304240000000003</v>
      </c>
      <c r="N4419">
        <v>-1.455936E-2</v>
      </c>
      <c r="O4419">
        <v>-0.84596349999999998</v>
      </c>
      <c r="P4419">
        <v>0.54152769999999995</v>
      </c>
      <c r="Q4419">
        <v>0.1875706</v>
      </c>
      <c r="R4419">
        <v>-0.81949079999999996</v>
      </c>
      <c r="S4419">
        <v>2.7510379999999999</v>
      </c>
      <c r="T4419">
        <v>0.24922630000000001</v>
      </c>
      <c r="U4419">
        <v>-1.797607</v>
      </c>
      <c r="V4419">
        <v>-2.5463E-2</v>
      </c>
      <c r="W4419">
        <v>0.20136470000000001</v>
      </c>
      <c r="X4419">
        <v>0.97918530000000004</v>
      </c>
      <c r="Y4419">
        <v>-0.4134312</v>
      </c>
      <c r="Z4419">
        <v>-8.3352739999999995E-2</v>
      </c>
      <c r="AA4419">
        <v>0.90671219999999997</v>
      </c>
      <c r="AB4419">
        <v>27</v>
      </c>
      <c r="AC4419">
        <v>52.804699999999997</v>
      </c>
      <c r="AD4419">
        <v>4.7926380000000002</v>
      </c>
      <c r="AE4419">
        <v>-34.424737</v>
      </c>
      <c r="AF4419">
        <v>-26.172491388865598</v>
      </c>
      <c r="AG4419">
        <v>4.7926380000000002</v>
      </c>
      <c r="AH4419">
        <v>56.9460805604852</v>
      </c>
      <c r="AI4419">
        <v>85.627044144758401</v>
      </c>
      <c r="AJ4419">
        <v>114.683572057003</v>
      </c>
      <c r="AK4419">
        <v>62.855586670562197</v>
      </c>
      <c r="AL4419">
        <v>78.383225432323698</v>
      </c>
      <c r="AM4419">
        <v>91.489599277309196</v>
      </c>
      <c r="AN4419">
        <v>0.99999997925558903</v>
      </c>
    </row>
    <row r="4420" spans="1:40" x14ac:dyDescent="0.25">
      <c r="A4420" t="str">
        <f>"20190303171106591"</f>
        <v>20190303171106591</v>
      </c>
      <c r="B4420" t="str">
        <f>"1551604266584905"</f>
        <v>1551604266584905</v>
      </c>
      <c r="C4420" t="s">
        <v>40</v>
      </c>
      <c r="D4420">
        <v>4.5344369999999996</v>
      </c>
      <c r="E4420">
        <v>0.33787889999999998</v>
      </c>
      <c r="F4420" t="s">
        <v>93</v>
      </c>
      <c r="G4420">
        <v>-364.4</v>
      </c>
      <c r="H4420">
        <v>5.6673460000000002</v>
      </c>
      <c r="I4420">
        <v>-5.2591299999999999</v>
      </c>
      <c r="J4420">
        <v>-417.11970000000002</v>
      </c>
      <c r="K4420">
        <v>1.1297999999999999</v>
      </c>
      <c r="L4420">
        <v>28.649660000000001</v>
      </c>
      <c r="M4420">
        <v>0.5386185</v>
      </c>
      <c r="N4420">
        <v>-1.456315E-2</v>
      </c>
      <c r="O4420">
        <v>-0.84242410000000001</v>
      </c>
      <c r="P4420">
        <v>0.54674040000000002</v>
      </c>
      <c r="Q4420">
        <v>0.18786149999999999</v>
      </c>
      <c r="R4420">
        <v>-0.81595530000000005</v>
      </c>
      <c r="S4420">
        <v>2.7629999999999999</v>
      </c>
      <c r="T4420">
        <v>0.2374269</v>
      </c>
      <c r="U4420">
        <v>-1.78067</v>
      </c>
      <c r="V4420">
        <v>-2.5277460000000002E-2</v>
      </c>
      <c r="W4420">
        <v>0.20166229999999999</v>
      </c>
      <c r="X4420">
        <v>0.97912889999999997</v>
      </c>
      <c r="Y4420">
        <v>-0.41341359999999999</v>
      </c>
      <c r="Z4420">
        <v>-7.9674549999999997E-2</v>
      </c>
      <c r="AA4420">
        <v>0.90705080000000005</v>
      </c>
      <c r="AB4420">
        <v>27</v>
      </c>
      <c r="AC4420">
        <v>52.719700000000003</v>
      </c>
      <c r="AD4420">
        <v>4.5375459999999999</v>
      </c>
      <c r="AE4420">
        <v>-33.908790000000003</v>
      </c>
      <c r="AF4420">
        <v>-26.014892019919799</v>
      </c>
      <c r="AG4420">
        <v>4.5375459999999999</v>
      </c>
      <c r="AH4420">
        <v>56.670459481101297</v>
      </c>
      <c r="AI4420">
        <v>85.838037930821201</v>
      </c>
      <c r="AJ4420">
        <v>114.657754354389</v>
      </c>
      <c r="AK4420">
        <v>62.5212356588492</v>
      </c>
      <c r="AL4420">
        <v>78.365817545856302</v>
      </c>
      <c r="AM4420">
        <v>91.478835065445693</v>
      </c>
      <c r="AN4420">
        <v>1.0000000180202699</v>
      </c>
    </row>
    <row r="4421" spans="1:40" x14ac:dyDescent="0.25">
      <c r="A4421" t="str">
        <f>"20190303171106604"</f>
        <v>20190303171106604</v>
      </c>
      <c r="B4421" t="str">
        <f>"1551604266595641"</f>
        <v>1551604266595641</v>
      </c>
      <c r="C4421" t="s">
        <v>40</v>
      </c>
      <c r="D4421">
        <v>4.520562</v>
      </c>
      <c r="E4421">
        <v>0.33848309999999998</v>
      </c>
      <c r="F4421" t="s">
        <v>93</v>
      </c>
      <c r="G4421">
        <v>-364.55130000000003</v>
      </c>
      <c r="H4421">
        <v>5.5760949999999996</v>
      </c>
      <c r="I4421">
        <v>-4.8348319999999996</v>
      </c>
      <c r="J4421">
        <v>-417.03890000000001</v>
      </c>
      <c r="K4421">
        <v>1.1297980000000001</v>
      </c>
      <c r="L4421">
        <v>28.535219999999999</v>
      </c>
      <c r="M4421">
        <v>0.54384549999999998</v>
      </c>
      <c r="N4421">
        <v>-1.456621E-2</v>
      </c>
      <c r="O4421">
        <v>-0.83905909999999995</v>
      </c>
      <c r="P4421">
        <v>0.55170469999999905</v>
      </c>
      <c r="Q4421">
        <v>0.1879634</v>
      </c>
      <c r="R4421">
        <v>-0.81258350000000001</v>
      </c>
      <c r="S4421">
        <v>2.7716669999999999</v>
      </c>
      <c r="T4421">
        <v>0.23443130000000001</v>
      </c>
      <c r="U4421">
        <v>-1.7654719999999999</v>
      </c>
      <c r="V4421">
        <v>-2.5171849999999999E-2</v>
      </c>
      <c r="W4421">
        <v>0.20176920000000001</v>
      </c>
      <c r="X4421">
        <v>0.97910960000000002</v>
      </c>
      <c r="Y4421">
        <v>-0.4126534</v>
      </c>
      <c r="Z4421">
        <v>-7.859004E-2</v>
      </c>
      <c r="AA4421">
        <v>0.90749139999999995</v>
      </c>
      <c r="AB4421">
        <v>27</v>
      </c>
      <c r="AC4421">
        <v>52.487599999999901</v>
      </c>
      <c r="AD4421">
        <v>4.4462970000000004</v>
      </c>
      <c r="AE4421">
        <v>-33.370052000000001</v>
      </c>
      <c r="AF4421">
        <v>-25.763130044840999</v>
      </c>
      <c r="AG4421">
        <v>4.4462970000000004</v>
      </c>
      <c r="AH4421">
        <v>56.263056959170598</v>
      </c>
      <c r="AI4421">
        <v>85.890231455511497</v>
      </c>
      <c r="AJ4421">
        <v>114.603276016782</v>
      </c>
      <c r="AK4421">
        <v>62.040631888387999</v>
      </c>
      <c r="AL4421">
        <v>78.359564110344294</v>
      </c>
      <c r="AM4421">
        <v>91.472688189867696</v>
      </c>
      <c r="AN4421">
        <v>1.00000002045661</v>
      </c>
    </row>
    <row r="4422" spans="1:40" x14ac:dyDescent="0.25">
      <c r="A4422" t="str">
        <f>"20190303171106617"</f>
        <v>20190303171106617</v>
      </c>
      <c r="B4422" t="str">
        <f>"1551604266605401"</f>
        <v>1551604266605401</v>
      </c>
      <c r="C4422" t="s">
        <v>40</v>
      </c>
      <c r="D4422">
        <v>4.5292459999999997</v>
      </c>
      <c r="E4422">
        <v>0.33884999999999998</v>
      </c>
      <c r="F4422" t="s">
        <v>93</v>
      </c>
      <c r="G4422">
        <v>-364.55130000000003</v>
      </c>
      <c r="H4422">
        <v>5.4868370000000004</v>
      </c>
      <c r="I4422">
        <v>-4.5509259999999996</v>
      </c>
      <c r="J4422">
        <v>-416.95479999999998</v>
      </c>
      <c r="K4422">
        <v>1.129796</v>
      </c>
      <c r="L4422">
        <v>28.416930000000001</v>
      </c>
      <c r="M4422">
        <v>0.54924269999999997</v>
      </c>
      <c r="N4422">
        <v>-1.456914E-2</v>
      </c>
      <c r="O4422">
        <v>-0.83553580000000005</v>
      </c>
      <c r="P4422">
        <v>0.55671749999999998</v>
      </c>
      <c r="Q4422">
        <v>0.1882412</v>
      </c>
      <c r="R4422">
        <v>-0.8090927</v>
      </c>
      <c r="S4422">
        <v>2.7789920000000001</v>
      </c>
      <c r="T4422">
        <v>0.23068669999999999</v>
      </c>
      <c r="U4422">
        <v>-1.75177</v>
      </c>
      <c r="V4422">
        <v>-2.4950920000000001E-2</v>
      </c>
      <c r="W4422">
        <v>0.20205409999999999</v>
      </c>
      <c r="X4422">
        <v>0.9790565</v>
      </c>
      <c r="Y4422">
        <v>-0.41115560000000001</v>
      </c>
      <c r="Z4422">
        <v>-7.7273460000000002E-2</v>
      </c>
      <c r="AA4422">
        <v>0.90828399999999998</v>
      </c>
      <c r="AB4422">
        <v>27</v>
      </c>
      <c r="AC4422">
        <v>52.403499999999902</v>
      </c>
      <c r="AD4422">
        <v>4.3570409999999997</v>
      </c>
      <c r="AE4422">
        <v>-32.967855999999998</v>
      </c>
      <c r="AF4422">
        <v>-25.553812368495802</v>
      </c>
      <c r="AG4422">
        <v>4.3570409999999997</v>
      </c>
      <c r="AH4422">
        <v>56.056414580350904</v>
      </c>
      <c r="AI4422">
        <v>85.954542848613499</v>
      </c>
      <c r="AJ4422">
        <v>114.50629004259901</v>
      </c>
      <c r="AK4422">
        <v>61.7600416810428</v>
      </c>
      <c r="AL4422">
        <v>78.3428972507878</v>
      </c>
      <c r="AM4422">
        <v>91.459847355358505</v>
      </c>
      <c r="AN4422">
        <v>1.00000001896395</v>
      </c>
    </row>
    <row r="4423" spans="1:40" x14ac:dyDescent="0.25">
      <c r="A4423" t="str">
        <f>"20190303171106632"</f>
        <v>20190303171106632</v>
      </c>
      <c r="B4423" t="str">
        <f>"1551604266624921"</f>
        <v>1551604266624921</v>
      </c>
      <c r="C4423" t="s">
        <v>40</v>
      </c>
      <c r="D4423">
        <v>4.5261889999999996</v>
      </c>
      <c r="E4423">
        <v>0.34005580000000002</v>
      </c>
      <c r="F4423" t="s">
        <v>93</v>
      </c>
      <c r="G4423">
        <v>-364.55130000000003</v>
      </c>
      <c r="H4423">
        <v>5.4241710000000003</v>
      </c>
      <c r="I4423">
        <v>-4.2252340000000004</v>
      </c>
      <c r="J4423">
        <v>-416.84019999999998</v>
      </c>
      <c r="K4423">
        <v>1.129785</v>
      </c>
      <c r="L4423">
        <v>28.259460000000001</v>
      </c>
      <c r="M4423">
        <v>0.55644749999999998</v>
      </c>
      <c r="N4423">
        <v>-1.457203E-2</v>
      </c>
      <c r="O4423">
        <v>-0.83075489999999996</v>
      </c>
      <c r="P4423">
        <v>0.56357939999999995</v>
      </c>
      <c r="Q4423">
        <v>0.18912870000000001</v>
      </c>
      <c r="R4423">
        <v>-0.80411980000000005</v>
      </c>
      <c r="S4423">
        <v>2.7877809999999998</v>
      </c>
      <c r="T4423">
        <v>0.22845389999999999</v>
      </c>
      <c r="U4423">
        <v>-1.7365109999999999</v>
      </c>
      <c r="V4423">
        <v>-2.494157E-2</v>
      </c>
      <c r="W4423">
        <v>0.20294319999999999</v>
      </c>
      <c r="X4423">
        <v>0.97887279999999999</v>
      </c>
      <c r="Y4423">
        <v>-0.40820509999999999</v>
      </c>
      <c r="Z4423">
        <v>-7.6277159999999997E-2</v>
      </c>
      <c r="AA4423">
        <v>0.90969789999999995</v>
      </c>
      <c r="AB4423">
        <v>27</v>
      </c>
      <c r="AC4423">
        <v>52.288899999999899</v>
      </c>
      <c r="AD4423">
        <v>4.2943860000000003</v>
      </c>
      <c r="AE4423">
        <v>-32.484693999999998</v>
      </c>
      <c r="AF4423">
        <v>-25.243077912038199</v>
      </c>
      <c r="AG4423">
        <v>4.2943860000000003</v>
      </c>
      <c r="AH4423">
        <v>55.817160774591997</v>
      </c>
      <c r="AI4423">
        <v>85.990059402174396</v>
      </c>
      <c r="AJ4423">
        <v>114.334662640055</v>
      </c>
      <c r="AK4423">
        <v>61.410179697887799</v>
      </c>
      <c r="AL4423">
        <v>78.290877536155193</v>
      </c>
      <c r="AM4423">
        <v>91.459574276000495</v>
      </c>
      <c r="AN4423">
        <v>0.99999999146007201</v>
      </c>
    </row>
    <row r="4424" spans="1:40" x14ac:dyDescent="0.25">
      <c r="A4424" t="str">
        <f>"20190303171106646"</f>
        <v>20190303171106646</v>
      </c>
      <c r="B4424" t="str">
        <f>"1551604266635657"</f>
        <v>1551604266635657</v>
      </c>
      <c r="C4424" t="s">
        <v>40</v>
      </c>
      <c r="D4424">
        <v>4.5293029999999996</v>
      </c>
      <c r="E4424">
        <v>0.3405803</v>
      </c>
      <c r="F4424" t="s">
        <v>93</v>
      </c>
      <c r="G4424">
        <v>-364.43770000000001</v>
      </c>
      <c r="H4424">
        <v>5.3270879999999998</v>
      </c>
      <c r="I4424">
        <v>-3.9570479999999999</v>
      </c>
      <c r="J4424">
        <v>-416.75060000000002</v>
      </c>
      <c r="K4424">
        <v>1.1297729999999999</v>
      </c>
      <c r="L4424">
        <v>28.138179999999998</v>
      </c>
      <c r="M4424">
        <v>0.56199829999999995</v>
      </c>
      <c r="N4424">
        <v>-1.457381E-2</v>
      </c>
      <c r="O4424">
        <v>-0.82701029999999998</v>
      </c>
      <c r="P4424">
        <v>0.56877119999999903</v>
      </c>
      <c r="Q4424">
        <v>0.18891150000000001</v>
      </c>
      <c r="R4424">
        <v>-0.80050769999999905</v>
      </c>
      <c r="S4424">
        <v>2.7956240000000001</v>
      </c>
      <c r="T4424">
        <v>0.22392200000000001</v>
      </c>
      <c r="U4424">
        <v>-1.7187190000000001</v>
      </c>
      <c r="V4424">
        <v>-2.468267E-2</v>
      </c>
      <c r="W4424">
        <v>0.202734</v>
      </c>
      <c r="X4424">
        <v>0.97892270000000003</v>
      </c>
      <c r="Y4424">
        <v>-0.40753479999999997</v>
      </c>
      <c r="Z4424">
        <v>-7.4771980000000002E-2</v>
      </c>
      <c r="AA4424">
        <v>0.91012329999999997</v>
      </c>
      <c r="AB4424">
        <v>27</v>
      </c>
      <c r="AC4424">
        <v>52.312899999999999</v>
      </c>
      <c r="AD4424">
        <v>4.1973149999999997</v>
      </c>
      <c r="AE4424">
        <v>-32.095227999999999</v>
      </c>
      <c r="AF4424">
        <v>-25.111069223047402</v>
      </c>
      <c r="AG4424">
        <v>4.1973149999999997</v>
      </c>
      <c r="AH4424">
        <v>55.688312295186101</v>
      </c>
      <c r="AI4424">
        <v>86.069428850152804</v>
      </c>
      <c r="AJ4424">
        <v>114.27164726843399</v>
      </c>
      <c r="AK4424">
        <v>61.232110669321798</v>
      </c>
      <c r="AL4424">
        <v>78.303118144640806</v>
      </c>
      <c r="AM4424">
        <v>91.444356368844893</v>
      </c>
      <c r="AN4424">
        <v>0.999999980764809</v>
      </c>
    </row>
    <row r="4425" spans="1:40" x14ac:dyDescent="0.25">
      <c r="A4425" t="str">
        <f>"20190303171106660"</f>
        <v>20190303171106660</v>
      </c>
      <c r="B4425" t="str">
        <f>"1551604266655178"</f>
        <v>1551604266655178</v>
      </c>
      <c r="C4425" t="s">
        <v>40</v>
      </c>
      <c r="D4425">
        <v>4.5400839999999896</v>
      </c>
      <c r="E4425">
        <v>0.34152059999999901</v>
      </c>
      <c r="F4425" t="s">
        <v>93</v>
      </c>
      <c r="G4425">
        <v>-364.4</v>
      </c>
      <c r="H4425">
        <v>5.2567820000000003</v>
      </c>
      <c r="I4425">
        <v>-3.6564199999999998</v>
      </c>
      <c r="J4425">
        <v>-416.6558</v>
      </c>
      <c r="K4425">
        <v>1.1297630000000001</v>
      </c>
      <c r="L4425">
        <v>28.011230000000001</v>
      </c>
      <c r="M4425">
        <v>0.56780430000000004</v>
      </c>
      <c r="N4425">
        <v>-1.457545E-2</v>
      </c>
      <c r="O4425">
        <v>-0.8230343</v>
      </c>
      <c r="P4425">
        <v>0.57438159999999905</v>
      </c>
      <c r="Q4425">
        <v>0.18856500000000001</v>
      </c>
      <c r="R4425">
        <v>-0.79657359999999999</v>
      </c>
      <c r="S4425">
        <v>2.804138</v>
      </c>
      <c r="T4425">
        <v>0.22106149999999999</v>
      </c>
      <c r="U4425">
        <v>-1.7030639999999999</v>
      </c>
      <c r="V4425">
        <v>-2.4613969999999999E-2</v>
      </c>
      <c r="W4425">
        <v>0.20239170000000001</v>
      </c>
      <c r="X4425">
        <v>0.97899530000000001</v>
      </c>
      <c r="Y4425">
        <v>-0.40611940000000002</v>
      </c>
      <c r="Z4425">
        <v>-7.3686349999999998E-2</v>
      </c>
      <c r="AA4425">
        <v>0.91084430000000005</v>
      </c>
      <c r="AB4425">
        <v>27</v>
      </c>
      <c r="AC4425">
        <v>52.255800000000001</v>
      </c>
      <c r="AD4425">
        <v>4.1270189999999998</v>
      </c>
      <c r="AE4425">
        <v>-31.667649999999998</v>
      </c>
      <c r="AF4425">
        <v>-24.916283273626799</v>
      </c>
      <c r="AG4425">
        <v>4.1270189999999998</v>
      </c>
      <c r="AH4425">
        <v>55.4874277707098</v>
      </c>
      <c r="AI4425">
        <v>86.118387890508799</v>
      </c>
      <c r="AJ4425">
        <v>114.182166906147</v>
      </c>
      <c r="AK4425">
        <v>60.964810330285701</v>
      </c>
      <c r="AL4425">
        <v>78.323146171138305</v>
      </c>
      <c r="AM4425">
        <v>91.440231178088595</v>
      </c>
      <c r="AN4425">
        <v>1.00000002258507</v>
      </c>
    </row>
    <row r="4426" spans="1:40" x14ac:dyDescent="0.25">
      <c r="A4426" t="str">
        <f>"20190303171106673"</f>
        <v>20190303171106673</v>
      </c>
      <c r="B4426" t="str">
        <f>"1551604266664937"</f>
        <v>1551604266664937</v>
      </c>
      <c r="C4426" t="s">
        <v>40</v>
      </c>
      <c r="D4426">
        <v>4.5626540000000002</v>
      </c>
      <c r="E4426">
        <v>0.3420552</v>
      </c>
      <c r="F4426" t="s">
        <v>93</v>
      </c>
      <c r="G4426">
        <v>-364.4</v>
      </c>
      <c r="H4426">
        <v>5.1231439999999999</v>
      </c>
      <c r="I4426">
        <v>-3.3815200000000001</v>
      </c>
      <c r="J4426">
        <v>-416.5557</v>
      </c>
      <c r="K4426">
        <v>1.1297520000000001</v>
      </c>
      <c r="L4426">
        <v>27.879390000000001</v>
      </c>
      <c r="M4426">
        <v>0.57384019999999902</v>
      </c>
      <c r="N4426">
        <v>-1.4576749999999999E-2</v>
      </c>
      <c r="O4426">
        <v>-0.8188375</v>
      </c>
      <c r="P4426">
        <v>0.58020859999999996</v>
      </c>
      <c r="Q4426">
        <v>0.18806870000000001</v>
      </c>
      <c r="R4426">
        <v>-0.79245699999999997</v>
      </c>
      <c r="S4426">
        <v>2.8107600000000001</v>
      </c>
      <c r="T4426">
        <v>0.21479790000000001</v>
      </c>
      <c r="U4426">
        <v>-1.6885680000000001</v>
      </c>
      <c r="V4426">
        <v>-2.4513799999999999E-2</v>
      </c>
      <c r="W4426">
        <v>0.20190089999999999</v>
      </c>
      <c r="X4426">
        <v>0.97909919999999995</v>
      </c>
      <c r="Y4426">
        <v>-0.4039393</v>
      </c>
      <c r="Z4426">
        <v>-7.1623969999999995E-2</v>
      </c>
      <c r="AA4426">
        <v>0.9119775</v>
      </c>
      <c r="AB4426">
        <v>27</v>
      </c>
      <c r="AC4426">
        <v>52.155700000000003</v>
      </c>
      <c r="AD4426">
        <v>3.9933919999999898</v>
      </c>
      <c r="AE4426">
        <v>-31.260909999999999</v>
      </c>
      <c r="AF4426">
        <v>-24.664530802478801</v>
      </c>
      <c r="AG4426">
        <v>3.9933919999999898</v>
      </c>
      <c r="AH4426">
        <v>55.294061689891002</v>
      </c>
      <c r="AI4426">
        <v>86.226422741850399</v>
      </c>
      <c r="AJ4426">
        <v>114.03979202736799</v>
      </c>
      <c r="AK4426">
        <v>60.677174600813103</v>
      </c>
      <c r="AL4426">
        <v>78.351860300230101</v>
      </c>
      <c r="AM4426">
        <v>91.434220260031196</v>
      </c>
      <c r="AN4426">
        <v>1.0000000716259401</v>
      </c>
    </row>
    <row r="4427" spans="1:40" x14ac:dyDescent="0.25">
      <c r="A4427" t="str">
        <f>"20190303171106688"</f>
        <v>20190303171106688</v>
      </c>
      <c r="B4427" t="str">
        <f>"1551604266675673"</f>
        <v>1551604266675673</v>
      </c>
      <c r="C4427" t="s">
        <v>40</v>
      </c>
      <c r="D4427">
        <v>4.5445799999999998</v>
      </c>
      <c r="E4427">
        <v>0.34243859999999998</v>
      </c>
      <c r="F4427" t="s">
        <v>93</v>
      </c>
      <c r="G4427">
        <v>-364.4</v>
      </c>
      <c r="H4427">
        <v>5.0217729999999996</v>
      </c>
      <c r="I4427">
        <v>-3.029163</v>
      </c>
      <c r="J4427">
        <v>-416.45209999999997</v>
      </c>
      <c r="K4427">
        <v>1.12974</v>
      </c>
      <c r="L4427">
        <v>27.74539</v>
      </c>
      <c r="M4427">
        <v>0.57998169999999905</v>
      </c>
      <c r="N4427">
        <v>-1.4577659999999999E-2</v>
      </c>
      <c r="O4427">
        <v>-0.81449899999999997</v>
      </c>
      <c r="P4427">
        <v>0.58670049999999996</v>
      </c>
      <c r="Q4427">
        <v>0.1873245</v>
      </c>
      <c r="R4427">
        <v>-0.78784019999999899</v>
      </c>
      <c r="S4427">
        <v>2.8199160000000001</v>
      </c>
      <c r="T4427">
        <v>0.21043110000000001</v>
      </c>
      <c r="U4427">
        <v>-1.671143</v>
      </c>
      <c r="V4427">
        <v>-2.50738E-2</v>
      </c>
      <c r="W4427">
        <v>0.20114850000000001</v>
      </c>
      <c r="X4427">
        <v>0.97923979999999999</v>
      </c>
      <c r="Y4427">
        <v>-0.4026303</v>
      </c>
      <c r="Z4427">
        <v>-7.0101129999999998E-2</v>
      </c>
      <c r="AA4427">
        <v>0.91267450000000006</v>
      </c>
      <c r="AB4427">
        <v>27</v>
      </c>
      <c r="AC4427">
        <v>52.052100000000003</v>
      </c>
      <c r="AD4427">
        <v>3.8920330000000001</v>
      </c>
      <c r="AE4427">
        <v>-30.774553000000001</v>
      </c>
      <c r="AF4427">
        <v>-24.449029671285199</v>
      </c>
      <c r="AG4427">
        <v>3.8920330000000001</v>
      </c>
      <c r="AH4427">
        <v>55.032995198352197</v>
      </c>
      <c r="AI4427">
        <v>86.302071211399905</v>
      </c>
      <c r="AJ4427">
        <v>113.953725569138</v>
      </c>
      <c r="AK4427">
        <v>60.345120210687497</v>
      </c>
      <c r="AL4427">
        <v>78.395871784175796</v>
      </c>
      <c r="AM4427">
        <v>91.466759289194002</v>
      </c>
      <c r="AN4427">
        <v>1.00000000020136</v>
      </c>
    </row>
    <row r="4428" spans="1:40" x14ac:dyDescent="0.25">
      <c r="A4428" t="str">
        <f>"20190303171106703"</f>
        <v>20190303171106703</v>
      </c>
      <c r="B4428" t="str">
        <f>"1551604266695193"</f>
        <v>1551604266695193</v>
      </c>
      <c r="C4428" t="s">
        <v>40</v>
      </c>
      <c r="D4428">
        <v>4.5434299999999999</v>
      </c>
      <c r="E4428">
        <v>0.34325319999999998</v>
      </c>
      <c r="F4428" t="s">
        <v>93</v>
      </c>
      <c r="G4428">
        <v>-364.55130000000003</v>
      </c>
      <c r="H4428">
        <v>4.8939149999999998</v>
      </c>
      <c r="I4428">
        <v>-2.511393</v>
      </c>
      <c r="J4428">
        <v>-416.34899999999999</v>
      </c>
      <c r="K4428">
        <v>1.1297269999999999</v>
      </c>
      <c r="L4428">
        <v>27.613800000000001</v>
      </c>
      <c r="M4428">
        <v>0.58601029999999998</v>
      </c>
      <c r="N4428">
        <v>-1.457835E-2</v>
      </c>
      <c r="O4428">
        <v>-0.81017240000000001</v>
      </c>
      <c r="P4428">
        <v>0.59311069999999999</v>
      </c>
      <c r="Q4428">
        <v>0.18695400000000001</v>
      </c>
      <c r="R4428">
        <v>-0.78311409999999904</v>
      </c>
      <c r="S4428">
        <v>2.831299</v>
      </c>
      <c r="T4428">
        <v>0.205344</v>
      </c>
      <c r="U4428">
        <v>-1.650574</v>
      </c>
      <c r="V4428">
        <v>-2.5735640000000001E-2</v>
      </c>
      <c r="W4428">
        <v>0.20076640000000001</v>
      </c>
      <c r="X4428">
        <v>0.97930099999999998</v>
      </c>
      <c r="Y4428">
        <v>-0.40249620000000003</v>
      </c>
      <c r="Z4428">
        <v>-6.8392140000000004E-2</v>
      </c>
      <c r="AA4428">
        <v>0.91286330000000004</v>
      </c>
      <c r="AB4428">
        <v>27</v>
      </c>
      <c r="AC4428">
        <v>51.797699999999899</v>
      </c>
      <c r="AD4428">
        <v>3.7641879999999999</v>
      </c>
      <c r="AE4428">
        <v>-30.125192999999999</v>
      </c>
      <c r="AF4428">
        <v>-24.218406583127599</v>
      </c>
      <c r="AG4428">
        <v>3.7641879999999999</v>
      </c>
      <c r="AH4428">
        <v>54.551135686401999</v>
      </c>
      <c r="AI4428">
        <v>86.391303361655901</v>
      </c>
      <c r="AJ4428">
        <v>113.939205158063</v>
      </c>
      <c r="AK4428">
        <v>59.804069538797002</v>
      </c>
      <c r="AL4428">
        <v>78.418219937260602</v>
      </c>
      <c r="AM4428">
        <v>91.505363771864893</v>
      </c>
      <c r="AN4428">
        <v>0.99999995956808396</v>
      </c>
    </row>
    <row r="4429" spans="1:40" x14ac:dyDescent="0.25">
      <c r="A4429" t="str">
        <f>"20190303171106714"</f>
        <v>20190303171106714</v>
      </c>
      <c r="B4429" t="str">
        <f>"1551604266704953"</f>
        <v>1551604266704953</v>
      </c>
      <c r="C4429" t="s">
        <v>40</v>
      </c>
      <c r="D4429">
        <v>4.4506489999999896</v>
      </c>
      <c r="E4429">
        <v>0.34284100000000001</v>
      </c>
      <c r="F4429" t="s">
        <v>93</v>
      </c>
      <c r="G4429">
        <v>-364.55130000000003</v>
      </c>
      <c r="H4429">
        <v>4.7794349999999897</v>
      </c>
      <c r="I4429">
        <v>-2.1551200000000001</v>
      </c>
      <c r="J4429">
        <v>-416.2527</v>
      </c>
      <c r="K4429">
        <v>1.1297159999999999</v>
      </c>
      <c r="L4429">
        <v>27.492429999999999</v>
      </c>
      <c r="M4429">
        <v>0.59156790000000004</v>
      </c>
      <c r="N4429">
        <v>-1.4578839999999999E-2</v>
      </c>
      <c r="O4429">
        <v>-0.80612359999999905</v>
      </c>
      <c r="P4429">
        <v>0.59875259999999997</v>
      </c>
      <c r="Q4429">
        <v>0.18712300000000001</v>
      </c>
      <c r="R4429">
        <v>-0.77876859999999903</v>
      </c>
      <c r="S4429">
        <v>2.839966</v>
      </c>
      <c r="T4429">
        <v>0.20010629999999999</v>
      </c>
      <c r="U4429">
        <v>-1.632172</v>
      </c>
      <c r="V4429">
        <v>-2.6098980000000001E-2</v>
      </c>
      <c r="W4429">
        <v>0.20092840000000001</v>
      </c>
      <c r="X4429">
        <v>0.97925819999999997</v>
      </c>
      <c r="Y4429">
        <v>-0.40196130000000002</v>
      </c>
      <c r="Z4429">
        <v>-6.6678150000000005E-2</v>
      </c>
      <c r="AA4429">
        <v>0.91322570000000003</v>
      </c>
      <c r="AB4429">
        <v>27</v>
      </c>
      <c r="AC4429">
        <v>51.7013999999999</v>
      </c>
      <c r="AD4429">
        <v>3.6497189999999899</v>
      </c>
      <c r="AE4429">
        <v>-29.647549999999999</v>
      </c>
      <c r="AF4429">
        <v>-24.0515448779454</v>
      </c>
      <c r="AG4429">
        <v>3.6497189999999899</v>
      </c>
      <c r="AH4429">
        <v>54.286677814699701</v>
      </c>
      <c r="AI4429">
        <v>86.482578719799804</v>
      </c>
      <c r="AJ4429">
        <v>113.895589385167</v>
      </c>
      <c r="AK4429">
        <v>59.488155526556703</v>
      </c>
      <c r="AL4429">
        <v>78.408745425035093</v>
      </c>
      <c r="AM4429">
        <v>91.526673449209397</v>
      </c>
      <c r="AN4429">
        <v>1.0000000004754199</v>
      </c>
    </row>
    <row r="4430" spans="1:40" x14ac:dyDescent="0.25">
      <c r="A4430" t="str">
        <f>"20190303171106727"</f>
        <v>20190303171106727</v>
      </c>
      <c r="B4430" t="str">
        <f>"1551604266715690"</f>
        <v>1551604266715690</v>
      </c>
      <c r="C4430" t="s">
        <v>40</v>
      </c>
      <c r="D4430">
        <v>4.4653600000000004</v>
      </c>
      <c r="E4430">
        <v>0.34246919999999997</v>
      </c>
      <c r="F4430" t="s">
        <v>93</v>
      </c>
      <c r="G4430">
        <v>-364.4</v>
      </c>
      <c r="H4430">
        <v>4.8374389999999998</v>
      </c>
      <c r="I4430">
        <v>-1.754713</v>
      </c>
      <c r="J4430">
        <v>-416.16550000000001</v>
      </c>
      <c r="K4430">
        <v>1.1297090000000001</v>
      </c>
      <c r="L4430">
        <v>27.384640000000001</v>
      </c>
      <c r="M4430">
        <v>0.59651750000000003</v>
      </c>
      <c r="N4430">
        <v>-1.457893E-2</v>
      </c>
      <c r="O4430">
        <v>-0.80246770000000001</v>
      </c>
      <c r="P4430">
        <v>0.60392419999999902</v>
      </c>
      <c r="Q4430">
        <v>0.1873862</v>
      </c>
      <c r="R4430">
        <v>-0.77470150000000004</v>
      </c>
      <c r="S4430">
        <v>2.8533940000000002</v>
      </c>
      <c r="T4430">
        <v>0.20403160000000001</v>
      </c>
      <c r="U4430">
        <v>-1.6094360000000001</v>
      </c>
      <c r="V4430">
        <v>-2.663223E-2</v>
      </c>
      <c r="W4430">
        <v>0.2011802</v>
      </c>
      <c r="X4430">
        <v>0.97919210000000001</v>
      </c>
      <c r="Y4430">
        <v>-0.40362219999999999</v>
      </c>
      <c r="Z4430">
        <v>-6.7576549999999999E-2</v>
      </c>
      <c r="AA4430">
        <v>0.91242679999999998</v>
      </c>
      <c r="AB4430">
        <v>27</v>
      </c>
      <c r="AC4430">
        <v>51.765500000000003</v>
      </c>
      <c r="AD4430">
        <v>3.7077300000000002</v>
      </c>
      <c r="AE4430">
        <v>-29.139353</v>
      </c>
      <c r="AF4430">
        <v>-24.066815758100699</v>
      </c>
      <c r="AG4430">
        <v>3.7077300000000002</v>
      </c>
      <c r="AH4430">
        <v>54.057585750154701</v>
      </c>
      <c r="AI4430">
        <v>86.4145774906291</v>
      </c>
      <c r="AJ4430">
        <v>113.998963222103</v>
      </c>
      <c r="AK4430">
        <v>59.288965749307899</v>
      </c>
      <c r="AL4430">
        <v>78.3940171146441</v>
      </c>
      <c r="AM4430">
        <v>91.557956079126697</v>
      </c>
      <c r="AN4430">
        <v>0.99999995862461</v>
      </c>
    </row>
    <row r="4431" spans="1:40" x14ac:dyDescent="0.25">
      <c r="A4431" t="str">
        <f>"20190303171106740"</f>
        <v>20190303171106740</v>
      </c>
      <c r="B4431" t="str">
        <f>"1551604266735209"</f>
        <v>1551604266735209</v>
      </c>
      <c r="C4431" t="s">
        <v>40</v>
      </c>
      <c r="D4431">
        <v>4.406498</v>
      </c>
      <c r="E4431">
        <v>0.3424972</v>
      </c>
      <c r="F4431" t="s">
        <v>93</v>
      </c>
      <c r="G4431">
        <v>-364.4</v>
      </c>
      <c r="H4431">
        <v>4.8898979999999996</v>
      </c>
      <c r="I4431">
        <v>-1.3005910000000001</v>
      </c>
      <c r="J4431">
        <v>-416.07470000000001</v>
      </c>
      <c r="K4431">
        <v>1.1296999999999999</v>
      </c>
      <c r="L4431">
        <v>27.273160000000001</v>
      </c>
      <c r="M4431">
        <v>0.60162910000000003</v>
      </c>
      <c r="N4431">
        <v>-1.457901E-2</v>
      </c>
      <c r="O4431">
        <v>-0.79864279999999999</v>
      </c>
      <c r="P4431">
        <v>0.60899519999999996</v>
      </c>
      <c r="Q4431">
        <v>0.1879054</v>
      </c>
      <c r="R4431">
        <v>-0.77059529999999998</v>
      </c>
      <c r="S4431">
        <v>2.8658450000000002</v>
      </c>
      <c r="T4431">
        <v>0.20817179999999999</v>
      </c>
      <c r="U4431">
        <v>-1.588074</v>
      </c>
      <c r="V4431">
        <v>-2.6888470000000001E-2</v>
      </c>
      <c r="W4431">
        <v>0.20169309999999999</v>
      </c>
      <c r="X4431">
        <v>0.97907960000000005</v>
      </c>
      <c r="Y4431">
        <v>-0.40459729999999999</v>
      </c>
      <c r="Z4431">
        <v>-6.8507120000000005E-2</v>
      </c>
      <c r="AA4431">
        <v>0.91192530000000005</v>
      </c>
      <c r="AB4431">
        <v>27</v>
      </c>
      <c r="AC4431">
        <v>51.674700000000001</v>
      </c>
      <c r="AD4431">
        <v>3.7601979999999999</v>
      </c>
      <c r="AE4431">
        <v>-28.573751000000001</v>
      </c>
      <c r="AF4431">
        <v>-23.984122760453101</v>
      </c>
      <c r="AG4431">
        <v>3.7601979999999999</v>
      </c>
      <c r="AH4431">
        <v>53.697193828686103</v>
      </c>
      <c r="AI4431">
        <v>86.341603818816694</v>
      </c>
      <c r="AJ4431">
        <v>114.06816838822699</v>
      </c>
      <c r="AK4431">
        <v>58.930177826502202</v>
      </c>
      <c r="AL4431">
        <v>78.364015362498805</v>
      </c>
      <c r="AM4431">
        <v>91.573118987811299</v>
      </c>
      <c r="AN4431">
        <v>0.99999997977135502</v>
      </c>
    </row>
    <row r="4432" spans="1:40" x14ac:dyDescent="0.25">
      <c r="A4432" t="str">
        <f>"20190303171106755"</f>
        <v>20190303171106755</v>
      </c>
      <c r="B4432" t="str">
        <f>"1551604266744969"</f>
        <v>1551604266744969</v>
      </c>
      <c r="C4432" t="s">
        <v>40</v>
      </c>
      <c r="D4432">
        <v>4.4563420000000002</v>
      </c>
      <c r="E4432">
        <v>0.34240169999999998</v>
      </c>
      <c r="F4432" t="s">
        <v>93</v>
      </c>
      <c r="G4432">
        <v>-364.4</v>
      </c>
      <c r="H4432">
        <v>4.9300490000000003</v>
      </c>
      <c r="I4432">
        <v>-0.91836119999999999</v>
      </c>
      <c r="J4432">
        <v>-415.95100000000002</v>
      </c>
      <c r="K4432">
        <v>1.1296889999999999</v>
      </c>
      <c r="L4432">
        <v>27.123840000000001</v>
      </c>
      <c r="M4432">
        <v>0.60848000000000002</v>
      </c>
      <c r="N4432">
        <v>-1.4578900000000001E-2</v>
      </c>
      <c r="O4432">
        <v>-0.79343540000000001</v>
      </c>
      <c r="P4432">
        <v>0.61627959999999904</v>
      </c>
      <c r="Q4432">
        <v>0.18847729999999999</v>
      </c>
      <c r="R4432">
        <v>-0.76464119999999902</v>
      </c>
      <c r="S4432">
        <v>2.8757320000000002</v>
      </c>
      <c r="T4432">
        <v>0.21149209999999999</v>
      </c>
      <c r="U4432">
        <v>-1.568878</v>
      </c>
      <c r="V4432">
        <v>-2.7846030000000001E-2</v>
      </c>
      <c r="W4432">
        <v>0.2022446</v>
      </c>
      <c r="X4432">
        <v>0.97893909999999995</v>
      </c>
      <c r="Y4432">
        <v>-0.40268749999999998</v>
      </c>
      <c r="Z4432">
        <v>-6.9079290000000002E-2</v>
      </c>
      <c r="AA4432">
        <v>0.91272710000000001</v>
      </c>
      <c r="AB4432">
        <v>27</v>
      </c>
      <c r="AC4432">
        <v>51.550999999999902</v>
      </c>
      <c r="AD4432">
        <v>3.80036</v>
      </c>
      <c r="AE4432">
        <v>-28.042201199999901</v>
      </c>
      <c r="AF4432">
        <v>-23.742232312421098</v>
      </c>
      <c r="AG4432">
        <v>3.80036</v>
      </c>
      <c r="AH4432">
        <v>53.3991786329589</v>
      </c>
      <c r="AI4432">
        <v>86.279250960777603</v>
      </c>
      <c r="AJ4432">
        <v>113.97078888451399</v>
      </c>
      <c r="AK4432">
        <v>58.562860329574299</v>
      </c>
      <c r="AL4432">
        <v>78.3317523334143</v>
      </c>
      <c r="AM4432">
        <v>91.629345375534399</v>
      </c>
      <c r="AN4432">
        <v>1.00000002056236</v>
      </c>
    </row>
    <row r="4433" spans="1:40" x14ac:dyDescent="0.25">
      <c r="A4433" t="str">
        <f>"20190303171106779"</f>
        <v>20190303171106779</v>
      </c>
      <c r="B4433" t="str">
        <f>"1551604266765465"</f>
        <v>1551604266765465</v>
      </c>
      <c r="C4433" t="s">
        <v>40</v>
      </c>
      <c r="D4433">
        <v>4.4503149999999998</v>
      </c>
      <c r="E4433">
        <v>0.34238059999999998</v>
      </c>
      <c r="F4433" t="s">
        <v>93</v>
      </c>
      <c r="G4433">
        <v>-364.55130000000003</v>
      </c>
      <c r="H4433">
        <v>4.953309</v>
      </c>
      <c r="I4433">
        <v>-0.26984360000000002</v>
      </c>
      <c r="J4433">
        <v>-415.78590000000003</v>
      </c>
      <c r="K4433">
        <v>1.129669</v>
      </c>
      <c r="L4433">
        <v>26.928740000000001</v>
      </c>
      <c r="M4433">
        <v>0.61744489999999996</v>
      </c>
      <c r="N4433">
        <v>-1.457817E-2</v>
      </c>
      <c r="O4433">
        <v>-0.78647919999999905</v>
      </c>
      <c r="P4433">
        <v>0.62571840000000001</v>
      </c>
      <c r="Q4433">
        <v>0.1885261</v>
      </c>
      <c r="R4433">
        <v>-0.7569245</v>
      </c>
      <c r="S4433">
        <v>2.890717</v>
      </c>
      <c r="T4433">
        <v>0.21504019999999999</v>
      </c>
      <c r="U4433">
        <v>-1.540619</v>
      </c>
      <c r="V4433">
        <v>-2.8883989999999998E-2</v>
      </c>
      <c r="W4433">
        <v>0.20227210000000001</v>
      </c>
      <c r="X4433">
        <v>0.97890330000000003</v>
      </c>
      <c r="Y4433">
        <v>-0.40116649999999998</v>
      </c>
      <c r="Z4433">
        <v>-6.9588090000000005E-2</v>
      </c>
      <c r="AA4433">
        <v>0.913358</v>
      </c>
      <c r="AB4433">
        <v>27</v>
      </c>
      <c r="AC4433">
        <v>51.2346</v>
      </c>
      <c r="AD4433">
        <v>3.8236400000000001</v>
      </c>
      <c r="AE4433">
        <v>-27.198583599999999</v>
      </c>
      <c r="AF4433">
        <v>-23.402130110101702</v>
      </c>
      <c r="AG4433">
        <v>3.8236400000000001</v>
      </c>
      <c r="AH4433">
        <v>52.801861039471298</v>
      </c>
      <c r="AI4433">
        <v>86.212321703293895</v>
      </c>
      <c r="AJ4433">
        <v>113.903234297542</v>
      </c>
      <c r="AK4433">
        <v>57.881918124500402</v>
      </c>
      <c r="AL4433">
        <v>78.330142955931194</v>
      </c>
      <c r="AM4433">
        <v>91.690106361377303</v>
      </c>
      <c r="AN4433">
        <v>0.99999997903380899</v>
      </c>
    </row>
    <row r="4434" spans="1:40" x14ac:dyDescent="0.25">
      <c r="A4434" t="str">
        <f>"20190303171106792"</f>
        <v>20190303171106792</v>
      </c>
      <c r="B4434" t="str">
        <f>"1551604266784986"</f>
        <v>1551604266784986</v>
      </c>
      <c r="C4434" t="s">
        <v>40</v>
      </c>
      <c r="D4434">
        <v>4.4594509999999996</v>
      </c>
      <c r="E4434">
        <v>0.3429816</v>
      </c>
      <c r="F4434" t="s">
        <v>93</v>
      </c>
      <c r="G4434">
        <v>-364.33530000000002</v>
      </c>
      <c r="H4434">
        <v>4.9738850000000001</v>
      </c>
      <c r="I4434">
        <v>0.32207439999999998</v>
      </c>
      <c r="J4434">
        <v>-415.6712</v>
      </c>
      <c r="K4434">
        <v>1.129656</v>
      </c>
      <c r="L4434">
        <v>26.7959</v>
      </c>
      <c r="M4434">
        <v>0.62355660000000002</v>
      </c>
      <c r="N4434">
        <v>-1.4577390000000001E-2</v>
      </c>
      <c r="O4434">
        <v>-0.78164250000000002</v>
      </c>
      <c r="P4434">
        <v>0.63223030000000002</v>
      </c>
      <c r="Q4434">
        <v>0.1884209</v>
      </c>
      <c r="R4434">
        <v>-0.75152019999999997</v>
      </c>
      <c r="S4434">
        <v>2.909119</v>
      </c>
      <c r="T4434">
        <v>0.21735969999999999</v>
      </c>
      <c r="U4434">
        <v>-1.5043949999999999</v>
      </c>
      <c r="V4434">
        <v>-2.968341E-2</v>
      </c>
      <c r="W4434">
        <v>0.20215069999999999</v>
      </c>
      <c r="X4434">
        <v>0.97890449999999996</v>
      </c>
      <c r="Y4434">
        <v>-0.40531800000000001</v>
      </c>
      <c r="Z4434">
        <v>-6.9995130000000003E-2</v>
      </c>
      <c r="AA4434">
        <v>0.91149219999999997</v>
      </c>
      <c r="AB4434">
        <v>27</v>
      </c>
      <c r="AC4434">
        <v>51.335899999999903</v>
      </c>
      <c r="AD4434">
        <v>3.8442289999999999</v>
      </c>
      <c r="AE4434">
        <v>-26.473825600000001</v>
      </c>
      <c r="AF4434">
        <v>-23.516729502208602</v>
      </c>
      <c r="AG4434">
        <v>3.8442289999999999</v>
      </c>
      <c r="AH4434">
        <v>52.477047738544599</v>
      </c>
      <c r="AI4434">
        <v>86.175477982764804</v>
      </c>
      <c r="AJ4434">
        <v>114.138755541281</v>
      </c>
      <c r="AK4434">
        <v>57.633802602621799</v>
      </c>
      <c r="AL4434">
        <v>78.337245814544005</v>
      </c>
      <c r="AM4434">
        <v>91.736852913339604</v>
      </c>
      <c r="AN4434">
        <v>1.0000000152299799</v>
      </c>
    </row>
    <row r="4435" spans="1:40" x14ac:dyDescent="0.25">
      <c r="A4435" t="str">
        <f>"20190303171106806"</f>
        <v>20190303171106806</v>
      </c>
      <c r="B4435" t="str">
        <f>"1551604266795721"</f>
        <v>1551604266795721</v>
      </c>
      <c r="C4435" t="s">
        <v>40</v>
      </c>
      <c r="D4435">
        <v>4.4353860000000003</v>
      </c>
      <c r="E4435">
        <v>0.34333049999999998</v>
      </c>
      <c r="F4435" t="s">
        <v>93</v>
      </c>
      <c r="G4435">
        <v>-363.2525</v>
      </c>
      <c r="H4435">
        <v>4.9911180000000002</v>
      </c>
      <c r="I4435">
        <v>0.16534849999999901</v>
      </c>
      <c r="J4435">
        <v>-415.57010000000002</v>
      </c>
      <c r="K4435">
        <v>1.1296469999999901</v>
      </c>
      <c r="L4435">
        <v>26.68066</v>
      </c>
      <c r="M4435">
        <v>0.62886209999999998</v>
      </c>
      <c r="N4435">
        <v>-1.45766E-2</v>
      </c>
      <c r="O4435">
        <v>-0.77738019999999997</v>
      </c>
      <c r="P4435">
        <v>0.63782680000000003</v>
      </c>
      <c r="Q4435">
        <v>0.18795809999999999</v>
      </c>
      <c r="R4435">
        <v>-0.74689289999999997</v>
      </c>
      <c r="S4435">
        <v>2.9185490000000001</v>
      </c>
      <c r="T4435">
        <v>0.2149972</v>
      </c>
      <c r="U4435">
        <v>-1.4827269999999999</v>
      </c>
      <c r="V4435">
        <v>-3.0247019999999999E-2</v>
      </c>
      <c r="W4435">
        <v>0.2016772</v>
      </c>
      <c r="X4435">
        <v>0.97898490000000005</v>
      </c>
      <c r="Y4435">
        <v>-0.40572409999999998</v>
      </c>
      <c r="Z4435">
        <v>-6.9089979999999995E-2</v>
      </c>
      <c r="AA4435">
        <v>0.91138059999999999</v>
      </c>
      <c r="AB4435">
        <v>27</v>
      </c>
      <c r="AC4435">
        <v>52.317599999999999</v>
      </c>
      <c r="AD4435">
        <v>3.8614709999999999</v>
      </c>
      <c r="AE4435">
        <v>-26.515311499999999</v>
      </c>
      <c r="AF4435">
        <v>-23.895171942561198</v>
      </c>
      <c r="AG4435">
        <v>3.8614709999999999</v>
      </c>
      <c r="AH4435">
        <v>53.287753076080001</v>
      </c>
      <c r="AI4435">
        <v>86.217049995656197</v>
      </c>
      <c r="AJ4435">
        <v>114.152308742052</v>
      </c>
      <c r="AK4435">
        <v>58.527556145337897</v>
      </c>
      <c r="AL4435">
        <v>78.364945774481399</v>
      </c>
      <c r="AM4435">
        <v>91.769665156078901</v>
      </c>
      <c r="AN4435">
        <v>1.0000000048233599</v>
      </c>
    </row>
    <row r="4436" spans="1:40" x14ac:dyDescent="0.25">
      <c r="A4436" t="str">
        <f>"20190303171106820"</f>
        <v>20190303171106820</v>
      </c>
      <c r="B4436" t="str">
        <f>"1551604266815242"</f>
        <v>1551604266815242</v>
      </c>
      <c r="C4436" t="s">
        <v>40</v>
      </c>
      <c r="D4436">
        <v>4.5025940000000002</v>
      </c>
      <c r="E4436">
        <v>0.35855530000000002</v>
      </c>
      <c r="F4436" t="s">
        <v>93</v>
      </c>
      <c r="G4436">
        <v>-362.55220000000003</v>
      </c>
      <c r="H4436">
        <v>4.9663750000000002</v>
      </c>
      <c r="I4436">
        <v>0.18085100000000001</v>
      </c>
      <c r="J4436">
        <v>-415.46319999999997</v>
      </c>
      <c r="K4436">
        <v>1.1296360000000001</v>
      </c>
      <c r="L4436">
        <v>26.56015</v>
      </c>
      <c r="M4436">
        <v>0.63440649999999998</v>
      </c>
      <c r="N4436">
        <v>-1.457574E-2</v>
      </c>
      <c r="O4436">
        <v>-0.77286239999999995</v>
      </c>
      <c r="P4436">
        <v>0.64358649999999995</v>
      </c>
      <c r="Q4436">
        <v>0.1877868</v>
      </c>
      <c r="R4436">
        <v>-0.74197919999999995</v>
      </c>
      <c r="S4436">
        <v>2.927521</v>
      </c>
      <c r="T4436">
        <v>0.21185509999999999</v>
      </c>
      <c r="U4436">
        <v>-1.463257</v>
      </c>
      <c r="V4436">
        <v>-3.0784099999999998E-2</v>
      </c>
      <c r="W4436">
        <v>0.20149510000000001</v>
      </c>
      <c r="X4436">
        <v>0.97900560000000003</v>
      </c>
      <c r="Y4436">
        <v>-0.40523310000000001</v>
      </c>
      <c r="Z4436">
        <v>-6.7925890000000003E-2</v>
      </c>
      <c r="AA4436">
        <v>0.91168649999999996</v>
      </c>
      <c r="AB4436">
        <v>27</v>
      </c>
      <c r="AC4436">
        <v>52.910999999999902</v>
      </c>
      <c r="AD4436">
        <v>3.8367390000000001</v>
      </c>
      <c r="AE4436">
        <v>-26.379299</v>
      </c>
      <c r="AF4436">
        <v>-24.058965077987601</v>
      </c>
      <c r="AG4436">
        <v>3.8367390000000001</v>
      </c>
      <c r="AH4436">
        <v>53.734079929073701</v>
      </c>
      <c r="AI4436">
        <v>86.271403939522997</v>
      </c>
      <c r="AJ4436">
        <v>114.120032099136</v>
      </c>
      <c r="AK4436">
        <v>58.999200948843601</v>
      </c>
      <c r="AL4436">
        <v>78.375597377590793</v>
      </c>
      <c r="AM4436">
        <v>91.801029572482605</v>
      </c>
      <c r="AN4436">
        <v>0.99999995048408796</v>
      </c>
    </row>
    <row r="4437" spans="1:40" x14ac:dyDescent="0.25">
      <c r="A4437" t="str">
        <f>"20190303171106833"</f>
        <v>20190303171106833</v>
      </c>
      <c r="B4437" t="str">
        <f>"1551604266825001"</f>
        <v>1551604266825001</v>
      </c>
      <c r="C4437" t="s">
        <v>40</v>
      </c>
      <c r="D4437">
        <v>4.4460959999999998</v>
      </c>
      <c r="E4437">
        <v>0.35773250000000001</v>
      </c>
      <c r="F4437" t="s">
        <v>93</v>
      </c>
      <c r="G4437">
        <v>-364.4</v>
      </c>
      <c r="H4437">
        <v>3.8723740000000002</v>
      </c>
      <c r="I4437">
        <v>-0.72071929999999995</v>
      </c>
      <c r="J4437">
        <v>-415.35140000000001</v>
      </c>
      <c r="K4437">
        <v>1.1296250000000001</v>
      </c>
      <c r="L4437">
        <v>26.435970000000001</v>
      </c>
      <c r="M4437">
        <v>0.64012619999999998</v>
      </c>
      <c r="N4437">
        <v>-1.457467E-2</v>
      </c>
      <c r="O4437">
        <v>-0.76813160000000003</v>
      </c>
      <c r="P4437">
        <v>0.64973809999999999</v>
      </c>
      <c r="Q4437">
        <v>0.18739549999999999</v>
      </c>
      <c r="R4437">
        <v>-0.73669799999999996</v>
      </c>
      <c r="S4437">
        <v>2.8569339999999999</v>
      </c>
      <c r="T4437">
        <v>0.15345339999999999</v>
      </c>
      <c r="U4437">
        <v>-1.5263370000000001</v>
      </c>
      <c r="V4437">
        <v>-3.1587850000000001E-2</v>
      </c>
      <c r="W4437">
        <v>0.20108819999999999</v>
      </c>
      <c r="X4437">
        <v>0.97906369999999998</v>
      </c>
      <c r="Y4437">
        <v>-0.37447209999999997</v>
      </c>
      <c r="Z4437">
        <v>-5.1623009999999997E-2</v>
      </c>
      <c r="AA4437">
        <v>0.92580010000000001</v>
      </c>
      <c r="AB4437">
        <v>27</v>
      </c>
      <c r="AC4437">
        <v>50.9514</v>
      </c>
      <c r="AD4437">
        <v>2.7427489999999999</v>
      </c>
      <c r="AE4437">
        <v>-27.156689299999901</v>
      </c>
      <c r="AF4437">
        <v>-21.706996043595801</v>
      </c>
      <c r="AG4437">
        <v>2.7427489999999999</v>
      </c>
      <c r="AH4437">
        <v>53.360497467840297</v>
      </c>
      <c r="AI4437">
        <v>87.274114767925397</v>
      </c>
      <c r="AJ4437">
        <v>112.136441707682</v>
      </c>
      <c r="AK4437">
        <v>57.671995277856297</v>
      </c>
      <c r="AL4437">
        <v>78.399398697141294</v>
      </c>
      <c r="AM4437">
        <v>91.847911335767193</v>
      </c>
      <c r="AN4437">
        <v>0.99999999255227601</v>
      </c>
    </row>
    <row r="4438" spans="1:40" x14ac:dyDescent="0.25">
      <c r="A4438" t="str">
        <f>"20190303171106846"</f>
        <v>20190303171106846</v>
      </c>
      <c r="B4438" t="str">
        <f>"1551604266835737"</f>
        <v>1551604266835737</v>
      </c>
      <c r="C4438" t="s">
        <v>40</v>
      </c>
      <c r="D4438">
        <v>4.5413100000000002</v>
      </c>
      <c r="E4438">
        <v>0.35960530000000002</v>
      </c>
      <c r="F4438" t="s">
        <v>93</v>
      </c>
      <c r="G4438">
        <v>-364.55130000000003</v>
      </c>
      <c r="H4438">
        <v>3.9511250000000002</v>
      </c>
      <c r="I4438">
        <v>-5.1694869999999997E-2</v>
      </c>
      <c r="J4438">
        <v>-415.2604</v>
      </c>
      <c r="K4438">
        <v>1.1296170000000001</v>
      </c>
      <c r="L4438">
        <v>26.336729999999999</v>
      </c>
      <c r="M4438">
        <v>0.64470780000000005</v>
      </c>
      <c r="N4438">
        <v>-1.4573569999999999E-2</v>
      </c>
      <c r="O4438">
        <v>-0.76429040000000004</v>
      </c>
      <c r="P4438">
        <v>0.65414740000000005</v>
      </c>
      <c r="Q4438">
        <v>0.1876689</v>
      </c>
      <c r="R4438">
        <v>-0.73271569999999997</v>
      </c>
      <c r="S4438">
        <v>2.872833</v>
      </c>
      <c r="T4438">
        <v>0.15956090000000001</v>
      </c>
      <c r="U4438">
        <v>-1.497925</v>
      </c>
      <c r="V4438">
        <v>-3.165515E-2</v>
      </c>
      <c r="W4438">
        <v>0.2013587</v>
      </c>
      <c r="X4438">
        <v>0.97900589999999998</v>
      </c>
      <c r="Y4438">
        <v>-0.37813960000000002</v>
      </c>
      <c r="Z4438">
        <v>-5.3121469999999997E-2</v>
      </c>
      <c r="AA4438">
        <v>0.92422320000000002</v>
      </c>
      <c r="AB4438">
        <v>27</v>
      </c>
      <c r="AC4438">
        <v>50.7090999999999</v>
      </c>
      <c r="AD4438">
        <v>2.8215080000000001</v>
      </c>
      <c r="AE4438">
        <v>-26.388424870000001</v>
      </c>
      <c r="AF4438">
        <v>-21.6931119094282</v>
      </c>
      <c r="AG4438">
        <v>2.8215080000000001</v>
      </c>
      <c r="AH4438">
        <v>52.738096907199797</v>
      </c>
      <c r="AI4438">
        <v>87.167424839340399</v>
      </c>
      <c r="AJ4438">
        <v>112.35916142572999</v>
      </c>
      <c r="AK4438">
        <v>57.095173851230498</v>
      </c>
      <c r="AL4438">
        <v>78.383576209187595</v>
      </c>
      <c r="AM4438">
        <v>91.851954950350603</v>
      </c>
      <c r="AN4438">
        <v>0.99999996341101005</v>
      </c>
    </row>
    <row r="4439" spans="1:40" x14ac:dyDescent="0.25">
      <c r="A4439" t="str">
        <f>"20190303171106859"</f>
        <v>20190303171106859</v>
      </c>
      <c r="B4439" t="str">
        <f>"1551604266855587"</f>
        <v>1551604266855587</v>
      </c>
      <c r="C4439" t="s">
        <v>40</v>
      </c>
      <c r="D4439">
        <v>4.3593449999999896</v>
      </c>
      <c r="E4439">
        <v>0.36036829999999997</v>
      </c>
      <c r="F4439" t="s">
        <v>93</v>
      </c>
      <c r="G4439">
        <v>-364.55130000000003</v>
      </c>
      <c r="H4439">
        <v>3.8033640000000002</v>
      </c>
      <c r="I4439">
        <v>8.0661769999999904E-3</v>
      </c>
      <c r="J4439">
        <v>-415.15859999999998</v>
      </c>
      <c r="K4439">
        <v>1.1296090000000001</v>
      </c>
      <c r="L4439">
        <v>26.226379999999999</v>
      </c>
      <c r="M4439">
        <v>0.64979109999999995</v>
      </c>
      <c r="N4439">
        <v>-1.457235E-2</v>
      </c>
      <c r="O4439">
        <v>-0.75997340000000002</v>
      </c>
      <c r="P4439">
        <v>0.6592384</v>
      </c>
      <c r="Q4439">
        <v>0.18777089999999999</v>
      </c>
      <c r="R4439">
        <v>-0.72811210000000004</v>
      </c>
      <c r="S4439">
        <v>2.8722530000000002</v>
      </c>
      <c r="T4439">
        <v>0.15144589999999999</v>
      </c>
      <c r="U4439">
        <v>-1.4913019999999999</v>
      </c>
      <c r="V4439">
        <v>-3.1964020000000003E-2</v>
      </c>
      <c r="W4439">
        <v>0.20145389999999999</v>
      </c>
      <c r="X4439">
        <v>0.97897630000000002</v>
      </c>
      <c r="Y4439">
        <v>-0.37369520000000001</v>
      </c>
      <c r="Z4439">
        <v>-5.0656989999999999E-2</v>
      </c>
      <c r="AA4439">
        <v>0.92616719999999997</v>
      </c>
      <c r="AB4439">
        <v>27</v>
      </c>
      <c r="AC4439">
        <v>50.607299999999903</v>
      </c>
      <c r="AD4439">
        <v>2.6737549999999999</v>
      </c>
      <c r="AE4439">
        <v>-26.218313822999999</v>
      </c>
      <c r="AF4439">
        <v>-21.378996971665298</v>
      </c>
      <c r="AG4439">
        <v>2.6737549999999999</v>
      </c>
      <c r="AH4439">
        <v>52.699017162901001</v>
      </c>
      <c r="AI4439">
        <v>87.308230258322197</v>
      </c>
      <c r="AJ4439">
        <v>112.08146630950201</v>
      </c>
      <c r="AK4439">
        <v>56.933266964493001</v>
      </c>
      <c r="AL4439">
        <v>78.378007781081607</v>
      </c>
      <c r="AM4439">
        <v>91.870068833866497</v>
      </c>
      <c r="AN4439">
        <v>0.99999998418072999</v>
      </c>
    </row>
    <row r="4440" spans="1:40" x14ac:dyDescent="0.25">
      <c r="A4440" t="str">
        <f>"20190303171106870"</f>
        <v>20190303171106870</v>
      </c>
      <c r="B4440" t="str">
        <f>"1551604266865348"</f>
        <v>1551604266865348</v>
      </c>
      <c r="C4440" t="s">
        <v>40</v>
      </c>
      <c r="D4440">
        <v>4.3681479999999997</v>
      </c>
      <c r="E4440">
        <v>0.3603248</v>
      </c>
      <c r="F4440" t="s">
        <v>93</v>
      </c>
      <c r="G4440">
        <v>-364.55130000000003</v>
      </c>
      <c r="H4440">
        <v>3.8380209999999999</v>
      </c>
      <c r="I4440">
        <v>0.28081889999999998</v>
      </c>
      <c r="J4440">
        <v>-415.06959999999998</v>
      </c>
      <c r="K4440">
        <v>1.1296029999999999</v>
      </c>
      <c r="L4440">
        <v>26.131620000000002</v>
      </c>
      <c r="M4440">
        <v>0.65417049999999999</v>
      </c>
      <c r="N4440">
        <v>-1.4571239999999999E-2</v>
      </c>
      <c r="O4440">
        <v>-0.75620669999999901</v>
      </c>
      <c r="P4440">
        <v>0.66351879999999996</v>
      </c>
      <c r="Q4440">
        <v>0.18783449999999999</v>
      </c>
      <c r="R4440">
        <v>-0.72419690000000003</v>
      </c>
      <c r="S4440">
        <v>2.8775019999999998</v>
      </c>
      <c r="T4440">
        <v>0.15399889999999999</v>
      </c>
      <c r="U4440">
        <v>-1.47525</v>
      </c>
      <c r="V4440">
        <v>-3.208685E-2</v>
      </c>
      <c r="W4440">
        <v>0.20151369999999999</v>
      </c>
      <c r="X4440">
        <v>0.97896000000000005</v>
      </c>
      <c r="Y4440">
        <v>-0.37307780000000001</v>
      </c>
      <c r="Z4440">
        <v>-5.117493E-2</v>
      </c>
      <c r="AA4440">
        <v>0.92638770000000004</v>
      </c>
      <c r="AB4440">
        <v>26</v>
      </c>
      <c r="AC4440">
        <v>50.518299999999897</v>
      </c>
      <c r="AD4440">
        <v>2.708418</v>
      </c>
      <c r="AE4440">
        <v>-25.850801100000002</v>
      </c>
      <c r="AF4440">
        <v>-21.245312988341201</v>
      </c>
      <c r="AG4440">
        <v>2.708418</v>
      </c>
      <c r="AH4440">
        <v>52.482169813762802</v>
      </c>
      <c r="AI4440">
        <v>87.261308295346495</v>
      </c>
      <c r="AJ4440">
        <v>112.03860010720599</v>
      </c>
      <c r="AK4440">
        <v>56.684010094522598</v>
      </c>
      <c r="AL4440">
        <v>78.374510052820696</v>
      </c>
      <c r="AM4440">
        <v>91.877281158698395</v>
      </c>
      <c r="AN4440">
        <v>1.0000000094153001</v>
      </c>
    </row>
    <row r="4441" spans="1:40" x14ac:dyDescent="0.25">
      <c r="A4441" t="str">
        <f>"20190303171106883"</f>
        <v>20190303171106883</v>
      </c>
      <c r="B4441" t="str">
        <f>"1551604266875107"</f>
        <v>1551604266875107</v>
      </c>
      <c r="C4441" t="s">
        <v>40</v>
      </c>
      <c r="D4441">
        <v>4.474513</v>
      </c>
      <c r="E4441">
        <v>0.36059350000000001</v>
      </c>
      <c r="F4441" t="s">
        <v>93</v>
      </c>
      <c r="G4441">
        <v>-363.976</v>
      </c>
      <c r="H4441">
        <v>3.973014</v>
      </c>
      <c r="I4441">
        <v>0.32240530000000001</v>
      </c>
      <c r="J4441">
        <v>-414.9572</v>
      </c>
      <c r="K4441">
        <v>1.12958799999999</v>
      </c>
      <c r="L4441">
        <v>26.013179999999998</v>
      </c>
      <c r="M4441">
        <v>0.65964140000000004</v>
      </c>
      <c r="N4441">
        <v>-1.4569759999999999E-2</v>
      </c>
      <c r="O4441">
        <v>-0.75143950000000004</v>
      </c>
      <c r="P4441">
        <v>0.66868969999999905</v>
      </c>
      <c r="Q4441">
        <v>0.1881003</v>
      </c>
      <c r="R4441">
        <v>-0.71935579999999999</v>
      </c>
      <c r="S4441">
        <v>2.8852229999999999</v>
      </c>
      <c r="T4441">
        <v>0.1605654</v>
      </c>
      <c r="U4441">
        <v>-1.4574279999999999</v>
      </c>
      <c r="V4441">
        <v>-3.204071E-2</v>
      </c>
      <c r="W4441">
        <v>0.2017795</v>
      </c>
      <c r="X4441">
        <v>0.97890679999999997</v>
      </c>
      <c r="Y4441">
        <v>-0.371807</v>
      </c>
      <c r="Z4441">
        <v>-5.2692599999999902E-2</v>
      </c>
      <c r="AA4441">
        <v>0.92681340000000001</v>
      </c>
      <c r="AB4441">
        <v>26</v>
      </c>
      <c r="AC4441">
        <v>50.981200000000001</v>
      </c>
      <c r="AD4441">
        <v>2.843426</v>
      </c>
      <c r="AE4441">
        <v>-25.690774699999999</v>
      </c>
      <c r="AF4441">
        <v>-21.3119824778565</v>
      </c>
      <c r="AG4441">
        <v>2.843426</v>
      </c>
      <c r="AH4441">
        <v>52.8089754807676</v>
      </c>
      <c r="AI4441">
        <v>87.141545153558496</v>
      </c>
      <c r="AJ4441">
        <v>111.977398165634</v>
      </c>
      <c r="AK4441">
        <v>57.018186220558199</v>
      </c>
      <c r="AL4441">
        <v>78.358961900679702</v>
      </c>
      <c r="AM4441">
        <v>91.874685411943801</v>
      </c>
      <c r="AN4441">
        <v>1.0000000484018901</v>
      </c>
    </row>
    <row r="4442" spans="1:40" x14ac:dyDescent="0.25">
      <c r="A4442" t="str">
        <f>"20190303171106895"</f>
        <v>20190303171106895</v>
      </c>
      <c r="B4442" t="str">
        <f>"1551604266885844"</f>
        <v>1551604266885844</v>
      </c>
      <c r="C4442" t="s">
        <v>40</v>
      </c>
      <c r="D4442">
        <v>4.4433020000000001</v>
      </c>
      <c r="E4442">
        <v>0.36126999999999998</v>
      </c>
      <c r="F4442" t="s">
        <v>93</v>
      </c>
      <c r="G4442">
        <v>-362.94569999999999</v>
      </c>
      <c r="H4442">
        <v>4.0354210000000004</v>
      </c>
      <c r="I4442">
        <v>0.1656647</v>
      </c>
      <c r="J4442">
        <v>-414.8614</v>
      </c>
      <c r="K4442">
        <v>1.12958</v>
      </c>
      <c r="L4442">
        <v>25.913209999999999</v>
      </c>
      <c r="M4442">
        <v>0.66425330000000005</v>
      </c>
      <c r="N4442">
        <v>-1.456845E-2</v>
      </c>
      <c r="O4442">
        <v>-0.74736579999999997</v>
      </c>
      <c r="P4442">
        <v>0.67317539999999998</v>
      </c>
      <c r="Q4442">
        <v>0.18803110000000001</v>
      </c>
      <c r="R4442">
        <v>-0.71517799999999998</v>
      </c>
      <c r="S4442">
        <v>2.8938290000000002</v>
      </c>
      <c r="T4442">
        <v>0.1616755</v>
      </c>
      <c r="U4442">
        <v>-1.43811</v>
      </c>
      <c r="V4442">
        <v>-3.2120549999999998E-2</v>
      </c>
      <c r="W4442">
        <v>0.201708</v>
      </c>
      <c r="X4442">
        <v>0.97891890000000004</v>
      </c>
      <c r="Y4442">
        <v>-0.37214370000000002</v>
      </c>
      <c r="Z4442">
        <v>-5.2778810000000002E-2</v>
      </c>
      <c r="AA4442">
        <v>0.92667339999999998</v>
      </c>
      <c r="AB4442">
        <v>26</v>
      </c>
      <c r="AC4442">
        <v>51.915700000000001</v>
      </c>
      <c r="AD4442">
        <v>2.9058410000000001</v>
      </c>
      <c r="AE4442">
        <v>-25.747545299999999</v>
      </c>
      <c r="AF4442">
        <v>-21.6450011363121</v>
      </c>
      <c r="AG4442">
        <v>2.9058410000000001</v>
      </c>
      <c r="AH4442">
        <v>53.598932634377498</v>
      </c>
      <c r="AI4442">
        <v>87.122151331175104</v>
      </c>
      <c r="AJ4442">
        <v>111.99046665353001</v>
      </c>
      <c r="AK4442">
        <v>57.877418443230297</v>
      </c>
      <c r="AL4442">
        <v>78.363144332477006</v>
      </c>
      <c r="AM4442">
        <v>91.879330250166902</v>
      </c>
      <c r="AN4442">
        <v>1.00000002988675</v>
      </c>
    </row>
    <row r="4443" spans="1:40" x14ac:dyDescent="0.25">
      <c r="A4443" t="str">
        <f>"20190303171106912"</f>
        <v>20190303171106912</v>
      </c>
      <c r="B4443" t="str">
        <f>"1551604266905363"</f>
        <v>1551604266905363</v>
      </c>
      <c r="C4443" t="s">
        <v>40</v>
      </c>
      <c r="D4443">
        <v>4.4535049999999998</v>
      </c>
      <c r="E4443">
        <v>0.36267490000000002</v>
      </c>
      <c r="F4443" t="s">
        <v>93</v>
      </c>
      <c r="G4443">
        <v>-362.55220000000003</v>
      </c>
      <c r="H4443">
        <v>3.9759060000000002</v>
      </c>
      <c r="I4443">
        <v>0.2227249</v>
      </c>
      <c r="J4443">
        <v>-414.72949999999997</v>
      </c>
      <c r="K4443">
        <v>1.12957</v>
      </c>
      <c r="L4443">
        <v>25.77826</v>
      </c>
      <c r="M4443">
        <v>0.67049969999999903</v>
      </c>
      <c r="N4443">
        <v>-1.45665E-2</v>
      </c>
      <c r="O4443">
        <v>-0.74176679999999995</v>
      </c>
      <c r="P4443">
        <v>0.67920179999999997</v>
      </c>
      <c r="Q4443">
        <v>0.18809600000000001</v>
      </c>
      <c r="R4443">
        <v>-0.70943979999999995</v>
      </c>
      <c r="S4443">
        <v>2.8995359999999999</v>
      </c>
      <c r="T4443">
        <v>0.15777389999999999</v>
      </c>
      <c r="U4443">
        <v>-1.424042</v>
      </c>
      <c r="V4443">
        <v>-3.2196679999999998E-2</v>
      </c>
      <c r="W4443">
        <v>0.20177059999999999</v>
      </c>
      <c r="X4443">
        <v>0.97890350000000004</v>
      </c>
      <c r="Y4443">
        <v>-0.36877290000000001</v>
      </c>
      <c r="Z4443">
        <v>-5.1381900000000001E-2</v>
      </c>
      <c r="AA4443">
        <v>0.92809830000000004</v>
      </c>
      <c r="AB4443">
        <v>26</v>
      </c>
      <c r="AC4443">
        <v>52.177299999999903</v>
      </c>
      <c r="AD4443">
        <v>2.846336</v>
      </c>
      <c r="AE4443">
        <v>-25.5555351</v>
      </c>
      <c r="AF4443">
        <v>-21.519051051252799</v>
      </c>
      <c r="AG4443">
        <v>2.846336</v>
      </c>
      <c r="AH4443">
        <v>53.817667562510401</v>
      </c>
      <c r="AI4443">
        <v>87.188562191888195</v>
      </c>
      <c r="AJ4443">
        <v>111.7940521881</v>
      </c>
      <c r="AK4443">
        <v>58.030272519093103</v>
      </c>
      <c r="AL4443">
        <v>78.359482345378197</v>
      </c>
      <c r="AM4443">
        <v>91.883810922843693</v>
      </c>
      <c r="AN4443">
        <v>1.0000000317698099</v>
      </c>
    </row>
    <row r="4444" spans="1:40" x14ac:dyDescent="0.25">
      <c r="A4444" t="str">
        <f>"20190303171106922"</f>
        <v>20190303171106922</v>
      </c>
      <c r="B4444" t="str">
        <f>"1551604266915124"</f>
        <v>1551604266915124</v>
      </c>
      <c r="C4444" t="s">
        <v>40</v>
      </c>
      <c r="D4444">
        <v>4.5108300000000003</v>
      </c>
      <c r="E4444">
        <v>0.36332150000000002</v>
      </c>
      <c r="F4444" t="s">
        <v>93</v>
      </c>
      <c r="G4444">
        <v>-362.21379999999999</v>
      </c>
      <c r="H4444">
        <v>3.861389</v>
      </c>
      <c r="I4444">
        <v>0.32244299999999998</v>
      </c>
      <c r="J4444">
        <v>-414.64060000000001</v>
      </c>
      <c r="K4444">
        <v>1.1295599999999999</v>
      </c>
      <c r="L4444">
        <v>25.688600000000001</v>
      </c>
      <c r="M4444">
        <v>0.67465269999999899</v>
      </c>
      <c r="N4444">
        <v>-1.4565140000000001E-2</v>
      </c>
      <c r="O4444">
        <v>-0.73799159999999997</v>
      </c>
      <c r="P4444">
        <v>0.68313380000000001</v>
      </c>
      <c r="Q4444">
        <v>0.18782679999999999</v>
      </c>
      <c r="R4444">
        <v>-0.70572609999999902</v>
      </c>
      <c r="S4444">
        <v>2.9045100000000001</v>
      </c>
      <c r="T4444">
        <v>0.1510901</v>
      </c>
      <c r="U4444">
        <v>-1.4078980000000001</v>
      </c>
      <c r="V4444">
        <v>-3.2084120000000001E-2</v>
      </c>
      <c r="W4444">
        <v>0.2015035</v>
      </c>
      <c r="X4444">
        <v>0.9789622</v>
      </c>
      <c r="Y4444">
        <v>-0.36846210000000001</v>
      </c>
      <c r="Z4444">
        <v>-4.9409450000000001E-2</v>
      </c>
      <c r="AA4444">
        <v>0.92832879999999995</v>
      </c>
      <c r="AB4444">
        <v>26</v>
      </c>
      <c r="AC4444">
        <v>52.4268</v>
      </c>
      <c r="AD4444">
        <v>2.7318289999999998</v>
      </c>
      <c r="AE4444">
        <v>-25.366157000000001</v>
      </c>
      <c r="AF4444">
        <v>-21.532107097921902</v>
      </c>
      <c r="AG4444">
        <v>2.7318289999999998</v>
      </c>
      <c r="AH4444">
        <v>53.976874472118602</v>
      </c>
      <c r="AI4444">
        <v>87.308574531263204</v>
      </c>
      <c r="AJ4444">
        <v>111.747726903166</v>
      </c>
      <c r="AK4444">
        <v>58.1772937110388</v>
      </c>
      <c r="AL4444">
        <v>78.375106835643393</v>
      </c>
      <c r="AM4444">
        <v>91.877117335521106</v>
      </c>
      <c r="AN4444">
        <v>1.0000000201486301</v>
      </c>
    </row>
    <row r="4445" spans="1:40" x14ac:dyDescent="0.25">
      <c r="A4445" t="str">
        <f>"20190303171106933"</f>
        <v>20190303171106933</v>
      </c>
      <c r="B4445" t="str">
        <f>"1551604266925860"</f>
        <v>1551604266925860</v>
      </c>
      <c r="C4445" t="s">
        <v>40</v>
      </c>
      <c r="D4445">
        <v>4.5262260000000003</v>
      </c>
      <c r="E4445">
        <v>0.36394959999999998</v>
      </c>
      <c r="F4445" t="s">
        <v>93</v>
      </c>
      <c r="G4445">
        <v>-361.77359999999999</v>
      </c>
      <c r="H4445">
        <v>3.8117009999999998</v>
      </c>
      <c r="I4445">
        <v>0.3224592</v>
      </c>
      <c r="J4445">
        <v>-414.55099999999999</v>
      </c>
      <c r="K4445">
        <v>1.1295500000000001</v>
      </c>
      <c r="L4445">
        <v>25.599</v>
      </c>
      <c r="M4445">
        <v>0.67879769999999995</v>
      </c>
      <c r="N4445">
        <v>-1.456378E-2</v>
      </c>
      <c r="O4445">
        <v>-0.73418109999999903</v>
      </c>
      <c r="P4445">
        <v>0.68708530000000001</v>
      </c>
      <c r="Q4445">
        <v>0.1875754</v>
      </c>
      <c r="R4445">
        <v>-0.70194690000000004</v>
      </c>
      <c r="S4445">
        <v>2.9089659999999999</v>
      </c>
      <c r="T4445">
        <v>0.14758279999999999</v>
      </c>
      <c r="U4445">
        <v>-1.3957520000000001</v>
      </c>
      <c r="V4445">
        <v>-3.2012980000000003E-2</v>
      </c>
      <c r="W4445">
        <v>0.2012536</v>
      </c>
      <c r="X4445">
        <v>0.97901590000000005</v>
      </c>
      <c r="Y4445">
        <v>-0.36699090000000001</v>
      </c>
      <c r="Z4445">
        <v>-4.8262449999999998E-2</v>
      </c>
      <c r="AA4445">
        <v>0.92897169999999896</v>
      </c>
      <c r="AB4445">
        <v>26</v>
      </c>
      <c r="AC4445">
        <v>52.7774</v>
      </c>
      <c r="AD4445">
        <v>2.68215099999999</v>
      </c>
      <c r="AE4445">
        <v>-25.276540799999999</v>
      </c>
      <c r="AF4445">
        <v>-21.5475312419075</v>
      </c>
      <c r="AG4445">
        <v>2.68215099999999</v>
      </c>
      <c r="AH4445">
        <v>54.274475655124</v>
      </c>
      <c r="AI4445">
        <v>87.370200733914501</v>
      </c>
      <c r="AJ4445">
        <v>111.653592332473</v>
      </c>
      <c r="AK4445">
        <v>58.456896464373003</v>
      </c>
      <c r="AL4445">
        <v>78.389724130728794</v>
      </c>
      <c r="AM4445">
        <v>91.872855517494997</v>
      </c>
      <c r="AN4445">
        <v>0.99999998742712504</v>
      </c>
    </row>
    <row r="4446" spans="1:40" x14ac:dyDescent="0.25">
      <c r="A4446" t="str">
        <f>"20190303171106944"</f>
        <v>20190303171106944</v>
      </c>
      <c r="B4446" t="str">
        <f>"1551604266935620"</f>
        <v>1551604266935620</v>
      </c>
      <c r="C4446" t="s">
        <v>40</v>
      </c>
      <c r="D4446">
        <v>4.4547270000000001</v>
      </c>
      <c r="E4446">
        <v>0.36444880000000002</v>
      </c>
      <c r="F4446" t="s">
        <v>93</v>
      </c>
      <c r="G4446">
        <v>-360.9853</v>
      </c>
      <c r="H4446">
        <v>3.774054</v>
      </c>
      <c r="I4446">
        <v>0.1657515</v>
      </c>
      <c r="J4446">
        <v>-414.46249999999998</v>
      </c>
      <c r="K4446">
        <v>1.1295440000000001</v>
      </c>
      <c r="L4446">
        <v>25.511749999999999</v>
      </c>
      <c r="M4446">
        <v>0.68284529999999999</v>
      </c>
      <c r="N4446">
        <v>-1.4562459999999999E-2</v>
      </c>
      <c r="O4446">
        <v>-0.73041800000000001</v>
      </c>
      <c r="P4446">
        <v>0.69097200000000003</v>
      </c>
      <c r="Q4446">
        <v>0.18703529999999999</v>
      </c>
      <c r="R4446">
        <v>-0.69826639999999995</v>
      </c>
      <c r="S4446">
        <v>2.913605</v>
      </c>
      <c r="T4446">
        <v>0.14384269999999999</v>
      </c>
      <c r="U4446">
        <v>-1.383392</v>
      </c>
      <c r="V4446">
        <v>-3.192321E-2</v>
      </c>
      <c r="W4446">
        <v>0.20071549999999999</v>
      </c>
      <c r="X4446">
        <v>0.97912929999999998</v>
      </c>
      <c r="Y4446">
        <v>-0.36569869999999999</v>
      </c>
      <c r="Z4446">
        <v>-4.7063029999999999E-2</v>
      </c>
      <c r="AA4446">
        <v>0.92954270000000006</v>
      </c>
      <c r="AB4446">
        <v>26</v>
      </c>
      <c r="AC4446">
        <v>53.477199999999897</v>
      </c>
      <c r="AD4446">
        <v>2.6445099999999999</v>
      </c>
      <c r="AE4446">
        <v>-25.3459985</v>
      </c>
      <c r="AF4446">
        <v>-21.7122618587948</v>
      </c>
      <c r="AG4446">
        <v>2.6445099999999999</v>
      </c>
      <c r="AH4446">
        <v>54.925978933169198</v>
      </c>
      <c r="AI4446">
        <v>87.4362725200847</v>
      </c>
      <c r="AJ4446">
        <v>111.56890741797</v>
      </c>
      <c r="AK4446">
        <v>59.120883873060599</v>
      </c>
      <c r="AL4446">
        <v>78.421197302736402</v>
      </c>
      <c r="AM4446">
        <v>91.867391279327705</v>
      </c>
      <c r="AN4446">
        <v>0.99999999469772205</v>
      </c>
    </row>
    <row r="4447" spans="1:40" x14ac:dyDescent="0.25">
      <c r="A4447" t="str">
        <f>"20190303171106957"</f>
        <v>20190303171106957</v>
      </c>
      <c r="B4447" t="str">
        <f>"1551604266945380"</f>
        <v>1551604266945380</v>
      </c>
      <c r="C4447" t="s">
        <v>40</v>
      </c>
      <c r="D4447">
        <v>4.4713039999999999</v>
      </c>
      <c r="E4447">
        <v>0.36497249999999998</v>
      </c>
      <c r="F4447" t="s">
        <v>93</v>
      </c>
      <c r="G4447">
        <v>-360.4905</v>
      </c>
      <c r="H4447">
        <v>3.7323659999999999</v>
      </c>
      <c r="I4447">
        <v>0.16576479999999999</v>
      </c>
      <c r="J4447">
        <v>-414.3623</v>
      </c>
      <c r="K4447">
        <v>1.129534</v>
      </c>
      <c r="L4447">
        <v>25.413599999999999</v>
      </c>
      <c r="M4447">
        <v>0.68738690000000002</v>
      </c>
      <c r="N4447">
        <v>-1.4561050000000001E-2</v>
      </c>
      <c r="O4447">
        <v>-0.72614569999999901</v>
      </c>
      <c r="P4447">
        <v>0.69550210000000001</v>
      </c>
      <c r="Q4447">
        <v>0.18648500000000001</v>
      </c>
      <c r="R4447">
        <v>-0.69390249999999998</v>
      </c>
      <c r="S4447">
        <v>2.9185789999999998</v>
      </c>
      <c r="T4447">
        <v>0.14074979999999901</v>
      </c>
      <c r="U4447">
        <v>-1.3706050000000001</v>
      </c>
      <c r="V4447">
        <v>-3.207351E-2</v>
      </c>
      <c r="W4447">
        <v>0.2001628</v>
      </c>
      <c r="X4447">
        <v>0.97923760000000004</v>
      </c>
      <c r="Y4447">
        <v>-0.36389199999999999</v>
      </c>
      <c r="Z4447">
        <v>-4.6007369999999999E-2</v>
      </c>
      <c r="AA4447">
        <v>0.93030420000000003</v>
      </c>
      <c r="AB4447">
        <v>26</v>
      </c>
      <c r="AC4447">
        <v>53.8718</v>
      </c>
      <c r="AD4447">
        <v>2.6028319999999998</v>
      </c>
      <c r="AE4447">
        <v>-25.247835200000001</v>
      </c>
      <c r="AF4447">
        <v>-21.724468523228101</v>
      </c>
      <c r="AG4447">
        <v>2.6028319999999998</v>
      </c>
      <c r="AH4447">
        <v>55.264462513913799</v>
      </c>
      <c r="AI4447">
        <v>87.490179111406803</v>
      </c>
      <c r="AJ4447">
        <v>111.45979706440799</v>
      </c>
      <c r="AK4447">
        <v>59.438102964249701</v>
      </c>
      <c r="AL4447">
        <v>78.453521490843997</v>
      </c>
      <c r="AM4447">
        <v>91.875969662088394</v>
      </c>
      <c r="AN4447">
        <v>1.0000000669006499</v>
      </c>
    </row>
    <row r="4448" spans="1:40" x14ac:dyDescent="0.25">
      <c r="A4448" t="str">
        <f>"20190303171106969"</f>
        <v>20190303171106969</v>
      </c>
      <c r="B4448" t="str">
        <f>"1551604266955140"</f>
        <v>1551604266955140</v>
      </c>
      <c r="C4448" t="s">
        <v>40</v>
      </c>
      <c r="D4448">
        <v>4.5063269999999997</v>
      </c>
      <c r="E4448">
        <v>0.36544330000000003</v>
      </c>
      <c r="F4448" t="s">
        <v>93</v>
      </c>
      <c r="G4448">
        <v>-360.20819999999998</v>
      </c>
      <c r="H4448">
        <v>3.675729</v>
      </c>
      <c r="I4448">
        <v>0.32250400000000001</v>
      </c>
      <c r="J4448">
        <v>-414.2484</v>
      </c>
      <c r="K4448">
        <v>1.1295200000000001</v>
      </c>
      <c r="L4448">
        <v>25.30423</v>
      </c>
      <c r="M4448">
        <v>0.69247080000000005</v>
      </c>
      <c r="N4448">
        <v>-1.455915E-2</v>
      </c>
      <c r="O4448">
        <v>-0.72129909999999997</v>
      </c>
      <c r="P4448">
        <v>0.700453199999999</v>
      </c>
      <c r="Q4448">
        <v>0.1864507</v>
      </c>
      <c r="R4448">
        <v>-0.68891359999999902</v>
      </c>
      <c r="S4448">
        <v>2.924652</v>
      </c>
      <c r="T4448">
        <v>0.1375101</v>
      </c>
      <c r="U4448">
        <v>-1.3550719999999901</v>
      </c>
      <c r="V4448">
        <v>-3.21947E-2</v>
      </c>
      <c r="W4448">
        <v>0.20012540000000001</v>
      </c>
      <c r="X4448">
        <v>0.97924120000000003</v>
      </c>
      <c r="Y4448">
        <v>-0.36220619999999998</v>
      </c>
      <c r="Z4448">
        <v>-4.4892120000000001E-2</v>
      </c>
      <c r="AA4448">
        <v>0.93101630000000002</v>
      </c>
      <c r="AB4448">
        <v>26</v>
      </c>
      <c r="AC4448">
        <v>54.040199999999999</v>
      </c>
      <c r="AD4448">
        <v>2.5462090000000002</v>
      </c>
      <c r="AE4448">
        <v>-24.981725999999998</v>
      </c>
      <c r="AF4448">
        <v>-21.642740983708499</v>
      </c>
      <c r="AG4448">
        <v>2.5462090000000002</v>
      </c>
      <c r="AH4448">
        <v>55.345196187994901</v>
      </c>
      <c r="AI4448">
        <v>87.546581766870901</v>
      </c>
      <c r="AJ4448">
        <v>111.357985041321</v>
      </c>
      <c r="AK4448">
        <v>59.480939456663101</v>
      </c>
      <c r="AL4448">
        <v>78.455707835894401</v>
      </c>
      <c r="AM4448">
        <v>91.883046016339406</v>
      </c>
      <c r="AN4448">
        <v>1.00000000110534</v>
      </c>
    </row>
    <row r="4449" spans="1:40" x14ac:dyDescent="0.25">
      <c r="A4449" t="str">
        <f>"20190303171106984"</f>
        <v>20190303171106984</v>
      </c>
      <c r="B4449" t="str">
        <f>"1551604266975636"</f>
        <v>1551604266975636</v>
      </c>
      <c r="C4449" t="s">
        <v>40</v>
      </c>
      <c r="D4449">
        <v>4.5320989999999997</v>
      </c>
      <c r="E4449">
        <v>0.36647960000000002</v>
      </c>
      <c r="F4449" t="s">
        <v>93</v>
      </c>
      <c r="G4449">
        <v>-359.47500000000002</v>
      </c>
      <c r="H4449">
        <v>3.7013820000000002</v>
      </c>
      <c r="I4449">
        <v>0.32249640000000002</v>
      </c>
      <c r="J4449">
        <v>-414.13920000000002</v>
      </c>
      <c r="K4449">
        <v>1.129505</v>
      </c>
      <c r="L4449">
        <v>25.200559999999999</v>
      </c>
      <c r="M4449">
        <v>0.69728419999999902</v>
      </c>
      <c r="N4449">
        <v>-1.455739E-2</v>
      </c>
      <c r="O4449">
        <v>-0.71664709999999998</v>
      </c>
      <c r="P4449">
        <v>0.70505909999999905</v>
      </c>
      <c r="Q4449">
        <v>0.18649279999999999</v>
      </c>
      <c r="R4449">
        <v>-0.68418749999999995</v>
      </c>
      <c r="S4449">
        <v>2.9313660000000001</v>
      </c>
      <c r="T4449">
        <v>0.13764119999999999</v>
      </c>
      <c r="U4449">
        <v>-1.336975</v>
      </c>
      <c r="V4449">
        <v>-3.2212169999999998E-2</v>
      </c>
      <c r="W4449">
        <v>0.2001656</v>
      </c>
      <c r="X4449">
        <v>0.9792324</v>
      </c>
      <c r="Y4449">
        <v>-0.3615331</v>
      </c>
      <c r="Z4449">
        <v>-4.4693940000000001E-2</v>
      </c>
      <c r="AA4449">
        <v>0.93128739999999999</v>
      </c>
      <c r="AB4449">
        <v>26</v>
      </c>
      <c r="AC4449">
        <v>54.664200000000001</v>
      </c>
      <c r="AD4449">
        <v>2.5718770000000002</v>
      </c>
      <c r="AE4449">
        <v>-24.878063600000001</v>
      </c>
      <c r="AF4449">
        <v>-21.790212267239401</v>
      </c>
      <c r="AG4449">
        <v>2.5718770000000002</v>
      </c>
      <c r="AH4449">
        <v>55.8487838421579</v>
      </c>
      <c r="AI4449">
        <v>87.543461326344399</v>
      </c>
      <c r="AJ4449">
        <v>111.31396351572199</v>
      </c>
      <c r="AK4449">
        <v>60.004287835141902</v>
      </c>
      <c r="AL4449">
        <v>78.453356875268298</v>
      </c>
      <c r="AM4449">
        <v>91.884084007690007</v>
      </c>
      <c r="AN4449">
        <v>0.999999992264614</v>
      </c>
    </row>
    <row r="4450" spans="1:40" x14ac:dyDescent="0.25">
      <c r="A4450" t="str">
        <f>"20190303171106999"</f>
        <v>20190303171106999</v>
      </c>
      <c r="B4450" t="str">
        <f>"1551604266985396"</f>
        <v>1551604266985396</v>
      </c>
      <c r="C4450" t="s">
        <v>40</v>
      </c>
      <c r="D4450">
        <v>4.550656</v>
      </c>
      <c r="E4450">
        <v>0.3670407</v>
      </c>
      <c r="F4450" t="s">
        <v>93</v>
      </c>
      <c r="G4450">
        <v>-358.61610000000002</v>
      </c>
      <c r="H4450">
        <v>3.7325059999999999</v>
      </c>
      <c r="I4450">
        <v>0.16576479999999999</v>
      </c>
      <c r="J4450">
        <v>-414.01400000000001</v>
      </c>
      <c r="K4450">
        <v>1.129491</v>
      </c>
      <c r="L4450">
        <v>25.083069999999999</v>
      </c>
      <c r="M4450">
        <v>0.70273859999999999</v>
      </c>
      <c r="N4450">
        <v>-1.4555419999999999E-2</v>
      </c>
      <c r="O4450">
        <v>-0.71129949999999997</v>
      </c>
      <c r="P4450">
        <v>0.71007909999999996</v>
      </c>
      <c r="Q4450">
        <v>0.18687899999999999</v>
      </c>
      <c r="R4450">
        <v>-0.67887010000000003</v>
      </c>
      <c r="S4450">
        <v>2.9346009999999998</v>
      </c>
      <c r="T4450">
        <v>0.13757820000000001</v>
      </c>
      <c r="U4450">
        <v>-1.3231809999999999</v>
      </c>
      <c r="V4450">
        <v>-3.202E-2</v>
      </c>
      <c r="W4450">
        <v>0.2005538</v>
      </c>
      <c r="X4450">
        <v>0.97915929999999995</v>
      </c>
      <c r="Y4450">
        <v>-0.35843819999999998</v>
      </c>
      <c r="Z4450">
        <v>-4.4395799999999999E-2</v>
      </c>
      <c r="AA4450">
        <v>0.93249720000000003</v>
      </c>
      <c r="AB4450">
        <v>26</v>
      </c>
      <c r="AC4450">
        <v>55.3978999999999</v>
      </c>
      <c r="AD4450">
        <v>2.6030150000000001</v>
      </c>
      <c r="AE4450">
        <v>-24.917305200000001</v>
      </c>
      <c r="AF4450">
        <v>-21.856326453901701</v>
      </c>
      <c r="AG4450">
        <v>2.6030150000000001</v>
      </c>
      <c r="AH4450">
        <v>56.556045464616801</v>
      </c>
      <c r="AI4450">
        <v>87.541738384210802</v>
      </c>
      <c r="AJ4450">
        <v>111.129238485209</v>
      </c>
      <c r="AK4450">
        <v>60.688227620730103</v>
      </c>
      <c r="AL4450">
        <v>78.430654635968196</v>
      </c>
      <c r="AM4450">
        <v>91.872991767582505</v>
      </c>
      <c r="AN4450">
        <v>1.00000002093546</v>
      </c>
    </row>
    <row r="4451" spans="1:40" x14ac:dyDescent="0.25">
      <c r="A4451" t="str">
        <f>"20190303171107013"</f>
        <v>20190303171107013</v>
      </c>
      <c r="B4451" t="str">
        <f>"1551604267004916"</f>
        <v>1551604267004916</v>
      </c>
      <c r="C4451" t="s">
        <v>40</v>
      </c>
      <c r="D4451">
        <v>4.5421509999999996</v>
      </c>
      <c r="E4451">
        <v>0.36763980000000002</v>
      </c>
      <c r="F4451" t="s">
        <v>93</v>
      </c>
      <c r="G4451">
        <v>-358.18540000000002</v>
      </c>
      <c r="H4451">
        <v>3.753819</v>
      </c>
      <c r="I4451">
        <v>0.32247880000000001</v>
      </c>
      <c r="J4451">
        <v>-413.87689999999998</v>
      </c>
      <c r="K4451">
        <v>1.129478</v>
      </c>
      <c r="L4451">
        <v>24.956790000000002</v>
      </c>
      <c r="M4451">
        <v>0.70861219999999903</v>
      </c>
      <c r="N4451">
        <v>-1.4553170000000001E-2</v>
      </c>
      <c r="O4451">
        <v>-0.70544819999999997</v>
      </c>
      <c r="P4451">
        <v>0.71497650000000001</v>
      </c>
      <c r="Q4451">
        <v>0.1877519</v>
      </c>
      <c r="R4451">
        <v>-0.67346680000000003</v>
      </c>
      <c r="S4451">
        <v>2.9413149999999999</v>
      </c>
      <c r="T4451">
        <v>0.13826189999999999</v>
      </c>
      <c r="U4451">
        <v>-1.3045040000000001</v>
      </c>
      <c r="V4451">
        <v>-3.117238E-2</v>
      </c>
      <c r="W4451">
        <v>0.20143990000000001</v>
      </c>
      <c r="X4451">
        <v>0.97900469999999895</v>
      </c>
      <c r="Y4451">
        <v>-0.35643229999999998</v>
      </c>
      <c r="Z4451">
        <v>-4.4261920000000003E-2</v>
      </c>
      <c r="AA4451">
        <v>0.93327210000000005</v>
      </c>
      <c r="AB4451">
        <v>26</v>
      </c>
      <c r="AC4451">
        <v>55.691499999999898</v>
      </c>
      <c r="AD4451">
        <v>2.6243409999999998</v>
      </c>
      <c r="AE4451">
        <v>-24.634311199999999</v>
      </c>
      <c r="AF4451">
        <v>-21.7931311066361</v>
      </c>
      <c r="AG4451">
        <v>2.6243409999999998</v>
      </c>
      <c r="AH4451">
        <v>56.742539977900201</v>
      </c>
      <c r="AI4451">
        <v>87.527785023590994</v>
      </c>
      <c r="AJ4451">
        <v>111.010305573119</v>
      </c>
      <c r="AK4451">
        <v>60.840312065758802</v>
      </c>
      <c r="AL4451">
        <v>78.378826621250496</v>
      </c>
      <c r="AM4451">
        <v>91.823732397538905</v>
      </c>
      <c r="AN4451">
        <v>0.99999997660448103</v>
      </c>
    </row>
    <row r="4452" spans="1:40" x14ac:dyDescent="0.25">
      <c r="A4452" t="str">
        <f>"20190303171107024"</f>
        <v>20190303171107024</v>
      </c>
      <c r="B4452" t="str">
        <f>"1551604267015652"</f>
        <v>1551604267015652</v>
      </c>
      <c r="C4452" t="s">
        <v>40</v>
      </c>
      <c r="D4452">
        <v>4.54528</v>
      </c>
      <c r="E4452">
        <v>0.3821812</v>
      </c>
      <c r="F4452" t="s">
        <v>93</v>
      </c>
      <c r="G4452">
        <v>-357.40719999999999</v>
      </c>
      <c r="H4452">
        <v>3.8074569999999999</v>
      </c>
      <c r="I4452">
        <v>0.32246019999999997</v>
      </c>
      <c r="J4452">
        <v>-413.79329999999999</v>
      </c>
      <c r="K4452">
        <v>1.129472</v>
      </c>
      <c r="L4452">
        <v>24.881070000000001</v>
      </c>
      <c r="M4452">
        <v>0.712142099999999</v>
      </c>
      <c r="N4452">
        <v>-1.4551700000000001E-2</v>
      </c>
      <c r="O4452">
        <v>-0.70188459999999997</v>
      </c>
      <c r="P4452">
        <v>0.71811239999999998</v>
      </c>
      <c r="Q4452">
        <v>0.1877627</v>
      </c>
      <c r="R4452">
        <v>-0.67011919999999903</v>
      </c>
      <c r="S4452">
        <v>2.9478759999999999</v>
      </c>
      <c r="T4452">
        <v>0.1397979</v>
      </c>
      <c r="U4452">
        <v>-1.2859799999999999</v>
      </c>
      <c r="V4452">
        <v>-3.082915E-2</v>
      </c>
      <c r="W4452">
        <v>0.20145669999999999</v>
      </c>
      <c r="X4452">
        <v>0.97901210000000005</v>
      </c>
      <c r="Y4452">
        <v>-0.35741519999999999</v>
      </c>
      <c r="Z4452">
        <v>-4.4499110000000001E-2</v>
      </c>
      <c r="AA4452">
        <v>0.93288490000000002</v>
      </c>
      <c r="AB4452">
        <v>26</v>
      </c>
      <c r="AC4452">
        <v>56.386099999999999</v>
      </c>
      <c r="AD4452">
        <v>2.6779850000000001</v>
      </c>
      <c r="AE4452">
        <v>-24.558609799999999</v>
      </c>
      <c r="AF4452">
        <v>-22.047850478375</v>
      </c>
      <c r="AG4452">
        <v>2.6779850000000001</v>
      </c>
      <c r="AH4452">
        <v>57.289679344566999</v>
      </c>
      <c r="AI4452">
        <v>87.502027549008304</v>
      </c>
      <c r="AJ4452">
        <v>111.04914833173299</v>
      </c>
      <c r="AK4452">
        <v>61.444175263244503</v>
      </c>
      <c r="AL4452">
        <v>78.377843771296199</v>
      </c>
      <c r="AM4452">
        <v>91.803651524342698</v>
      </c>
      <c r="AN4452">
        <v>0.99999996520551004</v>
      </c>
    </row>
    <row r="4453" spans="1:40" x14ac:dyDescent="0.25">
      <c r="A4453" t="str">
        <f>"20190303171107034"</f>
        <v>20190303171107034</v>
      </c>
      <c r="B4453" t="str">
        <f>"1551604267025412"</f>
        <v>1551604267025412</v>
      </c>
      <c r="C4453" t="s">
        <v>40</v>
      </c>
      <c r="D4453">
        <v>4.603021</v>
      </c>
      <c r="E4453">
        <v>0.38134879999999999</v>
      </c>
      <c r="F4453" t="s">
        <v>93</v>
      </c>
      <c r="G4453">
        <v>-362.42239999999998</v>
      </c>
      <c r="H4453">
        <v>2.5778210000000001</v>
      </c>
      <c r="I4453">
        <v>0.635607699999999</v>
      </c>
      <c r="J4453">
        <v>-413.70170000000002</v>
      </c>
      <c r="K4453">
        <v>1.129464</v>
      </c>
      <c r="L4453">
        <v>24.798369999999998</v>
      </c>
      <c r="M4453">
        <v>0.71598609999999996</v>
      </c>
      <c r="N4453">
        <v>-1.455012E-2</v>
      </c>
      <c r="O4453">
        <v>-0.69796320000000001</v>
      </c>
      <c r="P4453">
        <v>0.72174869999999902</v>
      </c>
      <c r="Q4453">
        <v>0.18725600000000001</v>
      </c>
      <c r="R4453">
        <v>-0.6663443</v>
      </c>
      <c r="S4453">
        <v>2.885529</v>
      </c>
      <c r="T4453">
        <v>8.1354380000000004E-2</v>
      </c>
      <c r="U4453">
        <v>-1.361877</v>
      </c>
      <c r="V4453">
        <v>-3.0663869999999999E-2</v>
      </c>
      <c r="W4453">
        <v>0.20095370000000001</v>
      </c>
      <c r="X4453">
        <v>0.97912069999999995</v>
      </c>
      <c r="Y4453">
        <v>-0.32510470000000002</v>
      </c>
      <c r="Z4453">
        <v>-2.9254349999999998E-2</v>
      </c>
      <c r="AA4453">
        <v>0.94522539999999999</v>
      </c>
      <c r="AB4453">
        <v>26</v>
      </c>
      <c r="AC4453">
        <v>51.279299999999999</v>
      </c>
      <c r="AD4453">
        <v>1.4483569999999899</v>
      </c>
      <c r="AE4453">
        <v>-24.162762300000001</v>
      </c>
      <c r="AF4453">
        <v>-18.480751636540301</v>
      </c>
      <c r="AG4453">
        <v>1.4483569999999899</v>
      </c>
      <c r="AH4453">
        <v>53.550687559502599</v>
      </c>
      <c r="AI4453">
        <v>88.535449693381807</v>
      </c>
      <c r="AJ4453">
        <v>109.03994572569199</v>
      </c>
      <c r="AK4453">
        <v>56.668439692181401</v>
      </c>
      <c r="AL4453">
        <v>78.407265698817895</v>
      </c>
      <c r="AM4453">
        <v>91.793789344291795</v>
      </c>
      <c r="AN4453">
        <v>1.0000000038177701</v>
      </c>
    </row>
    <row r="4454" spans="1:40" x14ac:dyDescent="0.25">
      <c r="A4454" t="str">
        <f>"20190303171107043"</f>
        <v>20190303171107043</v>
      </c>
      <c r="B4454" t="str">
        <f>"1551604267035173"</f>
        <v>1551604267035173</v>
      </c>
      <c r="C4454" t="s">
        <v>40</v>
      </c>
      <c r="D4454">
        <v>4.5336600000000002</v>
      </c>
      <c r="E4454">
        <v>0.38251689999999999</v>
      </c>
      <c r="F4454" t="s">
        <v>93</v>
      </c>
      <c r="G4454">
        <v>-361.53199999999998</v>
      </c>
      <c r="H4454">
        <v>2.773412</v>
      </c>
      <c r="I4454">
        <v>0.63554290000000002</v>
      </c>
      <c r="J4454">
        <v>-413.61869999999999</v>
      </c>
      <c r="K4454">
        <v>1.1294569999999999</v>
      </c>
      <c r="L4454">
        <v>24.724730000000001</v>
      </c>
      <c r="M4454">
        <v>0.71942510000000004</v>
      </c>
      <c r="N4454">
        <v>-1.454865E-2</v>
      </c>
      <c r="O4454">
        <v>-0.69441769999999903</v>
      </c>
      <c r="P4454">
        <v>0.72527559999999902</v>
      </c>
      <c r="Q4454">
        <v>0.18672269999999999</v>
      </c>
      <c r="R4454">
        <v>-0.66265379999999996</v>
      </c>
      <c r="S4454">
        <v>2.8950200000000001</v>
      </c>
      <c r="T4454">
        <v>9.1226459999999995E-2</v>
      </c>
      <c r="U4454">
        <v>-1.340851</v>
      </c>
      <c r="V4454">
        <v>-3.090358E-2</v>
      </c>
      <c r="W4454">
        <v>0.2004165</v>
      </c>
      <c r="X4454">
        <v>0.97922330000000002</v>
      </c>
      <c r="Y4454">
        <v>-0.32717740000000001</v>
      </c>
      <c r="Z4454">
        <v>-3.1649469999999999E-2</v>
      </c>
      <c r="AA4454">
        <v>0.94443279999999996</v>
      </c>
      <c r="AB4454">
        <v>26</v>
      </c>
      <c r="AC4454">
        <v>52.0867</v>
      </c>
      <c r="AD4454">
        <v>1.6439549999999901</v>
      </c>
      <c r="AE4454">
        <v>-24.0891871</v>
      </c>
      <c r="AF4454">
        <v>-18.826104716217301</v>
      </c>
      <c r="AG4454">
        <v>1.6439549999999901</v>
      </c>
      <c r="AH4454">
        <v>54.161725446589898</v>
      </c>
      <c r="AI4454">
        <v>88.357772446432605</v>
      </c>
      <c r="AJ4454">
        <v>109.166969096275</v>
      </c>
      <c r="AK4454">
        <v>57.363902501309902</v>
      </c>
      <c r="AL4454">
        <v>78.438684576189203</v>
      </c>
      <c r="AM4454">
        <v>91.807613452340505</v>
      </c>
      <c r="AN4454">
        <v>1.0000000379959699</v>
      </c>
    </row>
    <row r="4455" spans="1:40" x14ac:dyDescent="0.25">
      <c r="A4455" t="str">
        <f>"20190303171107055"</f>
        <v>20190303171107055</v>
      </c>
      <c r="B4455" t="str">
        <f>"1551604267045908"</f>
        <v>1551604267045908</v>
      </c>
      <c r="C4455" t="s">
        <v>40</v>
      </c>
      <c r="D4455">
        <v>4.6234599999999997</v>
      </c>
      <c r="E4455">
        <v>0.3825112</v>
      </c>
      <c r="F4455" t="s">
        <v>93</v>
      </c>
      <c r="G4455">
        <v>-361.2826</v>
      </c>
      <c r="H4455">
        <v>2.557118</v>
      </c>
      <c r="I4455">
        <v>0.63561440000000002</v>
      </c>
      <c r="J4455">
        <v>-413.52140000000003</v>
      </c>
      <c r="K4455">
        <v>1.1294439999999999</v>
      </c>
      <c r="L4455">
        <v>24.6387</v>
      </c>
      <c r="M4455">
        <v>0.72342629999999997</v>
      </c>
      <c r="N4455">
        <v>-1.4547020000000001E-2</v>
      </c>
      <c r="O4455">
        <v>-0.69024859999999999</v>
      </c>
      <c r="P4455">
        <v>0.7297186</v>
      </c>
      <c r="Q4455">
        <v>0.1856805</v>
      </c>
      <c r="R4455">
        <v>-0.65805319999999901</v>
      </c>
      <c r="S4455">
        <v>2.897491</v>
      </c>
      <c r="T4455">
        <v>7.9039810000000002E-2</v>
      </c>
      <c r="U4455">
        <v>-1.3336490000000001</v>
      </c>
      <c r="V4455">
        <v>-3.1598769999999998E-2</v>
      </c>
      <c r="W4455">
        <v>0.1993615</v>
      </c>
      <c r="X4455">
        <v>0.97941639999999996</v>
      </c>
      <c r="Y4455">
        <v>-0.32407360000000002</v>
      </c>
      <c r="Z4455">
        <v>-2.8372140000000001E-2</v>
      </c>
      <c r="AA4455">
        <v>0.94560639999999996</v>
      </c>
      <c r="AB4455">
        <v>26</v>
      </c>
      <c r="AC4455">
        <v>52.238799999999998</v>
      </c>
      <c r="AD4455">
        <v>1.4276740000000001</v>
      </c>
      <c r="AE4455">
        <v>-24.003085599999999</v>
      </c>
      <c r="AF4455">
        <v>-18.683747571581598</v>
      </c>
      <c r="AG4455">
        <v>1.4276740000000001</v>
      </c>
      <c r="AH4455">
        <v>54.331254193874798</v>
      </c>
      <c r="AI4455">
        <v>88.576551734812</v>
      </c>
      <c r="AJ4455">
        <v>108.97736675277601</v>
      </c>
      <c r="AK4455">
        <v>57.471783151806797</v>
      </c>
      <c r="AL4455">
        <v>78.500376068970496</v>
      </c>
      <c r="AM4455">
        <v>91.847884496177997</v>
      </c>
      <c r="AN4455">
        <v>0.99999998726836103</v>
      </c>
    </row>
    <row r="4456" spans="1:40" x14ac:dyDescent="0.25">
      <c r="A4456" t="str">
        <f>"20190303171107067"</f>
        <v>20190303171107067</v>
      </c>
      <c r="B4456" t="str">
        <f>"1551604267055668"</f>
        <v>1551604267055668</v>
      </c>
      <c r="C4456" t="s">
        <v>40</v>
      </c>
      <c r="D4456">
        <v>4.6579860000000002</v>
      </c>
      <c r="E4456">
        <v>0.38244099999999998</v>
      </c>
      <c r="F4456" t="s">
        <v>93</v>
      </c>
      <c r="G4456">
        <v>-360.47789999999998</v>
      </c>
      <c r="H4456">
        <v>2.6072669999999998</v>
      </c>
      <c r="I4456">
        <v>0.6355982</v>
      </c>
      <c r="J4456">
        <v>-413.42399999999998</v>
      </c>
      <c r="K4456">
        <v>1.129432</v>
      </c>
      <c r="L4456">
        <v>24.554379999999998</v>
      </c>
      <c r="M4456">
        <v>0.72737149999999995</v>
      </c>
      <c r="N4456">
        <v>-1.4545280000000001E-2</v>
      </c>
      <c r="O4456">
        <v>-0.68608970000000002</v>
      </c>
      <c r="P4456">
        <v>0.73400169999999998</v>
      </c>
      <c r="Q4456">
        <v>0.184974</v>
      </c>
      <c r="R4456">
        <v>-0.65347270000000002</v>
      </c>
      <c r="S4456">
        <v>2.90509</v>
      </c>
      <c r="T4456">
        <v>8.0937620000000002E-2</v>
      </c>
      <c r="U4456">
        <v>-1.3146059999999999</v>
      </c>
      <c r="V4456">
        <v>-3.221955E-2</v>
      </c>
      <c r="W4456">
        <v>0.19864329999999999</v>
      </c>
      <c r="X4456">
        <v>0.97954209999999997</v>
      </c>
      <c r="Y4456">
        <v>-0.32470880000000002</v>
      </c>
      <c r="Z4456">
        <v>-2.8703349999999999E-2</v>
      </c>
      <c r="AA4456">
        <v>0.94537839999999995</v>
      </c>
      <c r="AB4456">
        <v>26</v>
      </c>
      <c r="AC4456">
        <v>52.946100000000001</v>
      </c>
      <c r="AD4456">
        <v>1.47783499999999</v>
      </c>
      <c r="AE4456">
        <v>-23.918781800000001</v>
      </c>
      <c r="AF4456">
        <v>-18.917696406093501</v>
      </c>
      <c r="AG4456">
        <v>1.47783499999999</v>
      </c>
      <c r="AH4456">
        <v>54.892209227012998</v>
      </c>
      <c r="AI4456">
        <v>88.541947172211806</v>
      </c>
      <c r="AJ4456">
        <v>109.015668947116</v>
      </c>
      <c r="AK4456">
        <v>58.079410012693202</v>
      </c>
      <c r="AL4456">
        <v>78.542365799470502</v>
      </c>
      <c r="AM4456">
        <v>91.883919957058495</v>
      </c>
      <c r="AN4456">
        <v>0.99999999285475105</v>
      </c>
    </row>
    <row r="4457" spans="1:40" x14ac:dyDescent="0.25">
      <c r="A4457" t="str">
        <f>"20190303171107078"</f>
        <v>20190303171107078</v>
      </c>
      <c r="B4457" t="str">
        <f>"1551604267065428"</f>
        <v>1551604267065428</v>
      </c>
      <c r="C4457" t="s">
        <v>40</v>
      </c>
      <c r="D4457">
        <v>4.6164969999999999</v>
      </c>
      <c r="E4457">
        <v>0.38311719999999999</v>
      </c>
      <c r="F4457" t="s">
        <v>93</v>
      </c>
      <c r="G4457">
        <v>-359.64400000000001</v>
      </c>
      <c r="H4457">
        <v>2.6512190000000002</v>
      </c>
      <c r="I4457">
        <v>0.63558440000000005</v>
      </c>
      <c r="J4457">
        <v>-413.32690000000002</v>
      </c>
      <c r="K4457">
        <v>1.129416</v>
      </c>
      <c r="L4457">
        <v>24.47052</v>
      </c>
      <c r="M4457">
        <v>0.73127819999999899</v>
      </c>
      <c r="N4457">
        <v>-1.454361E-2</v>
      </c>
      <c r="O4457">
        <v>-0.68192450000000004</v>
      </c>
      <c r="P4457">
        <v>0.73808189999999996</v>
      </c>
      <c r="Q4457">
        <v>0.18460499999999999</v>
      </c>
      <c r="R4457">
        <v>-0.64896589999999998</v>
      </c>
      <c r="S4457">
        <v>2.9129939999999999</v>
      </c>
      <c r="T4457">
        <v>8.2427619999999993E-2</v>
      </c>
      <c r="U4457">
        <v>-1.295563</v>
      </c>
      <c r="V4457">
        <v>-3.2676579999999997E-2</v>
      </c>
      <c r="W4457">
        <v>0.1982652</v>
      </c>
      <c r="X4457">
        <v>0.97960360000000002</v>
      </c>
      <c r="Y4457">
        <v>-0.32540839999999999</v>
      </c>
      <c r="Z4457">
        <v>-2.89255E-2</v>
      </c>
      <c r="AA4457">
        <v>0.9451311</v>
      </c>
      <c r="AB4457">
        <v>26</v>
      </c>
      <c r="AC4457">
        <v>53.682899999999997</v>
      </c>
      <c r="AD4457">
        <v>1.52180299999999</v>
      </c>
      <c r="AE4457">
        <v>-23.834935600000001</v>
      </c>
      <c r="AF4457">
        <v>-19.166874822104798</v>
      </c>
      <c r="AG4457">
        <v>1.52180299999999</v>
      </c>
      <c r="AH4457">
        <v>55.479380925901502</v>
      </c>
      <c r="AI4457">
        <v>88.514856819565793</v>
      </c>
      <c r="AJ4457">
        <v>109.058876710405</v>
      </c>
      <c r="AK4457">
        <v>58.716664438116098</v>
      </c>
      <c r="AL4457">
        <v>78.564469402021402</v>
      </c>
      <c r="AM4457">
        <v>91.910503580234106</v>
      </c>
      <c r="AN4457">
        <v>1.0000000307722401</v>
      </c>
    </row>
    <row r="4458" spans="1:40" x14ac:dyDescent="0.25">
      <c r="A4458" t="str">
        <f>"20190303171107089"</f>
        <v>20190303171107089</v>
      </c>
      <c r="B4458" t="str">
        <f>"1551604267084948"</f>
        <v>1551604267084948</v>
      </c>
      <c r="C4458" t="s">
        <v>40</v>
      </c>
      <c r="D4458">
        <v>4.6330499999999999</v>
      </c>
      <c r="E4458">
        <v>0.38439099999999998</v>
      </c>
      <c r="F4458" t="s">
        <v>93</v>
      </c>
      <c r="G4458">
        <v>-359.0874</v>
      </c>
      <c r="H4458">
        <v>2.5659809999999998</v>
      </c>
      <c r="I4458">
        <v>0.6356115</v>
      </c>
      <c r="J4458">
        <v>-413.22210000000001</v>
      </c>
      <c r="K4458">
        <v>1.129405</v>
      </c>
      <c r="L4458">
        <v>24.38165</v>
      </c>
      <c r="M4458">
        <v>0.73543749999999997</v>
      </c>
      <c r="N4458">
        <v>-1.454167E-2</v>
      </c>
      <c r="O4458">
        <v>-0.6774365</v>
      </c>
      <c r="P4458">
        <v>0.74210129999999996</v>
      </c>
      <c r="Q4458">
        <v>0.1847318</v>
      </c>
      <c r="R4458">
        <v>-0.64432919999999905</v>
      </c>
      <c r="S4458">
        <v>2.9178769999999998</v>
      </c>
      <c r="T4458">
        <v>7.7281710000000003E-2</v>
      </c>
      <c r="U4458">
        <v>-1.282227</v>
      </c>
      <c r="V4458">
        <v>-3.2795789999999998E-2</v>
      </c>
      <c r="W4458">
        <v>0.1983876</v>
      </c>
      <c r="X4458">
        <v>0.97957479999999997</v>
      </c>
      <c r="Y4458">
        <v>-0.3238723</v>
      </c>
      <c r="Z4458">
        <v>-2.7459810000000001E-2</v>
      </c>
      <c r="AA4458">
        <v>0.94570220000000005</v>
      </c>
      <c r="AB4458">
        <v>26</v>
      </c>
      <c r="AC4458">
        <v>54.134700000000002</v>
      </c>
      <c r="AD4458">
        <v>1.4365760000000001</v>
      </c>
      <c r="AE4458">
        <v>-23.746038500000001</v>
      </c>
      <c r="AF4458">
        <v>-19.199786889722699</v>
      </c>
      <c r="AG4458">
        <v>1.4365760000000001</v>
      </c>
      <c r="AH4458">
        <v>55.8720361565152</v>
      </c>
      <c r="AI4458">
        <v>88.607057223435106</v>
      </c>
      <c r="AJ4458">
        <v>108.964698093332</v>
      </c>
      <c r="AK4458">
        <v>59.096361914160902</v>
      </c>
      <c r="AL4458">
        <v>78.557313868961899</v>
      </c>
      <c r="AM4458">
        <v>91.917524577512594</v>
      </c>
      <c r="AN4458">
        <v>0.99999999623526103</v>
      </c>
    </row>
    <row r="4459" spans="1:40" x14ac:dyDescent="0.25">
      <c r="A4459" t="str">
        <f>"20190303171107101"</f>
        <v>20190303171107101</v>
      </c>
      <c r="B4459" t="str">
        <f>"1551604267095683"</f>
        <v>1551604267095683</v>
      </c>
      <c r="C4459" t="s">
        <v>40</v>
      </c>
      <c r="D4459">
        <v>4.6298769999999996</v>
      </c>
      <c r="E4459">
        <v>0.3851272</v>
      </c>
      <c r="F4459" t="s">
        <v>93</v>
      </c>
      <c r="G4459">
        <v>-357.99849999999998</v>
      </c>
      <c r="H4459">
        <v>2.4789159999999999</v>
      </c>
      <c r="I4459">
        <v>0.3229012</v>
      </c>
      <c r="J4459">
        <v>-413.1182</v>
      </c>
      <c r="K4459">
        <v>1.129397</v>
      </c>
      <c r="L4459">
        <v>24.294339999999998</v>
      </c>
      <c r="M4459">
        <v>0.73951889999999998</v>
      </c>
      <c r="N4459">
        <v>-1.453982E-2</v>
      </c>
      <c r="O4459">
        <v>-0.67297890000000005</v>
      </c>
      <c r="P4459">
        <v>0.7459981</v>
      </c>
      <c r="Q4459">
        <v>0.18522459999999999</v>
      </c>
      <c r="R4459">
        <v>-0.63967089999999904</v>
      </c>
      <c r="S4459">
        <v>2.9201969999999999</v>
      </c>
      <c r="T4459">
        <v>7.1361540000000001E-2</v>
      </c>
      <c r="U4459">
        <v>-1.2722169999999999</v>
      </c>
      <c r="V4459">
        <v>-3.2929800000000002E-2</v>
      </c>
      <c r="W4459">
        <v>0.198875</v>
      </c>
      <c r="X4459">
        <v>0.97947139999999999</v>
      </c>
      <c r="Y4459">
        <v>-0.3212025</v>
      </c>
      <c r="Z4459">
        <v>-2.5817070000000001E-2</v>
      </c>
      <c r="AA4459">
        <v>0.94665860000000002</v>
      </c>
      <c r="AB4459">
        <v>26</v>
      </c>
      <c r="AC4459">
        <v>55.119700000000002</v>
      </c>
      <c r="AD4459">
        <v>1.3495189999999999</v>
      </c>
      <c r="AE4459">
        <v>-23.971438800000001</v>
      </c>
      <c r="AF4459">
        <v>-19.3593495162613</v>
      </c>
      <c r="AG4459">
        <v>1.3495189999999999</v>
      </c>
      <c r="AH4459">
        <v>56.8716725778716</v>
      </c>
      <c r="AI4459">
        <v>88.713159146862907</v>
      </c>
      <c r="AJ4459">
        <v>108.79878381586801</v>
      </c>
      <c r="AK4459">
        <v>60.091536484173602</v>
      </c>
      <c r="AL4459">
        <v>78.528819382233806</v>
      </c>
      <c r="AM4459">
        <v>91.9255571731629</v>
      </c>
      <c r="AN4459">
        <v>0.99999993038549695</v>
      </c>
    </row>
    <row r="4460" spans="1:40" x14ac:dyDescent="0.25">
      <c r="A4460" t="str">
        <f>"20190303171107112"</f>
        <v>20190303171107112</v>
      </c>
      <c r="B4460" t="str">
        <f>"1551604267105444"</f>
        <v>1551604267105444</v>
      </c>
      <c r="C4460" t="s">
        <v>40</v>
      </c>
      <c r="D4460">
        <v>4.6376169999999997</v>
      </c>
      <c r="E4460">
        <v>0.38574360000000002</v>
      </c>
      <c r="F4460" t="s">
        <v>93</v>
      </c>
      <c r="G4460">
        <v>-357.42129999999997</v>
      </c>
      <c r="H4460">
        <v>2.4644529999999998</v>
      </c>
      <c r="I4460">
        <v>0.32290649999999999</v>
      </c>
      <c r="J4460">
        <v>-413.02190000000002</v>
      </c>
      <c r="K4460">
        <v>1.1293899999999999</v>
      </c>
      <c r="L4460">
        <v>24.214390000000002</v>
      </c>
      <c r="M4460">
        <v>0.74325680000000005</v>
      </c>
      <c r="N4460">
        <v>-1.4538189999999999E-2</v>
      </c>
      <c r="O4460">
        <v>-0.6688482</v>
      </c>
      <c r="P4460">
        <v>0.74917319999999998</v>
      </c>
      <c r="Q4460">
        <v>0.18613260000000001</v>
      </c>
      <c r="R4460">
        <v>-0.63568380000000002</v>
      </c>
      <c r="S4460">
        <v>2.9246829999999999</v>
      </c>
      <c r="T4460">
        <v>7.0104840000000002E-2</v>
      </c>
      <c r="U4460">
        <v>-1.258759</v>
      </c>
      <c r="V4460">
        <v>-3.2558860000000002E-2</v>
      </c>
      <c r="W4460">
        <v>0.19978770000000001</v>
      </c>
      <c r="X4460">
        <v>0.97929809999999995</v>
      </c>
      <c r="Y4460">
        <v>-0.32014029999999999</v>
      </c>
      <c r="Z4460">
        <v>-2.5359940000000001E-2</v>
      </c>
      <c r="AA4460">
        <v>0.9470307</v>
      </c>
      <c r="AB4460">
        <v>26</v>
      </c>
      <c r="AC4460">
        <v>55.6006</v>
      </c>
      <c r="AD4460">
        <v>1.3350630000000001</v>
      </c>
      <c r="AE4460">
        <v>-23.8914835</v>
      </c>
      <c r="AF4460">
        <v>-19.423454643162401</v>
      </c>
      <c r="AG4460">
        <v>1.3350630000000001</v>
      </c>
      <c r="AH4460">
        <v>57.283478667517898</v>
      </c>
      <c r="AI4460">
        <v>88.7355769338172</v>
      </c>
      <c r="AJ4460">
        <v>108.73056605765601</v>
      </c>
      <c r="AK4460">
        <v>60.501652140589798</v>
      </c>
      <c r="AL4460">
        <v>78.4754552579316</v>
      </c>
      <c r="AM4460">
        <v>91.904219325438802</v>
      </c>
      <c r="AN4460">
        <v>0.99999998654969902</v>
      </c>
    </row>
    <row r="4461" spans="1:40" x14ac:dyDescent="0.25">
      <c r="A4461" t="str">
        <f>"20190303171107123"</f>
        <v>20190303171107123</v>
      </c>
      <c r="B4461" t="str">
        <f>"1551604267115204"</f>
        <v>1551604267115204</v>
      </c>
      <c r="C4461" t="s">
        <v>40</v>
      </c>
      <c r="D4461">
        <v>4.6860780000000002</v>
      </c>
      <c r="E4461">
        <v>0.38659759999999999</v>
      </c>
      <c r="F4461" t="s">
        <v>93</v>
      </c>
      <c r="G4461">
        <v>-357.00749999999999</v>
      </c>
      <c r="H4461">
        <v>2.4871080000000001</v>
      </c>
      <c r="I4461">
        <v>0.35966300000000001</v>
      </c>
      <c r="J4461">
        <v>-412.92329999999998</v>
      </c>
      <c r="K4461">
        <v>1.1293850000000001</v>
      </c>
      <c r="L4461">
        <v>24.133669999999999</v>
      </c>
      <c r="M4461">
        <v>0.74703940000000002</v>
      </c>
      <c r="N4461">
        <v>-1.4536469999999999E-2</v>
      </c>
      <c r="O4461">
        <v>-0.66462109999999996</v>
      </c>
      <c r="P4461">
        <v>0.75237719999999997</v>
      </c>
      <c r="Q4461">
        <v>0.18669669999999999</v>
      </c>
      <c r="R4461">
        <v>-0.63172229999999996</v>
      </c>
      <c r="S4461">
        <v>2.9285890000000001</v>
      </c>
      <c r="T4461">
        <v>7.0985320000000005E-2</v>
      </c>
      <c r="U4461">
        <v>-1.2471920000000001</v>
      </c>
      <c r="V4461">
        <v>-3.208341E-2</v>
      </c>
      <c r="W4461">
        <v>0.2003586</v>
      </c>
      <c r="X4461">
        <v>0.97919710000000004</v>
      </c>
      <c r="Y4461">
        <v>-0.31838179999999999</v>
      </c>
      <c r="Z4461">
        <v>-2.5426529999999999E-2</v>
      </c>
      <c r="AA4461">
        <v>0.94762150000000001</v>
      </c>
      <c r="AB4461">
        <v>26</v>
      </c>
      <c r="AC4461">
        <v>55.915799999999898</v>
      </c>
      <c r="AD4461">
        <v>1.357723</v>
      </c>
      <c r="AE4461">
        <v>-23.774007000000001</v>
      </c>
      <c r="AF4461">
        <v>-19.3950626800614</v>
      </c>
      <c r="AG4461">
        <v>1.357723</v>
      </c>
      <c r="AH4461">
        <v>57.549349068350999</v>
      </c>
      <c r="AI4461">
        <v>88.719261823860506</v>
      </c>
      <c r="AJ4461">
        <v>108.624649752249</v>
      </c>
      <c r="AK4461">
        <v>60.744871769550599</v>
      </c>
      <c r="AL4461">
        <v>78.442069502259301</v>
      </c>
      <c r="AM4461">
        <v>91.876625855404299</v>
      </c>
      <c r="AN4461">
        <v>0.99999993721979696</v>
      </c>
    </row>
    <row r="4462" spans="1:40" x14ac:dyDescent="0.25">
      <c r="A4462" t="str">
        <f>"20190303171107133"</f>
        <v>20190303171107133</v>
      </c>
      <c r="B4462" t="str">
        <f>"1551604267124964"</f>
        <v>1551604267124964</v>
      </c>
      <c r="C4462" t="s">
        <v>40</v>
      </c>
      <c r="D4462">
        <v>4.6919879999999896</v>
      </c>
      <c r="E4462">
        <v>0.38734940000000001</v>
      </c>
      <c r="F4462" t="s">
        <v>93</v>
      </c>
      <c r="G4462">
        <v>-356.18540000000002</v>
      </c>
      <c r="H4462">
        <v>2.4870510000000001</v>
      </c>
      <c r="I4462">
        <v>0.18929099999999999</v>
      </c>
      <c r="J4462">
        <v>-412.82940000000002</v>
      </c>
      <c r="K4462">
        <v>1.1293759999999999</v>
      </c>
      <c r="L4462">
        <v>24.057310000000001</v>
      </c>
      <c r="M4462">
        <v>0.75060990000000005</v>
      </c>
      <c r="N4462">
        <v>-1.453486E-2</v>
      </c>
      <c r="O4462">
        <v>-0.6605856</v>
      </c>
      <c r="P4462">
        <v>0.75570599999999999</v>
      </c>
      <c r="Q4462">
        <v>0.18715680000000001</v>
      </c>
      <c r="R4462">
        <v>-0.62759949999999998</v>
      </c>
      <c r="S4462">
        <v>2.931305</v>
      </c>
      <c r="T4462">
        <v>7.0142389999999999E-2</v>
      </c>
      <c r="U4462">
        <v>-1.237061</v>
      </c>
      <c r="V4462">
        <v>-3.2090149999999998E-2</v>
      </c>
      <c r="W4462">
        <v>0.20081640000000001</v>
      </c>
      <c r="X4462">
        <v>0.9791031</v>
      </c>
      <c r="Y4462">
        <v>-0.31637559999999998</v>
      </c>
      <c r="Z4462">
        <v>-2.5076069999999999E-2</v>
      </c>
      <c r="AA4462">
        <v>0.94830250000000005</v>
      </c>
      <c r="AB4462">
        <v>26</v>
      </c>
      <c r="AC4462">
        <v>56.643999999999998</v>
      </c>
      <c r="AD4462">
        <v>1.35767499999999</v>
      </c>
      <c r="AE4462">
        <v>-23.868019</v>
      </c>
      <c r="AF4462">
        <v>-19.495190435785599</v>
      </c>
      <c r="AG4462">
        <v>1.35767499999999</v>
      </c>
      <c r="AH4462">
        <v>58.2621553852495</v>
      </c>
      <c r="AI4462">
        <v>88.734052521697194</v>
      </c>
      <c r="AJ4462">
        <v>108.500836586052</v>
      </c>
      <c r="AK4462">
        <v>61.452294356420303</v>
      </c>
      <c r="AL4462">
        <v>78.415295388555094</v>
      </c>
      <c r="AM4462">
        <v>91.877199886816797</v>
      </c>
      <c r="AN4462">
        <v>0.99999994233279399</v>
      </c>
    </row>
    <row r="4463" spans="1:40" x14ac:dyDescent="0.25">
      <c r="A4463" t="str">
        <f>"20190303171107145"</f>
        <v>20190303171107145</v>
      </c>
      <c r="B4463" t="str">
        <f>"1551604267135700"</f>
        <v>1551604267135700</v>
      </c>
      <c r="C4463" t="s">
        <v>40</v>
      </c>
      <c r="D4463">
        <v>4.6836080000000004</v>
      </c>
      <c r="E4463">
        <v>0.38802229999999999</v>
      </c>
      <c r="F4463" t="s">
        <v>93</v>
      </c>
      <c r="G4463">
        <v>-356.02170000000001</v>
      </c>
      <c r="H4463">
        <v>2.4423840000000001</v>
      </c>
      <c r="I4463">
        <v>0.32291320000000001</v>
      </c>
      <c r="J4463">
        <v>-412.73329999999999</v>
      </c>
      <c r="K4463">
        <v>1.1293770000000001</v>
      </c>
      <c r="L4463">
        <v>23.980499999999999</v>
      </c>
      <c r="M4463">
        <v>0.75422069999999997</v>
      </c>
      <c r="N4463">
        <v>-1.453316E-2</v>
      </c>
      <c r="O4463">
        <v>-0.6564605</v>
      </c>
      <c r="P4463">
        <v>0.75916969999999995</v>
      </c>
      <c r="Q4463">
        <v>0.1868021</v>
      </c>
      <c r="R4463">
        <v>-0.62351190000000001</v>
      </c>
      <c r="S4463">
        <v>2.934723</v>
      </c>
      <c r="T4463">
        <v>6.7830920000000003E-2</v>
      </c>
      <c r="U4463">
        <v>-1.226135</v>
      </c>
      <c r="V4463">
        <v>-3.2052360000000002E-2</v>
      </c>
      <c r="W4463">
        <v>0.2004618</v>
      </c>
      <c r="X4463">
        <v>0.97917710000000002</v>
      </c>
      <c r="Y4463">
        <v>-0.31459229999999999</v>
      </c>
      <c r="Z4463">
        <v>-2.4363849999999999E-2</v>
      </c>
      <c r="AA4463">
        <v>0.94891420000000004</v>
      </c>
      <c r="AB4463">
        <v>26</v>
      </c>
      <c r="AC4463">
        <v>56.711599999999898</v>
      </c>
      <c r="AD4463">
        <v>1.313007</v>
      </c>
      <c r="AE4463">
        <v>-23.657586800000001</v>
      </c>
      <c r="AF4463">
        <v>-19.379078639364899</v>
      </c>
      <c r="AG4463">
        <v>1.313007</v>
      </c>
      <c r="AH4463">
        <v>58.282867843413101</v>
      </c>
      <c r="AI4463">
        <v>88.775349171814995</v>
      </c>
      <c r="AJ4463">
        <v>108.391988452771</v>
      </c>
      <c r="AK4463">
        <v>61.434236060567201</v>
      </c>
      <c r="AL4463">
        <v>78.436035338451703</v>
      </c>
      <c r="AM4463">
        <v>91.874849238882803</v>
      </c>
      <c r="AN4463">
        <v>1.0000000401025999</v>
      </c>
    </row>
    <row r="4464" spans="1:40" x14ac:dyDescent="0.25">
      <c r="A4464" t="str">
        <f>"20190303171107158"</f>
        <v>20190303171107158</v>
      </c>
      <c r="B4464" t="str">
        <f>"1551604267145461"</f>
        <v>1551604267145461</v>
      </c>
      <c r="C4464" t="s">
        <v>40</v>
      </c>
      <c r="D4464">
        <v>4.6829939999999999</v>
      </c>
      <c r="E4464">
        <v>0.38873679999999999</v>
      </c>
      <c r="F4464" t="s">
        <v>93</v>
      </c>
      <c r="G4464">
        <v>-355.51400000000001</v>
      </c>
      <c r="H4464">
        <v>2.379877</v>
      </c>
      <c r="I4464">
        <v>0.32293460000000002</v>
      </c>
      <c r="J4464">
        <v>-412.62029999999999</v>
      </c>
      <c r="K4464">
        <v>1.129365</v>
      </c>
      <c r="L4464">
        <v>23.890720000000002</v>
      </c>
      <c r="M4464">
        <v>0.75842279999999995</v>
      </c>
      <c r="N4464">
        <v>-1.4531219999999999E-2</v>
      </c>
      <c r="O4464">
        <v>-0.65160109999999904</v>
      </c>
      <c r="P4464">
        <v>0.76348870000000002</v>
      </c>
      <c r="Q4464">
        <v>0.1861749</v>
      </c>
      <c r="R4464">
        <v>-0.61840479999999998</v>
      </c>
      <c r="S4464">
        <v>2.938202</v>
      </c>
      <c r="T4464">
        <v>6.4213039999999999E-2</v>
      </c>
      <c r="U4464">
        <v>-1.2148129999999999</v>
      </c>
      <c r="V4464">
        <v>-3.2413829999999998E-2</v>
      </c>
      <c r="W4464">
        <v>0.19982829999999999</v>
      </c>
      <c r="X4464">
        <v>0.97929469999999996</v>
      </c>
      <c r="Y4464">
        <v>-0.31204110000000002</v>
      </c>
      <c r="Z4464">
        <v>-2.3312940000000001E-2</v>
      </c>
      <c r="AA4464">
        <v>0.94978260000000003</v>
      </c>
      <c r="AB4464">
        <v>26</v>
      </c>
      <c r="AC4464">
        <v>57.106299999999898</v>
      </c>
      <c r="AD4464">
        <v>1.2505120000000001</v>
      </c>
      <c r="AE4464">
        <v>-23.567785399999899</v>
      </c>
      <c r="AF4464">
        <v>-19.330300778019598</v>
      </c>
      <c r="AG4464">
        <v>1.2505120000000001</v>
      </c>
      <c r="AH4464">
        <v>58.6496704237275</v>
      </c>
      <c r="AI4464">
        <v>88.839907991220898</v>
      </c>
      <c r="AJ4464">
        <v>108.241664200811</v>
      </c>
      <c r="AK4464">
        <v>61.765752235706699</v>
      </c>
      <c r="AL4464">
        <v>78.473082006885505</v>
      </c>
      <c r="AM4464">
        <v>91.8957499617661</v>
      </c>
      <c r="AN4464">
        <v>1.00000005765212</v>
      </c>
    </row>
    <row r="4465" spans="1:40" x14ac:dyDescent="0.25">
      <c r="A4465" t="str">
        <f>"20190303171107169"</f>
        <v>20190303171107169</v>
      </c>
      <c r="B4465" t="str">
        <f>"1551604267164980"</f>
        <v>1551604267164980</v>
      </c>
      <c r="C4465" t="s">
        <v>40</v>
      </c>
      <c r="D4465">
        <v>4.7109509999999997</v>
      </c>
      <c r="E4465">
        <v>0.40083920000000001</v>
      </c>
      <c r="F4465" t="s">
        <v>94</v>
      </c>
      <c r="G4465">
        <v>-350.39</v>
      </c>
      <c r="H4465">
        <v>2.3748840000000002</v>
      </c>
      <c r="I4465">
        <v>-1.4780059999999999</v>
      </c>
      <c r="J4465">
        <v>-412.50869999999998</v>
      </c>
      <c r="K4465">
        <v>1.1293530000000001</v>
      </c>
      <c r="L4465">
        <v>23.80368</v>
      </c>
      <c r="M4465">
        <v>0.76251759999999902</v>
      </c>
      <c r="N4465">
        <v>-1.4529159999999999E-2</v>
      </c>
      <c r="O4465">
        <v>-0.64680470000000001</v>
      </c>
      <c r="P4465">
        <v>0.7677562</v>
      </c>
      <c r="Q4465">
        <v>0.1854739</v>
      </c>
      <c r="R4465">
        <v>-0.61331089999999999</v>
      </c>
      <c r="S4465">
        <v>2.943146</v>
      </c>
      <c r="T4465">
        <v>5.890608E-2</v>
      </c>
      <c r="U4465">
        <v>-1.1997990000000001</v>
      </c>
      <c r="V4465">
        <v>-3.2845470000000002E-2</v>
      </c>
      <c r="W4465">
        <v>0.19911899999999999</v>
      </c>
      <c r="X4465">
        <v>0.97942470000000004</v>
      </c>
      <c r="Y4465">
        <v>-0.31080010000000002</v>
      </c>
      <c r="Z4465">
        <v>-2.1869429999999999E-2</v>
      </c>
      <c r="AA4465">
        <v>0.9502237</v>
      </c>
      <c r="AB4465">
        <v>26</v>
      </c>
      <c r="AC4465">
        <v>62.118699999999897</v>
      </c>
      <c r="AD4465">
        <v>1.2455309999999999</v>
      </c>
      <c r="AE4465">
        <v>-25.281685999999901</v>
      </c>
      <c r="AF4465">
        <v>-20.895930581249999</v>
      </c>
      <c r="AG4465">
        <v>1.2455309999999999</v>
      </c>
      <c r="AH4465">
        <v>63.703653987486199</v>
      </c>
      <c r="AI4465">
        <v>88.935679933446394</v>
      </c>
      <c r="AJ4465">
        <v>108.16040975967</v>
      </c>
      <c r="AK4465">
        <v>67.054804404201704</v>
      </c>
      <c r="AL4465">
        <v>78.514554387448001</v>
      </c>
      <c r="AM4465">
        <v>91.920721216388202</v>
      </c>
      <c r="AN4465">
        <v>0.99999997201530499</v>
      </c>
    </row>
    <row r="4466" spans="1:40" x14ac:dyDescent="0.25">
      <c r="A4466" t="str">
        <f>"20190303171107182"</f>
        <v>20190303171107182</v>
      </c>
      <c r="B4466" t="str">
        <f>"1551604267175717"</f>
        <v>1551604267175717</v>
      </c>
      <c r="C4466" t="s">
        <v>40</v>
      </c>
      <c r="D4466">
        <v>4.7540589999999998</v>
      </c>
      <c r="E4466">
        <v>0.4011961</v>
      </c>
      <c r="F4466" t="s">
        <v>93</v>
      </c>
      <c r="G4466">
        <v>-358.20699999999999</v>
      </c>
      <c r="H4466">
        <v>1.430976</v>
      </c>
      <c r="I4466">
        <v>0.21949289999999999</v>
      </c>
      <c r="J4466">
        <v>-412.39519999999999</v>
      </c>
      <c r="K4466">
        <v>1.129345</v>
      </c>
      <c r="L4466">
        <v>23.71613</v>
      </c>
      <c r="M4466">
        <v>0.76663040000000005</v>
      </c>
      <c r="N4466">
        <v>-1.452708E-2</v>
      </c>
      <c r="O4466">
        <v>-0.64192450000000001</v>
      </c>
      <c r="P4466">
        <v>0.77216169999999995</v>
      </c>
      <c r="Q4466">
        <v>0.18493989999999999</v>
      </c>
      <c r="R4466">
        <v>-0.60791740000000005</v>
      </c>
      <c r="S4466">
        <v>2.8981020000000002</v>
      </c>
      <c r="T4466">
        <v>1.6097779999999999E-2</v>
      </c>
      <c r="U4466">
        <v>-1.2586980000000001</v>
      </c>
      <c r="V4466">
        <v>-3.3523650000000002E-2</v>
      </c>
      <c r="W4466">
        <v>0.19857130000000001</v>
      </c>
      <c r="X4466">
        <v>0.97951290000000002</v>
      </c>
      <c r="Y4466">
        <v>-0.28330569999999999</v>
      </c>
      <c r="Z4466">
        <v>-1.155022E-2</v>
      </c>
      <c r="AA4466">
        <v>0.95896009999999998</v>
      </c>
      <c r="AB4466">
        <v>26</v>
      </c>
      <c r="AC4466">
        <v>54.188200000000002</v>
      </c>
      <c r="AD4466">
        <v>0.30163099999999998</v>
      </c>
      <c r="AE4466">
        <v>-23.496637100000001</v>
      </c>
      <c r="AF4466">
        <v>-16.772827156262402</v>
      </c>
      <c r="AG4466">
        <v>0.30163099999999998</v>
      </c>
      <c r="AH4466">
        <v>56.629879816517601</v>
      </c>
      <c r="AI4466">
        <v>89.7073896249954</v>
      </c>
      <c r="AJ4466">
        <v>106.49841179738</v>
      </c>
      <c r="AK4466">
        <v>59.062356879041403</v>
      </c>
      <c r="AL4466">
        <v>78.546574549832599</v>
      </c>
      <c r="AM4466">
        <v>91.960172480568104</v>
      </c>
      <c r="AN4466">
        <v>0.99999995877971004</v>
      </c>
    </row>
    <row r="4467" spans="1:40" x14ac:dyDescent="0.25">
      <c r="A4467" t="str">
        <f>"20190303171107195"</f>
        <v>20190303171107195</v>
      </c>
      <c r="B4467" t="str">
        <f>"1551604267185476"</f>
        <v>1551604267185476</v>
      </c>
      <c r="C4467" t="s">
        <v>40</v>
      </c>
      <c r="D4467">
        <v>4.7471519999999998</v>
      </c>
      <c r="E4467">
        <v>0.40165390000000001</v>
      </c>
      <c r="F4467" t="s">
        <v>93</v>
      </c>
      <c r="G4467">
        <v>-357.63060000000002</v>
      </c>
      <c r="H4467">
        <v>1.400315</v>
      </c>
      <c r="I4467">
        <v>0.32325890000000002</v>
      </c>
      <c r="J4467">
        <v>-412.27879999999999</v>
      </c>
      <c r="K4467">
        <v>1.1293299999999999</v>
      </c>
      <c r="L4467">
        <v>23.62726</v>
      </c>
      <c r="M4467">
        <v>0.7708026</v>
      </c>
      <c r="N4467">
        <v>-1.452495E-2</v>
      </c>
      <c r="O4467">
        <v>-0.63690839999999904</v>
      </c>
      <c r="P4467">
        <v>0.77643969999999995</v>
      </c>
      <c r="Q4467">
        <v>0.18486</v>
      </c>
      <c r="R4467">
        <v>-0.60246820000000001</v>
      </c>
      <c r="S4467">
        <v>2.904846</v>
      </c>
      <c r="T4467">
        <v>1.4372940000000001E-2</v>
      </c>
      <c r="U4467">
        <v>-1.2408140000000001</v>
      </c>
      <c r="V4467">
        <v>-3.403246E-2</v>
      </c>
      <c r="W4467">
        <v>0.1984802</v>
      </c>
      <c r="X4467">
        <v>0.97951390000000005</v>
      </c>
      <c r="Y4467">
        <v>-0.28285009999999999</v>
      </c>
      <c r="Z4467">
        <v>-1.103929E-2</v>
      </c>
      <c r="AA4467">
        <v>0.95910059999999997</v>
      </c>
      <c r="AB4467">
        <v>26</v>
      </c>
      <c r="AC4467">
        <v>54.648199999999903</v>
      </c>
      <c r="AD4467">
        <v>0.27098499999999998</v>
      </c>
      <c r="AE4467">
        <v>-23.304001100000001</v>
      </c>
      <c r="AF4467">
        <v>-16.844540110580802</v>
      </c>
      <c r="AG4467">
        <v>0.27098499999999998</v>
      </c>
      <c r="AH4467">
        <v>56.970315409120403</v>
      </c>
      <c r="AI4467">
        <v>89.738653205664704</v>
      </c>
      <c r="AJ4467">
        <v>106.471485108113</v>
      </c>
      <c r="AK4467">
        <v>59.408995970491297</v>
      </c>
      <c r="AL4467">
        <v>78.5519011322598</v>
      </c>
      <c r="AM4467">
        <v>91.989897510149106</v>
      </c>
      <c r="AN4467">
        <v>1.0000000392094499</v>
      </c>
    </row>
    <row r="4468" spans="1:40" x14ac:dyDescent="0.25">
      <c r="A4468" t="str">
        <f>"20190303171107207"</f>
        <v>20190303171107207</v>
      </c>
      <c r="B4468" t="str">
        <f>"1551604267195236"</f>
        <v>1551604267195236</v>
      </c>
      <c r="C4468" t="s">
        <v>40</v>
      </c>
      <c r="D4468">
        <v>4.7478989999999897</v>
      </c>
      <c r="E4468">
        <v>0.40165390000000001</v>
      </c>
      <c r="F4468" t="s">
        <v>93</v>
      </c>
      <c r="G4468">
        <v>-356.46350000000001</v>
      </c>
      <c r="H4468">
        <v>1.326824</v>
      </c>
      <c r="I4468">
        <v>0.1665635</v>
      </c>
      <c r="J4468">
        <v>-412.17</v>
      </c>
      <c r="K4468">
        <v>1.129319</v>
      </c>
      <c r="L4468">
        <v>23.545780000000001</v>
      </c>
      <c r="M4468">
        <v>0.77464319999999998</v>
      </c>
      <c r="N4468">
        <v>-1.4522780000000001E-2</v>
      </c>
      <c r="O4468">
        <v>-0.63223200000000002</v>
      </c>
      <c r="P4468">
        <v>0.77995839999999905</v>
      </c>
      <c r="Q4468">
        <v>0.1850002</v>
      </c>
      <c r="R4468">
        <v>-0.59786309999999998</v>
      </c>
      <c r="S4468">
        <v>2.9116520000000001</v>
      </c>
      <c r="T4468">
        <v>1.030242E-2</v>
      </c>
      <c r="U4468">
        <v>-1.223846</v>
      </c>
      <c r="V4468">
        <v>-3.3877329999999997E-2</v>
      </c>
      <c r="W4468">
        <v>0.19862179999999999</v>
      </c>
      <c r="X4468">
        <v>0.97949050000000004</v>
      </c>
      <c r="Y4468">
        <v>-0.28260879999999999</v>
      </c>
      <c r="Z4468">
        <v>-9.9860120000000007E-3</v>
      </c>
      <c r="AA4468">
        <v>0.95918329999999996</v>
      </c>
      <c r="AB4468">
        <v>26</v>
      </c>
      <c r="AC4468">
        <v>55.706499999999998</v>
      </c>
      <c r="AD4468">
        <v>0.19750499999999999</v>
      </c>
      <c r="AE4468">
        <v>-23.379216499999998</v>
      </c>
      <c r="AF4468">
        <v>-17.110499894717599</v>
      </c>
      <c r="AG4468">
        <v>0.19750499999999999</v>
      </c>
      <c r="AH4468">
        <v>57.939232688717901</v>
      </c>
      <c r="AI4468">
        <v>89.812686458716101</v>
      </c>
      <c r="AJ4468">
        <v>106.452820608135</v>
      </c>
      <c r="AK4468">
        <v>60.413267577822303</v>
      </c>
      <c r="AL4468">
        <v>78.543622394928803</v>
      </c>
      <c r="AM4468">
        <v>91.980881496573701</v>
      </c>
      <c r="AN4468">
        <v>0.99999996625670795</v>
      </c>
    </row>
    <row r="4469" spans="1:40" x14ac:dyDescent="0.25">
      <c r="A4469" t="str">
        <f>"20190303171107224"</f>
        <v>20190303171107224</v>
      </c>
      <c r="B4469" t="str">
        <f>"1551604267215733"</f>
        <v>1551604267215733</v>
      </c>
      <c r="C4469" t="s">
        <v>40</v>
      </c>
      <c r="D4469">
        <v>4.703843</v>
      </c>
      <c r="E4469">
        <v>0.37707200000000002</v>
      </c>
      <c r="F4469" t="s">
        <v>93</v>
      </c>
      <c r="G4469">
        <v>-355.983</v>
      </c>
      <c r="H4469">
        <v>1.3408739999999999</v>
      </c>
      <c r="I4469">
        <v>0.32327840000000002</v>
      </c>
      <c r="J4469">
        <v>-412.01339999999999</v>
      </c>
      <c r="K4469">
        <v>1.1293</v>
      </c>
      <c r="L4469">
        <v>23.429929999999999</v>
      </c>
      <c r="M4469">
        <v>0.78009419999999996</v>
      </c>
      <c r="N4469">
        <v>-1.451944E-2</v>
      </c>
      <c r="O4469">
        <v>-0.62549379999999999</v>
      </c>
      <c r="P4469">
        <v>0.78488049999999998</v>
      </c>
      <c r="Q4469">
        <v>0.1852008</v>
      </c>
      <c r="R4469">
        <v>-0.59132359999999995</v>
      </c>
      <c r="S4469">
        <v>2.9189449999999999</v>
      </c>
      <c r="T4469">
        <v>1.0990379999999999E-2</v>
      </c>
      <c r="U4469">
        <v>-1.206421</v>
      </c>
      <c r="V4469">
        <v>-3.3538699999999998E-2</v>
      </c>
      <c r="W4469">
        <v>0.1988269</v>
      </c>
      <c r="X4469">
        <v>0.97946060000000001</v>
      </c>
      <c r="Y4469">
        <v>-0.28002959999999999</v>
      </c>
      <c r="Z4469">
        <v>-1.002814E-2</v>
      </c>
      <c r="AA4469">
        <v>0.95993899999999999</v>
      </c>
      <c r="AB4469">
        <v>26</v>
      </c>
      <c r="AC4469">
        <v>56.030399999999901</v>
      </c>
      <c r="AD4469">
        <v>0.21157399999999901</v>
      </c>
      <c r="AE4469">
        <v>-23.106651599999999</v>
      </c>
      <c r="AF4469">
        <v>-17.022887634544698</v>
      </c>
      <c r="AG4469">
        <v>0.21157399999999901</v>
      </c>
      <c r="AH4469">
        <v>58.167472382998902</v>
      </c>
      <c r="AI4469">
        <v>89.799986691320896</v>
      </c>
      <c r="AJ4469">
        <v>106.312275150297</v>
      </c>
      <c r="AK4469">
        <v>60.607576344898902</v>
      </c>
      <c r="AL4469">
        <v>78.531632552840406</v>
      </c>
      <c r="AM4469">
        <v>91.961156419174202</v>
      </c>
      <c r="AN4469">
        <v>1.0000000237568201</v>
      </c>
    </row>
    <row r="4470" spans="1:40" x14ac:dyDescent="0.25">
      <c r="A4470" t="str">
        <f>"20190303171107235"</f>
        <v>20190303171107235</v>
      </c>
      <c r="B4470" t="str">
        <f>"1551604267225492"</f>
        <v>1551604267225492</v>
      </c>
      <c r="C4470" t="s">
        <v>40</v>
      </c>
      <c r="D4470">
        <v>4.6962979999999996</v>
      </c>
      <c r="E4470">
        <v>0.37215939999999997</v>
      </c>
      <c r="F4470" t="s">
        <v>94</v>
      </c>
      <c r="G4470">
        <v>-342.82510000000002</v>
      </c>
      <c r="H4470">
        <v>3.1475659999999999</v>
      </c>
      <c r="I4470">
        <v>0.16595839999999901</v>
      </c>
      <c r="J4470">
        <v>-411.91210000000001</v>
      </c>
      <c r="K4470">
        <v>1.1292869999999999</v>
      </c>
      <c r="L4470">
        <v>23.355830000000001</v>
      </c>
      <c r="M4470">
        <v>0.78357339999999998</v>
      </c>
      <c r="N4470">
        <v>-1.4517159999999999E-2</v>
      </c>
      <c r="O4470">
        <v>-0.62112979999999995</v>
      </c>
      <c r="P4470">
        <v>0.78829499999999997</v>
      </c>
      <c r="Q4470">
        <v>0.1852637</v>
      </c>
      <c r="R4470">
        <v>-0.58674419999999905</v>
      </c>
      <c r="S4470">
        <v>3.0330509999999999</v>
      </c>
      <c r="T4470">
        <v>8.8475940000000003E-2</v>
      </c>
      <c r="U4470">
        <v>-1.019836</v>
      </c>
      <c r="V4470">
        <v>-3.3760610000000003E-2</v>
      </c>
      <c r="W4470">
        <v>0.19888349999999999</v>
      </c>
      <c r="X4470">
        <v>0.97944149999999996</v>
      </c>
      <c r="Y4470">
        <v>-0.33848200000000001</v>
      </c>
      <c r="Z4470">
        <v>-2.7978360000000001E-2</v>
      </c>
      <c r="AA4470">
        <v>0.94055679999999997</v>
      </c>
      <c r="AB4470">
        <v>26</v>
      </c>
      <c r="AC4470">
        <v>69.086999999999904</v>
      </c>
      <c r="AD4470">
        <v>2.0182790000000002</v>
      </c>
      <c r="AE4470">
        <v>-23.1898716</v>
      </c>
      <c r="AF4470">
        <v>-24.724668153230201</v>
      </c>
      <c r="AG4470">
        <v>2.0182790000000002</v>
      </c>
      <c r="AH4470">
        <v>68.493335164140802</v>
      </c>
      <c r="AI4470">
        <v>88.412380812827195</v>
      </c>
      <c r="AJ4470">
        <v>109.84852713734</v>
      </c>
      <c r="AK4470">
        <v>72.847234863902202</v>
      </c>
      <c r="AL4470">
        <v>78.528323699916498</v>
      </c>
      <c r="AM4470">
        <v>91.974160713526103</v>
      </c>
      <c r="AN4470">
        <v>1.0000000386410299</v>
      </c>
    </row>
    <row r="4471" spans="1:40" x14ac:dyDescent="0.25">
      <c r="A4471" t="str">
        <f>"20190303171107246"</f>
        <v>20190303171107246</v>
      </c>
      <c r="B4471" t="str">
        <f>"1551604267235253"</f>
        <v>1551604267235253</v>
      </c>
      <c r="C4471" t="s">
        <v>40</v>
      </c>
      <c r="D4471">
        <v>4.686553</v>
      </c>
      <c r="E4471">
        <v>0.3681489</v>
      </c>
      <c r="F4471" t="s">
        <v>95</v>
      </c>
      <c r="G4471">
        <v>-283.94889999999998</v>
      </c>
      <c r="H4471">
        <v>5.3637249999999996</v>
      </c>
      <c r="I4471">
        <v>-17.223220000000001</v>
      </c>
      <c r="J4471">
        <v>-411.81229999999999</v>
      </c>
      <c r="K4471">
        <v>1.1292690000000001</v>
      </c>
      <c r="L4471">
        <v>23.284179999999999</v>
      </c>
      <c r="M4471">
        <v>0.78695289999999996</v>
      </c>
      <c r="N4471">
        <v>-1.4514350000000001E-2</v>
      </c>
      <c r="O4471">
        <v>-0.61684249999999996</v>
      </c>
      <c r="P4471">
        <v>0.79181159999999995</v>
      </c>
      <c r="Q4471">
        <v>0.1848707</v>
      </c>
      <c r="R4471">
        <v>-0.58211429999999997</v>
      </c>
      <c r="S4471">
        <v>3.0596920000000001</v>
      </c>
      <c r="T4471">
        <v>0.101248</v>
      </c>
      <c r="U4471">
        <v>-0.97027589999999997</v>
      </c>
      <c r="V4471">
        <v>-3.4195929999999999E-2</v>
      </c>
      <c r="W4471">
        <v>0.19848109999999999</v>
      </c>
      <c r="X4471">
        <v>0.97950800000000005</v>
      </c>
      <c r="Y4471">
        <v>-0.34945569999999998</v>
      </c>
      <c r="Z4471">
        <v>-3.0817689999999998E-2</v>
      </c>
      <c r="AA4471">
        <v>0.936446</v>
      </c>
      <c r="AB4471">
        <v>26</v>
      </c>
      <c r="AC4471">
        <v>127.8634</v>
      </c>
      <c r="AD4471">
        <v>4.2344559999999998</v>
      </c>
      <c r="AE4471">
        <v>-40.507399999999997</v>
      </c>
      <c r="AF4471">
        <v>-46.952311875811603</v>
      </c>
      <c r="AG4471">
        <v>4.2344559999999998</v>
      </c>
      <c r="AH4471">
        <v>125.49729571603901</v>
      </c>
      <c r="AI4471">
        <v>88.189935566049698</v>
      </c>
      <c r="AJ4471">
        <v>110.512334413489</v>
      </c>
      <c r="AK4471">
        <v>134.059768163824</v>
      </c>
      <c r="AL4471">
        <v>78.551848242763896</v>
      </c>
      <c r="AM4471">
        <v>91.999459989289207</v>
      </c>
      <c r="AN4471">
        <v>1.00000001537488</v>
      </c>
    </row>
    <row r="4472" spans="1:40" x14ac:dyDescent="0.25">
      <c r="A4472" t="str">
        <f>"20190303171107257"</f>
        <v>20190303171107257</v>
      </c>
      <c r="B4472" t="str">
        <f>"1551604267245012"</f>
        <v>1551604267245012</v>
      </c>
      <c r="C4472" t="s">
        <v>40</v>
      </c>
      <c r="D4472">
        <v>4.6696099999999996</v>
      </c>
      <c r="E4472">
        <v>0.3656644</v>
      </c>
      <c r="F4472" t="s">
        <v>96</v>
      </c>
      <c r="G4472">
        <v>-279.02</v>
      </c>
      <c r="H4472">
        <v>5.9370159999999998</v>
      </c>
      <c r="I4472">
        <v>-16.61056</v>
      </c>
      <c r="J4472">
        <v>-411.7106</v>
      </c>
      <c r="K4472">
        <v>1.129254</v>
      </c>
      <c r="L4472">
        <v>23.21143</v>
      </c>
      <c r="M4472">
        <v>0.79036589999999995</v>
      </c>
      <c r="N4472">
        <v>-1.451154E-2</v>
      </c>
      <c r="O4472">
        <v>-0.61246330000000004</v>
      </c>
      <c r="P4472">
        <v>0.79568909999999904</v>
      </c>
      <c r="Q4472">
        <v>0.18404699999999999</v>
      </c>
      <c r="R4472">
        <v>-0.57706639999999998</v>
      </c>
      <c r="S4472">
        <v>3.0820310000000002</v>
      </c>
      <c r="T4472">
        <v>0.111585</v>
      </c>
      <c r="U4472">
        <v>-0.92593380000000003</v>
      </c>
      <c r="V4472">
        <v>-3.5082870000000002E-2</v>
      </c>
      <c r="W4472">
        <v>0.1976407</v>
      </c>
      <c r="X4472">
        <v>0.97964649999999998</v>
      </c>
      <c r="Y4472">
        <v>-0.35839739999999998</v>
      </c>
      <c r="Z4472">
        <v>-3.3065190000000001E-2</v>
      </c>
      <c r="AA4472">
        <v>0.93298340000000002</v>
      </c>
      <c r="AB4472">
        <v>26</v>
      </c>
      <c r="AC4472">
        <v>132.69059999999999</v>
      </c>
      <c r="AD4472">
        <v>4.8077620000000003</v>
      </c>
      <c r="AE4472">
        <v>-39.82199</v>
      </c>
      <c r="AF4472">
        <v>-49.739516469473202</v>
      </c>
      <c r="AG4472">
        <v>4.8077620000000003</v>
      </c>
      <c r="AH4472">
        <v>129.121729180492</v>
      </c>
      <c r="AI4472">
        <v>88.010028328107495</v>
      </c>
      <c r="AJ4472">
        <v>111.06739052344901</v>
      </c>
      <c r="AK4472">
        <v>138.45416216432801</v>
      </c>
      <c r="AL4472">
        <v>78.600972142622396</v>
      </c>
      <c r="AM4472">
        <v>92.050986492212104</v>
      </c>
      <c r="AN4472">
        <v>0.99999995951308696</v>
      </c>
    </row>
    <row r="4473" spans="1:40" x14ac:dyDescent="0.25">
      <c r="A4473" t="str">
        <f>"20190303171107268"</f>
        <v>20190303171107268</v>
      </c>
      <c r="B4473" t="str">
        <f>"1551604267265508"</f>
        <v>1551604267265508</v>
      </c>
      <c r="C4473" t="s">
        <v>40</v>
      </c>
      <c r="D4473">
        <v>4.7105930000000003</v>
      </c>
      <c r="E4473">
        <v>0.36328690000000002</v>
      </c>
      <c r="F4473" t="s">
        <v>96</v>
      </c>
      <c r="G4473">
        <v>-279.02</v>
      </c>
      <c r="H4473">
        <v>6.0767049999999996</v>
      </c>
      <c r="I4473">
        <v>-14.912100000000001</v>
      </c>
      <c r="J4473">
        <v>-411.59730000000002</v>
      </c>
      <c r="K4473">
        <v>1.1292310000000001</v>
      </c>
      <c r="L4473">
        <v>23.132020000000001</v>
      </c>
      <c r="M4473">
        <v>0.79410449999999999</v>
      </c>
      <c r="N4473">
        <v>-1.4507870000000001E-2</v>
      </c>
      <c r="O4473">
        <v>-0.60760829999999999</v>
      </c>
      <c r="P4473">
        <v>0.79964080000000004</v>
      </c>
      <c r="Q4473">
        <v>0.1835812</v>
      </c>
      <c r="R4473">
        <v>-0.5717276</v>
      </c>
      <c r="S4473">
        <v>3.0980530000000002</v>
      </c>
      <c r="T4473">
        <v>0.1155128</v>
      </c>
      <c r="U4473">
        <v>-0.89010619999999996</v>
      </c>
      <c r="V4473">
        <v>-3.5684769999999998E-2</v>
      </c>
      <c r="W4473">
        <v>0.19716159999999999</v>
      </c>
      <c r="X4473">
        <v>0.97972130000000002</v>
      </c>
      <c r="Y4473">
        <v>-0.36389919999999998</v>
      </c>
      <c r="Z4473">
        <v>-3.3766249999999998E-2</v>
      </c>
      <c r="AA4473">
        <v>0.93082609999999999</v>
      </c>
      <c r="AB4473">
        <v>26</v>
      </c>
      <c r="AC4473">
        <v>132.57730000000001</v>
      </c>
      <c r="AD4473">
        <v>4.9474739999999997</v>
      </c>
      <c r="AE4473">
        <v>-38.044119999999999</v>
      </c>
      <c r="AF4473">
        <v>-50.284653759998697</v>
      </c>
      <c r="AG4473">
        <v>4.9474739999999997</v>
      </c>
      <c r="AH4473">
        <v>128.24464301014299</v>
      </c>
      <c r="AI4473">
        <v>87.943039581052105</v>
      </c>
      <c r="AJ4473">
        <v>111.41011827720899</v>
      </c>
      <c r="AK4473">
        <v>137.83944414986101</v>
      </c>
      <c r="AL4473">
        <v>78.628973575667104</v>
      </c>
      <c r="AM4473">
        <v>92.085984323869596</v>
      </c>
      <c r="AN4473">
        <v>0.99999996249909995</v>
      </c>
    </row>
    <row r="4474" spans="1:40" x14ac:dyDescent="0.25">
      <c r="A4474" t="str">
        <f>"20190303171107281"</f>
        <v>20190303171107281</v>
      </c>
      <c r="B4474" t="str">
        <f>"1551604267275268"</f>
        <v>1551604267275268</v>
      </c>
      <c r="C4474" t="s">
        <v>40</v>
      </c>
      <c r="D4474">
        <v>4.7664160000000004</v>
      </c>
      <c r="E4474">
        <v>0.36272729999999997</v>
      </c>
      <c r="F4474" t="s">
        <v>96</v>
      </c>
      <c r="G4474">
        <v>-279.02</v>
      </c>
      <c r="H4474">
        <v>6.2146319999999999</v>
      </c>
      <c r="I4474">
        <v>-13.2188</v>
      </c>
      <c r="J4474">
        <v>-411.49090000000001</v>
      </c>
      <c r="K4474">
        <v>1.1292169999999999</v>
      </c>
      <c r="L4474">
        <v>23.058039999999998</v>
      </c>
      <c r="M4474">
        <v>0.79757619999999996</v>
      </c>
      <c r="N4474">
        <v>-1.450429E-2</v>
      </c>
      <c r="O4474">
        <v>-0.60304399999999903</v>
      </c>
      <c r="P4474">
        <v>0.80324449999999903</v>
      </c>
      <c r="Q4474">
        <v>0.1832741</v>
      </c>
      <c r="R4474">
        <v>-0.56675330000000002</v>
      </c>
      <c r="S4474">
        <v>3.1137999999999999</v>
      </c>
      <c r="T4474">
        <v>0.11943910000000001</v>
      </c>
      <c r="U4474">
        <v>-0.85375979999999996</v>
      </c>
      <c r="V4474">
        <v>-3.617484E-2</v>
      </c>
      <c r="W4474">
        <v>0.19684370000000001</v>
      </c>
      <c r="X4474">
        <v>0.97976730000000001</v>
      </c>
      <c r="Y4474">
        <v>-0.36983650000000001</v>
      </c>
      <c r="Z4474">
        <v>-3.4478399999999999E-2</v>
      </c>
      <c r="AA4474">
        <v>0.92845690000000003</v>
      </c>
      <c r="AB4474">
        <v>26</v>
      </c>
      <c r="AC4474">
        <v>132.4709</v>
      </c>
      <c r="AD4474">
        <v>5.0854150000000002</v>
      </c>
      <c r="AE4474">
        <v>-36.27684</v>
      </c>
      <c r="AF4474">
        <v>-50.887829377908901</v>
      </c>
      <c r="AG4474">
        <v>5.0854150000000002</v>
      </c>
      <c r="AH4474">
        <v>127.370956514396</v>
      </c>
      <c r="AI4474">
        <v>87.876648429196905</v>
      </c>
      <c r="AJ4474">
        <v>111.777923829633</v>
      </c>
      <c r="AK4474">
        <v>137.254483307138</v>
      </c>
      <c r="AL4474">
        <v>78.647552552853099</v>
      </c>
      <c r="AM4474">
        <v>92.114506771176906</v>
      </c>
      <c r="AN4474">
        <v>1.000000011714</v>
      </c>
    </row>
    <row r="4475" spans="1:40" x14ac:dyDescent="0.25">
      <c r="A4475" t="str">
        <f>"20190303171107291"</f>
        <v>20190303171107291</v>
      </c>
      <c r="B4475" t="str">
        <f>"1551604267285028"</f>
        <v>1551604267285028</v>
      </c>
      <c r="C4475" t="s">
        <v>40</v>
      </c>
      <c r="D4475">
        <v>4.7282640000000002</v>
      </c>
      <c r="E4475">
        <v>0.36256579999999999</v>
      </c>
      <c r="F4475" t="s">
        <v>96</v>
      </c>
      <c r="G4475">
        <v>-279.02</v>
      </c>
      <c r="H4475">
        <v>6.1702349999999999</v>
      </c>
      <c r="I4475">
        <v>-12.22142</v>
      </c>
      <c r="J4475">
        <v>-411.38380000000001</v>
      </c>
      <c r="K4475">
        <v>1.129194</v>
      </c>
      <c r="L4475">
        <v>22.984500000000001</v>
      </c>
      <c r="M4475">
        <v>0.80102469999999903</v>
      </c>
      <c r="N4475">
        <v>-1.4500249999999999E-2</v>
      </c>
      <c r="O4475">
        <v>-0.59845539999999997</v>
      </c>
      <c r="P4475">
        <v>0.80669469999999899</v>
      </c>
      <c r="Q4475">
        <v>0.1833177</v>
      </c>
      <c r="R4475">
        <v>-0.56181700000000001</v>
      </c>
      <c r="S4475">
        <v>3.121216</v>
      </c>
      <c r="T4475">
        <v>0.11877409999999999</v>
      </c>
      <c r="U4475">
        <v>-0.83123780000000003</v>
      </c>
      <c r="V4475">
        <v>-3.6544140000000003E-2</v>
      </c>
      <c r="W4475">
        <v>0.19687789999999999</v>
      </c>
      <c r="X4475">
        <v>0.97974669999999997</v>
      </c>
      <c r="Y4475">
        <v>-0.37132490000000001</v>
      </c>
      <c r="Z4475">
        <v>-3.4104500000000003E-2</v>
      </c>
      <c r="AA4475">
        <v>0.92787649999999999</v>
      </c>
      <c r="AB4475">
        <v>26</v>
      </c>
      <c r="AC4475">
        <v>132.3638</v>
      </c>
      <c r="AD4475">
        <v>5.0410409999999999</v>
      </c>
      <c r="AE4475">
        <v>-35.205919999999999</v>
      </c>
      <c r="AF4475">
        <v>-50.949374147283997</v>
      </c>
      <c r="AG4475">
        <v>5.0410409999999999</v>
      </c>
      <c r="AH4475">
        <v>126.937277910883</v>
      </c>
      <c r="AI4475">
        <v>87.889321492004598</v>
      </c>
      <c r="AJ4475">
        <v>111.86926306780801</v>
      </c>
      <c r="AK4475">
        <v>136.87338435133501</v>
      </c>
      <c r="AL4475">
        <v>78.6455536647359</v>
      </c>
      <c r="AM4475">
        <v>92.136118223543306</v>
      </c>
      <c r="AN4475">
        <v>0.99999998891881903</v>
      </c>
    </row>
    <row r="4476" spans="1:40" x14ac:dyDescent="0.25">
      <c r="A4476" t="str">
        <f>"20190303171107303"</f>
        <v>20190303171107303</v>
      </c>
      <c r="B4476" t="str">
        <f>"1551604267295764"</f>
        <v>1551604267295764</v>
      </c>
      <c r="C4476" t="s">
        <v>40</v>
      </c>
      <c r="D4476">
        <v>4.7589449999999998</v>
      </c>
      <c r="E4476">
        <v>0.36250719999999997</v>
      </c>
      <c r="F4476" t="s">
        <v>96</v>
      </c>
      <c r="G4476">
        <v>-279.02</v>
      </c>
      <c r="H4476">
        <v>6.1465990000000001</v>
      </c>
      <c r="I4476">
        <v>-11.36214</v>
      </c>
      <c r="J4476">
        <v>-411.27539999999999</v>
      </c>
      <c r="K4476">
        <v>1.1291719999999901</v>
      </c>
      <c r="L4476">
        <v>22.911069999999999</v>
      </c>
      <c r="M4476">
        <v>0.80446549999999994</v>
      </c>
      <c r="N4476">
        <v>-1.449577E-2</v>
      </c>
      <c r="O4476">
        <v>-0.59382270000000004</v>
      </c>
      <c r="P4476">
        <v>0.80993800000000005</v>
      </c>
      <c r="Q4476">
        <v>0.18375639999999999</v>
      </c>
      <c r="R4476">
        <v>-0.55698669999999995</v>
      </c>
      <c r="S4476">
        <v>3.1268310000000001</v>
      </c>
      <c r="T4476">
        <v>0.1185262</v>
      </c>
      <c r="U4476">
        <v>-0.81137079999999995</v>
      </c>
      <c r="V4476">
        <v>-3.6681510000000001E-2</v>
      </c>
      <c r="W4476">
        <v>0.19731029999999999</v>
      </c>
      <c r="X4476">
        <v>0.97965460000000004</v>
      </c>
      <c r="Y4476">
        <v>-0.37190590000000001</v>
      </c>
      <c r="Z4476">
        <v>-3.3825099999999997E-2</v>
      </c>
      <c r="AA4476">
        <v>0.92765399999999998</v>
      </c>
      <c r="AB4476">
        <v>26</v>
      </c>
      <c r="AC4476">
        <v>132.25540000000001</v>
      </c>
      <c r="AD4476">
        <v>5.0174269999999996</v>
      </c>
      <c r="AE4476">
        <v>-34.273209999999999</v>
      </c>
      <c r="AF4476">
        <v>-50.9013428651757</v>
      </c>
      <c r="AG4476">
        <v>5.0174269999999996</v>
      </c>
      <c r="AH4476">
        <v>126.589689841373</v>
      </c>
      <c r="AI4476">
        <v>87.893962662218598</v>
      </c>
      <c r="AJ4476">
        <v>111.904914723305</v>
      </c>
      <c r="AK4476">
        <v>136.532306994767</v>
      </c>
      <c r="AL4476">
        <v>78.620283540022697</v>
      </c>
      <c r="AM4476">
        <v>92.144341833461098</v>
      </c>
      <c r="AN4476">
        <v>1.0000000114815599</v>
      </c>
    </row>
    <row r="4477" spans="1:40" x14ac:dyDescent="0.25">
      <c r="A4477" t="str">
        <f>"20190303171107314"</f>
        <v>20190303171107314</v>
      </c>
      <c r="B4477" t="str">
        <f>"1551604267305525"</f>
        <v>1551604267305525</v>
      </c>
      <c r="C4477" t="s">
        <v>40</v>
      </c>
      <c r="D4477">
        <v>4.7546379999999999</v>
      </c>
      <c r="E4477">
        <v>0.36250969999999999</v>
      </c>
      <c r="F4477" t="s">
        <v>96</v>
      </c>
      <c r="G4477">
        <v>-279.02</v>
      </c>
      <c r="H4477">
        <v>6.1510280000000002</v>
      </c>
      <c r="I4477">
        <v>-10.566459999999999</v>
      </c>
      <c r="J4477">
        <v>-411.17230000000001</v>
      </c>
      <c r="K4477">
        <v>1.129154</v>
      </c>
      <c r="L4477">
        <v>22.841830000000002</v>
      </c>
      <c r="M4477">
        <v>0.80769709999999995</v>
      </c>
      <c r="N4477">
        <v>-1.4491399999999899E-2</v>
      </c>
      <c r="O4477">
        <v>-0.58941949999999999</v>
      </c>
      <c r="P4477">
        <v>0.81306919999999905</v>
      </c>
      <c r="Q4477">
        <v>0.18455340000000001</v>
      </c>
      <c r="R4477">
        <v>-0.55214010000000002</v>
      </c>
      <c r="S4477">
        <v>3.1318359999999998</v>
      </c>
      <c r="T4477">
        <v>0.1189187</v>
      </c>
      <c r="U4477">
        <v>-0.79275509999999905</v>
      </c>
      <c r="V4477">
        <v>-3.7078659999999999E-2</v>
      </c>
      <c r="W4477">
        <v>0.19809460000000001</v>
      </c>
      <c r="X4477">
        <v>0.9794813</v>
      </c>
      <c r="Y4477">
        <v>-0.3723726</v>
      </c>
      <c r="Z4477">
        <v>-3.3704970000000001E-2</v>
      </c>
      <c r="AA4477">
        <v>0.92747109999999999</v>
      </c>
      <c r="AB4477">
        <v>26</v>
      </c>
      <c r="AC4477">
        <v>132.1523</v>
      </c>
      <c r="AD4477">
        <v>5.0218739999999897</v>
      </c>
      <c r="AE4477">
        <v>-33.408290000000001</v>
      </c>
      <c r="AF4477">
        <v>-50.845697993257303</v>
      </c>
      <c r="AG4477">
        <v>5.0218739999999897</v>
      </c>
      <c r="AH4477">
        <v>126.27241701865501</v>
      </c>
      <c r="AI4477">
        <v>87.887222663848405</v>
      </c>
      <c r="AJ4477">
        <v>111.933004536027</v>
      </c>
      <c r="AK4477">
        <v>136.21757420621799</v>
      </c>
      <c r="AL4477">
        <v>78.574441008156697</v>
      </c>
      <c r="AM4477">
        <v>92.167919691767395</v>
      </c>
      <c r="AN4477">
        <v>0.99999995731312197</v>
      </c>
    </row>
    <row r="4478" spans="1:40" x14ac:dyDescent="0.25">
      <c r="A4478" t="str">
        <f>"20190303171107324"</f>
        <v>20190303171107324</v>
      </c>
      <c r="B4478" t="str">
        <f>"1551604267315285"</f>
        <v>1551604267315285</v>
      </c>
      <c r="C4478" t="s">
        <v>40</v>
      </c>
      <c r="D4478">
        <v>4.7511489999999998</v>
      </c>
      <c r="E4478">
        <v>0.36275049999999998</v>
      </c>
      <c r="F4478" t="s">
        <v>96</v>
      </c>
      <c r="G4478">
        <v>-279.33690000000001</v>
      </c>
      <c r="H4478">
        <v>6.2032030000000002</v>
      </c>
      <c r="I4478">
        <v>-9.7071780000000008</v>
      </c>
      <c r="J4478">
        <v>-411.07569999999998</v>
      </c>
      <c r="K4478">
        <v>1.12913</v>
      </c>
      <c r="L4478">
        <v>22.778020000000001</v>
      </c>
      <c r="M4478">
        <v>0.81067609999999901</v>
      </c>
      <c r="N4478">
        <v>-1.4486590000000001E-2</v>
      </c>
      <c r="O4478">
        <v>-0.5853159</v>
      </c>
      <c r="P4478">
        <v>0.81602419999999998</v>
      </c>
      <c r="Q4478">
        <v>0.1850099</v>
      </c>
      <c r="R4478">
        <v>-0.54760949999999997</v>
      </c>
      <c r="S4478">
        <v>3.1364139999999998</v>
      </c>
      <c r="T4478">
        <v>0.1207136</v>
      </c>
      <c r="U4478">
        <v>-0.77435299999999996</v>
      </c>
      <c r="V4478">
        <v>-3.7495559999999997E-2</v>
      </c>
      <c r="W4478">
        <v>0.19853950000000001</v>
      </c>
      <c r="X4478">
        <v>0.97937540000000001</v>
      </c>
      <c r="Y4478">
        <v>-0.37309530000000002</v>
      </c>
      <c r="Z4478">
        <v>-3.3924610000000001E-2</v>
      </c>
      <c r="AA4478">
        <v>0.92717260000000001</v>
      </c>
      <c r="AB4478">
        <v>26</v>
      </c>
      <c r="AC4478">
        <v>131.738799999999</v>
      </c>
      <c r="AD4478">
        <v>5.0740730000000003</v>
      </c>
      <c r="AE4478">
        <v>-32.485197999999997</v>
      </c>
      <c r="AF4478">
        <v>-50.708248052778501</v>
      </c>
      <c r="AG4478">
        <v>5.0740730000000003</v>
      </c>
      <c r="AH4478">
        <v>125.649068737043</v>
      </c>
      <c r="AI4478">
        <v>87.855373020531701</v>
      </c>
      <c r="AJ4478">
        <v>111.97754576072199</v>
      </c>
      <c r="AK4478">
        <v>135.59041674055501</v>
      </c>
      <c r="AL4478">
        <v>78.548434188293299</v>
      </c>
      <c r="AM4478">
        <v>92.192508220462003</v>
      </c>
      <c r="AN4478">
        <v>1.0000000121025601</v>
      </c>
    </row>
    <row r="4479" spans="1:40" x14ac:dyDescent="0.25">
      <c r="A4479" t="str">
        <f>"20190303171107335"</f>
        <v>20190303171107335</v>
      </c>
      <c r="B4479" t="str">
        <f>"1551604267325044"</f>
        <v>1551604267325044</v>
      </c>
      <c r="C4479" t="s">
        <v>40</v>
      </c>
      <c r="D4479">
        <v>4.7673860000000001</v>
      </c>
      <c r="E4479">
        <v>0.36270910000000001</v>
      </c>
      <c r="F4479" t="s">
        <v>96</v>
      </c>
      <c r="G4479">
        <v>-279.07220000000001</v>
      </c>
      <c r="H4479">
        <v>6.2176900000000002</v>
      </c>
      <c r="I4479">
        <v>-9.1312549999999995</v>
      </c>
      <c r="J4479">
        <v>-410.96460000000002</v>
      </c>
      <c r="K4479">
        <v>1.1291</v>
      </c>
      <c r="L4479">
        <v>22.70496</v>
      </c>
      <c r="M4479">
        <v>0.8140674</v>
      </c>
      <c r="N4479">
        <v>-1.448115E-2</v>
      </c>
      <c r="O4479">
        <v>-0.58058949999999998</v>
      </c>
      <c r="P4479">
        <v>0.81938619999999995</v>
      </c>
      <c r="Q4479">
        <v>0.18567249999999999</v>
      </c>
      <c r="R4479">
        <v>-0.54233889999999996</v>
      </c>
      <c r="S4479">
        <v>3.139618</v>
      </c>
      <c r="T4479">
        <v>0.1210282</v>
      </c>
      <c r="U4479">
        <v>-0.75894169999999905</v>
      </c>
      <c r="V4479">
        <v>-3.8020959999999999E-2</v>
      </c>
      <c r="W4479">
        <v>0.19918720000000001</v>
      </c>
      <c r="X4479">
        <v>0.97922359999999997</v>
      </c>
      <c r="Y4479">
        <v>-0.37221680000000001</v>
      </c>
      <c r="Z4479">
        <v>-3.375964E-2</v>
      </c>
      <c r="AA4479">
        <v>0.92753169999999996</v>
      </c>
      <c r="AB4479">
        <v>26</v>
      </c>
      <c r="AC4479">
        <v>131.89240000000001</v>
      </c>
      <c r="AD4479">
        <v>5.0885899999999999</v>
      </c>
      <c r="AE4479">
        <v>-31.836214999999999</v>
      </c>
      <c r="AF4479">
        <v>-50.592678216808899</v>
      </c>
      <c r="AG4479">
        <v>5.0885899999999999</v>
      </c>
      <c r="AH4479">
        <v>125.689507267994</v>
      </c>
      <c r="AI4479">
        <v>87.8491526289787</v>
      </c>
      <c r="AJ4479">
        <v>111.92582540507</v>
      </c>
      <c r="AK4479">
        <v>135.58526864895299</v>
      </c>
      <c r="AL4479">
        <v>78.5105672243931</v>
      </c>
      <c r="AM4479">
        <v>92.223544041004004</v>
      </c>
      <c r="AN4479">
        <v>0.99999999642005999</v>
      </c>
    </row>
    <row r="4480" spans="1:40" x14ac:dyDescent="0.25">
      <c r="A4480" t="str">
        <f>"20190303171107347"</f>
        <v>20190303171107347</v>
      </c>
      <c r="B4480" t="str">
        <f>"1551604267335781"</f>
        <v>1551604267335781</v>
      </c>
      <c r="C4480" t="s">
        <v>40</v>
      </c>
      <c r="D4480">
        <v>4.7967219999999999</v>
      </c>
      <c r="E4480">
        <v>0.36280180000000001</v>
      </c>
      <c r="F4480" t="s">
        <v>96</v>
      </c>
      <c r="G4480">
        <v>-279.02</v>
      </c>
      <c r="H4480">
        <v>6.3233980000000001</v>
      </c>
      <c r="I4480">
        <v>-8.3140129999999992</v>
      </c>
      <c r="J4480">
        <v>-410.85719999999998</v>
      </c>
      <c r="K4480">
        <v>1.1290659999999999</v>
      </c>
      <c r="L4480">
        <v>22.635829999999999</v>
      </c>
      <c r="M4480">
        <v>0.81727430000000001</v>
      </c>
      <c r="N4480">
        <v>-1.4474549999999999E-2</v>
      </c>
      <c r="O4480">
        <v>-0.576067</v>
      </c>
      <c r="P4480">
        <v>0.82286380000000003</v>
      </c>
      <c r="Q4480">
        <v>0.185506</v>
      </c>
      <c r="R4480">
        <v>-0.53710609999999903</v>
      </c>
      <c r="S4480">
        <v>3.1440429999999999</v>
      </c>
      <c r="T4480">
        <v>0.1237724</v>
      </c>
      <c r="U4480">
        <v>-0.73913569999999995</v>
      </c>
      <c r="V4480">
        <v>-3.8835380000000003E-2</v>
      </c>
      <c r="W4480">
        <v>0.19900219999999999</v>
      </c>
      <c r="X4480">
        <v>0.97922929999999997</v>
      </c>
      <c r="Y4480">
        <v>-0.37287239999999999</v>
      </c>
      <c r="Z4480">
        <v>-3.4168459999999998E-2</v>
      </c>
      <c r="AA4480">
        <v>0.92725329999999995</v>
      </c>
      <c r="AB4480">
        <v>26</v>
      </c>
      <c r="AC4480">
        <v>131.8372</v>
      </c>
      <c r="AD4480">
        <v>5.1943320000000002</v>
      </c>
      <c r="AE4480">
        <v>-30.949842999999898</v>
      </c>
      <c r="AF4480">
        <v>-50.583435812198601</v>
      </c>
      <c r="AG4480">
        <v>5.1943320000000002</v>
      </c>
      <c r="AH4480">
        <v>125.40499508142599</v>
      </c>
      <c r="AI4480">
        <v>87.800164379496294</v>
      </c>
      <c r="AJ4480">
        <v>111.96720740622899</v>
      </c>
      <c r="AK4480">
        <v>135.322126257555</v>
      </c>
      <c r="AL4480">
        <v>78.521384014573599</v>
      </c>
      <c r="AM4480">
        <v>92.271110441146305</v>
      </c>
      <c r="AN4480">
        <v>1.00000004216153</v>
      </c>
    </row>
    <row r="4481" spans="1:40" x14ac:dyDescent="0.25">
      <c r="A4481" t="str">
        <f>"20190303171107359"</f>
        <v>20190303171107359</v>
      </c>
      <c r="B4481" t="str">
        <f>"1551604267345540"</f>
        <v>1551604267345540</v>
      </c>
      <c r="C4481" t="s">
        <v>40</v>
      </c>
      <c r="D4481">
        <v>4.7479129999999996</v>
      </c>
      <c r="E4481">
        <v>0.36317329999999998</v>
      </c>
      <c r="F4481" t="s">
        <v>96</v>
      </c>
      <c r="G4481">
        <v>-279.02</v>
      </c>
      <c r="H4481">
        <v>6.30288</v>
      </c>
      <c r="I4481">
        <v>-7.5146350000000002</v>
      </c>
      <c r="J4481">
        <v>-410.74540000000002</v>
      </c>
      <c r="K4481">
        <v>1.1290249999999999</v>
      </c>
      <c r="L4481">
        <v>22.564240000000002</v>
      </c>
      <c r="M4481">
        <v>0.82057559999999996</v>
      </c>
      <c r="N4481">
        <v>-1.446763E-2</v>
      </c>
      <c r="O4481">
        <v>-0.57135499999999995</v>
      </c>
      <c r="P4481">
        <v>0.82659389999999999</v>
      </c>
      <c r="Q4481">
        <v>0.18506110000000001</v>
      </c>
      <c r="R4481">
        <v>-0.53150330000000001</v>
      </c>
      <c r="S4481">
        <v>3.1480410000000001</v>
      </c>
      <c r="T4481">
        <v>0.1235416</v>
      </c>
      <c r="U4481">
        <v>-0.71994019999999903</v>
      </c>
      <c r="V4481">
        <v>-3.98856E-2</v>
      </c>
      <c r="W4481">
        <v>0.19853489999999999</v>
      </c>
      <c r="X4481">
        <v>0.97928190000000004</v>
      </c>
      <c r="Y4481">
        <v>-0.373172</v>
      </c>
      <c r="Z4481">
        <v>-3.3887199999999902E-2</v>
      </c>
      <c r="AA4481">
        <v>0.9271431</v>
      </c>
      <c r="AB4481">
        <v>26</v>
      </c>
      <c r="AC4481">
        <v>131.72540000000001</v>
      </c>
      <c r="AD4481">
        <v>5.1738549999999996</v>
      </c>
      <c r="AE4481">
        <v>-30.078875</v>
      </c>
      <c r="AF4481">
        <v>-50.511201927464001</v>
      </c>
      <c r="AG4481">
        <v>5.1738549999999996</v>
      </c>
      <c r="AH4481">
        <v>125.10602773838301</v>
      </c>
      <c r="AI4481">
        <v>87.803891235088201</v>
      </c>
      <c r="AJ4481">
        <v>111.986252573378</v>
      </c>
      <c r="AK4481">
        <v>135.017289530619</v>
      </c>
      <c r="AL4481">
        <v>78.548703003787594</v>
      </c>
      <c r="AM4481">
        <v>92.332335691879393</v>
      </c>
      <c r="AN4481">
        <v>1.00000000363649</v>
      </c>
    </row>
    <row r="4482" spans="1:40" x14ac:dyDescent="0.25">
      <c r="A4482" t="str">
        <f>"20190303171107371"</f>
        <v>20190303171107371</v>
      </c>
      <c r="B4482" t="str">
        <f>"1551604267365060"</f>
        <v>1551604267365060</v>
      </c>
      <c r="C4482" t="s">
        <v>40</v>
      </c>
      <c r="D4482">
        <v>4.8194100000000004</v>
      </c>
      <c r="E4482">
        <v>0.36393449999999999</v>
      </c>
      <c r="F4482" t="s">
        <v>96</v>
      </c>
      <c r="G4482">
        <v>-279.02</v>
      </c>
      <c r="H4482">
        <v>6.1247030000000002</v>
      </c>
      <c r="I4482">
        <v>-6.7572570000000001</v>
      </c>
      <c r="J4482">
        <v>-410.62099999999998</v>
      </c>
      <c r="K4482">
        <v>1.1289750000000001</v>
      </c>
      <c r="L4482">
        <v>22.485779999999998</v>
      </c>
      <c r="M4482">
        <v>0.82417799999999997</v>
      </c>
      <c r="N4482">
        <v>-1.445869E-2</v>
      </c>
      <c r="O4482">
        <v>-0.56614619999999904</v>
      </c>
      <c r="P4482">
        <v>0.83044869999999904</v>
      </c>
      <c r="Q4482">
        <v>0.18477009999999999</v>
      </c>
      <c r="R4482">
        <v>-0.52556169999999902</v>
      </c>
      <c r="S4482">
        <v>3.1514890000000002</v>
      </c>
      <c r="T4482">
        <v>0.1195201</v>
      </c>
      <c r="U4482">
        <v>-0.70150760000000001</v>
      </c>
      <c r="V4482">
        <v>-4.0715179999999997E-2</v>
      </c>
      <c r="W4482">
        <v>0.19822409999999999</v>
      </c>
      <c r="X4482">
        <v>0.97931080000000004</v>
      </c>
      <c r="Y4482">
        <v>-0.37273220000000001</v>
      </c>
      <c r="Z4482">
        <v>-3.272452E-2</v>
      </c>
      <c r="AA4482">
        <v>0.92736169999999996</v>
      </c>
      <c r="AB4482">
        <v>26</v>
      </c>
      <c r="AC4482">
        <v>131.601</v>
      </c>
      <c r="AD4482">
        <v>4.9957279999999997</v>
      </c>
      <c r="AE4482">
        <v>-29.243037000000001</v>
      </c>
      <c r="AF4482">
        <v>-50.340079801598897</v>
      </c>
      <c r="AG4482">
        <v>4.9957279999999997</v>
      </c>
      <c r="AH4482">
        <v>124.860092953921</v>
      </c>
      <c r="AI4482">
        <v>87.874832473519703</v>
      </c>
      <c r="AJ4482">
        <v>111.95790687015599</v>
      </c>
      <c r="AK4482">
        <v>134.718683727029</v>
      </c>
      <c r="AL4482">
        <v>78.566872528805604</v>
      </c>
      <c r="AM4482">
        <v>92.380720477314298</v>
      </c>
      <c r="AN4482">
        <v>1.0000000813499299</v>
      </c>
    </row>
    <row r="4483" spans="1:40" x14ac:dyDescent="0.25">
      <c r="A4483" t="str">
        <f>"20190303171107386"</f>
        <v>20190303171107386</v>
      </c>
      <c r="B4483" t="str">
        <f>"1551604267375796"</f>
        <v>1551604267375796</v>
      </c>
      <c r="C4483" t="s">
        <v>40</v>
      </c>
      <c r="D4483">
        <v>4.8161149999999999</v>
      </c>
      <c r="E4483">
        <v>0.36435659999999997</v>
      </c>
      <c r="F4483" t="s">
        <v>96</v>
      </c>
      <c r="G4483">
        <v>-279.02</v>
      </c>
      <c r="H4483">
        <v>5.9397339999999996</v>
      </c>
      <c r="I4483">
        <v>-6.0785619999999998</v>
      </c>
      <c r="J4483">
        <v>-410.49119999999999</v>
      </c>
      <c r="K4483">
        <v>1.1289169999999999</v>
      </c>
      <c r="L4483">
        <v>22.40512</v>
      </c>
      <c r="M4483">
        <v>0.82786340000000003</v>
      </c>
      <c r="N4483">
        <v>-1.4448570000000001E-2</v>
      </c>
      <c r="O4483">
        <v>-0.56074369999999996</v>
      </c>
      <c r="P4483">
        <v>0.83446089999999995</v>
      </c>
      <c r="Q4483">
        <v>0.18436830000000001</v>
      </c>
      <c r="R4483">
        <v>-0.51931050000000001</v>
      </c>
      <c r="S4483">
        <v>3.1536559999999998</v>
      </c>
      <c r="T4483">
        <v>0.115284</v>
      </c>
      <c r="U4483">
        <v>-0.68450929999999999</v>
      </c>
      <c r="V4483">
        <v>-4.168264E-2</v>
      </c>
      <c r="W4483">
        <v>0.19779969999999999</v>
      </c>
      <c r="X4483">
        <v>0.9793558</v>
      </c>
      <c r="Y4483">
        <v>-0.37162250000000002</v>
      </c>
      <c r="Z4483">
        <v>-3.1515479999999998E-2</v>
      </c>
      <c r="AA4483">
        <v>0.92784889999999998</v>
      </c>
      <c r="AB4483">
        <v>26</v>
      </c>
      <c r="AC4483">
        <v>131.47120000000001</v>
      </c>
      <c r="AD4483">
        <v>4.8108170000000001</v>
      </c>
      <c r="AE4483">
        <v>-28.483682000000002</v>
      </c>
      <c r="AF4483">
        <v>-50.082229286315702</v>
      </c>
      <c r="AG4483">
        <v>4.8108170000000001</v>
      </c>
      <c r="AH4483">
        <v>124.66582373713899</v>
      </c>
      <c r="AI4483">
        <v>87.949216633339503</v>
      </c>
      <c r="AJ4483">
        <v>111.88689841159901</v>
      </c>
      <c r="AK4483">
        <v>134.435639837634</v>
      </c>
      <c r="AL4483">
        <v>78.591678806197095</v>
      </c>
      <c r="AM4483">
        <v>92.437111055373407</v>
      </c>
      <c r="AN4483">
        <v>0.99999997339554902</v>
      </c>
    </row>
    <row r="4484" spans="1:40" x14ac:dyDescent="0.25">
      <c r="A4484" t="str">
        <f>"20190303171107399"</f>
        <v>20190303171107399</v>
      </c>
      <c r="B4484" t="str">
        <f>"1551604267385556"</f>
        <v>1551604267385556</v>
      </c>
      <c r="C4484" t="s">
        <v>40</v>
      </c>
      <c r="D4484">
        <v>4.792211</v>
      </c>
      <c r="E4484">
        <v>0.36473299999999997</v>
      </c>
      <c r="F4484" t="s">
        <v>96</v>
      </c>
      <c r="G4484">
        <v>-279.02</v>
      </c>
      <c r="H4484">
        <v>5.7815059999999896</v>
      </c>
      <c r="I4484">
        <v>-5.2450700000000001</v>
      </c>
      <c r="J4484">
        <v>-410.36540000000002</v>
      </c>
      <c r="K4484">
        <v>1.128862</v>
      </c>
      <c r="L4484">
        <v>22.3277</v>
      </c>
      <c r="M4484">
        <v>0.83137609999999995</v>
      </c>
      <c r="N4484">
        <v>-1.4438599999999999E-2</v>
      </c>
      <c r="O4484">
        <v>-0.55552259999999998</v>
      </c>
      <c r="P4484">
        <v>0.83803059999999996</v>
      </c>
      <c r="Q4484">
        <v>0.18448220000000001</v>
      </c>
      <c r="R4484">
        <v>-0.51348919999999998</v>
      </c>
      <c r="S4484">
        <v>3.1571959999999999</v>
      </c>
      <c r="T4484">
        <v>0.11172890000000001</v>
      </c>
      <c r="U4484">
        <v>-0.66400150000000002</v>
      </c>
      <c r="V4484">
        <v>-4.2299620000000003E-2</v>
      </c>
      <c r="W4484">
        <v>0.19789689999999999</v>
      </c>
      <c r="X4484">
        <v>0.97930969999999995</v>
      </c>
      <c r="Y4484">
        <v>-0.37180600000000003</v>
      </c>
      <c r="Z4484">
        <v>-3.0484710000000002E-2</v>
      </c>
      <c r="AA4484">
        <v>0.92780980000000002</v>
      </c>
      <c r="AB4484">
        <v>26</v>
      </c>
      <c r="AC4484">
        <v>131.34540000000001</v>
      </c>
      <c r="AD4484">
        <v>4.6526439999999996</v>
      </c>
      <c r="AE4484">
        <v>-27.572769999999998</v>
      </c>
      <c r="AF4484">
        <v>-49.987136109959401</v>
      </c>
      <c r="AG4484">
        <v>4.6526439999999996</v>
      </c>
      <c r="AH4484">
        <v>124.378220363869</v>
      </c>
      <c r="AI4484">
        <v>88.012119123900902</v>
      </c>
      <c r="AJ4484">
        <v>111.895007831922</v>
      </c>
      <c r="AK4484">
        <v>134.127933606499</v>
      </c>
      <c r="AL4484">
        <v>78.585997248314001</v>
      </c>
      <c r="AM4484">
        <v>92.473256607882206</v>
      </c>
      <c r="AN4484">
        <v>0.99999996469792096</v>
      </c>
    </row>
    <row r="4485" spans="1:40" x14ac:dyDescent="0.25">
      <c r="A4485" t="str">
        <f>"20190303171107413"</f>
        <v>20190303171107413</v>
      </c>
      <c r="B4485" t="str">
        <f>"1551604267405076"</f>
        <v>1551604267405076</v>
      </c>
      <c r="C4485" t="s">
        <v>40</v>
      </c>
      <c r="D4485">
        <v>4.8447209999999998</v>
      </c>
      <c r="E4485">
        <v>0.36565029999999998</v>
      </c>
      <c r="F4485" t="s">
        <v>96</v>
      </c>
      <c r="G4485">
        <v>-279.02</v>
      </c>
      <c r="H4485">
        <v>5.7480929999999999</v>
      </c>
      <c r="I4485">
        <v>-4.4827300000000001</v>
      </c>
      <c r="J4485">
        <v>-410.21100000000001</v>
      </c>
      <c r="K4485">
        <v>1.128798</v>
      </c>
      <c r="L4485">
        <v>22.23441</v>
      </c>
      <c r="M4485">
        <v>0.83558149999999998</v>
      </c>
      <c r="N4485">
        <v>-1.442597E-2</v>
      </c>
      <c r="O4485">
        <v>-0.54917709999999997</v>
      </c>
      <c r="P4485">
        <v>0.84238359999999901</v>
      </c>
      <c r="Q4485">
        <v>0.1851565</v>
      </c>
      <c r="R4485">
        <v>-0.50607009999999997</v>
      </c>
      <c r="S4485">
        <v>3.160126</v>
      </c>
      <c r="T4485">
        <v>0.11113720000000001</v>
      </c>
      <c r="U4485">
        <v>-0.64505000000000001</v>
      </c>
      <c r="V4485">
        <v>-4.3389789999999998E-2</v>
      </c>
      <c r="W4485">
        <v>0.19854330000000001</v>
      </c>
      <c r="X4485">
        <v>0.97913119999999998</v>
      </c>
      <c r="Y4485">
        <v>-0.37026219999999999</v>
      </c>
      <c r="Z4485">
        <v>-3.0047810000000001E-2</v>
      </c>
      <c r="AA4485">
        <v>0.92844119999999997</v>
      </c>
      <c r="AB4485">
        <v>26</v>
      </c>
      <c r="AC4485">
        <v>131.191</v>
      </c>
      <c r="AD4485">
        <v>4.6192950000000002</v>
      </c>
      <c r="AE4485">
        <v>-26.717140000000001</v>
      </c>
      <c r="AF4485">
        <v>-49.668792694828802</v>
      </c>
      <c r="AG4485">
        <v>4.6192950000000002</v>
      </c>
      <c r="AH4485">
        <v>124.15834805556401</v>
      </c>
      <c r="AI4485">
        <v>88.021599640769395</v>
      </c>
      <c r="AJ4485">
        <v>111.80357896447499</v>
      </c>
      <c r="AK4485">
        <v>133.804417886501</v>
      </c>
      <c r="AL4485">
        <v>78.548212033015702</v>
      </c>
      <c r="AM4485">
        <v>92.537378444235301</v>
      </c>
      <c r="AN4485">
        <v>1.00000001133228</v>
      </c>
    </row>
    <row r="4486" spans="1:40" x14ac:dyDescent="0.25">
      <c r="A4486" t="str">
        <f>"20190303171107425"</f>
        <v>20190303171107425</v>
      </c>
      <c r="B4486" t="str">
        <f>"1551604267414837"</f>
        <v>1551604267414837</v>
      </c>
      <c r="C4486" t="s">
        <v>40</v>
      </c>
      <c r="D4486">
        <v>4.8552970000000002</v>
      </c>
      <c r="E4486">
        <v>0.36608439999999998</v>
      </c>
      <c r="F4486" t="s">
        <v>96</v>
      </c>
      <c r="G4486">
        <v>-279.02</v>
      </c>
      <c r="H4486">
        <v>5.7576099999999997</v>
      </c>
      <c r="I4486">
        <v>-3.6525620000000001</v>
      </c>
      <c r="J4486">
        <v>-410.10500000000002</v>
      </c>
      <c r="K4486">
        <v>1.1287469999999999</v>
      </c>
      <c r="L4486">
        <v>22.17136</v>
      </c>
      <c r="M4486">
        <v>0.83840630000000005</v>
      </c>
      <c r="N4486">
        <v>-1.4416389999999999E-2</v>
      </c>
      <c r="O4486">
        <v>-0.54485539999999999</v>
      </c>
      <c r="P4486">
        <v>0.8450588</v>
      </c>
      <c r="Q4486">
        <v>0.18570900000000001</v>
      </c>
      <c r="R4486">
        <v>-0.50138590000000005</v>
      </c>
      <c r="S4486">
        <v>3.1619869999999999</v>
      </c>
      <c r="T4486">
        <v>0.11156439999999999</v>
      </c>
      <c r="U4486">
        <v>-0.62393189999999998</v>
      </c>
      <c r="V4486">
        <v>-4.3690229999999997E-2</v>
      </c>
      <c r="W4486">
        <v>0.19908400000000001</v>
      </c>
      <c r="X4486">
        <v>0.97900799999999999</v>
      </c>
      <c r="Y4486">
        <v>-0.37153380000000003</v>
      </c>
      <c r="Z4486">
        <v>-2.9966860000000001E-2</v>
      </c>
      <c r="AA4486">
        <v>0.92793570000000003</v>
      </c>
      <c r="AB4486">
        <v>26</v>
      </c>
      <c r="AC4486">
        <v>131.08500000000001</v>
      </c>
      <c r="AD4486">
        <v>4.6288629999999999</v>
      </c>
      <c r="AE4486">
        <v>-25.823922</v>
      </c>
      <c r="AF4486">
        <v>-49.716917494992899</v>
      </c>
      <c r="AG4486">
        <v>4.6288629999999999</v>
      </c>
      <c r="AH4486">
        <v>123.83700810275801</v>
      </c>
      <c r="AI4486">
        <v>88.013342985967</v>
      </c>
      <c r="AJ4486">
        <v>111.874009670596</v>
      </c>
      <c r="AK4486">
        <v>133.524540192877</v>
      </c>
      <c r="AL4486">
        <v>78.516600682031395</v>
      </c>
      <c r="AM4486">
        <v>92.5552456730817</v>
      </c>
      <c r="AN4486">
        <v>0.99999996965872595</v>
      </c>
    </row>
    <row r="4487" spans="1:40" x14ac:dyDescent="0.25">
      <c r="A4487" t="str">
        <f>"20190303171107437"</f>
        <v>20190303171107437</v>
      </c>
      <c r="B4487" t="str">
        <f>"1551604267425572"</f>
        <v>1551604267425572</v>
      </c>
      <c r="C4487" t="s">
        <v>40</v>
      </c>
      <c r="D4487">
        <v>4.8417149999999998</v>
      </c>
      <c r="E4487">
        <v>0.36608439999999998</v>
      </c>
      <c r="F4487" t="s">
        <v>96</v>
      </c>
      <c r="G4487">
        <v>-279.02</v>
      </c>
      <c r="H4487">
        <v>5.8074120000000002</v>
      </c>
      <c r="I4487">
        <v>-3.0976979999999998</v>
      </c>
      <c r="J4487">
        <v>-409.98869999999999</v>
      </c>
      <c r="K4487">
        <v>1.1286940000000001</v>
      </c>
      <c r="L4487">
        <v>22.102630000000001</v>
      </c>
      <c r="M4487">
        <v>0.84146359999999998</v>
      </c>
      <c r="N4487">
        <v>-1.440606E-2</v>
      </c>
      <c r="O4487">
        <v>-0.54012169999999904</v>
      </c>
      <c r="P4487">
        <v>0.84817940000000003</v>
      </c>
      <c r="Q4487">
        <v>0.18596199999999999</v>
      </c>
      <c r="R4487">
        <v>-0.49599399999999899</v>
      </c>
      <c r="S4487">
        <v>3.1633909999999998</v>
      </c>
      <c r="T4487">
        <v>0.1129073</v>
      </c>
      <c r="U4487">
        <v>-0.60980219999999996</v>
      </c>
      <c r="V4487">
        <v>-4.4357489999999999E-2</v>
      </c>
      <c r="W4487">
        <v>0.19931950000000001</v>
      </c>
      <c r="X4487">
        <v>0.97893010000000003</v>
      </c>
      <c r="Y4487">
        <v>-0.3703649</v>
      </c>
      <c r="Z4487">
        <v>-3.0033879999999999E-2</v>
      </c>
      <c r="AA4487">
        <v>0.92840069999999997</v>
      </c>
      <c r="AB4487">
        <v>26</v>
      </c>
      <c r="AC4487">
        <v>130.96870000000001</v>
      </c>
      <c r="AD4487">
        <v>4.6787179999999999</v>
      </c>
      <c r="AE4487">
        <v>-25.200327999999999</v>
      </c>
      <c r="AF4487">
        <v>-49.478129936220697</v>
      </c>
      <c r="AG4487">
        <v>4.6787179999999999</v>
      </c>
      <c r="AH4487">
        <v>123.677287526055</v>
      </c>
      <c r="AI4487">
        <v>87.988392145695201</v>
      </c>
      <c r="AJ4487">
        <v>111.804290848348</v>
      </c>
      <c r="AK4487">
        <v>133.28933638484199</v>
      </c>
      <c r="AL4487">
        <v>78.502831871200698</v>
      </c>
      <c r="AM4487">
        <v>92.594423962145697</v>
      </c>
      <c r="AN4487">
        <v>0.99999999534268003</v>
      </c>
    </row>
    <row r="4488" spans="1:40" x14ac:dyDescent="0.25">
      <c r="A4488" t="str">
        <f>"20190303171107447"</f>
        <v>20190303171107447</v>
      </c>
      <c r="B4488" t="str">
        <f>"1551604267435333"</f>
        <v>1551604267435333</v>
      </c>
      <c r="C4488" t="s">
        <v>40</v>
      </c>
      <c r="D4488">
        <v>4.8560930000000004</v>
      </c>
      <c r="E4488">
        <v>0.37875880000000001</v>
      </c>
      <c r="F4488" t="s">
        <v>96</v>
      </c>
      <c r="G4488">
        <v>-279.02</v>
      </c>
      <c r="H4488">
        <v>5.7793700000000001</v>
      </c>
      <c r="I4488">
        <v>-2.3102179999999999</v>
      </c>
      <c r="J4488">
        <v>-409.88780000000003</v>
      </c>
      <c r="K4488">
        <v>1.128638</v>
      </c>
      <c r="L4488">
        <v>22.0441</v>
      </c>
      <c r="M4488">
        <v>0.84405200000000002</v>
      </c>
      <c r="N4488">
        <v>-1.439608E-2</v>
      </c>
      <c r="O4488">
        <v>-0.53606830000000005</v>
      </c>
      <c r="P4488">
        <v>0.85080210000000001</v>
      </c>
      <c r="Q4488">
        <v>0.18588930000000001</v>
      </c>
      <c r="R4488">
        <v>-0.49150949999999999</v>
      </c>
      <c r="S4488">
        <v>3.1671450000000001</v>
      </c>
      <c r="T4488">
        <v>0.1124648</v>
      </c>
      <c r="U4488">
        <v>-0.59036250000000001</v>
      </c>
      <c r="V4488">
        <v>-4.4800329999999999E-2</v>
      </c>
      <c r="W4488">
        <v>0.19923389999999999</v>
      </c>
      <c r="X4488">
        <v>0.9789274</v>
      </c>
      <c r="Y4488">
        <v>-0.37161280000000002</v>
      </c>
      <c r="Z4488">
        <v>-2.9755839999999999E-2</v>
      </c>
      <c r="AA4488">
        <v>0.92791089999999998</v>
      </c>
      <c r="AB4488">
        <v>26</v>
      </c>
      <c r="AC4488">
        <v>130.86779999999999</v>
      </c>
      <c r="AD4488">
        <v>4.6507319999999996</v>
      </c>
      <c r="AE4488">
        <v>-24.354317999999999</v>
      </c>
      <c r="AF4488">
        <v>-49.542428477044901</v>
      </c>
      <c r="AG4488">
        <v>4.6507319999999996</v>
      </c>
      <c r="AH4488">
        <v>123.376991870778</v>
      </c>
      <c r="AI4488">
        <v>87.996585569445699</v>
      </c>
      <c r="AJ4488">
        <v>111.878086480775</v>
      </c>
      <c r="AK4488">
        <v>133.03369366675801</v>
      </c>
      <c r="AL4488">
        <v>78.5078372394171</v>
      </c>
      <c r="AM4488">
        <v>92.620296513752507</v>
      </c>
      <c r="AN4488">
        <v>1.0000000354740299</v>
      </c>
    </row>
    <row r="4489" spans="1:40" x14ac:dyDescent="0.25">
      <c r="A4489" t="str">
        <f>"20190303171107458"</f>
        <v>20190303171107458</v>
      </c>
      <c r="B4489" t="str">
        <f>"1551604267454852"</f>
        <v>1551604267454852</v>
      </c>
      <c r="C4489" t="s">
        <v>40</v>
      </c>
      <c r="D4489">
        <v>4.869586</v>
      </c>
      <c r="E4489">
        <v>0.37883159999999999</v>
      </c>
      <c r="F4489" t="s">
        <v>96</v>
      </c>
      <c r="G4489">
        <v>-279.02</v>
      </c>
      <c r="H4489">
        <v>5.2191970000000003</v>
      </c>
      <c r="I4489">
        <v>-5.7151290000000001</v>
      </c>
      <c r="J4489">
        <v>-409.7833</v>
      </c>
      <c r="K4489">
        <v>1.1285860000000001</v>
      </c>
      <c r="L4489">
        <v>21.98367</v>
      </c>
      <c r="M4489">
        <v>0.84670509999999999</v>
      </c>
      <c r="N4489">
        <v>-1.4386029999999999E-2</v>
      </c>
      <c r="O4489">
        <v>-0.53186820000000001</v>
      </c>
      <c r="P4489">
        <v>0.85361299999999996</v>
      </c>
      <c r="Q4489">
        <v>0.18559590000000001</v>
      </c>
      <c r="R4489">
        <v>-0.48672330000000003</v>
      </c>
      <c r="S4489">
        <v>3.1221619999999999</v>
      </c>
      <c r="T4489">
        <v>9.7589969999999998E-2</v>
      </c>
      <c r="U4489">
        <v>-0.66226200000000002</v>
      </c>
      <c r="V4489">
        <v>-4.5438989999999999E-2</v>
      </c>
      <c r="W4489">
        <v>0.19892560000000001</v>
      </c>
      <c r="X4489">
        <v>0.97896059999999996</v>
      </c>
      <c r="Y4489">
        <v>-0.3440435</v>
      </c>
      <c r="Z4489">
        <v>-2.6339049999999999E-2</v>
      </c>
      <c r="AA4489">
        <v>0.93858419999999998</v>
      </c>
      <c r="AB4489">
        <v>26</v>
      </c>
      <c r="AC4489">
        <v>130.76329999999999</v>
      </c>
      <c r="AD4489">
        <v>4.090611</v>
      </c>
      <c r="AE4489">
        <v>-27.698798999999902</v>
      </c>
      <c r="AF4489">
        <v>-46.057754649542197</v>
      </c>
      <c r="AG4489">
        <v>4.090611</v>
      </c>
      <c r="AH4489">
        <v>125.345634505698</v>
      </c>
      <c r="AI4489">
        <v>88.245454170485601</v>
      </c>
      <c r="AJ4489">
        <v>110.175655255706</v>
      </c>
      <c r="AK4489">
        <v>133.60231267214999</v>
      </c>
      <c r="AL4489">
        <v>78.525861641875807</v>
      </c>
      <c r="AM4489">
        <v>92.657507492980599</v>
      </c>
      <c r="AN4489">
        <v>0.99999997624996895</v>
      </c>
    </row>
    <row r="4490" spans="1:40" x14ac:dyDescent="0.25">
      <c r="A4490" t="str">
        <f>"20190303171107470"</f>
        <v>20190303171107470</v>
      </c>
      <c r="B4490" t="str">
        <f>"1551604267465589"</f>
        <v>1551604267465589</v>
      </c>
      <c r="C4490" t="s">
        <v>40</v>
      </c>
      <c r="D4490">
        <v>4.9071030000000002</v>
      </c>
      <c r="E4490">
        <v>0.37896099999999999</v>
      </c>
      <c r="F4490" t="s">
        <v>96</v>
      </c>
      <c r="G4490">
        <v>-279.02</v>
      </c>
      <c r="H4490">
        <v>5.1561750000000002</v>
      </c>
      <c r="I4490">
        <v>-5.0272649999999999</v>
      </c>
      <c r="J4490">
        <v>-409.661</v>
      </c>
      <c r="K4490">
        <v>1.128522</v>
      </c>
      <c r="L4490">
        <v>21.91412</v>
      </c>
      <c r="M4490">
        <v>0.84973929999999998</v>
      </c>
      <c r="N4490">
        <v>-1.437334E-2</v>
      </c>
      <c r="O4490">
        <v>-0.52700749999999996</v>
      </c>
      <c r="P4490">
        <v>0.85670199999999996</v>
      </c>
      <c r="Q4490">
        <v>0.185557</v>
      </c>
      <c r="R4490">
        <v>-0.48128029999999999</v>
      </c>
      <c r="S4490">
        <v>3.1254270000000002</v>
      </c>
      <c r="T4490">
        <v>9.6265080000000003E-2</v>
      </c>
      <c r="U4490">
        <v>-0.64559940000000005</v>
      </c>
      <c r="V4490">
        <v>-4.6034220000000001E-2</v>
      </c>
      <c r="W4490">
        <v>0.1988695</v>
      </c>
      <c r="X4490">
        <v>0.97894420000000004</v>
      </c>
      <c r="Y4490">
        <v>-0.34367409999999998</v>
      </c>
      <c r="Z4490">
        <v>-2.584212E-2</v>
      </c>
      <c r="AA4490">
        <v>0.93873329999999999</v>
      </c>
      <c r="AB4490">
        <v>26</v>
      </c>
      <c r="AC4490">
        <v>130.64099999999999</v>
      </c>
      <c r="AD4490">
        <v>4.0276529999999999</v>
      </c>
      <c r="AE4490">
        <v>-26.941384999999901</v>
      </c>
      <c r="AF4490">
        <v>-45.918507922550397</v>
      </c>
      <c r="AG4490">
        <v>4.0276529999999999</v>
      </c>
      <c r="AH4490">
        <v>125.107953683704</v>
      </c>
      <c r="AI4490">
        <v>88.268929330669906</v>
      </c>
      <c r="AJ4490">
        <v>110.154706396618</v>
      </c>
      <c r="AK4490">
        <v>133.32940948435001</v>
      </c>
      <c r="AL4490">
        <v>78.529141590997497</v>
      </c>
      <c r="AM4490">
        <v>92.692313773403896</v>
      </c>
      <c r="AN4490">
        <v>0.99999998707744897</v>
      </c>
    </row>
    <row r="4491" spans="1:40" x14ac:dyDescent="0.25">
      <c r="A4491" t="str">
        <f>"20190303171107484"</f>
        <v>20190303171107484</v>
      </c>
      <c r="B4491" t="str">
        <f>"1551604267475348"</f>
        <v>1551604267475348</v>
      </c>
      <c r="C4491" t="s">
        <v>40</v>
      </c>
      <c r="D4491">
        <v>4.874377</v>
      </c>
      <c r="E4491">
        <v>0.38000109999999998</v>
      </c>
      <c r="F4491" t="s">
        <v>96</v>
      </c>
      <c r="G4491">
        <v>-279.02</v>
      </c>
      <c r="H4491">
        <v>5.1644319999999997</v>
      </c>
      <c r="I4491">
        <v>-4.2607140000000001</v>
      </c>
      <c r="J4491">
        <v>-409.53809999999999</v>
      </c>
      <c r="K4491">
        <v>1.1284650000000001</v>
      </c>
      <c r="L4491">
        <v>21.845030000000001</v>
      </c>
      <c r="M4491">
        <v>0.85272809999999899</v>
      </c>
      <c r="N4491">
        <v>-1.4360390000000001E-2</v>
      </c>
      <c r="O4491">
        <v>-0.52215789999999995</v>
      </c>
      <c r="P4491">
        <v>0.8596106</v>
      </c>
      <c r="Q4491">
        <v>0.1854778</v>
      </c>
      <c r="R4491">
        <v>-0.47609669999999998</v>
      </c>
      <c r="S4491">
        <v>3.1287229999999999</v>
      </c>
      <c r="T4491">
        <v>9.6656080000000005E-2</v>
      </c>
      <c r="U4491">
        <v>-0.62686160000000002</v>
      </c>
      <c r="V4491">
        <v>-4.6346909999999998E-2</v>
      </c>
      <c r="W4491">
        <v>0.19877929999999999</v>
      </c>
      <c r="X4491">
        <v>0.97894780000000003</v>
      </c>
      <c r="Y4491">
        <v>-0.34392060000000002</v>
      </c>
      <c r="Z4491">
        <v>-2.5717239999999999E-2</v>
      </c>
      <c r="AA4491">
        <v>0.93864650000000005</v>
      </c>
      <c r="AB4491">
        <v>26</v>
      </c>
      <c r="AC4491">
        <v>130.5181</v>
      </c>
      <c r="AD4491">
        <v>4.0359669999999896</v>
      </c>
      <c r="AE4491">
        <v>-26.105744000000001</v>
      </c>
      <c r="AF4491">
        <v>-45.852522883273103</v>
      </c>
      <c r="AG4491">
        <v>4.0359669999999896</v>
      </c>
      <c r="AH4491">
        <v>124.825867744389</v>
      </c>
      <c r="AI4491">
        <v>88.261609685298495</v>
      </c>
      <c r="AJ4491">
        <v>110.169894085148</v>
      </c>
      <c r="AK4491">
        <v>133.04224946431901</v>
      </c>
      <c r="AL4491">
        <v>78.534415342499798</v>
      </c>
      <c r="AM4491">
        <v>92.710564329099597</v>
      </c>
      <c r="AN4491">
        <v>1.00000002064993</v>
      </c>
    </row>
    <row r="4492" spans="1:40" x14ac:dyDescent="0.25">
      <c r="A4492" t="str">
        <f>"20190303171107494"</f>
        <v>20190303171107494</v>
      </c>
      <c r="B4492" t="str">
        <f>"1551604267485108"</f>
        <v>1551604267485108</v>
      </c>
      <c r="C4492" t="s">
        <v>40</v>
      </c>
      <c r="D4492">
        <v>4.881405</v>
      </c>
      <c r="E4492">
        <v>0.38075799999999999</v>
      </c>
      <c r="F4492" t="s">
        <v>96</v>
      </c>
      <c r="G4492">
        <v>-279.55990000000003</v>
      </c>
      <c r="H4492">
        <v>4.8100339999999999</v>
      </c>
      <c r="I4492">
        <v>-3.7321279999999999</v>
      </c>
      <c r="J4492">
        <v>-409.41849999999999</v>
      </c>
      <c r="K4492">
        <v>1.1284019999999999</v>
      </c>
      <c r="L4492">
        <v>21.778379999999999</v>
      </c>
      <c r="M4492">
        <v>0.8555893</v>
      </c>
      <c r="N4492">
        <v>-1.434773E-2</v>
      </c>
      <c r="O4492">
        <v>-0.51745659999999905</v>
      </c>
      <c r="P4492">
        <v>0.86236619999999997</v>
      </c>
      <c r="Q4492">
        <v>0.18561949999999999</v>
      </c>
      <c r="R4492">
        <v>-0.47103089999999997</v>
      </c>
      <c r="S4492">
        <v>3.1297609999999998</v>
      </c>
      <c r="T4492">
        <v>8.8648920000000006E-2</v>
      </c>
      <c r="U4492">
        <v>-0.61587519999999996</v>
      </c>
      <c r="V4492">
        <v>-4.6674750000000001E-2</v>
      </c>
      <c r="W4492">
        <v>0.19890869999999999</v>
      </c>
      <c r="X4492">
        <v>0.9789059</v>
      </c>
      <c r="Y4492">
        <v>-0.34205790000000003</v>
      </c>
      <c r="Z4492">
        <v>-2.3827850000000001E-2</v>
      </c>
      <c r="AA4492">
        <v>0.93937680000000001</v>
      </c>
      <c r="AB4492">
        <v>26</v>
      </c>
      <c r="AC4492">
        <v>129.858599999999</v>
      </c>
      <c r="AD4492">
        <v>3.681632</v>
      </c>
      <c r="AE4492">
        <v>-25.510508000000002</v>
      </c>
      <c r="AF4492">
        <v>-45.339248244906599</v>
      </c>
      <c r="AG4492">
        <v>3.681632</v>
      </c>
      <c r="AH4492">
        <v>124.22285293024299</v>
      </c>
      <c r="AI4492">
        <v>88.405246290269005</v>
      </c>
      <c r="AJ4492">
        <v>110.05123023935199</v>
      </c>
      <c r="AK4492">
        <v>132.28952730932801</v>
      </c>
      <c r="AL4492">
        <v>78.526849753811604</v>
      </c>
      <c r="AM4492">
        <v>92.729825570200404</v>
      </c>
      <c r="AN4492">
        <v>0.99999998213903096</v>
      </c>
    </row>
    <row r="4493" spans="1:40" x14ac:dyDescent="0.25">
      <c r="A4493" t="str">
        <f>"20190303171107505"</f>
        <v>20190303171107505</v>
      </c>
      <c r="B4493" t="str">
        <f>"1551604267494869"</f>
        <v>1551604267494869</v>
      </c>
      <c r="C4493" t="s">
        <v>40</v>
      </c>
      <c r="D4493">
        <v>4.8730029999999998</v>
      </c>
      <c r="E4493">
        <v>0.3814438</v>
      </c>
      <c r="F4493" t="s">
        <v>96</v>
      </c>
      <c r="G4493">
        <v>-279.55990000000003</v>
      </c>
      <c r="H4493">
        <v>4.6081599999999998</v>
      </c>
      <c r="I4493">
        <v>-3.24159</v>
      </c>
      <c r="J4493">
        <v>-409.31810000000002</v>
      </c>
      <c r="K4493">
        <v>1.1283449999999999</v>
      </c>
      <c r="L4493">
        <v>21.72345</v>
      </c>
      <c r="M4493">
        <v>0.85792849999999998</v>
      </c>
      <c r="N4493">
        <v>-1.433634E-2</v>
      </c>
      <c r="O4493">
        <v>-0.51356919999999995</v>
      </c>
      <c r="P4493">
        <v>0.86457969999999895</v>
      </c>
      <c r="Q4493">
        <v>0.1860917</v>
      </c>
      <c r="R4493">
        <v>-0.4667674</v>
      </c>
      <c r="S4493">
        <v>3.131256</v>
      </c>
      <c r="T4493">
        <v>8.3906770000000006E-2</v>
      </c>
      <c r="U4493">
        <v>-0.603302</v>
      </c>
      <c r="V4493">
        <v>-4.699561E-2</v>
      </c>
      <c r="W4493">
        <v>0.19936899999999999</v>
      </c>
      <c r="X4493">
        <v>0.97879689999999997</v>
      </c>
      <c r="Y4493">
        <v>-0.34155679999999999</v>
      </c>
      <c r="Z4493">
        <v>-2.2680180000000001E-2</v>
      </c>
      <c r="AA4493">
        <v>0.93958750000000002</v>
      </c>
      <c r="AB4493">
        <v>26</v>
      </c>
      <c r="AC4493">
        <v>129.75819999999999</v>
      </c>
      <c r="AD4493">
        <v>3.4798149999999901</v>
      </c>
      <c r="AE4493">
        <v>-24.965039999999998</v>
      </c>
      <c r="AF4493">
        <v>-45.1948964218669</v>
      </c>
      <c r="AG4493">
        <v>3.4798149999999901</v>
      </c>
      <c r="AH4493">
        <v>124.071237490142</v>
      </c>
      <c r="AI4493">
        <v>88.490435302941805</v>
      </c>
      <c r="AJ4493">
        <v>110.014947311028</v>
      </c>
      <c r="AK4493">
        <v>132.09223954249799</v>
      </c>
      <c r="AL4493">
        <v>78.499937445019498</v>
      </c>
      <c r="AM4493">
        <v>92.748868365325805</v>
      </c>
      <c r="AN4493">
        <v>0.99999997848494004</v>
      </c>
    </row>
    <row r="4494" spans="1:40" x14ac:dyDescent="0.25">
      <c r="A4494" t="str">
        <f>"20190303171107517"</f>
        <v>20190303171107517</v>
      </c>
      <c r="B4494" t="str">
        <f>"1551604267505605"</f>
        <v>1551604267505605</v>
      </c>
      <c r="C4494" t="s">
        <v>40</v>
      </c>
      <c r="D4494">
        <v>4.8921570000000001</v>
      </c>
      <c r="E4494">
        <v>0.38228719999999999</v>
      </c>
      <c r="F4494" t="s">
        <v>96</v>
      </c>
      <c r="G4494">
        <v>-279.55990000000003</v>
      </c>
      <c r="H4494">
        <v>4.5172869999999996</v>
      </c>
      <c r="I4494">
        <v>-2.839769</v>
      </c>
      <c r="J4494">
        <v>-409.20830000000001</v>
      </c>
      <c r="K4494">
        <v>1.1282810000000001</v>
      </c>
      <c r="L4494">
        <v>21.663540000000001</v>
      </c>
      <c r="M4494">
        <v>0.86045910000000003</v>
      </c>
      <c r="N4494">
        <v>-1.4324399999999999E-2</v>
      </c>
      <c r="O4494">
        <v>-0.50931839999999995</v>
      </c>
      <c r="P4494">
        <v>0.86684099999999997</v>
      </c>
      <c r="Q4494">
        <v>0.18622230000000001</v>
      </c>
      <c r="R4494">
        <v>-0.46250249999999998</v>
      </c>
      <c r="S4494">
        <v>3.1322019999999999</v>
      </c>
      <c r="T4494">
        <v>8.1804870000000002E-2</v>
      </c>
      <c r="U4494">
        <v>-0.59292599999999995</v>
      </c>
      <c r="V4494">
        <v>-4.693278E-2</v>
      </c>
      <c r="W4494">
        <v>0.1994947</v>
      </c>
      <c r="X4494">
        <v>0.97877429999999999</v>
      </c>
      <c r="Y4494">
        <v>-0.33998319999999999</v>
      </c>
      <c r="Z4494">
        <v>-2.2070240000000001E-2</v>
      </c>
      <c r="AA4494">
        <v>0.94017249999999997</v>
      </c>
      <c r="AB4494">
        <v>26</v>
      </c>
      <c r="AC4494">
        <v>129.64839999999899</v>
      </c>
      <c r="AD4494">
        <v>3.3890060000000002</v>
      </c>
      <c r="AE4494">
        <v>-24.503308999999899</v>
      </c>
      <c r="AF4494">
        <v>-44.923188912289604</v>
      </c>
      <c r="AG4494">
        <v>3.3890060000000002</v>
      </c>
      <c r="AH4494">
        <v>123.96805580851399</v>
      </c>
      <c r="AI4494">
        <v>88.527696371298205</v>
      </c>
      <c r="AJ4494">
        <v>109.91935838811</v>
      </c>
      <c r="AK4494">
        <v>131.90017863771101</v>
      </c>
      <c r="AL4494">
        <v>78.492587690054705</v>
      </c>
      <c r="AM4494">
        <v>92.745262226949393</v>
      </c>
      <c r="AN4494">
        <v>0.99999997575355304</v>
      </c>
    </row>
    <row r="4495" spans="1:40" x14ac:dyDescent="0.25">
      <c r="A4495" t="str">
        <f>"20190303171107529"</f>
        <v>20190303171107529</v>
      </c>
      <c r="B4495" t="str">
        <f>"1551604267515365"</f>
        <v>1551604267515365</v>
      </c>
      <c r="C4495" t="s">
        <v>40</v>
      </c>
      <c r="D4495">
        <v>4.8879549999999998</v>
      </c>
      <c r="E4495">
        <v>0.38305470000000003</v>
      </c>
      <c r="F4495" t="s">
        <v>96</v>
      </c>
      <c r="G4495">
        <v>-279.02</v>
      </c>
      <c r="H4495">
        <v>4.3666929999999997</v>
      </c>
      <c r="I4495">
        <v>-2.5982989999999999</v>
      </c>
      <c r="J4495">
        <v>-409.08659999999998</v>
      </c>
      <c r="K4495">
        <v>1.1282110000000001</v>
      </c>
      <c r="L4495">
        <v>21.598420000000001</v>
      </c>
      <c r="M4495">
        <v>0.86318479999999997</v>
      </c>
      <c r="N4495">
        <v>-1.430972E-2</v>
      </c>
      <c r="O4495">
        <v>-0.50468579999999996</v>
      </c>
      <c r="P4495">
        <v>0.8694518</v>
      </c>
      <c r="Q4495">
        <v>0.18616959999999999</v>
      </c>
      <c r="R4495">
        <v>-0.45759729999999998</v>
      </c>
      <c r="S4495">
        <v>3.13266</v>
      </c>
      <c r="T4495">
        <v>7.7924370000000007E-2</v>
      </c>
      <c r="U4495">
        <v>-0.58380129999999997</v>
      </c>
      <c r="V4495">
        <v>-4.7171879999999999E-2</v>
      </c>
      <c r="W4495">
        <v>0.19943159999999999</v>
      </c>
      <c r="X4495">
        <v>0.97877570000000003</v>
      </c>
      <c r="Y4495">
        <v>-0.33763149999999997</v>
      </c>
      <c r="Z4495">
        <v>-2.1082300000000002E-2</v>
      </c>
      <c r="AA4495">
        <v>0.94104219999999905</v>
      </c>
      <c r="AB4495">
        <v>26</v>
      </c>
      <c r="AC4495">
        <v>130.06659999999999</v>
      </c>
      <c r="AD4495">
        <v>3.2384819999999901</v>
      </c>
      <c r="AE4495">
        <v>-24.196719000000002</v>
      </c>
      <c r="AF4495">
        <v>-44.734292347025097</v>
      </c>
      <c r="AG4495">
        <v>3.2384819999999901</v>
      </c>
      <c r="AH4495">
        <v>124.42141311173</v>
      </c>
      <c r="AI4495">
        <v>88.596916030885097</v>
      </c>
      <c r="AJ4495">
        <v>109.775466299922</v>
      </c>
      <c r="AK4495">
        <v>132.25858277697199</v>
      </c>
      <c r="AL4495">
        <v>78.496277593999594</v>
      </c>
      <c r="AM4495">
        <v>92.759222521686993</v>
      </c>
      <c r="AN4495">
        <v>1.0000000101258899</v>
      </c>
    </row>
    <row r="4496" spans="1:40" x14ac:dyDescent="0.25">
      <c r="A4496" t="str">
        <f>"20190303171107539"</f>
        <v>20190303171107539</v>
      </c>
      <c r="B4496" t="str">
        <f>"1551604267534884"</f>
        <v>1551604267534884</v>
      </c>
      <c r="C4496" t="s">
        <v>40</v>
      </c>
      <c r="D4496">
        <v>4.9276960000000001</v>
      </c>
      <c r="E4496">
        <v>0.38385590000000003</v>
      </c>
      <c r="F4496" t="s">
        <v>96</v>
      </c>
      <c r="G4496">
        <v>-279.02</v>
      </c>
      <c r="H4496">
        <v>4.1876800000000003</v>
      </c>
      <c r="I4496">
        <v>-2.1306609999999999</v>
      </c>
      <c r="J4496">
        <v>-408.98570000000001</v>
      </c>
      <c r="K4496">
        <v>1.1281509999999999</v>
      </c>
      <c r="L4496">
        <v>21.544650000000001</v>
      </c>
      <c r="M4496">
        <v>0.8654174</v>
      </c>
      <c r="N4496">
        <v>-1.4297839999999999E-2</v>
      </c>
      <c r="O4496">
        <v>-0.50084759999999995</v>
      </c>
      <c r="P4496">
        <v>0.87160090000000001</v>
      </c>
      <c r="Q4496">
        <v>0.18614159999999999</v>
      </c>
      <c r="R4496">
        <v>-0.4535015</v>
      </c>
      <c r="S4496">
        <v>3.133759</v>
      </c>
      <c r="T4496">
        <v>7.3713299999999995E-2</v>
      </c>
      <c r="U4496">
        <v>-0.57171629999999996</v>
      </c>
      <c r="V4496">
        <v>-4.7404200000000001E-2</v>
      </c>
      <c r="W4496">
        <v>0.19939470000000001</v>
      </c>
      <c r="X4496">
        <v>0.97877199999999998</v>
      </c>
      <c r="Y4496">
        <v>-0.33705489999999999</v>
      </c>
      <c r="Z4496">
        <v>-2.0075949999999999E-2</v>
      </c>
      <c r="AA4496">
        <v>0.94127090000000002</v>
      </c>
      <c r="AB4496">
        <v>26</v>
      </c>
      <c r="AC4496">
        <v>129.9657</v>
      </c>
      <c r="AD4496">
        <v>3.0595289999999999</v>
      </c>
      <c r="AE4496">
        <v>-23.675310999999901</v>
      </c>
      <c r="AF4496">
        <v>-44.584627812253999</v>
      </c>
      <c r="AG4496">
        <v>3.0595289999999999</v>
      </c>
      <c r="AH4496">
        <v>124.278349308552</v>
      </c>
      <c r="AI4496">
        <v>88.672560586957303</v>
      </c>
      <c r="AJ4496">
        <v>109.735354435612</v>
      </c>
      <c r="AK4496">
        <v>132.06914045952399</v>
      </c>
      <c r="AL4496">
        <v>78.4984352131831</v>
      </c>
      <c r="AM4496">
        <v>92.772800914406105</v>
      </c>
      <c r="AN4496">
        <v>1.0000000162748599</v>
      </c>
    </row>
    <row r="4497" spans="1:40" x14ac:dyDescent="0.25">
      <c r="A4497" t="str">
        <f>"20190303171107549"</f>
        <v>20190303171107549</v>
      </c>
      <c r="B4497" t="str">
        <f>"1551604267534884"</f>
        <v>1551604267534884</v>
      </c>
      <c r="C4497" t="s">
        <v>40</v>
      </c>
      <c r="D4497">
        <v>4.9276960000000001</v>
      </c>
      <c r="E4497">
        <v>0.38385590000000003</v>
      </c>
      <c r="F4497" t="s">
        <v>96</v>
      </c>
      <c r="G4497">
        <v>-279.02</v>
      </c>
      <c r="H4497">
        <v>3.987358</v>
      </c>
      <c r="I4497">
        <v>-1.8016529999999999</v>
      </c>
      <c r="J4497">
        <v>-408.87849999999997</v>
      </c>
      <c r="K4497">
        <v>1.1280920000000001</v>
      </c>
      <c r="L4497">
        <v>21.48837</v>
      </c>
      <c r="M4497">
        <v>0.86773459999999902</v>
      </c>
      <c r="N4497">
        <v>-1.428456E-2</v>
      </c>
      <c r="O4497">
        <v>-0.4968226</v>
      </c>
      <c r="P4497">
        <v>0.87395069999999997</v>
      </c>
      <c r="Q4497">
        <v>0.1857946</v>
      </c>
      <c r="R4497">
        <v>-0.4490999</v>
      </c>
      <c r="S4497">
        <v>3.1342469999999998</v>
      </c>
      <c r="T4497">
        <v>6.8952559999999996E-2</v>
      </c>
      <c r="U4497">
        <v>-0.56301880000000004</v>
      </c>
      <c r="V4497">
        <v>-4.779514E-2</v>
      </c>
      <c r="W4497">
        <v>0.1990353</v>
      </c>
      <c r="X4497">
        <v>0.97882610000000003</v>
      </c>
      <c r="Y4497">
        <v>-0.33527299999999999</v>
      </c>
      <c r="Z4497">
        <v>-1.8955630000000001E-2</v>
      </c>
      <c r="AA4497">
        <v>0.9419303</v>
      </c>
      <c r="AB4497">
        <v>26</v>
      </c>
      <c r="AC4497">
        <v>129.85849999999999</v>
      </c>
      <c r="AD4497">
        <v>2.8592659999999999</v>
      </c>
      <c r="AE4497">
        <v>-23.290023000000001</v>
      </c>
      <c r="AF4497">
        <v>-44.290794817390797</v>
      </c>
      <c r="AG4497">
        <v>2.8592659999999999</v>
      </c>
      <c r="AH4497">
        <v>124.20805689091701</v>
      </c>
      <c r="AI4497">
        <v>88.757867577284799</v>
      </c>
      <c r="AJ4497">
        <v>109.62549843922901</v>
      </c>
      <c r="AK4497">
        <v>131.89955005318299</v>
      </c>
      <c r="AL4497">
        <v>78.519448089143296</v>
      </c>
      <c r="AM4497">
        <v>92.795477661918099</v>
      </c>
      <c r="AN4497">
        <v>0.99999998004745905</v>
      </c>
    </row>
    <row r="4498" spans="1:40" x14ac:dyDescent="0.25">
      <c r="A4498" t="str">
        <f>"20190303171107560"</f>
        <v>20190303171107560</v>
      </c>
      <c r="B4498" t="str">
        <f>"1551604267555380"</f>
        <v>1551604267555380</v>
      </c>
      <c r="C4498" t="s">
        <v>40</v>
      </c>
      <c r="D4498">
        <v>4.9476990000000001</v>
      </c>
      <c r="E4498">
        <v>0.3954125</v>
      </c>
      <c r="F4498" t="s">
        <v>96</v>
      </c>
      <c r="G4498">
        <v>-279.02</v>
      </c>
      <c r="H4498">
        <v>3.9267989999999999</v>
      </c>
      <c r="I4498">
        <v>-1.1670039999999999</v>
      </c>
      <c r="J4498">
        <v>-408.77890000000002</v>
      </c>
      <c r="K4498">
        <v>1.128031</v>
      </c>
      <c r="L4498">
        <v>21.43646</v>
      </c>
      <c r="M4498">
        <v>0.86985650000000003</v>
      </c>
      <c r="N4498">
        <v>-1.427256E-2</v>
      </c>
      <c r="O4498">
        <v>-0.4930988</v>
      </c>
      <c r="P4498">
        <v>0.87602760000000002</v>
      </c>
      <c r="Q4498">
        <v>0.1856245</v>
      </c>
      <c r="R4498">
        <v>-0.44510620000000001</v>
      </c>
      <c r="S4498">
        <v>3.1370849999999999</v>
      </c>
      <c r="T4498">
        <v>6.7610379999999998E-2</v>
      </c>
      <c r="U4498">
        <v>-0.54730219999999996</v>
      </c>
      <c r="V4498">
        <v>-4.8054100000000002E-2</v>
      </c>
      <c r="W4498">
        <v>0.1988559</v>
      </c>
      <c r="X4498">
        <v>0.97884990000000005</v>
      </c>
      <c r="Y4498">
        <v>-0.33597050000000001</v>
      </c>
      <c r="Z4498">
        <v>-1.855149E-2</v>
      </c>
      <c r="AA4498">
        <v>0.94168980000000002</v>
      </c>
      <c r="AB4498">
        <v>26</v>
      </c>
      <c r="AC4498">
        <v>129.75890000000001</v>
      </c>
      <c r="AD4498">
        <v>2.7987679999999999</v>
      </c>
      <c r="AE4498">
        <v>-22.603463999999999</v>
      </c>
      <c r="AF4498">
        <v>-44.306687203826399</v>
      </c>
      <c r="AG4498">
        <v>2.7987679999999999</v>
      </c>
      <c r="AH4498">
        <v>123.973991556386</v>
      </c>
      <c r="AI4498">
        <v>88.782155470769894</v>
      </c>
      <c r="AJ4498">
        <v>109.666226718027</v>
      </c>
      <c r="AK4498">
        <v>131.68320400004799</v>
      </c>
      <c r="AL4498">
        <v>78.529936798933505</v>
      </c>
      <c r="AM4498">
        <v>92.810531457957197</v>
      </c>
      <c r="AN4498">
        <v>0.99999999611081503</v>
      </c>
    </row>
    <row r="4499" spans="1:40" x14ac:dyDescent="0.25">
      <c r="A4499" t="str">
        <f>"20190303171107572"</f>
        <v>20190303171107572</v>
      </c>
      <c r="B4499" t="str">
        <f>"1551604267565141"</f>
        <v>1551604267565141</v>
      </c>
      <c r="C4499" t="s">
        <v>40</v>
      </c>
      <c r="D4499">
        <v>5.0059199999999997</v>
      </c>
      <c r="E4499">
        <v>0.39591539999999997</v>
      </c>
      <c r="F4499" t="s">
        <v>96</v>
      </c>
      <c r="G4499">
        <v>-279.02</v>
      </c>
      <c r="H4499">
        <v>1.7424109999999999</v>
      </c>
      <c r="I4499">
        <v>-4.3731049999999998</v>
      </c>
      <c r="J4499">
        <v>-408.65010000000001</v>
      </c>
      <c r="K4499">
        <v>1.12795499999999</v>
      </c>
      <c r="L4499">
        <v>21.37021</v>
      </c>
      <c r="M4499">
        <v>0.87253959999999997</v>
      </c>
      <c r="N4499">
        <v>-1.425705E-2</v>
      </c>
      <c r="O4499">
        <v>-0.48833539999999998</v>
      </c>
      <c r="P4499">
        <v>0.87857149999999995</v>
      </c>
      <c r="Q4499">
        <v>0.18544369999999999</v>
      </c>
      <c r="R4499">
        <v>-0.44013980000000003</v>
      </c>
      <c r="S4499">
        <v>3.1073909999999998</v>
      </c>
      <c r="T4499">
        <v>1.471281E-2</v>
      </c>
      <c r="U4499">
        <v>-0.61807250000000002</v>
      </c>
      <c r="V4499">
        <v>-4.822216E-2</v>
      </c>
      <c r="W4499">
        <v>0.1986657</v>
      </c>
      <c r="X4499">
        <v>0.97888019999999998</v>
      </c>
      <c r="Y4499">
        <v>-0.30868579999999901</v>
      </c>
      <c r="Z4499">
        <v>-7.9029259999999994E-3</v>
      </c>
      <c r="AA4499">
        <v>0.95113119999999995</v>
      </c>
      <c r="AB4499">
        <v>26</v>
      </c>
      <c r="AC4499">
        <v>129.6301</v>
      </c>
      <c r="AD4499">
        <v>0.614456</v>
      </c>
      <c r="AE4499">
        <v>-25.743314999999999</v>
      </c>
      <c r="AF4499">
        <v>-40.844171815747501</v>
      </c>
      <c r="AG4499">
        <v>0.614456</v>
      </c>
      <c r="AH4499">
        <v>125.688820640564</v>
      </c>
      <c r="AI4499">
        <v>89.733612105967694</v>
      </c>
      <c r="AJ4499">
        <v>108.002225859131</v>
      </c>
      <c r="AK4499">
        <v>132.16014361942101</v>
      </c>
      <c r="AL4499">
        <v>78.541055678317207</v>
      </c>
      <c r="AM4499">
        <v>92.8202577509999</v>
      </c>
      <c r="AN4499">
        <v>0.99999994151179605</v>
      </c>
    </row>
    <row r="4500" spans="1:40" x14ac:dyDescent="0.25">
      <c r="A4500" t="str">
        <f>"20190303171107587"</f>
        <v>20190303171107587</v>
      </c>
      <c r="B4500" t="str">
        <f>"1551604267574901"</f>
        <v>1551604267574901</v>
      </c>
      <c r="C4500" t="s">
        <v>40</v>
      </c>
      <c r="D4500">
        <v>4.9493130000000001</v>
      </c>
      <c r="E4500">
        <v>0.39647250000000001</v>
      </c>
      <c r="F4500" t="s">
        <v>96</v>
      </c>
      <c r="G4500">
        <v>-279.02</v>
      </c>
      <c r="H4500">
        <v>1.9597789999999999</v>
      </c>
      <c r="I4500">
        <v>-3.8231329999999999</v>
      </c>
      <c r="J4500">
        <v>-408.5104</v>
      </c>
      <c r="K4500">
        <v>1.127874</v>
      </c>
      <c r="L4500">
        <v>21.29926</v>
      </c>
      <c r="M4500">
        <v>0.87538150000000003</v>
      </c>
      <c r="N4500">
        <v>-1.424008E-2</v>
      </c>
      <c r="O4500">
        <v>-0.48322310000000002</v>
      </c>
      <c r="P4500">
        <v>0.88125379999999998</v>
      </c>
      <c r="Q4500">
        <v>0.1853831</v>
      </c>
      <c r="R4500">
        <v>-0.43476930000000003</v>
      </c>
      <c r="S4500">
        <v>3.1078489999999999</v>
      </c>
      <c r="T4500">
        <v>1.994276E-2</v>
      </c>
      <c r="U4500">
        <v>-0.60400390000000004</v>
      </c>
      <c r="V4500">
        <v>-4.843571E-2</v>
      </c>
      <c r="W4500">
        <v>0.1985942</v>
      </c>
      <c r="X4500">
        <v>0.97888419999999998</v>
      </c>
      <c r="Y4500">
        <v>-0.30728040000000001</v>
      </c>
      <c r="Z4500">
        <v>-8.8304009999999999E-3</v>
      </c>
      <c r="AA4500">
        <v>0.95157809999999998</v>
      </c>
      <c r="AB4500">
        <v>26</v>
      </c>
      <c r="AC4500">
        <v>129.49039999999999</v>
      </c>
      <c r="AD4500">
        <v>0.83190500000000001</v>
      </c>
      <c r="AE4500">
        <v>-25.122392999999999</v>
      </c>
      <c r="AF4500">
        <v>-40.583572979554503</v>
      </c>
      <c r="AG4500">
        <v>0.83190500000000001</v>
      </c>
      <c r="AH4500">
        <v>125.50094771411401</v>
      </c>
      <c r="AI4500">
        <v>89.6386342336925</v>
      </c>
      <c r="AJ4500">
        <v>107.91978821727599</v>
      </c>
      <c r="AK4500">
        <v>131.902260552489</v>
      </c>
      <c r="AL4500">
        <v>78.545236010119297</v>
      </c>
      <c r="AM4500">
        <v>92.832715300945495</v>
      </c>
      <c r="AN4500">
        <v>0.99999997564324095</v>
      </c>
    </row>
    <row r="4501" spans="1:40" x14ac:dyDescent="0.25">
      <c r="A4501" t="str">
        <f>"20190303171107601"</f>
        <v>20190303171107601</v>
      </c>
      <c r="B4501" t="str">
        <f>"1551604267595396"</f>
        <v>1551604267595396</v>
      </c>
      <c r="C4501" t="s">
        <v>40</v>
      </c>
      <c r="D4501">
        <v>4.9432869999999998</v>
      </c>
      <c r="E4501">
        <v>0.39728770000000002</v>
      </c>
      <c r="F4501" t="s">
        <v>96</v>
      </c>
      <c r="G4501">
        <v>-279.02</v>
      </c>
      <c r="H4501">
        <v>1.88744</v>
      </c>
      <c r="I4501">
        <v>-3.2383109999999999</v>
      </c>
      <c r="J4501">
        <v>-408.3664</v>
      </c>
      <c r="K4501">
        <v>1.127791</v>
      </c>
      <c r="L4501">
        <v>21.22702</v>
      </c>
      <c r="M4501">
        <v>0.87824139999999995</v>
      </c>
      <c r="N4501">
        <v>-1.422265E-2</v>
      </c>
      <c r="O4501">
        <v>-0.47800599999999999</v>
      </c>
      <c r="P4501">
        <v>0.88371699999999997</v>
      </c>
      <c r="Q4501">
        <v>0.1853379</v>
      </c>
      <c r="R4501">
        <v>-0.42976110000000001</v>
      </c>
      <c r="S4501">
        <v>3.10968</v>
      </c>
      <c r="T4501">
        <v>1.824081E-2</v>
      </c>
      <c r="U4501">
        <v>-0.58926389999999995</v>
      </c>
      <c r="V4501">
        <v>-4.8128579999999997E-2</v>
      </c>
      <c r="W4501">
        <v>0.198547</v>
      </c>
      <c r="X4501">
        <v>0.97890900000000003</v>
      </c>
      <c r="Y4501">
        <v>-0.3060794</v>
      </c>
      <c r="Z4501">
        <v>-8.388375E-3</v>
      </c>
      <c r="AA4501">
        <v>0.95196899999999995</v>
      </c>
      <c r="AB4501">
        <v>26</v>
      </c>
      <c r="AC4501">
        <v>129.34639999999999</v>
      </c>
      <c r="AD4501">
        <v>0.75964900000000002</v>
      </c>
      <c r="AE4501">
        <v>-24.465330999999999</v>
      </c>
      <c r="AF4501">
        <v>-40.344626579795701</v>
      </c>
      <c r="AG4501">
        <v>0.75964900000000002</v>
      </c>
      <c r="AH4501">
        <v>125.300441517487</v>
      </c>
      <c r="AI4501">
        <v>89.669358055389907</v>
      </c>
      <c r="AJ4501">
        <v>107.84768203612001</v>
      </c>
      <c r="AK4501">
        <v>131.637633695473</v>
      </c>
      <c r="AL4501">
        <v>78.5479961911647</v>
      </c>
      <c r="AM4501">
        <v>92.814710885212406</v>
      </c>
      <c r="AN4501">
        <v>1.0000000508514</v>
      </c>
    </row>
    <row r="4502" spans="1:40" x14ac:dyDescent="0.25">
      <c r="A4502" t="str">
        <f>"20190303171107615"</f>
        <v>20190303171107615</v>
      </c>
      <c r="B4502" t="str">
        <f>"1551604267605156"</f>
        <v>1551604267605156</v>
      </c>
      <c r="C4502" t="s">
        <v>40</v>
      </c>
      <c r="D4502">
        <v>4.9778339999999996</v>
      </c>
      <c r="E4502">
        <v>0.39771410000000001</v>
      </c>
      <c r="F4502" t="s">
        <v>96</v>
      </c>
      <c r="G4502">
        <v>-279.02</v>
      </c>
      <c r="H4502">
        <v>1.7272179999999999</v>
      </c>
      <c r="I4502">
        <v>-2.7861660000000001</v>
      </c>
      <c r="J4502">
        <v>-408.21429999999998</v>
      </c>
      <c r="K4502">
        <v>1.1276980000000001</v>
      </c>
      <c r="L4502">
        <v>21.151730000000001</v>
      </c>
      <c r="M4502">
        <v>0.88118399999999997</v>
      </c>
      <c r="N4502">
        <v>-1.420396E-2</v>
      </c>
      <c r="O4502">
        <v>-0.47255989999999998</v>
      </c>
      <c r="P4502">
        <v>0.88576279999999996</v>
      </c>
      <c r="Q4502">
        <v>0.18586829999999999</v>
      </c>
      <c r="R4502">
        <v>-0.42529670000000003</v>
      </c>
      <c r="S4502">
        <v>3.1109309999999999</v>
      </c>
      <c r="T4502">
        <v>1.441693E-2</v>
      </c>
      <c r="U4502">
        <v>-0.57754519999999998</v>
      </c>
      <c r="V4502">
        <v>-4.6914810000000001E-2</v>
      </c>
      <c r="W4502">
        <v>0.19908719999999999</v>
      </c>
      <c r="X4502">
        <v>0.97885820000000001</v>
      </c>
      <c r="Y4502">
        <v>-0.30373040000000001</v>
      </c>
      <c r="Z4502">
        <v>-7.5431109999999999E-3</v>
      </c>
      <c r="AA4502">
        <v>0.95272820000000003</v>
      </c>
      <c r="AB4502">
        <v>26</v>
      </c>
      <c r="AC4502">
        <v>129.1943</v>
      </c>
      <c r="AD4502">
        <v>0.59951999999999905</v>
      </c>
      <c r="AE4502">
        <v>-23.937895999999999</v>
      </c>
      <c r="AF4502">
        <v>-39.9615569655464</v>
      </c>
      <c r="AG4502">
        <v>0.59951999999999905</v>
      </c>
      <c r="AH4502">
        <v>125.166070307705</v>
      </c>
      <c r="AI4502">
        <v>89.738567707047906</v>
      </c>
      <c r="AJ4502">
        <v>107.706633782485</v>
      </c>
      <c r="AK4502">
        <v>131.39189706985101</v>
      </c>
      <c r="AL4502">
        <v>78.516414457466695</v>
      </c>
      <c r="AM4502">
        <v>92.743977853215497</v>
      </c>
      <c r="AN4502">
        <v>1.0000000441542001</v>
      </c>
    </row>
    <row r="4503" spans="1:40" x14ac:dyDescent="0.25">
      <c r="A4503" t="str">
        <f>"20190303171107629"</f>
        <v>20190303171107629</v>
      </c>
      <c r="B4503" t="str">
        <f>"1551604267625654"</f>
        <v>1551604267625654</v>
      </c>
      <c r="C4503" t="s">
        <v>40</v>
      </c>
      <c r="D4503">
        <v>4.9807360000000003</v>
      </c>
      <c r="E4503">
        <v>0.39881220000000001</v>
      </c>
      <c r="F4503" t="s">
        <v>96</v>
      </c>
      <c r="G4503">
        <v>-279.02</v>
      </c>
      <c r="H4503">
        <v>1.7558229999999999</v>
      </c>
      <c r="I4503">
        <v>-2.2814899999999998</v>
      </c>
      <c r="J4503">
        <v>-408.09010000000001</v>
      </c>
      <c r="K4503">
        <v>1.127626</v>
      </c>
      <c r="L4503">
        <v>21.091370000000001</v>
      </c>
      <c r="M4503">
        <v>0.88351599999999997</v>
      </c>
      <c r="N4503">
        <v>-1.41881E-2</v>
      </c>
      <c r="O4503">
        <v>-0.46818589999999999</v>
      </c>
      <c r="P4503">
        <v>0.88757070000000005</v>
      </c>
      <c r="Q4503">
        <v>0.18604860000000001</v>
      </c>
      <c r="R4503">
        <v>-0.42143079999999999</v>
      </c>
      <c r="S4503">
        <v>3.1126710000000002</v>
      </c>
      <c r="T4503">
        <v>1.513338E-2</v>
      </c>
      <c r="U4503">
        <v>-0.56457519999999894</v>
      </c>
      <c r="V4503">
        <v>-4.6277789999999999E-2</v>
      </c>
      <c r="W4503">
        <v>0.19926949999999999</v>
      </c>
      <c r="X4503">
        <v>0.97885140000000004</v>
      </c>
      <c r="Y4503">
        <v>-0.30294260000000001</v>
      </c>
      <c r="Z4503">
        <v>-7.5935219999999897E-3</v>
      </c>
      <c r="AA4503">
        <v>0.95297860000000001</v>
      </c>
      <c r="AB4503">
        <v>26</v>
      </c>
      <c r="AC4503">
        <v>129.0701</v>
      </c>
      <c r="AD4503">
        <v>0.62819699999999901</v>
      </c>
      <c r="AE4503">
        <v>-23.372859999999999</v>
      </c>
      <c r="AF4503">
        <v>-39.781599816667899</v>
      </c>
      <c r="AG4503">
        <v>0.62819699999999901</v>
      </c>
      <c r="AH4503">
        <v>124.98806494553</v>
      </c>
      <c r="AI4503">
        <v>89.725594393629194</v>
      </c>
      <c r="AJ4503">
        <v>107.65539819696799</v>
      </c>
      <c r="AK4503">
        <v>131.16778070193999</v>
      </c>
      <c r="AL4503">
        <v>78.505755538776398</v>
      </c>
      <c r="AM4503">
        <v>92.706794062976897</v>
      </c>
      <c r="AN4503">
        <v>1.0000000153797399</v>
      </c>
    </row>
    <row r="4504" spans="1:40" x14ac:dyDescent="0.25">
      <c r="A4504" t="str">
        <f>"20190303171107651"</f>
        <v>20190303171107651</v>
      </c>
      <c r="B4504" t="str">
        <f>"1551604267645172"</f>
        <v>1551604267645172</v>
      </c>
      <c r="C4504" t="s">
        <v>40</v>
      </c>
      <c r="D4504">
        <v>4.9949709999999996</v>
      </c>
      <c r="E4504">
        <v>0.4000206</v>
      </c>
      <c r="F4504" t="s">
        <v>96</v>
      </c>
      <c r="G4504">
        <v>-279.02</v>
      </c>
      <c r="H4504">
        <v>1.620371</v>
      </c>
      <c r="I4504">
        <v>-2.0933310000000001</v>
      </c>
      <c r="J4504">
        <v>-407.86219999999997</v>
      </c>
      <c r="K4504">
        <v>1.1274900000000001</v>
      </c>
      <c r="L4504">
        <v>20.981960000000001</v>
      </c>
      <c r="M4504">
        <v>0.88767680000000004</v>
      </c>
      <c r="N4504">
        <v>-1.415956E-2</v>
      </c>
      <c r="O4504">
        <v>-0.46024979999999999</v>
      </c>
      <c r="P4504">
        <v>0.89114669999999896</v>
      </c>
      <c r="Q4504">
        <v>0.1858988</v>
      </c>
      <c r="R4504">
        <v>-0.41388340000000001</v>
      </c>
      <c r="S4504">
        <v>3.1120909999999999</v>
      </c>
      <c r="T4504">
        <v>1.188087E-2</v>
      </c>
      <c r="U4504">
        <v>-0.55902099999999999</v>
      </c>
      <c r="V4504">
        <v>-4.5756949999999998E-2</v>
      </c>
      <c r="W4504">
        <v>0.19911480000000001</v>
      </c>
      <c r="X4504">
        <v>0.97890730000000004</v>
      </c>
      <c r="Y4504">
        <v>-0.29601949999999999</v>
      </c>
      <c r="Z4504">
        <v>-6.8483270000000004E-3</v>
      </c>
      <c r="AA4504">
        <v>0.95515729999999999</v>
      </c>
      <c r="AB4504">
        <v>26</v>
      </c>
      <c r="AC4504">
        <v>128.84219999999999</v>
      </c>
      <c r="AD4504">
        <v>0.49288100000000001</v>
      </c>
      <c r="AE4504">
        <v>-23.075291</v>
      </c>
      <c r="AF4504">
        <v>-38.819528468872399</v>
      </c>
      <c r="AG4504">
        <v>0.49288100000000001</v>
      </c>
      <c r="AH4504">
        <v>125.00135964061499</v>
      </c>
      <c r="AI4504">
        <v>89.784247977398493</v>
      </c>
      <c r="AJ4504">
        <v>107.25233045918399</v>
      </c>
      <c r="AK4504">
        <v>130.89132375458701</v>
      </c>
      <c r="AL4504">
        <v>78.514799714130106</v>
      </c>
      <c r="AM4504">
        <v>92.676221998137507</v>
      </c>
      <c r="AN4504">
        <v>0.999999952022815</v>
      </c>
    </row>
    <row r="4505" spans="1:40" x14ac:dyDescent="0.25">
      <c r="A4505" t="str">
        <f>"20190303171107662"</f>
        <v>20190303171107662</v>
      </c>
      <c r="B4505" t="str">
        <f>"1551604267654933"</f>
        <v>1551604267654933</v>
      </c>
      <c r="C4505" t="s">
        <v>40</v>
      </c>
      <c r="D4505">
        <v>5.0216089999999998</v>
      </c>
      <c r="E4505">
        <v>0.40036050000000001</v>
      </c>
      <c r="F4505" t="s">
        <v>96</v>
      </c>
      <c r="G4505">
        <v>-279.02</v>
      </c>
      <c r="H4505">
        <v>1.401659</v>
      </c>
      <c r="I4505">
        <v>-1.4313</v>
      </c>
      <c r="J4505">
        <v>-407.7355</v>
      </c>
      <c r="K4505">
        <v>1.1274139999999999</v>
      </c>
      <c r="L4505">
        <v>20.922180000000001</v>
      </c>
      <c r="M4505">
        <v>0.88991390000000004</v>
      </c>
      <c r="N4505">
        <v>-1.4143640000000001E-2</v>
      </c>
      <c r="O4505">
        <v>-0.45590960000000003</v>
      </c>
      <c r="P4505">
        <v>0.89317630000000003</v>
      </c>
      <c r="Q4505">
        <v>0.1854411</v>
      </c>
      <c r="R4505">
        <v>-0.40969250000000001</v>
      </c>
      <c r="S4505">
        <v>3.1135250000000001</v>
      </c>
      <c r="T4505">
        <v>6.6254139999999996E-3</v>
      </c>
      <c r="U4505">
        <v>-0.54162600000000005</v>
      </c>
      <c r="V4505">
        <v>-4.5574129999999997E-2</v>
      </c>
      <c r="W4505">
        <v>0.19865350000000001</v>
      </c>
      <c r="X4505">
        <v>0.97900960000000004</v>
      </c>
      <c r="Y4505">
        <v>-0.29661799999999999</v>
      </c>
      <c r="Z4505">
        <v>-5.7774230000000003E-3</v>
      </c>
      <c r="AA4505">
        <v>0.95497880000000002</v>
      </c>
      <c r="AB4505">
        <v>26</v>
      </c>
      <c r="AC4505">
        <v>128.71549999999999</v>
      </c>
      <c r="AD4505">
        <v>0.27424500000000002</v>
      </c>
      <c r="AE4505">
        <v>-22.353480000000001</v>
      </c>
      <c r="AF4505">
        <v>-38.793662111937998</v>
      </c>
      <c r="AG4505">
        <v>0.27424500000000002</v>
      </c>
      <c r="AH4505">
        <v>124.74878503881</v>
      </c>
      <c r="AI4505">
        <v>89.879723861261198</v>
      </c>
      <c r="AJ4505">
        <v>107.27434947742999</v>
      </c>
      <c r="AK4505">
        <v>130.64181106764599</v>
      </c>
      <c r="AL4505">
        <v>78.541769647209705</v>
      </c>
      <c r="AM4505">
        <v>92.665266586543794</v>
      </c>
      <c r="AN4505">
        <v>1.0000000056398299</v>
      </c>
    </row>
    <row r="4506" spans="1:40" x14ac:dyDescent="0.25">
      <c r="A4506" t="str">
        <f>"20190303171107674"</f>
        <v>20190303171107674</v>
      </c>
      <c r="B4506" t="str">
        <f>"1551604267665669"</f>
        <v>1551604267665669</v>
      </c>
      <c r="C4506" t="s">
        <v>40</v>
      </c>
      <c r="D4506">
        <v>5.0437969999999996</v>
      </c>
      <c r="E4506">
        <v>0.40065489999999998</v>
      </c>
      <c r="F4506" t="s">
        <v>96</v>
      </c>
      <c r="G4506">
        <v>-279.02</v>
      </c>
      <c r="H4506">
        <v>1.3204340000000001</v>
      </c>
      <c r="I4506">
        <v>-0.95957760000000003</v>
      </c>
      <c r="J4506">
        <v>-407.61219999999997</v>
      </c>
      <c r="K4506">
        <v>1.1273409999999999</v>
      </c>
      <c r="L4506">
        <v>20.864529999999998</v>
      </c>
      <c r="M4506">
        <v>0.89204939999999999</v>
      </c>
      <c r="N4506">
        <v>-1.412829E-2</v>
      </c>
      <c r="O4506">
        <v>-0.45171709999999898</v>
      </c>
      <c r="P4506">
        <v>0.89500119999999905</v>
      </c>
      <c r="Q4506">
        <v>0.18534999999999999</v>
      </c>
      <c r="R4506">
        <v>-0.40573209999999998</v>
      </c>
      <c r="S4506">
        <v>3.1149290000000001</v>
      </c>
      <c r="T4506">
        <v>4.6710969999999999E-3</v>
      </c>
      <c r="U4506">
        <v>-0.52954100000000004</v>
      </c>
      <c r="V4506">
        <v>-4.5273899999999999E-2</v>
      </c>
      <c r="W4506">
        <v>0.19856009999999999</v>
      </c>
      <c r="X4506">
        <v>0.97904250000000004</v>
      </c>
      <c r="Y4506">
        <v>-0.295799599999999</v>
      </c>
      <c r="Z4506">
        <v>-5.3426699999999999E-3</v>
      </c>
      <c r="AA4506">
        <v>0.9552351</v>
      </c>
      <c r="AB4506">
        <v>25</v>
      </c>
      <c r="AC4506">
        <v>128.59219999999999</v>
      </c>
      <c r="AD4506">
        <v>0.19309299999999999</v>
      </c>
      <c r="AE4506">
        <v>-21.824107600000001</v>
      </c>
      <c r="AF4506">
        <v>-38.6228823320195</v>
      </c>
      <c r="AG4506">
        <v>0.19309299999999999</v>
      </c>
      <c r="AH4506">
        <v>124.581073860258</v>
      </c>
      <c r="AI4506">
        <v>89.915177908785097</v>
      </c>
      <c r="AJ4506">
        <v>107.22458980690099</v>
      </c>
      <c r="AK4506">
        <v>130.430856351995</v>
      </c>
      <c r="AL4506">
        <v>78.5472301045601</v>
      </c>
      <c r="AM4506">
        <v>92.647644754095595</v>
      </c>
      <c r="AN4506">
        <v>1.0000000280697301</v>
      </c>
    </row>
    <row r="4507" spans="1:40" x14ac:dyDescent="0.25">
      <c r="A4507" t="str">
        <f>"20190303171107687"</f>
        <v>20190303171107687</v>
      </c>
      <c r="B4507" t="str">
        <f>"1551604267675429"</f>
        <v>1551604267675429</v>
      </c>
      <c r="C4507" t="s">
        <v>40</v>
      </c>
      <c r="D4507">
        <v>5.040959</v>
      </c>
      <c r="E4507">
        <v>0.40099180000000001</v>
      </c>
      <c r="F4507" t="s">
        <v>96</v>
      </c>
      <c r="G4507">
        <v>-279.02</v>
      </c>
      <c r="H4507">
        <v>1.2546360000000001</v>
      </c>
      <c r="I4507">
        <v>-0.51334950000000001</v>
      </c>
      <c r="J4507">
        <v>-407.4907</v>
      </c>
      <c r="K4507">
        <v>1.1272759999999999</v>
      </c>
      <c r="L4507">
        <v>20.80865</v>
      </c>
      <c r="M4507">
        <v>0.89409450000000001</v>
      </c>
      <c r="N4507">
        <v>-1.411279E-2</v>
      </c>
      <c r="O4507">
        <v>-0.4476561</v>
      </c>
      <c r="P4507">
        <v>0.89678009999999997</v>
      </c>
      <c r="Q4507">
        <v>0.1853833</v>
      </c>
      <c r="R4507">
        <v>-0.40176970000000001</v>
      </c>
      <c r="S4507">
        <v>3.1164550000000002</v>
      </c>
      <c r="T4507">
        <v>3.0850169999999998E-3</v>
      </c>
      <c r="U4507">
        <v>-0.51809689999999997</v>
      </c>
      <c r="V4507">
        <v>-4.5113519999999997E-2</v>
      </c>
      <c r="W4507">
        <v>0.19858770000000001</v>
      </c>
      <c r="X4507">
        <v>0.97904429999999998</v>
      </c>
      <c r="Y4507">
        <v>-0.29494749999999997</v>
      </c>
      <c r="Z4507">
        <v>-4.9833459999999996E-3</v>
      </c>
      <c r="AA4507">
        <v>0.95550040000000003</v>
      </c>
      <c r="AB4507">
        <v>25</v>
      </c>
      <c r="AC4507">
        <v>128.47069999999999</v>
      </c>
      <c r="AD4507">
        <v>0.12736</v>
      </c>
      <c r="AE4507">
        <v>-21.3219995</v>
      </c>
      <c r="AF4507">
        <v>-38.450600089625702</v>
      </c>
      <c r="AG4507">
        <v>0.12736</v>
      </c>
      <c r="AH4507">
        <v>124.422133613047</v>
      </c>
      <c r="AI4507">
        <v>89.943966031917896</v>
      </c>
      <c r="AJ4507">
        <v>107.172898029745</v>
      </c>
      <c r="AK4507">
        <v>130.22800083179001</v>
      </c>
      <c r="AL4507">
        <v>78.545616548881597</v>
      </c>
      <c r="AM4507">
        <v>92.638274067605906</v>
      </c>
      <c r="AN4507">
        <v>1.0000000228202801</v>
      </c>
    </row>
    <row r="4508" spans="1:40" x14ac:dyDescent="0.25">
      <c r="A4508" t="str">
        <f>"20190303171107698"</f>
        <v>20190303171107698</v>
      </c>
      <c r="B4508" t="str">
        <f>"1551604267694949"</f>
        <v>1551604267694949</v>
      </c>
      <c r="C4508" t="s">
        <v>40</v>
      </c>
      <c r="D4508">
        <v>5.0508410000000001</v>
      </c>
      <c r="E4508">
        <v>0.40762320000000002</v>
      </c>
      <c r="F4508" t="s">
        <v>96</v>
      </c>
      <c r="G4508">
        <v>-279.02</v>
      </c>
      <c r="H4508">
        <v>1.237876</v>
      </c>
      <c r="I4508">
        <v>-7.5376509999999994E-2</v>
      </c>
      <c r="J4508">
        <v>-407.37169999999998</v>
      </c>
      <c r="K4508">
        <v>1.1272059999999999</v>
      </c>
      <c r="L4508">
        <v>20.754180000000002</v>
      </c>
      <c r="M4508">
        <v>0.89606830000000004</v>
      </c>
      <c r="N4508">
        <v>-1.4098019999999999E-2</v>
      </c>
      <c r="O4508">
        <v>-0.44369239999999999</v>
      </c>
      <c r="P4508">
        <v>0.89821649999999997</v>
      </c>
      <c r="Q4508">
        <v>0.18577750000000001</v>
      </c>
      <c r="R4508">
        <v>-0.39836359999999998</v>
      </c>
      <c r="S4508">
        <v>3.1176759999999999</v>
      </c>
      <c r="T4508">
        <v>2.683997E-3</v>
      </c>
      <c r="U4508">
        <v>-0.50680539999999996</v>
      </c>
      <c r="V4508">
        <v>-4.4426399999999998E-2</v>
      </c>
      <c r="W4508">
        <v>0.19898399999999999</v>
      </c>
      <c r="X4508">
        <v>0.97899530000000001</v>
      </c>
      <c r="Y4508">
        <v>-0.2941473</v>
      </c>
      <c r="Z4508">
        <v>-4.8467700000000002E-3</v>
      </c>
      <c r="AA4508">
        <v>0.95574780000000004</v>
      </c>
      <c r="AB4508">
        <v>25</v>
      </c>
      <c r="AC4508">
        <v>128.35169999999999</v>
      </c>
      <c r="AD4508">
        <v>0.11067</v>
      </c>
      <c r="AE4508">
        <v>-20.82955651</v>
      </c>
      <c r="AF4508">
        <v>-38.2877440256146</v>
      </c>
      <c r="AG4508">
        <v>0.11067</v>
      </c>
      <c r="AH4508">
        <v>124.266059240047</v>
      </c>
      <c r="AI4508">
        <v>89.951235221489796</v>
      </c>
      <c r="AJ4508">
        <v>107.12464272937601</v>
      </c>
      <c r="AK4508">
        <v>130.03083122656301</v>
      </c>
      <c r="AL4508">
        <v>78.522448371039502</v>
      </c>
      <c r="AM4508">
        <v>92.598276100588905</v>
      </c>
      <c r="AN4508">
        <v>1.00000006734752</v>
      </c>
    </row>
    <row r="4509" spans="1:40" x14ac:dyDescent="0.25">
      <c r="A4509" t="str">
        <f>"20190303171107710"</f>
        <v>20190303171107710</v>
      </c>
      <c r="B4509" t="str">
        <f>"1551604267705685"</f>
        <v>1551604267705685</v>
      </c>
      <c r="C4509" t="s">
        <v>40</v>
      </c>
      <c r="D4509">
        <v>5.0649110000000004</v>
      </c>
      <c r="E4509">
        <v>0.40830240000000001</v>
      </c>
      <c r="F4509" t="s">
        <v>96</v>
      </c>
      <c r="G4509">
        <v>-279.02</v>
      </c>
      <c r="H4509">
        <v>0.47943740000000001</v>
      </c>
      <c r="I4509">
        <v>-1.765225</v>
      </c>
      <c r="J4509">
        <v>-407.25099999999998</v>
      </c>
      <c r="K4509">
        <v>1.127138</v>
      </c>
      <c r="L4509">
        <v>20.699770000000001</v>
      </c>
      <c r="M4509">
        <v>0.89801469999999906</v>
      </c>
      <c r="N4509">
        <v>-1.408302E-2</v>
      </c>
      <c r="O4509">
        <v>-0.43974020000000003</v>
      </c>
      <c r="P4509">
        <v>0.89963409999999999</v>
      </c>
      <c r="Q4509">
        <v>0.186249</v>
      </c>
      <c r="R4509">
        <v>-0.39493040000000001</v>
      </c>
      <c r="S4509">
        <v>3.1018370000000002</v>
      </c>
      <c r="T4509">
        <v>-1.5654439999999999E-2</v>
      </c>
      <c r="U4509">
        <v>-0.54422000000000004</v>
      </c>
      <c r="V4509">
        <v>-4.3778820000000003E-2</v>
      </c>
      <c r="W4509">
        <v>0.1994563</v>
      </c>
      <c r="X4509">
        <v>0.97892829999999997</v>
      </c>
      <c r="Y4509">
        <v>-0.27793269999999998</v>
      </c>
      <c r="Z4509">
        <v>-1.581371E-3</v>
      </c>
      <c r="AA4509">
        <v>0.96059919999999999</v>
      </c>
      <c r="AB4509">
        <v>25</v>
      </c>
      <c r="AC4509">
        <v>128.23099999999999</v>
      </c>
      <c r="AD4509">
        <v>-0.64770059999999996</v>
      </c>
      <c r="AE4509">
        <v>-22.464994999999998</v>
      </c>
      <c r="AF4509">
        <v>-36.2171219165743</v>
      </c>
      <c r="AG4509">
        <v>-0.64770059999999996</v>
      </c>
      <c r="AH4509">
        <v>125.041378912933</v>
      </c>
      <c r="AI4509">
        <v>90.285066770540993</v>
      </c>
      <c r="AJ4509">
        <v>106.15318870691701</v>
      </c>
      <c r="AK4509">
        <v>130.182356240909</v>
      </c>
      <c r="AL4509">
        <v>78.494833355138596</v>
      </c>
      <c r="AM4509">
        <v>92.560628197374399</v>
      </c>
      <c r="AN4509">
        <v>1.00000000861558</v>
      </c>
    </row>
    <row r="4510" spans="1:40" x14ac:dyDescent="0.25">
      <c r="A4510" t="str">
        <f>"20190303171107727"</f>
        <v>20190303171107727</v>
      </c>
      <c r="B4510" t="str">
        <f>"1551604267715444"</f>
        <v>1551604267715444</v>
      </c>
      <c r="C4510" t="s">
        <v>40</v>
      </c>
      <c r="D4510">
        <v>5.0738110000000001</v>
      </c>
      <c r="E4510">
        <v>0.40855590000000003</v>
      </c>
      <c r="F4510" t="s">
        <v>96</v>
      </c>
      <c r="G4510">
        <v>-279.02</v>
      </c>
      <c r="H4510">
        <v>0.48680610000000002</v>
      </c>
      <c r="I4510">
        <v>-1.5063299999999999</v>
      </c>
      <c r="J4510">
        <v>-407.08510000000001</v>
      </c>
      <c r="K4510">
        <v>1.127049</v>
      </c>
      <c r="L4510">
        <v>20.625820000000001</v>
      </c>
      <c r="M4510">
        <v>0.90062749999999903</v>
      </c>
      <c r="N4510">
        <v>-1.406256E-2</v>
      </c>
      <c r="O4510">
        <v>-0.43436459999999999</v>
      </c>
      <c r="P4510">
        <v>0.90142029999999995</v>
      </c>
      <c r="Q4510">
        <v>0.18686359999999999</v>
      </c>
      <c r="R4510">
        <v>-0.39054329999999998</v>
      </c>
      <c r="S4510">
        <v>3.102112</v>
      </c>
      <c r="T4510">
        <v>-1.549065E-2</v>
      </c>
      <c r="U4510">
        <v>-0.53720089999999998</v>
      </c>
      <c r="V4510">
        <v>-4.2599310000000001E-2</v>
      </c>
      <c r="W4510">
        <v>0.20007639999999999</v>
      </c>
      <c r="X4510">
        <v>0.9788538</v>
      </c>
      <c r="Y4510">
        <v>-0.27431309999999998</v>
      </c>
      <c r="Z4510">
        <v>-1.5802990000000001E-3</v>
      </c>
      <c r="AA4510">
        <v>0.96163920000000003</v>
      </c>
      <c r="AB4510">
        <v>25</v>
      </c>
      <c r="AC4510">
        <v>128.0651</v>
      </c>
      <c r="AD4510">
        <v>-0.64024289999999995</v>
      </c>
      <c r="AE4510">
        <v>-22.132149999999999</v>
      </c>
      <c r="AF4510">
        <v>-35.696782021854098</v>
      </c>
      <c r="AG4510">
        <v>-0.64024289999999995</v>
      </c>
      <c r="AH4510">
        <v>124.961681578065</v>
      </c>
      <c r="AI4510">
        <v>90.282262479543903</v>
      </c>
      <c r="AJ4510">
        <v>105.94261693908</v>
      </c>
      <c r="AK4510">
        <v>129.961886799571</v>
      </c>
      <c r="AL4510">
        <v>78.458573437574401</v>
      </c>
      <c r="AM4510">
        <v>92.491916081386407</v>
      </c>
      <c r="AN4510">
        <v>1.0000000144119301</v>
      </c>
    </row>
    <row r="4511" spans="1:40" x14ac:dyDescent="0.25">
      <c r="A4511" t="str">
        <f>"20190303171107738"</f>
        <v>20190303171107738</v>
      </c>
      <c r="B4511" t="str">
        <f>"1551604267725205"</f>
        <v>1551604267725205</v>
      </c>
      <c r="C4511" t="s">
        <v>40</v>
      </c>
      <c r="D4511">
        <v>5.0903169999999998</v>
      </c>
      <c r="E4511">
        <v>0.40908230000000001</v>
      </c>
      <c r="F4511" t="s">
        <v>96</v>
      </c>
      <c r="G4511">
        <v>-279.02</v>
      </c>
      <c r="H4511">
        <v>0.65329859999999995</v>
      </c>
      <c r="I4511">
        <v>-0.98720359999999996</v>
      </c>
      <c r="J4511">
        <v>-406.96620000000001</v>
      </c>
      <c r="K4511">
        <v>1.126984</v>
      </c>
      <c r="L4511">
        <v>20.573429999999998</v>
      </c>
      <c r="M4511">
        <v>0.90245790000000004</v>
      </c>
      <c r="N4511">
        <v>-1.40482E-2</v>
      </c>
      <c r="O4511">
        <v>-0.43054910000000002</v>
      </c>
      <c r="P4511">
        <v>0.90303580000000006</v>
      </c>
      <c r="Q4511">
        <v>0.1867299</v>
      </c>
      <c r="R4511">
        <v>-0.38685770000000003</v>
      </c>
      <c r="S4511">
        <v>3.1035460000000001</v>
      </c>
      <c r="T4511">
        <v>-1.148093E-2</v>
      </c>
      <c r="U4511">
        <v>-0.52377320000000005</v>
      </c>
      <c r="V4511">
        <v>-4.2431580000000003E-2</v>
      </c>
      <c r="W4511">
        <v>0.19993759999999999</v>
      </c>
      <c r="X4511">
        <v>0.97888940000000002</v>
      </c>
      <c r="Y4511">
        <v>-0.27435910000000002</v>
      </c>
      <c r="Z4511">
        <v>-2.2443440000000001E-3</v>
      </c>
      <c r="AA4511">
        <v>0.9616247</v>
      </c>
      <c r="AB4511">
        <v>25</v>
      </c>
      <c r="AC4511">
        <v>127.9462</v>
      </c>
      <c r="AD4511">
        <v>-0.47368539999999998</v>
      </c>
      <c r="AE4511">
        <v>-21.560633599999999</v>
      </c>
      <c r="AF4511">
        <v>-35.632596020238303</v>
      </c>
      <c r="AG4511">
        <v>-0.47368539999999998</v>
      </c>
      <c r="AH4511">
        <v>124.759610330374</v>
      </c>
      <c r="AI4511">
        <v>90.209174507875105</v>
      </c>
      <c r="AJ4511">
        <v>105.93987314768999</v>
      </c>
      <c r="AK4511">
        <v>129.74924526480501</v>
      </c>
      <c r="AL4511">
        <v>78.466689575546198</v>
      </c>
      <c r="AM4511">
        <v>92.482026580904403</v>
      </c>
      <c r="AN4511">
        <v>0.99999997015370701</v>
      </c>
    </row>
    <row r="4512" spans="1:40" x14ac:dyDescent="0.25">
      <c r="A4512" t="str">
        <f>"20190303171107749"</f>
        <v>20190303171107749</v>
      </c>
      <c r="B4512" t="str">
        <f>"1551604267734965"</f>
        <v>1551604267734965</v>
      </c>
      <c r="C4512" t="s">
        <v>40</v>
      </c>
      <c r="D4512">
        <v>5.1111360000000001</v>
      </c>
      <c r="E4512">
        <v>0.4095895</v>
      </c>
      <c r="F4512" t="s">
        <v>96</v>
      </c>
      <c r="G4512">
        <v>-279.02</v>
      </c>
      <c r="H4512">
        <v>0.55432990000000004</v>
      </c>
      <c r="I4512">
        <v>-0.65954399999999902</v>
      </c>
      <c r="J4512">
        <v>-406.85149999999999</v>
      </c>
      <c r="K4512">
        <v>1.126922</v>
      </c>
      <c r="L4512">
        <v>20.52356</v>
      </c>
      <c r="M4512">
        <v>0.90417840000000005</v>
      </c>
      <c r="N4512">
        <v>-1.4034329999999999E-2</v>
      </c>
      <c r="O4512">
        <v>-0.4269249</v>
      </c>
      <c r="P4512">
        <v>0.90446859999999996</v>
      </c>
      <c r="Q4512">
        <v>0.18649289999999999</v>
      </c>
      <c r="R4512">
        <v>-0.38361109999999998</v>
      </c>
      <c r="S4512">
        <v>3.1043090000000002</v>
      </c>
      <c r="T4512">
        <v>-1.389408E-2</v>
      </c>
      <c r="U4512">
        <v>-0.51516720000000005</v>
      </c>
      <c r="V4512">
        <v>-4.2006080000000001E-2</v>
      </c>
      <c r="W4512">
        <v>0.19969980000000001</v>
      </c>
      <c r="X4512">
        <v>0.9789563</v>
      </c>
      <c r="Y4512">
        <v>-0.27313399999999999</v>
      </c>
      <c r="Z4512">
        <v>-1.7842439999999999E-3</v>
      </c>
      <c r="AA4512">
        <v>0.96197429999999995</v>
      </c>
      <c r="AB4512">
        <v>25</v>
      </c>
      <c r="AC4512">
        <v>127.83150000000001</v>
      </c>
      <c r="AD4512">
        <v>-0.57259209999999905</v>
      </c>
      <c r="AE4512">
        <v>-21.183104</v>
      </c>
      <c r="AF4512">
        <v>-35.423935065743798</v>
      </c>
      <c r="AG4512">
        <v>-0.57259209999999905</v>
      </c>
      <c r="AH4512">
        <v>124.635891329758</v>
      </c>
      <c r="AI4512">
        <v>90.253193908228496</v>
      </c>
      <c r="AJ4512">
        <v>105.86617687205</v>
      </c>
      <c r="AK4512">
        <v>129.573486658414</v>
      </c>
      <c r="AL4512">
        <v>78.480595047887206</v>
      </c>
      <c r="AM4512">
        <v>92.456999993752703</v>
      </c>
      <c r="AN4512">
        <v>0.99999997909334704</v>
      </c>
    </row>
    <row r="4513" spans="1:40" x14ac:dyDescent="0.25">
      <c r="A4513" t="str">
        <f>"20190303171107763"</f>
        <v>20190303171107763</v>
      </c>
      <c r="B4513" t="str">
        <f>"1551604267755460"</f>
        <v>1551604267755460</v>
      </c>
      <c r="C4513" t="s">
        <v>40</v>
      </c>
      <c r="D4513">
        <v>5.1014910000000002</v>
      </c>
      <c r="E4513">
        <v>0.41047470000000003</v>
      </c>
      <c r="F4513" t="s">
        <v>96</v>
      </c>
      <c r="G4513">
        <v>-279.02</v>
      </c>
      <c r="H4513">
        <v>0.42158060000000003</v>
      </c>
      <c r="I4513">
        <v>-0.39344790000000002</v>
      </c>
      <c r="J4513">
        <v>-406.70890000000003</v>
      </c>
      <c r="K4513">
        <v>1.1268469999999999</v>
      </c>
      <c r="L4513">
        <v>20.462160000000001</v>
      </c>
      <c r="M4513">
        <v>0.90627440000000004</v>
      </c>
      <c r="N4513">
        <v>-1.401753E-2</v>
      </c>
      <c r="O4513">
        <v>-0.42245769999999999</v>
      </c>
      <c r="P4513">
        <v>0.90645739999999997</v>
      </c>
      <c r="Q4513">
        <v>0.18597920000000001</v>
      </c>
      <c r="R4513">
        <v>-0.37914009999999998</v>
      </c>
      <c r="S4513">
        <v>3.1049190000000002</v>
      </c>
      <c r="T4513">
        <v>-1.713216E-2</v>
      </c>
      <c r="U4513">
        <v>-0.50805659999999997</v>
      </c>
      <c r="V4513">
        <v>-4.2008770000000001E-2</v>
      </c>
      <c r="W4513">
        <v>0.19917840000000001</v>
      </c>
      <c r="X4513">
        <v>0.9790624</v>
      </c>
      <c r="Y4513">
        <v>-0.27056229999999998</v>
      </c>
      <c r="Z4513">
        <v>-1.1898519999999999E-3</v>
      </c>
      <c r="AA4513">
        <v>0.96270169999999999</v>
      </c>
      <c r="AB4513">
        <v>25</v>
      </c>
      <c r="AC4513">
        <v>127.6889</v>
      </c>
      <c r="AD4513">
        <v>-0.70526639999999996</v>
      </c>
      <c r="AE4513">
        <v>-20.855607899999999</v>
      </c>
      <c r="AF4513">
        <v>-35.044652358895902</v>
      </c>
      <c r="AG4513">
        <v>-0.70526639999999996</v>
      </c>
      <c r="AH4513">
        <v>124.540311337658</v>
      </c>
      <c r="AI4513">
        <v>90.3123304561135</v>
      </c>
      <c r="AJ4513">
        <v>105.71617931778</v>
      </c>
      <c r="AK4513">
        <v>129.37895581481399</v>
      </c>
      <c r="AL4513">
        <v>78.511081515827598</v>
      </c>
      <c r="AM4513">
        <v>92.456891189819203</v>
      </c>
      <c r="AN4513">
        <v>0.99999997743861602</v>
      </c>
    </row>
    <row r="4514" spans="1:40" x14ac:dyDescent="0.25">
      <c r="A4514" t="str">
        <f>"20190303171107775"</f>
        <v>20190303171107775</v>
      </c>
      <c r="B4514" t="str">
        <f>"1551604267765221"</f>
        <v>1551604267765221</v>
      </c>
      <c r="C4514" t="s">
        <v>40</v>
      </c>
      <c r="D4514">
        <v>5.1017859999999997</v>
      </c>
      <c r="E4514">
        <v>0.41047470000000003</v>
      </c>
      <c r="F4514" t="s">
        <v>96</v>
      </c>
      <c r="G4514">
        <v>-279.02</v>
      </c>
      <c r="H4514">
        <v>0.23387620000000001</v>
      </c>
      <c r="I4514">
        <v>-8.0366129999999994E-2</v>
      </c>
      <c r="J4514">
        <v>-406.58019999999999</v>
      </c>
      <c r="K4514">
        <v>1.126781</v>
      </c>
      <c r="L4514">
        <v>20.407229999999998</v>
      </c>
      <c r="M4514">
        <v>0.90812809999999999</v>
      </c>
      <c r="N4514">
        <v>-1.400274E-2</v>
      </c>
      <c r="O4514">
        <v>-0.41845870000000002</v>
      </c>
      <c r="P4514">
        <v>0.90815170000000001</v>
      </c>
      <c r="Q4514">
        <v>0.18593589999999999</v>
      </c>
      <c r="R4514">
        <v>-0.3750848</v>
      </c>
      <c r="S4514">
        <v>3.1050719999999998</v>
      </c>
      <c r="T4514">
        <v>-2.1714810000000001E-2</v>
      </c>
      <c r="U4514">
        <v>-0.49954219999999999</v>
      </c>
      <c r="V4514">
        <v>-4.2038159999999998E-2</v>
      </c>
      <c r="W4514">
        <v>0.1991269</v>
      </c>
      <c r="X4514">
        <v>0.97907160000000004</v>
      </c>
      <c r="Y4514">
        <v>-0.26889800000000003</v>
      </c>
      <c r="Z4514">
        <v>-3.6966640000000002E-4</v>
      </c>
      <c r="AA4514">
        <v>0.96316860000000004</v>
      </c>
      <c r="AB4514">
        <v>25</v>
      </c>
      <c r="AC4514">
        <v>127.56019999999999</v>
      </c>
      <c r="AD4514">
        <v>-0.89290480000000005</v>
      </c>
      <c r="AE4514">
        <v>-20.48759613</v>
      </c>
      <c r="AF4514">
        <v>-34.775055204239003</v>
      </c>
      <c r="AG4514">
        <v>-0.89290480000000005</v>
      </c>
      <c r="AH4514">
        <v>124.42044571148899</v>
      </c>
      <c r="AI4514">
        <v>90.396000683850602</v>
      </c>
      <c r="AJ4514">
        <v>105.615481616822</v>
      </c>
      <c r="AK4514">
        <v>129.191907852176</v>
      </c>
      <c r="AL4514">
        <v>78.514092402880294</v>
      </c>
      <c r="AM4514">
        <v>92.458584886900695</v>
      </c>
      <c r="AN4514">
        <v>0.999999963563177</v>
      </c>
    </row>
    <row r="4515" spans="1:40" x14ac:dyDescent="0.25">
      <c r="A4515" t="str">
        <f>"20190303171107788"</f>
        <v>20190303171107788</v>
      </c>
      <c r="B4515" t="str">
        <f>"1551604267774981"</f>
        <v>1551604267774981</v>
      </c>
      <c r="C4515" t="s">
        <v>40</v>
      </c>
      <c r="D4515">
        <v>5.1031060000000004</v>
      </c>
      <c r="E4515">
        <v>0.41537590000000002</v>
      </c>
      <c r="F4515" t="s">
        <v>96</v>
      </c>
      <c r="G4515">
        <v>-279.02</v>
      </c>
      <c r="H4515">
        <v>0.2255771</v>
      </c>
      <c r="I4515">
        <v>0.46493909999999999</v>
      </c>
      <c r="J4515">
        <v>-406.44799999999998</v>
      </c>
      <c r="K4515">
        <v>1.1267149999999999</v>
      </c>
      <c r="L4515">
        <v>20.351749999999999</v>
      </c>
      <c r="M4515">
        <v>0.90997720000000004</v>
      </c>
      <c r="N4515">
        <v>-1.398749E-2</v>
      </c>
      <c r="O4515">
        <v>-0.41442250000000003</v>
      </c>
      <c r="P4515">
        <v>0.90968660000000001</v>
      </c>
      <c r="Q4515">
        <v>0.18619179999999999</v>
      </c>
      <c r="R4515">
        <v>-0.37121850000000001</v>
      </c>
      <c r="S4515">
        <v>3.1072690000000001</v>
      </c>
      <c r="T4515">
        <v>-2.1952630000000001E-2</v>
      </c>
      <c r="U4515">
        <v>-0.48577880000000001</v>
      </c>
      <c r="V4515">
        <v>-4.1803970000000003E-2</v>
      </c>
      <c r="W4515">
        <v>0.1993769</v>
      </c>
      <c r="X4515">
        <v>0.97903079999999998</v>
      </c>
      <c r="Y4515">
        <v>-0.26889010000000002</v>
      </c>
      <c r="Z4515">
        <v>-2.9063089999999998E-4</v>
      </c>
      <c r="AA4515">
        <v>0.96317079999999999</v>
      </c>
      <c r="AB4515">
        <v>25</v>
      </c>
      <c r="AC4515">
        <v>127.428</v>
      </c>
      <c r="AD4515">
        <v>-0.90113790000000005</v>
      </c>
      <c r="AE4515">
        <v>-19.8868109</v>
      </c>
      <c r="AF4515">
        <v>-34.714184484292403</v>
      </c>
      <c r="AG4515">
        <v>-0.90113790000000005</v>
      </c>
      <c r="AH4515">
        <v>124.20419416130601</v>
      </c>
      <c r="AI4515">
        <v>90.400348090659804</v>
      </c>
      <c r="AJ4515">
        <v>105.615297967084</v>
      </c>
      <c r="AK4515">
        <v>128.96731563145599</v>
      </c>
      <c r="AL4515">
        <v>78.499475946058695</v>
      </c>
      <c r="AM4515">
        <v>92.445006810680496</v>
      </c>
      <c r="AN4515">
        <v>1.000000013755</v>
      </c>
    </row>
    <row r="4516" spans="1:40" x14ac:dyDescent="0.25">
      <c r="A4516" t="str">
        <f>"20190303171107805"</f>
        <v>20190303171107805</v>
      </c>
      <c r="B4516" t="str">
        <f>"1551604267795477"</f>
        <v>1551604267795477</v>
      </c>
      <c r="C4516" t="s">
        <v>40</v>
      </c>
      <c r="D4516">
        <v>5.109362</v>
      </c>
      <c r="E4516">
        <v>0.41618070000000001</v>
      </c>
      <c r="F4516" t="s">
        <v>42</v>
      </c>
      <c r="G4516">
        <v>-332.6653</v>
      </c>
      <c r="H4516">
        <v>7.9986119999999994E-2</v>
      </c>
      <c r="I4516">
        <v>8.2126000000000001</v>
      </c>
      <c r="J4516">
        <v>-406.27530000000002</v>
      </c>
      <c r="K4516">
        <v>1.1266309999999999</v>
      </c>
      <c r="L4516">
        <v>20.280059999999999</v>
      </c>
      <c r="M4516">
        <v>0.9123348</v>
      </c>
      <c r="N4516">
        <v>-1.3968039999999999E-2</v>
      </c>
      <c r="O4516">
        <v>-0.40920679999999998</v>
      </c>
      <c r="P4516">
        <v>0.91122840000000005</v>
      </c>
      <c r="Q4516">
        <v>0.1874111</v>
      </c>
      <c r="R4516">
        <v>-0.36679679999999998</v>
      </c>
      <c r="S4516">
        <v>3.0987849999999999</v>
      </c>
      <c r="T4516">
        <v>-4.3961409999999999E-2</v>
      </c>
      <c r="U4516">
        <v>-0.50982669999999997</v>
      </c>
      <c r="V4516">
        <v>-4.082115E-2</v>
      </c>
      <c r="W4516">
        <v>0.20059540000000001</v>
      </c>
      <c r="X4516">
        <v>0.97882329999999995</v>
      </c>
      <c r="Y4516">
        <v>-0.25564480000000001</v>
      </c>
      <c r="Z4516">
        <v>3.3288660000000002E-3</v>
      </c>
      <c r="AA4516">
        <v>0.96676499999999999</v>
      </c>
      <c r="AB4516">
        <v>25</v>
      </c>
      <c r="AC4516">
        <v>73.61</v>
      </c>
      <c r="AD4516">
        <v>-1.0466448800000001</v>
      </c>
      <c r="AE4516">
        <v>-12.067460000000001</v>
      </c>
      <c r="AF4516">
        <v>-19.110250146685399</v>
      </c>
      <c r="AG4516">
        <v>-1.0466448800000001</v>
      </c>
      <c r="AH4516">
        <v>72.087889038571404</v>
      </c>
      <c r="AI4516">
        <v>90.804050335949995</v>
      </c>
      <c r="AJ4516">
        <v>104.84739545770201</v>
      </c>
      <c r="AK4516">
        <v>74.585259081209202</v>
      </c>
      <c r="AL4516">
        <v>78.428221054112498</v>
      </c>
      <c r="AM4516">
        <v>92.388097073406001</v>
      </c>
      <c r="AN4516">
        <v>0.99999996670568503</v>
      </c>
    </row>
    <row r="4517" spans="1:40" x14ac:dyDescent="0.25">
      <c r="A4517" t="str">
        <f>"20190303171107818"</f>
        <v>20190303171107818</v>
      </c>
      <c r="B4517" t="str">
        <f>"1551604267814997"</f>
        <v>1551604267814997</v>
      </c>
      <c r="C4517" t="s">
        <v>40</v>
      </c>
      <c r="D4517">
        <v>5.1306520000000004</v>
      </c>
      <c r="E4517">
        <v>0.41724149999999999</v>
      </c>
      <c r="F4517" t="s">
        <v>41</v>
      </c>
      <c r="G4517">
        <v>-306.76569999999998</v>
      </c>
      <c r="H4517">
        <v>-0.05</v>
      </c>
      <c r="I4517">
        <v>4.2047879999999997</v>
      </c>
      <c r="J4517">
        <v>-406.1397</v>
      </c>
      <c r="K4517">
        <v>1.1265579999999999</v>
      </c>
      <c r="L4517">
        <v>20.22437</v>
      </c>
      <c r="M4517">
        <v>0.91414209999999996</v>
      </c>
      <c r="N4517">
        <v>-1.395309E-2</v>
      </c>
      <c r="O4517">
        <v>-0.40515390000000001</v>
      </c>
      <c r="P4517">
        <v>0.91258930000000005</v>
      </c>
      <c r="Q4517">
        <v>0.1877424</v>
      </c>
      <c r="R4517">
        <v>-0.36322719999999997</v>
      </c>
      <c r="S4517">
        <v>3.098328</v>
      </c>
      <c r="T4517">
        <v>-3.6635519999999998E-2</v>
      </c>
      <c r="U4517">
        <v>-0.50051880000000004</v>
      </c>
      <c r="V4517">
        <v>-4.0249430000000003E-2</v>
      </c>
      <c r="W4517">
        <v>0.2009252</v>
      </c>
      <c r="X4517">
        <v>0.97877939999999997</v>
      </c>
      <c r="Y4517">
        <v>-0.25417030000000002</v>
      </c>
      <c r="Z4517">
        <v>2.102975E-3</v>
      </c>
      <c r="AA4517">
        <v>0.96715720000000005</v>
      </c>
      <c r="AB4517">
        <v>25</v>
      </c>
      <c r="AC4517">
        <v>99.373999999999995</v>
      </c>
      <c r="AD4517">
        <v>-1.176558</v>
      </c>
      <c r="AE4517">
        <v>-16.019582</v>
      </c>
      <c r="AF4517">
        <v>-25.616581554338801</v>
      </c>
      <c r="AG4517">
        <v>-1.176558</v>
      </c>
      <c r="AH4517">
        <v>97.3285241990434</v>
      </c>
      <c r="AI4517">
        <v>90.669779443434194</v>
      </c>
      <c r="AJ4517">
        <v>104.745661555586</v>
      </c>
      <c r="AK4517">
        <v>100.650062901228</v>
      </c>
      <c r="AL4517">
        <v>78.408932973505301</v>
      </c>
      <c r="AM4517">
        <v>92.354794023182507</v>
      </c>
      <c r="AN4517">
        <v>1.00000003323736</v>
      </c>
    </row>
    <row r="4518" spans="1:40" x14ac:dyDescent="0.25">
      <c r="A4518" t="str">
        <f>"20190303171107830"</f>
        <v>20190303171107830</v>
      </c>
      <c r="B4518" t="str">
        <f>"1551604267825733"</f>
        <v>1551604267825733</v>
      </c>
      <c r="C4518" t="s">
        <v>40</v>
      </c>
      <c r="D4518">
        <v>5.1358309999999996</v>
      </c>
      <c r="E4518">
        <v>0.41768860000000002</v>
      </c>
      <c r="F4518" t="s">
        <v>41</v>
      </c>
      <c r="G4518">
        <v>-306.09559999999999</v>
      </c>
      <c r="H4518">
        <v>-0.05</v>
      </c>
      <c r="I4518">
        <v>4.205139</v>
      </c>
      <c r="J4518">
        <v>-406.00779999999997</v>
      </c>
      <c r="K4518">
        <v>1.126495</v>
      </c>
      <c r="L4518">
        <v>20.171019999999999</v>
      </c>
      <c r="M4518">
        <v>0.91585320000000003</v>
      </c>
      <c r="N4518">
        <v>-1.3938529999999999E-2</v>
      </c>
      <c r="O4518">
        <v>-0.4012714</v>
      </c>
      <c r="P4518">
        <v>0.91384209999999999</v>
      </c>
      <c r="Q4518">
        <v>0.18794939999999999</v>
      </c>
      <c r="R4518">
        <v>-0.35995539999999998</v>
      </c>
      <c r="S4518">
        <v>3.0974729999999999</v>
      </c>
      <c r="T4518">
        <v>-3.6427500000000002E-2</v>
      </c>
      <c r="U4518">
        <v>-0.49597170000000002</v>
      </c>
      <c r="V4518">
        <v>-3.9554609999999997E-2</v>
      </c>
      <c r="W4518">
        <v>0.20113310000000001</v>
      </c>
      <c r="X4518">
        <v>0.978765</v>
      </c>
      <c r="Y4518">
        <v>-0.25140800000000002</v>
      </c>
      <c r="Z4518">
        <v>2.0562269999999999E-3</v>
      </c>
      <c r="AA4518">
        <v>0.96787900000000004</v>
      </c>
      <c r="AB4518">
        <v>25</v>
      </c>
      <c r="AC4518">
        <v>99.912199999999899</v>
      </c>
      <c r="AD4518">
        <v>-1.1764950000000001</v>
      </c>
      <c r="AE4518">
        <v>-15.965881</v>
      </c>
      <c r="AF4518">
        <v>-25.468534885823299</v>
      </c>
      <c r="AG4518">
        <v>-1.1764950000000001</v>
      </c>
      <c r="AH4518">
        <v>97.9078294932131</v>
      </c>
      <c r="AI4518">
        <v>90.666281769316299</v>
      </c>
      <c r="AJ4518">
        <v>104.581067387356</v>
      </c>
      <c r="AK4518">
        <v>101.172987925569</v>
      </c>
      <c r="AL4518">
        <v>78.396772642286194</v>
      </c>
      <c r="AM4518">
        <v>92.3142221536732</v>
      </c>
      <c r="AN4518">
        <v>1.00000000815643</v>
      </c>
    </row>
    <row r="4519" spans="1:40" x14ac:dyDescent="0.25">
      <c r="A4519" t="str">
        <f>"20190303171107841"</f>
        <v>20190303171107841</v>
      </c>
      <c r="B4519" t="str">
        <f>"1551604267835493"</f>
        <v>1551604267835493</v>
      </c>
      <c r="C4519" t="s">
        <v>40</v>
      </c>
      <c r="D4519">
        <v>5.1435170000000001</v>
      </c>
      <c r="E4519">
        <v>0.41802660000000003</v>
      </c>
      <c r="F4519" t="s">
        <v>42</v>
      </c>
      <c r="G4519">
        <v>-322.38729999999998</v>
      </c>
      <c r="H4519">
        <v>7.9985899999999999E-2</v>
      </c>
      <c r="I4519">
        <v>6.9986879999999996</v>
      </c>
      <c r="J4519">
        <v>-405.90249999999997</v>
      </c>
      <c r="K4519">
        <v>1.1264449999999999</v>
      </c>
      <c r="L4519">
        <v>20.128779999999999</v>
      </c>
      <c r="M4519">
        <v>0.91719589999999995</v>
      </c>
      <c r="N4519">
        <v>-1.392726E-2</v>
      </c>
      <c r="O4519">
        <v>-0.39819320000000002</v>
      </c>
      <c r="P4519">
        <v>0.91500749999999997</v>
      </c>
      <c r="Q4519">
        <v>0.1873399</v>
      </c>
      <c r="R4519">
        <v>-0.35730299999999998</v>
      </c>
      <c r="S4519">
        <v>3.098541</v>
      </c>
      <c r="T4519">
        <v>-3.8778189999999997E-2</v>
      </c>
      <c r="U4519">
        <v>-0.48809809999999998</v>
      </c>
      <c r="V4519">
        <v>-3.9122749999999998E-2</v>
      </c>
      <c r="W4519">
        <v>0.2005239</v>
      </c>
      <c r="X4519">
        <v>0.97890730000000004</v>
      </c>
      <c r="Y4519">
        <v>-0.25060559999999998</v>
      </c>
      <c r="Z4519">
        <v>2.4473350000000001E-3</v>
      </c>
      <c r="AA4519">
        <v>0.96808620000000001</v>
      </c>
      <c r="AB4519">
        <v>25</v>
      </c>
      <c r="AC4519">
        <v>83.515199999999993</v>
      </c>
      <c r="AD4519">
        <v>-1.0464591000000001</v>
      </c>
      <c r="AE4519">
        <v>-13.1300919999999</v>
      </c>
      <c r="AF4519">
        <v>-21.211124636902301</v>
      </c>
      <c r="AG4519">
        <v>-1.0464591000000001</v>
      </c>
      <c r="AH4519">
        <v>81.823508165827903</v>
      </c>
      <c r="AI4519">
        <v>90.7092864130815</v>
      </c>
      <c r="AJ4519">
        <v>104.53289512422801</v>
      </c>
      <c r="AK4519">
        <v>84.534569103849407</v>
      </c>
      <c r="AL4519">
        <v>78.432402623345794</v>
      </c>
      <c r="AM4519">
        <v>92.2886499513518</v>
      </c>
      <c r="AN4519">
        <v>0.99999996301603</v>
      </c>
    </row>
    <row r="4520" spans="1:40" x14ac:dyDescent="0.25">
      <c r="A4520" t="str">
        <f>"20190303171107852"</f>
        <v>20190303171107852</v>
      </c>
      <c r="B4520" t="str">
        <f>"1551604267845253"</f>
        <v>1551604267845253</v>
      </c>
      <c r="C4520" t="s">
        <v>40</v>
      </c>
      <c r="D4520">
        <v>5.138916</v>
      </c>
      <c r="E4520">
        <v>0.41846850000000002</v>
      </c>
      <c r="F4520" t="s">
        <v>42</v>
      </c>
      <c r="G4520">
        <v>-330.04599999999999</v>
      </c>
      <c r="H4520">
        <v>7.9986879999999996E-2</v>
      </c>
      <c r="I4520">
        <v>8.3391869999999901</v>
      </c>
      <c r="J4520">
        <v>-405.78179999999998</v>
      </c>
      <c r="K4520">
        <v>1.1263909999999999</v>
      </c>
      <c r="L4520">
        <v>20.08081</v>
      </c>
      <c r="M4520">
        <v>0.91870819999999997</v>
      </c>
      <c r="N4520">
        <v>-1.3914670000000001E-2</v>
      </c>
      <c r="O4520">
        <v>-0.39469219999999999</v>
      </c>
      <c r="P4520">
        <v>0.91637999999999997</v>
      </c>
      <c r="Q4520">
        <v>0.1869044</v>
      </c>
      <c r="R4520">
        <v>-0.35399809999999998</v>
      </c>
      <c r="S4520">
        <v>3.0993040000000001</v>
      </c>
      <c r="T4520">
        <v>-4.2755599999999998E-2</v>
      </c>
      <c r="U4520">
        <v>-0.48168949999999999</v>
      </c>
      <c r="V4520">
        <v>-3.8924199999999999E-2</v>
      </c>
      <c r="W4520">
        <v>0.20008480000000001</v>
      </c>
      <c r="X4520">
        <v>0.97900509999999996</v>
      </c>
      <c r="Y4520">
        <v>-0.24889839999999999</v>
      </c>
      <c r="Z4520">
        <v>3.0880130000000001E-3</v>
      </c>
      <c r="AA4520">
        <v>0.96852470000000002</v>
      </c>
      <c r="AB4520">
        <v>25</v>
      </c>
      <c r="AC4520">
        <v>75.735799999999898</v>
      </c>
      <c r="AD4520">
        <v>-1.0464041199999901</v>
      </c>
      <c r="AE4520">
        <v>-11.741622999999899</v>
      </c>
      <c r="AF4520">
        <v>-19.1034898938304</v>
      </c>
      <c r="AG4520">
        <v>-1.0464041199999901</v>
      </c>
      <c r="AH4520">
        <v>74.206768392284502</v>
      </c>
      <c r="AI4520">
        <v>90.782379206046002</v>
      </c>
      <c r="AJ4520">
        <v>104.436523455242</v>
      </c>
      <c r="AK4520">
        <v>76.633431105048302</v>
      </c>
      <c r="AL4520">
        <v>78.458082088942007</v>
      </c>
      <c r="AM4520">
        <v>92.276819959044204</v>
      </c>
      <c r="AN4520">
        <v>1.0000000031813401</v>
      </c>
    </row>
    <row r="4521" spans="1:40" x14ac:dyDescent="0.25">
      <c r="A4521" t="str">
        <f>"20190303171107862"</f>
        <v>20190303171107862</v>
      </c>
      <c r="B4521" t="str">
        <f>"1551604267855012"</f>
        <v>1551604267855012</v>
      </c>
      <c r="C4521" t="s">
        <v>40</v>
      </c>
      <c r="D4521">
        <v>5.1413859999999998</v>
      </c>
      <c r="E4521">
        <v>0.4188384</v>
      </c>
      <c r="F4521" t="s">
        <v>42</v>
      </c>
      <c r="G4521">
        <v>-333.91329999999999</v>
      </c>
      <c r="H4521">
        <v>7.9985719999999996E-2</v>
      </c>
      <c r="I4521">
        <v>9.0905950000000004</v>
      </c>
      <c r="J4521">
        <v>-405.67610000000002</v>
      </c>
      <c r="K4521">
        <v>1.126344</v>
      </c>
      <c r="L4521">
        <v>20.039280000000002</v>
      </c>
      <c r="M4521">
        <v>0.92000689999999996</v>
      </c>
      <c r="N4521">
        <v>-1.390401E-2</v>
      </c>
      <c r="O4521">
        <v>-0.3916557</v>
      </c>
      <c r="P4521">
        <v>0.91767350000000003</v>
      </c>
      <c r="Q4521">
        <v>0.18656339999999999</v>
      </c>
      <c r="R4521">
        <v>-0.35081329999999999</v>
      </c>
      <c r="S4521">
        <v>3.0998540000000001</v>
      </c>
      <c r="T4521">
        <v>-4.513383E-2</v>
      </c>
      <c r="U4521">
        <v>-0.47402949999999999</v>
      </c>
      <c r="V4521">
        <v>-3.9091830000000001E-2</v>
      </c>
      <c r="W4521">
        <v>0.19973579999999999</v>
      </c>
      <c r="X4521">
        <v>0.97906970000000004</v>
      </c>
      <c r="Y4521">
        <v>-0.24805959999999999</v>
      </c>
      <c r="Z4521">
        <v>3.4714849999999998E-3</v>
      </c>
      <c r="AA4521">
        <v>0.96873860000000001</v>
      </c>
      <c r="AB4521">
        <v>25</v>
      </c>
      <c r="AC4521">
        <v>71.762799999999999</v>
      </c>
      <c r="AD4521">
        <v>-1.04635828</v>
      </c>
      <c r="AE4521">
        <v>-10.9486849999999</v>
      </c>
      <c r="AF4521">
        <v>-18.031439181107199</v>
      </c>
      <c r="AG4521">
        <v>-1.04635828</v>
      </c>
      <c r="AH4521">
        <v>70.302569789850693</v>
      </c>
      <c r="AI4521">
        <v>90.825975606113403</v>
      </c>
      <c r="AJ4521">
        <v>104.385324554156</v>
      </c>
      <c r="AK4521">
        <v>72.585666516530196</v>
      </c>
      <c r="AL4521">
        <v>78.478490458756497</v>
      </c>
      <c r="AM4521">
        <v>92.286464156901104</v>
      </c>
      <c r="AN4521">
        <v>1.0000000192162299</v>
      </c>
    </row>
    <row r="4522" spans="1:40" x14ac:dyDescent="0.25">
      <c r="A4522" t="str">
        <f>"20190303171107873"</f>
        <v>20190303171107873</v>
      </c>
      <c r="B4522" t="str">
        <f>"1551604267865749"</f>
        <v>1551604267865749</v>
      </c>
      <c r="C4522" t="s">
        <v>40</v>
      </c>
      <c r="D4522">
        <v>5.1563080000000001</v>
      </c>
      <c r="E4522">
        <v>0.4192168</v>
      </c>
      <c r="F4522" t="s">
        <v>42</v>
      </c>
      <c r="G4522">
        <v>-336.14190000000002</v>
      </c>
      <c r="H4522">
        <v>7.9986489999999993E-2</v>
      </c>
      <c r="I4522">
        <v>9.5831289999999996</v>
      </c>
      <c r="J4522">
        <v>-405.55889999999999</v>
      </c>
      <c r="K4522">
        <v>1.126295</v>
      </c>
      <c r="L4522">
        <v>19.99353</v>
      </c>
      <c r="M4522">
        <v>0.92142500000000005</v>
      </c>
      <c r="N4522">
        <v>-1.389262E-2</v>
      </c>
      <c r="O4522">
        <v>-0.38830799999999999</v>
      </c>
      <c r="P4522">
        <v>0.91896069999999996</v>
      </c>
      <c r="Q4522">
        <v>0.1861556</v>
      </c>
      <c r="R4522">
        <v>-0.34764600000000001</v>
      </c>
      <c r="S4522">
        <v>3.100403</v>
      </c>
      <c r="T4522">
        <v>-4.6655179999999997E-2</v>
      </c>
      <c r="U4522">
        <v>-0.46621699999999999</v>
      </c>
      <c r="V4522">
        <v>-3.8911679999999997E-2</v>
      </c>
      <c r="W4522">
        <v>0.19932459999999999</v>
      </c>
      <c r="X4522">
        <v>0.97916069999999999</v>
      </c>
      <c r="Y4522">
        <v>-0.24694650000000001</v>
      </c>
      <c r="Z4522">
        <v>3.7087359999999998E-3</v>
      </c>
      <c r="AA4522">
        <v>0.96902200000000005</v>
      </c>
      <c r="AB4522">
        <v>25</v>
      </c>
      <c r="AC4522">
        <v>69.416999999999902</v>
      </c>
      <c r="AD4522">
        <v>-1.04630851</v>
      </c>
      <c r="AE4522">
        <v>-10.410401</v>
      </c>
      <c r="AF4522">
        <v>-17.360589900929799</v>
      </c>
      <c r="AG4522">
        <v>-1.04630851</v>
      </c>
      <c r="AH4522">
        <v>67.996451839798297</v>
      </c>
      <c r="AI4522">
        <v>90.854183488688506</v>
      </c>
      <c r="AJ4522">
        <v>104.322556771458</v>
      </c>
      <c r="AK4522">
        <v>70.185485009426102</v>
      </c>
      <c r="AL4522">
        <v>78.502534266270402</v>
      </c>
      <c r="AM4522">
        <v>92.275727071890898</v>
      </c>
      <c r="AN4522">
        <v>1.00000004571503</v>
      </c>
    </row>
    <row r="4523" spans="1:40" x14ac:dyDescent="0.25">
      <c r="A4523" t="str">
        <f>"20190303171107885"</f>
        <v>20190303171107885</v>
      </c>
      <c r="B4523" t="str">
        <f>"1551604267875508"</f>
        <v>1551604267875508</v>
      </c>
      <c r="C4523" t="s">
        <v>40</v>
      </c>
      <c r="D4523">
        <v>5.1590699999999998</v>
      </c>
      <c r="E4523">
        <v>0.4192168</v>
      </c>
      <c r="F4523" t="s">
        <v>42</v>
      </c>
      <c r="G4523">
        <v>-335.33620000000002</v>
      </c>
      <c r="H4523">
        <v>3.0641870000000002E-2</v>
      </c>
      <c r="I4523">
        <v>9.6162939999999999</v>
      </c>
      <c r="J4523">
        <v>-405.45060000000001</v>
      </c>
      <c r="K4523">
        <v>1.126252</v>
      </c>
      <c r="L4523">
        <v>19.951840000000001</v>
      </c>
      <c r="M4523">
        <v>0.9227069</v>
      </c>
      <c r="N4523">
        <v>-1.388231E-2</v>
      </c>
      <c r="O4523">
        <v>-0.38525219999999999</v>
      </c>
      <c r="P4523">
        <v>0.92009660000000004</v>
      </c>
      <c r="Q4523">
        <v>0.18590870000000001</v>
      </c>
      <c r="R4523">
        <v>-0.34476099999999998</v>
      </c>
      <c r="S4523">
        <v>3.101013</v>
      </c>
      <c r="T4523">
        <v>-4.8383710000000003E-2</v>
      </c>
      <c r="U4523">
        <v>-0.45825199999999999</v>
      </c>
      <c r="V4523">
        <v>-3.8733469999999999E-2</v>
      </c>
      <c r="W4523">
        <v>0.19907459999999999</v>
      </c>
      <c r="X4523">
        <v>0.97921849999999999</v>
      </c>
      <c r="Y4523">
        <v>-0.246195</v>
      </c>
      <c r="Z4523">
        <v>3.9800529999999999E-3</v>
      </c>
      <c r="AA4523">
        <v>0.96921219999999997</v>
      </c>
      <c r="AB4523">
        <v>25</v>
      </c>
      <c r="AC4523">
        <v>70.114399999999904</v>
      </c>
      <c r="AD4523">
        <v>-1.0956101300000001</v>
      </c>
      <c r="AE4523">
        <v>-10.335546000000001</v>
      </c>
      <c r="AF4523">
        <v>-17.472555780993599</v>
      </c>
      <c r="AG4523">
        <v>-1.0956101300000001</v>
      </c>
      <c r="AH4523">
        <v>68.667041076177995</v>
      </c>
      <c r="AI4523">
        <v>90.885875357883194</v>
      </c>
      <c r="AJ4523">
        <v>104.276137308689</v>
      </c>
      <c r="AK4523">
        <v>70.863623229654294</v>
      </c>
      <c r="AL4523">
        <v>78.517149736391801</v>
      </c>
      <c r="AM4523">
        <v>92.265181871643605</v>
      </c>
      <c r="AN4523">
        <v>0.99999992440282204</v>
      </c>
    </row>
    <row r="4524" spans="1:40" x14ac:dyDescent="0.25">
      <c r="A4524" t="str">
        <f>"20190303171107895"</f>
        <v>20190303171107895</v>
      </c>
      <c r="B4524" t="str">
        <f>"1551604267885269"</f>
        <v>1551604267885269</v>
      </c>
      <c r="C4524" t="s">
        <v>40</v>
      </c>
      <c r="D4524">
        <v>5.1993869999999998</v>
      </c>
      <c r="E4524">
        <v>0.42395899999999997</v>
      </c>
      <c r="F4524" t="s">
        <v>42</v>
      </c>
      <c r="G4524">
        <v>-333.8399</v>
      </c>
      <c r="H4524">
        <v>8.1048969999999998E-3</v>
      </c>
      <c r="I4524">
        <v>9.6163059999999998</v>
      </c>
      <c r="J4524">
        <v>-405.34469999999999</v>
      </c>
      <c r="K4524">
        <v>1.1262099999999999</v>
      </c>
      <c r="L4524">
        <v>19.911190000000001</v>
      </c>
      <c r="M4524">
        <v>0.92394659999999995</v>
      </c>
      <c r="N4524">
        <v>-1.3872519999999999E-2</v>
      </c>
      <c r="O4524">
        <v>-0.3822699</v>
      </c>
      <c r="P4524">
        <v>0.92099370000000003</v>
      </c>
      <c r="Q4524">
        <v>0.1859345</v>
      </c>
      <c r="R4524">
        <v>-0.34234360000000003</v>
      </c>
      <c r="S4524">
        <v>3.1025390000000002</v>
      </c>
      <c r="T4524">
        <v>-4.844379E-2</v>
      </c>
      <c r="U4524">
        <v>-0.44778440000000003</v>
      </c>
      <c r="V4524">
        <v>-3.8118760000000002E-2</v>
      </c>
      <c r="W4524">
        <v>0.19910169999999999</v>
      </c>
      <c r="X4524">
        <v>0.97923720000000003</v>
      </c>
      <c r="Y4524">
        <v>-0.246335</v>
      </c>
      <c r="Z4524">
        <v>3.9941179999999996E-3</v>
      </c>
      <c r="AA4524">
        <v>0.9691765</v>
      </c>
      <c r="AB4524">
        <v>25</v>
      </c>
      <c r="AC4524">
        <v>71.504799999999904</v>
      </c>
      <c r="AD4524">
        <v>-1.118105103</v>
      </c>
      <c r="AE4524">
        <v>-10.2948839999999</v>
      </c>
      <c r="AF4524">
        <v>-17.819655871005601</v>
      </c>
      <c r="AG4524">
        <v>-1.118105103</v>
      </c>
      <c r="AH4524">
        <v>69.992010289214505</v>
      </c>
      <c r="AI4524">
        <v>90.886919549164702</v>
      </c>
      <c r="AJ4524">
        <v>104.28379247000299</v>
      </c>
      <c r="AK4524">
        <v>72.233453459653504</v>
      </c>
      <c r="AL4524">
        <v>78.515566303115605</v>
      </c>
      <c r="AM4524">
        <v>92.229226893792898</v>
      </c>
      <c r="AN4524">
        <v>1.0000000103353299</v>
      </c>
    </row>
    <row r="4525" spans="1:40" x14ac:dyDescent="0.25">
      <c r="A4525" t="str">
        <f>"20190303171107905"</f>
        <v>20190303171107905</v>
      </c>
      <c r="B4525" t="str">
        <f>"1551604267896006"</f>
        <v>1551604267896006</v>
      </c>
      <c r="C4525" t="s">
        <v>40</v>
      </c>
      <c r="D4525">
        <v>5.1520710000000003</v>
      </c>
      <c r="E4525">
        <v>0.42470659999999999</v>
      </c>
      <c r="F4525" t="s">
        <v>42</v>
      </c>
      <c r="G4525">
        <v>-333.43729999999999</v>
      </c>
      <c r="H4525">
        <v>7.9985860000000006E-2</v>
      </c>
      <c r="I4525">
        <v>8.86575899999999</v>
      </c>
      <c r="J4525">
        <v>-405.23050000000001</v>
      </c>
      <c r="K4525">
        <v>1.126166</v>
      </c>
      <c r="L4525">
        <v>19.868069999999999</v>
      </c>
      <c r="M4525">
        <v>0.92525429999999997</v>
      </c>
      <c r="N4525">
        <v>-1.3862090000000001E-2</v>
      </c>
      <c r="O4525">
        <v>-0.37909389999999998</v>
      </c>
      <c r="P4525">
        <v>0.92183669999999995</v>
      </c>
      <c r="Q4525">
        <v>0.1860251</v>
      </c>
      <c r="R4525">
        <v>-0.34001759999999998</v>
      </c>
      <c r="S4525">
        <v>3.0899960000000002</v>
      </c>
      <c r="T4525">
        <v>-4.4958230000000002E-2</v>
      </c>
      <c r="U4525">
        <v>-0.4746399</v>
      </c>
      <c r="V4525">
        <v>-3.7198160000000001E-2</v>
      </c>
      <c r="W4525">
        <v>0.1991966</v>
      </c>
      <c r="X4525">
        <v>0.97925329999999999</v>
      </c>
      <c r="Y4525">
        <v>-0.2341993</v>
      </c>
      <c r="Z4525">
        <v>3.299827E-3</v>
      </c>
      <c r="AA4525">
        <v>0.97218300000000002</v>
      </c>
      <c r="AB4525">
        <v>25</v>
      </c>
      <c r="AC4525">
        <v>71.793199999999999</v>
      </c>
      <c r="AD4525">
        <v>-1.0461801399999999</v>
      </c>
      <c r="AE4525">
        <v>-11.002311000000001</v>
      </c>
      <c r="AF4525">
        <v>-17.034532637704999</v>
      </c>
      <c r="AG4525">
        <v>-1.0461801399999999</v>
      </c>
      <c r="AH4525">
        <v>70.590019171795802</v>
      </c>
      <c r="AI4525">
        <v>90.825400979970496</v>
      </c>
      <c r="AJ4525">
        <v>103.567030847033</v>
      </c>
      <c r="AK4525">
        <v>72.623829434593105</v>
      </c>
      <c r="AL4525">
        <v>78.510017754395307</v>
      </c>
      <c r="AM4525">
        <v>92.175405830136896</v>
      </c>
      <c r="AN4525">
        <v>1.00000000705991</v>
      </c>
    </row>
    <row r="4526" spans="1:40" x14ac:dyDescent="0.25">
      <c r="A4526" t="str">
        <f>"20190303171107917"</f>
        <v>20190303171107917</v>
      </c>
      <c r="B4526" t="str">
        <f>"1551604267905765"</f>
        <v>1551604267905765</v>
      </c>
      <c r="C4526" t="s">
        <v>40</v>
      </c>
      <c r="D4526">
        <v>5.1673479999999996</v>
      </c>
      <c r="E4526">
        <v>0.4254773</v>
      </c>
      <c r="F4526" t="s">
        <v>42</v>
      </c>
      <c r="G4526">
        <v>-340.2439</v>
      </c>
      <c r="H4526" s="1">
        <v>-5.8832730000000004E-6</v>
      </c>
      <c r="I4526">
        <v>9.9443260000000002</v>
      </c>
      <c r="J4526">
        <v>-405.11340000000001</v>
      </c>
      <c r="K4526">
        <v>1.126125</v>
      </c>
      <c r="L4526">
        <v>19.824010000000001</v>
      </c>
      <c r="M4526">
        <v>0.92657970000000001</v>
      </c>
      <c r="N4526">
        <v>-1.385173E-2</v>
      </c>
      <c r="O4526">
        <v>-0.3758435</v>
      </c>
      <c r="P4526">
        <v>0.9227725</v>
      </c>
      <c r="Q4526">
        <v>0.18617249999999999</v>
      </c>
      <c r="R4526">
        <v>-0.33738849999999998</v>
      </c>
      <c r="S4526">
        <v>3.0910639999999998</v>
      </c>
      <c r="T4526">
        <v>-5.3565979999999999E-2</v>
      </c>
      <c r="U4526">
        <v>-0.47201539999999997</v>
      </c>
      <c r="V4526">
        <v>-3.6520410000000003E-2</v>
      </c>
      <c r="W4526">
        <v>0.19934560000000001</v>
      </c>
      <c r="X4526">
        <v>0.97924849999999997</v>
      </c>
      <c r="Y4526">
        <v>-0.23162759999999999</v>
      </c>
      <c r="Z4526">
        <v>4.602788E-3</v>
      </c>
      <c r="AA4526">
        <v>0.97279360000000004</v>
      </c>
      <c r="AB4526">
        <v>25</v>
      </c>
      <c r="AC4526">
        <v>64.869500000000002</v>
      </c>
      <c r="AD4526">
        <v>-1.1261308832729999</v>
      </c>
      <c r="AE4526">
        <v>-9.8796839999999992</v>
      </c>
      <c r="AF4526">
        <v>-15.223441281186799</v>
      </c>
      <c r="AG4526">
        <v>-1.1261308832729999</v>
      </c>
      <c r="AH4526">
        <v>63.807302092632703</v>
      </c>
      <c r="AI4526">
        <v>90.983505660824704</v>
      </c>
      <c r="AJ4526">
        <v>103.41903038223199</v>
      </c>
      <c r="AK4526">
        <v>65.607874036189401</v>
      </c>
      <c r="AL4526">
        <v>78.501306075107806</v>
      </c>
      <c r="AM4526">
        <v>92.135817470756606</v>
      </c>
      <c r="AN4526">
        <v>1.0000000166690799</v>
      </c>
    </row>
    <row r="4527" spans="1:40" x14ac:dyDescent="0.25">
      <c r="A4527" t="str">
        <f>"20190303171107929"</f>
        <v>20190303171107929</v>
      </c>
      <c r="B4527" t="str">
        <f>"1551604267915525"</f>
        <v>1551604267915525</v>
      </c>
      <c r="C4527" t="s">
        <v>40</v>
      </c>
      <c r="D4527">
        <v>5.1877129999999996</v>
      </c>
      <c r="E4527">
        <v>0.42588320000000002</v>
      </c>
      <c r="F4527" t="s">
        <v>42</v>
      </c>
      <c r="G4527">
        <v>-343.3048</v>
      </c>
      <c r="H4527" s="1">
        <v>-4.7029719999999998E-6</v>
      </c>
      <c r="I4527">
        <v>10.451460000000001</v>
      </c>
      <c r="J4527">
        <v>-404.99009999999998</v>
      </c>
      <c r="K4527">
        <v>1.1260829999999999</v>
      </c>
      <c r="L4527">
        <v>19.778379999999999</v>
      </c>
      <c r="M4527">
        <v>0.92794469999999996</v>
      </c>
      <c r="N4527">
        <v>-1.3841239999999999E-2</v>
      </c>
      <c r="O4527">
        <v>-0.37246099999999999</v>
      </c>
      <c r="P4527">
        <v>0.92375629999999997</v>
      </c>
      <c r="Q4527">
        <v>0.18616630000000001</v>
      </c>
      <c r="R4527">
        <v>-0.33468880000000001</v>
      </c>
      <c r="S4527">
        <v>3.0910639999999998</v>
      </c>
      <c r="T4527">
        <v>-5.631804E-2</v>
      </c>
      <c r="U4527">
        <v>-0.46871950000000001</v>
      </c>
      <c r="V4527">
        <v>-3.5790139999999998E-2</v>
      </c>
      <c r="W4527">
        <v>0.1993414</v>
      </c>
      <c r="X4527">
        <v>0.97927629999999999</v>
      </c>
      <c r="Y4527">
        <v>-0.2290867</v>
      </c>
      <c r="Z4527">
        <v>4.9853359999999999E-3</v>
      </c>
      <c r="AA4527">
        <v>0.97339330000000002</v>
      </c>
      <c r="AB4527">
        <v>25</v>
      </c>
      <c r="AC4527">
        <v>61.685299999999899</v>
      </c>
      <c r="AD4527">
        <v>-1.126087702972</v>
      </c>
      <c r="AE4527">
        <v>-9.3269199999999906</v>
      </c>
      <c r="AF4527">
        <v>-14.317208791499199</v>
      </c>
      <c r="AG4527">
        <v>-1.126087702972</v>
      </c>
      <c r="AH4527">
        <v>60.700496679033002</v>
      </c>
      <c r="AI4527">
        <v>91.034424841203901</v>
      </c>
      <c r="AJ4527">
        <v>103.271586252915</v>
      </c>
      <c r="AK4527">
        <v>62.3762842607305</v>
      </c>
      <c r="AL4527">
        <v>78.501551449549694</v>
      </c>
      <c r="AM4527">
        <v>92.093088211723</v>
      </c>
      <c r="AN4527">
        <v>0.99999999980843401</v>
      </c>
    </row>
    <row r="4528" spans="1:40" x14ac:dyDescent="0.25">
      <c r="A4528" t="str">
        <f>"20190303171107940"</f>
        <v>20190303171107940</v>
      </c>
      <c r="B4528" t="str">
        <f>"1551604267935045"</f>
        <v>1551604267935045</v>
      </c>
      <c r="C4528" t="s">
        <v>40</v>
      </c>
      <c r="D4528">
        <v>5.1982489999999997</v>
      </c>
      <c r="E4528">
        <v>0.4159774</v>
      </c>
      <c r="F4528" t="s">
        <v>42</v>
      </c>
      <c r="G4528">
        <v>-342.72390000000001</v>
      </c>
      <c r="H4528" s="1">
        <v>-4.899067E-6</v>
      </c>
      <c r="I4528">
        <v>10.45749</v>
      </c>
      <c r="J4528">
        <v>-404.87329999999997</v>
      </c>
      <c r="K4528">
        <v>1.126045</v>
      </c>
      <c r="L4528">
        <v>19.735379999999999</v>
      </c>
      <c r="M4528">
        <v>0.92922170000000004</v>
      </c>
      <c r="N4528">
        <v>-1.3831690000000001E-2</v>
      </c>
      <c r="O4528">
        <v>-0.36926350000000002</v>
      </c>
      <c r="P4528">
        <v>0.92479120000000004</v>
      </c>
      <c r="Q4528">
        <v>0.18580199999999999</v>
      </c>
      <c r="R4528">
        <v>-0.33202219999999999</v>
      </c>
      <c r="S4528">
        <v>3.0912480000000002</v>
      </c>
      <c r="T4528">
        <v>-5.5905339999999998E-2</v>
      </c>
      <c r="U4528">
        <v>-0.46273799999999998</v>
      </c>
      <c r="V4528">
        <v>-3.5246909999999999E-2</v>
      </c>
      <c r="W4528">
        <v>0.19897790000000001</v>
      </c>
      <c r="X4528">
        <v>0.97936990000000002</v>
      </c>
      <c r="Y4528">
        <v>-0.22758610000000001</v>
      </c>
      <c r="Z4528">
        <v>4.8951610000000003E-3</v>
      </c>
      <c r="AA4528">
        <v>0.97374559999999999</v>
      </c>
      <c r="AB4528">
        <v>25</v>
      </c>
      <c r="AC4528">
        <v>62.149399999999901</v>
      </c>
      <c r="AD4528">
        <v>-1.126049899067</v>
      </c>
      <c r="AE4528">
        <v>-9.2778899999999993</v>
      </c>
      <c r="AF4528">
        <v>-14.3250602957482</v>
      </c>
      <c r="AG4528">
        <v>-1.126049899067</v>
      </c>
      <c r="AH4528">
        <v>61.162775075992101</v>
      </c>
      <c r="AI4528">
        <v>91.026951970097898</v>
      </c>
      <c r="AJ4528">
        <v>103.181761409248</v>
      </c>
      <c r="AK4528">
        <v>62.828022377346898</v>
      </c>
      <c r="AL4528">
        <v>78.522803934693499</v>
      </c>
      <c r="AM4528">
        <v>92.061149676057497</v>
      </c>
      <c r="AN4528">
        <v>0.99999997518948303</v>
      </c>
    </row>
    <row r="4529" spans="1:40" x14ac:dyDescent="0.25">
      <c r="A4529" t="str">
        <f>"20190303171107951"</f>
        <v>20190303171107951</v>
      </c>
      <c r="B4529" t="str">
        <f>"1551604267945782"</f>
        <v>1551604267945782</v>
      </c>
      <c r="C4529" t="s">
        <v>40</v>
      </c>
      <c r="D4529">
        <v>5.2011339999999997</v>
      </c>
      <c r="E4529">
        <v>0.41603580000000001</v>
      </c>
      <c r="F4529" t="s">
        <v>42</v>
      </c>
      <c r="G4529">
        <v>-332.06560000000002</v>
      </c>
      <c r="H4529" s="1">
        <v>-5.0085539999999998E-6</v>
      </c>
      <c r="I4529">
        <v>10.887969999999999</v>
      </c>
      <c r="J4529">
        <v>-404.7441</v>
      </c>
      <c r="K4529">
        <v>1.1260129999999999</v>
      </c>
      <c r="L4529">
        <v>19.688420000000001</v>
      </c>
      <c r="M4529">
        <v>0.93061020000000005</v>
      </c>
      <c r="N4529">
        <v>-1.382162E-2</v>
      </c>
      <c r="O4529">
        <v>-0.36575069999999998</v>
      </c>
      <c r="P4529">
        <v>0.92608679999999999</v>
      </c>
      <c r="Q4529">
        <v>0.1850542</v>
      </c>
      <c r="R4529">
        <v>-0.32881379999999999</v>
      </c>
      <c r="S4529">
        <v>3.117645</v>
      </c>
      <c r="T4529">
        <v>-4.821777E-2</v>
      </c>
      <c r="U4529">
        <v>-0.37884519999999999</v>
      </c>
      <c r="V4529">
        <v>-3.4971200000000001E-2</v>
      </c>
      <c r="W4529">
        <v>0.1982283</v>
      </c>
      <c r="X4529">
        <v>0.97953179999999995</v>
      </c>
      <c r="Y4529">
        <v>-0.25079059999999997</v>
      </c>
      <c r="Z4529">
        <v>4.0199299999999997E-3</v>
      </c>
      <c r="AA4529">
        <v>0.96803300000000003</v>
      </c>
      <c r="AB4529">
        <v>25</v>
      </c>
      <c r="AC4529">
        <v>72.6784999999999</v>
      </c>
      <c r="AD4529">
        <v>-1.1260180085539999</v>
      </c>
      <c r="AE4529">
        <v>-8.8004499999999997</v>
      </c>
      <c r="AF4529">
        <v>-18.389830731051799</v>
      </c>
      <c r="AG4529">
        <v>-1.1260180085539999</v>
      </c>
      <c r="AH4529">
        <v>70.844135075452598</v>
      </c>
      <c r="AI4529">
        <v>90.881393311803194</v>
      </c>
      <c r="AJ4529">
        <v>104.55175686269899</v>
      </c>
      <c r="AK4529">
        <v>73.2007190228436</v>
      </c>
      <c r="AL4529">
        <v>78.566626019626298</v>
      </c>
      <c r="AM4529">
        <v>92.044702876393998</v>
      </c>
      <c r="AN4529">
        <v>0.999999995480784</v>
      </c>
    </row>
    <row r="4530" spans="1:40" x14ac:dyDescent="0.25">
      <c r="A4530" t="str">
        <f>"20190303171107963"</f>
        <v>20190303171107963</v>
      </c>
      <c r="B4530" t="str">
        <f>"1551604267955540"</f>
        <v>1551604267955540</v>
      </c>
      <c r="C4530" t="s">
        <v>40</v>
      </c>
      <c r="D4530">
        <v>5.1796600000000002</v>
      </c>
      <c r="E4530">
        <v>0.41627259999999999</v>
      </c>
      <c r="F4530" t="s">
        <v>42</v>
      </c>
      <c r="G4530">
        <v>-325.9119</v>
      </c>
      <c r="H4530" s="1">
        <v>-4.012089E-6</v>
      </c>
      <c r="I4530">
        <v>10.37833</v>
      </c>
      <c r="J4530">
        <v>-404.63319999999999</v>
      </c>
      <c r="K4530">
        <v>1.125982</v>
      </c>
      <c r="L4530">
        <v>19.64856</v>
      </c>
      <c r="M4530">
        <v>0.93178360000000005</v>
      </c>
      <c r="N4530">
        <v>-1.381348E-2</v>
      </c>
      <c r="O4530">
        <v>-0.3627515</v>
      </c>
      <c r="P4530">
        <v>0.92713219999999996</v>
      </c>
      <c r="Q4530">
        <v>0.18424219999999999</v>
      </c>
      <c r="R4530">
        <v>-0.32631389999999999</v>
      </c>
      <c r="S4530">
        <v>3.117645</v>
      </c>
      <c r="T4530">
        <v>-4.4531580000000001E-2</v>
      </c>
      <c r="U4530">
        <v>-0.36819459999999998</v>
      </c>
      <c r="V4530">
        <v>-3.449352E-2</v>
      </c>
      <c r="W4530">
        <v>0.1974187</v>
      </c>
      <c r="X4530">
        <v>0.97971220000000003</v>
      </c>
      <c r="Y4530">
        <v>-0.25093919999999997</v>
      </c>
      <c r="Z4530">
        <v>3.46138E-3</v>
      </c>
      <c r="AA4530">
        <v>0.96799669999999904</v>
      </c>
      <c r="AB4530">
        <v>25</v>
      </c>
      <c r="AC4530">
        <v>78.7212999999999</v>
      </c>
      <c r="AD4530">
        <v>-1.125986012089</v>
      </c>
      <c r="AE4530">
        <v>-9.2702299999999997</v>
      </c>
      <c r="AF4530">
        <v>-19.916301672536999</v>
      </c>
      <c r="AG4530">
        <v>-1.125986012089</v>
      </c>
      <c r="AH4530">
        <v>76.705842306451999</v>
      </c>
      <c r="AI4530">
        <v>90.814012712106305</v>
      </c>
      <c r="AJ4530">
        <v>104.555171740273</v>
      </c>
      <c r="AK4530">
        <v>79.257259356813506</v>
      </c>
      <c r="AL4530">
        <v>78.613947586150005</v>
      </c>
      <c r="AM4530">
        <v>92.016425955744495</v>
      </c>
      <c r="AN4530">
        <v>0.99999997043025901</v>
      </c>
    </row>
    <row r="4531" spans="1:40" x14ac:dyDescent="0.25">
      <c r="A4531" t="str">
        <f>"20190303171107976"</f>
        <v>20190303171107976</v>
      </c>
      <c r="B4531" t="str">
        <f>"1551604267965300"</f>
        <v>1551604267965300</v>
      </c>
      <c r="C4531" t="s">
        <v>40</v>
      </c>
      <c r="D4531">
        <v>5.1752549999999999</v>
      </c>
      <c r="E4531">
        <v>0.4166415</v>
      </c>
      <c r="F4531" t="s">
        <v>42</v>
      </c>
      <c r="G4531">
        <v>-334.81760000000003</v>
      </c>
      <c r="H4531" s="1">
        <v>-3.8939059999999998E-6</v>
      </c>
      <c r="I4531">
        <v>11.557410000000001</v>
      </c>
      <c r="J4531">
        <v>-404.49419999999998</v>
      </c>
      <c r="K4531">
        <v>1.1259479999999999</v>
      </c>
      <c r="L4531">
        <v>19.598970000000001</v>
      </c>
      <c r="M4531">
        <v>0.93323480000000003</v>
      </c>
      <c r="N4531">
        <v>-1.380373E-2</v>
      </c>
      <c r="O4531">
        <v>-0.35900189999999998</v>
      </c>
      <c r="P4531">
        <v>0.92836229999999997</v>
      </c>
      <c r="Q4531">
        <v>0.1838593</v>
      </c>
      <c r="R4531">
        <v>-0.32301580000000002</v>
      </c>
      <c r="S4531">
        <v>3.1185909999999999</v>
      </c>
      <c r="T4531">
        <v>-5.029666E-2</v>
      </c>
      <c r="U4531">
        <v>-0.36141970000000001</v>
      </c>
      <c r="V4531">
        <v>-3.4043049999999998E-2</v>
      </c>
      <c r="W4531">
        <v>0.19703490000000001</v>
      </c>
      <c r="X4531">
        <v>0.97980520000000004</v>
      </c>
      <c r="Y4531">
        <v>-0.24914510000000001</v>
      </c>
      <c r="Z4531">
        <v>4.3186750000000001E-3</v>
      </c>
      <c r="AA4531">
        <v>0.96845650000000005</v>
      </c>
      <c r="AB4531">
        <v>25</v>
      </c>
      <c r="AC4531">
        <v>69.676599999999894</v>
      </c>
      <c r="AD4531">
        <v>-1.125951893906</v>
      </c>
      <c r="AE4531">
        <v>-8.0415600000000005</v>
      </c>
      <c r="AF4531">
        <v>-17.506524181147299</v>
      </c>
      <c r="AG4531">
        <v>-1.125951893906</v>
      </c>
      <c r="AH4531">
        <v>67.900532621908397</v>
      </c>
      <c r="AI4531">
        <v>90.919934226833007</v>
      </c>
      <c r="AJ4531">
        <v>104.457481836073</v>
      </c>
      <c r="AK4531">
        <v>70.130082610184701</v>
      </c>
      <c r="AL4531">
        <v>78.6363781218041</v>
      </c>
      <c r="AM4531">
        <v>91.989924902929403</v>
      </c>
      <c r="AN4531">
        <v>0.99999995550917498</v>
      </c>
    </row>
    <row r="4532" spans="1:40" x14ac:dyDescent="0.25">
      <c r="A4532" t="str">
        <f>"20190303171107989"</f>
        <v>20190303171107989</v>
      </c>
      <c r="B4532" t="str">
        <f>"1551604267975061"</f>
        <v>1551604267975061</v>
      </c>
      <c r="C4532" t="s">
        <v>40</v>
      </c>
      <c r="D4532">
        <v>5.2597909999999999</v>
      </c>
      <c r="E4532">
        <v>0.41677599999999998</v>
      </c>
      <c r="F4532" t="s">
        <v>42</v>
      </c>
      <c r="G4532">
        <v>-338.8245</v>
      </c>
      <c r="H4532" s="1">
        <v>-2.3682419999999999E-6</v>
      </c>
      <c r="I4532">
        <v>12.166689999999999</v>
      </c>
      <c r="J4532">
        <v>-404.35890000000001</v>
      </c>
      <c r="K4532">
        <v>1.1259170000000001</v>
      </c>
      <c r="L4532">
        <v>19.55161</v>
      </c>
      <c r="M4532">
        <v>0.93461959999999999</v>
      </c>
      <c r="N4532">
        <v>-1.379478E-2</v>
      </c>
      <c r="O4532">
        <v>-0.35538160000000002</v>
      </c>
      <c r="P4532">
        <v>0.92943319999999996</v>
      </c>
      <c r="Q4532">
        <v>0.18367939999999999</v>
      </c>
      <c r="R4532">
        <v>-0.32002599999999998</v>
      </c>
      <c r="S4532">
        <v>3.1192929999999999</v>
      </c>
      <c r="T4532">
        <v>-5.3482290000000002E-2</v>
      </c>
      <c r="U4532">
        <v>-0.35302729999999999</v>
      </c>
      <c r="V4532">
        <v>-3.3394849999999997E-2</v>
      </c>
      <c r="W4532">
        <v>0.19685630000000001</v>
      </c>
      <c r="X4532">
        <v>0.9798635</v>
      </c>
      <c r="Y4532">
        <v>-0.24798129999999999</v>
      </c>
      <c r="Z4532">
        <v>4.7816719999999998E-3</v>
      </c>
      <c r="AA4532">
        <v>0.96875299999999998</v>
      </c>
      <c r="AB4532">
        <v>25</v>
      </c>
      <c r="AC4532">
        <v>65.534400000000005</v>
      </c>
      <c r="AD4532">
        <v>-1.1259193682419999</v>
      </c>
      <c r="AE4532">
        <v>-7.3849200000000002</v>
      </c>
      <c r="AF4532">
        <v>-16.384411409342299</v>
      </c>
      <c r="AG4532">
        <v>-1.1259193682419999</v>
      </c>
      <c r="AH4532">
        <v>63.861658362018098</v>
      </c>
      <c r="AI4532">
        <v>90.978373903529999</v>
      </c>
      <c r="AJ4532">
        <v>104.389498853763</v>
      </c>
      <c r="AK4532">
        <v>65.939578709614807</v>
      </c>
      <c r="AL4532">
        <v>78.646816644643906</v>
      </c>
      <c r="AM4532">
        <v>91.951949087943802</v>
      </c>
      <c r="AN4532">
        <v>1.00000004874423</v>
      </c>
    </row>
    <row r="4533" spans="1:40" x14ac:dyDescent="0.25">
      <c r="A4533" t="str">
        <f>"20190303171108008"</f>
        <v>20190303171108008</v>
      </c>
      <c r="B4533" t="str">
        <f>"1551604267995556"</f>
        <v>1551604267995556</v>
      </c>
      <c r="C4533" t="s">
        <v>40</v>
      </c>
      <c r="D4533">
        <v>5.2244859999999997</v>
      </c>
      <c r="E4533">
        <v>0.41735159999999999</v>
      </c>
      <c r="F4533" t="s">
        <v>42</v>
      </c>
      <c r="G4533">
        <v>-341.95679999999999</v>
      </c>
      <c r="H4533" s="1">
        <v>-4.6646409999999998E-6</v>
      </c>
      <c r="I4533">
        <v>12.67179</v>
      </c>
      <c r="J4533">
        <v>-404.16550000000001</v>
      </c>
      <c r="K4533">
        <v>1.1258809999999999</v>
      </c>
      <c r="L4533">
        <v>19.484590000000001</v>
      </c>
      <c r="M4533">
        <v>0.93656589999999995</v>
      </c>
      <c r="N4533">
        <v>-1.378273E-2</v>
      </c>
      <c r="O4533">
        <v>-0.3502208</v>
      </c>
      <c r="P4533">
        <v>0.93065359999999997</v>
      </c>
      <c r="Q4533">
        <v>0.1845445</v>
      </c>
      <c r="R4533">
        <v>-0.31595489999999998</v>
      </c>
      <c r="S4533">
        <v>3.1204529999999999</v>
      </c>
      <c r="T4533">
        <v>-5.6302310000000001E-2</v>
      </c>
      <c r="U4533">
        <v>-0.34402470000000002</v>
      </c>
      <c r="V4533">
        <v>-3.2207909999999999E-2</v>
      </c>
      <c r="W4533">
        <v>0.1977235</v>
      </c>
      <c r="X4533">
        <v>0.97972859999999995</v>
      </c>
      <c r="Y4533">
        <v>-0.2454317</v>
      </c>
      <c r="Z4533">
        <v>5.1557390000000003E-3</v>
      </c>
      <c r="AA4533">
        <v>0.96940020000000005</v>
      </c>
      <c r="AB4533">
        <v>25</v>
      </c>
      <c r="AC4533">
        <v>62.2087</v>
      </c>
      <c r="AD4533">
        <v>-1.12588566464099</v>
      </c>
      <c r="AE4533">
        <v>-6.8128000000000002</v>
      </c>
      <c r="AF4533">
        <v>-15.402620609525499</v>
      </c>
      <c r="AG4533">
        <v>-1.12588566464099</v>
      </c>
      <c r="AH4533">
        <v>60.634658992905599</v>
      </c>
      <c r="AI4533">
        <v>91.031028293001597</v>
      </c>
      <c r="AJ4533">
        <v>104.25299940287</v>
      </c>
      <c r="AK4533">
        <v>62.570521904142502</v>
      </c>
      <c r="AL4533">
        <v>78.596133371921297</v>
      </c>
      <c r="AM4533">
        <v>91.882881607667898</v>
      </c>
      <c r="AN4533">
        <v>1.0000000307883801</v>
      </c>
    </row>
    <row r="4534" spans="1:40" x14ac:dyDescent="0.25">
      <c r="A4534" t="str">
        <f>"20190303171108019"</f>
        <v>20190303171108019</v>
      </c>
      <c r="B4534" t="str">
        <f>"1551604268005317"</f>
        <v>1551604268005317</v>
      </c>
      <c r="C4534" t="s">
        <v>40</v>
      </c>
      <c r="D4534">
        <v>5.21007</v>
      </c>
      <c r="E4534">
        <v>0.41765849999999999</v>
      </c>
      <c r="F4534" t="s">
        <v>42</v>
      </c>
      <c r="G4534">
        <v>-337.41449999999998</v>
      </c>
      <c r="H4534" s="1">
        <v>-2.8031310000000001E-6</v>
      </c>
      <c r="I4534">
        <v>12.335599999999999</v>
      </c>
      <c r="J4534">
        <v>-404.04020000000003</v>
      </c>
      <c r="K4534">
        <v>1.125864</v>
      </c>
      <c r="L4534">
        <v>19.441739999999999</v>
      </c>
      <c r="M4534">
        <v>0.93780459999999999</v>
      </c>
      <c r="N4534">
        <v>-1.377537E-2</v>
      </c>
      <c r="O4534">
        <v>-0.34689059999999999</v>
      </c>
      <c r="P4534">
        <v>0.93151669999999998</v>
      </c>
      <c r="Q4534">
        <v>0.1850116</v>
      </c>
      <c r="R4534">
        <v>-0.3131254</v>
      </c>
      <c r="S4534">
        <v>3.1204830000000001</v>
      </c>
      <c r="T4534">
        <v>-5.2632930000000001E-2</v>
      </c>
      <c r="U4534">
        <v>-0.334198</v>
      </c>
      <c r="V4534">
        <v>-3.1664810000000002E-2</v>
      </c>
      <c r="W4534">
        <v>0.1981899</v>
      </c>
      <c r="X4534">
        <v>0.97965199999999997</v>
      </c>
      <c r="Y4534">
        <v>-0.24501310000000001</v>
      </c>
      <c r="Z4534">
        <v>4.602783E-3</v>
      </c>
      <c r="AA4534">
        <v>0.96950879999999995</v>
      </c>
      <c r="AB4534">
        <v>25</v>
      </c>
      <c r="AC4534">
        <v>66.625699999999995</v>
      </c>
      <c r="AD4534">
        <v>-1.125866803131</v>
      </c>
      <c r="AE4534">
        <v>-7.1061399999999901</v>
      </c>
      <c r="AF4534">
        <v>-16.444573424115902</v>
      </c>
      <c r="AG4534">
        <v>-1.125866803131</v>
      </c>
      <c r="AH4534">
        <v>64.934759969090607</v>
      </c>
      <c r="AI4534">
        <v>90.962926819069395</v>
      </c>
      <c r="AJ4534">
        <v>104.21123854310299</v>
      </c>
      <c r="AK4534">
        <v>66.994138724241694</v>
      </c>
      <c r="AL4534">
        <v>78.568870404638304</v>
      </c>
      <c r="AM4534">
        <v>91.851298782730098</v>
      </c>
      <c r="AN4534">
        <v>0.99999996887917197</v>
      </c>
    </row>
    <row r="4535" spans="1:40" x14ac:dyDescent="0.25">
      <c r="A4535" t="str">
        <f>"20190303171108030"</f>
        <v>20190303171108030</v>
      </c>
      <c r="B4535" t="str">
        <f>"1551604268025813"</f>
        <v>1551604268025813</v>
      </c>
      <c r="C4535" t="s">
        <v>40</v>
      </c>
      <c r="D4535">
        <v>5.1925980000000003</v>
      </c>
      <c r="E4535">
        <v>0.41831469999999998</v>
      </c>
      <c r="F4535" t="s">
        <v>42</v>
      </c>
      <c r="G4535">
        <v>-334.47620000000001</v>
      </c>
      <c r="H4535" s="1">
        <v>-3.8499070000000002E-6</v>
      </c>
      <c r="I4535">
        <v>12.15948</v>
      </c>
      <c r="J4535">
        <v>-403.923</v>
      </c>
      <c r="K4535">
        <v>1.125848</v>
      </c>
      <c r="L4535">
        <v>19.40222</v>
      </c>
      <c r="M4535">
        <v>0.93894820000000001</v>
      </c>
      <c r="N4535">
        <v>-1.376879E-2</v>
      </c>
      <c r="O4535">
        <v>-0.34378309999999901</v>
      </c>
      <c r="P4535">
        <v>0.93227700000000002</v>
      </c>
      <c r="Q4535">
        <v>0.18542449999999999</v>
      </c>
      <c r="R4535">
        <v>-0.31060880000000002</v>
      </c>
      <c r="S4535">
        <v>3.1207579999999999</v>
      </c>
      <c r="T4535">
        <v>-5.0508259999999999E-2</v>
      </c>
      <c r="U4535">
        <v>-0.3266907</v>
      </c>
      <c r="V4535">
        <v>-3.1033410000000001E-2</v>
      </c>
      <c r="W4535">
        <v>0.1986031</v>
      </c>
      <c r="X4535">
        <v>0.97958860000000003</v>
      </c>
      <c r="Y4535">
        <v>-0.24412239999999999</v>
      </c>
      <c r="Z4535">
        <v>4.2756670000000004E-3</v>
      </c>
      <c r="AA4535">
        <v>0.96973500000000001</v>
      </c>
      <c r="AB4535">
        <v>25</v>
      </c>
      <c r="AC4535">
        <v>69.446799999999996</v>
      </c>
      <c r="AD4535">
        <v>-1.125851849907</v>
      </c>
      <c r="AE4535">
        <v>-7.2427399999999897</v>
      </c>
      <c r="AF4535">
        <v>-17.0712577537771</v>
      </c>
      <c r="AG4535">
        <v>-1.125851849907</v>
      </c>
      <c r="AH4535">
        <v>67.685695499015097</v>
      </c>
      <c r="AI4535">
        <v>90.924012335291906</v>
      </c>
      <c r="AJ4535">
        <v>104.155554346504</v>
      </c>
      <c r="AK4535">
        <v>69.814387907287596</v>
      </c>
      <c r="AL4535">
        <v>78.544716513963095</v>
      </c>
      <c r="AM4535">
        <v>91.814525946646498</v>
      </c>
      <c r="AN4535">
        <v>1.00000004455789</v>
      </c>
    </row>
    <row r="4536" spans="1:40" x14ac:dyDescent="0.25">
      <c r="A4536" t="str">
        <f>"20190303171108041"</f>
        <v>20190303171108041</v>
      </c>
      <c r="B4536" t="str">
        <f>"1551604268035574"</f>
        <v>1551604268035574</v>
      </c>
      <c r="C4536" t="s">
        <v>40</v>
      </c>
      <c r="D4536">
        <v>5.2339089999999997</v>
      </c>
      <c r="E4536">
        <v>0.41857139999999998</v>
      </c>
      <c r="F4536" t="s">
        <v>42</v>
      </c>
      <c r="G4536">
        <v>-333.88690000000003</v>
      </c>
      <c r="H4536" s="1">
        <v>-4.0516229999999999E-6</v>
      </c>
      <c r="I4536">
        <v>12.15503</v>
      </c>
      <c r="J4536">
        <v>-403.81360000000001</v>
      </c>
      <c r="K4536">
        <v>1.1258349999999999</v>
      </c>
      <c r="L4536">
        <v>19.365629999999999</v>
      </c>
      <c r="M4536">
        <v>0.94000309999999998</v>
      </c>
      <c r="N4536">
        <v>-1.3762999999999999E-2</v>
      </c>
      <c r="O4536">
        <v>-0.34088800000000002</v>
      </c>
      <c r="P4536">
        <v>0.93332479999999995</v>
      </c>
      <c r="Q4536">
        <v>0.18510499999999999</v>
      </c>
      <c r="R4536">
        <v>-0.30763780000000002</v>
      </c>
      <c r="S4536">
        <v>3.1202700000000001</v>
      </c>
      <c r="T4536">
        <v>-5.0159339999999997E-2</v>
      </c>
      <c r="U4536">
        <v>-0.322876</v>
      </c>
      <c r="V4536">
        <v>-3.1145719999999998E-2</v>
      </c>
      <c r="W4536">
        <v>0.19827919999999999</v>
      </c>
      <c r="X4536">
        <v>0.97965060000000004</v>
      </c>
      <c r="Y4536">
        <v>-0.2422917</v>
      </c>
      <c r="Z4536">
        <v>4.1985319999999996E-3</v>
      </c>
      <c r="AA4536">
        <v>0.97019429999999995</v>
      </c>
      <c r="AB4536">
        <v>25</v>
      </c>
      <c r="AC4536">
        <v>69.926699999999897</v>
      </c>
      <c r="AD4536">
        <v>-1.1258390516229999</v>
      </c>
      <c r="AE4536">
        <v>-7.2105999999999897</v>
      </c>
      <c r="AF4536">
        <v>-17.0564286852414</v>
      </c>
      <c r="AG4536">
        <v>-1.1258390516229999</v>
      </c>
      <c r="AH4536">
        <v>68.178297966442898</v>
      </c>
      <c r="AI4536">
        <v>90.917769029473902</v>
      </c>
      <c r="AJ4536">
        <v>104.04561912652299</v>
      </c>
      <c r="AK4536">
        <v>70.288474066990204</v>
      </c>
      <c r="AL4536">
        <v>78.563650628640701</v>
      </c>
      <c r="AM4536">
        <v>91.8209731323185</v>
      </c>
      <c r="AN4536">
        <v>0.99999999755365898</v>
      </c>
    </row>
    <row r="4537" spans="1:40" x14ac:dyDescent="0.25">
      <c r="A4537" t="str">
        <f>"20190303171108052"</f>
        <v>20190303171108052</v>
      </c>
      <c r="B4537" t="str">
        <f>"1551604268045333"</f>
        <v>1551604268045333</v>
      </c>
      <c r="C4537" t="s">
        <v>40</v>
      </c>
      <c r="D4537">
        <v>5.2058879999999998</v>
      </c>
      <c r="E4537">
        <v>0.41857139999999998</v>
      </c>
      <c r="F4537" t="s">
        <v>42</v>
      </c>
      <c r="G4537">
        <v>-335.91370000000001</v>
      </c>
      <c r="H4537" s="1">
        <v>-3.2644110000000001E-6</v>
      </c>
      <c r="I4537">
        <v>12.52144</v>
      </c>
      <c r="J4537">
        <v>-403.69420000000002</v>
      </c>
      <c r="K4537">
        <v>1.125821</v>
      </c>
      <c r="L4537">
        <v>19.326139999999999</v>
      </c>
      <c r="M4537">
        <v>0.94114149999999996</v>
      </c>
      <c r="N4537">
        <v>-1.375709E-2</v>
      </c>
      <c r="O4537">
        <v>-0.33773259999999899</v>
      </c>
      <c r="P4537">
        <v>0.93434010000000001</v>
      </c>
      <c r="Q4537">
        <v>0.18472569999999999</v>
      </c>
      <c r="R4537">
        <v>-0.30477090000000001</v>
      </c>
      <c r="S4537">
        <v>3.1208800000000001</v>
      </c>
      <c r="T4537">
        <v>-5.1746849999999997E-2</v>
      </c>
      <c r="U4537">
        <v>-0.3145752</v>
      </c>
      <c r="V4537">
        <v>-3.088047E-2</v>
      </c>
      <c r="W4537">
        <v>0.1978983</v>
      </c>
      <c r="X4537">
        <v>0.97973600000000005</v>
      </c>
      <c r="Y4537">
        <v>-0.24160709999999999</v>
      </c>
      <c r="Z4537">
        <v>4.4168219999999999E-3</v>
      </c>
      <c r="AA4537">
        <v>0.97036409999999995</v>
      </c>
      <c r="AB4537">
        <v>25</v>
      </c>
      <c r="AC4537">
        <v>67.780500000000004</v>
      </c>
      <c r="AD4537">
        <v>-1.1258242644109999</v>
      </c>
      <c r="AE4537">
        <v>-6.8046999999999898</v>
      </c>
      <c r="AF4537">
        <v>-16.484557752323798</v>
      </c>
      <c r="AG4537">
        <v>-1.1258242644109999</v>
      </c>
      <c r="AH4537">
        <v>66.077420921983304</v>
      </c>
      <c r="AI4537">
        <v>90.947087032209595</v>
      </c>
      <c r="AJ4537">
        <v>104.007841910067</v>
      </c>
      <c r="AK4537">
        <v>68.111920250900297</v>
      </c>
      <c r="AL4537">
        <v>78.585915652178201</v>
      </c>
      <c r="AM4537">
        <v>91.805317997840504</v>
      </c>
      <c r="AN4537">
        <v>0.99999998513315502</v>
      </c>
    </row>
    <row r="4538" spans="1:40" x14ac:dyDescent="0.25">
      <c r="A4538" t="str">
        <f>"20190303171108063"</f>
        <v>20190303171108063</v>
      </c>
      <c r="B4538" t="str">
        <f>"1551604268055093"</f>
        <v>1551604268055093</v>
      </c>
      <c r="C4538" t="s">
        <v>40</v>
      </c>
      <c r="D4538">
        <v>5.1042370000000004</v>
      </c>
      <c r="E4538">
        <v>0.41952620000000002</v>
      </c>
      <c r="F4538" t="s">
        <v>42</v>
      </c>
      <c r="G4538">
        <v>-336.81470000000002</v>
      </c>
      <c r="H4538" s="1">
        <v>-2.8833099999999901E-6</v>
      </c>
      <c r="I4538">
        <v>12.801349999999999</v>
      </c>
      <c r="J4538">
        <v>-403.57650000000001</v>
      </c>
      <c r="K4538">
        <v>1.12581</v>
      </c>
      <c r="L4538">
        <v>19.28772</v>
      </c>
      <c r="M4538">
        <v>0.94225060000000005</v>
      </c>
      <c r="N4538">
        <v>-1.3751650000000001E-2</v>
      </c>
      <c r="O4538">
        <v>-0.33462599999999998</v>
      </c>
      <c r="P4538">
        <v>0.93555080000000002</v>
      </c>
      <c r="Q4538">
        <v>0.18388789999999999</v>
      </c>
      <c r="R4538">
        <v>-0.30154589999999998</v>
      </c>
      <c r="S4538">
        <v>3.1218569999999999</v>
      </c>
      <c r="T4538">
        <v>-5.2552099999999997E-2</v>
      </c>
      <c r="U4538">
        <v>-0.30456539999999999</v>
      </c>
      <c r="V4538">
        <v>-3.1069449999999998E-2</v>
      </c>
      <c r="W4538">
        <v>0.19705639999999999</v>
      </c>
      <c r="X4538">
        <v>0.97989970000000004</v>
      </c>
      <c r="Y4538">
        <v>-0.2415157</v>
      </c>
      <c r="Z4538">
        <v>4.5278439999999996E-3</v>
      </c>
      <c r="AA4538">
        <v>0.97038630000000003</v>
      </c>
      <c r="AB4538">
        <v>25</v>
      </c>
      <c r="AC4538">
        <v>66.761799999999994</v>
      </c>
      <c r="AD4538">
        <v>-1.1258128833100001</v>
      </c>
      <c r="AE4538">
        <v>-6.48637</v>
      </c>
      <c r="AF4538">
        <v>-16.2254130764296</v>
      </c>
      <c r="AG4538">
        <v>-1.1258128833100001</v>
      </c>
      <c r="AH4538">
        <v>65.064683715254901</v>
      </c>
      <c r="AI4538">
        <v>90.961838587641395</v>
      </c>
      <c r="AJ4538">
        <v>104.002458490807</v>
      </c>
      <c r="AK4538">
        <v>67.066717163695699</v>
      </c>
      <c r="AL4538">
        <v>78.635121896085494</v>
      </c>
      <c r="AM4538">
        <v>91.816055436475693</v>
      </c>
      <c r="AN4538">
        <v>0.99999997878217595</v>
      </c>
    </row>
    <row r="4539" spans="1:40" x14ac:dyDescent="0.25">
      <c r="A4539" t="str">
        <f>"20190303171108073"</f>
        <v>20190303171108073</v>
      </c>
      <c r="B4539" t="str">
        <f>"1551604268065828"</f>
        <v>1551604268065828</v>
      </c>
      <c r="C4539" t="s">
        <v>40</v>
      </c>
      <c r="D4539">
        <v>5.220491</v>
      </c>
      <c r="E4539">
        <v>0.41982190000000003</v>
      </c>
      <c r="F4539" t="s">
        <v>41</v>
      </c>
      <c r="G4539">
        <v>-285.50900000000001</v>
      </c>
      <c r="H4539">
        <v>-0.05</v>
      </c>
      <c r="I4539">
        <v>7.8974909999999996</v>
      </c>
      <c r="J4539">
        <v>-403.46550000000002</v>
      </c>
      <c r="K4539">
        <v>1.1258010000000001</v>
      </c>
      <c r="L4539">
        <v>19.25168</v>
      </c>
      <c r="M4539">
        <v>0.94328710000000004</v>
      </c>
      <c r="N4539">
        <v>-1.374672E-2</v>
      </c>
      <c r="O4539">
        <v>-0.33169340000000003</v>
      </c>
      <c r="P4539">
        <v>0.93673249999999997</v>
      </c>
      <c r="Q4539">
        <v>0.18340980000000001</v>
      </c>
      <c r="R4539">
        <v>-0.29814980000000002</v>
      </c>
      <c r="S4539">
        <v>3.1159059999999998</v>
      </c>
      <c r="T4539">
        <v>-3.103065E-2</v>
      </c>
      <c r="U4539">
        <v>-0.30059809999999998</v>
      </c>
      <c r="V4539">
        <v>-3.1599179999999998E-2</v>
      </c>
      <c r="W4539">
        <v>0.19656970000000001</v>
      </c>
      <c r="X4539">
        <v>0.97998050000000003</v>
      </c>
      <c r="Y4539">
        <v>-0.2395728</v>
      </c>
      <c r="Z4539">
        <v>1.4412349999999999E-3</v>
      </c>
      <c r="AA4539">
        <v>0.97087730000000005</v>
      </c>
      <c r="AB4539">
        <v>25</v>
      </c>
      <c r="AC4539">
        <v>117.95650000000001</v>
      </c>
      <c r="AD4539">
        <v>-1.1758010000000001</v>
      </c>
      <c r="AE4539">
        <v>-11.354189</v>
      </c>
      <c r="AF4539">
        <v>-28.415019738249999</v>
      </c>
      <c r="AG4539">
        <v>-1.1758010000000001</v>
      </c>
      <c r="AH4539">
        <v>115.03249778067899</v>
      </c>
      <c r="AI4539">
        <v>90.568539139397899</v>
      </c>
      <c r="AJ4539">
        <v>103.875288800588</v>
      </c>
      <c r="AK4539">
        <v>118.495870815732</v>
      </c>
      <c r="AL4539">
        <v>78.663563925403096</v>
      </c>
      <c r="AM4539">
        <v>91.846845493152898</v>
      </c>
      <c r="AN4539">
        <v>0.99999996775750499</v>
      </c>
    </row>
    <row r="4540" spans="1:40" x14ac:dyDescent="0.25">
      <c r="A4540" t="str">
        <f>"20190303171108086"</f>
        <v>20190303171108086</v>
      </c>
      <c r="B4540" t="str">
        <f>"1551604268075589"</f>
        <v>1551604268075589</v>
      </c>
      <c r="C4540" t="s">
        <v>40</v>
      </c>
      <c r="D4540">
        <v>5.2268330000000001</v>
      </c>
      <c r="E4540">
        <v>0.4201317</v>
      </c>
      <c r="F4540" t="s">
        <v>41</v>
      </c>
      <c r="G4540">
        <v>-299.53660000000002</v>
      </c>
      <c r="H4540">
        <v>-0.05</v>
      </c>
      <c r="I4540">
        <v>9.5303959999999996</v>
      </c>
      <c r="J4540">
        <v>-403.33850000000001</v>
      </c>
      <c r="K4540">
        <v>1.125793</v>
      </c>
      <c r="L4540">
        <v>19.211179999999999</v>
      </c>
      <c r="M4540">
        <v>0.94445690000000004</v>
      </c>
      <c r="N4540">
        <v>-1.37416E-2</v>
      </c>
      <c r="O4540">
        <v>-0.32834790000000003</v>
      </c>
      <c r="P4540">
        <v>0.93800700000000004</v>
      </c>
      <c r="Q4540">
        <v>0.18308250000000001</v>
      </c>
      <c r="R4540">
        <v>-0.2943192</v>
      </c>
      <c r="S4540">
        <v>3.1167600000000002</v>
      </c>
      <c r="T4540">
        <v>-3.5261510000000003E-2</v>
      </c>
      <c r="U4540">
        <v>-0.29153440000000003</v>
      </c>
      <c r="V4540">
        <v>-3.2144390000000002E-2</v>
      </c>
      <c r="W4540">
        <v>0.19623260000000001</v>
      </c>
      <c r="X4540">
        <v>0.98003039999999997</v>
      </c>
      <c r="Y4540">
        <v>-0.2389511</v>
      </c>
      <c r="Z4540">
        <v>2.0497969999999999E-3</v>
      </c>
      <c r="AA4540">
        <v>0.97102949999999999</v>
      </c>
      <c r="AB4540">
        <v>25</v>
      </c>
      <c r="AC4540">
        <v>103.8019</v>
      </c>
      <c r="AD4540">
        <v>-1.1757930000000001</v>
      </c>
      <c r="AE4540">
        <v>-9.6807839999999903</v>
      </c>
      <c r="AF4540">
        <v>-24.9392352740429</v>
      </c>
      <c r="AG4540">
        <v>-1.1757930000000001</v>
      </c>
      <c r="AH4540">
        <v>101.211768661183</v>
      </c>
      <c r="AI4540">
        <v>90.646255838566901</v>
      </c>
      <c r="AJ4540">
        <v>103.84229787425799</v>
      </c>
      <c r="AK4540">
        <v>104.24571962799099</v>
      </c>
      <c r="AL4540">
        <v>78.683262808590896</v>
      </c>
      <c r="AM4540">
        <v>91.878592604053395</v>
      </c>
      <c r="AN4540">
        <v>1.0000000400176901</v>
      </c>
    </row>
    <row r="4541" spans="1:40" x14ac:dyDescent="0.25">
      <c r="A4541" t="str">
        <f>"20190303171108098"</f>
        <v>20190303171108098</v>
      </c>
      <c r="B4541" t="str">
        <f>"1551604268085350"</f>
        <v>1551604268085350</v>
      </c>
      <c r="C4541" t="s">
        <v>40</v>
      </c>
      <c r="D4541">
        <v>5.2499029999999998</v>
      </c>
      <c r="E4541">
        <v>0.42044900000000002</v>
      </c>
      <c r="F4541" t="s">
        <v>41</v>
      </c>
      <c r="G4541">
        <v>-309.98340000000002</v>
      </c>
      <c r="H4541">
        <v>-0.05</v>
      </c>
      <c r="I4541">
        <v>10.791410000000001</v>
      </c>
      <c r="J4541">
        <v>-403.22379999999998</v>
      </c>
      <c r="K4541">
        <v>1.1257900000000001</v>
      </c>
      <c r="L4541">
        <v>19.174769999999999</v>
      </c>
      <c r="M4541">
        <v>0.94550279999999998</v>
      </c>
      <c r="N4541">
        <v>-1.373715E-2</v>
      </c>
      <c r="O4541">
        <v>-0.3253241</v>
      </c>
      <c r="P4541">
        <v>0.93900620000000001</v>
      </c>
      <c r="Q4541">
        <v>0.18309549999999999</v>
      </c>
      <c r="R4541">
        <v>-0.29110799999999998</v>
      </c>
      <c r="S4541">
        <v>3.1177060000000001</v>
      </c>
      <c r="T4541">
        <v>-3.9267059999999999E-2</v>
      </c>
      <c r="U4541">
        <v>-0.28118900000000002</v>
      </c>
      <c r="V4541">
        <v>-3.2358379999999999E-2</v>
      </c>
      <c r="W4541">
        <v>0.1962392</v>
      </c>
      <c r="X4541">
        <v>0.98002199999999995</v>
      </c>
      <c r="Y4541">
        <v>-0.23906169999999999</v>
      </c>
      <c r="Z4541">
        <v>2.6257810000000002E-3</v>
      </c>
      <c r="AA4541">
        <v>0.97100089999999994</v>
      </c>
      <c r="AB4541">
        <v>25</v>
      </c>
      <c r="AC4541">
        <v>93.240399999999894</v>
      </c>
      <c r="AD4541">
        <v>-1.1757899999999999</v>
      </c>
      <c r="AE4541">
        <v>-8.3833599999999997</v>
      </c>
      <c r="AF4541">
        <v>-22.4054387429718</v>
      </c>
      <c r="AG4541">
        <v>-1.1757899999999999</v>
      </c>
      <c r="AH4541">
        <v>90.880608061544393</v>
      </c>
      <c r="AI4541">
        <v>90.719690151621805</v>
      </c>
      <c r="AJ4541">
        <v>103.849351774737</v>
      </c>
      <c r="AK4541">
        <v>93.609139986569801</v>
      </c>
      <c r="AL4541">
        <v>78.682876750061396</v>
      </c>
      <c r="AM4541">
        <v>91.891105821903594</v>
      </c>
      <c r="AN4541">
        <v>1.0000000044284301</v>
      </c>
    </row>
    <row r="4542" spans="1:40" x14ac:dyDescent="0.25">
      <c r="A4542" t="str">
        <f>"20190303171108106"</f>
        <v>20190303171108106</v>
      </c>
      <c r="B4542" t="str">
        <f>"1551604268095109"</f>
        <v>1551604268095109</v>
      </c>
      <c r="C4542" t="s">
        <v>40</v>
      </c>
      <c r="D4542">
        <v>5.2161960000000001</v>
      </c>
      <c r="E4542">
        <v>0.4207534</v>
      </c>
      <c r="F4542" t="s">
        <v>41</v>
      </c>
      <c r="G4542">
        <v>-314.30439999999999</v>
      </c>
      <c r="H4542">
        <v>-0.05</v>
      </c>
      <c r="I4542">
        <v>11.39067</v>
      </c>
      <c r="J4542">
        <v>-403.1164</v>
      </c>
      <c r="K4542">
        <v>1.125788</v>
      </c>
      <c r="L4542">
        <v>19.141300000000001</v>
      </c>
      <c r="M4542">
        <v>0.94647210000000004</v>
      </c>
      <c r="N4542">
        <v>-1.373335E-2</v>
      </c>
      <c r="O4542">
        <v>-0.32249339999999999</v>
      </c>
      <c r="P4542">
        <v>0.93972889999999998</v>
      </c>
      <c r="Q4542">
        <v>0.18368219999999999</v>
      </c>
      <c r="R4542">
        <v>-0.28839429999999999</v>
      </c>
      <c r="S4542">
        <v>3.1183169999999998</v>
      </c>
      <c r="T4542">
        <v>-4.1233779999999998E-2</v>
      </c>
      <c r="U4542">
        <v>-0.27297969999999999</v>
      </c>
      <c r="V4542">
        <v>-3.2223689999999999E-2</v>
      </c>
      <c r="W4542">
        <v>0.1968222</v>
      </c>
      <c r="X4542">
        <v>0.97990949999999999</v>
      </c>
      <c r="Y4542">
        <v>-0.23870669999999999</v>
      </c>
      <c r="Z4542">
        <v>2.903264E-3</v>
      </c>
      <c r="AA4542">
        <v>0.97108740000000004</v>
      </c>
      <c r="AB4542">
        <v>25</v>
      </c>
      <c r="AC4542">
        <v>88.811999999999998</v>
      </c>
      <c r="AD4542">
        <v>-1.1757879999999901</v>
      </c>
      <c r="AE4542">
        <v>-7.7506300000000001</v>
      </c>
      <c r="AF4542">
        <v>-21.303832112765399</v>
      </c>
      <c r="AG4542">
        <v>-1.1757879999999901</v>
      </c>
      <c r="AH4542">
        <v>86.550714111073304</v>
      </c>
      <c r="AI4542">
        <v>90.755758105277494</v>
      </c>
      <c r="AJ4542">
        <v>103.828052357427</v>
      </c>
      <c r="AK4542">
        <v>89.141807549805606</v>
      </c>
      <c r="AL4542">
        <v>78.648808700599801</v>
      </c>
      <c r="AM4542">
        <v>91.883455929126697</v>
      </c>
      <c r="AN4542">
        <v>0.99999998640015197</v>
      </c>
    </row>
    <row r="4543" spans="1:40" x14ac:dyDescent="0.25">
      <c r="A4543" t="str">
        <f>"20190303171108118"</f>
        <v>20190303171108118</v>
      </c>
      <c r="B4543" t="str">
        <f>"1551604268115605"</f>
        <v>1551604268115605</v>
      </c>
      <c r="C4543" t="s">
        <v>40</v>
      </c>
      <c r="D4543">
        <v>5.2254370000000003</v>
      </c>
      <c r="E4543">
        <v>0.42131360000000001</v>
      </c>
      <c r="F4543" t="s">
        <v>41</v>
      </c>
      <c r="G4543">
        <v>-312.88740000000001</v>
      </c>
      <c r="H4543">
        <v>-0.05</v>
      </c>
      <c r="I4543">
        <v>11.4368</v>
      </c>
      <c r="J4543">
        <v>-402.99900000000002</v>
      </c>
      <c r="K4543">
        <v>1.1257870000000001</v>
      </c>
      <c r="L4543">
        <v>19.104859999999999</v>
      </c>
      <c r="M4543">
        <v>0.94752049999999999</v>
      </c>
      <c r="N4543">
        <v>-1.372929E-2</v>
      </c>
      <c r="O4543">
        <v>-0.31940030000000003</v>
      </c>
      <c r="P4543">
        <v>0.94055100000000003</v>
      </c>
      <c r="Q4543">
        <v>0.18454680000000001</v>
      </c>
      <c r="R4543">
        <v>-0.28514309999999998</v>
      </c>
      <c r="S4543">
        <v>3.118652</v>
      </c>
      <c r="T4543">
        <v>-4.0639639999999998E-2</v>
      </c>
      <c r="U4543">
        <v>-0.26629639999999999</v>
      </c>
      <c r="V4543">
        <v>-3.2364709999999998E-2</v>
      </c>
      <c r="W4543">
        <v>0.19767960000000001</v>
      </c>
      <c r="X4543">
        <v>0.9797323</v>
      </c>
      <c r="Y4543">
        <v>-0.2376105</v>
      </c>
      <c r="Z4543">
        <v>2.8127859999999998E-3</v>
      </c>
      <c r="AA4543">
        <v>0.97135649999999996</v>
      </c>
      <c r="AB4543">
        <v>25</v>
      </c>
      <c r="AC4543">
        <v>90.111599999999996</v>
      </c>
      <c r="AD4543">
        <v>-1.1757869999999999</v>
      </c>
      <c r="AE4543">
        <v>-7.6680599999999997</v>
      </c>
      <c r="AF4543">
        <v>-21.5144180205133</v>
      </c>
      <c r="AG4543">
        <v>-1.1757869999999999</v>
      </c>
      <c r="AH4543">
        <v>87.825196650520397</v>
      </c>
      <c r="AI4543">
        <v>90.744993998895893</v>
      </c>
      <c r="AJ4543">
        <v>103.764605031664</v>
      </c>
      <c r="AK4543">
        <v>90.429629129690397</v>
      </c>
      <c r="AL4543">
        <v>78.598699399260994</v>
      </c>
      <c r="AM4543">
        <v>91.892034384116201</v>
      </c>
      <c r="AN4543">
        <v>1.0000000391864099</v>
      </c>
    </row>
    <row r="4544" spans="1:40" x14ac:dyDescent="0.25">
      <c r="A4544" t="str">
        <f>"20190303171108130"</f>
        <v>20190303171108130</v>
      </c>
      <c r="B4544" t="str">
        <f>"1551604268115605"</f>
        <v>1551604268115605</v>
      </c>
      <c r="C4544" t="s">
        <v>40</v>
      </c>
      <c r="D4544">
        <v>5.2254370000000003</v>
      </c>
      <c r="E4544">
        <v>0.42131360000000001</v>
      </c>
      <c r="F4544" t="s">
        <v>41</v>
      </c>
      <c r="G4544">
        <v>-314.00580000000002</v>
      </c>
      <c r="H4544">
        <v>-0.05</v>
      </c>
      <c r="I4544">
        <v>11.69652</v>
      </c>
      <c r="J4544">
        <v>-402.87450000000001</v>
      </c>
      <c r="K4544">
        <v>1.125786</v>
      </c>
      <c r="L4544">
        <v>19.066890000000001</v>
      </c>
      <c r="M4544">
        <v>0.94862060000000004</v>
      </c>
      <c r="N4544">
        <v>-1.3725269999999999E-2</v>
      </c>
      <c r="O4544">
        <v>-0.31611820000000002</v>
      </c>
      <c r="P4544">
        <v>0.94138909999999998</v>
      </c>
      <c r="Q4544">
        <v>0.18518009999999999</v>
      </c>
      <c r="R4544">
        <v>-0.28194900000000001</v>
      </c>
      <c r="S4544">
        <v>3.1189879999999999</v>
      </c>
      <c r="T4544">
        <v>-4.1208389999999998E-2</v>
      </c>
      <c r="U4544">
        <v>-0.25964359999999997</v>
      </c>
      <c r="V4544">
        <v>-3.2263819999999999E-2</v>
      </c>
      <c r="W4544">
        <v>0.1983087</v>
      </c>
      <c r="X4544">
        <v>0.97960849999999999</v>
      </c>
      <c r="Y4544">
        <v>-0.2363131</v>
      </c>
      <c r="Z4544">
        <v>2.8809310000000002E-3</v>
      </c>
      <c r="AA4544">
        <v>0.97167269999999994</v>
      </c>
      <c r="AB4544">
        <v>25</v>
      </c>
      <c r="AC4544">
        <v>88.868699999999905</v>
      </c>
      <c r="AD4544">
        <v>-1.175786</v>
      </c>
      <c r="AE4544">
        <v>-7.3703700000000003</v>
      </c>
      <c r="AF4544">
        <v>-21.099646780795101</v>
      </c>
      <c r="AG4544">
        <v>-1.175786</v>
      </c>
      <c r="AH4544">
        <v>86.625682535784605</v>
      </c>
      <c r="AI4544">
        <v>90.755551239150705</v>
      </c>
      <c r="AJ4544">
        <v>103.689124911165</v>
      </c>
      <c r="AK4544">
        <v>89.166061042207403</v>
      </c>
      <c r="AL4544">
        <v>78.561926813141895</v>
      </c>
      <c r="AM4544">
        <v>91.886378834581507</v>
      </c>
      <c r="AN4544">
        <v>1.00000005392446</v>
      </c>
    </row>
    <row r="4545" spans="1:40" x14ac:dyDescent="0.25">
      <c r="A4545" t="str">
        <f>"20190303171108144"</f>
        <v>20190303171108144</v>
      </c>
      <c r="B4545" t="str">
        <f>"1551604268135124"</f>
        <v>1551604268135124</v>
      </c>
      <c r="C4545" t="s">
        <v>40</v>
      </c>
      <c r="D4545">
        <v>5.2377949999999904</v>
      </c>
      <c r="E4545">
        <v>0.42186570000000001</v>
      </c>
      <c r="F4545" t="s">
        <v>41</v>
      </c>
      <c r="G4545">
        <v>-308.72190000000001</v>
      </c>
      <c r="H4545">
        <v>-0.05</v>
      </c>
      <c r="I4545">
        <v>11.553699999999999</v>
      </c>
      <c r="J4545">
        <v>-402.72210000000001</v>
      </c>
      <c r="K4545">
        <v>1.125783</v>
      </c>
      <c r="L4545">
        <v>19.021000000000001</v>
      </c>
      <c r="M4545">
        <v>0.94994940000000005</v>
      </c>
      <c r="N4545">
        <v>-1.3720619999999999E-2</v>
      </c>
      <c r="O4545">
        <v>-0.31210290000000002</v>
      </c>
      <c r="P4545">
        <v>0.94243169999999998</v>
      </c>
      <c r="Q4545">
        <v>0.1855975</v>
      </c>
      <c r="R4545">
        <v>-0.27816639999999998</v>
      </c>
      <c r="S4545">
        <v>3.119904</v>
      </c>
      <c r="T4545">
        <v>-3.896165E-2</v>
      </c>
      <c r="U4545">
        <v>-0.2489624</v>
      </c>
      <c r="V4545">
        <v>-3.202986E-2</v>
      </c>
      <c r="W4545">
        <v>0.19872319999999999</v>
      </c>
      <c r="X4545">
        <v>0.97953210000000002</v>
      </c>
      <c r="Y4545">
        <v>-0.2355343</v>
      </c>
      <c r="Z4545">
        <v>2.5724350000000001E-3</v>
      </c>
      <c r="AA4545">
        <v>0.97186260000000002</v>
      </c>
      <c r="AB4545">
        <v>25</v>
      </c>
      <c r="AC4545">
        <v>94.000200000000007</v>
      </c>
      <c r="AD4545">
        <v>-1.175783</v>
      </c>
      <c r="AE4545">
        <v>-7.4672999999999998</v>
      </c>
      <c r="AF4545">
        <v>-22.2428099586961</v>
      </c>
      <c r="AG4545">
        <v>-1.175783</v>
      </c>
      <c r="AH4545">
        <v>91.620365027837906</v>
      </c>
      <c r="AI4545">
        <v>90.714496351183001</v>
      </c>
      <c r="AJ4545">
        <v>103.64578330131199</v>
      </c>
      <c r="AK4545">
        <v>94.289004387341095</v>
      </c>
      <c r="AL4545">
        <v>78.537694577034898</v>
      </c>
      <c r="AM4545">
        <v>91.8728555585637</v>
      </c>
      <c r="AN4545">
        <v>0.999999978540134</v>
      </c>
    </row>
    <row r="4546" spans="1:40" x14ac:dyDescent="0.25">
      <c r="A4546" t="str">
        <f>"20190303171108154"</f>
        <v>20190303171108154</v>
      </c>
      <c r="B4546" t="str">
        <f>"1551604268145861"</f>
        <v>1551604268145861</v>
      </c>
      <c r="C4546" t="s">
        <v>40</v>
      </c>
      <c r="D4546">
        <v>5.2476710000000004</v>
      </c>
      <c r="E4546">
        <v>0.42220740000000001</v>
      </c>
      <c r="F4546" t="s">
        <v>41</v>
      </c>
      <c r="G4546">
        <v>-310.10789999999997</v>
      </c>
      <c r="H4546">
        <v>-0.05</v>
      </c>
      <c r="I4546">
        <v>11.877319999999999</v>
      </c>
      <c r="J4546">
        <v>-402.60750000000002</v>
      </c>
      <c r="K4546">
        <v>1.125783</v>
      </c>
      <c r="L4546">
        <v>18.98676</v>
      </c>
      <c r="M4546">
        <v>0.95093799999999995</v>
      </c>
      <c r="N4546">
        <v>-1.371727E-2</v>
      </c>
      <c r="O4546">
        <v>-0.30907780000000001</v>
      </c>
      <c r="P4546">
        <v>0.94335860000000005</v>
      </c>
      <c r="Q4546">
        <v>0.1855291</v>
      </c>
      <c r="R4546">
        <v>-0.27505239999999997</v>
      </c>
      <c r="S4546">
        <v>3.1200559999999999</v>
      </c>
      <c r="T4546">
        <v>-3.9610619999999999E-2</v>
      </c>
      <c r="U4546">
        <v>-0.2406616</v>
      </c>
      <c r="V4546">
        <v>-3.2149900000000002E-2</v>
      </c>
      <c r="W4546">
        <v>0.19865070000000001</v>
      </c>
      <c r="X4546">
        <v>0.97954289999999999</v>
      </c>
      <c r="Y4546">
        <v>-0.23501379999999999</v>
      </c>
      <c r="Z4546">
        <v>2.6617059999999998E-3</v>
      </c>
      <c r="AA4546">
        <v>0.97198839999999997</v>
      </c>
      <c r="AB4546">
        <v>25</v>
      </c>
      <c r="AC4546">
        <v>92.499600000000001</v>
      </c>
      <c r="AD4546">
        <v>-1.175783</v>
      </c>
      <c r="AE4546">
        <v>-7.1094400000000002</v>
      </c>
      <c r="AF4546">
        <v>-21.8274805404067</v>
      </c>
      <c r="AG4546">
        <v>-1.175783</v>
      </c>
      <c r="AH4546">
        <v>90.152742416656395</v>
      </c>
      <c r="AI4546">
        <v>90.726235481045293</v>
      </c>
      <c r="AJ4546">
        <v>103.610348523255</v>
      </c>
      <c r="AK4546">
        <v>92.764962877418995</v>
      </c>
      <c r="AL4546">
        <v>78.5419333281002</v>
      </c>
      <c r="AM4546">
        <v>91.879848819866197</v>
      </c>
      <c r="AN4546">
        <v>1.00000000481045</v>
      </c>
    </row>
    <row r="4547" spans="1:40" x14ac:dyDescent="0.25">
      <c r="A4547" t="str">
        <f>"20190303171108166"</f>
        <v>20190303171108166</v>
      </c>
      <c r="B4547" t="str">
        <f>"1551604268155621"</f>
        <v>1551604268155621</v>
      </c>
      <c r="C4547" t="s">
        <v>40</v>
      </c>
      <c r="D4547">
        <v>5.2508239999999997</v>
      </c>
      <c r="E4547">
        <v>0.42253289999999999</v>
      </c>
      <c r="F4547" t="s">
        <v>41</v>
      </c>
      <c r="G4547">
        <v>-314.76459999999997</v>
      </c>
      <c r="H4547">
        <v>-0.05</v>
      </c>
      <c r="I4547">
        <v>12.42131</v>
      </c>
      <c r="J4547">
        <v>-402.49630000000002</v>
      </c>
      <c r="K4547">
        <v>1.1257820000000001</v>
      </c>
      <c r="L4547">
        <v>18.954190000000001</v>
      </c>
      <c r="M4547">
        <v>0.95188700000000004</v>
      </c>
      <c r="N4547">
        <v>-1.3714290000000001E-2</v>
      </c>
      <c r="O4547">
        <v>-0.30614229999999998</v>
      </c>
      <c r="P4547">
        <v>0.94424509999999995</v>
      </c>
      <c r="Q4547">
        <v>0.1852587</v>
      </c>
      <c r="R4547">
        <v>-0.2721768</v>
      </c>
      <c r="S4547">
        <v>3.1203310000000002</v>
      </c>
      <c r="T4547">
        <v>-4.176581E-2</v>
      </c>
      <c r="U4547">
        <v>-0.23321529999999999</v>
      </c>
      <c r="V4547">
        <v>-3.2124159999999999E-2</v>
      </c>
      <c r="W4547">
        <v>0.19837879999999999</v>
      </c>
      <c r="X4547">
        <v>0.97959890000000005</v>
      </c>
      <c r="Y4547">
        <v>-0.2343247</v>
      </c>
      <c r="Z4547">
        <v>2.9485959999999999E-3</v>
      </c>
      <c r="AA4547">
        <v>0.97215390000000002</v>
      </c>
      <c r="AB4547">
        <v>25</v>
      </c>
      <c r="AC4547">
        <v>87.731700000000004</v>
      </c>
      <c r="AD4547">
        <v>-1.1757819999999899</v>
      </c>
      <c r="AE4547">
        <v>-6.5328799999999996</v>
      </c>
      <c r="AF4547">
        <v>-20.638075168038</v>
      </c>
      <c r="AG4547">
        <v>-1.1757819999999899</v>
      </c>
      <c r="AH4547">
        <v>85.503423167528396</v>
      </c>
      <c r="AI4547">
        <v>90.765850246818403</v>
      </c>
      <c r="AJ4547">
        <v>103.570002443905</v>
      </c>
      <c r="AK4547">
        <v>87.966743621203506</v>
      </c>
      <c r="AL4547">
        <v>78.5578290057706</v>
      </c>
      <c r="AM4547">
        <v>91.878237544243703</v>
      </c>
      <c r="AN4547">
        <v>1.00000005741317</v>
      </c>
    </row>
    <row r="4548" spans="1:40" x14ac:dyDescent="0.25">
      <c r="A4548" t="str">
        <f>"20190303171108178"</f>
        <v>20190303171108178</v>
      </c>
      <c r="B4548" t="str">
        <f>"1551604268165380"</f>
        <v>1551604268165380</v>
      </c>
      <c r="C4548" t="s">
        <v>40</v>
      </c>
      <c r="D4548">
        <v>5.2451980000000002</v>
      </c>
      <c r="E4548">
        <v>0.42286430000000003</v>
      </c>
      <c r="F4548" t="s">
        <v>42</v>
      </c>
      <c r="G4548">
        <v>-323.82499999999999</v>
      </c>
      <c r="H4548" s="1">
        <v>-4.0508219999999996E-6</v>
      </c>
      <c r="I4548">
        <v>13.24484</v>
      </c>
      <c r="J4548">
        <v>-402.37360000000001</v>
      </c>
      <c r="K4548">
        <v>1.12578</v>
      </c>
      <c r="L4548">
        <v>18.91846</v>
      </c>
      <c r="M4548">
        <v>0.95292250000000001</v>
      </c>
      <c r="N4548">
        <v>-1.371109E-2</v>
      </c>
      <c r="O4548">
        <v>-0.30290430000000002</v>
      </c>
      <c r="P4548">
        <v>0.94524330000000001</v>
      </c>
      <c r="Q4548">
        <v>0.18489320000000001</v>
      </c>
      <c r="R4548">
        <v>-0.26894279999999998</v>
      </c>
      <c r="S4548">
        <v>3.1206360000000002</v>
      </c>
      <c r="T4548">
        <v>-4.465628E-2</v>
      </c>
      <c r="U4548">
        <v>-0.2264709</v>
      </c>
      <c r="V4548">
        <v>-3.216397E-2</v>
      </c>
      <c r="W4548">
        <v>0.19801089999999999</v>
      </c>
      <c r="X4548">
        <v>0.97967199999999999</v>
      </c>
      <c r="Y4548">
        <v>-0.23311200000000001</v>
      </c>
      <c r="Z4548">
        <v>3.3216040000000001E-3</v>
      </c>
      <c r="AA4548">
        <v>0.97244419999999998</v>
      </c>
      <c r="AB4548">
        <v>25</v>
      </c>
      <c r="AC4548">
        <v>78.548599999999993</v>
      </c>
      <c r="AD4548">
        <v>-1.1257840508220001</v>
      </c>
      <c r="AE4548">
        <v>-5.6736199999999997</v>
      </c>
      <c r="AF4548">
        <v>-18.3841574850833</v>
      </c>
      <c r="AG4548">
        <v>-1.1257840508220001</v>
      </c>
      <c r="AH4548">
        <v>76.560833829897504</v>
      </c>
      <c r="AI4548">
        <v>90.819159458947297</v>
      </c>
      <c r="AJ4548">
        <v>103.502495985813</v>
      </c>
      <c r="AK4548">
        <v>78.745196125824805</v>
      </c>
      <c r="AL4548">
        <v>78.579334450941403</v>
      </c>
      <c r="AM4548">
        <v>91.880423266816194</v>
      </c>
      <c r="AN4548">
        <v>1.00000003253448</v>
      </c>
    </row>
    <row r="4549" spans="1:40" x14ac:dyDescent="0.25">
      <c r="A4549" t="str">
        <f>"20190303171108198"</f>
        <v>20190303171108198</v>
      </c>
      <c r="B4549" t="str">
        <f>"1551604268184901"</f>
        <v>1551604268184901</v>
      </c>
      <c r="C4549" t="s">
        <v>40</v>
      </c>
      <c r="D4549">
        <v>5.2309599999999996</v>
      </c>
      <c r="E4549">
        <v>0.42338029999999999</v>
      </c>
      <c r="F4549" t="s">
        <v>42</v>
      </c>
      <c r="G4549">
        <v>-329.49369999999999</v>
      </c>
      <c r="H4549" s="1">
        <v>-1.722882E-6</v>
      </c>
      <c r="I4549">
        <v>13.81246</v>
      </c>
      <c r="J4549">
        <v>-402.15449999999998</v>
      </c>
      <c r="K4549">
        <v>1.1257729999999999</v>
      </c>
      <c r="L4549">
        <v>18.855899999999998</v>
      </c>
      <c r="M4549">
        <v>0.95474420000000004</v>
      </c>
      <c r="N4549">
        <v>-1.37059E-2</v>
      </c>
      <c r="O4549">
        <v>-0.29711270000000001</v>
      </c>
      <c r="P4549">
        <v>0.94687770000000004</v>
      </c>
      <c r="Q4549">
        <v>0.1845966</v>
      </c>
      <c r="R4549">
        <v>-0.26333889999999999</v>
      </c>
      <c r="S4549">
        <v>3.1210019999999998</v>
      </c>
      <c r="T4549">
        <v>-4.8210379999999997E-2</v>
      </c>
      <c r="U4549">
        <v>-0.2186584</v>
      </c>
      <c r="V4549">
        <v>-3.2030459999999997E-2</v>
      </c>
      <c r="W4549">
        <v>0.19771179999999999</v>
      </c>
      <c r="X4549">
        <v>0.97973670000000002</v>
      </c>
      <c r="Y4549">
        <v>-0.2296309</v>
      </c>
      <c r="Z4549">
        <v>3.7409420000000001E-3</v>
      </c>
      <c r="AA4549">
        <v>0.97327059999999999</v>
      </c>
      <c r="AB4549">
        <v>25</v>
      </c>
      <c r="AC4549">
        <v>72.660799999999995</v>
      </c>
      <c r="AD4549">
        <v>-1.1257747228820001</v>
      </c>
      <c r="AE4549">
        <v>-5.0434399999999897</v>
      </c>
      <c r="AF4549">
        <v>-16.770818027391101</v>
      </c>
      <c r="AG4549">
        <v>-1.1257747228820001</v>
      </c>
      <c r="AH4549">
        <v>70.860665936360604</v>
      </c>
      <c r="AI4549">
        <v>90.885726059767805</v>
      </c>
      <c r="AJ4549">
        <v>103.315365437127</v>
      </c>
      <c r="AK4549">
        <v>72.826929655032501</v>
      </c>
      <c r="AL4549">
        <v>78.596816342648694</v>
      </c>
      <c r="AM4549">
        <v>91.872499776568802</v>
      </c>
      <c r="AN4549">
        <v>0.99999995377696904</v>
      </c>
    </row>
    <row r="4550" spans="1:40" x14ac:dyDescent="0.25">
      <c r="A4550" t="str">
        <f>"20190303171108211"</f>
        <v>20190303171108211</v>
      </c>
      <c r="B4550" t="str">
        <f>"1551604268205397"</f>
        <v>1551604268205397</v>
      </c>
      <c r="C4550" t="s">
        <v>40</v>
      </c>
      <c r="D4550">
        <v>5.2670199999999996</v>
      </c>
      <c r="E4550">
        <v>0.4239713</v>
      </c>
      <c r="F4550" t="s">
        <v>42</v>
      </c>
      <c r="G4550">
        <v>-335.01159999999999</v>
      </c>
      <c r="H4550" s="1">
        <v>-3.058638E-6</v>
      </c>
      <c r="I4550">
        <v>14.448539999999999</v>
      </c>
      <c r="J4550">
        <v>-402.0222</v>
      </c>
      <c r="K4550">
        <v>1.1257729999999999</v>
      </c>
      <c r="L4550">
        <v>18.81897</v>
      </c>
      <c r="M4550">
        <v>0.95582469999999997</v>
      </c>
      <c r="N4550">
        <v>-1.3703119999999999E-2</v>
      </c>
      <c r="O4550">
        <v>-0.29361779999999998</v>
      </c>
      <c r="P4550">
        <v>0.94764729999999997</v>
      </c>
      <c r="Q4550">
        <v>0.1851196</v>
      </c>
      <c r="R4550">
        <v>-0.26018380000000002</v>
      </c>
      <c r="S4550">
        <v>3.1214900000000001</v>
      </c>
      <c r="T4550">
        <v>-5.2337649999999999E-2</v>
      </c>
      <c r="U4550">
        <v>-0.20489499999999999</v>
      </c>
      <c r="V4550">
        <v>-3.168228E-2</v>
      </c>
      <c r="W4550">
        <v>0.19823479999999999</v>
      </c>
      <c r="X4550">
        <v>0.97964240000000002</v>
      </c>
      <c r="Y4550">
        <v>-0.23034470000000001</v>
      </c>
      <c r="Z4550">
        <v>4.2849659999999899E-3</v>
      </c>
      <c r="AA4550">
        <v>0.97309970000000001</v>
      </c>
      <c r="AB4550">
        <v>25</v>
      </c>
      <c r="AC4550">
        <v>67.010599999999997</v>
      </c>
      <c r="AD4550">
        <v>-1.1257760586379999</v>
      </c>
      <c r="AE4550">
        <v>-4.3704299999999998</v>
      </c>
      <c r="AF4550">
        <v>-15.4952401089426</v>
      </c>
      <c r="AG4550">
        <v>-1.1257760586379999</v>
      </c>
      <c r="AH4550">
        <v>65.321397944335999</v>
      </c>
      <c r="AI4550">
        <v>90.960706571033001</v>
      </c>
      <c r="AJ4550">
        <v>103.344780559063</v>
      </c>
      <c r="AK4550">
        <v>67.143539280933695</v>
      </c>
      <c r="AL4550">
        <v>78.566246310052193</v>
      </c>
      <c r="AM4550">
        <v>91.852337602731495</v>
      </c>
      <c r="AN4550">
        <v>1.00000001733739</v>
      </c>
    </row>
    <row r="4551" spans="1:40" x14ac:dyDescent="0.25">
      <c r="A4551" t="str">
        <f>"20190303171108222"</f>
        <v>20190303171108222</v>
      </c>
      <c r="B4551" t="str">
        <f>"1551604268215157"</f>
        <v>1551604268215157</v>
      </c>
      <c r="C4551" t="s">
        <v>40</v>
      </c>
      <c r="D4551">
        <v>5.2271989999999997</v>
      </c>
      <c r="E4551">
        <v>0.42425780000000002</v>
      </c>
      <c r="F4551" t="s">
        <v>42</v>
      </c>
      <c r="G4551">
        <v>-336.64170000000001</v>
      </c>
      <c r="H4551" s="1">
        <v>-2.453007E-6</v>
      </c>
      <c r="I4551">
        <v>14.639810000000001</v>
      </c>
      <c r="J4551">
        <v>-401.89049999999997</v>
      </c>
      <c r="K4551">
        <v>1.1257740000000001</v>
      </c>
      <c r="L4551">
        <v>18.782589999999999</v>
      </c>
      <c r="M4551">
        <v>0.95688839999999997</v>
      </c>
      <c r="N4551">
        <v>-1.370039E-2</v>
      </c>
      <c r="O4551">
        <v>-0.29013250000000002</v>
      </c>
      <c r="P4551">
        <v>0.94838909999999998</v>
      </c>
      <c r="Q4551">
        <v>0.18553559999999999</v>
      </c>
      <c r="R4551">
        <v>-0.25716739999999999</v>
      </c>
      <c r="S4551">
        <v>3.1214900000000001</v>
      </c>
      <c r="T4551">
        <v>-5.3748369999999997E-2</v>
      </c>
      <c r="U4551">
        <v>-0.1995239</v>
      </c>
      <c r="V4551">
        <v>-3.120732E-2</v>
      </c>
      <c r="W4551">
        <v>0.1986521</v>
      </c>
      <c r="X4551">
        <v>0.97957309999999997</v>
      </c>
      <c r="Y4551">
        <v>-0.2284629</v>
      </c>
      <c r="Z4551">
        <v>4.4316959999999997E-3</v>
      </c>
      <c r="AA4551">
        <v>0.97354249999999998</v>
      </c>
      <c r="AB4551">
        <v>25</v>
      </c>
      <c r="AC4551">
        <v>65.248799999999903</v>
      </c>
      <c r="AD4551">
        <v>-1.125776453007</v>
      </c>
      <c r="AE4551">
        <v>-4.1427799999999904</v>
      </c>
      <c r="AF4551">
        <v>-14.9635877483984</v>
      </c>
      <c r="AG4551">
        <v>-1.125776453007</v>
      </c>
      <c r="AH4551">
        <v>63.624884682564897</v>
      </c>
      <c r="AI4551">
        <v>90.986766631862693</v>
      </c>
      <c r="AJ4551">
        <v>103.234569518592</v>
      </c>
      <c r="AK4551">
        <v>65.370500088310806</v>
      </c>
      <c r="AL4551">
        <v>78.541851496082501</v>
      </c>
      <c r="AM4551">
        <v>91.824716476183198</v>
      </c>
      <c r="AN4551">
        <v>1.0000000059498</v>
      </c>
    </row>
    <row r="4552" spans="1:40" x14ac:dyDescent="0.25">
      <c r="A4552" t="str">
        <f>"20190303171108234"</f>
        <v>20190303171108234</v>
      </c>
      <c r="B4552" t="str">
        <f>"1551604268224917"</f>
        <v>1551604268224917</v>
      </c>
      <c r="C4552" t="s">
        <v>40</v>
      </c>
      <c r="D4552">
        <v>5.2385650000000004</v>
      </c>
      <c r="E4552">
        <v>0.42455110000000001</v>
      </c>
      <c r="F4552" t="s">
        <v>42</v>
      </c>
      <c r="G4552">
        <v>-336.3177</v>
      </c>
      <c r="H4552" s="1">
        <v>-2.5321170000000001E-6</v>
      </c>
      <c r="I4552">
        <v>14.75689</v>
      </c>
      <c r="J4552">
        <v>-401.76060000000001</v>
      </c>
      <c r="K4552">
        <v>1.1257710000000001</v>
      </c>
      <c r="L4552">
        <v>18.7471</v>
      </c>
      <c r="M4552">
        <v>0.95792460000000001</v>
      </c>
      <c r="N4552">
        <v>-1.369773E-2</v>
      </c>
      <c r="O4552">
        <v>-0.28669289999999997</v>
      </c>
      <c r="P4552">
        <v>0.94899049999999996</v>
      </c>
      <c r="Q4552">
        <v>0.18632460000000001</v>
      </c>
      <c r="R4552">
        <v>-0.25436330000000001</v>
      </c>
      <c r="S4552">
        <v>3.1217649999999999</v>
      </c>
      <c r="T4552">
        <v>-5.3595539999999997E-2</v>
      </c>
      <c r="U4552">
        <v>-0.1916504</v>
      </c>
      <c r="V4552">
        <v>-3.0544160000000001E-2</v>
      </c>
      <c r="W4552">
        <v>0.19944419999999999</v>
      </c>
      <c r="X4552">
        <v>0.979433</v>
      </c>
      <c r="Y4552">
        <v>-0.22741710000000001</v>
      </c>
      <c r="Z4552">
        <v>4.3888659999999999E-3</v>
      </c>
      <c r="AA4552">
        <v>0.97378750000000003</v>
      </c>
      <c r="AB4552">
        <v>25</v>
      </c>
      <c r="AC4552">
        <v>65.442899999999995</v>
      </c>
      <c r="AD4552">
        <v>-1.1257735321169999</v>
      </c>
      <c r="AE4552">
        <v>-3.9902099999999998</v>
      </c>
      <c r="AF4552">
        <v>-14.936692598245299</v>
      </c>
      <c r="AG4552">
        <v>-1.1257735321169999</v>
      </c>
      <c r="AH4552">
        <v>63.820502496489397</v>
      </c>
      <c r="AI4552">
        <v>90.983989978912703</v>
      </c>
      <c r="AJ4552">
        <v>103.172535760421</v>
      </c>
      <c r="AK4552">
        <v>65.554776261722594</v>
      </c>
      <c r="AL4552">
        <v>78.495540376079703</v>
      </c>
      <c r="AM4552">
        <v>91.7862216779005</v>
      </c>
      <c r="AN4552">
        <v>0.99999996805637204</v>
      </c>
    </row>
    <row r="4553" spans="1:40" x14ac:dyDescent="0.25">
      <c r="A4553" t="str">
        <f>"20190303171108254"</f>
        <v>20190303171108254</v>
      </c>
      <c r="B4553" t="str">
        <f>"1551604268245413"</f>
        <v>1551604268245413</v>
      </c>
      <c r="C4553" t="s">
        <v>40</v>
      </c>
      <c r="D4553">
        <v>5.2592840000000001</v>
      </c>
      <c r="E4553">
        <v>0.42509849999999999</v>
      </c>
      <c r="F4553" t="s">
        <v>42</v>
      </c>
      <c r="G4553">
        <v>-334.16090000000003</v>
      </c>
      <c r="H4553" s="1">
        <v>-3.3508120000000001E-6</v>
      </c>
      <c r="I4553">
        <v>14.747870000000001</v>
      </c>
      <c r="J4553">
        <v>-401.55970000000002</v>
      </c>
      <c r="K4553">
        <v>1.1257710000000001</v>
      </c>
      <c r="L4553">
        <v>18.69342</v>
      </c>
      <c r="M4553">
        <v>0.95950040000000003</v>
      </c>
      <c r="N4553">
        <v>-1.369389E-2</v>
      </c>
      <c r="O4553">
        <v>-0.28137450000000003</v>
      </c>
      <c r="P4553">
        <v>0.94995180000000001</v>
      </c>
      <c r="Q4553">
        <v>0.18712509999999999</v>
      </c>
      <c r="R4553">
        <v>-0.25015199999999999</v>
      </c>
      <c r="S4553">
        <v>3.1219480000000002</v>
      </c>
      <c r="T4553">
        <v>-5.1991580000000003E-2</v>
      </c>
      <c r="U4553">
        <v>-0.18469240000000001</v>
      </c>
      <c r="V4553">
        <v>-2.9413640000000001E-2</v>
      </c>
      <c r="W4553">
        <v>0.20025200000000001</v>
      </c>
      <c r="X4553">
        <v>0.97930280000000003</v>
      </c>
      <c r="Y4553">
        <v>-0.22418360000000001</v>
      </c>
      <c r="Z4553">
        <v>4.1274429999999997E-3</v>
      </c>
      <c r="AA4553">
        <v>0.97453820000000002</v>
      </c>
      <c r="AB4553">
        <v>25</v>
      </c>
      <c r="AC4553">
        <v>67.398799999999994</v>
      </c>
      <c r="AD4553">
        <v>-1.1257743508119999</v>
      </c>
      <c r="AE4553">
        <v>-3.9455499999999901</v>
      </c>
      <c r="AF4553">
        <v>-15.175749556222</v>
      </c>
      <c r="AG4553">
        <v>-1.1257743508119999</v>
      </c>
      <c r="AH4553">
        <v>65.767230081777896</v>
      </c>
      <c r="AI4553">
        <v>90.955563163684701</v>
      </c>
      <c r="AJ4553">
        <v>102.993538575624</v>
      </c>
      <c r="AK4553">
        <v>67.504809422082104</v>
      </c>
      <c r="AL4553">
        <v>78.448304309518093</v>
      </c>
      <c r="AM4553">
        <v>91.720377939252401</v>
      </c>
      <c r="AN4553">
        <v>0.99999999990494404</v>
      </c>
    </row>
    <row r="4554" spans="1:40" x14ac:dyDescent="0.25">
      <c r="A4554" t="str">
        <f>"20190303171108265"</f>
        <v>20190303171108265</v>
      </c>
      <c r="B4554" t="str">
        <f>"1551604268255173"</f>
        <v>1551604268255173</v>
      </c>
      <c r="C4554" t="s">
        <v>40</v>
      </c>
      <c r="D4554">
        <v>5.2438570000000002</v>
      </c>
      <c r="E4554">
        <v>0.42540440000000002</v>
      </c>
      <c r="F4554" t="s">
        <v>42</v>
      </c>
      <c r="G4554">
        <v>-333.98820000000001</v>
      </c>
      <c r="H4554" s="1">
        <v>-3.3982579999999998E-6</v>
      </c>
      <c r="I4554">
        <v>14.89819</v>
      </c>
      <c r="J4554">
        <v>-401.43869999999998</v>
      </c>
      <c r="K4554">
        <v>1.1257699999999999</v>
      </c>
      <c r="L4554">
        <v>18.661770000000001</v>
      </c>
      <c r="M4554">
        <v>0.96043339999999999</v>
      </c>
      <c r="N4554">
        <v>-1.3691729999999999E-2</v>
      </c>
      <c r="O4554">
        <v>-0.27817350000000002</v>
      </c>
      <c r="P4554">
        <v>0.95068739999999996</v>
      </c>
      <c r="Q4554">
        <v>0.18682370000000001</v>
      </c>
      <c r="R4554">
        <v>-0.2475694</v>
      </c>
      <c r="S4554">
        <v>3.122131</v>
      </c>
      <c r="T4554">
        <v>-5.2016260000000002E-2</v>
      </c>
      <c r="U4554">
        <v>-0.17535400000000001</v>
      </c>
      <c r="V4554">
        <v>-2.8819569999999999E-2</v>
      </c>
      <c r="W4554">
        <v>0.19995579999999999</v>
      </c>
      <c r="X4554">
        <v>0.97938099999999995</v>
      </c>
      <c r="Y4554">
        <v>-0.2238426</v>
      </c>
      <c r="Z4554">
        <v>4.1202679999999998E-3</v>
      </c>
      <c r="AA4554">
        <v>0.97461660000000006</v>
      </c>
      <c r="AB4554">
        <v>25</v>
      </c>
      <c r="AC4554">
        <v>67.450499999999906</v>
      </c>
      <c r="AD4554">
        <v>-1.125773398258</v>
      </c>
      <c r="AE4554">
        <v>-3.7635800000000001</v>
      </c>
      <c r="AF4554">
        <v>-15.145485756513301</v>
      </c>
      <c r="AG4554">
        <v>-1.125773398258</v>
      </c>
      <c r="AH4554">
        <v>65.816525811096</v>
      </c>
      <c r="AI4554">
        <v>90.954978950533302</v>
      </c>
      <c r="AJ4554">
        <v>102.959118161679</v>
      </c>
      <c r="AK4554">
        <v>67.546044846368602</v>
      </c>
      <c r="AL4554">
        <v>78.465625841530994</v>
      </c>
      <c r="AM4554">
        <v>91.6855170446795</v>
      </c>
      <c r="AN4554">
        <v>1.00000001636481</v>
      </c>
    </row>
    <row r="4555" spans="1:40" x14ac:dyDescent="0.25">
      <c r="A4555" t="str">
        <f>"20190303171108275"</f>
        <v>20190303171108275</v>
      </c>
      <c r="B4555" t="str">
        <f>"1551604268264933"</f>
        <v>1551604268264933</v>
      </c>
      <c r="C4555" t="s">
        <v>40</v>
      </c>
      <c r="D4555">
        <v>5.2513110000000003</v>
      </c>
      <c r="E4555">
        <v>0.42571439999999999</v>
      </c>
      <c r="F4555" t="s">
        <v>42</v>
      </c>
      <c r="G4555">
        <v>-337.03800000000001</v>
      </c>
      <c r="H4555" s="1">
        <v>-2.1769240000000001E-6</v>
      </c>
      <c r="I4555">
        <v>15.17066</v>
      </c>
      <c r="J4555">
        <v>-401.32760000000002</v>
      </c>
      <c r="K4555">
        <v>1.125769</v>
      </c>
      <c r="L4555">
        <v>18.632809999999999</v>
      </c>
      <c r="M4555">
        <v>0.96128139999999995</v>
      </c>
      <c r="N4555">
        <v>-1.368979E-2</v>
      </c>
      <c r="O4555">
        <v>-0.27522909999999901</v>
      </c>
      <c r="P4555">
        <v>0.95140400000000003</v>
      </c>
      <c r="Q4555">
        <v>0.18660499999999999</v>
      </c>
      <c r="R4555">
        <v>-0.24496850000000001</v>
      </c>
      <c r="S4555">
        <v>3.1222530000000002</v>
      </c>
      <c r="T4555">
        <v>-5.4579259999999997E-2</v>
      </c>
      <c r="U4555">
        <v>-0.1692505</v>
      </c>
      <c r="V4555">
        <v>-2.8503750000000001E-2</v>
      </c>
      <c r="W4555">
        <v>0.19973949999999999</v>
      </c>
      <c r="X4555">
        <v>0.97943440000000004</v>
      </c>
      <c r="Y4555">
        <v>-0.2227527</v>
      </c>
      <c r="Z4555">
        <v>4.4132219999999996E-3</v>
      </c>
      <c r="AA4555">
        <v>0.97486499999999998</v>
      </c>
      <c r="AB4555">
        <v>25</v>
      </c>
      <c r="AC4555">
        <v>64.289599999999993</v>
      </c>
      <c r="AD4555">
        <v>-1.125771176924</v>
      </c>
      <c r="AE4555">
        <v>-3.4621499999999901</v>
      </c>
      <c r="AF4555">
        <v>-14.363220372132201</v>
      </c>
      <c r="AG4555">
        <v>-1.125771176924</v>
      </c>
      <c r="AH4555">
        <v>62.739967260408498</v>
      </c>
      <c r="AI4555">
        <v>91.002055282064603</v>
      </c>
      <c r="AJ4555">
        <v>102.89466315942001</v>
      </c>
      <c r="AK4555">
        <v>64.372920953133402</v>
      </c>
      <c r="AL4555">
        <v>78.478274321343704</v>
      </c>
      <c r="AM4555">
        <v>91.666965904271194</v>
      </c>
      <c r="AN4555">
        <v>1.0000000377638301</v>
      </c>
    </row>
    <row r="4556" spans="1:40" x14ac:dyDescent="0.25">
      <c r="A4556" t="str">
        <f>"20190303171108287"</f>
        <v>20190303171108287</v>
      </c>
      <c r="B4556" t="str">
        <f>"1551604268275669"</f>
        <v>1551604268275669</v>
      </c>
      <c r="C4556" t="s">
        <v>40</v>
      </c>
      <c r="D4556">
        <v>5.2718069999999999</v>
      </c>
      <c r="E4556">
        <v>0.4260639</v>
      </c>
      <c r="F4556" t="s">
        <v>42</v>
      </c>
      <c r="G4556">
        <v>-339.36009999999999</v>
      </c>
      <c r="H4556" s="1">
        <v>-1.3273580000000001E-6</v>
      </c>
      <c r="I4556">
        <v>15.39359</v>
      </c>
      <c r="J4556">
        <v>-401.21039999999999</v>
      </c>
      <c r="K4556">
        <v>1.1257629999999901</v>
      </c>
      <c r="L4556">
        <v>18.60303</v>
      </c>
      <c r="M4556">
        <v>0.96216420000000002</v>
      </c>
      <c r="N4556">
        <v>-1.368787E-2</v>
      </c>
      <c r="O4556">
        <v>-0.27212619999999998</v>
      </c>
      <c r="P4556">
        <v>0.95200790000000002</v>
      </c>
      <c r="Q4556">
        <v>0.18649740000000001</v>
      </c>
      <c r="R4556">
        <v>-0.2426924</v>
      </c>
      <c r="S4556">
        <v>3.1223139999999998</v>
      </c>
      <c r="T4556">
        <v>-5.672348E-2</v>
      </c>
      <c r="U4556">
        <v>-0.16320799999999999</v>
      </c>
      <c r="V4556">
        <v>-2.7687010000000001E-2</v>
      </c>
      <c r="W4556">
        <v>0.1996395</v>
      </c>
      <c r="X4556">
        <v>0.97947819999999997</v>
      </c>
      <c r="Y4556">
        <v>-0.2214855</v>
      </c>
      <c r="Z4556">
        <v>4.6463800000000003E-3</v>
      </c>
      <c r="AA4556">
        <v>0.97515260000000004</v>
      </c>
      <c r="AB4556">
        <v>25</v>
      </c>
      <c r="AC4556">
        <v>61.850299999999997</v>
      </c>
      <c r="AD4556">
        <v>-1.12576432735799</v>
      </c>
      <c r="AE4556">
        <v>-3.2094399999999998</v>
      </c>
      <c r="AF4556">
        <v>-13.7398269567</v>
      </c>
      <c r="AG4556">
        <v>-1.12576432735799</v>
      </c>
      <c r="AH4556">
        <v>60.369229210017501</v>
      </c>
      <c r="AI4556">
        <v>91.041693630548295</v>
      </c>
      <c r="AJ4556">
        <v>102.821906018001</v>
      </c>
      <c r="AK4556">
        <v>61.923291462360403</v>
      </c>
      <c r="AL4556">
        <v>78.484121489587906</v>
      </c>
      <c r="AM4556">
        <v>91.619154474140899</v>
      </c>
      <c r="AN4556">
        <v>1.0000000223791099</v>
      </c>
    </row>
    <row r="4557" spans="1:40" x14ac:dyDescent="0.25">
      <c r="A4557" t="str">
        <f>"20190303171108300"</f>
        <v>20190303171108300</v>
      </c>
      <c r="B4557" t="str">
        <f>"1551604268295189"</f>
        <v>1551604268295189</v>
      </c>
      <c r="C4557" t="s">
        <v>40</v>
      </c>
      <c r="D4557">
        <v>5.2646420000000003</v>
      </c>
      <c r="E4557">
        <v>0.4266895</v>
      </c>
      <c r="F4557" t="s">
        <v>42</v>
      </c>
      <c r="G4557">
        <v>-341.62169999999998</v>
      </c>
      <c r="H4557" s="1">
        <v>-4.2935230000000001E-6</v>
      </c>
      <c r="I4557">
        <v>15.57441</v>
      </c>
      <c r="J4557">
        <v>-401.0856</v>
      </c>
      <c r="K4557">
        <v>1.125756</v>
      </c>
      <c r="L4557">
        <v>18.571439999999999</v>
      </c>
      <c r="M4557">
        <v>0.96309400000000001</v>
      </c>
      <c r="N4557">
        <v>-1.3685869999999999E-2</v>
      </c>
      <c r="O4557">
        <v>-0.26881749999999999</v>
      </c>
      <c r="P4557">
        <v>0.95275670000000001</v>
      </c>
      <c r="Q4557">
        <v>0.18617310000000001</v>
      </c>
      <c r="R4557">
        <v>-0.23998920000000001</v>
      </c>
      <c r="S4557">
        <v>3.1223749999999999</v>
      </c>
      <c r="T4557">
        <v>-5.8988810000000003E-2</v>
      </c>
      <c r="U4557">
        <v>-0.15869140000000001</v>
      </c>
      <c r="V4557">
        <v>-2.7110599999999999E-2</v>
      </c>
      <c r="W4557">
        <v>0.19932040000000001</v>
      </c>
      <c r="X4557">
        <v>0.97955930000000002</v>
      </c>
      <c r="Y4557">
        <v>-0.2195368</v>
      </c>
      <c r="Z4557">
        <v>4.8769490000000002E-3</v>
      </c>
      <c r="AA4557">
        <v>0.97559200000000001</v>
      </c>
      <c r="AB4557">
        <v>25</v>
      </c>
      <c r="AC4557">
        <v>59.463900000000002</v>
      </c>
      <c r="AD4557">
        <v>-1.125760293523</v>
      </c>
      <c r="AE4557">
        <v>-2.9970299999999899</v>
      </c>
      <c r="AF4557">
        <v>-13.0950592965771</v>
      </c>
      <c r="AG4557">
        <v>-1.125760293523</v>
      </c>
      <c r="AH4557">
        <v>58.059656390355499</v>
      </c>
      <c r="AI4557">
        <v>91.083596800331506</v>
      </c>
      <c r="AJ4557">
        <v>102.71009602284499</v>
      </c>
      <c r="AK4557">
        <v>59.528746118035201</v>
      </c>
      <c r="AL4557">
        <v>78.502779470650196</v>
      </c>
      <c r="AM4557">
        <v>91.585331830394594</v>
      </c>
      <c r="AN4557">
        <v>1.0000000143525001</v>
      </c>
    </row>
    <row r="4558" spans="1:40" x14ac:dyDescent="0.25">
      <c r="A4558" t="str">
        <f>"20190303171108310"</f>
        <v>20190303171108310</v>
      </c>
      <c r="B4558" t="str">
        <f>"1551604268305926"</f>
        <v>1551604268305926</v>
      </c>
      <c r="C4558" t="s">
        <v>40</v>
      </c>
      <c r="D4558">
        <v>5.251627</v>
      </c>
      <c r="E4558">
        <v>0.42702620000000002</v>
      </c>
      <c r="F4558" t="s">
        <v>42</v>
      </c>
      <c r="G4558">
        <v>-345.18349999999998</v>
      </c>
      <c r="H4558" s="1">
        <v>-2.724479E-6</v>
      </c>
      <c r="I4558">
        <v>15.80592</v>
      </c>
      <c r="J4558">
        <v>-400.96480000000003</v>
      </c>
      <c r="K4558">
        <v>1.1257539999999999</v>
      </c>
      <c r="L4558">
        <v>18.541499999999999</v>
      </c>
      <c r="M4558">
        <v>0.96398150000000005</v>
      </c>
      <c r="N4558">
        <v>-1.368405E-2</v>
      </c>
      <c r="O4558">
        <v>-0.26561709999999999</v>
      </c>
      <c r="P4558">
        <v>0.95333690000000004</v>
      </c>
      <c r="Q4558">
        <v>0.18624470000000001</v>
      </c>
      <c r="R4558">
        <v>-0.2376172</v>
      </c>
      <c r="S4558">
        <v>3.122131</v>
      </c>
      <c r="T4558">
        <v>-6.2873600000000002E-2</v>
      </c>
      <c r="U4558">
        <v>-0.15444949999999999</v>
      </c>
      <c r="V4558">
        <v>-2.6288539999999999E-2</v>
      </c>
      <c r="W4558">
        <v>0.19939979999999999</v>
      </c>
      <c r="X4558">
        <v>0.97956549999999998</v>
      </c>
      <c r="Y4558">
        <v>-0.2176061</v>
      </c>
      <c r="Z4558">
        <v>5.2954229999999996E-3</v>
      </c>
      <c r="AA4558">
        <v>0.97602230000000001</v>
      </c>
      <c r="AB4558">
        <v>25</v>
      </c>
      <c r="AC4558">
        <v>55.781300000000002</v>
      </c>
      <c r="AD4558">
        <v>-1.1257567244789899</v>
      </c>
      <c r="AE4558">
        <v>-2.7355799999999899</v>
      </c>
      <c r="AF4558">
        <v>-12.1756117282942</v>
      </c>
      <c r="AG4558">
        <v>-1.1257567244789899</v>
      </c>
      <c r="AH4558">
        <v>54.481723488249699</v>
      </c>
      <c r="AI4558">
        <v>91.155246069011696</v>
      </c>
      <c r="AJ4558">
        <v>102.59749965885</v>
      </c>
      <c r="AK4558">
        <v>55.8370042481775</v>
      </c>
      <c r="AL4558">
        <v>78.498136455847998</v>
      </c>
      <c r="AM4558">
        <v>91.537274376495901</v>
      </c>
      <c r="AN4558">
        <v>0.99999996818281001</v>
      </c>
    </row>
    <row r="4559" spans="1:40" x14ac:dyDescent="0.25">
      <c r="A4559" t="str">
        <f>"20190303171108321"</f>
        <v>20190303171108321</v>
      </c>
      <c r="B4559" t="str">
        <f>"1551604268315685"</f>
        <v>1551604268315685</v>
      </c>
      <c r="C4559" t="s">
        <v>40</v>
      </c>
      <c r="D4559">
        <v>5.263782</v>
      </c>
      <c r="E4559">
        <v>0.42735810000000002</v>
      </c>
      <c r="F4559" t="s">
        <v>42</v>
      </c>
      <c r="G4559">
        <v>-345.76139999999998</v>
      </c>
      <c r="H4559" s="1">
        <v>-2.4587010000000001E-6</v>
      </c>
      <c r="I4559">
        <v>15.906639999999999</v>
      </c>
      <c r="J4559">
        <v>-400.85129999999998</v>
      </c>
      <c r="K4559">
        <v>1.12575</v>
      </c>
      <c r="L4559">
        <v>18.51361</v>
      </c>
      <c r="M4559">
        <v>0.96480569999999999</v>
      </c>
      <c r="N4559">
        <v>-1.3682349999999999E-2</v>
      </c>
      <c r="O4559">
        <v>-0.26260810000000001</v>
      </c>
      <c r="P4559">
        <v>0.95383609999999996</v>
      </c>
      <c r="Q4559">
        <v>0.1864324</v>
      </c>
      <c r="R4559">
        <v>-0.23545640000000001</v>
      </c>
      <c r="S4559">
        <v>3.1221920000000001</v>
      </c>
      <c r="T4559">
        <v>-6.3670400000000002E-2</v>
      </c>
      <c r="U4559">
        <v>-0.14901729999999899</v>
      </c>
      <c r="V4559">
        <v>-2.54402E-2</v>
      </c>
      <c r="W4559">
        <v>0.19959470000000001</v>
      </c>
      <c r="X4559">
        <v>0.97954819999999998</v>
      </c>
      <c r="Y4559">
        <v>-0.216254</v>
      </c>
      <c r="Z4559">
        <v>5.3508799999999997E-3</v>
      </c>
      <c r="AA4559">
        <v>0.97632249999999998</v>
      </c>
      <c r="AB4559">
        <v>25</v>
      </c>
      <c r="AC4559">
        <v>55.0899</v>
      </c>
      <c r="AD4559">
        <v>-1.1257524587009999</v>
      </c>
      <c r="AE4559">
        <v>-2.60697</v>
      </c>
      <c r="AF4559">
        <v>-11.947973677633399</v>
      </c>
      <c r="AG4559">
        <v>-1.1257524587009999</v>
      </c>
      <c r="AH4559">
        <v>53.818270555589002</v>
      </c>
      <c r="AI4559">
        <v>91.169845141878</v>
      </c>
      <c r="AJ4559">
        <v>102.516996169192</v>
      </c>
      <c r="AK4559">
        <v>55.140072897977497</v>
      </c>
      <c r="AL4559">
        <v>78.486740358328206</v>
      </c>
      <c r="AM4559">
        <v>91.487714944725894</v>
      </c>
      <c r="AN4559">
        <v>0.99999996208368402</v>
      </c>
    </row>
    <row r="4560" spans="1:40" x14ac:dyDescent="0.25">
      <c r="A4560" t="str">
        <f>"20190303171108333"</f>
        <v>20190303171108333</v>
      </c>
      <c r="B4560" t="str">
        <f>"1551604268325445"</f>
        <v>1551604268325445</v>
      </c>
      <c r="C4560" t="s">
        <v>40</v>
      </c>
      <c r="D4560">
        <v>5.2779680000000004</v>
      </c>
      <c r="E4560">
        <v>0.42767260000000001</v>
      </c>
      <c r="F4560" t="s">
        <v>42</v>
      </c>
      <c r="G4560">
        <v>-345.84</v>
      </c>
      <c r="H4560" s="1">
        <v>-2.4130349999999999E-6</v>
      </c>
      <c r="I4560">
        <v>15.9739</v>
      </c>
      <c r="J4560">
        <v>-400.71390000000002</v>
      </c>
      <c r="K4560">
        <v>1.1257469999999901</v>
      </c>
      <c r="L4560">
        <v>18.48038</v>
      </c>
      <c r="M4560">
        <v>0.96578980000000003</v>
      </c>
      <c r="N4560">
        <v>-1.3680339999999999E-2</v>
      </c>
      <c r="O4560">
        <v>-0.25896529999999901</v>
      </c>
      <c r="P4560">
        <v>0.95449019999999996</v>
      </c>
      <c r="Q4560">
        <v>0.18631420000000001</v>
      </c>
      <c r="R4560">
        <v>-0.2328856</v>
      </c>
      <c r="S4560">
        <v>3.122131</v>
      </c>
      <c r="T4560">
        <v>-6.3891290000000003E-2</v>
      </c>
      <c r="U4560">
        <v>-0.1441345</v>
      </c>
      <c r="V4560">
        <v>-2.4382310000000001E-2</v>
      </c>
      <c r="W4560">
        <v>0.19948630000000001</v>
      </c>
      <c r="X4560">
        <v>0.97959719999999995</v>
      </c>
      <c r="Y4560">
        <v>-0.214092</v>
      </c>
      <c r="Z4560">
        <v>5.3200440000000003E-3</v>
      </c>
      <c r="AA4560">
        <v>0.97679899999999997</v>
      </c>
      <c r="AB4560">
        <v>25</v>
      </c>
      <c r="AC4560">
        <v>54.873899999999999</v>
      </c>
      <c r="AD4560">
        <v>-1.1257494130350001</v>
      </c>
      <c r="AE4560">
        <v>-2.5064799999999998</v>
      </c>
      <c r="AF4560">
        <v>-11.785855830419299</v>
      </c>
      <c r="AG4560">
        <v>-1.1257494130350001</v>
      </c>
      <c r="AH4560">
        <v>53.628238065149702</v>
      </c>
      <c r="AI4560">
        <v>91.174539087574402</v>
      </c>
      <c r="AJ4560">
        <v>102.394825791356</v>
      </c>
      <c r="AK4560">
        <v>54.919592381669702</v>
      </c>
      <c r="AL4560">
        <v>78.493078868386803</v>
      </c>
      <c r="AM4560">
        <v>91.425805499349707</v>
      </c>
      <c r="AN4560">
        <v>0.999999977588232</v>
      </c>
    </row>
    <row r="4561" spans="1:40" x14ac:dyDescent="0.25">
      <c r="A4561" t="str">
        <f>"20190303171108344"</f>
        <v>20190303171108344</v>
      </c>
      <c r="B4561" t="str">
        <f>"1551604268335205"</f>
        <v>1551604268335205</v>
      </c>
      <c r="C4561" t="s">
        <v>40</v>
      </c>
      <c r="D4561">
        <v>5.2879800000000001</v>
      </c>
      <c r="E4561">
        <v>0.42795680000000003</v>
      </c>
      <c r="F4561" t="s">
        <v>42</v>
      </c>
      <c r="G4561">
        <v>-346.9171</v>
      </c>
      <c r="H4561" s="1">
        <v>-1.9700019999999998E-6</v>
      </c>
      <c r="I4561">
        <v>16.102929999999901</v>
      </c>
      <c r="J4561">
        <v>-400.5992</v>
      </c>
      <c r="K4561">
        <v>1.12574</v>
      </c>
      <c r="L4561">
        <v>18.453220000000002</v>
      </c>
      <c r="M4561">
        <v>0.96659989999999996</v>
      </c>
      <c r="N4561">
        <v>-1.367866E-2</v>
      </c>
      <c r="O4561">
        <v>-0.25592520000000002</v>
      </c>
      <c r="P4561">
        <v>0.95512529999999995</v>
      </c>
      <c r="Q4561">
        <v>0.18587500000000001</v>
      </c>
      <c r="R4561">
        <v>-0.2306214</v>
      </c>
      <c r="S4561">
        <v>3.1221009999999998</v>
      </c>
      <c r="T4561">
        <v>-6.5332890000000005E-2</v>
      </c>
      <c r="U4561">
        <v>-0.13797000000000001</v>
      </c>
      <c r="V4561">
        <v>-2.3636580000000001E-2</v>
      </c>
      <c r="W4561">
        <v>0.1990555</v>
      </c>
      <c r="X4561">
        <v>0.97970310000000005</v>
      </c>
      <c r="Y4561">
        <v>-0.21293960000000001</v>
      </c>
      <c r="Z4561">
        <v>5.4498400000000001E-3</v>
      </c>
      <c r="AA4561">
        <v>0.97705010000000003</v>
      </c>
      <c r="AB4561">
        <v>25</v>
      </c>
      <c r="AC4561">
        <v>53.682099999999899</v>
      </c>
      <c r="AD4561">
        <v>-1.1257419700019999</v>
      </c>
      <c r="AE4561">
        <v>-2.3502900000000002</v>
      </c>
      <c r="AF4561">
        <v>-11.4628526742615</v>
      </c>
      <c r="AG4561">
        <v>-1.1257419700019999</v>
      </c>
      <c r="AH4561">
        <v>52.4724862175403</v>
      </c>
      <c r="AI4561">
        <v>91.200723892719495</v>
      </c>
      <c r="AJ4561">
        <v>102.322930567165</v>
      </c>
      <c r="AK4561">
        <v>53.721746958422798</v>
      </c>
      <c r="AL4561">
        <v>78.518266989935597</v>
      </c>
      <c r="AM4561">
        <v>91.382065243617305</v>
      </c>
      <c r="AN4561">
        <v>0.99999997207197699</v>
      </c>
    </row>
    <row r="4562" spans="1:40" x14ac:dyDescent="0.25">
      <c r="A4562" t="str">
        <f>"20190303171108356"</f>
        <v>20190303171108356</v>
      </c>
      <c r="B4562" t="str">
        <f>"1551604268344965"</f>
        <v>1551604268344965</v>
      </c>
      <c r="C4562" t="s">
        <v>40</v>
      </c>
      <c r="D4562">
        <v>5.2610010000000003</v>
      </c>
      <c r="E4562">
        <v>0.42825590000000002</v>
      </c>
      <c r="F4562" t="s">
        <v>42</v>
      </c>
      <c r="G4562">
        <v>-348.51170000000002</v>
      </c>
      <c r="H4562" s="1">
        <v>-1.39036E-6</v>
      </c>
      <c r="I4562">
        <v>16.241900000000001</v>
      </c>
      <c r="J4562">
        <v>-400.47680000000003</v>
      </c>
      <c r="K4562">
        <v>1.1257360000000001</v>
      </c>
      <c r="L4562">
        <v>18.42435</v>
      </c>
      <c r="M4562">
        <v>0.96745320000000001</v>
      </c>
      <c r="N4562">
        <v>-1.3676890000000001E-2</v>
      </c>
      <c r="O4562">
        <v>-0.25268010000000002</v>
      </c>
      <c r="P4562">
        <v>0.95591009999999998</v>
      </c>
      <c r="Q4562">
        <v>0.18536269999999999</v>
      </c>
      <c r="R4562">
        <v>-0.2277643</v>
      </c>
      <c r="S4562">
        <v>3.1220400000000001</v>
      </c>
      <c r="T4562">
        <v>-6.7475199999999999E-2</v>
      </c>
      <c r="U4562">
        <v>-0.13253779999999901</v>
      </c>
      <c r="V4562">
        <v>-2.3295670000000001E-2</v>
      </c>
      <c r="W4562">
        <v>0.19854649999999999</v>
      </c>
      <c r="X4562">
        <v>0.97981459999999998</v>
      </c>
      <c r="Y4562">
        <v>-0.21135190000000001</v>
      </c>
      <c r="Z4562">
        <v>5.6471239999999999E-3</v>
      </c>
      <c r="AA4562">
        <v>0.97739370000000003</v>
      </c>
      <c r="AB4562">
        <v>25</v>
      </c>
      <c r="AC4562">
        <v>51.9651</v>
      </c>
      <c r="AD4562">
        <v>-1.1257373903600001</v>
      </c>
      <c r="AE4562">
        <v>-2.1824499999999998</v>
      </c>
      <c r="AF4562">
        <v>-11.014999024621</v>
      </c>
      <c r="AG4562">
        <v>-1.1257373903600001</v>
      </c>
      <c r="AH4562">
        <v>50.806217268293402</v>
      </c>
      <c r="AI4562">
        <v>91.240511557810905</v>
      </c>
      <c r="AJ4562">
        <v>102.232646762423</v>
      </c>
      <c r="AK4562">
        <v>51.998742304958597</v>
      </c>
      <c r="AL4562">
        <v>78.548025128327197</v>
      </c>
      <c r="AM4562">
        <v>91.361984355515304</v>
      </c>
      <c r="AN4562">
        <v>1.0000000256380699</v>
      </c>
    </row>
    <row r="4563" spans="1:40" x14ac:dyDescent="0.25">
      <c r="A4563" t="str">
        <f>"20190303171108367"</f>
        <v>20190303171108367</v>
      </c>
      <c r="B4563" t="str">
        <f>"1551604268354914"</f>
        <v>1551604268354914</v>
      </c>
      <c r="C4563" t="s">
        <v>40</v>
      </c>
      <c r="D4563">
        <v>5.269215</v>
      </c>
      <c r="E4563">
        <v>0.42854569999999997</v>
      </c>
      <c r="F4563" t="s">
        <v>42</v>
      </c>
      <c r="G4563">
        <v>-350.5077</v>
      </c>
      <c r="H4563" s="1">
        <v>-4.6216519999999997E-6</v>
      </c>
      <c r="I4563">
        <v>16.418789999999898</v>
      </c>
      <c r="J4563">
        <v>-400.35140000000001</v>
      </c>
      <c r="K4563">
        <v>1.125729</v>
      </c>
      <c r="L4563">
        <v>18.395600000000002</v>
      </c>
      <c r="M4563">
        <v>0.96831509999999998</v>
      </c>
      <c r="N4563">
        <v>-1.3675140000000001E-2</v>
      </c>
      <c r="O4563">
        <v>-0.249357</v>
      </c>
      <c r="P4563">
        <v>0.95667930000000001</v>
      </c>
      <c r="Q4563">
        <v>0.18501690000000001</v>
      </c>
      <c r="R4563">
        <v>-0.224797</v>
      </c>
      <c r="S4563">
        <v>3.1221619999999999</v>
      </c>
      <c r="T4563">
        <v>-7.0338369999999997E-2</v>
      </c>
      <c r="U4563">
        <v>-0.12530519999999901</v>
      </c>
      <c r="V4563">
        <v>-2.2981930000000001E-2</v>
      </c>
      <c r="W4563">
        <v>0.1982035</v>
      </c>
      <c r="X4563">
        <v>0.97989139999999997</v>
      </c>
      <c r="Y4563">
        <v>-0.2102512</v>
      </c>
      <c r="Z4563">
        <v>5.9280619999999996E-3</v>
      </c>
      <c r="AA4563">
        <v>0.97762939999999998</v>
      </c>
      <c r="AB4563">
        <v>25</v>
      </c>
      <c r="AC4563">
        <v>49.843699999999998</v>
      </c>
      <c r="AD4563">
        <v>-1.125733621652</v>
      </c>
      <c r="AE4563">
        <v>-1.97681</v>
      </c>
      <c r="AF4563">
        <v>-10.5103307034877</v>
      </c>
      <c r="AG4563">
        <v>-1.125733621652</v>
      </c>
      <c r="AH4563">
        <v>48.737075605007803</v>
      </c>
      <c r="AI4563">
        <v>91.293463111637294</v>
      </c>
      <c r="AJ4563">
        <v>102.169674805041</v>
      </c>
      <c r="AK4563">
        <v>49.870200182191297</v>
      </c>
      <c r="AL4563">
        <v>78.568075495456497</v>
      </c>
      <c r="AM4563">
        <v>91.343543004947094</v>
      </c>
      <c r="AN4563">
        <v>0.99999997615636704</v>
      </c>
    </row>
    <row r="4564" spans="1:40" x14ac:dyDescent="0.25">
      <c r="A4564" t="str">
        <f>"20190303171108388"</f>
        <v>20190303171108388</v>
      </c>
      <c r="B4564" t="str">
        <f>"1551604268375410"</f>
        <v>1551604268375410</v>
      </c>
      <c r="C4564" t="s">
        <v>40</v>
      </c>
      <c r="D4564">
        <v>5.2756089999999896</v>
      </c>
      <c r="E4564">
        <v>0.42916969999999999</v>
      </c>
      <c r="F4564" t="s">
        <v>42</v>
      </c>
      <c r="G4564">
        <v>-351.95850000000002</v>
      </c>
      <c r="H4564" s="1">
        <v>-3.9723949999999999E-6</v>
      </c>
      <c r="I4564">
        <v>16.570160000000001</v>
      </c>
      <c r="J4564">
        <v>-400.14789999999999</v>
      </c>
      <c r="K4564">
        <v>1.1257200000000001</v>
      </c>
      <c r="L4564">
        <v>18.34958</v>
      </c>
      <c r="M4564">
        <v>0.96968969999999999</v>
      </c>
      <c r="N4564">
        <v>-1.367235E-2</v>
      </c>
      <c r="O4564">
        <v>-0.24395720000000001</v>
      </c>
      <c r="P4564">
        <v>0.95796700000000001</v>
      </c>
      <c r="Q4564">
        <v>0.1847531</v>
      </c>
      <c r="R4564">
        <v>-0.21946740000000001</v>
      </c>
      <c r="S4564">
        <v>3.1221920000000001</v>
      </c>
      <c r="T4564">
        <v>-7.2629570000000004E-2</v>
      </c>
      <c r="U4564">
        <v>-0.11776730000000001</v>
      </c>
      <c r="V4564">
        <v>-2.2982720000000002E-2</v>
      </c>
      <c r="W4564">
        <v>0.197938</v>
      </c>
      <c r="X4564">
        <v>0.97994510000000001</v>
      </c>
      <c r="Y4564">
        <v>-0.20715459999999999</v>
      </c>
      <c r="Z4564">
        <v>6.0838339999999998E-3</v>
      </c>
      <c r="AA4564">
        <v>0.97828930000000003</v>
      </c>
      <c r="AB4564">
        <v>25</v>
      </c>
      <c r="AC4564">
        <v>48.1893999999999</v>
      </c>
      <c r="AD4564">
        <v>-1.1257239723950001</v>
      </c>
      <c r="AE4564">
        <v>-1.77941999999999</v>
      </c>
      <c r="AF4564">
        <v>-10.0261387940134</v>
      </c>
      <c r="AG4564">
        <v>-1.1257239723950001</v>
      </c>
      <c r="AH4564">
        <v>47.141581540940301</v>
      </c>
      <c r="AI4564">
        <v>91.3380267687414</v>
      </c>
      <c r="AJ4564">
        <v>102.00684477806099</v>
      </c>
      <c r="AK4564">
        <v>48.209121789968002</v>
      </c>
      <c r="AL4564">
        <v>78.583595603493094</v>
      </c>
      <c r="AM4564">
        <v>91.343515571743694</v>
      </c>
      <c r="AN4564">
        <v>1.0000000281382999</v>
      </c>
    </row>
    <row r="4565" spans="1:40" x14ac:dyDescent="0.25">
      <c r="A4565" t="str">
        <f>"20190303171108400"</f>
        <v>20190303171108400</v>
      </c>
      <c r="B4565" t="str">
        <f>"1551604268395906"</f>
        <v>1551604268395906</v>
      </c>
      <c r="C4565" t="s">
        <v>40</v>
      </c>
      <c r="D4565">
        <v>5.2949330000000003</v>
      </c>
      <c r="E4565">
        <v>0.42977130000000002</v>
      </c>
      <c r="F4565" t="s">
        <v>42</v>
      </c>
      <c r="G4565">
        <v>-353.87220000000002</v>
      </c>
      <c r="H4565" s="1">
        <v>-3.1127249999999999E-6</v>
      </c>
      <c r="I4565">
        <v>16.788519999999998</v>
      </c>
      <c r="J4565">
        <v>-400.01310000000001</v>
      </c>
      <c r="K4565">
        <v>1.125718</v>
      </c>
      <c r="L4565">
        <v>18.319669999999999</v>
      </c>
      <c r="M4565">
        <v>0.9705821</v>
      </c>
      <c r="N4565">
        <v>-1.367054E-2</v>
      </c>
      <c r="O4565">
        <v>-0.24038219999999999</v>
      </c>
      <c r="P4565">
        <v>0.9587542</v>
      </c>
      <c r="Q4565">
        <v>0.18467929999999999</v>
      </c>
      <c r="R4565">
        <v>-0.2160656</v>
      </c>
      <c r="S4565">
        <v>3.1221619999999999</v>
      </c>
      <c r="T4565">
        <v>-7.5951099999999994E-2</v>
      </c>
      <c r="U4565">
        <v>-0.1053162</v>
      </c>
      <c r="V4565">
        <v>-2.285036E-2</v>
      </c>
      <c r="W4565">
        <v>0.19786409999999999</v>
      </c>
      <c r="X4565">
        <v>0.97996309999999998</v>
      </c>
      <c r="Y4565">
        <v>-0.20743629999999999</v>
      </c>
      <c r="Z4565">
        <v>6.4234569999999996E-3</v>
      </c>
      <c r="AA4565">
        <v>0.97822739999999997</v>
      </c>
      <c r="AB4565">
        <v>25</v>
      </c>
      <c r="AC4565">
        <v>46.140899999999903</v>
      </c>
      <c r="AD4565">
        <v>-1.125721112725</v>
      </c>
      <c r="AE4565">
        <v>-1.53115</v>
      </c>
      <c r="AF4565">
        <v>-9.6005331616662897</v>
      </c>
      <c r="AG4565">
        <v>-1.125721112725</v>
      </c>
      <c r="AH4565">
        <v>45.1289773732315</v>
      </c>
      <c r="AI4565">
        <v>91.397656295404801</v>
      </c>
      <c r="AJ4565">
        <v>102.009805949944</v>
      </c>
      <c r="AK4565">
        <v>46.152595634108401</v>
      </c>
      <c r="AL4565">
        <v>78.587914975201997</v>
      </c>
      <c r="AM4565">
        <v>91.335756403241106</v>
      </c>
      <c r="AN4565">
        <v>1.00000000919127</v>
      </c>
    </row>
    <row r="4566" spans="1:40" x14ac:dyDescent="0.25">
      <c r="A4566" t="str">
        <f>"20190303171108413"</f>
        <v>20190303171108413</v>
      </c>
      <c r="B4566" t="str">
        <f>"1551604268405665"</f>
        <v>1551604268405665</v>
      </c>
      <c r="C4566" t="s">
        <v>40</v>
      </c>
      <c r="D4566">
        <v>5.3038699999999999</v>
      </c>
      <c r="E4566">
        <v>0.42982320000000002</v>
      </c>
      <c r="F4566" t="s">
        <v>42</v>
      </c>
      <c r="G4566">
        <v>-354.82780000000002</v>
      </c>
      <c r="H4566" s="1">
        <v>-2.6844839999999999E-6</v>
      </c>
      <c r="I4566">
        <v>16.89152</v>
      </c>
      <c r="J4566">
        <v>-399.86250000000001</v>
      </c>
      <c r="K4566">
        <v>1.12571</v>
      </c>
      <c r="L4566">
        <v>18.286960000000001</v>
      </c>
      <c r="M4566">
        <v>0.97156299999999995</v>
      </c>
      <c r="N4566">
        <v>-1.366858E-2</v>
      </c>
      <c r="O4566">
        <v>-0.2363866</v>
      </c>
      <c r="P4566">
        <v>0.95950239999999998</v>
      </c>
      <c r="Q4566">
        <v>0.18532470000000001</v>
      </c>
      <c r="R4566">
        <v>-0.21215619999999999</v>
      </c>
      <c r="S4566">
        <v>3.1217959999999998</v>
      </c>
      <c r="T4566">
        <v>-7.7774640000000006E-2</v>
      </c>
      <c r="U4566">
        <v>-9.8663329999999994E-2</v>
      </c>
      <c r="V4566">
        <v>-2.2786589999999999E-2</v>
      </c>
      <c r="W4566">
        <v>0.1985073</v>
      </c>
      <c r="X4566">
        <v>0.97983450000000005</v>
      </c>
      <c r="Y4566">
        <v>-0.20548520000000001</v>
      </c>
      <c r="Z4566">
        <v>6.5463190000000001E-3</v>
      </c>
      <c r="AA4566">
        <v>0.97863829999999996</v>
      </c>
      <c r="AB4566">
        <v>25</v>
      </c>
      <c r="AC4566">
        <v>45.034700000000001</v>
      </c>
      <c r="AD4566">
        <v>-1.125712684484</v>
      </c>
      <c r="AE4566">
        <v>-1.39544</v>
      </c>
      <c r="AF4566">
        <v>-9.2849132178186</v>
      </c>
      <c r="AG4566">
        <v>-1.125712684484</v>
      </c>
      <c r="AH4566">
        <v>44.060523788013498</v>
      </c>
      <c r="AI4566">
        <v>91.432105753241103</v>
      </c>
      <c r="AJ4566">
        <v>101.899881145865</v>
      </c>
      <c r="AK4566">
        <v>45.042275686121002</v>
      </c>
      <c r="AL4566">
        <v>78.550316579329206</v>
      </c>
      <c r="AM4566">
        <v>91.332204726556398</v>
      </c>
      <c r="AN4566">
        <v>1.0000000121136801</v>
      </c>
    </row>
    <row r="4567" spans="1:40" x14ac:dyDescent="0.25">
      <c r="A4567" t="str">
        <f>"20190303171108429"</f>
        <v>20190303171108429</v>
      </c>
      <c r="B4567" t="str">
        <f>"1551604268415426"</f>
        <v>1551604268415426</v>
      </c>
      <c r="C4567" t="s">
        <v>40</v>
      </c>
      <c r="D4567">
        <v>5.2547329999999999</v>
      </c>
      <c r="E4567">
        <v>0.42967379999999999</v>
      </c>
      <c r="F4567" t="s">
        <v>42</v>
      </c>
      <c r="G4567">
        <v>-353.69670000000002</v>
      </c>
      <c r="H4567" s="1">
        <v>-3.1487509999999999E-6</v>
      </c>
      <c r="I4567">
        <v>17.009869999999999</v>
      </c>
      <c r="J4567">
        <v>-399.7063</v>
      </c>
      <c r="K4567">
        <v>1.125707</v>
      </c>
      <c r="L4567">
        <v>18.25385</v>
      </c>
      <c r="M4567">
        <v>0.97256220000000004</v>
      </c>
      <c r="N4567">
        <v>-1.3666609999999999E-2</v>
      </c>
      <c r="O4567">
        <v>-0.23224139999999999</v>
      </c>
      <c r="P4567">
        <v>0.96032269999999997</v>
      </c>
      <c r="Q4567">
        <v>0.18557899999999999</v>
      </c>
      <c r="R4567">
        <v>-0.20818519999999999</v>
      </c>
      <c r="S4567">
        <v>3.122223</v>
      </c>
      <c r="T4567">
        <v>-7.6132660000000005E-2</v>
      </c>
      <c r="U4567">
        <v>-8.6364750000000004E-2</v>
      </c>
      <c r="V4567">
        <v>-2.2649909999999999E-2</v>
      </c>
      <c r="W4567">
        <v>0.19876060000000001</v>
      </c>
      <c r="X4567">
        <v>0.9797863</v>
      </c>
      <c r="Y4567">
        <v>-0.20517279999999999</v>
      </c>
      <c r="Z4567">
        <v>6.3227609999999997E-3</v>
      </c>
      <c r="AA4567">
        <v>0.9787053</v>
      </c>
      <c r="AB4567">
        <v>25</v>
      </c>
      <c r="AC4567">
        <v>46.009599999999899</v>
      </c>
      <c r="AD4567">
        <v>-1.125710148751</v>
      </c>
      <c r="AE4567">
        <v>-1.2439799999999901</v>
      </c>
      <c r="AF4567">
        <v>-9.4707053710466802</v>
      </c>
      <c r="AG4567">
        <v>-1.125710148751</v>
      </c>
      <c r="AH4567">
        <v>45.013379608782799</v>
      </c>
      <c r="AI4567">
        <v>91.401893783350602</v>
      </c>
      <c r="AJ4567">
        <v>101.88159394547699</v>
      </c>
      <c r="AK4567">
        <v>46.012670291654999</v>
      </c>
      <c r="AL4567">
        <v>78.535508279489605</v>
      </c>
      <c r="AM4567">
        <v>91.324281784632404</v>
      </c>
      <c r="AN4567">
        <v>0.99999999410152896</v>
      </c>
    </row>
    <row r="4568" spans="1:40" x14ac:dyDescent="0.25">
      <c r="A4568" t="str">
        <f>"20190303171108443"</f>
        <v>20190303171108443</v>
      </c>
      <c r="B4568" t="str">
        <f>"1551604268434946"</f>
        <v>1551604268434946</v>
      </c>
      <c r="C4568" t="s">
        <v>40</v>
      </c>
      <c r="D4568">
        <v>5.2122849999999996</v>
      </c>
      <c r="E4568">
        <v>0.42897180000000001</v>
      </c>
      <c r="F4568" t="s">
        <v>42</v>
      </c>
      <c r="G4568">
        <v>-352.34550000000002</v>
      </c>
      <c r="H4568" s="1">
        <v>-3.7010819999999999E-6</v>
      </c>
      <c r="I4568">
        <v>17.16376</v>
      </c>
      <c r="J4568">
        <v>-399.54939999999999</v>
      </c>
      <c r="K4568">
        <v>1.125705</v>
      </c>
      <c r="L4568">
        <v>18.221160000000001</v>
      </c>
      <c r="M4568">
        <v>0.97354719999999995</v>
      </c>
      <c r="N4568">
        <v>-1.366474E-2</v>
      </c>
      <c r="O4568">
        <v>-0.22807740000000001</v>
      </c>
      <c r="P4568">
        <v>0.96107770000000003</v>
      </c>
      <c r="Q4568">
        <v>0.1863377</v>
      </c>
      <c r="R4568">
        <v>-0.203981</v>
      </c>
      <c r="S4568">
        <v>3.1227109999999998</v>
      </c>
      <c r="T4568">
        <v>-7.4223280000000003E-2</v>
      </c>
      <c r="U4568">
        <v>-7.1868899999999999E-2</v>
      </c>
      <c r="V4568">
        <v>-2.2716429999999999E-2</v>
      </c>
      <c r="W4568">
        <v>0.19951530000000001</v>
      </c>
      <c r="X4568">
        <v>0.97963140000000004</v>
      </c>
      <c r="Y4568">
        <v>-0.20553450000000001</v>
      </c>
      <c r="Z4568">
        <v>6.0877290000000001E-3</v>
      </c>
      <c r="AA4568">
        <v>0.97863100000000003</v>
      </c>
      <c r="AB4568">
        <v>25</v>
      </c>
      <c r="AC4568">
        <v>47.203899999999898</v>
      </c>
      <c r="AD4568">
        <v>-1.1257087010819999</v>
      </c>
      <c r="AE4568">
        <v>-1.0573999999999999</v>
      </c>
      <c r="AF4568">
        <v>-9.7320902565298795</v>
      </c>
      <c r="AG4568">
        <v>-1.1257087010819999</v>
      </c>
      <c r="AH4568">
        <v>46.174456232829698</v>
      </c>
      <c r="AI4568">
        <v>91.366552348883801</v>
      </c>
      <c r="AJ4568">
        <v>101.901908235082</v>
      </c>
      <c r="AK4568">
        <v>47.2023432600378</v>
      </c>
      <c r="AL4568">
        <v>78.491383879472394</v>
      </c>
      <c r="AM4568">
        <v>91.328379582143498</v>
      </c>
      <c r="AN4568">
        <v>1.0000000354959899</v>
      </c>
    </row>
    <row r="4569" spans="1:40" x14ac:dyDescent="0.25">
      <c r="A4569" t="str">
        <f>"20190303171108454"</f>
        <v>20190303171108454</v>
      </c>
      <c r="B4569" t="str">
        <f>"1551604268445682"</f>
        <v>1551604268445682</v>
      </c>
      <c r="C4569" t="s">
        <v>40</v>
      </c>
      <c r="D4569">
        <v>5.2383649999999999</v>
      </c>
      <c r="E4569">
        <v>0.4286431</v>
      </c>
      <c r="F4569" t="s">
        <v>42</v>
      </c>
      <c r="G4569">
        <v>-348.25330000000002</v>
      </c>
      <c r="H4569" s="1">
        <v>-1.1795619999999999E-6</v>
      </c>
      <c r="I4569">
        <v>17.364619999999999</v>
      </c>
      <c r="J4569">
        <v>-399.42320000000001</v>
      </c>
      <c r="K4569">
        <v>1.1257029999999999</v>
      </c>
      <c r="L4569">
        <v>18.195250000000001</v>
      </c>
      <c r="M4569">
        <v>0.97432609999999997</v>
      </c>
      <c r="N4569">
        <v>-1.366332E-2</v>
      </c>
      <c r="O4569">
        <v>-0.2247268</v>
      </c>
      <c r="P4569">
        <v>0.96180750000000004</v>
      </c>
      <c r="Q4569">
        <v>0.1862548</v>
      </c>
      <c r="R4569">
        <v>-0.2005883</v>
      </c>
      <c r="S4569">
        <v>3.1237180000000002</v>
      </c>
      <c r="T4569">
        <v>-6.8550829999999993E-2</v>
      </c>
      <c r="U4569">
        <v>-5.2154539999999999E-2</v>
      </c>
      <c r="V4569">
        <v>-2.280372E-2</v>
      </c>
      <c r="W4569">
        <v>0.1994302</v>
      </c>
      <c r="X4569">
        <v>0.97964669999999998</v>
      </c>
      <c r="Y4569">
        <v>-0.20836160000000001</v>
      </c>
      <c r="Z4569">
        <v>5.5146020000000004E-3</v>
      </c>
      <c r="AA4569">
        <v>0.97803629999999997</v>
      </c>
      <c r="AB4569">
        <v>25</v>
      </c>
      <c r="AC4569">
        <v>51.169899999999899</v>
      </c>
      <c r="AD4569">
        <v>-1.125704179562</v>
      </c>
      <c r="AE4569">
        <v>-0.83062999999999898</v>
      </c>
      <c r="AF4569">
        <v>-10.685770216782601</v>
      </c>
      <c r="AG4569">
        <v>-1.125704179562</v>
      </c>
      <c r="AH4569">
        <v>50.023298026914603</v>
      </c>
      <c r="AI4569">
        <v>91.2607097582477</v>
      </c>
      <c r="AJ4569">
        <v>102.058057615604</v>
      </c>
      <c r="AK4569">
        <v>51.164276995920503</v>
      </c>
      <c r="AL4569">
        <v>78.496359749162096</v>
      </c>
      <c r="AM4569">
        <v>91.333461346360593</v>
      </c>
      <c r="AN4569">
        <v>1.0000000355693801</v>
      </c>
    </row>
    <row r="4570" spans="1:40" x14ac:dyDescent="0.25">
      <c r="A4570" t="str">
        <f>"20190303171108466"</f>
        <v>20190303171108466</v>
      </c>
      <c r="B4570" t="str">
        <f>"1551604268455442"</f>
        <v>1551604268455442</v>
      </c>
      <c r="C4570" t="s">
        <v>40</v>
      </c>
      <c r="D4570">
        <v>5.2088260000000002</v>
      </c>
      <c r="E4570">
        <v>0.42832029999999899</v>
      </c>
      <c r="F4570" t="s">
        <v>42</v>
      </c>
      <c r="G4570">
        <v>-347.36540000000002</v>
      </c>
      <c r="H4570" s="1">
        <v>-1.478756E-6</v>
      </c>
      <c r="I4570">
        <v>17.55189</v>
      </c>
      <c r="J4570">
        <v>-399.31180000000001</v>
      </c>
      <c r="K4570">
        <v>1.125702</v>
      </c>
      <c r="L4570">
        <v>18.173030000000001</v>
      </c>
      <c r="M4570">
        <v>0.97500390000000003</v>
      </c>
      <c r="N4570">
        <v>-1.366208E-2</v>
      </c>
      <c r="O4570">
        <v>-0.22176770000000001</v>
      </c>
      <c r="P4570">
        <v>0.96248429999999996</v>
      </c>
      <c r="Q4570">
        <v>0.1859276</v>
      </c>
      <c r="R4570">
        <v>-0.19762360000000001</v>
      </c>
      <c r="S4570">
        <v>3.1241150000000002</v>
      </c>
      <c r="T4570">
        <v>-6.7556140000000001E-2</v>
      </c>
      <c r="U4570">
        <v>-3.8604739999999999E-2</v>
      </c>
      <c r="V4570">
        <v>-2.285713E-2</v>
      </c>
      <c r="W4570">
        <v>0.19910220000000001</v>
      </c>
      <c r="X4570">
        <v>0.97971209999999997</v>
      </c>
      <c r="Y4570">
        <v>-0.2096372</v>
      </c>
      <c r="Z4570">
        <v>5.4117569999999997E-3</v>
      </c>
      <c r="AA4570">
        <v>0.97776419999999997</v>
      </c>
      <c r="AB4570">
        <v>25</v>
      </c>
      <c r="AC4570">
        <v>51.946399999999898</v>
      </c>
      <c r="AD4570">
        <v>-1.1257034787559901</v>
      </c>
      <c r="AE4570">
        <v>-0.62113999999999603</v>
      </c>
      <c r="AF4570">
        <v>-10.910314686104</v>
      </c>
      <c r="AG4570">
        <v>-1.1257034787559901</v>
      </c>
      <c r="AH4570">
        <v>50.766590279175503</v>
      </c>
      <c r="AI4570">
        <v>91.241926771173596</v>
      </c>
      <c r="AJ4570">
        <v>102.12902332222301</v>
      </c>
      <c r="AK4570">
        <v>51.937932799116801</v>
      </c>
      <c r="AL4570">
        <v>78.515536561545403</v>
      </c>
      <c r="AM4570">
        <v>91.3364942065311</v>
      </c>
      <c r="AN4570">
        <v>0.99999996666154201</v>
      </c>
    </row>
    <row r="4571" spans="1:40" x14ac:dyDescent="0.25">
      <c r="A4571" t="str">
        <f>"20190303171108477"</f>
        <v>20190303171108477</v>
      </c>
      <c r="B4571" t="str">
        <f>"1551604268465203"</f>
        <v>1551604268465203</v>
      </c>
      <c r="C4571" t="s">
        <v>40</v>
      </c>
      <c r="D4571">
        <v>5.2359640000000001</v>
      </c>
      <c r="E4571">
        <v>0.42801990000000001</v>
      </c>
      <c r="F4571" t="s">
        <v>42</v>
      </c>
      <c r="G4571">
        <v>-347.1354</v>
      </c>
      <c r="H4571" s="1">
        <v>-1.5461319999999999E-6</v>
      </c>
      <c r="I4571">
        <v>17.728059999999999</v>
      </c>
      <c r="J4571">
        <v>-399.18439999999998</v>
      </c>
      <c r="K4571">
        <v>1.1256999999999999</v>
      </c>
      <c r="L4571">
        <v>18.147770000000001</v>
      </c>
      <c r="M4571">
        <v>0.97576680000000005</v>
      </c>
      <c r="N4571">
        <v>-1.366068E-2</v>
      </c>
      <c r="O4571">
        <v>-0.21838659999999999</v>
      </c>
      <c r="P4571">
        <v>0.96317699999999995</v>
      </c>
      <c r="Q4571">
        <v>0.1858669</v>
      </c>
      <c r="R4571">
        <v>-0.19427800000000001</v>
      </c>
      <c r="S4571">
        <v>3.1245120000000002</v>
      </c>
      <c r="T4571">
        <v>-6.7411299999999993E-2</v>
      </c>
      <c r="U4571">
        <v>-2.6641850000000002E-2</v>
      </c>
      <c r="V4571">
        <v>-2.2865360000000001E-2</v>
      </c>
      <c r="W4571">
        <v>0.19903999999999999</v>
      </c>
      <c r="X4571">
        <v>0.97972459999999995</v>
      </c>
      <c r="Y4571">
        <v>-0.20999290000000001</v>
      </c>
      <c r="Z4571">
        <v>5.3786709999999998E-3</v>
      </c>
      <c r="AA4571">
        <v>0.97768809999999995</v>
      </c>
      <c r="AB4571">
        <v>25</v>
      </c>
      <c r="AC4571">
        <v>52.0489999999999</v>
      </c>
      <c r="AD4571">
        <v>-1.1257015461319999</v>
      </c>
      <c r="AE4571">
        <v>-0.41971000000000203</v>
      </c>
      <c r="AF4571">
        <v>-10.953163563135</v>
      </c>
      <c r="AG4571">
        <v>-1.1257015461319999</v>
      </c>
      <c r="AH4571">
        <v>50.860300181123797</v>
      </c>
      <c r="AI4571">
        <v>91.2395233425557</v>
      </c>
      <c r="AJ4571">
        <v>102.153474697051</v>
      </c>
      <c r="AK4571">
        <v>52.038535053609799</v>
      </c>
      <c r="AL4571">
        <v>78.519173755034103</v>
      </c>
      <c r="AM4571">
        <v>91.336958201754399</v>
      </c>
      <c r="AN4571">
        <v>1.0000000190665399</v>
      </c>
    </row>
    <row r="4572" spans="1:40" x14ac:dyDescent="0.25">
      <c r="A4572" t="str">
        <f>"20190303171108500"</f>
        <v>20190303171108500</v>
      </c>
      <c r="B4572" t="str">
        <f>"1551604268495459"</f>
        <v>1551604268495459</v>
      </c>
      <c r="C4572" t="s">
        <v>40</v>
      </c>
      <c r="D4572">
        <v>5.2323680000000001</v>
      </c>
      <c r="E4572">
        <v>0.4273692</v>
      </c>
      <c r="F4572" t="s">
        <v>42</v>
      </c>
      <c r="G4572">
        <v>-346.3759</v>
      </c>
      <c r="H4572" s="1">
        <v>-1.8386179999999999E-6</v>
      </c>
      <c r="I4572">
        <v>17.91611</v>
      </c>
      <c r="J4572">
        <v>-398.94779999999997</v>
      </c>
      <c r="K4572">
        <v>1.1256949999999999</v>
      </c>
      <c r="L4572">
        <v>18.102329999999998</v>
      </c>
      <c r="M4572">
        <v>0.97715249999999998</v>
      </c>
      <c r="N4572">
        <v>-1.365798E-2</v>
      </c>
      <c r="O4572">
        <v>-0.21210000000000001</v>
      </c>
      <c r="P4572">
        <v>0.96418440000000005</v>
      </c>
      <c r="Q4572">
        <v>0.18632360000000001</v>
      </c>
      <c r="R4572">
        <v>-0.1887643</v>
      </c>
      <c r="S4572">
        <v>3.1247859999999998</v>
      </c>
      <c r="T4572">
        <v>-6.6609979999999999E-2</v>
      </c>
      <c r="U4572">
        <v>-1.370239E-2</v>
      </c>
      <c r="V4572">
        <v>-2.21424E-2</v>
      </c>
      <c r="W4572">
        <v>0.1995017</v>
      </c>
      <c r="X4572">
        <v>0.9796473</v>
      </c>
      <c r="Y4572">
        <v>-0.20774980000000001</v>
      </c>
      <c r="Z4572">
        <v>5.2133789999999998E-3</v>
      </c>
      <c r="AA4572">
        <v>0.97816809999999998</v>
      </c>
      <c r="AB4572">
        <v>25</v>
      </c>
      <c r="AC4572">
        <v>52.5718999999999</v>
      </c>
      <c r="AD4572">
        <v>-1.125696838618</v>
      </c>
      <c r="AE4572">
        <v>-0.186219999999998</v>
      </c>
      <c r="AF4572">
        <v>-10.9645309283814</v>
      </c>
      <c r="AG4572">
        <v>-1.125696838618</v>
      </c>
      <c r="AH4572">
        <v>51.391495057027498</v>
      </c>
      <c r="AI4572">
        <v>91.227214094148195</v>
      </c>
      <c r="AJ4572">
        <v>102.043654273836</v>
      </c>
      <c r="AK4572">
        <v>52.560193074687199</v>
      </c>
      <c r="AL4572">
        <v>78.492178946462104</v>
      </c>
      <c r="AM4572">
        <v>91.294802827094401</v>
      </c>
      <c r="AN4572">
        <v>1.0000000232889601</v>
      </c>
    </row>
    <row r="4573" spans="1:40" x14ac:dyDescent="0.25">
      <c r="A4573" t="str">
        <f>"20190303171108511"</f>
        <v>20190303171108511</v>
      </c>
      <c r="B4573" t="str">
        <f>"1551604268505218"</f>
        <v>1551604268505218</v>
      </c>
      <c r="C4573" t="s">
        <v>40</v>
      </c>
      <c r="D4573">
        <v>5.2423089999999997</v>
      </c>
      <c r="E4573">
        <v>0.42720930000000001</v>
      </c>
      <c r="F4573" t="s">
        <v>42</v>
      </c>
      <c r="G4573">
        <v>-342.98469999999998</v>
      </c>
      <c r="H4573" s="1">
        <v>-3.2321820000000001E-6</v>
      </c>
      <c r="I4573">
        <v>18.26126</v>
      </c>
      <c r="J4573">
        <v>-398.82679999999999</v>
      </c>
      <c r="K4573">
        <v>1.1256870000000001</v>
      </c>
      <c r="L4573">
        <v>18.079709999999999</v>
      </c>
      <c r="M4573">
        <v>0.97784439999999995</v>
      </c>
      <c r="N4573">
        <v>-1.3656649999999999E-2</v>
      </c>
      <c r="O4573">
        <v>-0.20888680000000001</v>
      </c>
      <c r="P4573">
        <v>0.96457769999999998</v>
      </c>
      <c r="Q4573">
        <v>0.18674099999999999</v>
      </c>
      <c r="R4573">
        <v>-0.18632679999999999</v>
      </c>
      <c r="S4573">
        <v>3.1253359999999999</v>
      </c>
      <c r="T4573">
        <v>-6.2866210000000006E-2</v>
      </c>
      <c r="U4573">
        <v>8.8806149999999997E-3</v>
      </c>
      <c r="V4573">
        <v>-2.1381890000000001E-2</v>
      </c>
      <c r="W4573">
        <v>0.19992499999999999</v>
      </c>
      <c r="X4573">
        <v>0.9795779</v>
      </c>
      <c r="Y4573">
        <v>-0.21160880000000001</v>
      </c>
      <c r="Z4573">
        <v>4.8830699999999998E-3</v>
      </c>
      <c r="AA4573">
        <v>0.97734219999999905</v>
      </c>
      <c r="AB4573">
        <v>25</v>
      </c>
      <c r="AC4573">
        <v>55.842100000000002</v>
      </c>
      <c r="AD4573">
        <v>-1.1256902321819999</v>
      </c>
      <c r="AE4573">
        <v>0.18154999999999699</v>
      </c>
      <c r="AF4573">
        <v>-11.8384997807684</v>
      </c>
      <c r="AG4573">
        <v>-1.1256902321819999</v>
      </c>
      <c r="AH4573">
        <v>54.549887284087099</v>
      </c>
      <c r="AI4573">
        <v>91.155300795779596</v>
      </c>
      <c r="AJ4573">
        <v>102.244541516553</v>
      </c>
      <c r="AK4573">
        <v>55.831061769096699</v>
      </c>
      <c r="AL4573">
        <v>78.467427037318799</v>
      </c>
      <c r="AM4573">
        <v>91.250434035893093</v>
      </c>
      <c r="AN4573">
        <v>1.00000002650669</v>
      </c>
    </row>
    <row r="4574" spans="1:40" x14ac:dyDescent="0.25">
      <c r="A4574" t="str">
        <f>"20190303171108522"</f>
        <v>20190303171108522</v>
      </c>
      <c r="B4574" t="str">
        <f>"1551604268515954"</f>
        <v>1551604268515954</v>
      </c>
      <c r="C4574" t="s">
        <v>40</v>
      </c>
      <c r="D4574">
        <v>5.272964</v>
      </c>
      <c r="E4574">
        <v>0.42705520000000002</v>
      </c>
      <c r="F4574" t="s">
        <v>42</v>
      </c>
      <c r="G4574">
        <v>-340.9538</v>
      </c>
      <c r="H4574" s="1">
        <v>-4.0764399999999999E-6</v>
      </c>
      <c r="I4574">
        <v>18.413599999999999</v>
      </c>
      <c r="J4574">
        <v>-398.70600000000002</v>
      </c>
      <c r="K4574">
        <v>1.125685</v>
      </c>
      <c r="L4574">
        <v>18.057500000000001</v>
      </c>
      <c r="M4574">
        <v>0.97852499999999998</v>
      </c>
      <c r="N4574">
        <v>-1.365535E-2</v>
      </c>
      <c r="O4574">
        <v>-0.205676</v>
      </c>
      <c r="P4574">
        <v>0.96492610000000001</v>
      </c>
      <c r="Q4574">
        <v>0.1875511</v>
      </c>
      <c r="R4574">
        <v>-0.18369070000000001</v>
      </c>
      <c r="S4574">
        <v>3.1254270000000002</v>
      </c>
      <c r="T4574">
        <v>-6.0792800000000001E-2</v>
      </c>
      <c r="U4574">
        <v>1.8035889999999999E-2</v>
      </c>
      <c r="V4574">
        <v>-2.0815500000000001E-2</v>
      </c>
      <c r="W4574">
        <v>0.2007379</v>
      </c>
      <c r="X4574">
        <v>0.97942379999999996</v>
      </c>
      <c r="Y4574">
        <v>-0.21126819999999999</v>
      </c>
      <c r="Z4574">
        <v>4.6530749999999996E-3</v>
      </c>
      <c r="AA4574">
        <v>0.97741710000000004</v>
      </c>
      <c r="AB4574">
        <v>25</v>
      </c>
      <c r="AC4574">
        <v>57.752199999999903</v>
      </c>
      <c r="AD4574">
        <v>-1.12568907644</v>
      </c>
      <c r="AE4574">
        <v>0.35609999999999697</v>
      </c>
      <c r="AF4574">
        <v>-12.223189009616201</v>
      </c>
      <c r="AG4574">
        <v>-1.12568907644</v>
      </c>
      <c r="AH4574">
        <v>56.422550050554797</v>
      </c>
      <c r="AI4574">
        <v>91.117054152919195</v>
      </c>
      <c r="AJ4574">
        <v>102.22347683230799</v>
      </c>
      <c r="AK4574">
        <v>57.742338709728202</v>
      </c>
      <c r="AL4574">
        <v>78.419887096848299</v>
      </c>
      <c r="AM4574">
        <v>91.217512564578797</v>
      </c>
      <c r="AN4574">
        <v>0.99999998477154906</v>
      </c>
    </row>
    <row r="4575" spans="1:40" x14ac:dyDescent="0.25">
      <c r="A4575" t="str">
        <f>"20190303171108534"</f>
        <v>20190303171108534</v>
      </c>
      <c r="B4575" t="str">
        <f>"1551604268525714"</f>
        <v>1551604268525714</v>
      </c>
      <c r="C4575" t="s">
        <v>40</v>
      </c>
      <c r="D4575">
        <v>5.2516930000000004</v>
      </c>
      <c r="E4575">
        <v>0.4269384</v>
      </c>
      <c r="F4575" t="s">
        <v>42</v>
      </c>
      <c r="G4575">
        <v>-337.48899999999998</v>
      </c>
      <c r="H4575" s="1">
        <v>-1.239447E-6</v>
      </c>
      <c r="I4575">
        <v>18.601939999999999</v>
      </c>
      <c r="J4575">
        <v>-398.57190000000003</v>
      </c>
      <c r="K4575">
        <v>1.1256820000000001</v>
      </c>
      <c r="L4575">
        <v>18.03323</v>
      </c>
      <c r="M4575">
        <v>0.9792672</v>
      </c>
      <c r="N4575">
        <v>-1.365394E-2</v>
      </c>
      <c r="O4575">
        <v>-0.20211219999999999</v>
      </c>
      <c r="P4575">
        <v>0.96533150000000001</v>
      </c>
      <c r="Q4575">
        <v>0.18814990000000001</v>
      </c>
      <c r="R4575">
        <v>-0.1809279</v>
      </c>
      <c r="S4575">
        <v>3.1254879999999998</v>
      </c>
      <c r="T4575">
        <v>-5.747294E-2</v>
      </c>
      <c r="U4575">
        <v>2.7801510000000001E-2</v>
      </c>
      <c r="V4575">
        <v>-2.0031609999999998E-2</v>
      </c>
      <c r="W4575">
        <v>0.2013423</v>
      </c>
      <c r="X4575">
        <v>0.97931610000000002</v>
      </c>
      <c r="Y4575">
        <v>-0.2107705</v>
      </c>
      <c r="Z4575">
        <v>4.3010979999999997E-3</v>
      </c>
      <c r="AA4575">
        <v>0.97752609999999995</v>
      </c>
      <c r="AB4575">
        <v>25</v>
      </c>
      <c r="AC4575">
        <v>61.082900000000002</v>
      </c>
      <c r="AD4575">
        <v>-1.125683239447</v>
      </c>
      <c r="AE4575">
        <v>0.56870999999999905</v>
      </c>
      <c r="AF4575">
        <v>-12.8993406028004</v>
      </c>
      <c r="AG4575">
        <v>-1.125683239447</v>
      </c>
      <c r="AH4575">
        <v>59.686833391801798</v>
      </c>
      <c r="AI4575">
        <v>91.056084411959503</v>
      </c>
      <c r="AJ4575">
        <v>102.19503896048499</v>
      </c>
      <c r="AK4575">
        <v>61.075185067941703</v>
      </c>
      <c r="AL4575">
        <v>78.384536002172894</v>
      </c>
      <c r="AM4575">
        <v>91.171804162644193</v>
      </c>
      <c r="AN4575">
        <v>1.00000000544384</v>
      </c>
    </row>
    <row r="4576" spans="1:40" x14ac:dyDescent="0.25">
      <c r="A4576" t="str">
        <f>"20190303171108547"</f>
        <v>20190303171108547</v>
      </c>
      <c r="B4576" t="str">
        <f>"1551604268535474"</f>
        <v>1551604268535474</v>
      </c>
      <c r="C4576" t="s">
        <v>40</v>
      </c>
      <c r="D4576">
        <v>5.2638949999999998</v>
      </c>
      <c r="E4576">
        <v>0.42683510000000002</v>
      </c>
      <c r="F4576" t="s">
        <v>42</v>
      </c>
      <c r="G4576">
        <v>-334.59160000000003</v>
      </c>
      <c r="H4576" s="1">
        <v>-2.446591E-6</v>
      </c>
      <c r="I4576">
        <v>18.804020000000001</v>
      </c>
      <c r="J4576">
        <v>-398.45280000000002</v>
      </c>
      <c r="K4576">
        <v>1.12568</v>
      </c>
      <c r="L4576">
        <v>18.0123</v>
      </c>
      <c r="M4576">
        <v>0.97991569999999995</v>
      </c>
      <c r="N4576">
        <v>-1.365276E-2</v>
      </c>
      <c r="O4576">
        <v>-0.1989445</v>
      </c>
      <c r="P4576">
        <v>0.96575520000000004</v>
      </c>
      <c r="Q4576">
        <v>0.18841079999999999</v>
      </c>
      <c r="R4576">
        <v>-0.17837700000000001</v>
      </c>
      <c r="S4576">
        <v>3.1255489999999999</v>
      </c>
      <c r="T4576">
        <v>-5.4991600000000002E-2</v>
      </c>
      <c r="U4576">
        <v>3.7658690000000002E-2</v>
      </c>
      <c r="V4576">
        <v>-1.9440740000000001E-2</v>
      </c>
      <c r="W4576">
        <v>0.2016076</v>
      </c>
      <c r="X4576">
        <v>0.97927339999999996</v>
      </c>
      <c r="Y4576">
        <v>-0.21069669999999999</v>
      </c>
      <c r="Z4576">
        <v>4.0461569999999999E-3</v>
      </c>
      <c r="AA4576">
        <v>0.9775431</v>
      </c>
      <c r="AB4576">
        <v>25</v>
      </c>
      <c r="AC4576">
        <v>63.861199999999997</v>
      </c>
      <c r="AD4576">
        <v>-1.125682446591</v>
      </c>
      <c r="AE4576">
        <v>0.79172000000000098</v>
      </c>
      <c r="AF4576">
        <v>-13.4777222629326</v>
      </c>
      <c r="AG4576">
        <v>-1.125682446591</v>
      </c>
      <c r="AH4576">
        <v>62.407511944919797</v>
      </c>
      <c r="AI4576">
        <v>91.010085140858493</v>
      </c>
      <c r="AJ4576">
        <v>102.186615426541</v>
      </c>
      <c r="AK4576">
        <v>63.856195514003403</v>
      </c>
      <c r="AL4576">
        <v>78.369016890392203</v>
      </c>
      <c r="AM4576">
        <v>91.137298386457104</v>
      </c>
      <c r="AN4576">
        <v>0.99999997934853302</v>
      </c>
    </row>
    <row r="4577" spans="1:40" x14ac:dyDescent="0.25">
      <c r="A4577" t="str">
        <f>"20190303171108558"</f>
        <v>20190303171108558</v>
      </c>
      <c r="B4577" t="str">
        <f>"1551604268545233"</f>
        <v>1551604268545233</v>
      </c>
      <c r="C4577" t="s">
        <v>40</v>
      </c>
      <c r="D4577">
        <v>5.2747549999999999</v>
      </c>
      <c r="E4577">
        <v>0.42674820000000002</v>
      </c>
      <c r="F4577" t="s">
        <v>42</v>
      </c>
      <c r="G4577">
        <v>-332.80110000000002</v>
      </c>
      <c r="H4577" s="1">
        <v>-3.1805150000000001E-6</v>
      </c>
      <c r="I4577">
        <v>18.996839999999999</v>
      </c>
      <c r="J4577">
        <v>-398.33479999999997</v>
      </c>
      <c r="K4577">
        <v>1.125675</v>
      </c>
      <c r="L4577">
        <v>17.991700000000002</v>
      </c>
      <c r="M4577">
        <v>0.98054739999999996</v>
      </c>
      <c r="N4577">
        <v>-1.365163E-2</v>
      </c>
      <c r="O4577">
        <v>-0.1958075</v>
      </c>
      <c r="P4577">
        <v>0.966256</v>
      </c>
      <c r="Q4577">
        <v>0.18817929999999999</v>
      </c>
      <c r="R4577">
        <v>-0.17589189999999999</v>
      </c>
      <c r="S4577">
        <v>3.1254879999999998</v>
      </c>
      <c r="T4577">
        <v>-5.3590539999999999E-2</v>
      </c>
      <c r="U4577">
        <v>4.6875E-2</v>
      </c>
      <c r="V4577">
        <v>-1.8828979999999999E-2</v>
      </c>
      <c r="W4577">
        <v>0.20138249999999999</v>
      </c>
      <c r="X4577">
        <v>0.97933170000000003</v>
      </c>
      <c r="Y4577">
        <v>-0.2104531</v>
      </c>
      <c r="Z4577">
        <v>3.8975170000000001E-3</v>
      </c>
      <c r="AA4577">
        <v>0.97759620000000003</v>
      </c>
      <c r="AB4577">
        <v>24</v>
      </c>
      <c r="AC4577">
        <v>65.533699999999897</v>
      </c>
      <c r="AD4577">
        <v>-1.125678180515</v>
      </c>
      <c r="AE4577">
        <v>1.0051399999999899</v>
      </c>
      <c r="AF4577">
        <v>-13.8147889781975</v>
      </c>
      <c r="AG4577">
        <v>-1.125678180515</v>
      </c>
      <c r="AH4577">
        <v>64.049157416695707</v>
      </c>
      <c r="AI4577">
        <v>90.984252399627096</v>
      </c>
      <c r="AJ4577">
        <v>102.171684583049</v>
      </c>
      <c r="AK4577">
        <v>65.531748883017698</v>
      </c>
      <c r="AL4577">
        <v>78.382184602678095</v>
      </c>
      <c r="AM4577">
        <v>91.101453354647106</v>
      </c>
      <c r="AN4577">
        <v>1.0000000102094899</v>
      </c>
    </row>
    <row r="4578" spans="1:40" x14ac:dyDescent="0.25">
      <c r="A4578" t="str">
        <f>"20190303171108569"</f>
        <v>20190303171108569</v>
      </c>
      <c r="B4578" t="str">
        <f>"1551604268565264"</f>
        <v>1551604268565264</v>
      </c>
      <c r="C4578" t="s">
        <v>40</v>
      </c>
      <c r="D4578">
        <v>5.271299</v>
      </c>
      <c r="E4578">
        <v>0.42660870000000001</v>
      </c>
      <c r="F4578" t="s">
        <v>42</v>
      </c>
      <c r="G4578">
        <v>-332.89659999999998</v>
      </c>
      <c r="H4578" s="1">
        <v>-3.110779E-6</v>
      </c>
      <c r="I4578">
        <v>19.158989999999999</v>
      </c>
      <c r="J4578">
        <v>-398.20549999999997</v>
      </c>
      <c r="K4578">
        <v>1.1256710000000001</v>
      </c>
      <c r="L4578">
        <v>17.96988</v>
      </c>
      <c r="M4578">
        <v>0.98122730000000002</v>
      </c>
      <c r="N4578">
        <v>-1.365038E-2</v>
      </c>
      <c r="O4578">
        <v>-0.19237219999999999</v>
      </c>
      <c r="P4578">
        <v>0.96687029999999996</v>
      </c>
      <c r="Q4578">
        <v>0.1877452</v>
      </c>
      <c r="R4578">
        <v>-0.17295639999999901</v>
      </c>
      <c r="S4578">
        <v>3.1254270000000002</v>
      </c>
      <c r="T4578">
        <v>-5.3764100000000002E-2</v>
      </c>
      <c r="U4578">
        <v>5.5755619999999999E-2</v>
      </c>
      <c r="V4578">
        <v>-1.8381870000000002E-2</v>
      </c>
      <c r="W4578">
        <v>0.2009532</v>
      </c>
      <c r="X4578">
        <v>0.97942839999999998</v>
      </c>
      <c r="Y4578">
        <v>-0.2098064</v>
      </c>
      <c r="Z4578">
        <v>3.8940749999999999E-3</v>
      </c>
      <c r="AA4578">
        <v>0.97773520000000003</v>
      </c>
      <c r="AB4578">
        <v>24</v>
      </c>
      <c r="AC4578">
        <v>65.308899999999994</v>
      </c>
      <c r="AD4578">
        <v>-1.12567411077899</v>
      </c>
      <c r="AE4578">
        <v>1.1891099999999899</v>
      </c>
      <c r="AF4578">
        <v>-13.727603627559301</v>
      </c>
      <c r="AG4578">
        <v>-1.12567411077899</v>
      </c>
      <c r="AH4578">
        <v>63.841100746813197</v>
      </c>
      <c r="AI4578">
        <v>90.987590522628693</v>
      </c>
      <c r="AJ4578">
        <v>102.135395905146</v>
      </c>
      <c r="AK4578">
        <v>65.310032828990401</v>
      </c>
      <c r="AL4578">
        <v>78.407295324238106</v>
      </c>
      <c r="AM4578">
        <v>91.075198491156399</v>
      </c>
      <c r="AN4578">
        <v>1.00000003623074</v>
      </c>
    </row>
    <row r="4579" spans="1:40" x14ac:dyDescent="0.25">
      <c r="A4579" t="str">
        <f>"20190303171108580"</f>
        <v>20190303171108580</v>
      </c>
      <c r="B4579" t="str">
        <f>"1551604268576001"</f>
        <v>1551604268576001</v>
      </c>
      <c r="C4579" t="s">
        <v>40</v>
      </c>
      <c r="D4579">
        <v>5.2540719999999999</v>
      </c>
      <c r="E4579">
        <v>0.4265774</v>
      </c>
      <c r="F4579" t="s">
        <v>42</v>
      </c>
      <c r="G4579">
        <v>-333.99770000000001</v>
      </c>
      <c r="H4579" s="1">
        <v>-2.608549E-6</v>
      </c>
      <c r="I4579">
        <v>19.32723</v>
      </c>
      <c r="J4579">
        <v>-398.08749999999998</v>
      </c>
      <c r="K4579">
        <v>1.1256619999999999</v>
      </c>
      <c r="L4579">
        <v>17.950199999999999</v>
      </c>
      <c r="M4579">
        <v>0.98183699999999996</v>
      </c>
      <c r="N4579">
        <v>-1.364925E-2</v>
      </c>
      <c r="O4579">
        <v>-0.18923470000000001</v>
      </c>
      <c r="P4579">
        <v>0.96736929999999999</v>
      </c>
      <c r="Q4579">
        <v>0.1873196</v>
      </c>
      <c r="R4579">
        <v>-0.1706105</v>
      </c>
      <c r="S4579">
        <v>3.1252140000000002</v>
      </c>
      <c r="T4579">
        <v>-5.479038E-2</v>
      </c>
      <c r="U4579">
        <v>6.607056E-2</v>
      </c>
      <c r="V4579">
        <v>-1.763429E-2</v>
      </c>
      <c r="W4579">
        <v>0.20053609999999999</v>
      </c>
      <c r="X4579">
        <v>0.97952760000000005</v>
      </c>
      <c r="Y4579">
        <v>-0.20990619999999999</v>
      </c>
      <c r="Z4579">
        <v>3.9829560000000002E-3</v>
      </c>
      <c r="AA4579">
        <v>0.97771339999999995</v>
      </c>
      <c r="AB4579">
        <v>24</v>
      </c>
      <c r="AC4579">
        <v>64.089799999999897</v>
      </c>
      <c r="AD4579">
        <v>-1.1256646085490001</v>
      </c>
      <c r="AE4579">
        <v>1.37703</v>
      </c>
      <c r="AF4579">
        <v>-13.477133514368401</v>
      </c>
      <c r="AG4579">
        <v>-1.1256646085490001</v>
      </c>
      <c r="AH4579">
        <v>62.651675779119699</v>
      </c>
      <c r="AI4579">
        <v>91.006309886324004</v>
      </c>
      <c r="AJ4579">
        <v>102.140019080098</v>
      </c>
      <c r="AK4579">
        <v>64.094716837715893</v>
      </c>
      <c r="AL4579">
        <v>78.431689642093801</v>
      </c>
      <c r="AM4579">
        <v>91.031376000382593</v>
      </c>
      <c r="AN4579">
        <v>1.00000000737438</v>
      </c>
    </row>
    <row r="4580" spans="1:40" x14ac:dyDescent="0.25">
      <c r="A4580" t="str">
        <f>"20190303171108602"</f>
        <v>20190303171108602</v>
      </c>
      <c r="B4580" t="str">
        <f>"1551604268595520"</f>
        <v>1551604268595520</v>
      </c>
      <c r="C4580" t="s">
        <v>40</v>
      </c>
      <c r="D4580">
        <v>5.2409019999999904</v>
      </c>
      <c r="E4580">
        <v>0.42649779999999998</v>
      </c>
      <c r="F4580" t="s">
        <v>42</v>
      </c>
      <c r="G4580">
        <v>-335.35559999999998</v>
      </c>
      <c r="H4580" s="1">
        <v>-2.0079739999999998E-6</v>
      </c>
      <c r="I4580">
        <v>19.428920000000002</v>
      </c>
      <c r="J4580">
        <v>-397.86840000000001</v>
      </c>
      <c r="K4580">
        <v>1.125653</v>
      </c>
      <c r="L4580">
        <v>17.914760000000001</v>
      </c>
      <c r="M4580">
        <v>0.98294230000000005</v>
      </c>
      <c r="N4580">
        <v>-1.364718E-2</v>
      </c>
      <c r="O4580">
        <v>-0.1834075</v>
      </c>
      <c r="P4580">
        <v>0.96800839999999999</v>
      </c>
      <c r="Q4580">
        <v>0.1872103</v>
      </c>
      <c r="R4580">
        <v>-0.16706979999999999</v>
      </c>
      <c r="S4580">
        <v>3.125092</v>
      </c>
      <c r="T4580">
        <v>-5.6076769999999998E-2</v>
      </c>
      <c r="U4580">
        <v>7.3669429999999994E-2</v>
      </c>
      <c r="V4580">
        <v>-1.5401440000000001E-2</v>
      </c>
      <c r="W4580">
        <v>0.20044870000000001</v>
      </c>
      <c r="X4580">
        <v>0.97958310000000004</v>
      </c>
      <c r="Y4580">
        <v>-0.206481</v>
      </c>
      <c r="Z4580">
        <v>4.027531E-3</v>
      </c>
      <c r="AA4580">
        <v>0.97844229999999999</v>
      </c>
      <c r="AB4580">
        <v>24</v>
      </c>
      <c r="AC4580">
        <v>62.512799999999999</v>
      </c>
      <c r="AD4580">
        <v>-1.125655007974</v>
      </c>
      <c r="AE4580">
        <v>1.51416</v>
      </c>
      <c r="AF4580">
        <v>-12.950657220356799</v>
      </c>
      <c r="AG4580">
        <v>-1.125655007974</v>
      </c>
      <c r="AH4580">
        <v>61.154642953808903</v>
      </c>
      <c r="AI4580">
        <v>91.031633426268698</v>
      </c>
      <c r="AJ4580">
        <v>101.95681939225599</v>
      </c>
      <c r="AK4580">
        <v>62.521012279424902</v>
      </c>
      <c r="AL4580">
        <v>78.436800615050402</v>
      </c>
      <c r="AM4580">
        <v>90.900755443574099</v>
      </c>
      <c r="AN4580">
        <v>0.999999967745686</v>
      </c>
    </row>
    <row r="4581" spans="1:40" x14ac:dyDescent="0.25">
      <c r="A4581" t="str">
        <f>"20190303171108623"</f>
        <v>20190303171108623</v>
      </c>
      <c r="B4581" t="str">
        <f>"1551604268615041"</f>
        <v>1551604268615041</v>
      </c>
      <c r="C4581" t="s">
        <v>40</v>
      </c>
      <c r="D4581">
        <v>5.2856129999999997</v>
      </c>
      <c r="E4581">
        <v>0.42645250000000001</v>
      </c>
      <c r="F4581" t="s">
        <v>42</v>
      </c>
      <c r="G4581">
        <v>-334.53930000000003</v>
      </c>
      <c r="H4581" s="1">
        <v>-2.3364319999999998E-6</v>
      </c>
      <c r="I4581">
        <v>19.659469999999999</v>
      </c>
      <c r="J4581">
        <v>-397.6293</v>
      </c>
      <c r="K4581">
        <v>1.12565</v>
      </c>
      <c r="L4581">
        <v>17.87762</v>
      </c>
      <c r="M4581">
        <v>0.98410779999999998</v>
      </c>
      <c r="N4581">
        <v>-1.3645050000000001E-2</v>
      </c>
      <c r="O4581">
        <v>-0.1770467</v>
      </c>
      <c r="P4581">
        <v>0.96847309999999998</v>
      </c>
      <c r="Q4581">
        <v>0.1876034</v>
      </c>
      <c r="R4581">
        <v>-0.16390560000000001</v>
      </c>
      <c r="S4581">
        <v>3.1247560000000001</v>
      </c>
      <c r="T4581">
        <v>-5.5541519999999997E-2</v>
      </c>
      <c r="U4581">
        <v>8.6090089999999994E-2</v>
      </c>
      <c r="V4581">
        <v>-1.224548E-2</v>
      </c>
      <c r="W4581">
        <v>0.20087189999999999</v>
      </c>
      <c r="X4581">
        <v>0.97954090000000005</v>
      </c>
      <c r="Y4581">
        <v>-0.20404340000000001</v>
      </c>
      <c r="Z4581">
        <v>3.9174589999999999E-3</v>
      </c>
      <c r="AA4581">
        <v>0.97895399999999999</v>
      </c>
      <c r="AB4581">
        <v>24</v>
      </c>
      <c r="AC4581">
        <v>63.089999999999897</v>
      </c>
      <c r="AD4581">
        <v>-1.1256523364319999</v>
      </c>
      <c r="AE4581">
        <v>1.7818499999999999</v>
      </c>
      <c r="AF4581">
        <v>-12.9205029965153</v>
      </c>
      <c r="AG4581">
        <v>-1.1256523364319999</v>
      </c>
      <c r="AH4581">
        <v>61.758001214307498</v>
      </c>
      <c r="AI4581">
        <v>91.022080940729793</v>
      </c>
      <c r="AJ4581">
        <v>101.81651955205901</v>
      </c>
      <c r="AK4581">
        <v>63.105128197729599</v>
      </c>
      <c r="AL4581">
        <v>78.412049105650595</v>
      </c>
      <c r="AM4581">
        <v>90.716231222046005</v>
      </c>
      <c r="AN4581">
        <v>0.99999992338142196</v>
      </c>
    </row>
    <row r="4582" spans="1:40" x14ac:dyDescent="0.25">
      <c r="A4582" t="str">
        <f>"20190303171108637"</f>
        <v>20190303171108637</v>
      </c>
      <c r="B4582" t="str">
        <f>"1551604268625776"</f>
        <v>1551604268625776</v>
      </c>
      <c r="C4582" t="s">
        <v>40</v>
      </c>
      <c r="D4582">
        <v>5.2697219999999998</v>
      </c>
      <c r="E4582">
        <v>0.4264598</v>
      </c>
      <c r="F4582" t="s">
        <v>42</v>
      </c>
      <c r="G4582">
        <v>-331.76229999999998</v>
      </c>
      <c r="H4582" s="1">
        <v>-3.5986390000000002E-6</v>
      </c>
      <c r="I4582">
        <v>19.925930000000001</v>
      </c>
      <c r="J4582">
        <v>-397.48270000000002</v>
      </c>
      <c r="K4582">
        <v>1.1256440000000001</v>
      </c>
      <c r="L4582">
        <v>17.855529999999899</v>
      </c>
      <c r="M4582">
        <v>0.98480179999999995</v>
      </c>
      <c r="N4582">
        <v>-1.364376E-2</v>
      </c>
      <c r="O4582">
        <v>-0.1731451</v>
      </c>
      <c r="P4582">
        <v>0.96895969999999998</v>
      </c>
      <c r="Q4582">
        <v>0.1871632</v>
      </c>
      <c r="R4582">
        <v>-0.16151509999999999</v>
      </c>
      <c r="S4582">
        <v>3.1244809999999998</v>
      </c>
      <c r="T4582">
        <v>-5.3396699999999998E-2</v>
      </c>
      <c r="U4582">
        <v>9.7167970000000006E-2</v>
      </c>
      <c r="V4582">
        <v>-1.078399E-2</v>
      </c>
      <c r="W4582">
        <v>0.20044729999999999</v>
      </c>
      <c r="X4582">
        <v>0.97964510000000005</v>
      </c>
      <c r="Y4582">
        <v>-0.2036377</v>
      </c>
      <c r="Z4582">
        <v>3.7088529999999998E-3</v>
      </c>
      <c r="AA4582">
        <v>0.97903929999999995</v>
      </c>
      <c r="AB4582">
        <v>24</v>
      </c>
      <c r="AC4582">
        <v>65.720399999999998</v>
      </c>
      <c r="AD4582">
        <v>-1.125647598639</v>
      </c>
      <c r="AE4582">
        <v>2.0703999999999998</v>
      </c>
      <c r="AF4582">
        <v>-13.4154165255728</v>
      </c>
      <c r="AG4582">
        <v>-1.125647598639</v>
      </c>
      <c r="AH4582">
        <v>64.350222069043298</v>
      </c>
      <c r="AI4582">
        <v>90.981057128313907</v>
      </c>
      <c r="AJ4582">
        <v>101.77607136837</v>
      </c>
      <c r="AK4582">
        <v>65.743376574421006</v>
      </c>
      <c r="AL4582">
        <v>78.436882496613507</v>
      </c>
      <c r="AM4582">
        <v>90.630689785063495</v>
      </c>
      <c r="AN4582">
        <v>0.99999996823580894</v>
      </c>
    </row>
    <row r="4583" spans="1:40" x14ac:dyDescent="0.25">
      <c r="A4583" t="str">
        <f>"20190303171108656"</f>
        <v>20190303171108656</v>
      </c>
      <c r="B4583" t="str">
        <f>"1551604268645296"</f>
        <v>1551604268645296</v>
      </c>
      <c r="C4583" t="s">
        <v>40</v>
      </c>
      <c r="D4583">
        <v>5.2596879999999997</v>
      </c>
      <c r="E4583">
        <v>0.4264675</v>
      </c>
      <c r="F4583" t="s">
        <v>42</v>
      </c>
      <c r="G4583">
        <v>-333.07350000000002</v>
      </c>
      <c r="H4583" s="1">
        <v>-3.0607880000000001E-6</v>
      </c>
      <c r="I4583">
        <v>20.018550000000001</v>
      </c>
      <c r="J4583">
        <v>-397.27980000000002</v>
      </c>
      <c r="K4583">
        <v>1.1256299999999999</v>
      </c>
      <c r="L4583">
        <v>17.82602</v>
      </c>
      <c r="M4583">
        <v>0.98573599999999995</v>
      </c>
      <c r="N4583">
        <v>-1.364196E-2</v>
      </c>
      <c r="O4583">
        <v>-0.16774610000000001</v>
      </c>
      <c r="P4583">
        <v>0.96975370000000005</v>
      </c>
      <c r="Q4583">
        <v>0.18587909999999999</v>
      </c>
      <c r="R4583">
        <v>-0.1581997</v>
      </c>
      <c r="S4583">
        <v>3.1241150000000002</v>
      </c>
      <c r="T4583">
        <v>-5.4598569999999999E-2</v>
      </c>
      <c r="U4583">
        <v>0.1049194</v>
      </c>
      <c r="V4583">
        <v>-8.7855520000000003E-3</v>
      </c>
      <c r="W4583">
        <v>0.1991858</v>
      </c>
      <c r="X4583">
        <v>0.97992239999999997</v>
      </c>
      <c r="Y4583">
        <v>-0.20070089999999999</v>
      </c>
      <c r="Z4583">
        <v>3.7505669999999998E-3</v>
      </c>
      <c r="AA4583">
        <v>0.9796454</v>
      </c>
      <c r="AB4583">
        <v>24</v>
      </c>
      <c r="AC4583">
        <v>64.206299999999999</v>
      </c>
      <c r="AD4583">
        <v>-1.1256330607880001</v>
      </c>
      <c r="AE4583">
        <v>2.1925300000000001</v>
      </c>
      <c r="AF4583">
        <v>-12.928844485435301</v>
      </c>
      <c r="AG4583">
        <v>-1.1256330607880001</v>
      </c>
      <c r="AH4583">
        <v>62.9092059610212</v>
      </c>
      <c r="AI4583">
        <v>91.004101471645896</v>
      </c>
      <c r="AJ4583">
        <v>101.61349222336101</v>
      </c>
      <c r="AK4583">
        <v>64.233871626753896</v>
      </c>
      <c r="AL4583">
        <v>78.510649579645104</v>
      </c>
      <c r="AM4583">
        <v>90.513674923278103</v>
      </c>
      <c r="AN4583">
        <v>1.0000000394336701</v>
      </c>
    </row>
    <row r="4584" spans="1:40" x14ac:dyDescent="0.25">
      <c r="A4584" t="str">
        <f>"20190303171108669"</f>
        <v>20190303171108669</v>
      </c>
      <c r="B4584" t="str">
        <f>"1551604268665792"</f>
        <v>1551604268665792</v>
      </c>
      <c r="C4584" t="s">
        <v>40</v>
      </c>
      <c r="D4584">
        <v>5.2652390000000002</v>
      </c>
      <c r="E4584">
        <v>0.4264927</v>
      </c>
      <c r="F4584" t="s">
        <v>42</v>
      </c>
      <c r="G4584">
        <v>-337.60210000000001</v>
      </c>
      <c r="H4584" s="1">
        <v>-1.1196480000000001E-6</v>
      </c>
      <c r="I4584">
        <v>20.0246</v>
      </c>
      <c r="J4584">
        <v>-397.14359999999999</v>
      </c>
      <c r="K4584">
        <v>1.125618</v>
      </c>
      <c r="L4584">
        <v>17.807040000000001</v>
      </c>
      <c r="M4584">
        <v>0.98634370000000005</v>
      </c>
      <c r="N4584">
        <v>-1.364043E-2</v>
      </c>
      <c r="O4584">
        <v>-0.1641339</v>
      </c>
      <c r="P4584">
        <v>0.97028639999999999</v>
      </c>
      <c r="Q4584">
        <v>0.1854652</v>
      </c>
      <c r="R4584">
        <v>-0.15539320000000001</v>
      </c>
      <c r="S4584">
        <v>3.1236269999999999</v>
      </c>
      <c r="T4584">
        <v>-5.8917400000000002E-2</v>
      </c>
      <c r="U4584">
        <v>0.1150818</v>
      </c>
      <c r="V4584">
        <v>-8.0329970000000001E-3</v>
      </c>
      <c r="W4584">
        <v>0.19877929999999999</v>
      </c>
      <c r="X4584">
        <v>0.98001130000000003</v>
      </c>
      <c r="Y4584">
        <v>-0.20029259999999999</v>
      </c>
      <c r="Z4584">
        <v>4.097135E-3</v>
      </c>
      <c r="AA4584">
        <v>0.97972760000000003</v>
      </c>
      <c r="AB4584">
        <v>24</v>
      </c>
      <c r="AC4584">
        <v>59.5414999999999</v>
      </c>
      <c r="AD4584">
        <v>-1.1256191196480001</v>
      </c>
      <c r="AE4584">
        <v>2.2175600000000002</v>
      </c>
      <c r="AF4584">
        <v>-11.956901022264301</v>
      </c>
      <c r="AG4584">
        <v>-1.1256191196480001</v>
      </c>
      <c r="AH4584">
        <v>58.349015687306597</v>
      </c>
      <c r="AI4584">
        <v>91.082671236877005</v>
      </c>
      <c r="AJ4584">
        <v>101.58074688618299</v>
      </c>
      <c r="AK4584">
        <v>59.572159035377297</v>
      </c>
      <c r="AL4584">
        <v>78.5344144475403</v>
      </c>
      <c r="AM4584">
        <v>90.469633888316693</v>
      </c>
      <c r="AN4584">
        <v>0.99999994363848899</v>
      </c>
    </row>
    <row r="4585" spans="1:40" x14ac:dyDescent="0.25">
      <c r="A4585" t="str">
        <f>"20190303171108683"</f>
        <v>20190303171108683</v>
      </c>
      <c r="B4585" t="str">
        <f>"1551604268675552"</f>
        <v>1551604268675552</v>
      </c>
      <c r="C4585" t="s">
        <v>40</v>
      </c>
      <c r="D4585">
        <v>5.2612079999999999</v>
      </c>
      <c r="E4585">
        <v>0.4265003</v>
      </c>
      <c r="F4585" t="s">
        <v>42</v>
      </c>
      <c r="G4585">
        <v>-339.44979999999998</v>
      </c>
      <c r="H4585" s="1">
        <v>-3.4244840000000002E-7</v>
      </c>
      <c r="I4585">
        <v>20.082740000000001</v>
      </c>
      <c r="J4585">
        <v>-397.00139999999999</v>
      </c>
      <c r="K4585">
        <v>1.1256029999999999</v>
      </c>
      <c r="L4585">
        <v>17.787569999999999</v>
      </c>
      <c r="M4585">
        <v>0.98696269999999997</v>
      </c>
      <c r="N4585">
        <v>-1.3638529999999999E-2</v>
      </c>
      <c r="O4585">
        <v>-0.16037100000000001</v>
      </c>
      <c r="P4585">
        <v>0.97079090000000001</v>
      </c>
      <c r="Q4585">
        <v>0.1852068</v>
      </c>
      <c r="R4585">
        <v>-0.1525253</v>
      </c>
      <c r="S4585">
        <v>3.1232600000000001</v>
      </c>
      <c r="T4585">
        <v>-6.0935499999999997E-2</v>
      </c>
      <c r="U4585">
        <v>0.1231995</v>
      </c>
      <c r="V4585">
        <v>-7.1884779999999999E-3</v>
      </c>
      <c r="W4585">
        <v>0.19852880000000001</v>
      </c>
      <c r="X4585">
        <v>0.98006870000000001</v>
      </c>
      <c r="Y4585">
        <v>-0.19909940000000001</v>
      </c>
      <c r="Z4585">
        <v>4.2276579999999996E-3</v>
      </c>
      <c r="AA4585">
        <v>0.97997020000000001</v>
      </c>
      <c r="AB4585">
        <v>24</v>
      </c>
      <c r="AC4585">
        <v>57.551600000000001</v>
      </c>
      <c r="AD4585">
        <v>-1.1256033424484</v>
      </c>
      <c r="AE4585">
        <v>2.2951700000000002</v>
      </c>
      <c r="AF4585">
        <v>-11.491533899162601</v>
      </c>
      <c r="AG4585">
        <v>-1.1256033424484</v>
      </c>
      <c r="AH4585">
        <v>56.4168999650065</v>
      </c>
      <c r="AI4585">
        <v>91.119994865666499</v>
      </c>
      <c r="AJ4585">
        <v>101.51305345425899</v>
      </c>
      <c r="AK4585">
        <v>57.586360675959398</v>
      </c>
      <c r="AL4585">
        <v>78.549059653375593</v>
      </c>
      <c r="AM4585">
        <v>90.420237953658898</v>
      </c>
      <c r="AN4585">
        <v>1.0000000076825399</v>
      </c>
    </row>
    <row r="4586" spans="1:40" x14ac:dyDescent="0.25">
      <c r="A4586" t="str">
        <f>"20190303171108700"</f>
        <v>20190303171108700</v>
      </c>
      <c r="B4586" t="str">
        <f>"1551604268695072"</f>
        <v>1551604268695072</v>
      </c>
      <c r="C4586" t="s">
        <v>40</v>
      </c>
      <c r="D4586">
        <v>5.2587099999999998</v>
      </c>
      <c r="E4586">
        <v>0.42656110000000003</v>
      </c>
      <c r="F4586" t="s">
        <v>42</v>
      </c>
      <c r="G4586">
        <v>-340.56490000000002</v>
      </c>
      <c r="H4586" s="1">
        <v>-4.1771229999999998E-6</v>
      </c>
      <c r="I4586">
        <v>20.16947</v>
      </c>
      <c r="J4586">
        <v>-396.80549999999999</v>
      </c>
      <c r="K4586">
        <v>1.125578</v>
      </c>
      <c r="L4586">
        <v>17.76163</v>
      </c>
      <c r="M4586">
        <v>0.98778730000000003</v>
      </c>
      <c r="N4586">
        <v>-1.3635090000000001E-2</v>
      </c>
      <c r="O4586">
        <v>-0.15521089999999901</v>
      </c>
      <c r="P4586">
        <v>0.97128190000000003</v>
      </c>
      <c r="Q4586">
        <v>0.1852357</v>
      </c>
      <c r="R4586">
        <v>-0.1493293</v>
      </c>
      <c r="S4586">
        <v>3.1228639999999999</v>
      </c>
      <c r="T4586">
        <v>-6.2284470000000001E-2</v>
      </c>
      <c r="U4586">
        <v>0.13180539999999999</v>
      </c>
      <c r="V4586">
        <v>-5.2723479999999996E-3</v>
      </c>
      <c r="W4586">
        <v>0.1985741</v>
      </c>
      <c r="X4586">
        <v>0.98007169999999999</v>
      </c>
      <c r="Y4586">
        <v>-0.19667660000000001</v>
      </c>
      <c r="Z4586">
        <v>4.2689169999999997E-3</v>
      </c>
      <c r="AA4586">
        <v>0.98045910000000003</v>
      </c>
      <c r="AB4586">
        <v>24</v>
      </c>
      <c r="AC4586">
        <v>56.240599999999901</v>
      </c>
      <c r="AD4586">
        <v>-1.1255821771229999</v>
      </c>
      <c r="AE4586">
        <v>2.4078400000000002</v>
      </c>
      <c r="AF4586">
        <v>-11.1041804816539</v>
      </c>
      <c r="AG4586">
        <v>-1.1255821771229999</v>
      </c>
      <c r="AH4586">
        <v>55.1631000397132</v>
      </c>
      <c r="AI4586">
        <v>91.145955945477496</v>
      </c>
      <c r="AJ4586">
        <v>101.38138297522799</v>
      </c>
      <c r="AK4586">
        <v>56.280879216639903</v>
      </c>
      <c r="AL4586">
        <v>78.546411386849201</v>
      </c>
      <c r="AM4586">
        <v>90.308222729539906</v>
      </c>
      <c r="AN4586">
        <v>1.0000000039925601</v>
      </c>
    </row>
    <row r="4587" spans="1:40" x14ac:dyDescent="0.25">
      <c r="A4587" t="str">
        <f>"20190303171108711"</f>
        <v>20190303171108711</v>
      </c>
      <c r="B4587" t="str">
        <f>"1551604268705809"</f>
        <v>1551604268705809</v>
      </c>
      <c r="C4587" t="s">
        <v>40</v>
      </c>
      <c r="D4587">
        <v>5.2871769999999998</v>
      </c>
      <c r="E4587">
        <v>0.42660979999999998</v>
      </c>
      <c r="F4587" t="s">
        <v>42</v>
      </c>
      <c r="G4587">
        <v>-340.59769999999997</v>
      </c>
      <c r="H4587" s="1">
        <v>-4.1943370000000002E-6</v>
      </c>
      <c r="I4587">
        <v>20.302409999999998</v>
      </c>
      <c r="J4587">
        <v>-396.6832</v>
      </c>
      <c r="K4587">
        <v>1.125561</v>
      </c>
      <c r="L4587">
        <v>17.74597</v>
      </c>
      <c r="M4587">
        <v>0.98828490000000002</v>
      </c>
      <c r="N4587">
        <v>-1.363232E-2</v>
      </c>
      <c r="O4587">
        <v>-0.15201139999999999</v>
      </c>
      <c r="P4587">
        <v>0.97157700000000002</v>
      </c>
      <c r="Q4587">
        <v>0.18553720000000001</v>
      </c>
      <c r="R4587">
        <v>-0.14701729999999999</v>
      </c>
      <c r="S4587">
        <v>3.1223139999999998</v>
      </c>
      <c r="T4587">
        <v>-6.2525510000000006E-2</v>
      </c>
      <c r="U4587">
        <v>0.14114380000000001</v>
      </c>
      <c r="V4587">
        <v>-4.4112350000000003E-3</v>
      </c>
      <c r="W4587">
        <v>0.19888110000000001</v>
      </c>
      <c r="X4587">
        <v>0.98001369999999999</v>
      </c>
      <c r="Y4587">
        <v>-0.19643540000000001</v>
      </c>
      <c r="Z4587">
        <v>4.2659849999999999E-3</v>
      </c>
      <c r="AA4587">
        <v>0.98050749999999998</v>
      </c>
      <c r="AB4587">
        <v>24</v>
      </c>
      <c r="AC4587">
        <v>56.085500000000003</v>
      </c>
      <c r="AD4587">
        <v>-1.125565194337</v>
      </c>
      <c r="AE4587">
        <v>2.5564399999999998</v>
      </c>
      <c r="AF4587">
        <v>-11.0487109114351</v>
      </c>
      <c r="AG4587">
        <v>-1.125565194337</v>
      </c>
      <c r="AH4587">
        <v>55.022835401842002</v>
      </c>
      <c r="AI4587">
        <v>91.148968975006497</v>
      </c>
      <c r="AJ4587">
        <v>101.35412504435099</v>
      </c>
      <c r="AK4587">
        <v>56.132462314327199</v>
      </c>
      <c r="AL4587">
        <v>78.528463581599595</v>
      </c>
      <c r="AM4587">
        <v>90.257897865125202</v>
      </c>
      <c r="AN4587">
        <v>1.00000000155956</v>
      </c>
    </row>
    <row r="4588" spans="1:40" x14ac:dyDescent="0.25">
      <c r="A4588" t="str">
        <f>"20190303171108724"</f>
        <v>20190303171108724</v>
      </c>
      <c r="B4588" t="str">
        <f>"1551604268715568"</f>
        <v>1551604268715568</v>
      </c>
      <c r="C4588" t="s">
        <v>40</v>
      </c>
      <c r="D4588">
        <v>5.268014</v>
      </c>
      <c r="E4588">
        <v>0.42666340000000003</v>
      </c>
      <c r="F4588" t="s">
        <v>42</v>
      </c>
      <c r="G4588">
        <v>-339.61599999999999</v>
      </c>
      <c r="H4588" s="1">
        <v>-3.7013889999999998E-7</v>
      </c>
      <c r="I4588">
        <v>20.45477</v>
      </c>
      <c r="J4588">
        <v>-396.5564</v>
      </c>
      <c r="K4588">
        <v>1.125534</v>
      </c>
      <c r="L4588">
        <v>17.730160000000001</v>
      </c>
      <c r="M4588">
        <v>0.98878630000000001</v>
      </c>
      <c r="N4588">
        <v>-1.362902E-2</v>
      </c>
      <c r="O4588">
        <v>-0.14871419999999999</v>
      </c>
      <c r="P4588">
        <v>0.97201729999999997</v>
      </c>
      <c r="Q4588">
        <v>0.18542259999999999</v>
      </c>
      <c r="R4588">
        <v>-0.1442252</v>
      </c>
      <c r="S4588">
        <v>3.1219480000000002</v>
      </c>
      <c r="T4588">
        <v>-6.1575530000000003E-2</v>
      </c>
      <c r="U4588">
        <v>0.1481934</v>
      </c>
      <c r="V4588">
        <v>-3.945423E-3</v>
      </c>
      <c r="W4588">
        <v>0.198768</v>
      </c>
      <c r="X4588">
        <v>0.98003859999999998</v>
      </c>
      <c r="Y4588">
        <v>-0.19538150000000001</v>
      </c>
      <c r="Z4588">
        <v>4.1539979999999999E-3</v>
      </c>
      <c r="AA4588">
        <v>0.98071850000000005</v>
      </c>
      <c r="AB4588">
        <v>24</v>
      </c>
      <c r="AC4588">
        <v>56.940399999999997</v>
      </c>
      <c r="AD4588">
        <v>-1.12553437013889</v>
      </c>
      <c r="AE4588">
        <v>2.72460999999999</v>
      </c>
      <c r="AF4588">
        <v>-11.158589789798199</v>
      </c>
      <c r="AG4588">
        <v>-1.12553437013889</v>
      </c>
      <c r="AH4588">
        <v>55.880106936889099</v>
      </c>
      <c r="AI4588">
        <v>91.131558629374496</v>
      </c>
      <c r="AJ4588">
        <v>101.292745663189</v>
      </c>
      <c r="AK4588">
        <v>56.994449773583398</v>
      </c>
      <c r="AL4588">
        <v>78.535075388447893</v>
      </c>
      <c r="AM4588">
        <v>90.230659144528104</v>
      </c>
      <c r="AN4588">
        <v>0.99999997083830305</v>
      </c>
    </row>
    <row r="4589" spans="1:40" x14ac:dyDescent="0.25">
      <c r="A4589" t="str">
        <f>"20190303171108737"</f>
        <v>20190303171108737</v>
      </c>
      <c r="B4589" t="str">
        <f>"1551604268725329"</f>
        <v>1551604268725329</v>
      </c>
      <c r="C4589" t="s">
        <v>40</v>
      </c>
      <c r="D4589">
        <v>5.2956539999999999</v>
      </c>
      <c r="E4589">
        <v>0.4267127</v>
      </c>
      <c r="F4589" t="s">
        <v>42</v>
      </c>
      <c r="G4589">
        <v>-340.28399999999999</v>
      </c>
      <c r="H4589" s="1">
        <v>-4.3449380000000003E-6</v>
      </c>
      <c r="I4589">
        <v>20.549669999999999</v>
      </c>
      <c r="J4589">
        <v>-396.42610000000002</v>
      </c>
      <c r="K4589">
        <v>1.1255010000000001</v>
      </c>
      <c r="L4589">
        <v>17.714200000000002</v>
      </c>
      <c r="M4589">
        <v>0.98928850000000002</v>
      </c>
      <c r="N4589">
        <v>-1.362554E-2</v>
      </c>
      <c r="O4589">
        <v>-0.14533679999999999</v>
      </c>
      <c r="P4589">
        <v>0.972495</v>
      </c>
      <c r="Q4589">
        <v>0.18521580000000001</v>
      </c>
      <c r="R4589">
        <v>-0.14124039999999999</v>
      </c>
      <c r="S4589">
        <v>3.121429</v>
      </c>
      <c r="T4589">
        <v>-6.2433599999999999E-2</v>
      </c>
      <c r="U4589">
        <v>0.1564026</v>
      </c>
      <c r="V4589">
        <v>-3.5941520000000002E-3</v>
      </c>
      <c r="W4589">
        <v>0.1985624</v>
      </c>
      <c r="X4589">
        <v>0.98008169999999994</v>
      </c>
      <c r="Y4589">
        <v>-0.19461200000000001</v>
      </c>
      <c r="Z4589">
        <v>4.1890119999999998E-3</v>
      </c>
      <c r="AA4589">
        <v>0.98087139999999995</v>
      </c>
      <c r="AB4589">
        <v>24</v>
      </c>
      <c r="AC4589">
        <v>56.142099999999999</v>
      </c>
      <c r="AD4589">
        <v>-1.1255053449379999</v>
      </c>
      <c r="AE4589">
        <v>2.8354699999999999</v>
      </c>
      <c r="AF4589">
        <v>-10.9612339031577</v>
      </c>
      <c r="AG4589">
        <v>-1.1255053449379999</v>
      </c>
      <c r="AH4589">
        <v>55.111656044097899</v>
      </c>
      <c r="AI4589">
        <v>91.147477942253701</v>
      </c>
      <c r="AJ4589">
        <v>101.24884385256399</v>
      </c>
      <c r="AK4589">
        <v>56.202402465412199</v>
      </c>
      <c r="AL4589">
        <v>78.547095804639795</v>
      </c>
      <c r="AM4589">
        <v>90.210113929684596</v>
      </c>
      <c r="AN4589">
        <v>1.0000000416486201</v>
      </c>
    </row>
    <row r="4590" spans="1:40" x14ac:dyDescent="0.25">
      <c r="A4590" t="str">
        <f>"20190303171108747"</f>
        <v>20190303171108747</v>
      </c>
      <c r="B4590" t="str">
        <f>"1551604268735089"</f>
        <v>1551604268735089</v>
      </c>
      <c r="C4590" t="s">
        <v>40</v>
      </c>
      <c r="D4590">
        <v>5.2923530000000003</v>
      </c>
      <c r="E4590">
        <v>0.42675960000000002</v>
      </c>
      <c r="F4590" t="s">
        <v>42</v>
      </c>
      <c r="G4590">
        <v>-341.09050000000002</v>
      </c>
      <c r="H4590" s="1">
        <v>-4.0780989999999997E-6</v>
      </c>
      <c r="I4590">
        <v>20.644659999999998</v>
      </c>
      <c r="J4590">
        <v>-396.30200000000002</v>
      </c>
      <c r="K4590">
        <v>1.1254630000000001</v>
      </c>
      <c r="L4590">
        <v>17.699619999999999</v>
      </c>
      <c r="M4590">
        <v>0.98974870000000004</v>
      </c>
      <c r="N4590">
        <v>-1.362154E-2</v>
      </c>
      <c r="O4590">
        <v>-0.1421692</v>
      </c>
      <c r="P4590">
        <v>0.97304489999999999</v>
      </c>
      <c r="Q4590">
        <v>0.18466569999999999</v>
      </c>
      <c r="R4590">
        <v>-0.13813909999999999</v>
      </c>
      <c r="S4590">
        <v>3.1209410000000002</v>
      </c>
      <c r="T4590">
        <v>-6.3478709999999994E-2</v>
      </c>
      <c r="U4590">
        <v>0.16528319999999999</v>
      </c>
      <c r="V4590">
        <v>-3.5721260000000001E-3</v>
      </c>
      <c r="W4590">
        <v>0.19801050000000001</v>
      </c>
      <c r="X4590">
        <v>0.98019339999999999</v>
      </c>
      <c r="Y4590">
        <v>-0.1942615</v>
      </c>
      <c r="Z4590">
        <v>4.2446369999999999E-3</v>
      </c>
      <c r="AA4590">
        <v>0.98094060000000005</v>
      </c>
      <c r="AB4590">
        <v>24</v>
      </c>
      <c r="AC4590">
        <v>55.211499999999901</v>
      </c>
      <c r="AD4590">
        <v>-1.1254670780989999</v>
      </c>
      <c r="AE4590">
        <v>2.9450400000000001</v>
      </c>
      <c r="AF4590">
        <v>-10.7607636619241</v>
      </c>
      <c r="AG4590">
        <v>-1.1254670780989999</v>
      </c>
      <c r="AH4590">
        <v>54.209382764124001</v>
      </c>
      <c r="AI4590">
        <v>91.166618364353894</v>
      </c>
      <c r="AJ4590">
        <v>101.22747511966899</v>
      </c>
      <c r="AK4590">
        <v>55.278548193661699</v>
      </c>
      <c r="AL4590">
        <v>78.579357569056398</v>
      </c>
      <c r="AM4590">
        <v>90.208802505335896</v>
      </c>
      <c r="AN4590">
        <v>1.0000000097989801</v>
      </c>
    </row>
    <row r="4591" spans="1:40" x14ac:dyDescent="0.25">
      <c r="A4591" t="str">
        <f>"20190303171108767"</f>
        <v>20190303171108767</v>
      </c>
      <c r="B4591" t="str">
        <f>"1551604268755585"</f>
        <v>1551604268755585</v>
      </c>
      <c r="C4591" t="s">
        <v>40</v>
      </c>
      <c r="D4591">
        <v>5.2637429999999998</v>
      </c>
      <c r="E4591">
        <v>0.42688419999999999</v>
      </c>
      <c r="F4591" t="s">
        <v>42</v>
      </c>
      <c r="G4591">
        <v>-343.00619999999998</v>
      </c>
      <c r="H4591" s="1">
        <v>-3.264129E-6</v>
      </c>
      <c r="I4591">
        <v>20.67428</v>
      </c>
      <c r="J4591">
        <v>-396.09899999999999</v>
      </c>
      <c r="K4591">
        <v>1.1253919999999999</v>
      </c>
      <c r="L4591">
        <v>17.676359999999999</v>
      </c>
      <c r="M4591">
        <v>0.99047209999999997</v>
      </c>
      <c r="N4591">
        <v>-1.3614390000000001E-2</v>
      </c>
      <c r="O4591">
        <v>-0.1370391</v>
      </c>
      <c r="P4591">
        <v>0.97380549999999999</v>
      </c>
      <c r="Q4591">
        <v>0.183948</v>
      </c>
      <c r="R4591">
        <v>-0.13366400000000001</v>
      </c>
      <c r="S4591">
        <v>3.1203310000000002</v>
      </c>
      <c r="T4591">
        <v>-6.5893170000000001E-2</v>
      </c>
      <c r="U4591">
        <v>0.17416379999999901</v>
      </c>
      <c r="V4591">
        <v>-2.9752369999999999E-3</v>
      </c>
      <c r="W4591">
        <v>0.19729340000000001</v>
      </c>
      <c r="X4591">
        <v>0.98033990000000004</v>
      </c>
      <c r="Y4591">
        <v>-0.1919681</v>
      </c>
      <c r="Z4591">
        <v>4.3535520000000001E-3</v>
      </c>
      <c r="AA4591">
        <v>0.98139149999999997</v>
      </c>
      <c r="AB4591">
        <v>24</v>
      </c>
      <c r="AC4591">
        <v>53.092799999999997</v>
      </c>
      <c r="AD4591">
        <v>-1.1253952641289999</v>
      </c>
      <c r="AE4591">
        <v>2.9979200000000001</v>
      </c>
      <c r="AF4591">
        <v>-10.2415081014944</v>
      </c>
      <c r="AG4591">
        <v>-1.1253952641289999</v>
      </c>
      <c r="AH4591">
        <v>52.157579695339599</v>
      </c>
      <c r="AI4591">
        <v>91.212915163063997</v>
      </c>
      <c r="AJ4591">
        <v>101.10909444104399</v>
      </c>
      <c r="AK4591">
        <v>53.165478671495102</v>
      </c>
      <c r="AL4591">
        <v>78.621270299005204</v>
      </c>
      <c r="AM4591">
        <v>90.173886628280002</v>
      </c>
      <c r="AN4591">
        <v>0.999999928625385</v>
      </c>
    </row>
    <row r="4592" spans="1:40" x14ac:dyDescent="0.25">
      <c r="A4592" t="str">
        <f>"20190303171108779"</f>
        <v>20190303171108779</v>
      </c>
      <c r="B4592" t="str">
        <f>"1551604268775104"</f>
        <v>1551604268775104</v>
      </c>
      <c r="C4592" t="s">
        <v>40</v>
      </c>
      <c r="D4592">
        <v>5.2646579999999998</v>
      </c>
      <c r="E4592">
        <v>0.42700729999999998</v>
      </c>
      <c r="F4592" t="s">
        <v>42</v>
      </c>
      <c r="G4592">
        <v>-345.57819999999998</v>
      </c>
      <c r="H4592" s="1">
        <v>-2.1660219999999999E-6</v>
      </c>
      <c r="I4592">
        <v>20.694130000000001</v>
      </c>
      <c r="J4592">
        <v>-395.97050000000002</v>
      </c>
      <c r="K4592">
        <v>1.1253390000000001</v>
      </c>
      <c r="L4592">
        <v>17.662109999999998</v>
      </c>
      <c r="M4592">
        <v>0.99091039999999997</v>
      </c>
      <c r="N4592">
        <v>-1.3609390000000001E-2</v>
      </c>
      <c r="O4592">
        <v>-0.13383399999999901</v>
      </c>
      <c r="P4592">
        <v>0.97412790000000005</v>
      </c>
      <c r="Q4592">
        <v>0.18421460000000001</v>
      </c>
      <c r="R4592">
        <v>-0.13092029999999999</v>
      </c>
      <c r="S4592">
        <v>3.1194459999999999</v>
      </c>
      <c r="T4592">
        <v>-6.948841E-2</v>
      </c>
      <c r="U4592">
        <v>0.18634029999999999</v>
      </c>
      <c r="V4592">
        <v>-2.5356839999999999E-3</v>
      </c>
      <c r="W4592">
        <v>0.1975585</v>
      </c>
      <c r="X4592">
        <v>0.98028780000000004</v>
      </c>
      <c r="Y4592">
        <v>-0.19261890000000001</v>
      </c>
      <c r="Z4592">
        <v>4.6078309999999997E-3</v>
      </c>
      <c r="AA4592">
        <v>0.98126279999999999</v>
      </c>
      <c r="AB4592">
        <v>24</v>
      </c>
      <c r="AC4592">
        <v>50.392299999999999</v>
      </c>
      <c r="AD4592">
        <v>-1.1253411660220001</v>
      </c>
      <c r="AE4592">
        <v>3.0320199999999899</v>
      </c>
      <c r="AF4592">
        <v>-9.7447231275481592</v>
      </c>
      <c r="AG4592">
        <v>-1.1253411660220001</v>
      </c>
      <c r="AH4592">
        <v>49.508448943859896</v>
      </c>
      <c r="AI4592">
        <v>91.2776200338769</v>
      </c>
      <c r="AJ4592">
        <v>101.13515682578701</v>
      </c>
      <c r="AK4592">
        <v>50.470907842036098</v>
      </c>
      <c r="AL4592">
        <v>78.605776830894001</v>
      </c>
      <c r="AM4592">
        <v>90.1482051162468</v>
      </c>
      <c r="AN4592">
        <v>0.99999998072221796</v>
      </c>
    </row>
    <row r="4593" spans="1:40" x14ac:dyDescent="0.25">
      <c r="A4593" t="str">
        <f>"20190303171108791"</f>
        <v>20190303171108791</v>
      </c>
      <c r="B4593" t="str">
        <f>"1551604268785840"</f>
        <v>1551604268785840</v>
      </c>
      <c r="C4593" t="s">
        <v>40</v>
      </c>
      <c r="D4593">
        <v>5.2961879999999999</v>
      </c>
      <c r="E4593">
        <v>0.42707990000000001</v>
      </c>
      <c r="F4593" t="s">
        <v>42</v>
      </c>
      <c r="G4593">
        <v>-344.86610000000002</v>
      </c>
      <c r="H4593" s="1">
        <v>-2.511008E-6</v>
      </c>
      <c r="I4593">
        <v>20.842449999999999</v>
      </c>
      <c r="J4593">
        <v>-395.8331</v>
      </c>
      <c r="K4593">
        <v>1.125281</v>
      </c>
      <c r="L4593">
        <v>17.64734</v>
      </c>
      <c r="M4593">
        <v>0.99135930000000005</v>
      </c>
      <c r="N4593">
        <v>-1.360333E-2</v>
      </c>
      <c r="O4593">
        <v>-0.130467</v>
      </c>
      <c r="P4593">
        <v>0.97443659999999999</v>
      </c>
      <c r="Q4593">
        <v>0.1844268</v>
      </c>
      <c r="R4593">
        <v>-0.12829660000000001</v>
      </c>
      <c r="S4593">
        <v>3.118744</v>
      </c>
      <c r="T4593">
        <v>-6.8676109999999999E-2</v>
      </c>
      <c r="U4593">
        <v>0.19409180000000001</v>
      </c>
      <c r="V4593">
        <v>-1.8101409999999999E-3</v>
      </c>
      <c r="W4593">
        <v>0.19777159999999999</v>
      </c>
      <c r="X4593">
        <v>0.98024650000000002</v>
      </c>
      <c r="Y4593">
        <v>-0.1917306</v>
      </c>
      <c r="Z4593">
        <v>4.5058579999999997E-3</v>
      </c>
      <c r="AA4593">
        <v>0.98143729999999996</v>
      </c>
      <c r="AB4593">
        <v>24</v>
      </c>
      <c r="AC4593">
        <v>50.966999999999899</v>
      </c>
      <c r="AD4593">
        <v>-1.1252835110079999</v>
      </c>
      <c r="AE4593">
        <v>3.1951100000000001</v>
      </c>
      <c r="AF4593">
        <v>-9.8131574233775201</v>
      </c>
      <c r="AG4593">
        <v>-1.1252835110079999</v>
      </c>
      <c r="AH4593">
        <v>50.090069631413897</v>
      </c>
      <c r="AI4593">
        <v>91.262944534179297</v>
      </c>
      <c r="AJ4593">
        <v>101.084442688238</v>
      </c>
      <c r="AK4593">
        <v>51.054670670527599</v>
      </c>
      <c r="AL4593">
        <v>78.593322051994207</v>
      </c>
      <c r="AM4593">
        <v>90.105803307368305</v>
      </c>
      <c r="AN4593">
        <v>1.00000004156962</v>
      </c>
    </row>
    <row r="4594" spans="1:40" x14ac:dyDescent="0.25">
      <c r="A4594" t="str">
        <f>"20190303171108814"</f>
        <v>20190303171108814</v>
      </c>
      <c r="B4594" t="str">
        <f>"1551604268805361"</f>
        <v>1551604268805361</v>
      </c>
      <c r="C4594" t="s">
        <v>40</v>
      </c>
      <c r="D4594">
        <v>5.2606909999999996</v>
      </c>
      <c r="E4594">
        <v>0.4272107</v>
      </c>
      <c r="F4594" t="s">
        <v>42</v>
      </c>
      <c r="G4594">
        <v>-344.24689999999998</v>
      </c>
      <c r="H4594" s="1">
        <v>-2.815203E-6</v>
      </c>
      <c r="I4594">
        <v>20.987469999999998</v>
      </c>
      <c r="J4594">
        <v>-395.6062</v>
      </c>
      <c r="K4594">
        <v>1.1251629999999999</v>
      </c>
      <c r="L4594">
        <v>17.623809999999999</v>
      </c>
      <c r="M4594">
        <v>0.99206050000000001</v>
      </c>
      <c r="N4594">
        <v>-1.3592150000000001E-2</v>
      </c>
      <c r="O4594">
        <v>-0.12502479999999999</v>
      </c>
      <c r="P4594">
        <v>0.97491229999999995</v>
      </c>
      <c r="Q4594">
        <v>0.184944</v>
      </c>
      <c r="R4594">
        <v>-0.1238604</v>
      </c>
      <c r="S4594">
        <v>3.1181950000000001</v>
      </c>
      <c r="T4594">
        <v>-6.8019270000000007E-2</v>
      </c>
      <c r="U4594">
        <v>0.20190430000000001</v>
      </c>
      <c r="V4594">
        <v>-8.2800679999999903E-4</v>
      </c>
      <c r="W4594">
        <v>0.1982853</v>
      </c>
      <c r="X4594">
        <v>0.98014400000000002</v>
      </c>
      <c r="Y4594">
        <v>-0.18880620000000001</v>
      </c>
      <c r="Z4594">
        <v>4.3639289999999999E-3</v>
      </c>
      <c r="AA4594">
        <v>0.98200460000000001</v>
      </c>
      <c r="AB4594">
        <v>24</v>
      </c>
      <c r="AC4594">
        <v>51.359299999999998</v>
      </c>
      <c r="AD4594">
        <v>-1.125165815203</v>
      </c>
      <c r="AE4594">
        <v>3.3636599999999999</v>
      </c>
      <c r="AF4594">
        <v>-9.7543804245046601</v>
      </c>
      <c r="AG4594">
        <v>-1.125165815203</v>
      </c>
      <c r="AH4594">
        <v>50.511521312446099</v>
      </c>
      <c r="AI4594">
        <v>91.252936073080704</v>
      </c>
      <c r="AJ4594">
        <v>100.929959841181</v>
      </c>
      <c r="AK4594">
        <v>51.457047339265003</v>
      </c>
      <c r="AL4594">
        <v>78.563294110576606</v>
      </c>
      <c r="AM4594">
        <v>90.048402361043401</v>
      </c>
      <c r="AN4594">
        <v>1.00000000326367</v>
      </c>
    </row>
    <row r="4595" spans="1:40" x14ac:dyDescent="0.25">
      <c r="A4595" t="str">
        <f>"20190303171108837"</f>
        <v>20190303171108837</v>
      </c>
      <c r="B4595" t="str">
        <f>"1551604268825856"</f>
        <v>1551604268825856</v>
      </c>
      <c r="C4595" t="s">
        <v>40</v>
      </c>
      <c r="D4595">
        <v>5.290082</v>
      </c>
      <c r="E4595">
        <v>0.42740250000000002</v>
      </c>
      <c r="F4595" t="s">
        <v>42</v>
      </c>
      <c r="G4595">
        <v>-342.74400000000003</v>
      </c>
      <c r="H4595" s="1">
        <v>-3.536585E-6</v>
      </c>
      <c r="I4595">
        <v>21.275469999999999</v>
      </c>
      <c r="J4595">
        <v>-395.35509999999999</v>
      </c>
      <c r="K4595">
        <v>1.1250169999999999</v>
      </c>
      <c r="L4595">
        <v>17.599</v>
      </c>
      <c r="M4595">
        <v>0.99277629999999994</v>
      </c>
      <c r="N4595">
        <v>-1.357824E-2</v>
      </c>
      <c r="O4595">
        <v>-0.1192101</v>
      </c>
      <c r="P4595">
        <v>0.97563429999999995</v>
      </c>
      <c r="Q4595">
        <v>0.18435470000000001</v>
      </c>
      <c r="R4595">
        <v>-0.11895890000000001</v>
      </c>
      <c r="S4595">
        <v>3.1171259999999998</v>
      </c>
      <c r="T4595">
        <v>-6.6347719999999999E-2</v>
      </c>
      <c r="U4595">
        <v>0.215332</v>
      </c>
      <c r="V4595" s="1">
        <v>5.2497490000000003E-5</v>
      </c>
      <c r="W4595">
        <v>0.19769120000000001</v>
      </c>
      <c r="X4595">
        <v>0.98026440000000004</v>
      </c>
      <c r="Y4595">
        <v>-0.1872895</v>
      </c>
      <c r="Z4595">
        <v>4.1781279999999997E-3</v>
      </c>
      <c r="AA4595">
        <v>0.9822959</v>
      </c>
      <c r="AB4595">
        <v>24</v>
      </c>
      <c r="AC4595">
        <v>52.611099999999901</v>
      </c>
      <c r="AD4595">
        <v>-1.1250205365849999</v>
      </c>
      <c r="AE4595">
        <v>3.6764700000000001</v>
      </c>
      <c r="AF4595">
        <v>-9.9180874050945</v>
      </c>
      <c r="AG4595">
        <v>-1.1250205365849999</v>
      </c>
      <c r="AH4595">
        <v>51.773991553960101</v>
      </c>
      <c r="AI4595">
        <v>91.222586390285699</v>
      </c>
      <c r="AJ4595">
        <v>100.844488757254</v>
      </c>
      <c r="AK4595">
        <v>52.727415358733197</v>
      </c>
      <c r="AL4595">
        <v>78.598021554712304</v>
      </c>
      <c r="AM4595">
        <v>89.996931557843794</v>
      </c>
      <c r="AN4595">
        <v>1.0000000536103899</v>
      </c>
    </row>
    <row r="4596" spans="1:40" x14ac:dyDescent="0.25">
      <c r="A4596" t="str">
        <f>"20190303171108850"</f>
        <v>20190303171108850</v>
      </c>
      <c r="B4596" t="str">
        <f>"1551604268845377"</f>
        <v>1551604268845377</v>
      </c>
      <c r="C4596" t="s">
        <v>40</v>
      </c>
      <c r="D4596">
        <v>5.3158430000000001</v>
      </c>
      <c r="E4596">
        <v>0.45348070000000001</v>
      </c>
      <c r="F4596" t="s">
        <v>42</v>
      </c>
      <c r="G4596">
        <v>-345.30840000000001</v>
      </c>
      <c r="H4596" s="1">
        <v>-2.435308E-6</v>
      </c>
      <c r="I4596">
        <v>21.27111</v>
      </c>
      <c r="J4596">
        <v>-395.21440000000001</v>
      </c>
      <c r="K4596">
        <v>1.1249229999999999</v>
      </c>
      <c r="L4596">
        <v>17.585750000000001</v>
      </c>
      <c r="M4596">
        <v>0.99314709999999995</v>
      </c>
      <c r="N4596">
        <v>-1.3569090000000001E-2</v>
      </c>
      <c r="O4596">
        <v>-0.1160819</v>
      </c>
      <c r="P4596">
        <v>0.97603680000000004</v>
      </c>
      <c r="Q4596">
        <v>0.18409790000000001</v>
      </c>
      <c r="R4596">
        <v>-0.11601939999999999</v>
      </c>
      <c r="S4596">
        <v>3.1159970000000001</v>
      </c>
      <c r="T4596">
        <v>-7.0045709999999997E-2</v>
      </c>
      <c r="U4596">
        <v>0.2286377</v>
      </c>
      <c r="V4596">
        <v>2.293338E-4</v>
      </c>
      <c r="W4596">
        <v>0.19742760000000001</v>
      </c>
      <c r="X4596">
        <v>0.98031749999999995</v>
      </c>
      <c r="Y4596">
        <v>-0.18838469999999999</v>
      </c>
      <c r="Z4596">
        <v>4.4243900000000003E-3</v>
      </c>
      <c r="AA4596">
        <v>0.98208530000000005</v>
      </c>
      <c r="AB4596">
        <v>24</v>
      </c>
      <c r="AC4596">
        <v>49.905999999999999</v>
      </c>
      <c r="AD4596">
        <v>-1.1249254353079901</v>
      </c>
      <c r="AE4596">
        <v>3.68535999999999</v>
      </c>
      <c r="AF4596">
        <v>-9.4493818068504503</v>
      </c>
      <c r="AG4596">
        <v>-1.1249254353079901</v>
      </c>
      <c r="AH4596">
        <v>49.115892544864899</v>
      </c>
      <c r="AI4596">
        <v>91.288424174819696</v>
      </c>
      <c r="AJ4596">
        <v>100.890046831982</v>
      </c>
      <c r="AK4596">
        <v>50.029263179117002</v>
      </c>
      <c r="AL4596">
        <v>78.613428395440707</v>
      </c>
      <c r="AM4596">
        <v>89.986596323537995</v>
      </c>
      <c r="AN4596">
        <v>1.00000005532099</v>
      </c>
    </row>
    <row r="4597" spans="1:40" x14ac:dyDescent="0.25">
      <c r="A4597" t="str">
        <f>"20190303171108867"</f>
        <v>20190303171108867</v>
      </c>
      <c r="B4597" t="str">
        <f>"1551604268855136"</f>
        <v>1551604268855136</v>
      </c>
      <c r="C4597" t="s">
        <v>40</v>
      </c>
      <c r="D4597">
        <v>5.2545229999999998</v>
      </c>
      <c r="E4597">
        <v>0.45636870000000002</v>
      </c>
      <c r="F4597" t="s">
        <v>97</v>
      </c>
      <c r="G4597">
        <v>-365.69330000000002</v>
      </c>
      <c r="H4597" s="1">
        <v>-2.342615E-6</v>
      </c>
      <c r="I4597">
        <v>17.88918</v>
      </c>
      <c r="J4597">
        <v>-395.03050000000002</v>
      </c>
      <c r="K4597">
        <v>1.1247969999999901</v>
      </c>
      <c r="L4597">
        <v>17.56888</v>
      </c>
      <c r="M4597">
        <v>0.99360689999999996</v>
      </c>
      <c r="N4597">
        <v>-1.3557049999999999E-2</v>
      </c>
      <c r="O4597">
        <v>-0.11207839999999999</v>
      </c>
      <c r="P4597">
        <v>0.97649989999999998</v>
      </c>
      <c r="Q4597">
        <v>0.1834634</v>
      </c>
      <c r="R4597">
        <v>-0.1130902</v>
      </c>
      <c r="S4597">
        <v>3.0997620000000001</v>
      </c>
      <c r="T4597">
        <v>-0.1181189</v>
      </c>
      <c r="U4597">
        <v>3.1860350000000003E-2</v>
      </c>
      <c r="V4597">
        <v>1.2900139999999999E-3</v>
      </c>
      <c r="W4597">
        <v>0.19679089999999999</v>
      </c>
      <c r="X4597">
        <v>0.9804446</v>
      </c>
      <c r="Y4597">
        <v>-0.12214220000000001</v>
      </c>
      <c r="Z4597">
        <v>5.8964000000000004E-3</v>
      </c>
      <c r="AA4597">
        <v>0.99249509999999996</v>
      </c>
      <c r="AB4597">
        <v>24</v>
      </c>
      <c r="AC4597">
        <v>29.337199999999999</v>
      </c>
      <c r="AD4597">
        <v>-1.12479934261499</v>
      </c>
      <c r="AE4597">
        <v>0.32029999999999897</v>
      </c>
      <c r="AF4597">
        <v>-3.6013568136488998</v>
      </c>
      <c r="AG4597">
        <v>-1.12479934261499</v>
      </c>
      <c r="AH4597">
        <v>29.0736882023538</v>
      </c>
      <c r="AI4597">
        <v>92.198759542472203</v>
      </c>
      <c r="AJ4597">
        <v>97.061257510135206</v>
      </c>
      <c r="AK4597">
        <v>29.317474143384999</v>
      </c>
      <c r="AL4597">
        <v>78.650637621186902</v>
      </c>
      <c r="AM4597">
        <v>89.924613471214002</v>
      </c>
      <c r="AN4597">
        <v>0.99999996806404401</v>
      </c>
    </row>
    <row r="4598" spans="1:40" x14ac:dyDescent="0.25">
      <c r="A4598" t="str">
        <f>"20190303171108880"</f>
        <v>20190303171108880</v>
      </c>
      <c r="B4598" t="str">
        <f>"1551604268875633"</f>
        <v>1551604268875633</v>
      </c>
      <c r="C4598" t="s">
        <v>40</v>
      </c>
      <c r="D4598">
        <v>5.2224139999999997</v>
      </c>
      <c r="E4598">
        <v>0.45878360000000001</v>
      </c>
      <c r="F4598" t="s">
        <v>97</v>
      </c>
      <c r="G4598">
        <v>-365.17360000000002</v>
      </c>
      <c r="H4598" s="1">
        <v>-2.6142520000000001E-6</v>
      </c>
      <c r="I4598">
        <v>17.742799999999999</v>
      </c>
      <c r="J4598">
        <v>-394.89580000000001</v>
      </c>
      <c r="K4598">
        <v>1.124703</v>
      </c>
      <c r="L4598">
        <v>17.55688</v>
      </c>
      <c r="M4598">
        <v>0.99392599999999998</v>
      </c>
      <c r="N4598">
        <v>-1.354822E-2</v>
      </c>
      <c r="O4598">
        <v>-0.10921350000000001</v>
      </c>
      <c r="P4598">
        <v>0.97680149999999999</v>
      </c>
      <c r="Q4598">
        <v>0.18312719999999999</v>
      </c>
      <c r="R4598">
        <v>-0.11101179999999999</v>
      </c>
      <c r="S4598">
        <v>3.0961609999999999</v>
      </c>
      <c r="T4598">
        <v>-0.1166415</v>
      </c>
      <c r="U4598">
        <v>1.8035889999999999E-2</v>
      </c>
      <c r="V4598">
        <v>2.0695829999999998E-3</v>
      </c>
      <c r="W4598">
        <v>0.1964524</v>
      </c>
      <c r="X4598">
        <v>0.98051120000000003</v>
      </c>
      <c r="Y4598">
        <v>-0.11486970000000001</v>
      </c>
      <c r="Z4598">
        <v>5.5670989999999998E-3</v>
      </c>
      <c r="AA4598">
        <v>0.99336500000000005</v>
      </c>
      <c r="AB4598">
        <v>24</v>
      </c>
      <c r="AC4598">
        <v>29.722199999999901</v>
      </c>
      <c r="AD4598">
        <v>-1.124705614252</v>
      </c>
      <c r="AE4598">
        <v>0.185919999999999</v>
      </c>
      <c r="AF4598">
        <v>-3.42626515428974</v>
      </c>
      <c r="AG4598">
        <v>-1.124705614252</v>
      </c>
      <c r="AH4598">
        <v>29.4818578809607</v>
      </c>
      <c r="AI4598">
        <v>92.170129754282499</v>
      </c>
      <c r="AJ4598">
        <v>96.628952154351197</v>
      </c>
      <c r="AK4598">
        <v>29.7015858118619</v>
      </c>
      <c r="AL4598">
        <v>78.670418982228895</v>
      </c>
      <c r="AM4598">
        <v>89.879064925358904</v>
      </c>
      <c r="AN4598">
        <v>1.00000002098249</v>
      </c>
    </row>
    <row r="4599" spans="1:40" x14ac:dyDescent="0.25">
      <c r="A4599" t="str">
        <f>"20190303171108892"</f>
        <v>20190303171108892</v>
      </c>
      <c r="B4599" t="str">
        <f>"1551604268885393"</f>
        <v>1551604268885393</v>
      </c>
      <c r="C4599" t="s">
        <v>40</v>
      </c>
      <c r="D4599">
        <v>5.2608769999999998</v>
      </c>
      <c r="E4599">
        <v>0.45959870000000003</v>
      </c>
      <c r="F4599" t="s">
        <v>97</v>
      </c>
      <c r="G4599">
        <v>-364.0061</v>
      </c>
      <c r="H4599" s="1">
        <v>-3.1888409999999999E-6</v>
      </c>
      <c r="I4599">
        <v>17.614799999999999</v>
      </c>
      <c r="J4599">
        <v>-394.75869999999998</v>
      </c>
      <c r="K4599">
        <v>1.124611</v>
      </c>
      <c r="L4599">
        <v>17.545010000000001</v>
      </c>
      <c r="M4599">
        <v>0.99423269999999997</v>
      </c>
      <c r="N4599">
        <v>-1.3539239999999999E-2</v>
      </c>
      <c r="O4599">
        <v>-0.1063871</v>
      </c>
      <c r="P4599">
        <v>0.97710129999999995</v>
      </c>
      <c r="Q4599">
        <v>0.1827695</v>
      </c>
      <c r="R4599">
        <v>-0.1089431</v>
      </c>
      <c r="S4599">
        <v>3.0929869999999999</v>
      </c>
      <c r="T4599">
        <v>-0.11261699999999999</v>
      </c>
      <c r="U4599">
        <v>5.7983399999999999E-3</v>
      </c>
      <c r="V4599">
        <v>2.822378E-3</v>
      </c>
      <c r="W4599">
        <v>0.1960924</v>
      </c>
      <c r="X4599">
        <v>0.98058129999999999</v>
      </c>
      <c r="Y4599">
        <v>-0.10813490000000001</v>
      </c>
      <c r="Z4599">
        <v>5.1250849999999997E-3</v>
      </c>
      <c r="AA4599">
        <v>0.99412299999999998</v>
      </c>
      <c r="AB4599">
        <v>24</v>
      </c>
      <c r="AC4599">
        <v>30.752599999999902</v>
      </c>
      <c r="AD4599">
        <v>-1.124614188841</v>
      </c>
      <c r="AE4599">
        <v>6.9789999999997507E-2</v>
      </c>
      <c r="AF4599">
        <v>-3.3369108093038502</v>
      </c>
      <c r="AG4599">
        <v>-1.124614188841</v>
      </c>
      <c r="AH4599">
        <v>30.529786351984299</v>
      </c>
      <c r="AI4599">
        <v>92.097150695313999</v>
      </c>
      <c r="AJ4599">
        <v>96.2376775000225</v>
      </c>
      <c r="AK4599">
        <v>30.732191355658301</v>
      </c>
      <c r="AL4599">
        <v>78.691453696293195</v>
      </c>
      <c r="AM4599">
        <v>89.835087716813504</v>
      </c>
      <c r="AN4599">
        <v>0.99999994053250996</v>
      </c>
    </row>
    <row r="4600" spans="1:40" x14ac:dyDescent="0.25">
      <c r="A4600" t="str">
        <f>"20190303171108904"</f>
        <v>20190303171108904</v>
      </c>
      <c r="B4600" t="str">
        <f>"1551604268895153"</f>
        <v>1551604268895153</v>
      </c>
      <c r="C4600" t="s">
        <v>40</v>
      </c>
      <c r="D4600">
        <v>5.2449389999999996</v>
      </c>
      <c r="E4600">
        <v>0.46014129999999998</v>
      </c>
      <c r="F4600" t="s">
        <v>97</v>
      </c>
      <c r="G4600">
        <v>-364.3879</v>
      </c>
      <c r="H4600" s="1">
        <v>-3.009878E-6</v>
      </c>
      <c r="I4600">
        <v>17.606159999999999</v>
      </c>
      <c r="J4600">
        <v>-394.63060000000002</v>
      </c>
      <c r="K4600">
        <v>1.124525</v>
      </c>
      <c r="L4600">
        <v>17.534269999999999</v>
      </c>
      <c r="M4600">
        <v>0.99450309999999997</v>
      </c>
      <c r="N4600">
        <v>-1.3530439999999999E-2</v>
      </c>
      <c r="O4600">
        <v>-0.10383100000000001</v>
      </c>
      <c r="P4600">
        <v>0.97739940000000003</v>
      </c>
      <c r="Q4600">
        <v>0.18218309999999999</v>
      </c>
      <c r="R4600">
        <v>-0.10723679999999999</v>
      </c>
      <c r="S4600">
        <v>3.0924070000000001</v>
      </c>
      <c r="T4600">
        <v>-0.11451020000000001</v>
      </c>
      <c r="U4600">
        <v>6.225586E-3</v>
      </c>
      <c r="V4600">
        <v>3.6679820000000002E-3</v>
      </c>
      <c r="W4600">
        <v>0.19550409999999999</v>
      </c>
      <c r="X4600">
        <v>0.98069600000000001</v>
      </c>
      <c r="Y4600">
        <v>-0.1057152</v>
      </c>
      <c r="Z4600">
        <v>5.1040440000000003E-3</v>
      </c>
      <c r="AA4600">
        <v>0.99438329999999997</v>
      </c>
      <c r="AB4600">
        <v>24</v>
      </c>
      <c r="AC4600">
        <v>30.242699999999999</v>
      </c>
      <c r="AD4600">
        <v>-1.1245280098779999</v>
      </c>
      <c r="AE4600">
        <v>7.1889999999996207E-2</v>
      </c>
      <c r="AF4600">
        <v>-3.2074833749103799</v>
      </c>
      <c r="AG4600">
        <v>-1.1245280098779999</v>
      </c>
      <c r="AH4600">
        <v>30.030221958549198</v>
      </c>
      <c r="AI4600">
        <v>92.132409346424595</v>
      </c>
      <c r="AJ4600">
        <v>96.096563843360897</v>
      </c>
      <c r="AK4600">
        <v>30.221957973054302</v>
      </c>
      <c r="AL4600">
        <v>78.725826514623805</v>
      </c>
      <c r="AM4600">
        <v>89.785704328390096</v>
      </c>
      <c r="AN4600">
        <v>0.99999997581237998</v>
      </c>
    </row>
    <row r="4601" spans="1:40" x14ac:dyDescent="0.25">
      <c r="A4601" t="str">
        <f>"20190303171108925"</f>
        <v>20190303171108925</v>
      </c>
      <c r="B4601" t="str">
        <f>"1551604268915649"</f>
        <v>1551604268915649</v>
      </c>
      <c r="C4601" t="s">
        <v>40</v>
      </c>
      <c r="D4601">
        <v>5.246702</v>
      </c>
      <c r="E4601">
        <v>0.46108840000000001</v>
      </c>
      <c r="F4601" t="s">
        <v>97</v>
      </c>
      <c r="G4601">
        <v>-364.34230000000002</v>
      </c>
      <c r="H4601" s="1">
        <v>-3.030774E-6</v>
      </c>
      <c r="I4601">
        <v>17.609909999999999</v>
      </c>
      <c r="J4601">
        <v>-394.41829999999999</v>
      </c>
      <c r="K4601">
        <v>1.1243730000000001</v>
      </c>
      <c r="L4601">
        <v>17.516939999999899</v>
      </c>
      <c r="M4601">
        <v>0.99492159999999996</v>
      </c>
      <c r="N4601">
        <v>-1.3515370000000001E-2</v>
      </c>
      <c r="O4601">
        <v>-9.9741979999999994E-2</v>
      </c>
      <c r="P4601">
        <v>0.97791830000000002</v>
      </c>
      <c r="Q4601">
        <v>0.1812124</v>
      </c>
      <c r="R4601">
        <v>-0.1041062</v>
      </c>
      <c r="S4601">
        <v>3.0916440000000001</v>
      </c>
      <c r="T4601">
        <v>-0.1147851</v>
      </c>
      <c r="U4601">
        <v>7.7209469999999997E-3</v>
      </c>
      <c r="V4601">
        <v>4.6217239999999998E-3</v>
      </c>
      <c r="W4601">
        <v>0.19452620000000001</v>
      </c>
      <c r="X4601">
        <v>0.98088649999999999</v>
      </c>
      <c r="Y4601">
        <v>-0.1021121</v>
      </c>
      <c r="Z4601">
        <v>4.9332480000000003E-3</v>
      </c>
      <c r="AA4601">
        <v>0.99476070000000005</v>
      </c>
      <c r="AB4601">
        <v>24</v>
      </c>
      <c r="AC4601">
        <v>30.075999999999901</v>
      </c>
      <c r="AD4601">
        <v>-1.1243760307740001</v>
      </c>
      <c r="AE4601">
        <v>9.2970000000001093E-2</v>
      </c>
      <c r="AF4601">
        <v>-3.0883037659652399</v>
      </c>
      <c r="AG4601">
        <v>-1.1243760307740001</v>
      </c>
      <c r="AH4601">
        <v>29.874966896570701</v>
      </c>
      <c r="AI4601">
        <v>92.143955843715901</v>
      </c>
      <c r="AJ4601">
        <v>95.901947409154204</v>
      </c>
      <c r="AK4601">
        <v>30.055207347157801</v>
      </c>
      <c r="AL4601">
        <v>78.782953880404094</v>
      </c>
      <c r="AM4601">
        <v>89.730036737520294</v>
      </c>
      <c r="AN4601">
        <v>1.0000000643507001</v>
      </c>
    </row>
    <row r="4602" spans="1:40" x14ac:dyDescent="0.25">
      <c r="A4602" t="str">
        <f>"20190303171108937"</f>
        <v>20190303171108937</v>
      </c>
      <c r="B4602" t="str">
        <f>"1551604268925409"</f>
        <v>1551604268925409</v>
      </c>
      <c r="C4602" t="s">
        <v>40</v>
      </c>
      <c r="D4602">
        <v>5.2561929999999997</v>
      </c>
      <c r="E4602">
        <v>0.46158280000000002</v>
      </c>
      <c r="F4602" t="s">
        <v>97</v>
      </c>
      <c r="G4602">
        <v>-365.53050000000002</v>
      </c>
      <c r="H4602" s="1">
        <v>-2.468846E-6</v>
      </c>
      <c r="I4602">
        <v>17.611339999999998</v>
      </c>
      <c r="J4602">
        <v>-394.29059999999998</v>
      </c>
      <c r="K4602">
        <v>1.1242760000000001</v>
      </c>
      <c r="L4602">
        <v>17.506740000000001</v>
      </c>
      <c r="M4602">
        <v>0.99515790000000004</v>
      </c>
      <c r="N4602">
        <v>-1.350611E-2</v>
      </c>
      <c r="O4602">
        <v>-9.7356330000000005E-2</v>
      </c>
      <c r="P4602">
        <v>0.97823780000000005</v>
      </c>
      <c r="Q4602">
        <v>0.18089939999999999</v>
      </c>
      <c r="R4602">
        <v>-0.10161729999999999</v>
      </c>
      <c r="S4602">
        <v>3.0910950000000001</v>
      </c>
      <c r="T4602">
        <v>-0.120312</v>
      </c>
      <c r="U4602">
        <v>1.010132E-2</v>
      </c>
      <c r="V4602">
        <v>4.518022E-3</v>
      </c>
      <c r="W4602">
        <v>0.1942025</v>
      </c>
      <c r="X4602">
        <v>0.98095109999999996</v>
      </c>
      <c r="Y4602">
        <v>-0.1004833</v>
      </c>
      <c r="Z4602">
        <v>5.1010750000000001E-3</v>
      </c>
      <c r="AA4602">
        <v>0.99492570000000002</v>
      </c>
      <c r="AB4602">
        <v>24</v>
      </c>
      <c r="AC4602">
        <v>28.760099999999898</v>
      </c>
      <c r="AD4602">
        <v>-1.1242784688459999</v>
      </c>
      <c r="AE4602">
        <v>0.104599999999997</v>
      </c>
      <c r="AF4602">
        <v>-2.8999048927855799</v>
      </c>
      <c r="AG4602">
        <v>-1.1242784688459999</v>
      </c>
      <c r="AH4602">
        <v>28.569610139775801</v>
      </c>
      <c r="AI4602">
        <v>92.242046759244801</v>
      </c>
      <c r="AJ4602">
        <v>95.795850768996701</v>
      </c>
      <c r="AK4602">
        <v>28.738407645544498</v>
      </c>
      <c r="AL4602">
        <v>78.801860842057806</v>
      </c>
      <c r="AM4602">
        <v>89.736111451481506</v>
      </c>
      <c r="AN4602">
        <v>1.0000000420601201</v>
      </c>
    </row>
    <row r="4603" spans="1:40" x14ac:dyDescent="0.25">
      <c r="A4603" t="str">
        <f>"20190303171108948"</f>
        <v>20190303171108948</v>
      </c>
      <c r="B4603" t="str">
        <f>"1551604268935169"</f>
        <v>1551604268935169</v>
      </c>
      <c r="C4603" t="s">
        <v>40</v>
      </c>
      <c r="D4603">
        <v>5.1152430000000004</v>
      </c>
      <c r="E4603">
        <v>0.46196799999999999</v>
      </c>
      <c r="F4603" t="s">
        <v>97</v>
      </c>
      <c r="G4603">
        <v>-365.93630000000002</v>
      </c>
      <c r="H4603" s="1">
        <v>-2.2733669999999998E-6</v>
      </c>
      <c r="I4603">
        <v>17.631889999999999</v>
      </c>
      <c r="J4603">
        <v>-394.16039999999998</v>
      </c>
      <c r="K4603">
        <v>1.124187</v>
      </c>
      <c r="L4603">
        <v>17.496770000000001</v>
      </c>
      <c r="M4603">
        <v>0.99538210000000005</v>
      </c>
      <c r="N4603">
        <v>-1.349622E-2</v>
      </c>
      <c r="O4603">
        <v>-9.5039849999999995E-2</v>
      </c>
      <c r="P4603">
        <v>0.9785334</v>
      </c>
      <c r="Q4603">
        <v>0.1805629</v>
      </c>
      <c r="R4603">
        <v>-9.9348220000000001E-2</v>
      </c>
      <c r="S4603">
        <v>3.0908199999999999</v>
      </c>
      <c r="T4603">
        <v>-0.1225547</v>
      </c>
      <c r="U4603">
        <v>1.364136E-2</v>
      </c>
      <c r="V4603">
        <v>4.5673199999999997E-3</v>
      </c>
      <c r="W4603">
        <v>0.19385640000000001</v>
      </c>
      <c r="X4603">
        <v>0.98101930000000004</v>
      </c>
      <c r="Y4603">
        <v>-9.9304180000000006E-2</v>
      </c>
      <c r="Z4603">
        <v>5.1175639999999998E-3</v>
      </c>
      <c r="AA4603">
        <v>0.99504400000000004</v>
      </c>
      <c r="AB4603">
        <v>24</v>
      </c>
      <c r="AC4603">
        <v>28.2240999999999</v>
      </c>
      <c r="AD4603">
        <v>-1.124189273367</v>
      </c>
      <c r="AE4603">
        <v>0.13511999999999699</v>
      </c>
      <c r="AF4603">
        <v>-2.8127042567959499</v>
      </c>
      <c r="AG4603">
        <v>-1.124189273367</v>
      </c>
      <c r="AH4603">
        <v>28.0389937792261</v>
      </c>
      <c r="AI4603">
        <v>92.284521243216503</v>
      </c>
      <c r="AJ4603">
        <v>95.728406614756096</v>
      </c>
      <c r="AK4603">
        <v>28.202132524155601</v>
      </c>
      <c r="AL4603">
        <v>78.822074768161301</v>
      </c>
      <c r="AM4603">
        <v>89.733250641474996</v>
      </c>
      <c r="AN4603">
        <v>1.00000001560271</v>
      </c>
    </row>
    <row r="4604" spans="1:40" x14ac:dyDescent="0.25">
      <c r="A4604" t="str">
        <f>"20190303171108968"</f>
        <v>20190303171108968</v>
      </c>
      <c r="B4604" t="str">
        <f>"1551604268955666"</f>
        <v>1551604268955666</v>
      </c>
      <c r="C4604" t="s">
        <v>40</v>
      </c>
      <c r="D4604">
        <v>5.2894059999999996</v>
      </c>
      <c r="E4604">
        <v>0.46242830000000001</v>
      </c>
      <c r="F4604" t="s">
        <v>97</v>
      </c>
      <c r="G4604">
        <v>-366.53870000000001</v>
      </c>
      <c r="H4604" s="1">
        <v>-1.9845510000000002E-6</v>
      </c>
      <c r="I4604">
        <v>17.65494</v>
      </c>
      <c r="J4604">
        <v>-393.96170000000001</v>
      </c>
      <c r="K4604">
        <v>1.1240460000000001</v>
      </c>
      <c r="L4604">
        <v>17.481839999999998</v>
      </c>
      <c r="M4604">
        <v>0.99570409999999998</v>
      </c>
      <c r="N4604">
        <v>-1.3481750000000001E-2</v>
      </c>
      <c r="O4604">
        <v>-9.1605489999999998E-2</v>
      </c>
      <c r="P4604">
        <v>0.97872179999999998</v>
      </c>
      <c r="Q4604">
        <v>0.1808719</v>
      </c>
      <c r="R4604">
        <v>-9.6897929999999993E-2</v>
      </c>
      <c r="S4604">
        <v>3.090881</v>
      </c>
      <c r="T4604">
        <v>-0.12579689999999999</v>
      </c>
      <c r="U4604">
        <v>1.7700199999999999E-2</v>
      </c>
      <c r="V4604">
        <v>5.5684890000000003E-3</v>
      </c>
      <c r="W4604">
        <v>0.19415479999999999</v>
      </c>
      <c r="X4604">
        <v>0.98095509999999997</v>
      </c>
      <c r="Y4604">
        <v>-9.7173899999999994E-2</v>
      </c>
      <c r="Z4604">
        <v>5.1191589999999999E-3</v>
      </c>
      <c r="AA4604">
        <v>0.99525430000000004</v>
      </c>
      <c r="AB4604">
        <v>24</v>
      </c>
      <c r="AC4604">
        <v>27.422999999999998</v>
      </c>
      <c r="AD4604">
        <v>-1.1240479845510001</v>
      </c>
      <c r="AE4604">
        <v>0.173100000000001</v>
      </c>
      <c r="AF4604">
        <v>-2.6801948903363502</v>
      </c>
      <c r="AG4604">
        <v>-1.1240479845510001</v>
      </c>
      <c r="AH4604">
        <v>27.2460425407725</v>
      </c>
      <c r="AI4604">
        <v>92.351088843534598</v>
      </c>
      <c r="AJ4604">
        <v>95.618114356981806</v>
      </c>
      <c r="AK4604">
        <v>27.400616099922701</v>
      </c>
      <c r="AL4604">
        <v>78.8046464176048</v>
      </c>
      <c r="AM4604">
        <v>89.674758313583794</v>
      </c>
      <c r="AN4604">
        <v>1.0000000013243899</v>
      </c>
    </row>
    <row r="4605" spans="1:40" x14ac:dyDescent="0.25">
      <c r="A4605" t="str">
        <f>"20190303171108982"</f>
        <v>20190303171108982</v>
      </c>
      <c r="B4605" t="str">
        <f>"1551604268975184"</f>
        <v>1551604268975184</v>
      </c>
      <c r="C4605" t="s">
        <v>40</v>
      </c>
      <c r="D4605">
        <v>5.3202699999999998</v>
      </c>
      <c r="E4605">
        <v>0.46302310000000002</v>
      </c>
      <c r="F4605" t="s">
        <v>97</v>
      </c>
      <c r="G4605">
        <v>-366.61860000000001</v>
      </c>
      <c r="H4605" s="1">
        <v>-1.9422560000000001E-6</v>
      </c>
      <c r="I4605">
        <v>17.680260000000001</v>
      </c>
      <c r="J4605">
        <v>-393.82089999999999</v>
      </c>
      <c r="K4605">
        <v>1.12395</v>
      </c>
      <c r="L4605">
        <v>17.47156</v>
      </c>
      <c r="M4605">
        <v>0.99591730000000001</v>
      </c>
      <c r="N4605">
        <v>-1.3470070000000001E-2</v>
      </c>
      <c r="O4605">
        <v>-8.9260740000000005E-2</v>
      </c>
      <c r="P4605">
        <v>0.97887159999999995</v>
      </c>
      <c r="Q4605">
        <v>0.18093210000000001</v>
      </c>
      <c r="R4605">
        <v>-9.5257170000000002E-2</v>
      </c>
      <c r="S4605">
        <v>3.0909420000000001</v>
      </c>
      <c r="T4605">
        <v>-0.1270657</v>
      </c>
      <c r="U4605">
        <v>2.243042E-2</v>
      </c>
      <c r="V4605">
        <v>6.2827569999999999E-3</v>
      </c>
      <c r="W4605">
        <v>0.19420580000000001</v>
      </c>
      <c r="X4605">
        <v>0.9809407</v>
      </c>
      <c r="Y4605">
        <v>-9.6352190000000004E-2</v>
      </c>
      <c r="Z4605">
        <v>5.0902500000000002E-3</v>
      </c>
      <c r="AA4605">
        <v>0.99533430000000001</v>
      </c>
      <c r="AB4605">
        <v>24</v>
      </c>
      <c r="AC4605">
        <v>27.202299999999902</v>
      </c>
      <c r="AD4605">
        <v>-1.123951942256</v>
      </c>
      <c r="AE4605">
        <v>0.2087</v>
      </c>
      <c r="AF4605">
        <v>-2.6316917277622101</v>
      </c>
      <c r="AG4605">
        <v>-1.123951942256</v>
      </c>
      <c r="AH4605">
        <v>27.028925220375999</v>
      </c>
      <c r="AI4605">
        <v>92.369981360612499</v>
      </c>
      <c r="AJ4605">
        <v>95.561117773091595</v>
      </c>
      <c r="AK4605">
        <v>27.1799902113145</v>
      </c>
      <c r="AL4605">
        <v>78.801667748016797</v>
      </c>
      <c r="AM4605">
        <v>89.633035373449601</v>
      </c>
      <c r="AN4605">
        <v>1.00000001135282</v>
      </c>
    </row>
    <row r="4606" spans="1:40" x14ac:dyDescent="0.25">
      <c r="A4606" t="str">
        <f>"20190303171108993"</f>
        <v>20190303171108993</v>
      </c>
      <c r="B4606" t="str">
        <f>"1551604268985920"</f>
        <v>1551604268985920</v>
      </c>
      <c r="C4606" t="s">
        <v>40</v>
      </c>
      <c r="D4606">
        <v>5.2665739999999897</v>
      </c>
      <c r="E4606">
        <v>0.46333760000000002</v>
      </c>
      <c r="F4606" t="s">
        <v>97</v>
      </c>
      <c r="G4606">
        <v>-366.22840000000002</v>
      </c>
      <c r="H4606" s="1">
        <v>-2.126656E-6</v>
      </c>
      <c r="I4606">
        <v>17.68055</v>
      </c>
      <c r="J4606">
        <v>-393.68310000000002</v>
      </c>
      <c r="K4606">
        <v>1.123856</v>
      </c>
      <c r="L4606">
        <v>17.461729999999999</v>
      </c>
      <c r="M4606">
        <v>0.99611360000000004</v>
      </c>
      <c r="N4606">
        <v>-1.345562E-2</v>
      </c>
      <c r="O4606">
        <v>-8.7044250000000004E-2</v>
      </c>
      <c r="P4606">
        <v>0.97900489999999996</v>
      </c>
      <c r="Q4606">
        <v>0.18096760000000001</v>
      </c>
      <c r="R4606">
        <v>-9.3811019999999995E-2</v>
      </c>
      <c r="S4606">
        <v>3.090271</v>
      </c>
      <c r="T4606">
        <v>-0.1258792</v>
      </c>
      <c r="U4606">
        <v>2.3406980000000001E-2</v>
      </c>
      <c r="V4606">
        <v>7.0628720000000004E-3</v>
      </c>
      <c r="W4606">
        <v>0.1942306</v>
      </c>
      <c r="X4606">
        <v>0.98093050000000004</v>
      </c>
      <c r="Y4606">
        <v>-9.4458630000000002E-2</v>
      </c>
      <c r="Z4606">
        <v>4.9280039999999997E-3</v>
      </c>
      <c r="AA4606">
        <v>0.99551659999999997</v>
      </c>
      <c r="AB4606">
        <v>24</v>
      </c>
      <c r="AC4606">
        <v>27.454699999999999</v>
      </c>
      <c r="AD4606">
        <v>-1.1238581266559999</v>
      </c>
      <c r="AE4606">
        <v>0.21881999999999999</v>
      </c>
      <c r="AF4606">
        <v>-2.6036168376260198</v>
      </c>
      <c r="AG4606">
        <v>-1.1238581266559999</v>
      </c>
      <c r="AH4606">
        <v>27.285707510086901</v>
      </c>
      <c r="AI4606">
        <v>92.347942773808398</v>
      </c>
      <c r="AJ4606">
        <v>95.450690981768503</v>
      </c>
      <c r="AK4606">
        <v>27.4326759914528</v>
      </c>
      <c r="AL4606">
        <v>78.800219419215395</v>
      </c>
      <c r="AM4606">
        <v>89.587467446499005</v>
      </c>
      <c r="AN4606">
        <v>1.00000002798374</v>
      </c>
    </row>
    <row r="4607" spans="1:40" x14ac:dyDescent="0.25">
      <c r="A4607" t="str">
        <f>"20190303171109029"</f>
        <v>20190303171109029</v>
      </c>
      <c r="B4607" t="str">
        <f>"1551604269015201"</f>
        <v>1551604269015201</v>
      </c>
      <c r="C4607" t="s">
        <v>40</v>
      </c>
      <c r="D4607">
        <v>5.4347580000000004</v>
      </c>
      <c r="E4607">
        <v>0.46401120000000001</v>
      </c>
      <c r="F4607" t="s">
        <v>97</v>
      </c>
      <c r="G4607">
        <v>-366.19499999999999</v>
      </c>
      <c r="H4607" s="1">
        <v>-2.140443E-6</v>
      </c>
      <c r="I4607">
        <v>17.691929999999999</v>
      </c>
      <c r="J4607">
        <v>-393.33539999999999</v>
      </c>
      <c r="K4607">
        <v>1.123621</v>
      </c>
      <c r="L4607">
        <v>17.438020000000002</v>
      </c>
      <c r="M4607">
        <v>0.99655740000000004</v>
      </c>
      <c r="N4607">
        <v>-1.341272E-2</v>
      </c>
      <c r="O4607">
        <v>-8.1815410000000005E-2</v>
      </c>
      <c r="P4607">
        <v>0.979684</v>
      </c>
      <c r="Q4607">
        <v>0.17965619999999999</v>
      </c>
      <c r="R4607">
        <v>-8.9123209999999994E-2</v>
      </c>
      <c r="S4607">
        <v>3.090179</v>
      </c>
      <c r="T4607">
        <v>-0.12634289999999901</v>
      </c>
      <c r="U4607">
        <v>2.5878910000000001E-2</v>
      </c>
      <c r="V4607">
        <v>7.6079519999999899E-3</v>
      </c>
      <c r="W4607">
        <v>0.19287860000000001</v>
      </c>
      <c r="X4607">
        <v>0.98119310000000004</v>
      </c>
      <c r="Y4607">
        <v>-9.0035450000000003E-2</v>
      </c>
      <c r="Z4607">
        <v>4.6870970000000003E-3</v>
      </c>
      <c r="AA4607">
        <v>0.99592749999999997</v>
      </c>
      <c r="AB4607">
        <v>24</v>
      </c>
      <c r="AC4607">
        <v>27.1404</v>
      </c>
      <c r="AD4607">
        <v>-1.1236231404429999</v>
      </c>
      <c r="AE4607">
        <v>0.25390999999999703</v>
      </c>
      <c r="AF4607">
        <v>-2.46952859835024</v>
      </c>
      <c r="AG4607">
        <v>-1.1236231404429999</v>
      </c>
      <c r="AH4607">
        <v>26.9823762769574</v>
      </c>
      <c r="AI4607">
        <v>92.374668347718298</v>
      </c>
      <c r="AJ4607">
        <v>95.229356383394503</v>
      </c>
      <c r="AK4607">
        <v>27.118438930202501</v>
      </c>
      <c r="AL4607">
        <v>78.879175751381496</v>
      </c>
      <c r="AM4607">
        <v>89.555750234083604</v>
      </c>
      <c r="AN4607">
        <v>0.99999996737960095</v>
      </c>
    </row>
    <row r="4608" spans="1:40" x14ac:dyDescent="0.25">
      <c r="A4608" t="str">
        <f>"20190303171109043"</f>
        <v>20190303171109043</v>
      </c>
      <c r="B4608" t="str">
        <f>"1551604269035697"</f>
        <v>1551604269035697</v>
      </c>
      <c r="C4608" t="s">
        <v>40</v>
      </c>
      <c r="D4608">
        <v>5.3039149999999999</v>
      </c>
      <c r="E4608">
        <v>0.4647075</v>
      </c>
      <c r="F4608" t="s">
        <v>97</v>
      </c>
      <c r="G4608">
        <v>-367.24259999999998</v>
      </c>
      <c r="H4608" s="1">
        <v>-1.6370909999999999E-6</v>
      </c>
      <c r="I4608">
        <v>17.737739999999999</v>
      </c>
      <c r="J4608">
        <v>-393.15460000000002</v>
      </c>
      <c r="K4608">
        <v>1.123508</v>
      </c>
      <c r="L4608">
        <v>17.426179999999999</v>
      </c>
      <c r="M4608">
        <v>0.99676390000000004</v>
      </c>
      <c r="N4608">
        <v>-1.3386459999999999E-2</v>
      </c>
      <c r="O4608">
        <v>-7.9264009999999996E-2</v>
      </c>
      <c r="P4608">
        <v>0.97995019999999999</v>
      </c>
      <c r="Q4608">
        <v>0.17952499999999999</v>
      </c>
      <c r="R4608">
        <v>-8.6421659999999997E-2</v>
      </c>
      <c r="S4608">
        <v>3.0898439999999998</v>
      </c>
      <c r="T4608">
        <v>-0.1330566</v>
      </c>
      <c r="U4608">
        <v>3.549194E-2</v>
      </c>
      <c r="V4608">
        <v>7.4632429999999996E-3</v>
      </c>
      <c r="W4608">
        <v>0.192719</v>
      </c>
      <c r="X4608">
        <v>0.98122560000000003</v>
      </c>
      <c r="Y4608">
        <v>-9.0570819999999996E-2</v>
      </c>
      <c r="Z4608">
        <v>4.90363E-3</v>
      </c>
      <c r="AA4608">
        <v>0.99587789999999998</v>
      </c>
      <c r="AB4608">
        <v>24</v>
      </c>
      <c r="AC4608">
        <v>25.911999999999999</v>
      </c>
      <c r="AD4608">
        <v>-1.1235096370909901</v>
      </c>
      <c r="AE4608">
        <v>0.31156</v>
      </c>
      <c r="AF4608">
        <v>-2.3602158659318202</v>
      </c>
      <c r="AG4608">
        <v>-1.1235096370909901</v>
      </c>
      <c r="AH4608">
        <v>25.757343558449399</v>
      </c>
      <c r="AI4608">
        <v>92.487194626157006</v>
      </c>
      <c r="AJ4608">
        <v>95.235548184350293</v>
      </c>
      <c r="AK4608">
        <v>25.8896434897514</v>
      </c>
      <c r="AL4608">
        <v>78.888495319746895</v>
      </c>
      <c r="AM4608">
        <v>89.564214305447393</v>
      </c>
      <c r="AN4608">
        <v>0.99999999552621799</v>
      </c>
    </row>
    <row r="4609" spans="1:40" x14ac:dyDescent="0.25">
      <c r="A4609" t="str">
        <f>"20190303171109070"</f>
        <v>20190303171109070</v>
      </c>
      <c r="B4609" t="str">
        <f>"1551604269064976"</f>
        <v>1551604269064976</v>
      </c>
      <c r="C4609" t="s">
        <v>40</v>
      </c>
      <c r="D4609">
        <v>5.2617159999999998</v>
      </c>
      <c r="E4609">
        <v>0.46530859999999902</v>
      </c>
      <c r="F4609" t="s">
        <v>97</v>
      </c>
      <c r="G4609">
        <v>-367.67919999999998</v>
      </c>
      <c r="H4609" s="1">
        <v>-1.4295579999999999E-6</v>
      </c>
      <c r="I4609">
        <v>17.744219999999999</v>
      </c>
      <c r="J4609">
        <v>-392.86959999999999</v>
      </c>
      <c r="K4609">
        <v>1.123345</v>
      </c>
      <c r="L4609">
        <v>17.40823</v>
      </c>
      <c r="M4609">
        <v>0.99706019999999895</v>
      </c>
      <c r="N4609">
        <v>-1.3336489999999999E-2</v>
      </c>
      <c r="O4609">
        <v>-7.5454439999999998E-2</v>
      </c>
      <c r="P4609">
        <v>0.98007140000000004</v>
      </c>
      <c r="Q4609">
        <v>0.17997340000000001</v>
      </c>
      <c r="R4609">
        <v>-8.4084430000000002E-2</v>
      </c>
      <c r="S4609">
        <v>3.0897830000000002</v>
      </c>
      <c r="T4609">
        <v>-0.136265</v>
      </c>
      <c r="U4609">
        <v>3.8574219999999999E-2</v>
      </c>
      <c r="V4609">
        <v>8.9525460000000005E-3</v>
      </c>
      <c r="W4609">
        <v>0.19312099999999999</v>
      </c>
      <c r="X4609">
        <v>0.98113410000000001</v>
      </c>
      <c r="Y4609">
        <v>-8.775645E-2</v>
      </c>
      <c r="Z4609">
        <v>4.837081E-3</v>
      </c>
      <c r="AA4609">
        <v>0.99613019999999997</v>
      </c>
      <c r="AB4609">
        <v>24</v>
      </c>
      <c r="AC4609">
        <v>25.1904</v>
      </c>
      <c r="AD4609">
        <v>-1.123346429558</v>
      </c>
      <c r="AE4609">
        <v>0.33599000000000201</v>
      </c>
      <c r="AF4609">
        <v>-2.2314914692069601</v>
      </c>
      <c r="AG4609">
        <v>-1.123346429558</v>
      </c>
      <c r="AH4609">
        <v>25.0434278818568</v>
      </c>
      <c r="AI4609">
        <v>92.558212203010498</v>
      </c>
      <c r="AJ4609">
        <v>95.091885611732394</v>
      </c>
      <c r="AK4609">
        <v>25.167732147567499</v>
      </c>
      <c r="AL4609">
        <v>78.8650214465723</v>
      </c>
      <c r="AM4609">
        <v>89.477208195569006</v>
      </c>
      <c r="AN4609">
        <v>0.99999999545184604</v>
      </c>
    </row>
    <row r="4610" spans="1:40" x14ac:dyDescent="0.25">
      <c r="A4610" t="str">
        <f>"20190303171109083"</f>
        <v>20190303171109083</v>
      </c>
      <c r="B4610" t="str">
        <f>"1551604269075713"</f>
        <v>1551604269075713</v>
      </c>
      <c r="C4610" t="s">
        <v>40</v>
      </c>
      <c r="D4610">
        <v>5.3041199999999904</v>
      </c>
      <c r="E4610">
        <v>0.46530859999999902</v>
      </c>
      <c r="F4610" t="s">
        <v>97</v>
      </c>
      <c r="G4610">
        <v>-367.53980000000001</v>
      </c>
      <c r="H4610" s="1">
        <v>-1.4921789999999999E-6</v>
      </c>
      <c r="I4610">
        <v>17.762729999999902</v>
      </c>
      <c r="J4610">
        <v>-392.738</v>
      </c>
      <c r="K4610">
        <v>1.123281</v>
      </c>
      <c r="L4610">
        <v>17.400210000000001</v>
      </c>
      <c r="M4610">
        <v>0.99718640000000003</v>
      </c>
      <c r="N4610">
        <v>-1.3310219999999999E-2</v>
      </c>
      <c r="O4610">
        <v>-7.3772740000000003E-2</v>
      </c>
      <c r="P4610">
        <v>0.9801356</v>
      </c>
      <c r="Q4610">
        <v>0.1800744</v>
      </c>
      <c r="R4610">
        <v>-8.3113090000000001E-2</v>
      </c>
      <c r="S4610">
        <v>3.0898439999999998</v>
      </c>
      <c r="T4610">
        <v>-0.13703109999999999</v>
      </c>
      <c r="U4610">
        <v>4.3243410000000003E-2</v>
      </c>
      <c r="V4610">
        <v>9.6669670000000003E-3</v>
      </c>
      <c r="W4610">
        <v>0.1931977</v>
      </c>
      <c r="X4610">
        <v>0.98111219999999999</v>
      </c>
      <c r="Y4610">
        <v>-8.7580539999999998E-2</v>
      </c>
      <c r="Z4610">
        <v>4.8103130000000001E-3</v>
      </c>
      <c r="AA4610">
        <v>0.99614579999999997</v>
      </c>
      <c r="AB4610">
        <v>24</v>
      </c>
      <c r="AC4610">
        <v>25.1982</v>
      </c>
      <c r="AD4610">
        <v>-1.1232824921789999</v>
      </c>
      <c r="AE4610">
        <v>0.36251999999999601</v>
      </c>
      <c r="AF4610">
        <v>-2.2162334964690702</v>
      </c>
      <c r="AG4610">
        <v>-1.1232824921789999</v>
      </c>
      <c r="AH4610">
        <v>25.053003544877601</v>
      </c>
      <c r="AI4610">
        <v>92.557235022140603</v>
      </c>
      <c r="AJ4610">
        <v>95.055327722962502</v>
      </c>
      <c r="AK4610">
        <v>25.175909935646001</v>
      </c>
      <c r="AL4610">
        <v>78.860542282467307</v>
      </c>
      <c r="AM4610">
        <v>89.4354789525147</v>
      </c>
      <c r="AN4610">
        <v>0.99999997526255402</v>
      </c>
    </row>
    <row r="4611" spans="1:40" x14ac:dyDescent="0.25">
      <c r="A4611" t="str">
        <f>"20190303171109114"</f>
        <v>20190303171109114</v>
      </c>
      <c r="B4611" t="str">
        <f>"1551604269104992"</f>
        <v>1551604269104992</v>
      </c>
      <c r="C4611" t="s">
        <v>40</v>
      </c>
      <c r="D4611">
        <v>5.3819410000000003</v>
      </c>
      <c r="E4611">
        <v>0.47445660000000001</v>
      </c>
      <c r="F4611" t="s">
        <v>97</v>
      </c>
      <c r="G4611">
        <v>-367.29640000000001</v>
      </c>
      <c r="H4611" s="1">
        <v>-1.6029510000000001E-6</v>
      </c>
      <c r="I4611">
        <v>17.786929999999899</v>
      </c>
      <c r="J4611">
        <v>-392.39789999999999</v>
      </c>
      <c r="K4611">
        <v>1.1231310000000001</v>
      </c>
      <c r="L4611">
        <v>17.380220000000001</v>
      </c>
      <c r="M4611">
        <v>0.99748570000000003</v>
      </c>
      <c r="N4611">
        <v>-1.323483E-2</v>
      </c>
      <c r="O4611">
        <v>-6.962293E-2</v>
      </c>
      <c r="P4611">
        <v>0.98080590000000001</v>
      </c>
      <c r="Q4611">
        <v>0.17827579999999901</v>
      </c>
      <c r="R4611">
        <v>-7.8980809999999999E-2</v>
      </c>
      <c r="S4611">
        <v>3.0898439999999998</v>
      </c>
      <c r="T4611">
        <v>-0.13642109999999999</v>
      </c>
      <c r="U4611">
        <v>4.6966550000000003E-2</v>
      </c>
      <c r="V4611">
        <v>9.6647350000000007E-3</v>
      </c>
      <c r="W4611">
        <v>0.19132589999999999</v>
      </c>
      <c r="X4611">
        <v>0.98147899999999999</v>
      </c>
      <c r="Y4611">
        <v>-8.464228E-2</v>
      </c>
      <c r="Z4611">
        <v>4.5773070000000001E-3</v>
      </c>
      <c r="AA4611">
        <v>0.99640090000000003</v>
      </c>
      <c r="AB4611">
        <v>24</v>
      </c>
      <c r="AC4611">
        <v>25.101499999999898</v>
      </c>
      <c r="AD4611">
        <v>-1.12313260295099</v>
      </c>
      <c r="AE4611">
        <v>0.40670999999999602</v>
      </c>
      <c r="AF4611">
        <v>-2.1492141634614801</v>
      </c>
      <c r="AG4611">
        <v>-1.12313260295099</v>
      </c>
      <c r="AH4611">
        <v>24.962297450788501</v>
      </c>
      <c r="AI4611">
        <v>92.566697578769407</v>
      </c>
      <c r="AJ4611">
        <v>94.920940019739604</v>
      </c>
      <c r="AK4611">
        <v>25.079809456729901</v>
      </c>
      <c r="AL4611">
        <v>78.969827871860204</v>
      </c>
      <c r="AM4611">
        <v>89.435820197416504</v>
      </c>
      <c r="AN4611">
        <v>1.0000000172772101</v>
      </c>
    </row>
    <row r="4612" spans="1:40" x14ac:dyDescent="0.25">
      <c r="A4612" t="str">
        <f>"20190303171109146"</f>
        <v>20190303171109146</v>
      </c>
      <c r="B4612" t="str">
        <f>"1551604269135249"</f>
        <v>1551604269135249</v>
      </c>
      <c r="C4612" t="s">
        <v>40</v>
      </c>
      <c r="D4612">
        <v>5.3366280000000001</v>
      </c>
      <c r="E4612">
        <v>0.47523670000000001</v>
      </c>
      <c r="F4612" t="s">
        <v>98</v>
      </c>
      <c r="G4612">
        <v>-371.23970000000003</v>
      </c>
      <c r="H4612" s="1">
        <v>-4.5329810000000002E-6</v>
      </c>
      <c r="I4612">
        <v>17.296769999999999</v>
      </c>
      <c r="J4612">
        <v>-392.06450000000001</v>
      </c>
      <c r="K4612">
        <v>1.1229800000000001</v>
      </c>
      <c r="L4612">
        <v>17.36176</v>
      </c>
      <c r="M4612">
        <v>0.99774240000000003</v>
      </c>
      <c r="N4612">
        <v>-1.3140020000000001E-2</v>
      </c>
      <c r="O4612">
        <v>-6.5860600000000005E-2</v>
      </c>
      <c r="P4612">
        <v>0.98128190000000004</v>
      </c>
      <c r="Q4612">
        <v>0.1773805</v>
      </c>
      <c r="R4612">
        <v>-7.4980640000000001E-2</v>
      </c>
      <c r="S4612">
        <v>3.0875240000000002</v>
      </c>
      <c r="T4612">
        <v>-0.16389409999999999</v>
      </c>
      <c r="U4612">
        <v>-1.217651E-2</v>
      </c>
      <c r="V4612">
        <v>9.4165350000000002E-3</v>
      </c>
      <c r="W4612">
        <v>0.1903359</v>
      </c>
      <c r="X4612">
        <v>0.98167380000000004</v>
      </c>
      <c r="Y4612">
        <v>-6.1769699999999997E-2</v>
      </c>
      <c r="Z4612">
        <v>4.6705799999999997E-3</v>
      </c>
      <c r="AA4612">
        <v>0.99807950000000001</v>
      </c>
      <c r="AB4612">
        <v>24</v>
      </c>
      <c r="AC4612">
        <v>20.8247999999999</v>
      </c>
      <c r="AD4612">
        <v>-1.12298453298099</v>
      </c>
      <c r="AE4612">
        <v>-6.4989999999998105E-2</v>
      </c>
      <c r="AF4612">
        <v>-1.30301419693913</v>
      </c>
      <c r="AG4612">
        <v>-1.12298453298099</v>
      </c>
      <c r="AH4612">
        <v>20.723596289798301</v>
      </c>
      <c r="AI4612">
        <v>93.095648426013597</v>
      </c>
      <c r="AJ4612">
        <v>93.597785979508501</v>
      </c>
      <c r="AK4612">
        <v>20.794864352557799</v>
      </c>
      <c r="AL4612">
        <v>79.027611726617806</v>
      </c>
      <c r="AM4612">
        <v>89.450417067006001</v>
      </c>
      <c r="AN4612">
        <v>0.99999993778332597</v>
      </c>
    </row>
    <row r="4613" spans="1:40" x14ac:dyDescent="0.25">
      <c r="A4613" t="str">
        <f>"20190303171109170"</f>
        <v>20190303171109170</v>
      </c>
      <c r="B4613" t="str">
        <f>"1551604269165505"</f>
        <v>1551604269165505</v>
      </c>
      <c r="C4613" t="s">
        <v>40</v>
      </c>
      <c r="D4613">
        <v>5.2321160000000004</v>
      </c>
      <c r="E4613">
        <v>0.47680620000000001</v>
      </c>
      <c r="F4613" t="s">
        <v>98</v>
      </c>
      <c r="G4613">
        <v>-370.63589999999999</v>
      </c>
      <c r="H4613" s="1">
        <v>-4.8155709999999999E-6</v>
      </c>
      <c r="I4613">
        <v>17.312809999999999</v>
      </c>
      <c r="J4613">
        <v>-391.81740000000002</v>
      </c>
      <c r="K4613">
        <v>1.1228750000000001</v>
      </c>
      <c r="L4613">
        <v>17.34863</v>
      </c>
      <c r="M4613">
        <v>0.99791289999999999</v>
      </c>
      <c r="N4613">
        <v>-1.3062549999999999E-2</v>
      </c>
      <c r="O4613">
        <v>-6.3240729999999995E-2</v>
      </c>
      <c r="P4613">
        <v>0.98139480000000001</v>
      </c>
      <c r="Q4613">
        <v>0.1777282</v>
      </c>
      <c r="R4613">
        <v>-7.2644550000000002E-2</v>
      </c>
      <c r="S4613">
        <v>3.0859070000000002</v>
      </c>
      <c r="T4613">
        <v>-0.1617198</v>
      </c>
      <c r="U4613">
        <v>-7.0495610000000002E-3</v>
      </c>
      <c r="V4613">
        <v>9.7056599999999996E-3</v>
      </c>
      <c r="W4613">
        <v>0.1906051</v>
      </c>
      <c r="X4613">
        <v>0.98161880000000001</v>
      </c>
      <c r="Y4613">
        <v>-6.0813029999999997E-2</v>
      </c>
      <c r="Z4613">
        <v>4.474001E-3</v>
      </c>
      <c r="AA4613">
        <v>0.99813909999999995</v>
      </c>
      <c r="AB4613">
        <v>24</v>
      </c>
      <c r="AC4613">
        <v>21.1815</v>
      </c>
      <c r="AD4613">
        <v>-1.122879815571</v>
      </c>
      <c r="AE4613">
        <v>-3.5820000000000997E-2</v>
      </c>
      <c r="AF4613">
        <v>-1.3002453418818001</v>
      </c>
      <c r="AG4613">
        <v>-1.122879815571</v>
      </c>
      <c r="AH4613">
        <v>21.082112315367201</v>
      </c>
      <c r="AI4613">
        <v>93.043047537153498</v>
      </c>
      <c r="AJ4613">
        <v>93.529263295336705</v>
      </c>
      <c r="AK4613">
        <v>21.151996518226401</v>
      </c>
      <c r="AL4613">
        <v>79.011900606269407</v>
      </c>
      <c r="AM4613">
        <v>89.433512036353903</v>
      </c>
      <c r="AN4613">
        <v>0.999999986247742</v>
      </c>
    </row>
    <row r="4614" spans="1:40" x14ac:dyDescent="0.25">
      <c r="A4614" t="str">
        <f>"20190303171109195"</f>
        <v>20190303171109195</v>
      </c>
      <c r="B4614" t="str">
        <f>"1551604269185024"</f>
        <v>1551604269185024</v>
      </c>
      <c r="C4614" t="s">
        <v>40</v>
      </c>
      <c r="D4614">
        <v>5.0104989999999896</v>
      </c>
      <c r="E4614">
        <v>0.47714050000000002</v>
      </c>
      <c r="F4614" t="s">
        <v>97</v>
      </c>
      <c r="G4614">
        <v>-369.28140000000002</v>
      </c>
      <c r="H4614" s="1">
        <v>-9.030923E-7</v>
      </c>
      <c r="I4614">
        <v>17.26099</v>
      </c>
      <c r="J4614">
        <v>-391.53800000000001</v>
      </c>
      <c r="K4614">
        <v>1.122763</v>
      </c>
      <c r="L4614">
        <v>17.334320000000002</v>
      </c>
      <c r="M4614">
        <v>0.99808750000000002</v>
      </c>
      <c r="N4614">
        <v>-1.2971720000000001E-2</v>
      </c>
      <c r="O4614">
        <v>-6.0442160000000002E-2</v>
      </c>
      <c r="P4614">
        <v>0.98160389999999997</v>
      </c>
      <c r="Q4614">
        <v>0.17802979999999999</v>
      </c>
      <c r="R4614">
        <v>-6.8988060000000004E-2</v>
      </c>
      <c r="S4614">
        <v>3.0838009999999998</v>
      </c>
      <c r="T4614">
        <v>-0.1536525</v>
      </c>
      <c r="U4614">
        <v>-1.1993409999999999E-2</v>
      </c>
      <c r="V4614">
        <v>8.8533359999999998E-3</v>
      </c>
      <c r="W4614">
        <v>0.19081100000000001</v>
      </c>
      <c r="X4614">
        <v>0.98158690000000004</v>
      </c>
      <c r="Y4614">
        <v>-5.6435590000000001E-2</v>
      </c>
      <c r="Z4614">
        <v>3.9955679999999997E-3</v>
      </c>
      <c r="AA4614">
        <v>0.99839820000000001</v>
      </c>
      <c r="AB4614">
        <v>24</v>
      </c>
      <c r="AC4614">
        <v>22.256599999999899</v>
      </c>
      <c r="AD4614">
        <v>-1.1227639030923</v>
      </c>
      <c r="AE4614">
        <v>-7.3330000000002102E-2</v>
      </c>
      <c r="AF4614">
        <v>-1.2689249763080099</v>
      </c>
      <c r="AG4614">
        <v>-1.1227639030923</v>
      </c>
      <c r="AH4614">
        <v>22.163931151145501</v>
      </c>
      <c r="AI4614">
        <v>92.895235006379195</v>
      </c>
      <c r="AJ4614">
        <v>93.276709593704993</v>
      </c>
      <c r="AK4614">
        <v>22.228598998819098</v>
      </c>
      <c r="AL4614">
        <v>78.999883336423906</v>
      </c>
      <c r="AM4614">
        <v>89.483239809993094</v>
      </c>
      <c r="AN4614">
        <v>1.00000003076546</v>
      </c>
    </row>
    <row r="4615" spans="1:40" x14ac:dyDescent="0.25">
      <c r="A4615" t="str">
        <f>"20190303171109250"</f>
        <v>20190303171109250</v>
      </c>
      <c r="B4615" t="str">
        <f>"1551604269235777"</f>
        <v>1551604269235777</v>
      </c>
      <c r="C4615" t="s">
        <v>40</v>
      </c>
      <c r="D4615">
        <v>5.1836960000000003</v>
      </c>
      <c r="E4615">
        <v>0.47855710000000001</v>
      </c>
      <c r="F4615" t="s">
        <v>97</v>
      </c>
      <c r="G4615">
        <v>-368.98970000000003</v>
      </c>
      <c r="H4615" s="1">
        <v>-1.003647E-6</v>
      </c>
      <c r="I4615">
        <v>17.30397</v>
      </c>
      <c r="J4615">
        <v>-390.964</v>
      </c>
      <c r="K4615">
        <v>1.1224270000000001</v>
      </c>
      <c r="L4615">
        <v>17.306550000000001</v>
      </c>
      <c r="M4615">
        <v>0.99837600000000004</v>
      </c>
      <c r="N4615">
        <v>-1.272587E-2</v>
      </c>
      <c r="O4615">
        <v>-5.5528800000000003E-2</v>
      </c>
      <c r="P4615">
        <v>0.98208620000000002</v>
      </c>
      <c r="Q4615">
        <v>0.17798820000000001</v>
      </c>
      <c r="R4615">
        <v>-6.1863620000000001E-2</v>
      </c>
      <c r="S4615">
        <v>3.083771</v>
      </c>
      <c r="T4615">
        <v>-0.15355279999999999</v>
      </c>
      <c r="U4615">
        <v>-4.1503909999999998E-3</v>
      </c>
      <c r="V4615">
        <v>6.6935700000000002E-3</v>
      </c>
      <c r="W4615">
        <v>0.19051570000000001</v>
      </c>
      <c r="X4615">
        <v>0.98166129999999996</v>
      </c>
      <c r="Y4615">
        <v>-5.4067259999999999E-2</v>
      </c>
      <c r="Z4615">
        <v>3.7451339999999998E-3</v>
      </c>
      <c r="AA4615">
        <v>0.99853029999999998</v>
      </c>
      <c r="AB4615">
        <v>24</v>
      </c>
      <c r="AC4615">
        <v>21.9742999999999</v>
      </c>
      <c r="AD4615">
        <v>-1.122428003647</v>
      </c>
      <c r="AE4615">
        <v>-2.5800000000018E-3</v>
      </c>
      <c r="AF4615">
        <v>-1.21456040654769</v>
      </c>
      <c r="AG4615">
        <v>-1.122428003647</v>
      </c>
      <c r="AH4615">
        <v>21.8834377514167</v>
      </c>
      <c r="AI4615">
        <v>92.931692799604505</v>
      </c>
      <c r="AJ4615">
        <v>93.176734096492794</v>
      </c>
      <c r="AK4615">
        <v>21.945839000244501</v>
      </c>
      <c r="AL4615">
        <v>79.017118303952799</v>
      </c>
      <c r="AM4615">
        <v>89.609328220012998</v>
      </c>
      <c r="AN4615">
        <v>0.99999997187176104</v>
      </c>
    </row>
    <row r="4616" spans="1:40" x14ac:dyDescent="0.25">
      <c r="A4616" t="str">
        <f>"20190303171109284"</f>
        <v>20190303171109284</v>
      </c>
      <c r="B4616" t="str">
        <f>"1551604269275793"</f>
        <v>1551604269275793</v>
      </c>
      <c r="C4616" t="s">
        <v>40</v>
      </c>
      <c r="D4616">
        <v>5.2127140000000001</v>
      </c>
      <c r="E4616">
        <v>0.48838939999999997</v>
      </c>
      <c r="F4616" t="s">
        <v>97</v>
      </c>
      <c r="G4616">
        <v>-368.78859999999997</v>
      </c>
      <c r="H4616" s="1">
        <v>-1.069529E-6</v>
      </c>
      <c r="I4616">
        <v>17.346710000000002</v>
      </c>
      <c r="J4616">
        <v>-390.59989999999999</v>
      </c>
      <c r="K4616">
        <v>1.1221540000000001</v>
      </c>
      <c r="L4616">
        <v>17.28952</v>
      </c>
      <c r="M4616">
        <v>0.9985098</v>
      </c>
      <c r="N4616">
        <v>-1.2544970000000001E-2</v>
      </c>
      <c r="O4616">
        <v>-5.3112560000000003E-2</v>
      </c>
      <c r="P4616">
        <v>0.98217109999999996</v>
      </c>
      <c r="Q4616">
        <v>0.17831060000000001</v>
      </c>
      <c r="R4616">
        <v>-5.9545880000000002E-2</v>
      </c>
      <c r="S4616">
        <v>3.0833439999999999</v>
      </c>
      <c r="T4616">
        <v>-0.15606629999999999</v>
      </c>
      <c r="U4616">
        <v>5.5847170000000003E-3</v>
      </c>
      <c r="V4616">
        <v>6.8719080000000004E-3</v>
      </c>
      <c r="W4616">
        <v>0.19065560000000001</v>
      </c>
      <c r="X4616">
        <v>0.98163290000000003</v>
      </c>
      <c r="Y4616">
        <v>-5.4799390000000003E-2</v>
      </c>
      <c r="Z4616">
        <v>3.7494640000000001E-3</v>
      </c>
      <c r="AA4616">
        <v>0.99849030000000005</v>
      </c>
      <c r="AB4616">
        <v>24</v>
      </c>
      <c r="AC4616">
        <v>21.811299999999999</v>
      </c>
      <c r="AD4616">
        <v>-1.1221550695289999</v>
      </c>
      <c r="AE4616">
        <v>5.7190000000002003E-2</v>
      </c>
      <c r="AF4616">
        <v>-1.21244509436255</v>
      </c>
      <c r="AG4616">
        <v>-1.1221550695289999</v>
      </c>
      <c r="AH4616">
        <v>21.7199805556684</v>
      </c>
      <c r="AI4616">
        <v>92.952947443600195</v>
      </c>
      <c r="AJ4616">
        <v>93.195028919978697</v>
      </c>
      <c r="AK4616">
        <v>21.782718160172902</v>
      </c>
      <c r="AL4616">
        <v>79.008952888757094</v>
      </c>
      <c r="AM4616">
        <v>89.598908213088507</v>
      </c>
      <c r="AN4616">
        <v>0.99999996564666405</v>
      </c>
    </row>
    <row r="4617" spans="1:40" x14ac:dyDescent="0.25">
      <c r="A4617" t="str">
        <f>"20190303171109295"</f>
        <v>20190303171109295</v>
      </c>
      <c r="B4617" t="str">
        <f>"1551604269285553"</f>
        <v>1551604269285553</v>
      </c>
      <c r="C4617" t="s">
        <v>40</v>
      </c>
      <c r="D4617">
        <v>5.2619759999999998</v>
      </c>
      <c r="E4617">
        <v>0.48912040000000001</v>
      </c>
      <c r="F4617" t="s">
        <v>97</v>
      </c>
      <c r="G4617">
        <v>-369.01170000000002</v>
      </c>
      <c r="H4617" s="1">
        <v>-1.124824E-6</v>
      </c>
      <c r="I4617">
        <v>16.81692</v>
      </c>
      <c r="J4617">
        <v>-390.47300000000001</v>
      </c>
      <c r="K4617">
        <v>1.122055</v>
      </c>
      <c r="L4617">
        <v>17.283629999999999</v>
      </c>
      <c r="M4617">
        <v>0.99854920000000003</v>
      </c>
      <c r="N4617">
        <v>-1.248054E-2</v>
      </c>
      <c r="O4617">
        <v>-5.2383979999999997E-2</v>
      </c>
      <c r="P4617">
        <v>0.9821839</v>
      </c>
      <c r="Q4617">
        <v>0.17847950000000001</v>
      </c>
      <c r="R4617">
        <v>-5.8823090000000001E-2</v>
      </c>
      <c r="S4617">
        <v>3.0794069999999998</v>
      </c>
      <c r="T4617">
        <v>-0.16006699999999999</v>
      </c>
      <c r="U4617">
        <v>-6.7413329999999994E-2</v>
      </c>
      <c r="V4617">
        <v>6.9098450000000004E-3</v>
      </c>
      <c r="W4617">
        <v>0.1907595</v>
      </c>
      <c r="X4617">
        <v>0.9816125</v>
      </c>
      <c r="Y4617">
        <v>-3.042748E-2</v>
      </c>
      <c r="Z4617">
        <v>3.0459549999999999E-3</v>
      </c>
      <c r="AA4617">
        <v>0.99953230000000004</v>
      </c>
      <c r="AB4617">
        <v>24</v>
      </c>
      <c r="AC4617">
        <v>21.461299999999898</v>
      </c>
      <c r="AD4617">
        <v>-1.122056124824</v>
      </c>
      <c r="AE4617">
        <v>-0.46670999999999901</v>
      </c>
      <c r="AF4617">
        <v>-0.65645300716935895</v>
      </c>
      <c r="AG4617">
        <v>-1.122056124824</v>
      </c>
      <c r="AH4617">
        <v>21.397816421015001</v>
      </c>
      <c r="AI4617">
        <v>93.0003109149539</v>
      </c>
      <c r="AJ4617">
        <v>91.757197693105297</v>
      </c>
      <c r="AK4617">
        <v>21.437268671296199</v>
      </c>
      <c r="AL4617">
        <v>79.002889123714994</v>
      </c>
      <c r="AM4617">
        <v>89.596685640656304</v>
      </c>
      <c r="AN4617">
        <v>1.00000001647721</v>
      </c>
    </row>
    <row r="4618" spans="1:40" x14ac:dyDescent="0.25">
      <c r="A4618" t="str">
        <f>"20190303171109315"</f>
        <v>20190303171109315</v>
      </c>
      <c r="B4618" t="str">
        <f>"1551604269305073"</f>
        <v>1551604269305073</v>
      </c>
      <c r="C4618" t="s">
        <v>40</v>
      </c>
      <c r="D4618">
        <v>5.1800459999999999</v>
      </c>
      <c r="E4618">
        <v>0.49011149999999998</v>
      </c>
      <c r="F4618" t="s">
        <v>97</v>
      </c>
      <c r="G4618">
        <v>-368.50080000000003</v>
      </c>
      <c r="H4618" s="1">
        <v>-1.3327019999999901E-6</v>
      </c>
      <c r="I4618">
        <v>16.7729</v>
      </c>
      <c r="J4618">
        <v>-390.26339999999999</v>
      </c>
      <c r="K4618">
        <v>1.1218939999999999</v>
      </c>
      <c r="L4618">
        <v>17.27393</v>
      </c>
      <c r="M4618">
        <v>0.9986022</v>
      </c>
      <c r="N4618">
        <v>-1.2365950000000001E-2</v>
      </c>
      <c r="O4618">
        <v>-5.1388459999999997E-2</v>
      </c>
      <c r="P4618">
        <v>0.98223499999999997</v>
      </c>
      <c r="Q4618">
        <v>0.17836009999999999</v>
      </c>
      <c r="R4618">
        <v>-5.8327339999999998E-2</v>
      </c>
      <c r="S4618">
        <v>3.078735</v>
      </c>
      <c r="T4618">
        <v>-0.15722220000000001</v>
      </c>
      <c r="U4618">
        <v>-7.1563719999999997E-2</v>
      </c>
      <c r="V4618">
        <v>7.4647380000000003E-3</v>
      </c>
      <c r="W4618">
        <v>0.1905259</v>
      </c>
      <c r="X4618">
        <v>0.98165380000000002</v>
      </c>
      <c r="Y4618">
        <v>-2.8087170000000002E-2</v>
      </c>
      <c r="Z4618">
        <v>2.875978E-3</v>
      </c>
      <c r="AA4618">
        <v>0.99960139999999997</v>
      </c>
      <c r="AB4618">
        <v>24</v>
      </c>
      <c r="AC4618">
        <v>21.7625999999999</v>
      </c>
      <c r="AD4618">
        <v>-1.121895332702</v>
      </c>
      <c r="AE4618">
        <v>-0.50102999999999998</v>
      </c>
      <c r="AF4618">
        <v>-0.616426760157327</v>
      </c>
      <c r="AG4618">
        <v>-1.121895332702</v>
      </c>
      <c r="AH4618">
        <v>21.701947002164701</v>
      </c>
      <c r="AI4618">
        <v>92.958114874400394</v>
      </c>
      <c r="AJ4618">
        <v>91.627004156445494</v>
      </c>
      <c r="AK4618">
        <v>21.739667310539598</v>
      </c>
      <c r="AL4618">
        <v>79.016523428463699</v>
      </c>
      <c r="AM4618">
        <v>89.564317136001307</v>
      </c>
      <c r="AN4618">
        <v>1.00000001196932</v>
      </c>
    </row>
    <row r="4619" spans="1:40" x14ac:dyDescent="0.25">
      <c r="A4619" t="str">
        <f>"20190303171109336"</f>
        <v>20190303171109336</v>
      </c>
      <c r="B4619" t="str">
        <f>"1551604269325569"</f>
        <v>1551604269325569</v>
      </c>
      <c r="C4619" t="s">
        <v>40</v>
      </c>
      <c r="D4619">
        <v>5.0551659999999998</v>
      </c>
      <c r="E4619">
        <v>0.49082959999999898</v>
      </c>
      <c r="F4619" t="s">
        <v>97</v>
      </c>
      <c r="G4619">
        <v>-368.28320000000002</v>
      </c>
      <c r="H4619" s="1">
        <v>-1.4328390000000001E-6</v>
      </c>
      <c r="I4619">
        <v>16.710599999999999</v>
      </c>
      <c r="J4619">
        <v>-390.0421</v>
      </c>
      <c r="K4619">
        <v>1.121707</v>
      </c>
      <c r="L4619">
        <v>17.263670000000001</v>
      </c>
      <c r="M4619">
        <v>0.99864509999999995</v>
      </c>
      <c r="N4619">
        <v>-1.2227460000000001E-2</v>
      </c>
      <c r="O4619">
        <v>-5.0584249999999997E-2</v>
      </c>
      <c r="P4619">
        <v>0.98220469999999904</v>
      </c>
      <c r="Q4619">
        <v>0.17864360000000001</v>
      </c>
      <c r="R4619">
        <v>-5.7972200000000002E-2</v>
      </c>
      <c r="S4619">
        <v>3.0780940000000001</v>
      </c>
      <c r="T4619">
        <v>-0.15711</v>
      </c>
      <c r="U4619">
        <v>-7.8887940000000004E-2</v>
      </c>
      <c r="V4619">
        <v>7.9813799999999997E-3</v>
      </c>
      <c r="W4619">
        <v>0.1906706</v>
      </c>
      <c r="X4619">
        <v>0.98162159999999998</v>
      </c>
      <c r="Y4619">
        <v>-2.4905650000000001E-2</v>
      </c>
      <c r="Z4619">
        <v>2.7476190000000002E-3</v>
      </c>
      <c r="AA4619">
        <v>0.99968599999999996</v>
      </c>
      <c r="AB4619">
        <v>24</v>
      </c>
      <c r="AC4619">
        <v>21.758899999999901</v>
      </c>
      <c r="AD4619">
        <v>-1.1217084328389999</v>
      </c>
      <c r="AE4619">
        <v>-0.55307000000000095</v>
      </c>
      <c r="AF4619">
        <v>-0.54692534325970699</v>
      </c>
      <c r="AG4619">
        <v>-1.1217084328389999</v>
      </c>
      <c r="AH4619">
        <v>21.701382867476699</v>
      </c>
      <c r="AI4619">
        <v>92.957952906696207</v>
      </c>
      <c r="AJ4619">
        <v>91.443681356981401</v>
      </c>
      <c r="AK4619">
        <v>21.7372347712448</v>
      </c>
      <c r="AL4619">
        <v>79.008077471764295</v>
      </c>
      <c r="AM4619">
        <v>89.534149093987395</v>
      </c>
      <c r="AN4619">
        <v>0.99999997285881104</v>
      </c>
    </row>
    <row r="4620" spans="1:40" x14ac:dyDescent="0.25">
      <c r="A4620" t="str">
        <f>"20190303171109348"</f>
        <v>20190303171109348</v>
      </c>
      <c r="B4620" t="str">
        <f>"1551604269335330"</f>
        <v>1551604269335330</v>
      </c>
      <c r="C4620" t="s">
        <v>40</v>
      </c>
      <c r="D4620">
        <v>5.2431210000000004</v>
      </c>
      <c r="E4620">
        <v>0.4910429</v>
      </c>
      <c r="F4620" t="s">
        <v>97</v>
      </c>
      <c r="G4620">
        <v>-367.56220000000002</v>
      </c>
      <c r="H4620" s="1">
        <v>-1.727601E-6</v>
      </c>
      <c r="I4620">
        <v>16.643460000000001</v>
      </c>
      <c r="J4620">
        <v>-389.91820000000001</v>
      </c>
      <c r="K4620">
        <v>1.1216010000000001</v>
      </c>
      <c r="L4620">
        <v>17.25787</v>
      </c>
      <c r="M4620">
        <v>0.99866160000000004</v>
      </c>
      <c r="N4620">
        <v>-1.2141239999999999E-2</v>
      </c>
      <c r="O4620">
        <v>-5.0276939999999999E-2</v>
      </c>
      <c r="P4620">
        <v>0.98215229999999998</v>
      </c>
      <c r="Q4620">
        <v>0.17904210000000001</v>
      </c>
      <c r="R4620">
        <v>-5.7629430000000002E-2</v>
      </c>
      <c r="S4620">
        <v>3.0772710000000001</v>
      </c>
      <c r="T4620">
        <v>-0.1535503</v>
      </c>
      <c r="U4620">
        <v>-8.4899899999999903E-2</v>
      </c>
      <c r="V4620">
        <v>7.9887129999999997E-3</v>
      </c>
      <c r="W4620">
        <v>0.1909814</v>
      </c>
      <c r="X4620">
        <v>0.98156109999999996</v>
      </c>
      <c r="Y4620">
        <v>-2.264681E-2</v>
      </c>
      <c r="Z4620">
        <v>2.5972999999999999E-3</v>
      </c>
      <c r="AA4620">
        <v>0.99974019999999997</v>
      </c>
      <c r="AB4620">
        <v>24</v>
      </c>
      <c r="AC4620">
        <v>22.355999999999899</v>
      </c>
      <c r="AD4620">
        <v>-1.1216027276010001</v>
      </c>
      <c r="AE4620">
        <v>-0.61440999999999901</v>
      </c>
      <c r="AF4620">
        <v>-0.50916056689133804</v>
      </c>
      <c r="AG4620">
        <v>-1.1216027276010001</v>
      </c>
      <c r="AH4620">
        <v>22.302521520125701</v>
      </c>
      <c r="AI4620">
        <v>92.878253476252695</v>
      </c>
      <c r="AJ4620">
        <v>91.307820054736894</v>
      </c>
      <c r="AK4620">
        <v>22.3365105447809</v>
      </c>
      <c r="AL4620">
        <v>78.989936371912606</v>
      </c>
      <c r="AM4620">
        <v>89.533692367569103</v>
      </c>
      <c r="AN4620">
        <v>0.99999995385728202</v>
      </c>
    </row>
    <row r="4621" spans="1:40" x14ac:dyDescent="0.25">
      <c r="A4621" t="str">
        <f>"20190303171109360"</f>
        <v>20190303171109360</v>
      </c>
      <c r="B4621" t="str">
        <f>"1551604269355825"</f>
        <v>1551604269355825</v>
      </c>
      <c r="C4621" t="s">
        <v>40</v>
      </c>
      <c r="D4621">
        <v>5.2503440000000001</v>
      </c>
      <c r="E4621">
        <v>0.49164720000000001</v>
      </c>
      <c r="F4621" t="s">
        <v>97</v>
      </c>
      <c r="G4621">
        <v>-367.0027</v>
      </c>
      <c r="H4621" s="1">
        <v>-1.9501089999999998E-6</v>
      </c>
      <c r="I4621">
        <v>16.61467</v>
      </c>
      <c r="J4621">
        <v>-389.78309999999999</v>
      </c>
      <c r="K4621">
        <v>1.1214850000000001</v>
      </c>
      <c r="L4621">
        <v>17.2515</v>
      </c>
      <c r="M4621">
        <v>0.99867709999999998</v>
      </c>
      <c r="N4621">
        <v>-1.2044549999999999E-2</v>
      </c>
      <c r="O4621">
        <v>-4.9991180000000003E-2</v>
      </c>
      <c r="P4621">
        <v>0.98218629999999996</v>
      </c>
      <c r="Q4621">
        <v>0.17906649999999999</v>
      </c>
      <c r="R4621">
        <v>-5.697149E-2</v>
      </c>
      <c r="S4621">
        <v>3.0769039999999999</v>
      </c>
      <c r="T4621">
        <v>-0.1505997</v>
      </c>
      <c r="U4621">
        <v>-8.6364750000000004E-2</v>
      </c>
      <c r="V4621">
        <v>7.6606349999999998E-3</v>
      </c>
      <c r="W4621">
        <v>0.19090840000000001</v>
      </c>
      <c r="X4621">
        <v>0.98157799999999995</v>
      </c>
      <c r="Y4621">
        <v>-2.1885979999999999E-2</v>
      </c>
      <c r="Z4621">
        <v>2.5087569999999999E-3</v>
      </c>
      <c r="AA4621">
        <v>0.99975729999999996</v>
      </c>
      <c r="AB4621">
        <v>24</v>
      </c>
      <c r="AC4621">
        <v>22.780399999999901</v>
      </c>
      <c r="AD4621">
        <v>-1.1214869501089999</v>
      </c>
      <c r="AE4621">
        <v>-0.63682999999999901</v>
      </c>
      <c r="AF4621">
        <v>-0.50165311085017805</v>
      </c>
      <c r="AG4621">
        <v>-1.1214869501089999</v>
      </c>
      <c r="AH4621">
        <v>22.728707905987299</v>
      </c>
      <c r="AI4621">
        <v>92.824128424973296</v>
      </c>
      <c r="AJ4621">
        <v>91.264389522247001</v>
      </c>
      <c r="AK4621">
        <v>22.7618881444089</v>
      </c>
      <c r="AL4621">
        <v>78.994198281724294</v>
      </c>
      <c r="AM4621">
        <v>89.5528494497498</v>
      </c>
      <c r="AN4621">
        <v>1.00000003630158</v>
      </c>
    </row>
    <row r="4622" spans="1:40" x14ac:dyDescent="0.25">
      <c r="A4622" t="str">
        <f>"20190303171109371"</f>
        <v>20190303171109371</v>
      </c>
      <c r="B4622" t="str">
        <f>"1551604269365585"</f>
        <v>1551604269365585</v>
      </c>
      <c r="C4622" t="s">
        <v>40</v>
      </c>
      <c r="D4622">
        <v>5.121607</v>
      </c>
      <c r="E4622">
        <v>0.49188559999999998</v>
      </c>
      <c r="F4622" t="s">
        <v>97</v>
      </c>
      <c r="G4622">
        <v>-366.52350000000001</v>
      </c>
      <c r="H4622" s="1">
        <v>-2.1834940000000002E-6</v>
      </c>
      <c r="I4622">
        <v>16.573799999999999</v>
      </c>
      <c r="J4622">
        <v>-389.66180000000003</v>
      </c>
      <c r="K4622">
        <v>1.1213770000000001</v>
      </c>
      <c r="L4622">
        <v>17.245760000000001</v>
      </c>
      <c r="M4622">
        <v>0.99868670000000004</v>
      </c>
      <c r="N4622">
        <v>-1.195273E-2</v>
      </c>
      <c r="O4622">
        <v>-4.9823329999999999E-2</v>
      </c>
      <c r="P4622">
        <v>0.98214749999999995</v>
      </c>
      <c r="Q4622">
        <v>0.17939769999999999</v>
      </c>
      <c r="R4622">
        <v>-5.6596609999999999E-2</v>
      </c>
      <c r="S4622">
        <v>3.076263</v>
      </c>
      <c r="T4622">
        <v>-0.1483254</v>
      </c>
      <c r="U4622">
        <v>-8.9630130000000002E-2</v>
      </c>
      <c r="V4622">
        <v>7.4979109999999899E-3</v>
      </c>
      <c r="W4622">
        <v>0.1911466</v>
      </c>
      <c r="X4622">
        <v>0.98153290000000004</v>
      </c>
      <c r="Y4622">
        <v>-2.0655659999999999E-2</v>
      </c>
      <c r="Z4622">
        <v>2.424888E-3</v>
      </c>
      <c r="AA4622">
        <v>0.99978370000000005</v>
      </c>
      <c r="AB4622">
        <v>24</v>
      </c>
      <c r="AC4622">
        <v>23.138300000000001</v>
      </c>
      <c r="AD4622">
        <v>-1.1213791834939999</v>
      </c>
      <c r="AE4622">
        <v>-0.671960000000002</v>
      </c>
      <c r="AF4622">
        <v>-0.48065596946881001</v>
      </c>
      <c r="AG4622">
        <v>-1.1213791834939999</v>
      </c>
      <c r="AH4622">
        <v>23.088855970838399</v>
      </c>
      <c r="AI4622">
        <v>92.779954192045196</v>
      </c>
      <c r="AJ4622">
        <v>91.192591837316002</v>
      </c>
      <c r="AK4622">
        <v>23.1210681300903</v>
      </c>
      <c r="AL4622">
        <v>78.980294397017701</v>
      </c>
      <c r="AM4622">
        <v>89.562327152267002</v>
      </c>
      <c r="AN4622">
        <v>1.00000003757166</v>
      </c>
    </row>
    <row r="4623" spans="1:40" x14ac:dyDescent="0.25">
      <c r="A4623" t="str">
        <f>"20190303171109384"</f>
        <v>20190303171109384</v>
      </c>
      <c r="B4623" t="str">
        <f>"1551604269375345"</f>
        <v>1551604269375345</v>
      </c>
      <c r="C4623" t="s">
        <v>40</v>
      </c>
      <c r="D4623">
        <v>5.1929550000000004</v>
      </c>
      <c r="E4623">
        <v>0.49222589999999999</v>
      </c>
      <c r="F4623" t="s">
        <v>97</v>
      </c>
      <c r="G4623">
        <v>-365.971</v>
      </c>
      <c r="H4623" s="1">
        <v>-2.44967E-6</v>
      </c>
      <c r="I4623">
        <v>16.545539999999999</v>
      </c>
      <c r="J4623">
        <v>-389.52569999999997</v>
      </c>
      <c r="K4623">
        <v>1.1212629999999999</v>
      </c>
      <c r="L4623">
        <v>17.239229999999999</v>
      </c>
      <c r="M4623">
        <v>0.99869339999999995</v>
      </c>
      <c r="N4623">
        <v>-1.18475E-2</v>
      </c>
      <c r="O4623">
        <v>-4.9710310000000001E-2</v>
      </c>
      <c r="P4623">
        <v>0.98215039999999998</v>
      </c>
      <c r="Q4623">
        <v>0.17951410000000001</v>
      </c>
      <c r="R4623">
        <v>-5.6172310000000003E-2</v>
      </c>
      <c r="S4623">
        <v>3.0758969999999999</v>
      </c>
      <c r="T4623">
        <v>-0.14559439999999901</v>
      </c>
      <c r="U4623">
        <v>-9.0911870000000006E-2</v>
      </c>
      <c r="V4623">
        <v>7.2319050000000003E-3</v>
      </c>
      <c r="W4623">
        <v>0.19115789999999999</v>
      </c>
      <c r="X4623">
        <v>0.98153270000000004</v>
      </c>
      <c r="Y4623">
        <v>-2.0125980000000002E-2</v>
      </c>
      <c r="Z4623">
        <v>2.3564049999999998E-3</v>
      </c>
      <c r="AA4623">
        <v>0.99979470000000004</v>
      </c>
      <c r="AB4623">
        <v>24</v>
      </c>
      <c r="AC4623">
        <v>23.554699999999901</v>
      </c>
      <c r="AD4623">
        <v>-1.1212654496700001</v>
      </c>
      <c r="AE4623">
        <v>-0.69369000000000003</v>
      </c>
      <c r="AF4623">
        <v>-0.47708124331381002</v>
      </c>
      <c r="AG4623">
        <v>-1.1212654496700001</v>
      </c>
      <c r="AH4623">
        <v>23.506840123510798</v>
      </c>
      <c r="AI4623">
        <v>92.730350976498798</v>
      </c>
      <c r="AJ4623">
        <v>91.162682411266999</v>
      </c>
      <c r="AK4623">
        <v>23.538402140197299</v>
      </c>
      <c r="AL4623">
        <v>78.979634843253507</v>
      </c>
      <c r="AM4623">
        <v>89.577853966041502</v>
      </c>
      <c r="AN4623">
        <v>1.00000004217581</v>
      </c>
    </row>
    <row r="4624" spans="1:40" x14ac:dyDescent="0.25">
      <c r="A4624" t="str">
        <f>"20190303171109395"</f>
        <v>20190303171109395</v>
      </c>
      <c r="B4624" t="str">
        <f>"1551604269385106"</f>
        <v>1551604269385106</v>
      </c>
      <c r="C4624" t="s">
        <v>40</v>
      </c>
      <c r="D4624">
        <v>5.1818939999999998</v>
      </c>
      <c r="E4624">
        <v>0.49250640000000001</v>
      </c>
      <c r="F4624" t="s">
        <v>97</v>
      </c>
      <c r="G4624">
        <v>-365.697</v>
      </c>
      <c r="H4624" s="1">
        <v>-2.5832009999999999E-6</v>
      </c>
      <c r="I4624">
        <v>16.523060000000001</v>
      </c>
      <c r="J4624">
        <v>-389.40429999999998</v>
      </c>
      <c r="K4624">
        <v>1.1211610000000001</v>
      </c>
      <c r="L4624">
        <v>17.233339999999998</v>
      </c>
      <c r="M4624">
        <v>0.99869779999999997</v>
      </c>
      <c r="N4624">
        <v>-1.1752520000000001E-2</v>
      </c>
      <c r="O4624">
        <v>-4.9647829999999997E-2</v>
      </c>
      <c r="P4624">
        <v>0.98212619999999895</v>
      </c>
      <c r="Q4624">
        <v>0.17977860000000001</v>
      </c>
      <c r="R4624">
        <v>-5.5750340000000002E-2</v>
      </c>
      <c r="S4624">
        <v>3.075653</v>
      </c>
      <c r="T4624">
        <v>-0.1447252</v>
      </c>
      <c r="U4624">
        <v>-9.2437740000000004E-2</v>
      </c>
      <c r="V4624">
        <v>6.9134419999999997E-3</v>
      </c>
      <c r="W4624">
        <v>0.19132730000000001</v>
      </c>
      <c r="X4624">
        <v>0.98150190000000004</v>
      </c>
      <c r="Y4624">
        <v>-1.956691E-2</v>
      </c>
      <c r="Z4624">
        <v>2.324881E-3</v>
      </c>
      <c r="AA4624">
        <v>0.99980590000000003</v>
      </c>
      <c r="AB4624">
        <v>24</v>
      </c>
      <c r="AC4624">
        <v>23.7073</v>
      </c>
      <c r="AD4624">
        <v>-1.1211635832009901</v>
      </c>
      <c r="AE4624">
        <v>-0.71027999999999702</v>
      </c>
      <c r="AF4624">
        <v>-0.46665041193425799</v>
      </c>
      <c r="AG4624">
        <v>-1.1211635832009901</v>
      </c>
      <c r="AH4624">
        <v>23.660456339428301</v>
      </c>
      <c r="AI4624">
        <v>92.712435600363804</v>
      </c>
      <c r="AJ4624">
        <v>91.129886622926804</v>
      </c>
      <c r="AK4624">
        <v>23.691601140008402</v>
      </c>
      <c r="AL4624">
        <v>78.969745458686006</v>
      </c>
      <c r="AM4624">
        <v>89.5964302282175</v>
      </c>
      <c r="AN4624">
        <v>0.99999995555459198</v>
      </c>
    </row>
    <row r="4625" spans="1:40" x14ac:dyDescent="0.25">
      <c r="A4625" t="str">
        <f>"20190303171109407"</f>
        <v>20190303171109407</v>
      </c>
      <c r="B4625" t="str">
        <f>"1551604269395841"</f>
        <v>1551604269395841</v>
      </c>
      <c r="C4625" t="s">
        <v>40</v>
      </c>
      <c r="D4625">
        <v>5.1207050000000001</v>
      </c>
      <c r="E4625">
        <v>0.4926912</v>
      </c>
      <c r="F4625" t="s">
        <v>97</v>
      </c>
      <c r="G4625">
        <v>-365.35829999999999</v>
      </c>
      <c r="H4625" s="1">
        <v>-2.7473529999999999E-6</v>
      </c>
      <c r="I4625">
        <v>16.5001</v>
      </c>
      <c r="J4625">
        <v>-389.28149999999999</v>
      </c>
      <c r="K4625">
        <v>1.121067</v>
      </c>
      <c r="L4625">
        <v>17.227329999999998</v>
      </c>
      <c r="M4625">
        <v>0.99869750000000002</v>
      </c>
      <c r="N4625">
        <v>-1.164487E-2</v>
      </c>
      <c r="O4625">
        <v>-4.9676690000000003E-2</v>
      </c>
      <c r="P4625">
        <v>0.98216289999999995</v>
      </c>
      <c r="Q4625">
        <v>0.17968190000000001</v>
      </c>
      <c r="R4625">
        <v>-5.5413320000000002E-2</v>
      </c>
      <c r="S4625">
        <v>3.0754700000000001</v>
      </c>
      <c r="T4625">
        <v>-0.1433961</v>
      </c>
      <c r="U4625">
        <v>-9.3780520000000006E-2</v>
      </c>
      <c r="V4625">
        <v>6.5822440000000001E-3</v>
      </c>
      <c r="W4625">
        <v>0.19112370000000001</v>
      </c>
      <c r="X4625">
        <v>0.98154390000000002</v>
      </c>
      <c r="Y4625">
        <v>-1.9159430000000002E-2</v>
      </c>
      <c r="Z4625">
        <v>2.2928250000000001E-3</v>
      </c>
      <c r="AA4625">
        <v>0.99981379999999997</v>
      </c>
      <c r="AB4625">
        <v>24</v>
      </c>
      <c r="AC4625">
        <v>23.923200000000001</v>
      </c>
      <c r="AD4625">
        <v>-1.121069747353</v>
      </c>
      <c r="AE4625">
        <v>-0.72722999999999804</v>
      </c>
      <c r="AF4625">
        <v>-0.46116216346801198</v>
      </c>
      <c r="AG4625">
        <v>-1.121069747353</v>
      </c>
      <c r="AH4625">
        <v>23.877402377846401</v>
      </c>
      <c r="AI4625">
        <v>92.687623965711694</v>
      </c>
      <c r="AJ4625">
        <v>91.106458757744804</v>
      </c>
      <c r="AK4625">
        <v>23.908153676790501</v>
      </c>
      <c r="AL4625">
        <v>78.981630819439403</v>
      </c>
      <c r="AM4625">
        <v>89.615779642913395</v>
      </c>
      <c r="AN4625">
        <v>1.00000001113248</v>
      </c>
    </row>
    <row r="4626" spans="1:40" x14ac:dyDescent="0.25">
      <c r="A4626" t="str">
        <f>"20190303171109427"</f>
        <v>20190303171109427</v>
      </c>
      <c r="B4626" t="str">
        <f>"1551604269415363"</f>
        <v>1551604269415363</v>
      </c>
      <c r="C4626" t="s">
        <v>40</v>
      </c>
      <c r="D4626">
        <v>5.1300429999999997</v>
      </c>
      <c r="E4626">
        <v>0.49296240000000002</v>
      </c>
      <c r="F4626" t="s">
        <v>97</v>
      </c>
      <c r="G4626">
        <v>-365.14429999999999</v>
      </c>
      <c r="H4626" s="1">
        <v>-2.8505949999999999E-6</v>
      </c>
      <c r="I4626">
        <v>16.488399999999999</v>
      </c>
      <c r="J4626">
        <v>-389.06979999999999</v>
      </c>
      <c r="K4626">
        <v>1.1209169999999999</v>
      </c>
      <c r="L4626">
        <v>17.216799999999999</v>
      </c>
      <c r="M4626">
        <v>0.99869289999999999</v>
      </c>
      <c r="N4626">
        <v>-1.144422E-2</v>
      </c>
      <c r="O4626">
        <v>-4.9817840000000002E-2</v>
      </c>
      <c r="P4626">
        <v>0.98215790000000003</v>
      </c>
      <c r="Q4626">
        <v>0.17969309999999999</v>
      </c>
      <c r="R4626">
        <v>-5.5464949999999999E-2</v>
      </c>
      <c r="S4626">
        <v>3.0753170000000001</v>
      </c>
      <c r="T4626">
        <v>-0.142835299999999</v>
      </c>
      <c r="U4626">
        <v>-9.4146729999999998E-2</v>
      </c>
      <c r="V4626">
        <v>6.5509969999999898E-3</v>
      </c>
      <c r="W4626">
        <v>0.19093599999999999</v>
      </c>
      <c r="X4626">
        <v>0.98158060000000003</v>
      </c>
      <c r="Y4626">
        <v>-1.9180269999999999E-2</v>
      </c>
      <c r="Z4626">
        <v>2.2957429999999998E-3</v>
      </c>
      <c r="AA4626">
        <v>0.99981339999999996</v>
      </c>
      <c r="AB4626">
        <v>24</v>
      </c>
      <c r="AC4626">
        <v>23.9255</v>
      </c>
      <c r="AD4626">
        <v>-1.120919850595</v>
      </c>
      <c r="AE4626">
        <v>-0.72840000000000005</v>
      </c>
      <c r="AF4626">
        <v>-0.463482787391434</v>
      </c>
      <c r="AG4626">
        <v>-1.120919850595</v>
      </c>
      <c r="AH4626">
        <v>23.879711467777302</v>
      </c>
      <c r="AI4626">
        <v>92.687000715555101</v>
      </c>
      <c r="AJ4626">
        <v>91.111917695547803</v>
      </c>
      <c r="AK4626">
        <v>23.910497639948002</v>
      </c>
      <c r="AL4626">
        <v>78.992586578504003</v>
      </c>
      <c r="AM4626">
        <v>89.6176178430227</v>
      </c>
      <c r="AN4626">
        <v>0.99999997297702603</v>
      </c>
    </row>
    <row r="4627" spans="1:40" x14ac:dyDescent="0.25">
      <c r="A4627" t="str">
        <f>"20190303171109448"</f>
        <v>20190303171109448</v>
      </c>
      <c r="B4627" t="str">
        <f>"1551604269435857"</f>
        <v>1551604269435857</v>
      </c>
      <c r="C4627" t="s">
        <v>40</v>
      </c>
      <c r="D4627">
        <v>5.1293419999999896</v>
      </c>
      <c r="E4627">
        <v>0.493205</v>
      </c>
      <c r="F4627" t="s">
        <v>97</v>
      </c>
      <c r="G4627">
        <v>-364.6499</v>
      </c>
      <c r="H4627" s="1">
        <v>-3.0922300000000002E-6</v>
      </c>
      <c r="I4627">
        <v>16.443650000000002</v>
      </c>
      <c r="J4627">
        <v>-388.83769999999998</v>
      </c>
      <c r="K4627">
        <v>1.1207750000000001</v>
      </c>
      <c r="L4627">
        <v>17.20505</v>
      </c>
      <c r="M4627">
        <v>0.99868029999999997</v>
      </c>
      <c r="N4627">
        <v>-1.1205359999999999E-2</v>
      </c>
      <c r="O4627">
        <v>-5.0124160000000001E-2</v>
      </c>
      <c r="P4627">
        <v>0.98200290000000001</v>
      </c>
      <c r="Q4627">
        <v>0.1803843</v>
      </c>
      <c r="R4627">
        <v>-5.5968360000000002E-2</v>
      </c>
      <c r="S4627">
        <v>3.0748289999999998</v>
      </c>
      <c r="T4627">
        <v>-0.14114070000000001</v>
      </c>
      <c r="U4627">
        <v>-9.7351069999999998E-2</v>
      </c>
      <c r="V4627">
        <v>6.8098940000000004E-3</v>
      </c>
      <c r="W4627">
        <v>0.19138949999999999</v>
      </c>
      <c r="X4627">
        <v>0.98149059999999999</v>
      </c>
      <c r="Y4627">
        <v>-1.8442980000000001E-2</v>
      </c>
      <c r="Z4627">
        <v>2.262614E-3</v>
      </c>
      <c r="AA4627">
        <v>0.99982729999999997</v>
      </c>
      <c r="AB4627">
        <v>24</v>
      </c>
      <c r="AC4627">
        <v>24.1877999999999</v>
      </c>
      <c r="AD4627">
        <v>-1.1207780922299999</v>
      </c>
      <c r="AE4627">
        <v>-0.76139999999999797</v>
      </c>
      <c r="AF4627">
        <v>-0.45105878384847398</v>
      </c>
      <c r="AG4627">
        <v>-1.1207780922299999</v>
      </c>
      <c r="AH4627">
        <v>24.143771820803099</v>
      </c>
      <c r="AI4627">
        <v>92.657356464030002</v>
      </c>
      <c r="AJ4627">
        <v>91.070286728386705</v>
      </c>
      <c r="AK4627">
        <v>24.1739801293356</v>
      </c>
      <c r="AL4627">
        <v>78.966115692138501</v>
      </c>
      <c r="AM4627">
        <v>89.602470034639694</v>
      </c>
      <c r="AN4627">
        <v>1.0000000566274401</v>
      </c>
    </row>
    <row r="4628" spans="1:40" x14ac:dyDescent="0.25">
      <c r="A4628" t="str">
        <f>"20190303171109460"</f>
        <v>20190303171109460</v>
      </c>
      <c r="B4628" t="str">
        <f>"1551604269455146"</f>
        <v>1551604269455146</v>
      </c>
      <c r="C4628" t="s">
        <v>40</v>
      </c>
      <c r="D4628">
        <v>5.193854</v>
      </c>
      <c r="E4628">
        <v>0.49350739999999998</v>
      </c>
      <c r="F4628" t="s">
        <v>97</v>
      </c>
      <c r="G4628">
        <v>-363.93380000000002</v>
      </c>
      <c r="H4628" s="1">
        <v>-3.4425219999999998E-6</v>
      </c>
      <c r="I4628">
        <v>16.377199999999998</v>
      </c>
      <c r="J4628">
        <v>-388.70780000000002</v>
      </c>
      <c r="K4628">
        <v>1.1207069999999999</v>
      </c>
      <c r="L4628">
        <v>17.19839</v>
      </c>
      <c r="M4628">
        <v>0.99867059999999996</v>
      </c>
      <c r="N4628">
        <v>-1.1068089999999999E-2</v>
      </c>
      <c r="O4628">
        <v>-5.0343890000000002E-2</v>
      </c>
      <c r="P4628">
        <v>0.98186030000000002</v>
      </c>
      <c r="Q4628">
        <v>0.18101130000000001</v>
      </c>
      <c r="R4628">
        <v>-5.6438790000000003E-2</v>
      </c>
      <c r="S4628">
        <v>3.074554</v>
      </c>
      <c r="T4628">
        <v>-0.13836780000000001</v>
      </c>
      <c r="U4628">
        <v>-0.1022034</v>
      </c>
      <c r="V4628">
        <v>7.0934379999999997E-3</v>
      </c>
      <c r="W4628">
        <v>0.1918791</v>
      </c>
      <c r="X4628">
        <v>0.98139290000000001</v>
      </c>
      <c r="Y4628">
        <v>-1.708757E-2</v>
      </c>
      <c r="Z4628">
        <v>2.1844260000000002E-3</v>
      </c>
      <c r="AA4628">
        <v>0.99985159999999995</v>
      </c>
      <c r="AB4628">
        <v>24</v>
      </c>
      <c r="AC4628">
        <v>24.774000000000001</v>
      </c>
      <c r="AD4628">
        <v>-1.12071044252199</v>
      </c>
      <c r="AE4628">
        <v>-0.82119000000000097</v>
      </c>
      <c r="AF4628">
        <v>-0.42627600793530501</v>
      </c>
      <c r="AG4628">
        <v>-1.12071044252199</v>
      </c>
      <c r="AH4628">
        <v>24.7333664397642</v>
      </c>
      <c r="AI4628">
        <v>92.5940088638839</v>
      </c>
      <c r="AJ4628">
        <v>90.987386750088902</v>
      </c>
      <c r="AK4628">
        <v>24.762413423868299</v>
      </c>
      <c r="AL4628">
        <v>78.937532931252903</v>
      </c>
      <c r="AM4628">
        <v>89.585877397052997</v>
      </c>
      <c r="AN4628">
        <v>0.99999996502493904</v>
      </c>
    </row>
    <row r="4629" spans="1:40" x14ac:dyDescent="0.25">
      <c r="A4629" t="str">
        <f>"20190303171109472"</f>
        <v>20190303171109472</v>
      </c>
      <c r="B4629" t="str">
        <f>"1551604269465869"</f>
        <v>1551604269465869</v>
      </c>
      <c r="C4629" t="s">
        <v>40</v>
      </c>
      <c r="D4629">
        <v>5.1941810000000004</v>
      </c>
      <c r="E4629">
        <v>0.49370809999999998</v>
      </c>
      <c r="F4629" t="s">
        <v>97</v>
      </c>
      <c r="G4629">
        <v>-363.23689999999999</v>
      </c>
      <c r="H4629" s="1">
        <v>-3.7826239999999998E-6</v>
      </c>
      <c r="I4629">
        <v>16.316990000000001</v>
      </c>
      <c r="J4629">
        <v>-388.57499999999999</v>
      </c>
      <c r="K4629">
        <v>1.1206499999999999</v>
      </c>
      <c r="L4629">
        <v>17.191469999999999</v>
      </c>
      <c r="M4629">
        <v>0.99865930000000003</v>
      </c>
      <c r="N4629">
        <v>-1.0925499999999999E-2</v>
      </c>
      <c r="O4629">
        <v>-5.0601229999999997E-2</v>
      </c>
      <c r="P4629">
        <v>0.98165720000000001</v>
      </c>
      <c r="Q4629">
        <v>0.18184139999999999</v>
      </c>
      <c r="R4629">
        <v>-5.7300259999999999E-2</v>
      </c>
      <c r="S4629">
        <v>3.0742799999999999</v>
      </c>
      <c r="T4629">
        <v>-0.13526769999999999</v>
      </c>
      <c r="U4629">
        <v>-0.1063843</v>
      </c>
      <c r="V4629">
        <v>7.7288699999999997E-3</v>
      </c>
      <c r="W4629">
        <v>0.1925665</v>
      </c>
      <c r="X4629">
        <v>0.9812535</v>
      </c>
      <c r="Y4629">
        <v>-1.5987500000000002E-2</v>
      </c>
      <c r="Z4629">
        <v>2.1095770000000001E-3</v>
      </c>
      <c r="AA4629">
        <v>0.99986989999999998</v>
      </c>
      <c r="AB4629">
        <v>24</v>
      </c>
      <c r="AC4629">
        <v>25.338100000000001</v>
      </c>
      <c r="AD4629">
        <v>-1.120653782624</v>
      </c>
      <c r="AE4629">
        <v>-0.87448000000000103</v>
      </c>
      <c r="AF4629">
        <v>-0.40805853236146</v>
      </c>
      <c r="AG4629">
        <v>-1.120653782624</v>
      </c>
      <c r="AH4629">
        <v>25.300457056592599</v>
      </c>
      <c r="AI4629">
        <v>92.535861573437103</v>
      </c>
      <c r="AJ4629">
        <v>90.924015115245496</v>
      </c>
      <c r="AK4629">
        <v>25.328551161462698</v>
      </c>
      <c r="AL4629">
        <v>78.897399897823803</v>
      </c>
      <c r="AM4629">
        <v>89.548717559698005</v>
      </c>
      <c r="AN4629">
        <v>1.0000000118079799</v>
      </c>
    </row>
    <row r="4630" spans="1:40" x14ac:dyDescent="0.25">
      <c r="A4630" t="str">
        <f>"20190303171109484"</f>
        <v>20190303171109484</v>
      </c>
      <c r="B4630" t="str">
        <f>"1551604269475629"</f>
        <v>1551604269475629</v>
      </c>
      <c r="C4630" t="s">
        <v>40</v>
      </c>
      <c r="D4630">
        <v>5.131589</v>
      </c>
      <c r="E4630">
        <v>0.49386570000000002</v>
      </c>
      <c r="F4630" t="s">
        <v>97</v>
      </c>
      <c r="G4630">
        <v>-362.4117</v>
      </c>
      <c r="H4630" s="1">
        <v>-4.1845280000000003E-6</v>
      </c>
      <c r="I4630">
        <v>16.250440000000001</v>
      </c>
      <c r="J4630">
        <v>-388.44209999999998</v>
      </c>
      <c r="K4630">
        <v>1.1206020000000001</v>
      </c>
      <c r="L4630">
        <v>17.184479999999901</v>
      </c>
      <c r="M4630">
        <v>0.99864679999999995</v>
      </c>
      <c r="N4630">
        <v>-1.077797E-2</v>
      </c>
      <c r="O4630">
        <v>-5.0876860000000003E-2</v>
      </c>
      <c r="P4630">
        <v>0.98155740000000002</v>
      </c>
      <c r="Q4630">
        <v>0.18213650000000001</v>
      </c>
      <c r="R4630">
        <v>-5.8063669999999998E-2</v>
      </c>
      <c r="S4630">
        <v>3.074036</v>
      </c>
      <c r="T4630">
        <v>-0.1316705</v>
      </c>
      <c r="U4630">
        <v>-0.1105652</v>
      </c>
      <c r="V4630">
        <v>8.2375480000000008E-3</v>
      </c>
      <c r="W4630">
        <v>0.19271479999999999</v>
      </c>
      <c r="X4630">
        <v>0.98122019999999999</v>
      </c>
      <c r="Y4630">
        <v>-1.490617E-2</v>
      </c>
      <c r="Z4630">
        <v>2.027399E-3</v>
      </c>
      <c r="AA4630">
        <v>0.99988690000000002</v>
      </c>
      <c r="AB4630">
        <v>24</v>
      </c>
      <c r="AC4630">
        <v>26.030399999999901</v>
      </c>
      <c r="AD4630">
        <v>-1.120606184528</v>
      </c>
      <c r="AE4630">
        <v>-0.93403999999999598</v>
      </c>
      <c r="AF4630">
        <v>-0.390868232474963</v>
      </c>
      <c r="AG4630">
        <v>-1.120606184528</v>
      </c>
      <c r="AH4630">
        <v>25.996092325313001</v>
      </c>
      <c r="AI4630">
        <v>92.468026213953607</v>
      </c>
      <c r="AJ4630">
        <v>90.861414569105406</v>
      </c>
      <c r="AK4630">
        <v>26.023169529904699</v>
      </c>
      <c r="AL4630">
        <v>78.888740228194493</v>
      </c>
      <c r="AM4630">
        <v>89.519001294333705</v>
      </c>
      <c r="AN4630">
        <v>0.99999996611206499</v>
      </c>
    </row>
    <row r="4631" spans="1:40" x14ac:dyDescent="0.25">
      <c r="A4631" t="str">
        <f>"20190303171109496"</f>
        <v>20190303171109496</v>
      </c>
      <c r="B4631" t="str">
        <f>"1551604269485389"</f>
        <v>1551604269485389</v>
      </c>
      <c r="C4631" t="s">
        <v>40</v>
      </c>
      <c r="D4631">
        <v>5.1876259999999998</v>
      </c>
      <c r="E4631">
        <v>0.49394830000000001</v>
      </c>
      <c r="F4631" t="s">
        <v>97</v>
      </c>
      <c r="G4631">
        <v>-361.91410000000002</v>
      </c>
      <c r="H4631" s="1">
        <v>-4.428068E-6</v>
      </c>
      <c r="I4631">
        <v>16.20365</v>
      </c>
      <c r="J4631">
        <v>-388.31889999999999</v>
      </c>
      <c r="K4631">
        <v>1.120563</v>
      </c>
      <c r="L4631">
        <v>17.17801</v>
      </c>
      <c r="M4631">
        <v>0.99863489999999999</v>
      </c>
      <c r="N4631">
        <v>-1.0638989999999999E-2</v>
      </c>
      <c r="O4631">
        <v>-5.1140640000000001E-2</v>
      </c>
      <c r="P4631">
        <v>0.98148040000000003</v>
      </c>
      <c r="Q4631">
        <v>0.18234500000000001</v>
      </c>
      <c r="R4631">
        <v>-5.8712159999999999E-2</v>
      </c>
      <c r="S4631">
        <v>3.0737610000000002</v>
      </c>
      <c r="T4631">
        <v>-0.1298426</v>
      </c>
      <c r="U4631">
        <v>-0.113647499999999</v>
      </c>
      <c r="V4631">
        <v>8.6388319999999904E-3</v>
      </c>
      <c r="W4631">
        <v>0.19278590000000001</v>
      </c>
      <c r="X4631">
        <v>0.98120280000000004</v>
      </c>
      <c r="Y4631">
        <v>-1.4167549999999999E-2</v>
      </c>
      <c r="Z4631">
        <v>1.9877739999999999E-3</v>
      </c>
      <c r="AA4631">
        <v>0.9998977</v>
      </c>
      <c r="AB4631">
        <v>24</v>
      </c>
      <c r="AC4631">
        <v>26.404799999999899</v>
      </c>
      <c r="AD4631">
        <v>-1.120567428068</v>
      </c>
      <c r="AE4631">
        <v>-0.97436</v>
      </c>
      <c r="AF4631">
        <v>-0.37667232645208099</v>
      </c>
      <c r="AG4631">
        <v>-1.120567428068</v>
      </c>
      <c r="AH4631">
        <v>26.372644436767398</v>
      </c>
      <c r="AI4631">
        <v>92.432772830120797</v>
      </c>
      <c r="AJ4631">
        <v>90.818282264889504</v>
      </c>
      <c r="AK4631">
        <v>26.399127409642201</v>
      </c>
      <c r="AL4631">
        <v>78.884588844869697</v>
      </c>
      <c r="AM4631">
        <v>89.495562156207995</v>
      </c>
      <c r="AN4631">
        <v>0.99999998369248699</v>
      </c>
    </row>
    <row r="4632" spans="1:40" x14ac:dyDescent="0.25">
      <c r="A4632" t="str">
        <f>"20190303171109509"</f>
        <v>20190303171109509</v>
      </c>
      <c r="B4632" t="str">
        <f>"1551604269504910"</f>
        <v>1551604269504910</v>
      </c>
      <c r="C4632" t="s">
        <v>40</v>
      </c>
      <c r="D4632">
        <v>5.1887030000000003</v>
      </c>
      <c r="E4632">
        <v>0.49414639999999999</v>
      </c>
      <c r="F4632" t="s">
        <v>97</v>
      </c>
      <c r="G4632">
        <v>-361.56400000000002</v>
      </c>
      <c r="H4632" s="1">
        <v>-4.5993740000000001E-6</v>
      </c>
      <c r="I4632">
        <v>16.170679999999901</v>
      </c>
      <c r="J4632">
        <v>-388.17520000000002</v>
      </c>
      <c r="K4632">
        <v>1.12053</v>
      </c>
      <c r="L4632">
        <v>17.17032</v>
      </c>
      <c r="M4632">
        <v>0.99862030000000002</v>
      </c>
      <c r="N4632">
        <v>-1.046912E-2</v>
      </c>
      <c r="O4632">
        <v>-5.145856E-2</v>
      </c>
      <c r="P4632">
        <v>0.98148639999999998</v>
      </c>
      <c r="Q4632">
        <v>0.1821612</v>
      </c>
      <c r="R4632">
        <v>-5.9176979999999997E-2</v>
      </c>
      <c r="S4632">
        <v>3.0736080000000001</v>
      </c>
      <c r="T4632">
        <v>-0.12873109999999999</v>
      </c>
      <c r="U4632">
        <v>-0.115722699999999</v>
      </c>
      <c r="V4632">
        <v>8.7927669999999999E-3</v>
      </c>
      <c r="W4632">
        <v>0.19243589999999999</v>
      </c>
      <c r="X4632">
        <v>0.98127010000000003</v>
      </c>
      <c r="Y4632">
        <v>-1.3810630000000001E-2</v>
      </c>
      <c r="Z4632">
        <v>1.974946E-3</v>
      </c>
      <c r="AA4632">
        <v>0.99990270000000003</v>
      </c>
      <c r="AB4632">
        <v>24</v>
      </c>
      <c r="AC4632">
        <v>26.6112</v>
      </c>
      <c r="AD4632">
        <v>-1.1205345993739999</v>
      </c>
      <c r="AE4632">
        <v>-0.99964000000000297</v>
      </c>
      <c r="AF4632">
        <v>-0.370477607038874</v>
      </c>
      <c r="AG4632">
        <v>-1.1205345993739999</v>
      </c>
      <c r="AH4632">
        <v>26.580320726761698</v>
      </c>
      <c r="AI4632">
        <v>92.413728848103005</v>
      </c>
      <c r="AJ4632">
        <v>90.798539231182204</v>
      </c>
      <c r="AK4632">
        <v>26.606508628214101</v>
      </c>
      <c r="AL4632">
        <v>78.905024638898098</v>
      </c>
      <c r="AM4632">
        <v>89.486609286735401</v>
      </c>
      <c r="AN4632">
        <v>0.99999994875716602</v>
      </c>
    </row>
    <row r="4633" spans="1:40" x14ac:dyDescent="0.25">
      <c r="A4633" t="str">
        <f>"20190303171109527"</f>
        <v>20190303171109527</v>
      </c>
      <c r="B4633" t="str">
        <f>"1551604269515645"</f>
        <v>1551604269515645</v>
      </c>
      <c r="C4633" t="s">
        <v>40</v>
      </c>
      <c r="D4633">
        <v>5.1292200000000001</v>
      </c>
      <c r="E4633">
        <v>0.49424170000000001</v>
      </c>
      <c r="F4633" t="s">
        <v>97</v>
      </c>
      <c r="G4633">
        <v>-361.42660000000001</v>
      </c>
      <c r="H4633" s="1">
        <v>-4.6699500000000001E-6</v>
      </c>
      <c r="I4633">
        <v>16.138960000000001</v>
      </c>
      <c r="J4633">
        <v>-387.98520000000002</v>
      </c>
      <c r="K4633">
        <v>1.120492</v>
      </c>
      <c r="L4633">
        <v>17.160129999999999</v>
      </c>
      <c r="M4633">
        <v>0.99860099999999996</v>
      </c>
      <c r="N4633">
        <v>-1.024271E-2</v>
      </c>
      <c r="O4633">
        <v>-5.1877779999999998E-2</v>
      </c>
      <c r="P4633">
        <v>0.98170380000000002</v>
      </c>
      <c r="Q4633">
        <v>0.1810176</v>
      </c>
      <c r="R4633">
        <v>-5.9081300000000003E-2</v>
      </c>
      <c r="S4633">
        <v>3.073334</v>
      </c>
      <c r="T4633">
        <v>-0.12874639999999901</v>
      </c>
      <c r="U4633">
        <v>-0.1184998</v>
      </c>
      <c r="V4633">
        <v>8.2722159999999902E-3</v>
      </c>
      <c r="W4633">
        <v>0.19107270000000001</v>
      </c>
      <c r="X4633">
        <v>0.981541</v>
      </c>
      <c r="Y4633">
        <v>-1.332469E-2</v>
      </c>
      <c r="Z4633">
        <v>1.986055E-3</v>
      </c>
      <c r="AA4633">
        <v>0.99990919999999905</v>
      </c>
      <c r="AB4633">
        <v>24</v>
      </c>
      <c r="AC4633">
        <v>26.558599999999998</v>
      </c>
      <c r="AD4633">
        <v>-1.1204966699500001</v>
      </c>
      <c r="AE4633">
        <v>-1.0211699999999899</v>
      </c>
      <c r="AF4633">
        <v>-0.35744328125133601</v>
      </c>
      <c r="AG4633">
        <v>-1.1204966699500001</v>
      </c>
      <c r="AH4633">
        <v>26.528662036086399</v>
      </c>
      <c r="AI4633">
        <v>92.418357074604501</v>
      </c>
      <c r="AJ4633">
        <v>90.771948174147497</v>
      </c>
      <c r="AK4633">
        <v>26.5547206332805</v>
      </c>
      <c r="AL4633">
        <v>78.984607312942202</v>
      </c>
      <c r="AM4633">
        <v>89.517134951041001</v>
      </c>
      <c r="AN4633">
        <v>0.99999997046191902</v>
      </c>
    </row>
    <row r="4634" spans="1:40" x14ac:dyDescent="0.25">
      <c r="A4634" t="str">
        <f>"20190303171109540"</f>
        <v>20190303171109540</v>
      </c>
      <c r="B4634" t="str">
        <f>"1551604269535165"</f>
        <v>1551604269535165</v>
      </c>
      <c r="C4634" t="s">
        <v>40</v>
      </c>
      <c r="D4634">
        <v>5.1793149999999999</v>
      </c>
      <c r="E4634">
        <v>0.49448690000000001</v>
      </c>
      <c r="F4634" t="s">
        <v>97</v>
      </c>
      <c r="G4634">
        <v>-361.81400000000002</v>
      </c>
      <c r="H4634" s="1">
        <v>-4.4854579999999998E-6</v>
      </c>
      <c r="I4634">
        <v>16.14678</v>
      </c>
      <c r="J4634">
        <v>-387.84750000000003</v>
      </c>
      <c r="K4634">
        <v>1.1204730000000001</v>
      </c>
      <c r="L4634">
        <v>17.152709999999999</v>
      </c>
      <c r="M4634">
        <v>0.998587</v>
      </c>
      <c r="N4634">
        <v>-1.007857E-2</v>
      </c>
      <c r="O4634">
        <v>-5.2178660000000002E-2</v>
      </c>
      <c r="P4634">
        <v>0.9817882</v>
      </c>
      <c r="Q4634">
        <v>0.18055779999999999</v>
      </c>
      <c r="R4634">
        <v>-5.9085279999999997E-2</v>
      </c>
      <c r="S4634">
        <v>3.0730590000000002</v>
      </c>
      <c r="T4634">
        <v>-0.1315701</v>
      </c>
      <c r="U4634">
        <v>-0.118988</v>
      </c>
      <c r="V4634">
        <v>7.9723929999999995E-3</v>
      </c>
      <c r="W4634">
        <v>0.19045290000000001</v>
      </c>
      <c r="X4634">
        <v>0.98166390000000003</v>
      </c>
      <c r="Y4634">
        <v>-1.346115E-2</v>
      </c>
      <c r="Z4634">
        <v>2.0607910000000002E-3</v>
      </c>
      <c r="AA4634">
        <v>0.99990730000000005</v>
      </c>
      <c r="AB4634">
        <v>24</v>
      </c>
      <c r="AC4634">
        <v>26.0335</v>
      </c>
      <c r="AD4634">
        <v>-1.120477485458</v>
      </c>
      <c r="AE4634">
        <v>-1.00592999999999</v>
      </c>
      <c r="AF4634">
        <v>-0.35324907324131499</v>
      </c>
      <c r="AG4634">
        <v>-1.120477485458</v>
      </c>
      <c r="AH4634">
        <v>26.002427624600699</v>
      </c>
      <c r="AI4634">
        <v>92.467193747943398</v>
      </c>
      <c r="AJ4634">
        <v>90.778328712534005</v>
      </c>
      <c r="AK4634">
        <v>26.028954974715401</v>
      </c>
      <c r="AL4634">
        <v>79.020783228180406</v>
      </c>
      <c r="AM4634">
        <v>89.5346936671327</v>
      </c>
      <c r="AN4634">
        <v>0.99999993936588105</v>
      </c>
    </row>
    <row r="4635" spans="1:40" x14ac:dyDescent="0.25">
      <c r="A4635" t="str">
        <f>"20190303171109552"</f>
        <v>20190303171109552</v>
      </c>
      <c r="B4635" t="str">
        <f>"1551604269544925"</f>
        <v>1551604269544925</v>
      </c>
      <c r="C4635" t="s">
        <v>40</v>
      </c>
      <c r="D4635">
        <v>5.317253</v>
      </c>
      <c r="E4635">
        <v>0.49448690000000001</v>
      </c>
      <c r="F4635" t="s">
        <v>97</v>
      </c>
      <c r="G4635">
        <v>-361.86099999999999</v>
      </c>
      <c r="H4635" s="1">
        <v>-4.4663279999999998E-6</v>
      </c>
      <c r="I4635">
        <v>16.129370000000002</v>
      </c>
      <c r="J4635">
        <v>-387.69819999999999</v>
      </c>
      <c r="K4635">
        <v>1.120455</v>
      </c>
      <c r="L4635">
        <v>17.144559999999998</v>
      </c>
      <c r="M4635">
        <v>0.99857209999999996</v>
      </c>
      <c r="N4635">
        <v>-9.9033690000000004E-3</v>
      </c>
      <c r="O4635">
        <v>-5.2497189999999999E-2</v>
      </c>
      <c r="P4635">
        <v>0.9818578</v>
      </c>
      <c r="Q4635">
        <v>0.18024850000000001</v>
      </c>
      <c r="R4635">
        <v>-5.8873200000000001E-2</v>
      </c>
      <c r="S4635">
        <v>3.0727229999999999</v>
      </c>
      <c r="T4635">
        <v>-0.13248859999999901</v>
      </c>
      <c r="U4635">
        <v>-0.1210022</v>
      </c>
      <c r="V4635">
        <v>7.4377899999999997E-3</v>
      </c>
      <c r="W4635">
        <v>0.18997310000000001</v>
      </c>
      <c r="X4635">
        <v>0.98176110000000005</v>
      </c>
      <c r="Y4635">
        <v>-1.312059E-2</v>
      </c>
      <c r="Z4635">
        <v>2.0880830000000001E-3</v>
      </c>
      <c r="AA4635">
        <v>0.99991169999999996</v>
      </c>
      <c r="AB4635">
        <v>24</v>
      </c>
      <c r="AC4635">
        <v>25.837199999999999</v>
      </c>
      <c r="AD4635">
        <v>-1.1204594663280001</v>
      </c>
      <c r="AE4635">
        <v>-1.01519</v>
      </c>
      <c r="AF4635">
        <v>-0.34201453621246802</v>
      </c>
      <c r="AG4635">
        <v>-1.1204594663280001</v>
      </c>
      <c r="AH4635">
        <v>25.806408819944199</v>
      </c>
      <c r="AI4635">
        <v>92.485881628875802</v>
      </c>
      <c r="AJ4635">
        <v>90.759301397066295</v>
      </c>
      <c r="AK4635">
        <v>25.832985494146001</v>
      </c>
      <c r="AL4635">
        <v>79.048785410890702</v>
      </c>
      <c r="AM4635">
        <v>89.565937351653403</v>
      </c>
      <c r="AN4635">
        <v>0.99999997845845101</v>
      </c>
    </row>
    <row r="4636" spans="1:40" x14ac:dyDescent="0.25">
      <c r="A4636" t="str">
        <f>"20190303171109565"</f>
        <v>20190303171109565</v>
      </c>
      <c r="B4636" t="str">
        <f>"1551604269555661"</f>
        <v>1551604269555661</v>
      </c>
      <c r="C4636" t="s">
        <v>40</v>
      </c>
      <c r="D4636">
        <v>5.1090809999999998</v>
      </c>
      <c r="E4636">
        <v>0.51527820000000002</v>
      </c>
      <c r="F4636" t="s">
        <v>97</v>
      </c>
      <c r="G4636">
        <v>-361.89609999999999</v>
      </c>
      <c r="H4636" s="1">
        <v>-4.4487240000000001E-6</v>
      </c>
      <c r="I4636">
        <v>16.135159999999999</v>
      </c>
      <c r="J4636">
        <v>-387.56380000000001</v>
      </c>
      <c r="K4636">
        <v>1.120449</v>
      </c>
      <c r="L4636">
        <v>17.13721</v>
      </c>
      <c r="M4636">
        <v>0.99855910000000003</v>
      </c>
      <c r="N4636">
        <v>-9.7490230000000008E-3</v>
      </c>
      <c r="O4636">
        <v>-5.2774349999999998E-2</v>
      </c>
      <c r="P4636">
        <v>0.98185219999999995</v>
      </c>
      <c r="Q4636">
        <v>0.18012410000000001</v>
      </c>
      <c r="R4636">
        <v>-5.9345849999999999E-2</v>
      </c>
      <c r="S4636">
        <v>3.0727540000000002</v>
      </c>
      <c r="T4636">
        <v>-0.13343469999999999</v>
      </c>
      <c r="U4636">
        <v>-0.1202087</v>
      </c>
      <c r="V4636">
        <v>7.6317340000000003E-3</v>
      </c>
      <c r="W4636">
        <v>0.18969739999999999</v>
      </c>
      <c r="X4636">
        <v>0.98181300000000005</v>
      </c>
      <c r="Y4636">
        <v>-1.365451E-2</v>
      </c>
      <c r="Z4636">
        <v>2.1367959999999998E-3</v>
      </c>
      <c r="AA4636">
        <v>0.99990449999999997</v>
      </c>
      <c r="AB4636">
        <v>24</v>
      </c>
      <c r="AC4636">
        <v>25.6677</v>
      </c>
      <c r="AD4636">
        <v>-1.1204534487240001</v>
      </c>
      <c r="AE4636">
        <v>-1.0020500000000001</v>
      </c>
      <c r="AF4636">
        <v>-0.35333451905179097</v>
      </c>
      <c r="AG4636">
        <v>-1.1204534487240001</v>
      </c>
      <c r="AH4636">
        <v>25.636037095394698</v>
      </c>
      <c r="AI4636">
        <v>92.502350032924497</v>
      </c>
      <c r="AJ4636">
        <v>90.789642129863395</v>
      </c>
      <c r="AK4636">
        <v>25.662943306829799</v>
      </c>
      <c r="AL4636">
        <v>79.064875289815404</v>
      </c>
      <c r="AM4636">
        <v>89.554642949136095</v>
      </c>
      <c r="AN4636">
        <v>1.0000000569498</v>
      </c>
    </row>
    <row r="4637" spans="1:40" x14ac:dyDescent="0.25">
      <c r="A4637" t="str">
        <f>"20190303171109584"</f>
        <v>20190303171109584</v>
      </c>
      <c r="B4637" t="str">
        <f>"1551604269575181"</f>
        <v>1551604269575181</v>
      </c>
      <c r="C4637" t="s">
        <v>40</v>
      </c>
      <c r="D4637">
        <v>5.0459430000000003</v>
      </c>
      <c r="E4637">
        <v>0.53378930000000002</v>
      </c>
      <c r="F4637" t="s">
        <v>43</v>
      </c>
      <c r="G4637">
        <v>-386.70030000000003</v>
      </c>
      <c r="H4637">
        <v>1.0531969999999999</v>
      </c>
      <c r="I4637">
        <v>17.057079999999999</v>
      </c>
      <c r="J4637">
        <v>-387.35410000000002</v>
      </c>
      <c r="K4637">
        <v>1.1204369999999999</v>
      </c>
      <c r="L4637">
        <v>17.12567</v>
      </c>
      <c r="M4637">
        <v>0.99853910000000001</v>
      </c>
      <c r="N4637">
        <v>-9.5104760000000003E-3</v>
      </c>
      <c r="O4637">
        <v>-5.3191929999999998E-2</v>
      </c>
      <c r="P4637">
        <v>0.98183469999999995</v>
      </c>
      <c r="Q4637">
        <v>0.18012359999999999</v>
      </c>
      <c r="R4637">
        <v>-5.9635019999999997E-2</v>
      </c>
      <c r="S4637">
        <v>3.0822750000000001</v>
      </c>
      <c r="T4637">
        <v>-0.24007339999999999</v>
      </c>
      <c r="U4637">
        <v>-0.28488160000000001</v>
      </c>
      <c r="V4637">
        <v>7.5016500000000003E-3</v>
      </c>
      <c r="W4637">
        <v>0.1894633</v>
      </c>
      <c r="X4637">
        <v>0.98185909999999998</v>
      </c>
      <c r="Y4637">
        <v>3.8926250000000003E-2</v>
      </c>
      <c r="Z4637">
        <v>1.9231140000000001E-3</v>
      </c>
      <c r="AA4637">
        <v>0.99924020000000002</v>
      </c>
      <c r="AB4637">
        <v>25</v>
      </c>
      <c r="AC4637">
        <v>0.65379999999998895</v>
      </c>
      <c r="AD4637">
        <v>-6.7240000000000105E-2</v>
      </c>
      <c r="AE4637">
        <v>-6.8590000000000304E-2</v>
      </c>
      <c r="AF4637">
        <v>3.3365368851346298E-2</v>
      </c>
      <c r="AG4637">
        <v>-6.7240000000000105E-2</v>
      </c>
      <c r="AH4637">
        <v>0.64972555220677597</v>
      </c>
      <c r="AI4637">
        <v>95.900777438221894</v>
      </c>
      <c r="AJ4637">
        <v>87.060271063190498</v>
      </c>
      <c r="AK4637">
        <v>0.65404721437292801</v>
      </c>
      <c r="AL4637">
        <v>79.078534832143703</v>
      </c>
      <c r="AM4637">
        <v>89.562254379005097</v>
      </c>
      <c r="AN4637">
        <v>0.99999995452621004</v>
      </c>
    </row>
    <row r="4638" spans="1:40" x14ac:dyDescent="0.25">
      <c r="A4638" t="str">
        <f>"20190303171109595"</f>
        <v>20190303171109595</v>
      </c>
      <c r="B4638" t="str">
        <f>"1551604269585917"</f>
        <v>1551604269585917</v>
      </c>
      <c r="C4638" t="s">
        <v>40</v>
      </c>
      <c r="D4638">
        <v>5.0250399999999997</v>
      </c>
      <c r="E4638">
        <v>0.54017689999999996</v>
      </c>
      <c r="F4638" t="s">
        <v>43</v>
      </c>
      <c r="G4638">
        <v>-386.51</v>
      </c>
      <c r="H4638">
        <v>1.020589</v>
      </c>
      <c r="I4638">
        <v>17.008229999999902</v>
      </c>
      <c r="J4638">
        <v>-387.22250000000003</v>
      </c>
      <c r="K4638">
        <v>1.120428</v>
      </c>
      <c r="L4638">
        <v>17.118379999999998</v>
      </c>
      <c r="M4638">
        <v>0.99852700000000005</v>
      </c>
      <c r="N4638">
        <v>-9.3608570000000002E-3</v>
      </c>
      <c r="O4638">
        <v>-5.3446269999999997E-2</v>
      </c>
      <c r="P4638">
        <v>0.98186260000000003</v>
      </c>
      <c r="Q4638">
        <v>0.1798902</v>
      </c>
      <c r="R4638">
        <v>-5.9880469999999998E-2</v>
      </c>
      <c r="S4638">
        <v>3.0966800000000001</v>
      </c>
      <c r="T4638">
        <v>-0.36628080000000002</v>
      </c>
      <c r="U4638">
        <v>-0.42932130000000002</v>
      </c>
      <c r="V4638">
        <v>7.489524E-3</v>
      </c>
      <c r="W4638">
        <v>0.18908349999999999</v>
      </c>
      <c r="X4638">
        <v>0.98193249999999999</v>
      </c>
      <c r="Y4638">
        <v>8.3877259999999995E-2</v>
      </c>
      <c r="Z4638">
        <v>4.4911819999999999E-4</v>
      </c>
      <c r="AA4638">
        <v>0.99647600000000003</v>
      </c>
      <c r="AB4638">
        <v>25</v>
      </c>
      <c r="AC4638">
        <v>0.712500000000034</v>
      </c>
      <c r="AD4638">
        <v>-9.9838999999999997E-2</v>
      </c>
      <c r="AE4638">
        <v>-0.11015</v>
      </c>
      <c r="AF4638">
        <v>7.0557366447363795E-2</v>
      </c>
      <c r="AG4638">
        <v>-9.9838999999999997E-2</v>
      </c>
      <c r="AH4638">
        <v>0.70387101719409595</v>
      </c>
      <c r="AI4638">
        <v>98.033404976911598</v>
      </c>
      <c r="AJ4638">
        <v>84.275684703258804</v>
      </c>
      <c r="AK4638">
        <v>0.71440925016886403</v>
      </c>
      <c r="AL4638">
        <v>79.100697392096805</v>
      </c>
      <c r="AM4638">
        <v>89.562994610557396</v>
      </c>
      <c r="AN4638">
        <v>1.0000000487491201</v>
      </c>
    </row>
    <row r="4639" spans="1:40" x14ac:dyDescent="0.25">
      <c r="A4639" t="str">
        <f>"20190303171109607"</f>
        <v>20190303171109607</v>
      </c>
      <c r="B4639" t="str">
        <f>"1551604269595678"</f>
        <v>1551604269595678</v>
      </c>
      <c r="C4639" t="s">
        <v>40</v>
      </c>
      <c r="D4639">
        <v>5.0697020000000004</v>
      </c>
      <c r="E4639">
        <v>0.54406860000000001</v>
      </c>
      <c r="F4639" t="s">
        <v>43</v>
      </c>
      <c r="G4639">
        <v>-386.50850000000003</v>
      </c>
      <c r="H4639">
        <v>1.023849</v>
      </c>
      <c r="I4639">
        <v>17.00761</v>
      </c>
      <c r="J4639">
        <v>-387.10140000000001</v>
      </c>
      <c r="K4639">
        <v>1.1204190000000001</v>
      </c>
      <c r="L4639">
        <v>17.111660000000001</v>
      </c>
      <c r="M4639">
        <v>0.99851630000000002</v>
      </c>
      <c r="N4639">
        <v>-9.2276649999999995E-3</v>
      </c>
      <c r="O4639">
        <v>-5.3669040000000001E-2</v>
      </c>
      <c r="P4639">
        <v>0.98199860000000005</v>
      </c>
      <c r="Q4639">
        <v>0.1793119</v>
      </c>
      <c r="R4639">
        <v>-5.938351E-2</v>
      </c>
      <c r="S4639">
        <v>3.1030579999999999</v>
      </c>
      <c r="T4639">
        <v>-0.41970180000000001</v>
      </c>
      <c r="U4639">
        <v>-0.47955320000000001</v>
      </c>
      <c r="V4639">
        <v>6.7619219999999897E-3</v>
      </c>
      <c r="W4639">
        <v>0.18837599999999999</v>
      </c>
      <c r="X4639">
        <v>0.98207370000000005</v>
      </c>
      <c r="Y4639">
        <v>9.8940570000000005E-2</v>
      </c>
      <c r="Z4639">
        <v>-4.002624E-4</v>
      </c>
      <c r="AA4639">
        <v>0.99509329999999996</v>
      </c>
      <c r="AB4639">
        <v>25</v>
      </c>
      <c r="AC4639">
        <v>0.59289999999998599</v>
      </c>
      <c r="AD4639">
        <v>-9.6570000000000003E-2</v>
      </c>
      <c r="AE4639">
        <v>-0.10405</v>
      </c>
      <c r="AF4639">
        <v>7.0269811610198907E-2</v>
      </c>
      <c r="AG4639">
        <v>-9.6570000000000003E-2</v>
      </c>
      <c r="AH4639">
        <v>0.58263499241583305</v>
      </c>
      <c r="AI4639">
        <v>99.344535110237402</v>
      </c>
      <c r="AJ4639">
        <v>83.122948764545797</v>
      </c>
      <c r="AK4639">
        <v>0.59474964960992704</v>
      </c>
      <c r="AL4639">
        <v>79.1419753965952</v>
      </c>
      <c r="AM4639">
        <v>89.605504688962895</v>
      </c>
      <c r="AN4639">
        <v>0.99999999659841199</v>
      </c>
    </row>
    <row r="4640" spans="1:40" x14ac:dyDescent="0.25">
      <c r="A4640" t="str">
        <f>"20190303171109622"</f>
        <v>20190303171109622</v>
      </c>
      <c r="B4640" t="str">
        <f>"1551604269615197"</f>
        <v>1551604269615197</v>
      </c>
      <c r="C4640" t="s">
        <v>40</v>
      </c>
      <c r="D4640">
        <v>5.101521</v>
      </c>
      <c r="E4640">
        <v>0.5491587</v>
      </c>
      <c r="F4640" t="s">
        <v>43</v>
      </c>
      <c r="G4640">
        <v>-386.29969999999997</v>
      </c>
      <c r="H4640">
        <v>0.99992979999999998</v>
      </c>
      <c r="I4640">
        <v>16.980399999999999</v>
      </c>
      <c r="J4640">
        <v>-386.94150000000002</v>
      </c>
      <c r="K4640">
        <v>1.1204050000000001</v>
      </c>
      <c r="L4640">
        <v>17.10275</v>
      </c>
      <c r="M4640">
        <v>0.99850209999999995</v>
      </c>
      <c r="N4640">
        <v>-9.0546010000000007E-3</v>
      </c>
      <c r="O4640">
        <v>-5.3959180000000002E-2</v>
      </c>
      <c r="P4640">
        <v>0.9821107</v>
      </c>
      <c r="Q4640">
        <v>0.17883299999999999</v>
      </c>
      <c r="R4640">
        <v>-5.897032E-2</v>
      </c>
      <c r="S4640">
        <v>3.1096189999999999</v>
      </c>
      <c r="T4640">
        <v>-0.46726679999999998</v>
      </c>
      <c r="U4640">
        <v>-0.50778199999999996</v>
      </c>
      <c r="V4640">
        <v>6.0521960000000001E-3</v>
      </c>
      <c r="W4640">
        <v>0.18772929999999999</v>
      </c>
      <c r="X4640">
        <v>0.98220220000000003</v>
      </c>
      <c r="Y4640">
        <v>0.1069483</v>
      </c>
      <c r="Z4640">
        <v>-9.1339459999999998E-4</v>
      </c>
      <c r="AA4640">
        <v>0.99426420000000004</v>
      </c>
      <c r="AB4640">
        <v>25</v>
      </c>
      <c r="AC4640">
        <v>0.641800000000046</v>
      </c>
      <c r="AD4640">
        <v>-0.12047519999999901</v>
      </c>
      <c r="AE4640">
        <v>-0.12235</v>
      </c>
      <c r="AF4640">
        <v>8.4660759945740405E-2</v>
      </c>
      <c r="AG4640">
        <v>-0.12047519999999901</v>
      </c>
      <c r="AH4640">
        <v>0.62617640982606104</v>
      </c>
      <c r="AI4640">
        <v>100.794649763103</v>
      </c>
      <c r="AJ4640">
        <v>82.300144879415797</v>
      </c>
      <c r="AK4640">
        <v>0.64325625866545999</v>
      </c>
      <c r="AL4640">
        <v>79.179702134050402</v>
      </c>
      <c r="AM4640">
        <v>89.646955689002297</v>
      </c>
      <c r="AN4640">
        <v>1.0000000404198699</v>
      </c>
    </row>
    <row r="4641" spans="1:40" x14ac:dyDescent="0.25">
      <c r="A4641" t="str">
        <f>"20190303171109641"</f>
        <v>20190303171109641</v>
      </c>
      <c r="B4641" t="str">
        <f>"1551604269635693"</f>
        <v>1551604269635693</v>
      </c>
      <c r="C4641" t="s">
        <v>40</v>
      </c>
      <c r="D4641">
        <v>5.069534</v>
      </c>
      <c r="E4641">
        <v>0.55220219999999998</v>
      </c>
      <c r="F4641" t="s">
        <v>43</v>
      </c>
      <c r="G4641">
        <v>-386.09039999999999</v>
      </c>
      <c r="H4641">
        <v>0.97530209999999995</v>
      </c>
      <c r="I4641">
        <v>16.95335</v>
      </c>
      <c r="J4641">
        <v>-386.72890000000001</v>
      </c>
      <c r="K4641">
        <v>1.120382</v>
      </c>
      <c r="L4641">
        <v>17.09085</v>
      </c>
      <c r="M4641">
        <v>0.99848389999999998</v>
      </c>
      <c r="N4641">
        <v>-8.8333519999999992E-3</v>
      </c>
      <c r="O4641">
        <v>-5.4333880000000001E-2</v>
      </c>
      <c r="P4641">
        <v>0.98236559999999995</v>
      </c>
      <c r="Q4641">
        <v>0.17772689999999999</v>
      </c>
      <c r="R4641">
        <v>-5.8062170000000003E-2</v>
      </c>
      <c r="S4641">
        <v>3.118652</v>
      </c>
      <c r="T4641">
        <v>-0.53165220000000002</v>
      </c>
      <c r="U4641">
        <v>-0.54574579999999995</v>
      </c>
      <c r="V4641">
        <v>4.7561080000000002E-3</v>
      </c>
      <c r="W4641">
        <v>0.18640870000000001</v>
      </c>
      <c r="X4641">
        <v>0.98246080000000002</v>
      </c>
      <c r="Y4641">
        <v>0.1175486</v>
      </c>
      <c r="Z4641">
        <v>-1.7609030000000001E-3</v>
      </c>
      <c r="AA4641">
        <v>0.99306550000000005</v>
      </c>
      <c r="AB4641">
        <v>25</v>
      </c>
      <c r="AC4641">
        <v>0.63850000000002105</v>
      </c>
      <c r="AD4641">
        <v>-0.14507989999999901</v>
      </c>
      <c r="AE4641">
        <v>-0.13749999999999901</v>
      </c>
      <c r="AF4641">
        <v>9.7778863598511095E-2</v>
      </c>
      <c r="AG4641">
        <v>-0.14507989999999901</v>
      </c>
      <c r="AH4641">
        <v>0.61469830084972399</v>
      </c>
      <c r="AI4641">
        <v>103.12066981456</v>
      </c>
      <c r="AJ4641">
        <v>80.961794277569894</v>
      </c>
      <c r="AK4641">
        <v>0.63911101118519698</v>
      </c>
      <c r="AL4641">
        <v>79.256726494039398</v>
      </c>
      <c r="AM4641">
        <v>89.7226324077443</v>
      </c>
      <c r="AN4641">
        <v>1.0000000237678099</v>
      </c>
    </row>
    <row r="4642" spans="1:40" x14ac:dyDescent="0.25">
      <c r="A4642" t="str">
        <f>"20190303171109663"</f>
        <v>20190303171109663</v>
      </c>
      <c r="B4642" t="str">
        <f>"1551604269655213"</f>
        <v>1551604269655213</v>
      </c>
      <c r="C4642" t="s">
        <v>40</v>
      </c>
      <c r="D4642">
        <v>5.0430359999999999</v>
      </c>
      <c r="E4642">
        <v>0.55422340000000003</v>
      </c>
      <c r="F4642" t="s">
        <v>43</v>
      </c>
      <c r="G4642">
        <v>-385.87329999999997</v>
      </c>
      <c r="H4642">
        <v>0.96386289999999997</v>
      </c>
      <c r="I4642">
        <v>16.935359999999999</v>
      </c>
      <c r="J4642">
        <v>-386.47859999999997</v>
      </c>
      <c r="K4642">
        <v>1.1203669999999999</v>
      </c>
      <c r="L4642">
        <v>17.076689999999999</v>
      </c>
      <c r="M4642">
        <v>0.99846230000000002</v>
      </c>
      <c r="N4642">
        <v>-8.5892039999999996E-3</v>
      </c>
      <c r="O4642">
        <v>-5.4766200000000001E-2</v>
      </c>
      <c r="P4642">
        <v>0.98236040000000002</v>
      </c>
      <c r="Q4642">
        <v>0.1775803</v>
      </c>
      <c r="R4642">
        <v>-5.8595359999999999E-2</v>
      </c>
      <c r="S4642">
        <v>3.1237490000000001</v>
      </c>
      <c r="T4642">
        <v>-0.57145630000000003</v>
      </c>
      <c r="U4642">
        <v>-0.56744380000000005</v>
      </c>
      <c r="V4642">
        <v>4.8576879999999998E-3</v>
      </c>
      <c r="W4642">
        <v>0.18602270000000001</v>
      </c>
      <c r="X4642">
        <v>0.98253349999999995</v>
      </c>
      <c r="Y4642">
        <v>0.1232984</v>
      </c>
      <c r="Z4642">
        <v>-2.2567059999999998E-3</v>
      </c>
      <c r="AA4642">
        <v>0.99236709999999995</v>
      </c>
      <c r="AB4642">
        <v>25</v>
      </c>
      <c r="AC4642">
        <v>0.60529999999999895</v>
      </c>
      <c r="AD4642">
        <v>-0.15650410000000001</v>
      </c>
      <c r="AE4642">
        <v>-0.14132999999999901</v>
      </c>
      <c r="AF4642">
        <v>0.101530145289462</v>
      </c>
      <c r="AG4642">
        <v>-0.15650410000000001</v>
      </c>
      <c r="AH4642">
        <v>0.575639107263339</v>
      </c>
      <c r="AI4642">
        <v>104.989140454506</v>
      </c>
      <c r="AJ4642">
        <v>79.997158142458602</v>
      </c>
      <c r="AK4642">
        <v>0.605113448479079</v>
      </c>
      <c r="AL4642">
        <v>79.279236784305994</v>
      </c>
      <c r="AM4642">
        <v>89.716729502991001</v>
      </c>
      <c r="AN4642">
        <v>1.00000006033512</v>
      </c>
    </row>
    <row r="4643" spans="1:40" x14ac:dyDescent="0.25">
      <c r="A4643" t="str">
        <f>"20190303171109685"</f>
        <v>20190303171109685</v>
      </c>
      <c r="B4643" t="str">
        <f>"1551604269675709"</f>
        <v>1551604269675709</v>
      </c>
      <c r="C4643" t="s">
        <v>40</v>
      </c>
      <c r="D4643">
        <v>5.0679860000000003</v>
      </c>
      <c r="E4643">
        <v>0.55586559999999996</v>
      </c>
      <c r="F4643" t="s">
        <v>43</v>
      </c>
      <c r="G4643">
        <v>-385.65050000000002</v>
      </c>
      <c r="H4643">
        <v>0.96253869999999997</v>
      </c>
      <c r="I4643">
        <v>16.921810000000001</v>
      </c>
      <c r="J4643">
        <v>-386.2346</v>
      </c>
      <c r="K4643">
        <v>1.1203609999999999</v>
      </c>
      <c r="L4643">
        <v>17.062839999999898</v>
      </c>
      <c r="M4643">
        <v>0.99844120000000003</v>
      </c>
      <c r="N4643">
        <v>-8.3730209999999996E-3</v>
      </c>
      <c r="O4643">
        <v>-5.5184770000000001E-2</v>
      </c>
      <c r="P4643">
        <v>0.98216740000000002</v>
      </c>
      <c r="Q4643">
        <v>0.1782388</v>
      </c>
      <c r="R4643">
        <v>-5.9823330000000001E-2</v>
      </c>
      <c r="S4643">
        <v>3.1268009999999999</v>
      </c>
      <c r="T4643">
        <v>-0.59580829999999996</v>
      </c>
      <c r="U4643">
        <v>-0.58291630000000005</v>
      </c>
      <c r="V4643">
        <v>5.6787510000000001E-3</v>
      </c>
      <c r="W4643">
        <v>0.18646689999999999</v>
      </c>
      <c r="X4643">
        <v>0.98244480000000001</v>
      </c>
      <c r="Y4643">
        <v>0.1273011</v>
      </c>
      <c r="Z4643">
        <v>-2.5998610000000002E-3</v>
      </c>
      <c r="AA4643">
        <v>0.99186070000000004</v>
      </c>
      <c r="AB4643">
        <v>25</v>
      </c>
      <c r="AC4643">
        <v>0.58409999999997797</v>
      </c>
      <c r="AD4643">
        <v>-0.1578223</v>
      </c>
      <c r="AE4643">
        <v>-0.14102999999999699</v>
      </c>
      <c r="AF4643">
        <v>0.10157348240523301</v>
      </c>
      <c r="AG4643">
        <v>-0.1578223</v>
      </c>
      <c r="AH4643">
        <v>0.55285419910342104</v>
      </c>
      <c r="AI4643">
        <v>105.683087537555</v>
      </c>
      <c r="AJ4643">
        <v>79.589398026920307</v>
      </c>
      <c r="AK4643">
        <v>0.58384314346535005</v>
      </c>
      <c r="AL4643">
        <v>79.253331774509107</v>
      </c>
      <c r="AM4643">
        <v>89.668821249141999</v>
      </c>
      <c r="AN4643">
        <v>0.99999996902778399</v>
      </c>
    </row>
    <row r="4644" spans="1:40" x14ac:dyDescent="0.25">
      <c r="A4644" t="str">
        <f>"20190303171109698"</f>
        <v>20190303171109698</v>
      </c>
      <c r="B4644" t="str">
        <f>"1551604269685470"</f>
        <v>1551604269685470</v>
      </c>
      <c r="C4644" t="s">
        <v>40</v>
      </c>
      <c r="D4644">
        <v>5.0675650000000001</v>
      </c>
      <c r="E4644">
        <v>0.55640529999999999</v>
      </c>
      <c r="F4644" t="s">
        <v>43</v>
      </c>
      <c r="G4644">
        <v>-385.42630000000003</v>
      </c>
      <c r="H4644">
        <v>0.96227470000000004</v>
      </c>
      <c r="I4644">
        <v>16.908439999999999</v>
      </c>
      <c r="J4644">
        <v>-386.09089999999998</v>
      </c>
      <c r="K4644">
        <v>1.1203540000000001</v>
      </c>
      <c r="L4644">
        <v>17.05463</v>
      </c>
      <c r="M4644">
        <v>0.99842839999999999</v>
      </c>
      <c r="N4644">
        <v>-8.2542929999999994E-3</v>
      </c>
      <c r="O4644">
        <v>-5.5431569999999999E-2</v>
      </c>
      <c r="P4644">
        <v>0.98218320000000003</v>
      </c>
      <c r="Q4644">
        <v>0.17799679999999901</v>
      </c>
      <c r="R4644">
        <v>-6.0275639999999998E-2</v>
      </c>
      <c r="S4644">
        <v>3.1291500000000001</v>
      </c>
      <c r="T4644">
        <v>-0.6120582</v>
      </c>
      <c r="U4644">
        <v>-0.59713749999999999</v>
      </c>
      <c r="V4644">
        <v>5.8846710000000002E-3</v>
      </c>
      <c r="W4644">
        <v>0.18610850000000001</v>
      </c>
      <c r="X4644">
        <v>0.98251160000000004</v>
      </c>
      <c r="Y4644">
        <v>0.13113749999999999</v>
      </c>
      <c r="Z4644">
        <v>-2.9665099999999999E-3</v>
      </c>
      <c r="AA4644">
        <v>0.99135980000000001</v>
      </c>
      <c r="AB4644">
        <v>25</v>
      </c>
      <c r="AC4644">
        <v>0.66459999999995001</v>
      </c>
      <c r="AD4644">
        <v>-0.15807930000000001</v>
      </c>
      <c r="AE4644">
        <v>-0.14618999999999999</v>
      </c>
      <c r="AF4644">
        <v>0.103536825002288</v>
      </c>
      <c r="AG4644">
        <v>-0.15807930000000001</v>
      </c>
      <c r="AH4644">
        <v>0.63729082114515101</v>
      </c>
      <c r="AI4644">
        <v>103.757585105385</v>
      </c>
      <c r="AJ4644">
        <v>80.772122558777298</v>
      </c>
      <c r="AK4644">
        <v>0.66471687953286196</v>
      </c>
      <c r="AL4644">
        <v>79.274233036500604</v>
      </c>
      <c r="AM4644">
        <v>89.656835827211196</v>
      </c>
      <c r="AN4644">
        <v>1.0000000236297899</v>
      </c>
    </row>
    <row r="4645" spans="1:40" x14ac:dyDescent="0.25">
      <c r="A4645" t="str">
        <f>"20190303171109715"</f>
        <v>20190303171109715</v>
      </c>
      <c r="B4645" t="str">
        <f>"1551604269704990"</f>
        <v>1551604269704990</v>
      </c>
      <c r="C4645" t="s">
        <v>40</v>
      </c>
      <c r="D4645">
        <v>5.0590580000000003</v>
      </c>
      <c r="E4645">
        <v>0.55736869999999905</v>
      </c>
      <c r="F4645" t="s">
        <v>43</v>
      </c>
      <c r="G4645">
        <v>-385.20940000000002</v>
      </c>
      <c r="H4645">
        <v>0.94574049999999998</v>
      </c>
      <c r="I4645">
        <v>16.884499999999999</v>
      </c>
      <c r="J4645">
        <v>-385.88290000000001</v>
      </c>
      <c r="K4645">
        <v>1.120339</v>
      </c>
      <c r="L4645">
        <v>17.042660000000001</v>
      </c>
      <c r="M4645">
        <v>0.99840969999999996</v>
      </c>
      <c r="N4645">
        <v>-8.0931370000000002E-3</v>
      </c>
      <c r="O4645">
        <v>-5.5789900000000003E-2</v>
      </c>
      <c r="P4645">
        <v>0.98247580000000001</v>
      </c>
      <c r="Q4645">
        <v>0.1764944</v>
      </c>
      <c r="R4645">
        <v>-5.9926590000000002E-2</v>
      </c>
      <c r="S4645">
        <v>3.1298219999999999</v>
      </c>
      <c r="T4645">
        <v>-0.61991260000000004</v>
      </c>
      <c r="U4645">
        <v>-0.602356</v>
      </c>
      <c r="V4645">
        <v>5.1635070000000003E-3</v>
      </c>
      <c r="W4645">
        <v>0.18445110000000001</v>
      </c>
      <c r="X4645">
        <v>0.98282809999999998</v>
      </c>
      <c r="Y4645">
        <v>0.13228790000000001</v>
      </c>
      <c r="Z4645">
        <v>-3.021171E-3</v>
      </c>
      <c r="AA4645">
        <v>0.9912067</v>
      </c>
      <c r="AB4645">
        <v>25</v>
      </c>
      <c r="AC4645">
        <v>0.67349999999999</v>
      </c>
      <c r="AD4645">
        <v>-0.17459849999999899</v>
      </c>
      <c r="AE4645">
        <v>-0.15816000000000199</v>
      </c>
      <c r="AF4645">
        <v>0.113132175244946</v>
      </c>
      <c r="AG4645">
        <v>-0.17459849999999899</v>
      </c>
      <c r="AH4645">
        <v>0.64048073034309105</v>
      </c>
      <c r="AI4645">
        <v>105.026752010905</v>
      </c>
      <c r="AJ4645">
        <v>79.982810124437705</v>
      </c>
      <c r="AK4645">
        <v>0.67342341154634799</v>
      </c>
      <c r="AL4645">
        <v>79.370867678157794</v>
      </c>
      <c r="AM4645">
        <v>89.698986591166104</v>
      </c>
      <c r="AN4645">
        <v>0.99999997212267899</v>
      </c>
    </row>
    <row r="4646" spans="1:40" x14ac:dyDescent="0.25">
      <c r="A4646" t="str">
        <f>"20190303171109727"</f>
        <v>20190303171109727</v>
      </c>
      <c r="B4646" t="str">
        <f>"1551604269715726"</f>
        <v>1551604269715726</v>
      </c>
      <c r="C4646" t="s">
        <v>40</v>
      </c>
      <c r="D4646">
        <v>5.0710980000000001</v>
      </c>
      <c r="E4646">
        <v>0.55774519999999905</v>
      </c>
      <c r="F4646" t="s">
        <v>43</v>
      </c>
      <c r="G4646">
        <v>-385.19229999999999</v>
      </c>
      <c r="H4646">
        <v>0.98000350000000003</v>
      </c>
      <c r="I4646">
        <v>16.90775</v>
      </c>
      <c r="J4646">
        <v>-385.76049999999998</v>
      </c>
      <c r="K4646">
        <v>1.1203259999999999</v>
      </c>
      <c r="L4646">
        <v>17.03558</v>
      </c>
      <c r="M4646">
        <v>0.99839869999999997</v>
      </c>
      <c r="N4646">
        <v>-8.0030889999999997E-3</v>
      </c>
      <c r="O4646">
        <v>-5.6002400000000001E-2</v>
      </c>
      <c r="P4646">
        <v>0.98254129999999995</v>
      </c>
      <c r="Q4646">
        <v>0.17602100000000001</v>
      </c>
      <c r="R4646">
        <v>-6.0247549999999997E-2</v>
      </c>
      <c r="S4646">
        <v>3.1306150000000001</v>
      </c>
      <c r="T4646">
        <v>-0.63610029999999995</v>
      </c>
      <c r="U4646">
        <v>-0.60952759999999995</v>
      </c>
      <c r="V4646">
        <v>5.2696799999999997E-3</v>
      </c>
      <c r="W4646">
        <v>0.1838892</v>
      </c>
      <c r="X4646">
        <v>0.9829329</v>
      </c>
      <c r="Y4646">
        <v>0.13410929999999999</v>
      </c>
      <c r="Z4646">
        <v>-3.209908E-3</v>
      </c>
      <c r="AA4646">
        <v>0.99096139999999999</v>
      </c>
      <c r="AB4646">
        <v>25</v>
      </c>
      <c r="AC4646">
        <v>0.56819999999999005</v>
      </c>
      <c r="AD4646">
        <v>-0.14032249999999899</v>
      </c>
      <c r="AE4646">
        <v>-0.127829999999999</v>
      </c>
      <c r="AF4646">
        <v>9.0551212754744703E-2</v>
      </c>
      <c r="AG4646">
        <v>-0.14032249999999899</v>
      </c>
      <c r="AH4646">
        <v>0.54294856335461095</v>
      </c>
      <c r="AI4646">
        <v>104.30147995457099</v>
      </c>
      <c r="AJ4646">
        <v>80.531539422286698</v>
      </c>
      <c r="AK4646">
        <v>0.56805199461531797</v>
      </c>
      <c r="AL4646">
        <v>79.403623268077197</v>
      </c>
      <c r="AM4646">
        <v>89.692829967625798</v>
      </c>
      <c r="AN4646">
        <v>1.00000004665317</v>
      </c>
    </row>
    <row r="4647" spans="1:40" x14ac:dyDescent="0.25">
      <c r="A4647" t="str">
        <f>"20190303171109739"</f>
        <v>20190303171109739</v>
      </c>
      <c r="B4647" t="str">
        <f>"1551604269725485"</f>
        <v>1551604269725485</v>
      </c>
      <c r="C4647" t="s">
        <v>40</v>
      </c>
      <c r="D4647">
        <v>5.065334</v>
      </c>
      <c r="E4647">
        <v>0.55811429999999995</v>
      </c>
      <c r="F4647" t="s">
        <v>43</v>
      </c>
      <c r="G4647">
        <v>-384.97660000000002</v>
      </c>
      <c r="H4647">
        <v>0.95977129999999999</v>
      </c>
      <c r="I4647">
        <v>16.88156</v>
      </c>
      <c r="J4647">
        <v>-385.62619999999998</v>
      </c>
      <c r="K4647">
        <v>1.1203160000000001</v>
      </c>
      <c r="L4647">
        <v>17.027799999999999</v>
      </c>
      <c r="M4647">
        <v>0.99838640000000001</v>
      </c>
      <c r="N4647">
        <v>-7.9062750000000008E-3</v>
      </c>
      <c r="O4647">
        <v>-5.6235519999999997E-2</v>
      </c>
      <c r="P4647">
        <v>0.98251359999999999</v>
      </c>
      <c r="Q4647">
        <v>0.1759674</v>
      </c>
      <c r="R4647">
        <v>-6.0851860000000001E-2</v>
      </c>
      <c r="S4647">
        <v>3.1305239999999999</v>
      </c>
      <c r="T4647">
        <v>-0.64125699999999997</v>
      </c>
      <c r="U4647">
        <v>-0.61450199999999999</v>
      </c>
      <c r="V4647">
        <v>5.6439869999999996E-3</v>
      </c>
      <c r="W4647">
        <v>0.1837406</v>
      </c>
      <c r="X4647">
        <v>0.98295860000000002</v>
      </c>
      <c r="Y4647">
        <v>0.13535510000000001</v>
      </c>
      <c r="Z4647">
        <v>-3.300814E-3</v>
      </c>
      <c r="AA4647">
        <v>0.99079170000000005</v>
      </c>
      <c r="AB4647">
        <v>25</v>
      </c>
      <c r="AC4647">
        <v>0.64959999999996398</v>
      </c>
      <c r="AD4647">
        <v>-0.16054470000000001</v>
      </c>
      <c r="AE4647">
        <v>-0.14623999999999801</v>
      </c>
      <c r="AF4647">
        <v>0.10346217876368199</v>
      </c>
      <c r="AG4647">
        <v>-0.16054470000000001</v>
      </c>
      <c r="AH4647">
        <v>0.620711724771147</v>
      </c>
      <c r="AI4647">
        <v>104.31234695666799</v>
      </c>
      <c r="AJ4647">
        <v>80.536759501413499</v>
      </c>
      <c r="AK4647">
        <v>0.64943211223421204</v>
      </c>
      <c r="AL4647">
        <v>79.412284894853997</v>
      </c>
      <c r="AM4647">
        <v>89.671020650279502</v>
      </c>
      <c r="AN4647">
        <v>1.0000000359957799</v>
      </c>
    </row>
    <row r="4648" spans="1:40" x14ac:dyDescent="0.25">
      <c r="A4648" t="str">
        <f>"20190303171109751"</f>
        <v>20190303171109751</v>
      </c>
      <c r="B4648" t="str">
        <f>"1551604269745006"</f>
        <v>1551604269745006</v>
      </c>
      <c r="C4648" t="s">
        <v>40</v>
      </c>
      <c r="D4648">
        <v>5.055294</v>
      </c>
      <c r="E4648">
        <v>0.55875109999999995</v>
      </c>
      <c r="F4648" t="s">
        <v>43</v>
      </c>
      <c r="G4648">
        <v>-384.75880000000001</v>
      </c>
      <c r="H4648">
        <v>0.94149340000000004</v>
      </c>
      <c r="I4648">
        <v>16.855640000000001</v>
      </c>
      <c r="J4648">
        <v>-385.47190000000001</v>
      </c>
      <c r="K4648">
        <v>1.1203019999999999</v>
      </c>
      <c r="L4648">
        <v>17.018829999999902</v>
      </c>
      <c r="M4648">
        <v>0.99837200000000004</v>
      </c>
      <c r="N4648">
        <v>-7.8024059999999996E-3</v>
      </c>
      <c r="O4648">
        <v>-5.6504609999999997E-2</v>
      </c>
      <c r="P4648">
        <v>0.98233369999999998</v>
      </c>
      <c r="Q4648">
        <v>0.17655019999999999</v>
      </c>
      <c r="R4648">
        <v>-6.2053709999999998E-2</v>
      </c>
      <c r="S4648">
        <v>3.1306150000000001</v>
      </c>
      <c r="T4648">
        <v>-0.64533509999999905</v>
      </c>
      <c r="U4648">
        <v>-0.61993409999999904</v>
      </c>
      <c r="V4648">
        <v>6.5889410000000001E-3</v>
      </c>
      <c r="W4648">
        <v>0.18421960000000001</v>
      </c>
      <c r="X4648">
        <v>0.98286300000000004</v>
      </c>
      <c r="Y4648">
        <v>0.1366965</v>
      </c>
      <c r="Z4648">
        <v>-3.3908520000000002E-3</v>
      </c>
      <c r="AA4648">
        <v>0.99060720000000002</v>
      </c>
      <c r="AB4648">
        <v>25</v>
      </c>
      <c r="AC4648">
        <v>0.71309999999999696</v>
      </c>
      <c r="AD4648">
        <v>-0.17880859999999901</v>
      </c>
      <c r="AE4648">
        <v>-0.163189999999996</v>
      </c>
      <c r="AF4648">
        <v>0.115720774989835</v>
      </c>
      <c r="AG4648">
        <v>-0.17880859999999901</v>
      </c>
      <c r="AH4648">
        <v>0.68052349271307899</v>
      </c>
      <c r="AI4648">
        <v>104.52231519884999</v>
      </c>
      <c r="AJ4648">
        <v>80.349354083209505</v>
      </c>
      <c r="AK4648">
        <v>0.71307505729244003</v>
      </c>
      <c r="AL4648">
        <v>79.384362955178304</v>
      </c>
      <c r="AM4648">
        <v>89.6159049068618</v>
      </c>
      <c r="AN4648">
        <v>0.99999997596833001</v>
      </c>
    </row>
    <row r="4649" spans="1:40" x14ac:dyDescent="0.25">
      <c r="A4649" t="str">
        <f>"20190303171109765"</f>
        <v>20190303171109765</v>
      </c>
      <c r="B4649" t="str">
        <f>"1551604269755741"</f>
        <v>1551604269755741</v>
      </c>
      <c r="C4649" t="s">
        <v>40</v>
      </c>
      <c r="D4649">
        <v>5.0779820000000004</v>
      </c>
      <c r="E4649">
        <v>0.55899909999999997</v>
      </c>
      <c r="F4649" t="s">
        <v>43</v>
      </c>
      <c r="G4649">
        <v>-384.74529999999999</v>
      </c>
      <c r="H4649">
        <v>0.96913640000000001</v>
      </c>
      <c r="I4649">
        <v>16.87283</v>
      </c>
      <c r="J4649">
        <v>-385.33100000000002</v>
      </c>
      <c r="K4649">
        <v>1.120295</v>
      </c>
      <c r="L4649">
        <v>17.010590000000001</v>
      </c>
      <c r="M4649">
        <v>0.99835850000000004</v>
      </c>
      <c r="N4649">
        <v>-7.7148909999999998E-3</v>
      </c>
      <c r="O4649">
        <v>-5.6751009999999998E-2</v>
      </c>
      <c r="P4649">
        <v>0.98214060000000003</v>
      </c>
      <c r="Q4649">
        <v>0.17705179999999901</v>
      </c>
      <c r="R4649">
        <v>-6.3659240000000006E-2</v>
      </c>
      <c r="S4649">
        <v>3.1314090000000001</v>
      </c>
      <c r="T4649">
        <v>-0.65127990000000002</v>
      </c>
      <c r="U4649">
        <v>-0.62744140000000004</v>
      </c>
      <c r="V4649">
        <v>7.9599600000000003E-3</v>
      </c>
      <c r="W4649">
        <v>0.18463289999999999</v>
      </c>
      <c r="X4649">
        <v>0.98277530000000002</v>
      </c>
      <c r="Y4649">
        <v>0.13862449999999901</v>
      </c>
      <c r="Z4649">
        <v>-3.5566790000000001E-3</v>
      </c>
      <c r="AA4649">
        <v>0.99033859999999996</v>
      </c>
      <c r="AB4649">
        <v>25</v>
      </c>
      <c r="AC4649">
        <v>0.58569999999997402</v>
      </c>
      <c r="AD4649">
        <v>-0.1511586</v>
      </c>
      <c r="AE4649">
        <v>-0.13775999999999999</v>
      </c>
      <c r="AF4649">
        <v>9.8105982259074298E-2</v>
      </c>
      <c r="AG4649">
        <v>-0.1511586</v>
      </c>
      <c r="AH4649">
        <v>0.557394485010406</v>
      </c>
      <c r="AI4649">
        <v>104.95365456256501</v>
      </c>
      <c r="AJ4649">
        <v>80.017716772058606</v>
      </c>
      <c r="AK4649">
        <v>0.58580057872026103</v>
      </c>
      <c r="AL4649">
        <v>79.360269353080795</v>
      </c>
      <c r="AM4649">
        <v>89.535944645239596</v>
      </c>
      <c r="AN4649">
        <v>0.99999997950785002</v>
      </c>
    </row>
    <row r="4650" spans="1:40" x14ac:dyDescent="0.25">
      <c r="A4650" t="str">
        <f>"20190303171109776"</f>
        <v>20190303171109776</v>
      </c>
      <c r="B4650" t="str">
        <f>"1551604269765610"</f>
        <v>1551604269765610</v>
      </c>
      <c r="C4650" t="s">
        <v>40</v>
      </c>
      <c r="D4650">
        <v>5.0812970000000002</v>
      </c>
      <c r="E4650">
        <v>0.5591798</v>
      </c>
      <c r="F4650" t="s">
        <v>43</v>
      </c>
      <c r="G4650">
        <v>-384.52609999999999</v>
      </c>
      <c r="H4650">
        <v>0.95237119999999997</v>
      </c>
      <c r="I4650">
        <v>16.847670000000001</v>
      </c>
      <c r="J4650">
        <v>-385.20139999999998</v>
      </c>
      <c r="K4650">
        <v>1.120288</v>
      </c>
      <c r="L4650">
        <v>17.00299</v>
      </c>
      <c r="M4650">
        <v>0.99834630000000002</v>
      </c>
      <c r="N4650">
        <v>-7.6373739999999997E-3</v>
      </c>
      <c r="O4650">
        <v>-5.6978149999999998E-2</v>
      </c>
      <c r="P4650">
        <v>0.98198830000000004</v>
      </c>
      <c r="Q4650">
        <v>0.17733869999999999</v>
      </c>
      <c r="R4650">
        <v>-6.5195100000000006E-2</v>
      </c>
      <c r="S4650">
        <v>3.1312869999999999</v>
      </c>
      <c r="T4650">
        <v>-0.65324969999999905</v>
      </c>
      <c r="U4650">
        <v>-0.63327029999999995</v>
      </c>
      <c r="V4650">
        <v>9.2783220000000003E-3</v>
      </c>
      <c r="W4650">
        <v>0.18484239999999999</v>
      </c>
      <c r="X4650">
        <v>0.98272440000000005</v>
      </c>
      <c r="Y4650">
        <v>0.14014209999999999</v>
      </c>
      <c r="Z4650">
        <v>-3.67081E-3</v>
      </c>
      <c r="AA4650">
        <v>0.99012460000000002</v>
      </c>
      <c r="AB4650">
        <v>25</v>
      </c>
      <c r="AC4650">
        <v>0.67529999999999202</v>
      </c>
      <c r="AD4650">
        <v>-0.16791679999999901</v>
      </c>
      <c r="AE4650">
        <v>-0.15531999999999899</v>
      </c>
      <c r="AF4650">
        <v>0.1101224828119</v>
      </c>
      <c r="AG4650">
        <v>-0.16791679999999901</v>
      </c>
      <c r="AH4650">
        <v>0.64516690210411498</v>
      </c>
      <c r="AI4650">
        <v>104.38935102718899</v>
      </c>
      <c r="AJ4650">
        <v>80.313626525924093</v>
      </c>
      <c r="AK4650">
        <v>0.67569471250966395</v>
      </c>
      <c r="AL4650">
        <v>79.348056134523702</v>
      </c>
      <c r="AM4650">
        <v>89.459062076365399</v>
      </c>
      <c r="AN4650">
        <v>1.0000000232261199</v>
      </c>
    </row>
    <row r="4651" spans="1:40" x14ac:dyDescent="0.25">
      <c r="A4651" t="str">
        <f>"20190303171109795"</f>
        <v>20190303171109795</v>
      </c>
      <c r="B4651" t="str">
        <f>"1551604269785129"</f>
        <v>1551604269785129</v>
      </c>
      <c r="C4651" t="s">
        <v>40</v>
      </c>
      <c r="D4651">
        <v>5.0918650000000003</v>
      </c>
      <c r="E4651">
        <v>0.55941490000000005</v>
      </c>
      <c r="F4651" t="s">
        <v>43</v>
      </c>
      <c r="G4651">
        <v>-384.30700000000002</v>
      </c>
      <c r="H4651">
        <v>0.93308519999999995</v>
      </c>
      <c r="I4651">
        <v>16.82028</v>
      </c>
      <c r="J4651">
        <v>-384.9821</v>
      </c>
      <c r="K4651">
        <v>1.1202700000000001</v>
      </c>
      <c r="L4651">
        <v>16.99005</v>
      </c>
      <c r="M4651">
        <v>0.99832520000000002</v>
      </c>
      <c r="N4651">
        <v>-7.5202940000000003E-3</v>
      </c>
      <c r="O4651">
        <v>-5.7363339999999999E-2</v>
      </c>
      <c r="P4651">
        <v>0.98199820000000004</v>
      </c>
      <c r="Q4651">
        <v>0.17666609999999999</v>
      </c>
      <c r="R4651">
        <v>-6.6851030000000006E-2</v>
      </c>
      <c r="S4651">
        <v>3.1310419999999999</v>
      </c>
      <c r="T4651">
        <v>-0.65531709999999999</v>
      </c>
      <c r="U4651">
        <v>-0.63818359999999996</v>
      </c>
      <c r="V4651">
        <v>1.0551120000000001E-2</v>
      </c>
      <c r="W4651">
        <v>0.18405460000000001</v>
      </c>
      <c r="X4651">
        <v>0.98285940000000005</v>
      </c>
      <c r="Y4651">
        <v>0.14124310000000001</v>
      </c>
      <c r="Z4651">
        <v>-3.7054890000000002E-3</v>
      </c>
      <c r="AA4651">
        <v>0.98996799999999996</v>
      </c>
      <c r="AB4651">
        <v>25</v>
      </c>
      <c r="AC4651">
        <v>0.675100000000043</v>
      </c>
      <c r="AD4651">
        <v>-0.18718480000000001</v>
      </c>
      <c r="AE4651">
        <v>-0.16976999999999901</v>
      </c>
      <c r="AF4651">
        <v>0.121945939299867</v>
      </c>
      <c r="AG4651">
        <v>-0.18718480000000001</v>
      </c>
      <c r="AH4651">
        <v>0.637623196648894</v>
      </c>
      <c r="AI4651">
        <v>106.084416290246</v>
      </c>
      <c r="AJ4651">
        <v>79.172880851913007</v>
      </c>
      <c r="AK4651">
        <v>0.67562733986090395</v>
      </c>
      <c r="AL4651">
        <v>79.3939816022977</v>
      </c>
      <c r="AM4651">
        <v>89.384946184613796</v>
      </c>
      <c r="AN4651">
        <v>1.00000001104138</v>
      </c>
    </row>
    <row r="4652" spans="1:40" x14ac:dyDescent="0.25">
      <c r="A4652" t="str">
        <f>"20190303171109807"</f>
        <v>20190303171109807</v>
      </c>
      <c r="B4652" t="str">
        <f>"1551604269795865"</f>
        <v>1551604269795865</v>
      </c>
      <c r="C4652" t="s">
        <v>40</v>
      </c>
      <c r="D4652">
        <v>5.0759019999999904</v>
      </c>
      <c r="E4652">
        <v>0.55950619999999995</v>
      </c>
      <c r="F4652" t="s">
        <v>43</v>
      </c>
      <c r="G4652">
        <v>-384.28739999999999</v>
      </c>
      <c r="H4652">
        <v>0.97339310000000001</v>
      </c>
      <c r="I4652">
        <v>16.846609999999998</v>
      </c>
      <c r="J4652">
        <v>-384.84890000000001</v>
      </c>
      <c r="K4652">
        <v>1.1202620000000001</v>
      </c>
      <c r="L4652">
        <v>16.982150000000001</v>
      </c>
      <c r="M4652">
        <v>0.99831210000000004</v>
      </c>
      <c r="N4652">
        <v>-7.4560099999999999E-3</v>
      </c>
      <c r="O4652">
        <v>-5.7597450000000001E-2</v>
      </c>
      <c r="P4652">
        <v>0.98214970000000001</v>
      </c>
      <c r="Q4652">
        <v>0.17564759999999999</v>
      </c>
      <c r="R4652">
        <v>-6.7308309999999996E-2</v>
      </c>
      <c r="S4652">
        <v>3.130188</v>
      </c>
      <c r="T4652">
        <v>-0.66173599999999999</v>
      </c>
      <c r="U4652">
        <v>-0.64443969999999995</v>
      </c>
      <c r="V4652">
        <v>1.076766E-2</v>
      </c>
      <c r="W4652">
        <v>0.1829742</v>
      </c>
      <c r="X4652">
        <v>0.98305880000000001</v>
      </c>
      <c r="Y4652">
        <v>0.14289679999999999</v>
      </c>
      <c r="Z4652">
        <v>-3.8548079999999999E-3</v>
      </c>
      <c r="AA4652">
        <v>0.98973009999999995</v>
      </c>
      <c r="AB4652">
        <v>25</v>
      </c>
      <c r="AC4652">
        <v>0.56150000000002298</v>
      </c>
      <c r="AD4652">
        <v>-0.1468689</v>
      </c>
      <c r="AE4652">
        <v>-0.135539999999998</v>
      </c>
      <c r="AF4652">
        <v>9.6720211213595295E-2</v>
      </c>
      <c r="AG4652">
        <v>-0.1468689</v>
      </c>
      <c r="AH4652">
        <v>0.53386100071629305</v>
      </c>
      <c r="AI4652">
        <v>105.146965175161</v>
      </c>
      <c r="AJ4652">
        <v>79.731043519357499</v>
      </c>
      <c r="AK4652">
        <v>0.56207903459408104</v>
      </c>
      <c r="AL4652">
        <v>79.456953854231799</v>
      </c>
      <c r="AM4652">
        <v>89.372451777154893</v>
      </c>
      <c r="AN4652">
        <v>1.0000000523124699</v>
      </c>
    </row>
    <row r="4653" spans="1:40" x14ac:dyDescent="0.25">
      <c r="A4653" t="str">
        <f>"20190303171109823"</f>
        <v>20190303171109823</v>
      </c>
      <c r="B4653" t="str">
        <f>"1551604269815385"</f>
        <v>1551604269815385</v>
      </c>
      <c r="C4653" t="s">
        <v>40</v>
      </c>
      <c r="D4653">
        <v>5.0430169999999999</v>
      </c>
      <c r="E4653">
        <v>0.5595926</v>
      </c>
      <c r="F4653" t="s">
        <v>43</v>
      </c>
      <c r="G4653">
        <v>-384.06790000000001</v>
      </c>
      <c r="H4653">
        <v>0.95390249999999999</v>
      </c>
      <c r="I4653">
        <v>16.82047</v>
      </c>
      <c r="J4653">
        <v>-384.678</v>
      </c>
      <c r="K4653">
        <v>1.1202529999999999</v>
      </c>
      <c r="L4653">
        <v>16.971979999999999</v>
      </c>
      <c r="M4653">
        <v>0.99829520000000005</v>
      </c>
      <c r="N4653">
        <v>-7.37741099999999E-3</v>
      </c>
      <c r="O4653">
        <v>-5.7897329999999997E-2</v>
      </c>
      <c r="P4653">
        <v>0.9823018</v>
      </c>
      <c r="Q4653">
        <v>0.17478479999999999</v>
      </c>
      <c r="R4653">
        <v>-6.733111E-2</v>
      </c>
      <c r="S4653">
        <v>3.1293950000000001</v>
      </c>
      <c r="T4653">
        <v>-0.66659269999999904</v>
      </c>
      <c r="U4653">
        <v>-0.64715579999999995</v>
      </c>
      <c r="V4653">
        <v>1.0485929999999999E-2</v>
      </c>
      <c r="W4653">
        <v>0.18203549999999999</v>
      </c>
      <c r="X4653">
        <v>0.983236</v>
      </c>
      <c r="Y4653">
        <v>0.14344079999999901</v>
      </c>
      <c r="Z4653">
        <v>-3.8646240000000001E-3</v>
      </c>
      <c r="AA4653">
        <v>0.98965139999999996</v>
      </c>
      <c r="AB4653">
        <v>26</v>
      </c>
      <c r="AC4653">
        <v>0.61010000000004505</v>
      </c>
      <c r="AD4653">
        <v>-0.16635050000000001</v>
      </c>
      <c r="AE4653">
        <v>-0.15150999999999801</v>
      </c>
      <c r="AF4653">
        <v>0.108344809413602</v>
      </c>
      <c r="AG4653">
        <v>-0.16635050000000001</v>
      </c>
      <c r="AH4653">
        <v>0.57741501399074802</v>
      </c>
      <c r="AI4653">
        <v>105.80966642811499</v>
      </c>
      <c r="AJ4653">
        <v>79.372724745172604</v>
      </c>
      <c r="AK4653">
        <v>0.61058921130253896</v>
      </c>
      <c r="AL4653">
        <v>79.511655095200794</v>
      </c>
      <c r="AM4653">
        <v>89.388980105193198</v>
      </c>
      <c r="AN4653">
        <v>0.99999995484210602</v>
      </c>
    </row>
    <row r="4654" spans="1:40" x14ac:dyDescent="0.25">
      <c r="A4654" t="str">
        <f>"20190303171109841"</f>
        <v>20190303171109841</v>
      </c>
      <c r="B4654" t="str">
        <f>"1551604269835881"</f>
        <v>1551604269835881</v>
      </c>
      <c r="C4654" t="s">
        <v>40</v>
      </c>
      <c r="D4654">
        <v>5.1090179999999998</v>
      </c>
      <c r="E4654">
        <v>0.55962749999999895</v>
      </c>
      <c r="F4654" t="s">
        <v>43</v>
      </c>
      <c r="G4654">
        <v>-383.8442</v>
      </c>
      <c r="H4654">
        <v>0.9411427</v>
      </c>
      <c r="I4654">
        <v>16.798970000000001</v>
      </c>
      <c r="J4654">
        <v>-384.46390000000002</v>
      </c>
      <c r="K4654">
        <v>1.120239</v>
      </c>
      <c r="L4654">
        <v>16.959139999999898</v>
      </c>
      <c r="M4654">
        <v>0.99827429999999995</v>
      </c>
      <c r="N4654">
        <v>-7.2878719999999999E-3</v>
      </c>
      <c r="O4654">
        <v>-5.8271780000000002E-2</v>
      </c>
      <c r="P4654">
        <v>0.98243020000000003</v>
      </c>
      <c r="Q4654">
        <v>0.17387710000000001</v>
      </c>
      <c r="R4654">
        <v>-6.7809620000000001E-2</v>
      </c>
      <c r="S4654">
        <v>3.1292420000000001</v>
      </c>
      <c r="T4654">
        <v>-0.67219130000000005</v>
      </c>
      <c r="U4654">
        <v>-0.64816280000000004</v>
      </c>
      <c r="V4654">
        <v>1.058663E-2</v>
      </c>
      <c r="W4654">
        <v>0.18104100000000001</v>
      </c>
      <c r="X4654">
        <v>0.98341860000000003</v>
      </c>
      <c r="Y4654">
        <v>0.14336409999999999</v>
      </c>
      <c r="Z4654">
        <v>-3.792892E-3</v>
      </c>
      <c r="AA4654">
        <v>0.98966279999999995</v>
      </c>
      <c r="AB4654">
        <v>26</v>
      </c>
      <c r="AC4654">
        <v>0.61970000000002201</v>
      </c>
      <c r="AD4654">
        <v>-0.17909630000000001</v>
      </c>
      <c r="AE4654">
        <v>-0.16016999999999701</v>
      </c>
      <c r="AF4654">
        <v>0.114797909942343</v>
      </c>
      <c r="AG4654">
        <v>-0.17909630000000001</v>
      </c>
      <c r="AH4654">
        <v>0.58238369361925302</v>
      </c>
      <c r="AI4654">
        <v>106.789459532305</v>
      </c>
      <c r="AJ4654">
        <v>78.848968369466206</v>
      </c>
      <c r="AK4654">
        <v>0.62002000886618602</v>
      </c>
      <c r="AL4654">
        <v>79.569599358188</v>
      </c>
      <c r="AM4654">
        <v>89.383227255898703</v>
      </c>
      <c r="AN4654">
        <v>1.0000000316208499</v>
      </c>
    </row>
    <row r="4655" spans="1:40" x14ac:dyDescent="0.25">
      <c r="A4655" t="str">
        <f>"20190303171109865"</f>
        <v>20190303171109865</v>
      </c>
      <c r="B4655" t="str">
        <f>"1551604269855402"</f>
        <v>1551604269855402</v>
      </c>
      <c r="C4655" t="s">
        <v>40</v>
      </c>
      <c r="D4655">
        <v>5.046716</v>
      </c>
      <c r="E4655">
        <v>0.52349380000000001</v>
      </c>
      <c r="F4655" t="s">
        <v>43</v>
      </c>
      <c r="G4655">
        <v>-383.61559999999997</v>
      </c>
      <c r="H4655">
        <v>0.93682109999999996</v>
      </c>
      <c r="I4655">
        <v>16.782139999999998</v>
      </c>
      <c r="J4655">
        <v>-384.19150000000002</v>
      </c>
      <c r="K4655">
        <v>1.1202209999999999</v>
      </c>
      <c r="L4655">
        <v>16.94275</v>
      </c>
      <c r="M4655">
        <v>0.99824729999999995</v>
      </c>
      <c r="N4655">
        <v>-7.1878380000000002E-3</v>
      </c>
      <c r="O4655">
        <v>-5.874335E-2</v>
      </c>
      <c r="P4655">
        <v>0.98214699999999999</v>
      </c>
      <c r="Q4655">
        <v>0.17508650000000001</v>
      </c>
      <c r="R4655">
        <v>-6.8794380000000002E-2</v>
      </c>
      <c r="S4655">
        <v>3.1284179999999999</v>
      </c>
      <c r="T4655">
        <v>-0.67634839999999996</v>
      </c>
      <c r="U4655">
        <v>-0.65127559999999995</v>
      </c>
      <c r="V4655">
        <v>1.1122140000000001E-2</v>
      </c>
      <c r="W4655">
        <v>0.18214949999999999</v>
      </c>
      <c r="X4655">
        <v>0.98320790000000002</v>
      </c>
      <c r="Y4655">
        <v>0.143869</v>
      </c>
      <c r="Z4655">
        <v>-3.756854E-3</v>
      </c>
      <c r="AA4655">
        <v>0.98958959999999996</v>
      </c>
      <c r="AB4655">
        <v>26</v>
      </c>
      <c r="AC4655">
        <v>0.57590000000004604</v>
      </c>
      <c r="AD4655">
        <v>-0.18339989999999901</v>
      </c>
      <c r="AE4655">
        <v>-0.160610000000001</v>
      </c>
      <c r="AF4655">
        <v>0.115621814278951</v>
      </c>
      <c r="AG4655">
        <v>-0.18339989999999901</v>
      </c>
      <c r="AH4655">
        <v>0.53408475178710502</v>
      </c>
      <c r="AI4655">
        <v>108.552603681021</v>
      </c>
      <c r="AJ4655">
        <v>77.784770849779406</v>
      </c>
      <c r="AK4655">
        <v>0.57641170125931696</v>
      </c>
      <c r="AL4655">
        <v>79.505012356797707</v>
      </c>
      <c r="AM4655">
        <v>89.3518924109583</v>
      </c>
      <c r="AN4655">
        <v>0.99999995848541801</v>
      </c>
    </row>
    <row r="4656" spans="1:40" x14ac:dyDescent="0.25">
      <c r="A4656" t="str">
        <f>"20190303171109876"</f>
        <v>20190303171109876</v>
      </c>
      <c r="B4656" t="str">
        <f>"1551604269865161"</f>
        <v>1551604269865161</v>
      </c>
      <c r="C4656" t="s">
        <v>40</v>
      </c>
      <c r="D4656">
        <v>5.054081</v>
      </c>
      <c r="E4656">
        <v>0.5155689</v>
      </c>
      <c r="F4656" t="s">
        <v>43</v>
      </c>
      <c r="G4656">
        <v>-383.36649999999997</v>
      </c>
      <c r="H4656">
        <v>0.96621120000000005</v>
      </c>
      <c r="I4656">
        <v>16.845829999999999</v>
      </c>
      <c r="J4656">
        <v>-384.0498</v>
      </c>
      <c r="K4656">
        <v>1.1202160000000001</v>
      </c>
      <c r="L4656">
        <v>16.934170000000002</v>
      </c>
      <c r="M4656">
        <v>0.99823329999999999</v>
      </c>
      <c r="N4656">
        <v>-7.139973E-3</v>
      </c>
      <c r="O4656">
        <v>-5.8986469999999999E-2</v>
      </c>
      <c r="P4656">
        <v>0.98198030000000003</v>
      </c>
      <c r="Q4656">
        <v>0.17575109999999999</v>
      </c>
      <c r="R4656">
        <v>-6.9474519999999998E-2</v>
      </c>
      <c r="S4656">
        <v>3.1330870000000002</v>
      </c>
      <c r="T4656">
        <v>-0.58489419999999903</v>
      </c>
      <c r="U4656">
        <v>-0.36706539999999999</v>
      </c>
      <c r="V4656">
        <v>1.157145E-2</v>
      </c>
      <c r="W4656">
        <v>0.18276600000000001</v>
      </c>
      <c r="X4656">
        <v>0.98308830000000003</v>
      </c>
      <c r="Y4656">
        <v>5.7482789999999999E-2</v>
      </c>
      <c r="Z4656">
        <v>4.940669E-3</v>
      </c>
      <c r="AA4656">
        <v>0.99833430000000001</v>
      </c>
      <c r="AB4656">
        <v>26</v>
      </c>
      <c r="AC4656">
        <v>0.68330000000003099</v>
      </c>
      <c r="AD4656">
        <v>-0.154004799999999</v>
      </c>
      <c r="AE4656">
        <v>-8.8340000000002306E-2</v>
      </c>
      <c r="AF4656">
        <v>4.5601323400234602E-2</v>
      </c>
      <c r="AG4656">
        <v>-0.154004799999999</v>
      </c>
      <c r="AH4656">
        <v>0.65461478199103795</v>
      </c>
      <c r="AI4656">
        <v>103.20779603172301</v>
      </c>
      <c r="AJ4656">
        <v>86.015138386082299</v>
      </c>
      <c r="AK4656">
        <v>0.67403076481720503</v>
      </c>
      <c r="AL4656">
        <v>79.469086431701001</v>
      </c>
      <c r="AM4656">
        <v>89.325630635426705</v>
      </c>
      <c r="AN4656">
        <v>0.99999995740399505</v>
      </c>
    </row>
    <row r="4657" spans="1:40" x14ac:dyDescent="0.25">
      <c r="A4657" t="str">
        <f>"20190303171109895"</f>
        <v>20190303171109895</v>
      </c>
      <c r="B4657" t="str">
        <f>"1551604269885657"</f>
        <v>1551604269885657</v>
      </c>
      <c r="C4657" t="s">
        <v>40</v>
      </c>
      <c r="D4657">
        <v>5.1199969999999997</v>
      </c>
      <c r="E4657">
        <v>0.50475789999999998</v>
      </c>
      <c r="F4657" t="s">
        <v>43</v>
      </c>
      <c r="G4657">
        <v>-383.1318</v>
      </c>
      <c r="H4657">
        <v>0.96940579999999998</v>
      </c>
      <c r="I4657">
        <v>16.843779999999999</v>
      </c>
      <c r="J4657">
        <v>-383.82589999999999</v>
      </c>
      <c r="K4657">
        <v>1.1202080000000001</v>
      </c>
      <c r="L4657">
        <v>16.920529999999999</v>
      </c>
      <c r="M4657">
        <v>0.99821119999999997</v>
      </c>
      <c r="N4657">
        <v>-7.07276E-3</v>
      </c>
      <c r="O4657">
        <v>-5.9366719999999998E-2</v>
      </c>
      <c r="P4657">
        <v>0.98198660000000004</v>
      </c>
      <c r="Q4657">
        <v>0.17553959999999999</v>
      </c>
      <c r="R4657">
        <v>-6.9917199999999999E-2</v>
      </c>
      <c r="S4657">
        <v>3.1252140000000002</v>
      </c>
      <c r="T4657">
        <v>-0.5134012</v>
      </c>
      <c r="U4657">
        <v>-0.3069153</v>
      </c>
      <c r="V4657">
        <v>1.163729E-2</v>
      </c>
      <c r="W4657">
        <v>0.1824884</v>
      </c>
      <c r="X4657">
        <v>0.98313919999999999</v>
      </c>
      <c r="Y4657">
        <v>3.8664440000000001E-2</v>
      </c>
      <c r="Z4657">
        <v>5.9516129999999997E-3</v>
      </c>
      <c r="AA4657">
        <v>0.99923450000000003</v>
      </c>
      <c r="AB4657">
        <v>26</v>
      </c>
      <c r="AC4657">
        <v>0.69409999999999095</v>
      </c>
      <c r="AD4657">
        <v>-0.1508022</v>
      </c>
      <c r="AE4657">
        <v>-7.6750000000000498E-2</v>
      </c>
      <c r="AF4657">
        <v>3.3829579248507997E-2</v>
      </c>
      <c r="AG4657">
        <v>-0.1508022</v>
      </c>
      <c r="AH4657">
        <v>0.66635794726926401</v>
      </c>
      <c r="AI4657">
        <v>102.735834551186</v>
      </c>
      <c r="AJ4657">
        <v>87.093709986951595</v>
      </c>
      <c r="AK4657">
        <v>0.68404580098548795</v>
      </c>
      <c r="AL4657">
        <v>79.485264948302401</v>
      </c>
      <c r="AM4657">
        <v>89.3218290309335</v>
      </c>
      <c r="AN4657">
        <v>1.0000000646148699</v>
      </c>
    </row>
    <row r="4658" spans="1:40" x14ac:dyDescent="0.25">
      <c r="A4658" t="str">
        <f>"20190303171109907"</f>
        <v>20190303171109907</v>
      </c>
      <c r="B4658" t="str">
        <f>"1551604269895418"</f>
        <v>1551604269895418</v>
      </c>
      <c r="C4658" t="s">
        <v>40</v>
      </c>
      <c r="D4658">
        <v>5.09992</v>
      </c>
      <c r="E4658">
        <v>0.50138729999999998</v>
      </c>
      <c r="F4658" t="s">
        <v>43</v>
      </c>
      <c r="G4658">
        <v>-383.10109999999997</v>
      </c>
      <c r="H4658">
        <v>1.0289870000000001</v>
      </c>
      <c r="I4658">
        <v>16.86815</v>
      </c>
      <c r="J4658">
        <v>-383.69709999999998</v>
      </c>
      <c r="K4658">
        <v>1.1202030000000001</v>
      </c>
      <c r="L4658">
        <v>16.912659999999999</v>
      </c>
      <c r="M4658">
        <v>0.99819869999999999</v>
      </c>
      <c r="N4658">
        <v>-7.0382469999999897E-3</v>
      </c>
      <c r="O4658">
        <v>-5.9580550000000003E-2</v>
      </c>
      <c r="P4658">
        <v>0.98217209999999999</v>
      </c>
      <c r="Q4658">
        <v>0.17455079999999901</v>
      </c>
      <c r="R4658">
        <v>-6.978666E-2</v>
      </c>
      <c r="S4658">
        <v>3.10907</v>
      </c>
      <c r="T4658">
        <v>-0.39127970000000001</v>
      </c>
      <c r="U4658">
        <v>-0.22366330000000001</v>
      </c>
      <c r="V4658">
        <v>1.128352E-2</v>
      </c>
      <c r="W4658">
        <v>0.18146770000000001</v>
      </c>
      <c r="X4658">
        <v>0.98333219999999999</v>
      </c>
      <c r="Y4658">
        <v>1.250983E-2</v>
      </c>
      <c r="Z4658">
        <v>6.2069639999999997E-3</v>
      </c>
      <c r="AA4658">
        <v>0.99990250000000003</v>
      </c>
      <c r="AB4658">
        <v>26</v>
      </c>
      <c r="AC4658">
        <v>0.59600000000000297</v>
      </c>
      <c r="AD4658">
        <v>-9.1215999999999894E-2</v>
      </c>
      <c r="AE4658">
        <v>-4.4509999999998898E-2</v>
      </c>
      <c r="AF4658">
        <v>8.7169883183994198E-3</v>
      </c>
      <c r="AG4658">
        <v>-9.1215999999999894E-2</v>
      </c>
      <c r="AH4658">
        <v>0.58399000015785096</v>
      </c>
      <c r="AI4658">
        <v>98.876579432601204</v>
      </c>
      <c r="AJ4658">
        <v>89.144832013041693</v>
      </c>
      <c r="AK4658">
        <v>0.59113506479121203</v>
      </c>
      <c r="AL4658">
        <v>79.544739457178395</v>
      </c>
      <c r="AM4658">
        <v>89.342572427332598</v>
      </c>
      <c r="AN4658">
        <v>1.0000000297618501</v>
      </c>
    </row>
    <row r="4659" spans="1:40" x14ac:dyDescent="0.25">
      <c r="A4659" t="str">
        <f>"20190303171109918"</f>
        <v>20190303171109918</v>
      </c>
      <c r="B4659" t="str">
        <f>"1551604269905178"</f>
        <v>1551604269905178</v>
      </c>
      <c r="C4659" t="s">
        <v>40</v>
      </c>
      <c r="D4659">
        <v>5.0555379999999897</v>
      </c>
      <c r="E4659">
        <v>0.49888519999999997</v>
      </c>
      <c r="F4659" t="s">
        <v>43</v>
      </c>
      <c r="G4659">
        <v>-382.86849999999998</v>
      </c>
      <c r="H4659">
        <v>1.026702</v>
      </c>
      <c r="I4659">
        <v>16.859500000000001</v>
      </c>
      <c r="J4659">
        <v>-383.56020000000001</v>
      </c>
      <c r="K4659">
        <v>1.120193</v>
      </c>
      <c r="L4659">
        <v>16.904239999999898</v>
      </c>
      <c r="M4659">
        <v>0.99818560000000001</v>
      </c>
      <c r="N4659">
        <v>-7.0026130000000004E-3</v>
      </c>
      <c r="O4659">
        <v>-5.9803179999999997E-2</v>
      </c>
      <c r="P4659">
        <v>0.98241140000000005</v>
      </c>
      <c r="Q4659">
        <v>0.17343329999999901</v>
      </c>
      <c r="R4659">
        <v>-6.9200999999999999E-2</v>
      </c>
      <c r="S4659">
        <v>3.1026310000000001</v>
      </c>
      <c r="T4659">
        <v>-0.35008529999999999</v>
      </c>
      <c r="U4659">
        <v>-0.19772339999999999</v>
      </c>
      <c r="V4659">
        <v>1.046251E-2</v>
      </c>
      <c r="W4659">
        <v>0.18031730000000001</v>
      </c>
      <c r="X4659">
        <v>0.98355289999999995</v>
      </c>
      <c r="Y4659">
        <v>4.105493E-3</v>
      </c>
      <c r="Z4659">
        <v>6.05099E-3</v>
      </c>
      <c r="AA4659">
        <v>0.99997320000000001</v>
      </c>
      <c r="AB4659">
        <v>26</v>
      </c>
      <c r="AC4659">
        <v>0.69170000000002496</v>
      </c>
      <c r="AD4659">
        <v>-9.3491000000000005E-2</v>
      </c>
      <c r="AE4659">
        <v>-4.4739999999997303E-2</v>
      </c>
      <c r="AF4659">
        <v>3.23420685449716E-3</v>
      </c>
      <c r="AG4659">
        <v>-9.3491000000000005E-2</v>
      </c>
      <c r="AH4659">
        <v>0.68075302882570199</v>
      </c>
      <c r="AI4659">
        <v>97.819692817955698</v>
      </c>
      <c r="AJ4659">
        <v>89.727794073906793</v>
      </c>
      <c r="AK4659">
        <v>0.68715042998629094</v>
      </c>
      <c r="AL4659">
        <v>79.611758351693396</v>
      </c>
      <c r="AM4659">
        <v>89.390541111748803</v>
      </c>
      <c r="AN4659">
        <v>1.00000004994659</v>
      </c>
    </row>
    <row r="4660" spans="1:40" x14ac:dyDescent="0.25">
      <c r="A4660" t="str">
        <f>"20190303171109931"</f>
        <v>20190303171109931</v>
      </c>
      <c r="B4660" t="str">
        <f>"1551604269925674"</f>
        <v>1551604269925674</v>
      </c>
      <c r="C4660" t="s">
        <v>40</v>
      </c>
      <c r="D4660">
        <v>5.0455430000000003</v>
      </c>
      <c r="E4660">
        <v>0.49511339999999998</v>
      </c>
      <c r="F4660" t="s">
        <v>43</v>
      </c>
      <c r="G4660">
        <v>-382.6352</v>
      </c>
      <c r="H4660">
        <v>1.024241</v>
      </c>
      <c r="I4660">
        <v>16.851209999999998</v>
      </c>
      <c r="J4660">
        <v>-383.41230000000002</v>
      </c>
      <c r="K4660">
        <v>1.1201920000000001</v>
      </c>
      <c r="L4660">
        <v>16.89517</v>
      </c>
      <c r="M4660">
        <v>0.99817259999999997</v>
      </c>
      <c r="N4660">
        <v>-6.9679069999999997E-3</v>
      </c>
      <c r="O4660">
        <v>-6.0024199999999903E-2</v>
      </c>
      <c r="P4660">
        <v>0.98260729999999996</v>
      </c>
      <c r="Q4660">
        <v>0.17250279999999901</v>
      </c>
      <c r="R4660">
        <v>-6.8745429999999996E-2</v>
      </c>
      <c r="S4660">
        <v>3.097931</v>
      </c>
      <c r="T4660">
        <v>-0.32129089999999999</v>
      </c>
      <c r="U4660">
        <v>-0.17742920000000001</v>
      </c>
      <c r="V4660">
        <v>9.7721300000000004E-3</v>
      </c>
      <c r="W4660">
        <v>0.17935429999999999</v>
      </c>
      <c r="X4660">
        <v>0.98373600000000005</v>
      </c>
      <c r="Y4660">
        <v>-2.5575609999999999E-3</v>
      </c>
      <c r="Z4660">
        <v>5.9219140000000003E-3</v>
      </c>
      <c r="AA4660">
        <v>0.99997919999999996</v>
      </c>
      <c r="AB4660">
        <v>26</v>
      </c>
      <c r="AC4660">
        <v>0.777100000000018</v>
      </c>
      <c r="AD4660">
        <v>-9.5951000000000106E-2</v>
      </c>
      <c r="AE4660">
        <v>-4.3959999999998403E-2</v>
      </c>
      <c r="AF4660">
        <v>-2.7238117139256001E-3</v>
      </c>
      <c r="AG4660">
        <v>-9.5951000000000106E-2</v>
      </c>
      <c r="AH4660">
        <v>0.76668616456716798</v>
      </c>
      <c r="AI4660">
        <v>97.133450450220906</v>
      </c>
      <c r="AJ4660">
        <v>90.2035542912067</v>
      </c>
      <c r="AK4660">
        <v>0.77267178574732898</v>
      </c>
      <c r="AL4660">
        <v>79.667848005993406</v>
      </c>
      <c r="AM4660">
        <v>89.430860118733605</v>
      </c>
      <c r="AN4660">
        <v>0.99999998857461303</v>
      </c>
    </row>
    <row r="4661" spans="1:40" x14ac:dyDescent="0.25">
      <c r="A4661" t="str">
        <f>"20190303171109952"</f>
        <v>20190303171109952</v>
      </c>
      <c r="B4661" t="str">
        <f>"1551604269945193"</f>
        <v>1551604269945193</v>
      </c>
      <c r="C4661" t="s">
        <v>40</v>
      </c>
      <c r="D4661">
        <v>4.986567</v>
      </c>
      <c r="E4661">
        <v>0.49297649999999998</v>
      </c>
      <c r="F4661" t="s">
        <v>98</v>
      </c>
      <c r="G4661">
        <v>-370.97629999999998</v>
      </c>
      <c r="H4661" s="1">
        <v>-4.8341220000000002E-6</v>
      </c>
      <c r="I4661">
        <v>16.300909999999998</v>
      </c>
      <c r="J4661">
        <v>-383.1696</v>
      </c>
      <c r="K4661">
        <v>1.120214</v>
      </c>
      <c r="L4661">
        <v>16.880189999999999</v>
      </c>
      <c r="M4661">
        <v>0.99815379999999998</v>
      </c>
      <c r="N4661">
        <v>-6.9157649999999999E-3</v>
      </c>
      <c r="O4661">
        <v>-6.034366E-2</v>
      </c>
      <c r="P4661">
        <v>0.98287840000000004</v>
      </c>
      <c r="Q4661">
        <v>0.171128799999999</v>
      </c>
      <c r="R4661">
        <v>-6.8303359999999994E-2</v>
      </c>
      <c r="S4661">
        <v>3.0916440000000001</v>
      </c>
      <c r="T4661">
        <v>-0.27848600000000001</v>
      </c>
      <c r="U4661">
        <v>-0.14773559999999999</v>
      </c>
      <c r="V4661">
        <v>8.9846390000000009E-3</v>
      </c>
      <c r="W4661">
        <v>0.1779328</v>
      </c>
      <c r="X4661">
        <v>0.98400160000000003</v>
      </c>
      <c r="Y4661">
        <v>-1.2371170000000001E-2</v>
      </c>
      <c r="Z4661">
        <v>5.5990750000000002E-3</v>
      </c>
      <c r="AA4661">
        <v>0.99990780000000001</v>
      </c>
      <c r="AB4661">
        <v>26</v>
      </c>
      <c r="AC4661">
        <v>12.193300000000001</v>
      </c>
      <c r="AD4661">
        <v>-1.1202188341220001</v>
      </c>
      <c r="AE4661">
        <v>-0.57927999999999702</v>
      </c>
      <c r="AF4661">
        <v>-0.15626559485974301</v>
      </c>
      <c r="AG4661">
        <v>-1.1202188341220001</v>
      </c>
      <c r="AH4661">
        <v>12.104101879424601</v>
      </c>
      <c r="AI4661">
        <v>95.287149340180306</v>
      </c>
      <c r="AJ4661">
        <v>90.739655183336396</v>
      </c>
      <c r="AK4661">
        <v>12.156833118865601</v>
      </c>
      <c r="AL4661">
        <v>79.750625415677902</v>
      </c>
      <c r="AM4661">
        <v>89.476863055832197</v>
      </c>
      <c r="AN4661">
        <v>0.99999997692817899</v>
      </c>
    </row>
    <row r="4662" spans="1:40" x14ac:dyDescent="0.25">
      <c r="A4662" t="str">
        <f>"20190303171109964"</f>
        <v>20190303171109964</v>
      </c>
      <c r="B4662" t="str">
        <f>"1551604269955930"</f>
        <v>1551604269955930</v>
      </c>
      <c r="C4662" t="s">
        <v>40</v>
      </c>
      <c r="D4662">
        <v>4.9921309999999997</v>
      </c>
      <c r="E4662">
        <v>0.49231920000000001</v>
      </c>
      <c r="F4662" t="s">
        <v>97</v>
      </c>
      <c r="G4662">
        <v>-369.43689999999998</v>
      </c>
      <c r="H4662" s="1">
        <v>-1.0986989999999999E-6</v>
      </c>
      <c r="I4662">
        <v>16.30133</v>
      </c>
      <c r="J4662">
        <v>-383.02300000000002</v>
      </c>
      <c r="K4662">
        <v>1.120241</v>
      </c>
      <c r="L4662">
        <v>16.871120000000001</v>
      </c>
      <c r="M4662">
        <v>0.9981447</v>
      </c>
      <c r="N4662">
        <v>-6.8874519999999996E-3</v>
      </c>
      <c r="O4662">
        <v>-6.049587E-2</v>
      </c>
      <c r="P4662">
        <v>0.98283569999999998</v>
      </c>
      <c r="Q4662">
        <v>0.17110610000000001</v>
      </c>
      <c r="R4662">
        <v>-6.8968299999999996E-2</v>
      </c>
      <c r="S4662">
        <v>3.087097</v>
      </c>
      <c r="T4662">
        <v>-0.25182379999999999</v>
      </c>
      <c r="U4662">
        <v>-0.13012699999999999</v>
      </c>
      <c r="V4662">
        <v>9.4874079999999993E-3</v>
      </c>
      <c r="W4662">
        <v>0.17788209999999999</v>
      </c>
      <c r="X4662">
        <v>0.98400600000000005</v>
      </c>
      <c r="Y4662">
        <v>-1.8173129999999999E-2</v>
      </c>
      <c r="Z4662">
        <v>5.3068589999999997E-3</v>
      </c>
      <c r="AA4662">
        <v>0.99982079999999995</v>
      </c>
      <c r="AB4662">
        <v>26</v>
      </c>
      <c r="AC4662">
        <v>13.5861</v>
      </c>
      <c r="AD4662">
        <v>-1.120242098699</v>
      </c>
      <c r="AE4662">
        <v>-0.56979000000000102</v>
      </c>
      <c r="AF4662">
        <v>-0.25146937652170998</v>
      </c>
      <c r="AG4662">
        <v>-1.120242098699</v>
      </c>
      <c r="AH4662">
        <v>13.504035489025901</v>
      </c>
      <c r="AI4662">
        <v>94.741357858329707</v>
      </c>
      <c r="AJ4662">
        <v>91.066826939804002</v>
      </c>
      <c r="AK4662">
        <v>13.5527544689593</v>
      </c>
      <c r="AL4662">
        <v>79.753576920455998</v>
      </c>
      <c r="AM4662">
        <v>89.447593212107606</v>
      </c>
      <c r="AN4662">
        <v>0.99999993022348199</v>
      </c>
    </row>
    <row r="4663" spans="1:40" x14ac:dyDescent="0.25">
      <c r="A4663" t="str">
        <f>"20190303171109977"</f>
        <v>20190303171109977</v>
      </c>
      <c r="B4663" t="str">
        <f>"1551604269965690"</f>
        <v>1551604269965690</v>
      </c>
      <c r="C4663" t="s">
        <v>40</v>
      </c>
      <c r="D4663">
        <v>5.0464359999999999</v>
      </c>
      <c r="E4663">
        <v>0.49166359999999998</v>
      </c>
      <c r="F4663" t="s">
        <v>97</v>
      </c>
      <c r="G4663">
        <v>-368.67219999999998</v>
      </c>
      <c r="H4663" s="1">
        <v>-1.397685E-6</v>
      </c>
      <c r="I4663">
        <v>16.28135</v>
      </c>
      <c r="J4663">
        <v>-382.87950000000001</v>
      </c>
      <c r="K4663">
        <v>1.120271</v>
      </c>
      <c r="L4663">
        <v>16.862269999999999</v>
      </c>
      <c r="M4663">
        <v>0.99813700000000005</v>
      </c>
      <c r="N4663">
        <v>-6.8610019999999997E-3</v>
      </c>
      <c r="O4663">
        <v>-6.0626350000000002E-2</v>
      </c>
      <c r="P4663">
        <v>0.98277130000000001</v>
      </c>
      <c r="Q4663">
        <v>0.17116039999999999</v>
      </c>
      <c r="R4663">
        <v>-6.9748539999999998E-2</v>
      </c>
      <c r="S4663">
        <v>3.0854189999999999</v>
      </c>
      <c r="T4663">
        <v>-0.24085200000000001</v>
      </c>
      <c r="U4663">
        <v>-0.12680050000000001</v>
      </c>
      <c r="V4663">
        <v>1.012626E-2</v>
      </c>
      <c r="W4663">
        <v>0.1779107</v>
      </c>
      <c r="X4663">
        <v>0.98399449999999999</v>
      </c>
      <c r="Y4663">
        <v>-1.9373250000000002E-2</v>
      </c>
      <c r="Z4663">
        <v>5.1255110000000001E-3</v>
      </c>
      <c r="AA4663">
        <v>0.9997992</v>
      </c>
      <c r="AB4663">
        <v>26</v>
      </c>
      <c r="AC4663">
        <v>14.2073</v>
      </c>
      <c r="AD4663">
        <v>-1.120272397685</v>
      </c>
      <c r="AE4663">
        <v>-0.58092000000000199</v>
      </c>
      <c r="AF4663">
        <v>-0.27976901425982997</v>
      </c>
      <c r="AG4663">
        <v>-1.120272397685</v>
      </c>
      <c r="AH4663">
        <v>14.128684605096</v>
      </c>
      <c r="AI4663">
        <v>94.532649095869402</v>
      </c>
      <c r="AJ4663">
        <v>91.134393585457403</v>
      </c>
      <c r="AK4663">
        <v>14.1757895588441</v>
      </c>
      <c r="AL4663">
        <v>79.751912082227193</v>
      </c>
      <c r="AM4663">
        <v>89.410391541839999</v>
      </c>
      <c r="AN4663">
        <v>0.99999996717316297</v>
      </c>
    </row>
    <row r="4664" spans="1:40" x14ac:dyDescent="0.25">
      <c r="A4664" t="str">
        <f>"20190303171109988"</f>
        <v>20190303171109988</v>
      </c>
      <c r="B4664" t="str">
        <f>"1551604269975450"</f>
        <v>1551604269975450</v>
      </c>
      <c r="C4664" t="s">
        <v>40</v>
      </c>
      <c r="D4664">
        <v>4.9841509999999998</v>
      </c>
      <c r="E4664">
        <v>0.49119699999999999</v>
      </c>
      <c r="F4664" t="s">
        <v>97</v>
      </c>
      <c r="G4664">
        <v>-367.91609999999997</v>
      </c>
      <c r="H4664" s="1">
        <v>-1.693287E-6</v>
      </c>
      <c r="I4664">
        <v>16.261559999999999</v>
      </c>
      <c r="J4664">
        <v>-382.73880000000003</v>
      </c>
      <c r="K4664">
        <v>1.120317</v>
      </c>
      <c r="L4664">
        <v>16.85361</v>
      </c>
      <c r="M4664">
        <v>0.99813320000000005</v>
      </c>
      <c r="N4664">
        <v>-6.8381589999999999E-3</v>
      </c>
      <c r="O4664">
        <v>-6.0694520000000002E-2</v>
      </c>
      <c r="P4664">
        <v>0.98278500000000002</v>
      </c>
      <c r="Q4664">
        <v>0.1708723</v>
      </c>
      <c r="R4664">
        <v>-7.0260790000000004E-2</v>
      </c>
      <c r="S4664">
        <v>3.084015</v>
      </c>
      <c r="T4664">
        <v>-0.23089370000000001</v>
      </c>
      <c r="U4664">
        <v>-0.1238098</v>
      </c>
      <c r="V4664">
        <v>1.0549299999999999E-2</v>
      </c>
      <c r="W4664">
        <v>0.1776015</v>
      </c>
      <c r="X4664">
        <v>0.98404590000000003</v>
      </c>
      <c r="Y4664">
        <v>-2.0405710000000001E-2</v>
      </c>
      <c r="Z4664">
        <v>4.950159E-3</v>
      </c>
      <c r="AA4664">
        <v>0.99977950000000004</v>
      </c>
      <c r="AB4664">
        <v>26</v>
      </c>
      <c r="AC4664">
        <v>14.822699999999999</v>
      </c>
      <c r="AD4664">
        <v>-1.120318693287</v>
      </c>
      <c r="AE4664">
        <v>-0.59204999999999997</v>
      </c>
      <c r="AF4664">
        <v>-0.30696827350339101</v>
      </c>
      <c r="AG4664">
        <v>-1.120318693287</v>
      </c>
      <c r="AH4664">
        <v>14.7471968264129</v>
      </c>
      <c r="AI4664">
        <v>94.343378249183203</v>
      </c>
      <c r="AJ4664">
        <v>91.192460317213801</v>
      </c>
      <c r="AK4664">
        <v>14.7928752354783</v>
      </c>
      <c r="AL4664">
        <v>79.769914530237401</v>
      </c>
      <c r="AM4664">
        <v>89.385793677323306</v>
      </c>
      <c r="AN4664">
        <v>0.99999995691977395</v>
      </c>
    </row>
    <row r="4665" spans="1:40" x14ac:dyDescent="0.25">
      <c r="A4665" t="str">
        <f>"20190303171110006"</f>
        <v>20190303171110006</v>
      </c>
      <c r="B4665" t="str">
        <f>"1551604269994969"</f>
        <v>1551604269994969</v>
      </c>
      <c r="C4665" t="s">
        <v>40</v>
      </c>
      <c r="D4665">
        <v>4.9299879999999998</v>
      </c>
      <c r="E4665">
        <v>0.49063580000000001</v>
      </c>
      <c r="F4665" t="s">
        <v>97</v>
      </c>
      <c r="G4665">
        <v>-367.26979999999998</v>
      </c>
      <c r="H4665" s="1">
        <v>-1.9464320000000002E-6</v>
      </c>
      <c r="I4665">
        <v>16.243040000000001</v>
      </c>
      <c r="J4665">
        <v>-382.52260000000001</v>
      </c>
      <c r="K4665">
        <v>1.1203829999999999</v>
      </c>
      <c r="L4665">
        <v>16.84036</v>
      </c>
      <c r="M4665">
        <v>0.99813059999999998</v>
      </c>
      <c r="N4665">
        <v>-6.8055569999999899E-3</v>
      </c>
      <c r="O4665">
        <v>-6.0739149999999999E-2</v>
      </c>
      <c r="P4665">
        <v>0.98281039999999997</v>
      </c>
      <c r="Q4665">
        <v>0.17051459999999999</v>
      </c>
      <c r="R4665">
        <v>-7.0770639999999996E-2</v>
      </c>
      <c r="S4665">
        <v>3.0826720000000001</v>
      </c>
      <c r="T4665">
        <v>-0.2232577</v>
      </c>
      <c r="U4665">
        <v>-0.12167360000000001</v>
      </c>
      <c r="V4665">
        <v>1.097851E-2</v>
      </c>
      <c r="W4665">
        <v>0.1772138</v>
      </c>
      <c r="X4665">
        <v>0.98411110000000002</v>
      </c>
      <c r="Y4665">
        <v>-2.1136060000000002E-2</v>
      </c>
      <c r="Z4665">
        <v>4.811231E-3</v>
      </c>
      <c r="AA4665">
        <v>0.99976500000000001</v>
      </c>
      <c r="AB4665">
        <v>26</v>
      </c>
      <c r="AC4665">
        <v>15.252800000000001</v>
      </c>
      <c r="AD4665">
        <v>-1.1203849464319999</v>
      </c>
      <c r="AE4665">
        <v>-0.59731999999999896</v>
      </c>
      <c r="AF4665">
        <v>-0.32847674552147899</v>
      </c>
      <c r="AG4665">
        <v>-1.1203849464319999</v>
      </c>
      <c r="AH4665">
        <v>15.1791442383381</v>
      </c>
      <c r="AI4665">
        <v>94.220408458116495</v>
      </c>
      <c r="AJ4665">
        <v>91.2396874241836</v>
      </c>
      <c r="AK4665">
        <v>15.223980399646299</v>
      </c>
      <c r="AL4665">
        <v>79.792486158243094</v>
      </c>
      <c r="AM4665">
        <v>89.360848387818805</v>
      </c>
      <c r="AN4665">
        <v>0.99999995786773399</v>
      </c>
    </row>
    <row r="4666" spans="1:40" x14ac:dyDescent="0.25">
      <c r="A4666" t="str">
        <f>"20190303171110019"</f>
        <v>20190303171110019</v>
      </c>
      <c r="B4666" t="str">
        <f>"1551604270005706"</f>
        <v>1551604270005706</v>
      </c>
      <c r="C4666" t="s">
        <v>40</v>
      </c>
      <c r="D4666">
        <v>4.9267580000000004</v>
      </c>
      <c r="E4666">
        <v>0.49034440000000001</v>
      </c>
      <c r="F4666" t="s">
        <v>97</v>
      </c>
      <c r="G4666">
        <v>-366.0403</v>
      </c>
      <c r="H4666" s="1">
        <v>-2.4783270000000002E-6</v>
      </c>
      <c r="I4666">
        <v>16.199400000000001</v>
      </c>
      <c r="J4666">
        <v>-382.3716</v>
      </c>
      <c r="K4666">
        <v>1.120439</v>
      </c>
      <c r="L4666">
        <v>16.831150000000001</v>
      </c>
      <c r="M4666">
        <v>0.99813200000000002</v>
      </c>
      <c r="N4666">
        <v>-6.7846969999999897E-3</v>
      </c>
      <c r="O4666">
        <v>-6.0717590000000002E-2</v>
      </c>
      <c r="P4666">
        <v>0.9828209</v>
      </c>
      <c r="Q4666">
        <v>0.17040720000000001</v>
      </c>
      <c r="R4666">
        <v>-7.0886770000000002E-2</v>
      </c>
      <c r="S4666">
        <v>3.0801699999999999</v>
      </c>
      <c r="T4666">
        <v>-0.2093738</v>
      </c>
      <c r="U4666">
        <v>-0.1197815</v>
      </c>
      <c r="V4666">
        <v>1.108877E-2</v>
      </c>
      <c r="W4666">
        <v>0.17708759999999901</v>
      </c>
      <c r="X4666">
        <v>0.98413260000000002</v>
      </c>
      <c r="Y4666">
        <v>-2.1718060000000001E-2</v>
      </c>
      <c r="Z4666">
        <v>4.5169620000000002E-3</v>
      </c>
      <c r="AA4666">
        <v>0.99975400000000003</v>
      </c>
      <c r="AB4666">
        <v>26</v>
      </c>
      <c r="AC4666">
        <v>16.331299999999999</v>
      </c>
      <c r="AD4666">
        <v>-1.120441478327</v>
      </c>
      <c r="AE4666">
        <v>-0.63175000000000003</v>
      </c>
      <c r="AF4666">
        <v>-0.35934668077536602</v>
      </c>
      <c r="AG4666">
        <v>-1.120441478327</v>
      </c>
      <c r="AH4666">
        <v>16.263091643105302</v>
      </c>
      <c r="AI4666">
        <v>93.940191492062098</v>
      </c>
      <c r="AJ4666">
        <v>91.265792440905699</v>
      </c>
      <c r="AK4666">
        <v>16.305602378795399</v>
      </c>
      <c r="AL4666">
        <v>79.799833280400094</v>
      </c>
      <c r="AM4666">
        <v>89.354443866690005</v>
      </c>
      <c r="AN4666">
        <v>0.99999997663831597</v>
      </c>
    </row>
    <row r="4667" spans="1:40" x14ac:dyDescent="0.25">
      <c r="A4667" t="str">
        <f>"20190303171110034"</f>
        <v>20190303171110034</v>
      </c>
      <c r="B4667" t="str">
        <f>"1551604270025225"</f>
        <v>1551604270025225</v>
      </c>
      <c r="C4667" t="s">
        <v>40</v>
      </c>
      <c r="D4667">
        <v>4.9287510000000001</v>
      </c>
      <c r="E4667">
        <v>0.48984319999999998</v>
      </c>
      <c r="F4667" t="s">
        <v>97</v>
      </c>
      <c r="G4667">
        <v>-365.4436</v>
      </c>
      <c r="H4667" s="1">
        <v>-2.763886E-6</v>
      </c>
      <c r="I4667">
        <v>16.1797</v>
      </c>
      <c r="J4667">
        <v>-382.18889999999999</v>
      </c>
      <c r="K4667">
        <v>1.1205130000000001</v>
      </c>
      <c r="L4667">
        <v>16.820070000000001</v>
      </c>
      <c r="M4667">
        <v>0.99813870000000005</v>
      </c>
      <c r="N4667">
        <v>-6.7617969999999999E-3</v>
      </c>
      <c r="O4667">
        <v>-6.0611600000000002E-2</v>
      </c>
      <c r="P4667">
        <v>0.98275800000000002</v>
      </c>
      <c r="Q4667">
        <v>0.17073150000000001</v>
      </c>
      <c r="R4667">
        <v>-7.0977369999999998E-2</v>
      </c>
      <c r="S4667">
        <v>3.0792540000000002</v>
      </c>
      <c r="T4667">
        <v>-0.20381199999999999</v>
      </c>
      <c r="U4667">
        <v>-0.1184998</v>
      </c>
      <c r="V4667">
        <v>1.1252659999999999E-2</v>
      </c>
      <c r="W4667">
        <v>0.17739170000000001</v>
      </c>
      <c r="X4667">
        <v>0.98407599999999995</v>
      </c>
      <c r="Y4667">
        <v>-2.2024470000000001E-2</v>
      </c>
      <c r="Z4667">
        <v>4.3957320000000003E-3</v>
      </c>
      <c r="AA4667">
        <v>0.99974779999999996</v>
      </c>
      <c r="AB4667">
        <v>27</v>
      </c>
      <c r="AC4667">
        <v>16.745299999999901</v>
      </c>
      <c r="AD4667">
        <v>-1.1205157638859999</v>
      </c>
      <c r="AE4667">
        <v>-0.64036999999999999</v>
      </c>
      <c r="AF4667">
        <v>-0.37411715179277499</v>
      </c>
      <c r="AG4667">
        <v>-1.1205157638859999</v>
      </c>
      <c r="AH4667">
        <v>16.6787533218973</v>
      </c>
      <c r="AI4667">
        <v>93.8425188132953</v>
      </c>
      <c r="AJ4667">
        <v>91.284972535271507</v>
      </c>
      <c r="AK4667">
        <v>16.7205362232521</v>
      </c>
      <c r="AL4667">
        <v>79.782129639595993</v>
      </c>
      <c r="AM4667">
        <v>89.344865814955199</v>
      </c>
      <c r="AN4667">
        <v>1.0000000056809799</v>
      </c>
    </row>
    <row r="4668" spans="1:40" x14ac:dyDescent="0.25">
      <c r="A4668" t="str">
        <f>"20190303171110053"</f>
        <v>20190303171110053</v>
      </c>
      <c r="B4668" t="str">
        <f>"1551604270045722"</f>
        <v>1551604270045722</v>
      </c>
      <c r="C4668" t="s">
        <v>40</v>
      </c>
      <c r="D4668">
        <v>4.9846949999999897</v>
      </c>
      <c r="E4668">
        <v>0.48950139999999998</v>
      </c>
      <c r="F4668" t="s">
        <v>97</v>
      </c>
      <c r="G4668">
        <v>-364.27280000000002</v>
      </c>
      <c r="H4668" s="1">
        <v>-3.322886E-6</v>
      </c>
      <c r="I4668">
        <v>16.14838</v>
      </c>
      <c r="J4668">
        <v>-381.9753</v>
      </c>
      <c r="K4668">
        <v>1.120619</v>
      </c>
      <c r="L4668">
        <v>16.807310000000001</v>
      </c>
      <c r="M4668">
        <v>0.99815379999999998</v>
      </c>
      <c r="N4668">
        <v>-6.7382379999999997E-3</v>
      </c>
      <c r="O4668">
        <v>-6.036337E-2</v>
      </c>
      <c r="P4668">
        <v>0.98241719999999999</v>
      </c>
      <c r="Q4668">
        <v>0.17238899999999999</v>
      </c>
      <c r="R4668">
        <v>-7.1685570000000004E-2</v>
      </c>
      <c r="S4668">
        <v>3.077728</v>
      </c>
      <c r="T4668">
        <v>-0.19248870000000001</v>
      </c>
      <c r="U4668">
        <v>-0.115387</v>
      </c>
      <c r="V4668">
        <v>1.218034E-2</v>
      </c>
      <c r="W4668">
        <v>0.17902689999999999</v>
      </c>
      <c r="X4668">
        <v>0.9837688</v>
      </c>
      <c r="Y4668">
        <v>-2.2783230000000002E-2</v>
      </c>
      <c r="Z4668">
        <v>4.1493140000000003E-3</v>
      </c>
      <c r="AA4668">
        <v>0.99973179999999995</v>
      </c>
      <c r="AB4668">
        <v>27</v>
      </c>
      <c r="AC4668">
        <v>17.702499999999901</v>
      </c>
      <c r="AD4668">
        <v>-1.1206223228859999</v>
      </c>
      <c r="AE4668">
        <v>-0.65893000000000101</v>
      </c>
      <c r="AF4668">
        <v>-0.40924069955214398</v>
      </c>
      <c r="AG4668">
        <v>-1.1206223228859999</v>
      </c>
      <c r="AH4668">
        <v>17.639405440162999</v>
      </c>
      <c r="AI4668">
        <v>93.634110864467104</v>
      </c>
      <c r="AJ4668">
        <v>91.329044754474495</v>
      </c>
      <c r="AK4668">
        <v>17.679702956304698</v>
      </c>
      <c r="AL4668">
        <v>79.686915605574598</v>
      </c>
      <c r="AM4668">
        <v>89.290639815662203</v>
      </c>
      <c r="AN4668">
        <v>1.00000002172978</v>
      </c>
    </row>
    <row r="4669" spans="1:40" x14ac:dyDescent="0.25">
      <c r="A4669" t="str">
        <f>"20190303171110075"</f>
        <v>20190303171110075</v>
      </c>
      <c r="B4669" t="str">
        <f>"1551604270065241"</f>
        <v>1551604270065241</v>
      </c>
      <c r="C4669" t="s">
        <v>40</v>
      </c>
      <c r="D4669">
        <v>4.9259810000000002</v>
      </c>
      <c r="E4669">
        <v>0.48921680000000001</v>
      </c>
      <c r="F4669" t="s">
        <v>97</v>
      </c>
      <c r="G4669">
        <v>-362.63229999999999</v>
      </c>
      <c r="H4669" s="1">
        <v>-4.1089409999999901E-6</v>
      </c>
      <c r="I4669">
        <v>16.08878</v>
      </c>
      <c r="J4669">
        <v>-381.70429999999999</v>
      </c>
      <c r="K4669">
        <v>1.120757</v>
      </c>
      <c r="L4669">
        <v>16.79129</v>
      </c>
      <c r="M4669">
        <v>0.9981833</v>
      </c>
      <c r="N4669">
        <v>-6.7073259999999996E-3</v>
      </c>
      <c r="O4669">
        <v>-5.9875159999999997E-2</v>
      </c>
      <c r="P4669">
        <v>0.98211309999999996</v>
      </c>
      <c r="Q4669">
        <v>0.17403840000000001</v>
      </c>
      <c r="R4669">
        <v>-7.1862449999999994E-2</v>
      </c>
      <c r="S4669">
        <v>3.07666</v>
      </c>
      <c r="T4669">
        <v>-0.1782435</v>
      </c>
      <c r="U4669">
        <v>-0.1142883</v>
      </c>
      <c r="V4669">
        <v>1.2795330000000001E-2</v>
      </c>
      <c r="W4669">
        <v>0.18064839999999999</v>
      </c>
      <c r="X4669">
        <v>0.98346449999999996</v>
      </c>
      <c r="Y4669">
        <v>-2.266E-2</v>
      </c>
      <c r="Z4669">
        <v>3.7924439999999998E-3</v>
      </c>
      <c r="AA4669">
        <v>0.99973599999999996</v>
      </c>
      <c r="AB4669">
        <v>27</v>
      </c>
      <c r="AC4669">
        <v>19.071999999999999</v>
      </c>
      <c r="AD4669">
        <v>-1.1207611089409999</v>
      </c>
      <c r="AE4669">
        <v>-0.70250999999999997</v>
      </c>
      <c r="AF4669">
        <v>-0.43920059791492899</v>
      </c>
      <c r="AG4669">
        <v>-1.1207611089409999</v>
      </c>
      <c r="AH4669">
        <v>19.0142718026244</v>
      </c>
      <c r="AI4669">
        <v>93.372393383283196</v>
      </c>
      <c r="AJ4669">
        <v>91.323209583036302</v>
      </c>
      <c r="AK4669">
        <v>19.0523367284068</v>
      </c>
      <c r="AL4669">
        <v>79.592470394801794</v>
      </c>
      <c r="AM4669">
        <v>89.254597349310401</v>
      </c>
      <c r="AN4669">
        <v>0.999999993826309</v>
      </c>
    </row>
    <row r="4670" spans="1:40" x14ac:dyDescent="0.25">
      <c r="A4670" t="str">
        <f>"20190303171110087"</f>
        <v>20190303171110087</v>
      </c>
      <c r="B4670" t="str">
        <f>"1551604270075002"</f>
        <v>1551604270075002</v>
      </c>
      <c r="C4670" t="s">
        <v>40</v>
      </c>
      <c r="D4670">
        <v>4.9263519999999996</v>
      </c>
      <c r="E4670">
        <v>0.4890989</v>
      </c>
      <c r="F4670" t="s">
        <v>97</v>
      </c>
      <c r="G4670">
        <v>-360.81909999999999</v>
      </c>
      <c r="H4670" s="1">
        <v>-4.9754340000000003E-6</v>
      </c>
      <c r="I4670">
        <v>16.03595</v>
      </c>
      <c r="J4670">
        <v>-381.56130000000002</v>
      </c>
      <c r="K4670">
        <v>1.1208359999999999</v>
      </c>
      <c r="L4670">
        <v>16.783049999999999</v>
      </c>
      <c r="M4670">
        <v>0.99820520000000001</v>
      </c>
      <c r="N4670">
        <v>-6.6885729999999997E-3</v>
      </c>
      <c r="O4670">
        <v>-5.9513620000000003E-2</v>
      </c>
      <c r="P4670">
        <v>0.98213139999999999</v>
      </c>
      <c r="Q4670">
        <v>0.17422879999999999</v>
      </c>
      <c r="R4670">
        <v>-7.1151610000000004E-2</v>
      </c>
      <c r="S4670">
        <v>3.0757140000000001</v>
      </c>
      <c r="T4670">
        <v>-0.16505149999999999</v>
      </c>
      <c r="U4670">
        <v>-0.1112366</v>
      </c>
      <c r="V4670">
        <v>1.240787E-2</v>
      </c>
      <c r="W4670">
        <v>0.18082200000000001</v>
      </c>
      <c r="X4670">
        <v>0.98343760000000002</v>
      </c>
      <c r="Y4670">
        <v>-2.329461E-2</v>
      </c>
      <c r="Z4670">
        <v>3.4924560000000001E-3</v>
      </c>
      <c r="AA4670">
        <v>0.99972249999999996</v>
      </c>
      <c r="AB4670">
        <v>27</v>
      </c>
      <c r="AC4670">
        <v>20.7422</v>
      </c>
      <c r="AD4670">
        <v>-1.1208409754340001</v>
      </c>
      <c r="AE4670">
        <v>-0.74709999999999899</v>
      </c>
      <c r="AF4670">
        <v>-0.48727419684057799</v>
      </c>
      <c r="AG4670">
        <v>-1.1208409754340001</v>
      </c>
      <c r="AH4670">
        <v>20.689561673060801</v>
      </c>
      <c r="AI4670">
        <v>93.100065281586694</v>
      </c>
      <c r="AJ4670">
        <v>91.349163171777207</v>
      </c>
      <c r="AK4670">
        <v>20.725628648089401</v>
      </c>
      <c r="AL4670">
        <v>79.582357705111605</v>
      </c>
      <c r="AM4670">
        <v>89.277146953770497</v>
      </c>
      <c r="AN4670">
        <v>1.0000000320078399</v>
      </c>
    </row>
    <row r="4671" spans="1:40" x14ac:dyDescent="0.25">
      <c r="A4671" t="str">
        <f>"20190303171110099"</f>
        <v>20190303171110099</v>
      </c>
      <c r="B4671" t="str">
        <f>"1551604270085738"</f>
        <v>1551604270085738</v>
      </c>
      <c r="C4671" t="s">
        <v>40</v>
      </c>
      <c r="D4671">
        <v>4.9817679999999998</v>
      </c>
      <c r="E4671">
        <v>0.48901129999999998</v>
      </c>
      <c r="F4671" t="s">
        <v>97</v>
      </c>
      <c r="G4671">
        <v>-360.16739999999999</v>
      </c>
      <c r="H4671" s="1">
        <v>-5.2840450000000003E-6</v>
      </c>
      <c r="I4671">
        <v>16.032579999999999</v>
      </c>
      <c r="J4671">
        <v>-381.41680000000002</v>
      </c>
      <c r="K4671">
        <v>1.12090499999999</v>
      </c>
      <c r="L4671">
        <v>16.774750000000001</v>
      </c>
      <c r="M4671">
        <v>0.99822880000000003</v>
      </c>
      <c r="N4671">
        <v>-6.6680609999999899E-3</v>
      </c>
      <c r="O4671">
        <v>-5.9117509999999998E-2</v>
      </c>
      <c r="P4671">
        <v>0.98223530000000003</v>
      </c>
      <c r="Q4671">
        <v>0.17400109999999999</v>
      </c>
      <c r="R4671">
        <v>-7.0267540000000003E-2</v>
      </c>
      <c r="S4671">
        <v>3.075348</v>
      </c>
      <c r="T4671">
        <v>-0.16111979999999901</v>
      </c>
      <c r="U4671">
        <v>-0.10787960000000001</v>
      </c>
      <c r="V4671">
        <v>1.1876879999999999E-2</v>
      </c>
      <c r="W4671">
        <v>0.18057619999999999</v>
      </c>
      <c r="X4671">
        <v>0.98348930000000001</v>
      </c>
      <c r="Y4671">
        <v>-2.3987930000000001E-2</v>
      </c>
      <c r="Z4671">
        <v>3.4056759999999998E-3</v>
      </c>
      <c r="AA4671">
        <v>0.9997064</v>
      </c>
      <c r="AB4671">
        <v>27</v>
      </c>
      <c r="AC4671">
        <v>21.249400000000001</v>
      </c>
      <c r="AD4671">
        <v>-1.12091028404499</v>
      </c>
      <c r="AE4671">
        <v>-0.742170000000001</v>
      </c>
      <c r="AF4671">
        <v>-0.51393924836032501</v>
      </c>
      <c r="AG4671">
        <v>-1.12091028404499</v>
      </c>
      <c r="AH4671">
        <v>21.197198880403</v>
      </c>
      <c r="AI4671">
        <v>93.026100303863799</v>
      </c>
      <c r="AJ4671">
        <v>91.3888996373922</v>
      </c>
      <c r="AK4671">
        <v>21.233035906135498</v>
      </c>
      <c r="AL4671">
        <v>79.596676528767901</v>
      </c>
      <c r="AM4671">
        <v>89.308114465103401</v>
      </c>
      <c r="AN4671">
        <v>1.00000001374973</v>
      </c>
    </row>
    <row r="4672" spans="1:40" x14ac:dyDescent="0.25">
      <c r="A4672" t="str">
        <f>"20190303171110111"</f>
        <v>20190303171110111</v>
      </c>
      <c r="B4672" t="str">
        <f>"1551604270105258"</f>
        <v>1551604270105258</v>
      </c>
      <c r="C4672" t="s">
        <v>40</v>
      </c>
      <c r="D4672">
        <v>4.9261019999999904</v>
      </c>
      <c r="E4672">
        <v>0.48880899999999999</v>
      </c>
      <c r="F4672" t="s">
        <v>42</v>
      </c>
      <c r="G4672">
        <v>-359.68990000000002</v>
      </c>
      <c r="H4672" s="1">
        <v>-1.044059E-6</v>
      </c>
      <c r="I4672">
        <v>16.036539999999999</v>
      </c>
      <c r="J4672">
        <v>-381.2758</v>
      </c>
      <c r="K4672">
        <v>1.12097</v>
      </c>
      <c r="L4672">
        <v>16.766749999999998</v>
      </c>
      <c r="M4672">
        <v>0.99825569999999997</v>
      </c>
      <c r="N4672">
        <v>-6.6441809999999999E-3</v>
      </c>
      <c r="O4672">
        <v>-5.8664460000000002E-2</v>
      </c>
      <c r="P4672">
        <v>0.98231900000000005</v>
      </c>
      <c r="Q4672">
        <v>0.1739484</v>
      </c>
      <c r="R4672">
        <v>-6.9220669999999998E-2</v>
      </c>
      <c r="S4672">
        <v>3.0748899999999999</v>
      </c>
      <c r="T4672">
        <v>-0.15863529999999901</v>
      </c>
      <c r="U4672">
        <v>-0.1044617</v>
      </c>
      <c r="V4672">
        <v>1.1241920000000001E-2</v>
      </c>
      <c r="W4672">
        <v>0.18050169999999999</v>
      </c>
      <c r="X4672">
        <v>0.98351040000000001</v>
      </c>
      <c r="Y4672">
        <v>-2.4641529999999998E-2</v>
      </c>
      <c r="Z4672">
        <v>3.3488620000000002E-3</v>
      </c>
      <c r="AA4672">
        <v>0.99969079999999999</v>
      </c>
      <c r="AB4672">
        <v>27</v>
      </c>
      <c r="AC4672">
        <v>21.585899999999899</v>
      </c>
      <c r="AD4672">
        <v>-1.1209710440589999</v>
      </c>
      <c r="AE4672">
        <v>-0.73020999999999903</v>
      </c>
      <c r="AF4672">
        <v>-0.53595698991928697</v>
      </c>
      <c r="AG4672">
        <v>-1.1209710440589999</v>
      </c>
      <c r="AH4672">
        <v>21.5335552481076</v>
      </c>
      <c r="AI4672">
        <v>92.979032294081406</v>
      </c>
      <c r="AJ4672">
        <v>91.425762466825802</v>
      </c>
      <c r="AK4672">
        <v>21.569372443350399</v>
      </c>
      <c r="AL4672">
        <v>79.601015977181703</v>
      </c>
      <c r="AM4672">
        <v>89.345114683331005</v>
      </c>
      <c r="AN4672">
        <v>0.99999997568816701</v>
      </c>
    </row>
    <row r="4673" spans="1:40" x14ac:dyDescent="0.25">
      <c r="A4673" t="str">
        <f>"20190303171110131"</f>
        <v>20190303171110131</v>
      </c>
      <c r="B4673" t="str">
        <f>"1551604270125754"</f>
        <v>1551604270125754</v>
      </c>
      <c r="C4673" t="s">
        <v>40</v>
      </c>
      <c r="D4673">
        <v>4.9792680000000002</v>
      </c>
      <c r="E4673">
        <v>0.48861690000000002</v>
      </c>
      <c r="F4673" t="s">
        <v>42</v>
      </c>
      <c r="G4673">
        <v>-358.87189999999998</v>
      </c>
      <c r="H4673" s="1">
        <v>-1.321301E-6</v>
      </c>
      <c r="I4673">
        <v>16.04074</v>
      </c>
      <c r="J4673">
        <v>-381.0342</v>
      </c>
      <c r="K4673">
        <v>1.1210709999999999</v>
      </c>
      <c r="L4673">
        <v>16.75339</v>
      </c>
      <c r="M4673">
        <v>0.99830680000000005</v>
      </c>
      <c r="N4673">
        <v>-6.602386E-3</v>
      </c>
      <c r="O4673">
        <v>-5.779426E-2</v>
      </c>
      <c r="P4673">
        <v>0.98243340000000001</v>
      </c>
      <c r="Q4673">
        <v>0.1740477</v>
      </c>
      <c r="R4673">
        <v>-6.7323359999999999E-2</v>
      </c>
      <c r="S4673">
        <v>3.0741879999999999</v>
      </c>
      <c r="T4673">
        <v>-0.15381629999999999</v>
      </c>
      <c r="U4673">
        <v>-9.9609379999999997E-2</v>
      </c>
      <c r="V4673">
        <v>1.0148809999999999E-2</v>
      </c>
      <c r="W4673">
        <v>0.18056120000000001</v>
      </c>
      <c r="X4673">
        <v>0.98351140000000004</v>
      </c>
      <c r="Y4673">
        <v>-2.5344309999999998E-2</v>
      </c>
      <c r="Z4673">
        <v>3.222983E-3</v>
      </c>
      <c r="AA4673">
        <v>0.99967360000000005</v>
      </c>
      <c r="AB4673">
        <v>27</v>
      </c>
      <c r="AC4673">
        <v>22.162299999999998</v>
      </c>
      <c r="AD4673">
        <v>-1.1210723213010001</v>
      </c>
      <c r="AE4673">
        <v>-0.71265000000000001</v>
      </c>
      <c r="AF4673">
        <v>-0.56797090465587596</v>
      </c>
      <c r="AG4673">
        <v>-1.1210723213010001</v>
      </c>
      <c r="AH4673">
        <v>22.109925805119499</v>
      </c>
      <c r="AI4673">
        <v>92.901711332969995</v>
      </c>
      <c r="AJ4673">
        <v>91.471519200116006</v>
      </c>
      <c r="AK4673">
        <v>22.145613859317798</v>
      </c>
      <c r="AL4673">
        <v>79.5975502850997</v>
      </c>
      <c r="AM4673">
        <v>89.408788406080305</v>
      </c>
      <c r="AN4673">
        <v>1.0000000096099</v>
      </c>
    </row>
    <row r="4674" spans="1:40" x14ac:dyDescent="0.25">
      <c r="A4674" t="str">
        <f>"20190303171110143"</f>
        <v>20190303171110143</v>
      </c>
      <c r="B4674" t="str">
        <f>"1551604270135515"</f>
        <v>1551604270135515</v>
      </c>
      <c r="C4674" t="s">
        <v>40</v>
      </c>
      <c r="D4674">
        <v>4.9033559999999996</v>
      </c>
      <c r="E4674">
        <v>0.48851929999999999</v>
      </c>
      <c r="F4674" t="s">
        <v>42</v>
      </c>
      <c r="G4674">
        <v>-358.0455</v>
      </c>
      <c r="H4674" s="1">
        <v>-1.5965219999999899E-6</v>
      </c>
      <c r="I4674">
        <v>16.063359999999999</v>
      </c>
      <c r="J4674">
        <v>-380.88229999999999</v>
      </c>
      <c r="K4674">
        <v>1.121132</v>
      </c>
      <c r="L4674">
        <v>16.745149999999999</v>
      </c>
      <c r="M4674">
        <v>0.99834199999999995</v>
      </c>
      <c r="N4674">
        <v>-6.5738460000000004E-3</v>
      </c>
      <c r="O4674">
        <v>-5.7183110000000002E-2</v>
      </c>
      <c r="P4674">
        <v>0.98237350000000001</v>
      </c>
      <c r="Q4674">
        <v>0.17472950000000001</v>
      </c>
      <c r="R4674">
        <v>-6.6421809999999998E-2</v>
      </c>
      <c r="S4674">
        <v>3.0739139999999998</v>
      </c>
      <c r="T4674">
        <v>-0.14990290000000001</v>
      </c>
      <c r="U4674">
        <v>-9.2254639999999999E-2</v>
      </c>
      <c r="V4674">
        <v>9.8249389999999995E-3</v>
      </c>
      <c r="W4674">
        <v>0.1812154</v>
      </c>
      <c r="X4674">
        <v>0.98339430000000005</v>
      </c>
      <c r="Y4674">
        <v>-2.7121820000000001E-2</v>
      </c>
      <c r="Z4674">
        <v>3.1587059999999998E-3</v>
      </c>
      <c r="AA4674">
        <v>0.99962720000000005</v>
      </c>
      <c r="AB4674">
        <v>27</v>
      </c>
      <c r="AC4674">
        <v>22.836799999999901</v>
      </c>
      <c r="AD4674">
        <v>-1.121133596522</v>
      </c>
      <c r="AE4674">
        <v>-0.68178999999999901</v>
      </c>
      <c r="AF4674">
        <v>-0.62373125639508498</v>
      </c>
      <c r="AG4674">
        <v>-1.121133596522</v>
      </c>
      <c r="AH4674">
        <v>22.7835554988986</v>
      </c>
      <c r="AI4674">
        <v>92.816085966517505</v>
      </c>
      <c r="AJ4674">
        <v>91.568159307861805</v>
      </c>
      <c r="AK4674">
        <v>22.819649041842201</v>
      </c>
      <c r="AL4674">
        <v>79.559438053411398</v>
      </c>
      <c r="AM4674">
        <v>89.427585852501494</v>
      </c>
      <c r="AN4674">
        <v>0.99999994994800001</v>
      </c>
    </row>
    <row r="4675" spans="1:40" x14ac:dyDescent="0.25">
      <c r="A4675" t="str">
        <f>"20190303171110155"</f>
        <v>20190303171110155</v>
      </c>
      <c r="B4675" t="str">
        <f>"1551604270145274"</f>
        <v>1551604270145274</v>
      </c>
      <c r="C4675" t="s">
        <v>40</v>
      </c>
      <c r="D4675">
        <v>4.9088580000000004</v>
      </c>
      <c r="E4675">
        <v>0.48842180000000002</v>
      </c>
      <c r="F4675" t="s">
        <v>42</v>
      </c>
      <c r="G4675">
        <v>-357.29640000000001</v>
      </c>
      <c r="H4675" s="1">
        <v>-1.850673E-6</v>
      </c>
      <c r="I4675">
        <v>16.066220000000001</v>
      </c>
      <c r="J4675">
        <v>-380.74349999999998</v>
      </c>
      <c r="K4675">
        <v>1.121189</v>
      </c>
      <c r="L4675">
        <v>16.7377</v>
      </c>
      <c r="M4675">
        <v>0.99837580000000004</v>
      </c>
      <c r="N4675">
        <v>-6.5463630000000004E-3</v>
      </c>
      <c r="O4675">
        <v>-5.6596220000000003E-2</v>
      </c>
      <c r="P4675">
        <v>0.98223640000000001</v>
      </c>
      <c r="Q4675">
        <v>0.1757927</v>
      </c>
      <c r="R4675">
        <v>-6.5643179999999995E-2</v>
      </c>
      <c r="S4675">
        <v>3.0738219999999998</v>
      </c>
      <c r="T4675">
        <v>-0.14611109999999999</v>
      </c>
      <c r="U4675">
        <v>-8.8470460000000001E-2</v>
      </c>
      <c r="V4675">
        <v>9.6070270000000006E-3</v>
      </c>
      <c r="W4675">
        <v>0.1822512</v>
      </c>
      <c r="X4675">
        <v>0.98320510000000005</v>
      </c>
      <c r="Y4675">
        <v>-2.7767090000000001E-2</v>
      </c>
      <c r="Z4675">
        <v>3.0664730000000001E-3</v>
      </c>
      <c r="AA4675">
        <v>0.99960970000000005</v>
      </c>
      <c r="AB4675">
        <v>27</v>
      </c>
      <c r="AC4675">
        <v>23.447099999999899</v>
      </c>
      <c r="AD4675">
        <v>-1.121190850673</v>
      </c>
      <c r="AE4675">
        <v>-0.67147999999999897</v>
      </c>
      <c r="AF4675">
        <v>-0.65514504946767604</v>
      </c>
      <c r="AG4675">
        <v>-1.121190850673</v>
      </c>
      <c r="AH4675">
        <v>23.394072341825002</v>
      </c>
      <c r="AI4675">
        <v>92.742800315104404</v>
      </c>
      <c r="AJ4675">
        <v>91.604134473169296</v>
      </c>
      <c r="AK4675">
        <v>23.430085460663999</v>
      </c>
      <c r="AL4675">
        <v>79.499086958284906</v>
      </c>
      <c r="AM4675">
        <v>89.440173180603495</v>
      </c>
      <c r="AN4675">
        <v>1.0000000317676101</v>
      </c>
    </row>
    <row r="4676" spans="1:40" x14ac:dyDescent="0.25">
      <c r="A4676" t="str">
        <f>"20190303171110165"</f>
        <v>20190303171110165</v>
      </c>
      <c r="B4676" t="str">
        <f>"1551604270155034"</f>
        <v>1551604270155034</v>
      </c>
      <c r="C4676" t="s">
        <v>40</v>
      </c>
      <c r="D4676">
        <v>4.853224</v>
      </c>
      <c r="E4676">
        <v>0.48834509999999998</v>
      </c>
      <c r="F4676" t="s">
        <v>42</v>
      </c>
      <c r="G4676">
        <v>-356.3159</v>
      </c>
      <c r="H4676" s="1">
        <v>-2.193262E-6</v>
      </c>
      <c r="I4676">
        <v>16.061710000000001</v>
      </c>
      <c r="J4676">
        <v>-380.61219999999997</v>
      </c>
      <c r="K4676">
        <v>1.121237</v>
      </c>
      <c r="L4676">
        <v>16.730799999999999</v>
      </c>
      <c r="M4676">
        <v>0.99841020000000003</v>
      </c>
      <c r="N4676">
        <v>-6.5172349999999997E-3</v>
      </c>
      <c r="O4676">
        <v>-5.5989829999999997E-2</v>
      </c>
      <c r="P4676">
        <v>0.98213320000000004</v>
      </c>
      <c r="Q4676">
        <v>0.1765745</v>
      </c>
      <c r="R4676">
        <v>-6.5085870000000004E-2</v>
      </c>
      <c r="S4676">
        <v>3.0738219999999998</v>
      </c>
      <c r="T4676">
        <v>-0.14108419999999999</v>
      </c>
      <c r="U4676">
        <v>-8.5052489999999994E-2</v>
      </c>
      <c r="V4676">
        <v>9.6307700000000003E-3</v>
      </c>
      <c r="W4676">
        <v>0.1830051</v>
      </c>
      <c r="X4676">
        <v>0.98306479999999996</v>
      </c>
      <c r="Y4676">
        <v>-2.8276369999999999E-2</v>
      </c>
      <c r="Z4676">
        <v>2.9422990000000002E-3</v>
      </c>
      <c r="AA4676">
        <v>0.99959580000000003</v>
      </c>
      <c r="AB4676">
        <v>27</v>
      </c>
      <c r="AC4676">
        <v>24.296299999999899</v>
      </c>
      <c r="AD4676">
        <v>-1.1212391932619901</v>
      </c>
      <c r="AE4676">
        <v>-0.66908999999999696</v>
      </c>
      <c r="AF4676">
        <v>-0.69086382793613799</v>
      </c>
      <c r="AG4676">
        <v>-1.1212391932619901</v>
      </c>
      <c r="AH4676">
        <v>24.24405558119</v>
      </c>
      <c r="AI4676">
        <v>92.646855761006094</v>
      </c>
      <c r="AJ4676">
        <v>91.632271145198601</v>
      </c>
      <c r="AK4676">
        <v>24.279800270617699</v>
      </c>
      <c r="AL4676">
        <v>79.455152552428302</v>
      </c>
      <c r="AM4676">
        <v>89.438709612618894</v>
      </c>
      <c r="AN4676">
        <v>1.00000000967792</v>
      </c>
    </row>
    <row r="4677" spans="1:40" x14ac:dyDescent="0.25">
      <c r="A4677" t="str">
        <f>"20190303171110176"</f>
        <v>20190303171110176</v>
      </c>
      <c r="B4677" t="str">
        <f>"1551604270165769"</f>
        <v>1551604270165769</v>
      </c>
      <c r="C4677" t="s">
        <v>40</v>
      </c>
      <c r="D4677">
        <v>4.9107459999999996</v>
      </c>
      <c r="E4677">
        <v>0.48826370000000002</v>
      </c>
      <c r="F4677" t="s">
        <v>42</v>
      </c>
      <c r="G4677">
        <v>-355.40899999999999</v>
      </c>
      <c r="H4677" s="1">
        <v>-2.5839139999999999E-6</v>
      </c>
      <c r="I4677">
        <v>16.05283</v>
      </c>
      <c r="J4677">
        <v>-380.48050000000001</v>
      </c>
      <c r="K4677">
        <v>1.121286</v>
      </c>
      <c r="L4677">
        <v>16.723939999999999</v>
      </c>
      <c r="M4677">
        <v>0.99844480000000002</v>
      </c>
      <c r="N4677">
        <v>-6.4873789999999997E-3</v>
      </c>
      <c r="O4677">
        <v>-5.5372850000000001E-2</v>
      </c>
      <c r="P4677">
        <v>0.9819755</v>
      </c>
      <c r="Q4677">
        <v>0.17776879999999901</v>
      </c>
      <c r="R4677">
        <v>-6.4209390000000005E-2</v>
      </c>
      <c r="S4677">
        <v>3.0736690000000002</v>
      </c>
      <c r="T4677">
        <v>-0.13674129999999901</v>
      </c>
      <c r="U4677">
        <v>-8.2672120000000002E-2</v>
      </c>
      <c r="V4677">
        <v>9.3485549999999997E-3</v>
      </c>
      <c r="W4677">
        <v>0.1841689</v>
      </c>
      <c r="X4677">
        <v>0.98285009999999995</v>
      </c>
      <c r="Y4677">
        <v>-2.8436019999999999E-2</v>
      </c>
      <c r="Z4677">
        <v>2.8255540000000001E-3</v>
      </c>
      <c r="AA4677">
        <v>0.99959160000000002</v>
      </c>
      <c r="AB4677">
        <v>27</v>
      </c>
      <c r="AC4677">
        <v>25.0715</v>
      </c>
      <c r="AD4677">
        <v>-1.1212885839139899</v>
      </c>
      <c r="AE4677">
        <v>-0.67110999999999799</v>
      </c>
      <c r="AF4677">
        <v>-0.71679642844623304</v>
      </c>
      <c r="AG4677">
        <v>-1.1212885839139899</v>
      </c>
      <c r="AH4677">
        <v>25.020184784239898</v>
      </c>
      <c r="AI4677">
        <v>92.564963045427703</v>
      </c>
      <c r="AJ4677">
        <v>91.641002258949996</v>
      </c>
      <c r="AK4677">
        <v>25.055552914389299</v>
      </c>
      <c r="AL4677">
        <v>79.387318131647802</v>
      </c>
      <c r="AM4677">
        <v>89.455037351413395</v>
      </c>
      <c r="AN4677">
        <v>0.999999949138902</v>
      </c>
    </row>
    <row r="4678" spans="1:40" x14ac:dyDescent="0.25">
      <c r="A4678" t="str">
        <f>"20190303171110188"</f>
        <v>20190303171110188</v>
      </c>
      <c r="B4678" t="str">
        <f>"1551604270175529"</f>
        <v>1551604270175529</v>
      </c>
      <c r="C4678" t="s">
        <v>40</v>
      </c>
      <c r="D4678">
        <v>4.9096710000000003</v>
      </c>
      <c r="E4678">
        <v>0.4881955</v>
      </c>
      <c r="F4678" t="s">
        <v>42</v>
      </c>
      <c r="G4678">
        <v>-354.12529999999998</v>
      </c>
      <c r="H4678" s="1">
        <v>-3.1365029999999998E-6</v>
      </c>
      <c r="I4678">
        <v>16.042159999999999</v>
      </c>
      <c r="J4678">
        <v>-380.33929999999998</v>
      </c>
      <c r="K4678">
        <v>1.1213280000000001</v>
      </c>
      <c r="L4678">
        <v>16.71677</v>
      </c>
      <c r="M4678">
        <v>0.9984845</v>
      </c>
      <c r="N4678">
        <v>-6.45058E-3</v>
      </c>
      <c r="O4678">
        <v>-5.4656679999999999E-2</v>
      </c>
      <c r="P4678">
        <v>0.98194210000000004</v>
      </c>
      <c r="Q4678">
        <v>0.17824960000000001</v>
      </c>
      <c r="R4678">
        <v>-6.3379270000000001E-2</v>
      </c>
      <c r="S4678">
        <v>3.0735169999999998</v>
      </c>
      <c r="T4678">
        <v>-0.13076380000000001</v>
      </c>
      <c r="U4678">
        <v>-7.9498289999999999E-2</v>
      </c>
      <c r="V4678">
        <v>9.2047940000000005E-3</v>
      </c>
      <c r="W4678">
        <v>0.18461369999999999</v>
      </c>
      <c r="X4678">
        <v>0.98276810000000003</v>
      </c>
      <c r="Y4678">
        <v>-2.875583E-2</v>
      </c>
      <c r="Z4678">
        <v>2.6742409999999999E-3</v>
      </c>
      <c r="AA4678">
        <v>0.99958290000000005</v>
      </c>
      <c r="AB4678">
        <v>27</v>
      </c>
      <c r="AC4678">
        <v>26.213999999999999</v>
      </c>
      <c r="AD4678">
        <v>-1.1213311365029901</v>
      </c>
      <c r="AE4678">
        <v>-0.67461000000000104</v>
      </c>
      <c r="AF4678">
        <v>-0.75781255791994695</v>
      </c>
      <c r="AG4678">
        <v>-1.1213311365029901</v>
      </c>
      <c r="AH4678">
        <v>26.163843919402499</v>
      </c>
      <c r="AI4678">
        <v>92.453055644376093</v>
      </c>
      <c r="AJ4678">
        <v>91.659057654364602</v>
      </c>
      <c r="AK4678">
        <v>26.198824248990299</v>
      </c>
      <c r="AL4678">
        <v>79.361389350998607</v>
      </c>
      <c r="AM4678">
        <v>89.463372461651204</v>
      </c>
      <c r="AN4678">
        <v>1.0000000424189399</v>
      </c>
    </row>
    <row r="4679" spans="1:40" x14ac:dyDescent="0.25">
      <c r="A4679" t="str">
        <f>"20190303171110207"</f>
        <v>20190303171110207</v>
      </c>
      <c r="B4679" t="str">
        <f>"1551604270196026"</f>
        <v>1551604270196026</v>
      </c>
      <c r="C4679" t="s">
        <v>40</v>
      </c>
      <c r="D4679">
        <v>4.9219790000000003</v>
      </c>
      <c r="E4679">
        <v>0.48811019999999999</v>
      </c>
      <c r="F4679" t="s">
        <v>42</v>
      </c>
      <c r="G4679">
        <v>-353.40800000000002</v>
      </c>
      <c r="H4679" s="1">
        <v>-3.4434899999999999E-6</v>
      </c>
      <c r="I4679">
        <v>16.046279999999999</v>
      </c>
      <c r="J4679">
        <v>-380.10050000000001</v>
      </c>
      <c r="K4679">
        <v>1.1213930000000001</v>
      </c>
      <c r="L4679">
        <v>16.704899999999999</v>
      </c>
      <c r="M4679">
        <v>0.99855280000000002</v>
      </c>
      <c r="N4679">
        <v>-6.3881110000000001E-3</v>
      </c>
      <c r="O4679">
        <v>-5.3401999999999998E-2</v>
      </c>
      <c r="P4679">
        <v>0.98206439999999995</v>
      </c>
      <c r="Q4679">
        <v>0.17837900000000001</v>
      </c>
      <c r="R4679">
        <v>-6.1080460000000003E-2</v>
      </c>
      <c r="S4679">
        <v>3.0734249999999999</v>
      </c>
      <c r="T4679">
        <v>-0.12796769999999999</v>
      </c>
      <c r="U4679">
        <v>-7.6507569999999997E-2</v>
      </c>
      <c r="V4679">
        <v>8.1040109999999995E-3</v>
      </c>
      <c r="W4679">
        <v>0.1846807</v>
      </c>
      <c r="X4679">
        <v>0.98276509999999995</v>
      </c>
      <c r="Y4679">
        <v>-2.847498E-2</v>
      </c>
      <c r="Z4679">
        <v>2.5633460000000002E-3</v>
      </c>
      <c r="AA4679">
        <v>0.99959120000000001</v>
      </c>
      <c r="AB4679">
        <v>27</v>
      </c>
      <c r="AC4679">
        <v>26.6924999999999</v>
      </c>
      <c r="AD4679">
        <v>-1.1213964434899999</v>
      </c>
      <c r="AE4679">
        <v>-0.65861999999999898</v>
      </c>
      <c r="AF4679">
        <v>-0.76642968970841296</v>
      </c>
      <c r="AG4679">
        <v>-1.1213964434899999</v>
      </c>
      <c r="AH4679">
        <v>26.642588106213701</v>
      </c>
      <c r="AI4679">
        <v>92.409182580728995</v>
      </c>
      <c r="AJ4679">
        <v>91.647778322623495</v>
      </c>
      <c r="AK4679">
        <v>26.677189609291698</v>
      </c>
      <c r="AL4679">
        <v>79.357482255132894</v>
      </c>
      <c r="AM4679">
        <v>89.527542132555993</v>
      </c>
      <c r="AN4679">
        <v>0.99999993886239202</v>
      </c>
    </row>
    <row r="4680" spans="1:40" x14ac:dyDescent="0.25">
      <c r="A4680" t="str">
        <f>"20190303171110220"</f>
        <v>20190303171110220</v>
      </c>
      <c r="B4680" t="str">
        <f>"1551604270205786"</f>
        <v>1551604270205786</v>
      </c>
      <c r="C4680" t="s">
        <v>40</v>
      </c>
      <c r="D4680">
        <v>4.9062419999999998</v>
      </c>
      <c r="E4680">
        <v>0.48809330000000001</v>
      </c>
      <c r="F4680" t="s">
        <v>42</v>
      </c>
      <c r="G4680">
        <v>-352.51280000000003</v>
      </c>
      <c r="H4680" s="1">
        <v>-3.8208029999999998E-6</v>
      </c>
      <c r="I4680">
        <v>16.084299999999999</v>
      </c>
      <c r="J4680">
        <v>-379.95639999999997</v>
      </c>
      <c r="K4680">
        <v>1.1214280000000001</v>
      </c>
      <c r="L4680">
        <v>16.697879999999898</v>
      </c>
      <c r="M4680">
        <v>0.99859469999999995</v>
      </c>
      <c r="N4680">
        <v>-6.3503509999999997E-3</v>
      </c>
      <c r="O4680">
        <v>-5.2616030000000001E-2</v>
      </c>
      <c r="P4680">
        <v>0.9821145</v>
      </c>
      <c r="Q4680">
        <v>0.17848749999999999</v>
      </c>
      <c r="R4680">
        <v>-5.9944659999999997E-2</v>
      </c>
      <c r="S4680">
        <v>3.0731809999999999</v>
      </c>
      <c r="T4680">
        <v>-0.12492</v>
      </c>
      <c r="U4680">
        <v>-6.9122310000000006E-2</v>
      </c>
      <c r="V4680">
        <v>7.7220049999999997E-3</v>
      </c>
      <c r="W4680">
        <v>0.1847519</v>
      </c>
      <c r="X4680">
        <v>0.98275480000000004</v>
      </c>
      <c r="Y4680">
        <v>-3.008893E-2</v>
      </c>
      <c r="Z4680">
        <v>2.5092109999999999E-3</v>
      </c>
      <c r="AA4680">
        <v>0.99954410000000005</v>
      </c>
      <c r="AB4680">
        <v>27</v>
      </c>
      <c r="AC4680">
        <v>27.443599999999901</v>
      </c>
      <c r="AD4680">
        <v>-1.1214318208030001</v>
      </c>
      <c r="AE4680">
        <v>-0.61357999999999802</v>
      </c>
      <c r="AF4680">
        <v>-0.82988719417628298</v>
      </c>
      <c r="AG4680">
        <v>-1.1214318208030001</v>
      </c>
      <c r="AH4680">
        <v>27.392152392412601</v>
      </c>
      <c r="AI4680">
        <v>92.343299966222006</v>
      </c>
      <c r="AJ4680">
        <v>91.735332547988506</v>
      </c>
      <c r="AK4680">
        <v>27.427656384987099</v>
      </c>
      <c r="AL4680">
        <v>79.353331437020202</v>
      </c>
      <c r="AM4680">
        <v>89.549807143379695</v>
      </c>
      <c r="AN4680">
        <v>0.999999945418933</v>
      </c>
    </row>
    <row r="4681" spans="1:40" x14ac:dyDescent="0.25">
      <c r="A4681" t="str">
        <f>"20190303171110233"</f>
        <v>20190303171110233</v>
      </c>
      <c r="B4681" t="str">
        <f>"1551604270226282"</f>
        <v>1551604270226282</v>
      </c>
      <c r="C4681" t="s">
        <v>40</v>
      </c>
      <c r="D4681">
        <v>4.9102569999999996</v>
      </c>
      <c r="E4681">
        <v>0.48808030000000002</v>
      </c>
      <c r="F4681" t="s">
        <v>42</v>
      </c>
      <c r="G4681">
        <v>-352.12049999999999</v>
      </c>
      <c r="H4681" s="1">
        <v>-3.9857319999999998E-6</v>
      </c>
      <c r="I4681">
        <v>16.103200000000001</v>
      </c>
      <c r="J4681">
        <v>-379.78469999999999</v>
      </c>
      <c r="K4681">
        <v>1.1214630000000001</v>
      </c>
      <c r="L4681">
        <v>16.689729999999901</v>
      </c>
      <c r="M4681">
        <v>0.99864549999999996</v>
      </c>
      <c r="N4681">
        <v>-6.3055400000000001E-3</v>
      </c>
      <c r="O4681">
        <v>-5.1647890000000002E-2</v>
      </c>
      <c r="P4681">
        <v>0.98217639999999995</v>
      </c>
      <c r="Q4681">
        <v>0.1785669</v>
      </c>
      <c r="R4681">
        <v>-5.8684130000000001E-2</v>
      </c>
      <c r="S4681">
        <v>3.0731199999999999</v>
      </c>
      <c r="T4681">
        <v>-0.12380770000000001</v>
      </c>
      <c r="U4681">
        <v>-6.5643309999999996E-2</v>
      </c>
      <c r="V4681">
        <v>7.3923879999999997E-3</v>
      </c>
      <c r="W4681">
        <v>0.1847876</v>
      </c>
      <c r="X4681">
        <v>0.98275069999999998</v>
      </c>
      <c r="Y4681">
        <v>-3.0251920000000002E-2</v>
      </c>
      <c r="Z4681">
        <v>2.4575170000000002E-3</v>
      </c>
      <c r="AA4681">
        <v>0.99953930000000002</v>
      </c>
      <c r="AB4681">
        <v>28</v>
      </c>
      <c r="AC4681">
        <v>27.664199999999902</v>
      </c>
      <c r="AD4681">
        <v>-1.1214669857320001</v>
      </c>
      <c r="AE4681">
        <v>-0.586529999999996</v>
      </c>
      <c r="AF4681">
        <v>-0.84169613104154095</v>
      </c>
      <c r="AG4681">
        <v>-1.1214669857320001</v>
      </c>
      <c r="AH4681">
        <v>27.6122135029491</v>
      </c>
      <c r="AI4681">
        <v>92.324704819589599</v>
      </c>
      <c r="AJ4681">
        <v>91.7459921206638</v>
      </c>
      <c r="AK4681">
        <v>27.6477933135637</v>
      </c>
      <c r="AL4681">
        <v>79.351250960388498</v>
      </c>
      <c r="AM4681">
        <v>89.569021274035407</v>
      </c>
      <c r="AN4681">
        <v>1.0000000214322899</v>
      </c>
    </row>
    <row r="4682" spans="1:40" x14ac:dyDescent="0.25">
      <c r="A4682" t="str">
        <f>"20190303171110254"</f>
        <v>20190303171110254</v>
      </c>
      <c r="B4682" t="str">
        <f>"1551604270245802"</f>
        <v>1551604270245802</v>
      </c>
      <c r="C4682" t="s">
        <v>40</v>
      </c>
      <c r="D4682">
        <v>4.9674769999999997</v>
      </c>
      <c r="E4682">
        <v>0.48801230000000001</v>
      </c>
      <c r="F4682" t="s">
        <v>42</v>
      </c>
      <c r="G4682">
        <v>-351.42910000000001</v>
      </c>
      <c r="H4682" s="1">
        <v>-4.2792340000000001E-6</v>
      </c>
      <c r="I4682">
        <v>16.12078</v>
      </c>
      <c r="J4682">
        <v>-379.53309999999999</v>
      </c>
      <c r="K4682">
        <v>1.12151</v>
      </c>
      <c r="L4682">
        <v>16.678159999999998</v>
      </c>
      <c r="M4682">
        <v>0.99872030000000001</v>
      </c>
      <c r="N4682">
        <v>-6.2413950000000003E-3</v>
      </c>
      <c r="O4682">
        <v>-5.0186519999999998E-2</v>
      </c>
      <c r="P4682">
        <v>0.98221899999999995</v>
      </c>
      <c r="Q4682">
        <v>0.17877270000000001</v>
      </c>
      <c r="R4682">
        <v>-5.7323730000000003E-2</v>
      </c>
      <c r="S4682">
        <v>3.0728149999999999</v>
      </c>
      <c r="T4682">
        <v>-0.1215301</v>
      </c>
      <c r="U4682">
        <v>-6.1645510000000001E-2</v>
      </c>
      <c r="V4682">
        <v>7.4440230000000001E-3</v>
      </c>
      <c r="W4682">
        <v>0.1849314</v>
      </c>
      <c r="X4682">
        <v>0.98272320000000002</v>
      </c>
      <c r="Y4682">
        <v>-3.009015E-2</v>
      </c>
      <c r="Z4682">
        <v>2.3584869999999998E-3</v>
      </c>
      <c r="AA4682">
        <v>0.9995444</v>
      </c>
      <c r="AB4682">
        <v>28</v>
      </c>
      <c r="AC4682">
        <v>28.1039999999999</v>
      </c>
      <c r="AD4682">
        <v>-1.121514279234</v>
      </c>
      <c r="AE4682">
        <v>-0.55738000000000198</v>
      </c>
      <c r="AF4682">
        <v>-0.85243496875443603</v>
      </c>
      <c r="AG4682">
        <v>-1.121514279234</v>
      </c>
      <c r="AH4682">
        <v>28.051902760291799</v>
      </c>
      <c r="AI4682">
        <v>92.288409128981101</v>
      </c>
      <c r="AJ4682">
        <v>91.740555756459401</v>
      </c>
      <c r="AK4682">
        <v>28.087251345180601</v>
      </c>
      <c r="AL4682">
        <v>79.342866694580096</v>
      </c>
      <c r="AM4682">
        <v>89.565998906726406</v>
      </c>
      <c r="AN4682">
        <v>0.99999996200131103</v>
      </c>
    </row>
    <row r="4683" spans="1:40" x14ac:dyDescent="0.25">
      <c r="A4683" t="str">
        <f>"20190303171110268"</f>
        <v>20190303171110268</v>
      </c>
      <c r="B4683" t="str">
        <f>"1551604270255562"</f>
        <v>1551604270255562</v>
      </c>
      <c r="C4683" t="s">
        <v>40</v>
      </c>
      <c r="D4683">
        <v>4.9696150000000001</v>
      </c>
      <c r="E4683">
        <v>0.48798979999999997</v>
      </c>
      <c r="F4683" t="s">
        <v>42</v>
      </c>
      <c r="G4683">
        <v>-350.5865</v>
      </c>
      <c r="H4683" s="1">
        <v>-4.6361119999999999E-6</v>
      </c>
      <c r="I4683">
        <v>16.1465</v>
      </c>
      <c r="J4683">
        <v>-379.35700000000003</v>
      </c>
      <c r="K4683">
        <v>1.121537</v>
      </c>
      <c r="L4683">
        <v>16.67032</v>
      </c>
      <c r="M4683">
        <v>0.99877280000000002</v>
      </c>
      <c r="N4683">
        <v>-6.1990630000000003E-3</v>
      </c>
      <c r="O4683">
        <v>-4.9138719999999997E-2</v>
      </c>
      <c r="P4683">
        <v>0.98224730000000005</v>
      </c>
      <c r="Q4683">
        <v>0.178940299999999</v>
      </c>
      <c r="R4683">
        <v>-5.631005E-2</v>
      </c>
      <c r="S4683">
        <v>3.0726930000000001</v>
      </c>
      <c r="T4683">
        <v>-0.1190493</v>
      </c>
      <c r="U4683">
        <v>-5.6426999999999998E-2</v>
      </c>
      <c r="V4683">
        <v>7.4465769999999898E-3</v>
      </c>
      <c r="W4683">
        <v>0.18505750000000001</v>
      </c>
      <c r="X4683">
        <v>0.98269949999999995</v>
      </c>
      <c r="Y4683">
        <v>-3.0739909999999999E-2</v>
      </c>
      <c r="Z4683">
        <v>2.2881139999999999E-3</v>
      </c>
      <c r="AA4683">
        <v>0.99952479999999999</v>
      </c>
      <c r="AB4683">
        <v>28</v>
      </c>
      <c r="AC4683">
        <v>28.770499999999899</v>
      </c>
      <c r="AD4683">
        <v>-1.1215416361120001</v>
      </c>
      <c r="AE4683">
        <v>-0.52381999999999995</v>
      </c>
      <c r="AF4683">
        <v>-0.88923456781445498</v>
      </c>
      <c r="AG4683">
        <v>-1.1215416361120001</v>
      </c>
      <c r="AH4683">
        <v>28.717857321779402</v>
      </c>
      <c r="AI4683">
        <v>92.235411394490697</v>
      </c>
      <c r="AJ4683">
        <v>91.773569423276399</v>
      </c>
      <c r="AK4683">
        <v>28.753502793785099</v>
      </c>
      <c r="AL4683">
        <v>79.335515409799896</v>
      </c>
      <c r="AM4683">
        <v>89.565839539133293</v>
      </c>
      <c r="AN4683">
        <v>1.00000001855775</v>
      </c>
    </row>
    <row r="4684" spans="1:40" x14ac:dyDescent="0.25">
      <c r="A4684" t="str">
        <f>"20190303171110286"</f>
        <v>20190303171110286</v>
      </c>
      <c r="B4684" t="str">
        <f>"1551604270275081"</f>
        <v>1551604270275081</v>
      </c>
      <c r="C4684" t="s">
        <v>40</v>
      </c>
      <c r="D4684">
        <v>4.9748669999999997</v>
      </c>
      <c r="E4684">
        <v>0.4879906</v>
      </c>
      <c r="F4684" t="s">
        <v>42</v>
      </c>
      <c r="G4684">
        <v>-350.05590000000001</v>
      </c>
      <c r="H4684" s="1">
        <v>-4.8605819999999996E-6</v>
      </c>
      <c r="I4684">
        <v>16.164439999999999</v>
      </c>
      <c r="J4684">
        <v>-379.1277</v>
      </c>
      <c r="K4684">
        <v>1.1215630000000001</v>
      </c>
      <c r="L4684">
        <v>16.66037</v>
      </c>
      <c r="M4684">
        <v>0.99884030000000001</v>
      </c>
      <c r="N4684">
        <v>-6.1469130000000004E-3</v>
      </c>
      <c r="O4684">
        <v>-4.7755800000000001E-2</v>
      </c>
      <c r="P4684">
        <v>0.98223510000000003</v>
      </c>
      <c r="Q4684">
        <v>0.17948310000000001</v>
      </c>
      <c r="R4684">
        <v>-5.4775270000000001E-2</v>
      </c>
      <c r="S4684">
        <v>3.072632</v>
      </c>
      <c r="T4684">
        <v>-0.1176094</v>
      </c>
      <c r="U4684">
        <v>-5.3039549999999998E-2</v>
      </c>
      <c r="V4684">
        <v>7.2584379999999999E-3</v>
      </c>
      <c r="W4684">
        <v>0.18554860000000001</v>
      </c>
      <c r="X4684">
        <v>0.98260829999999999</v>
      </c>
      <c r="Y4684">
        <v>-3.0459429999999999E-2</v>
      </c>
      <c r="Z4684">
        <v>2.209197E-3</v>
      </c>
      <c r="AA4684">
        <v>0.99953349999999996</v>
      </c>
      <c r="AB4684">
        <v>28</v>
      </c>
      <c r="AC4684">
        <v>29.0718</v>
      </c>
      <c r="AD4684">
        <v>-1.1215678605820001</v>
      </c>
      <c r="AE4684">
        <v>-0.49593000000000098</v>
      </c>
      <c r="AF4684">
        <v>-0.89168215738920997</v>
      </c>
      <c r="AG4684">
        <v>-1.1215678605820001</v>
      </c>
      <c r="AH4684">
        <v>29.0191347171085</v>
      </c>
      <c r="AI4684">
        <v>92.212294302222105</v>
      </c>
      <c r="AJ4684">
        <v>91.759995766615702</v>
      </c>
      <c r="AK4684">
        <v>29.054486594421</v>
      </c>
      <c r="AL4684">
        <v>79.306881565893704</v>
      </c>
      <c r="AM4684">
        <v>89.576768994132706</v>
      </c>
      <c r="AN4684">
        <v>1.00000001955652</v>
      </c>
    </row>
    <row r="4685" spans="1:40" x14ac:dyDescent="0.25">
      <c r="A4685" t="str">
        <f>"20190303171110297"</f>
        <v>20190303171110297</v>
      </c>
      <c r="B4685" t="str">
        <f>"1551604270285818"</f>
        <v>1551604270285818</v>
      </c>
      <c r="C4685" t="s">
        <v>40</v>
      </c>
      <c r="D4685">
        <v>4.9747940000000002</v>
      </c>
      <c r="E4685">
        <v>0.48799710000000002</v>
      </c>
      <c r="F4685" t="s">
        <v>42</v>
      </c>
      <c r="G4685">
        <v>-348.95580000000001</v>
      </c>
      <c r="H4685" s="1">
        <v>-1.2539730000000001E-6</v>
      </c>
      <c r="I4685">
        <v>16.18647</v>
      </c>
      <c r="J4685">
        <v>-378.98809999999997</v>
      </c>
      <c r="K4685">
        <v>1.1215820000000001</v>
      </c>
      <c r="L4685">
        <v>16.654450000000001</v>
      </c>
      <c r="M4685">
        <v>0.99888049999999995</v>
      </c>
      <c r="N4685">
        <v>-6.1166160000000001E-3</v>
      </c>
      <c r="O4685">
        <v>-4.6907160000000003E-2</v>
      </c>
      <c r="P4685">
        <v>0.98223499999999997</v>
      </c>
      <c r="Q4685">
        <v>0.17981910000000001</v>
      </c>
      <c r="R4685">
        <v>-5.3662219999999997E-2</v>
      </c>
      <c r="S4685">
        <v>3.0724179999999999</v>
      </c>
      <c r="T4685">
        <v>-0.1142094</v>
      </c>
      <c r="U4685">
        <v>-4.8248289999999999E-2</v>
      </c>
      <c r="V4685">
        <v>6.9730240000000004E-3</v>
      </c>
      <c r="W4685">
        <v>0.18585409999999999</v>
      </c>
      <c r="X4685">
        <v>0.9825526</v>
      </c>
      <c r="Y4685">
        <v>-3.1170150000000001E-2</v>
      </c>
      <c r="Z4685">
        <v>2.1298580000000001E-3</v>
      </c>
      <c r="AA4685">
        <v>0.99951179999999995</v>
      </c>
      <c r="AB4685">
        <v>28</v>
      </c>
      <c r="AC4685">
        <v>30.0322999999999</v>
      </c>
      <c r="AD4685">
        <v>-1.121583253973</v>
      </c>
      <c r="AE4685">
        <v>-0.46798000000000001</v>
      </c>
      <c r="AF4685">
        <v>-0.93998074968979395</v>
      </c>
      <c r="AG4685">
        <v>-1.121583253973</v>
      </c>
      <c r="AH4685">
        <v>29.979390240146198</v>
      </c>
      <c r="AI4685">
        <v>92.141488200706803</v>
      </c>
      <c r="AJ4685">
        <v>91.795876802515494</v>
      </c>
      <c r="AK4685">
        <v>30.015085406780901</v>
      </c>
      <c r="AL4685">
        <v>79.289067544860401</v>
      </c>
      <c r="AM4685">
        <v>89.593387531149901</v>
      </c>
      <c r="AN4685">
        <v>0.99999999065863698</v>
      </c>
    </row>
    <row r="4686" spans="1:40" x14ac:dyDescent="0.25">
      <c r="A4686" t="str">
        <f>"20190303171110319"</f>
        <v>20190303171110319</v>
      </c>
      <c r="B4686" t="str">
        <f>"1551604270305338"</f>
        <v>1551604270305338</v>
      </c>
      <c r="C4686" t="s">
        <v>40</v>
      </c>
      <c r="D4686">
        <v>4.9763739999999999</v>
      </c>
      <c r="E4686">
        <v>0.48801260000000002</v>
      </c>
      <c r="F4686" t="s">
        <v>42</v>
      </c>
      <c r="G4686">
        <v>-348.32130000000001</v>
      </c>
      <c r="H4686" s="1">
        <v>-1.4643300000000001E-6</v>
      </c>
      <c r="I4686">
        <v>16.20749</v>
      </c>
      <c r="J4686">
        <v>-378.71550000000002</v>
      </c>
      <c r="K4686">
        <v>1.121602</v>
      </c>
      <c r="L4686">
        <v>16.643370000000001</v>
      </c>
      <c r="M4686">
        <v>0.99895800000000001</v>
      </c>
      <c r="N4686">
        <v>-6.0625540000000004E-3</v>
      </c>
      <c r="O4686">
        <v>-4.523605E-2</v>
      </c>
      <c r="P4686">
        <v>0.9820913</v>
      </c>
      <c r="Q4686">
        <v>0.18115290000000001</v>
      </c>
      <c r="R4686">
        <v>-5.1774590000000002E-2</v>
      </c>
      <c r="S4686">
        <v>3.0723569999999998</v>
      </c>
      <c r="T4686">
        <v>-0.11236549999999999</v>
      </c>
      <c r="U4686">
        <v>-4.4769290000000003E-2</v>
      </c>
      <c r="V4686">
        <v>6.7242150000000004E-3</v>
      </c>
      <c r="W4686">
        <v>0.18713299999999999</v>
      </c>
      <c r="X4686">
        <v>0.98231159999999995</v>
      </c>
      <c r="Y4686">
        <v>-3.0632010000000001E-2</v>
      </c>
      <c r="Z4686">
        <v>2.0318020000000001E-3</v>
      </c>
      <c r="AA4686">
        <v>0.99952859999999999</v>
      </c>
      <c r="AB4686">
        <v>28</v>
      </c>
      <c r="AC4686">
        <v>30.394200000000001</v>
      </c>
      <c r="AD4686">
        <v>-1.1216034643299999</v>
      </c>
      <c r="AE4686">
        <v>-0.43587999999999999</v>
      </c>
      <c r="AF4686">
        <v>-0.93822756925787698</v>
      </c>
      <c r="AG4686">
        <v>-1.1216034643299999</v>
      </c>
      <c r="AH4686">
        <v>30.3414939353998</v>
      </c>
      <c r="AI4686">
        <v>92.116020967812602</v>
      </c>
      <c r="AJ4686">
        <v>91.771150627735594</v>
      </c>
      <c r="AK4686">
        <v>30.3767101499622</v>
      </c>
      <c r="AL4686">
        <v>79.214483874949096</v>
      </c>
      <c r="AM4686">
        <v>89.607799477733593</v>
      </c>
      <c r="AN4686">
        <v>1.0000000271254601</v>
      </c>
    </row>
    <row r="4687" spans="1:40" x14ac:dyDescent="0.25">
      <c r="A4687" t="str">
        <f>"20190303171110330"</f>
        <v>20190303171110330</v>
      </c>
      <c r="B4687" t="str">
        <f>"1551604270315098"</f>
        <v>1551604270315098</v>
      </c>
      <c r="C4687" t="s">
        <v>40</v>
      </c>
      <c r="D4687">
        <v>5.0310560000000004</v>
      </c>
      <c r="E4687">
        <v>0.48805500000000002</v>
      </c>
      <c r="F4687" t="s">
        <v>42</v>
      </c>
      <c r="G4687">
        <v>-346.46640000000002</v>
      </c>
      <c r="H4687" s="1">
        <v>-2.0989849999999999E-6</v>
      </c>
      <c r="I4687">
        <v>16.229420000000001</v>
      </c>
      <c r="J4687">
        <v>-378.56990000000002</v>
      </c>
      <c r="K4687">
        <v>1.1216090000000001</v>
      </c>
      <c r="L4687">
        <v>16.637629999999898</v>
      </c>
      <c r="M4687">
        <v>0.99899839999999995</v>
      </c>
      <c r="N4687">
        <v>-6.0360539999999999E-3</v>
      </c>
      <c r="O4687">
        <v>-4.434097E-2</v>
      </c>
      <c r="P4687">
        <v>0.98203589999999996</v>
      </c>
      <c r="Q4687">
        <v>0.18170349999999999</v>
      </c>
      <c r="R4687">
        <v>-5.0893720000000003E-2</v>
      </c>
      <c r="S4687">
        <v>3.072327</v>
      </c>
      <c r="T4687">
        <v>-0.1068535</v>
      </c>
      <c r="U4687">
        <v>-3.9428709999999999E-2</v>
      </c>
      <c r="V4687">
        <v>6.7219080000000004E-3</v>
      </c>
      <c r="W4687">
        <v>0.18765760000000001</v>
      </c>
      <c r="X4687">
        <v>0.98221150000000002</v>
      </c>
      <c r="Y4687">
        <v>-3.1477669999999999E-2</v>
      </c>
      <c r="Z4687">
        <v>1.915714E-3</v>
      </c>
      <c r="AA4687">
        <v>0.99950260000000002</v>
      </c>
      <c r="AB4687">
        <v>28</v>
      </c>
      <c r="AC4687">
        <v>32.103499999999997</v>
      </c>
      <c r="AD4687">
        <v>-1.1216110989849899</v>
      </c>
      <c r="AE4687">
        <v>-0.40820999999999602</v>
      </c>
      <c r="AF4687">
        <v>-1.01447942295061</v>
      </c>
      <c r="AG4687">
        <v>-1.1216110989849899</v>
      </c>
      <c r="AH4687">
        <v>32.050908796266</v>
      </c>
      <c r="AI4687">
        <v>92.003226833485002</v>
      </c>
      <c r="AJ4687">
        <v>91.812927997004806</v>
      </c>
      <c r="AK4687">
        <v>32.086569380716298</v>
      </c>
      <c r="AL4687">
        <v>79.183884073730994</v>
      </c>
      <c r="AM4687">
        <v>89.607894077649206</v>
      </c>
      <c r="AN4687">
        <v>0.99999999480858504</v>
      </c>
    </row>
    <row r="4688" spans="1:40" x14ac:dyDescent="0.25">
      <c r="A4688" t="str">
        <f>"20190303171110342"</f>
        <v>20190303171110342</v>
      </c>
      <c r="B4688" t="str">
        <f>"1551604270335594"</f>
        <v>1551604270335594</v>
      </c>
      <c r="C4688" t="s">
        <v>40</v>
      </c>
      <c r="D4688">
        <v>5.0400260000000001</v>
      </c>
      <c r="E4688">
        <v>0.46521010000000002</v>
      </c>
      <c r="F4688" t="s">
        <v>42</v>
      </c>
      <c r="G4688">
        <v>-345.57490000000001</v>
      </c>
      <c r="H4688" s="1">
        <v>-2.4799129999999999E-6</v>
      </c>
      <c r="I4688">
        <v>16.238019999999999</v>
      </c>
      <c r="J4688">
        <v>-378.4246</v>
      </c>
      <c r="K4688">
        <v>1.121615</v>
      </c>
      <c r="L4688">
        <v>16.632020000000001</v>
      </c>
      <c r="M4688">
        <v>0.99903759999999997</v>
      </c>
      <c r="N4688">
        <v>-6.011008E-3</v>
      </c>
      <c r="O4688">
        <v>-4.3447319999999998E-2</v>
      </c>
      <c r="P4688">
        <v>0.98193319999999995</v>
      </c>
      <c r="Q4688">
        <v>0.18249029999999999</v>
      </c>
      <c r="R4688">
        <v>-5.004542E-2</v>
      </c>
      <c r="S4688">
        <v>3.0722659999999999</v>
      </c>
      <c r="T4688">
        <v>-0.1044365</v>
      </c>
      <c r="U4688">
        <v>-3.720093E-2</v>
      </c>
      <c r="V4688">
        <v>6.7527239999999999E-3</v>
      </c>
      <c r="W4688">
        <v>0.18841859999999999</v>
      </c>
      <c r="X4688">
        <v>0.98206559999999998</v>
      </c>
      <c r="Y4688">
        <v>-3.1310350000000001E-2</v>
      </c>
      <c r="Z4688">
        <v>1.8409590000000001E-3</v>
      </c>
      <c r="AA4688">
        <v>0.99950799999999995</v>
      </c>
      <c r="AB4688">
        <v>28</v>
      </c>
      <c r="AC4688">
        <v>32.849699999999899</v>
      </c>
      <c r="AD4688">
        <v>-1.1216174799130001</v>
      </c>
      <c r="AE4688">
        <v>-0.39399999999999802</v>
      </c>
      <c r="AF4688">
        <v>-1.03242588803789</v>
      </c>
      <c r="AG4688">
        <v>-1.1216174799130001</v>
      </c>
      <c r="AH4688">
        <v>32.7975679543393</v>
      </c>
      <c r="AI4688">
        <v>91.957679721282801</v>
      </c>
      <c r="AJ4688">
        <v>91.803003170123006</v>
      </c>
      <c r="AK4688">
        <v>32.832977213543103</v>
      </c>
      <c r="AL4688">
        <v>79.139490188578705</v>
      </c>
      <c r="AM4688">
        <v>89.606038040624298</v>
      </c>
      <c r="AN4688">
        <v>1.0000000054053699</v>
      </c>
    </row>
    <row r="4689" spans="1:40" x14ac:dyDescent="0.25">
      <c r="A4689" t="str">
        <f>"20190303171110354"</f>
        <v>20190303171110354</v>
      </c>
      <c r="B4689" t="str">
        <f>"1551604270345353"</f>
        <v>1551604270345353</v>
      </c>
      <c r="C4689" t="s">
        <v>40</v>
      </c>
      <c r="D4689">
        <v>5.0532899999999996</v>
      </c>
      <c r="E4689">
        <v>0.4569241</v>
      </c>
      <c r="F4689" t="s">
        <v>42</v>
      </c>
      <c r="G4689">
        <v>-330.49119999999999</v>
      </c>
      <c r="H4689" s="1">
        <v>-4.1857060000000002E-6</v>
      </c>
      <c r="I4689">
        <v>18.916450000000001</v>
      </c>
      <c r="J4689">
        <v>-378.2697</v>
      </c>
      <c r="K4689">
        <v>1.1216219999999999</v>
      </c>
      <c r="L4689">
        <v>16.626159999999999</v>
      </c>
      <c r="M4689">
        <v>0.99907880000000004</v>
      </c>
      <c r="N4689">
        <v>-5.9856359999999999E-3</v>
      </c>
      <c r="O4689">
        <v>-4.2495499999999999E-2</v>
      </c>
      <c r="P4689">
        <v>0.98181620000000003</v>
      </c>
      <c r="Q4689">
        <v>0.1832995</v>
      </c>
      <c r="R4689">
        <v>-4.9381189999999998E-2</v>
      </c>
      <c r="S4689">
        <v>3.0760800000000001</v>
      </c>
      <c r="T4689">
        <v>-7.1978810000000004E-2</v>
      </c>
      <c r="U4689">
        <v>0.1466064</v>
      </c>
      <c r="V4689">
        <v>7.0253909999999998E-3</v>
      </c>
      <c r="W4689">
        <v>0.18920300000000001</v>
      </c>
      <c r="X4689">
        <v>0.98191289999999998</v>
      </c>
      <c r="Y4689">
        <v>-8.9973869999999997E-2</v>
      </c>
      <c r="Z4689">
        <v>2.0609230000000001E-3</v>
      </c>
      <c r="AA4689">
        <v>0.99594199999999999</v>
      </c>
      <c r="AB4689">
        <v>28</v>
      </c>
      <c r="AC4689">
        <v>47.778500000000001</v>
      </c>
      <c r="AD4689">
        <v>-1.1216261857059999</v>
      </c>
      <c r="AE4689">
        <v>2.2902900000000002</v>
      </c>
      <c r="AF4689">
        <v>-4.3162552453521803</v>
      </c>
      <c r="AG4689">
        <v>-1.1216261857059999</v>
      </c>
      <c r="AH4689">
        <v>47.611830612063798</v>
      </c>
      <c r="AI4689">
        <v>91.343998947425007</v>
      </c>
      <c r="AJ4689">
        <v>95.179995230204</v>
      </c>
      <c r="AK4689">
        <v>47.820231271663097</v>
      </c>
      <c r="AL4689">
        <v>79.093724559120304</v>
      </c>
      <c r="AM4689">
        <v>89.590067117602402</v>
      </c>
      <c r="AN4689">
        <v>1.0000000372570499</v>
      </c>
    </row>
    <row r="4690" spans="1:40" x14ac:dyDescent="0.25">
      <c r="A4690" t="str">
        <f>"20190303171110366"</f>
        <v>20190303171110366</v>
      </c>
      <c r="B4690" t="str">
        <f>"1551604270355114"</f>
        <v>1551604270355114</v>
      </c>
      <c r="C4690" t="s">
        <v>40</v>
      </c>
      <c r="D4690">
        <v>4.9970290000000004</v>
      </c>
      <c r="E4690">
        <v>0.44996550000000002</v>
      </c>
      <c r="F4690" t="s">
        <v>41</v>
      </c>
      <c r="G4690">
        <v>-308.31990000000002</v>
      </c>
      <c r="H4690">
        <v>-0.05</v>
      </c>
      <c r="I4690">
        <v>21.500080000000001</v>
      </c>
      <c r="J4690">
        <v>-378.1241</v>
      </c>
      <c r="K4690">
        <v>1.121626</v>
      </c>
      <c r="L4690">
        <v>16.620850000000001</v>
      </c>
      <c r="M4690">
        <v>0.99911649999999996</v>
      </c>
      <c r="N4690">
        <v>-5.96395E-3</v>
      </c>
      <c r="O4690">
        <v>-4.1602939999999998E-2</v>
      </c>
      <c r="P4690">
        <v>0.98165990000000003</v>
      </c>
      <c r="Q4690">
        <v>0.18430550000000001</v>
      </c>
      <c r="R4690">
        <v>-4.873889E-2</v>
      </c>
      <c r="S4690">
        <v>3.075958</v>
      </c>
      <c r="T4690">
        <v>-5.1520709999999997E-2</v>
      </c>
      <c r="U4690">
        <v>0.21432499999999999</v>
      </c>
      <c r="V4690">
        <v>7.2629080000000002E-3</v>
      </c>
      <c r="W4690">
        <v>0.19018750000000001</v>
      </c>
      <c r="X4690">
        <v>0.98172090000000001</v>
      </c>
      <c r="Y4690">
        <v>-0.110928399999999</v>
      </c>
      <c r="Z4690">
        <v>1.7072910000000001E-3</v>
      </c>
      <c r="AA4690">
        <v>0.99382689999999996</v>
      </c>
      <c r="AB4690">
        <v>28</v>
      </c>
      <c r="AC4690">
        <v>69.804199999999895</v>
      </c>
      <c r="AD4690">
        <v>-1.1716260000000001</v>
      </c>
      <c r="AE4690">
        <v>4.8792299999999997</v>
      </c>
      <c r="AF4690">
        <v>-7.7769366416764303</v>
      </c>
      <c r="AG4690">
        <v>-1.1716260000000001</v>
      </c>
      <c r="AH4690">
        <v>69.521278890814102</v>
      </c>
      <c r="AI4690">
        <v>90.959517388337304</v>
      </c>
      <c r="AJ4690">
        <v>96.382806263408497</v>
      </c>
      <c r="AK4690">
        <v>69.964717319709607</v>
      </c>
      <c r="AL4690">
        <v>79.036273097245896</v>
      </c>
      <c r="AM4690">
        <v>89.576125573339297</v>
      </c>
      <c r="AN4690">
        <v>0.99999998024283798</v>
      </c>
    </row>
    <row r="4691" spans="1:40" x14ac:dyDescent="0.25">
      <c r="A4691" t="str">
        <f>"20190303171110378"</f>
        <v>20190303171110378</v>
      </c>
      <c r="B4691" t="str">
        <f>"1551604270365850"</f>
        <v>1551604270365850</v>
      </c>
      <c r="C4691" t="s">
        <v>40</v>
      </c>
      <c r="D4691">
        <v>4.9760200000000001</v>
      </c>
      <c r="E4691">
        <v>0.44431769999999998</v>
      </c>
      <c r="F4691" t="s">
        <v>41</v>
      </c>
      <c r="G4691">
        <v>-289.59629999999999</v>
      </c>
      <c r="H4691">
        <v>-0.05</v>
      </c>
      <c r="I4691">
        <v>24.439119999999999</v>
      </c>
      <c r="J4691">
        <v>-377.97669999999999</v>
      </c>
      <c r="K4691">
        <v>1.121626</v>
      </c>
      <c r="L4691">
        <v>16.61551</v>
      </c>
      <c r="M4691">
        <v>0.99915390000000004</v>
      </c>
      <c r="N4691">
        <v>-5.9426449999999999E-3</v>
      </c>
      <c r="O4691">
        <v>-4.0699659999999999E-2</v>
      </c>
      <c r="P4691">
        <v>0.98157220000000001</v>
      </c>
      <c r="Q4691">
        <v>0.18487310000000001</v>
      </c>
      <c r="R4691">
        <v>-4.835337E-2</v>
      </c>
      <c r="S4691">
        <v>3.0771790000000001</v>
      </c>
      <c r="T4691">
        <v>-4.0725110000000002E-2</v>
      </c>
      <c r="U4691">
        <v>0.27175899999999997</v>
      </c>
      <c r="V4691">
        <v>7.7661769999999896E-3</v>
      </c>
      <c r="W4691">
        <v>0.19073519999999999</v>
      </c>
      <c r="X4691">
        <v>0.98161080000000001</v>
      </c>
      <c r="Y4691">
        <v>-0.12842439999999999</v>
      </c>
      <c r="Z4691">
        <v>1.5268619999999999E-3</v>
      </c>
      <c r="AA4691">
        <v>0.99171810000000005</v>
      </c>
      <c r="AB4691">
        <v>28</v>
      </c>
      <c r="AC4691">
        <v>88.380399999999995</v>
      </c>
      <c r="AD4691">
        <v>-1.1716260000000001</v>
      </c>
      <c r="AE4691">
        <v>7.8236100000000004</v>
      </c>
      <c r="AF4691">
        <v>-11.4122525750557</v>
      </c>
      <c r="AG4691">
        <v>-1.1716260000000001</v>
      </c>
      <c r="AH4691">
        <v>87.973403774690993</v>
      </c>
      <c r="AI4691">
        <v>90.756678122733703</v>
      </c>
      <c r="AJ4691">
        <v>97.3913548253188</v>
      </c>
      <c r="AK4691">
        <v>88.718273134825793</v>
      </c>
      <c r="AL4691">
        <v>79.004307228776398</v>
      </c>
      <c r="AM4691">
        <v>89.5467043748924</v>
      </c>
      <c r="AN4691">
        <v>0.99999999635043701</v>
      </c>
    </row>
    <row r="4692" spans="1:40" x14ac:dyDescent="0.25">
      <c r="A4692" t="str">
        <f>"20190303171110388"</f>
        <v>20190303171110388</v>
      </c>
      <c r="B4692" t="str">
        <f>"1551604270375610"</f>
        <v>1551604270375610</v>
      </c>
      <c r="C4692" t="s">
        <v>40</v>
      </c>
      <c r="D4692">
        <v>4.9914110000000003</v>
      </c>
      <c r="E4692">
        <v>0.44049389999999999</v>
      </c>
      <c r="F4692" t="s">
        <v>99</v>
      </c>
      <c r="G4692">
        <v>-279.68</v>
      </c>
      <c r="H4692">
        <v>0.141457</v>
      </c>
      <c r="I4692">
        <v>26.77647</v>
      </c>
      <c r="J4692">
        <v>-377.83710000000002</v>
      </c>
      <c r="K4692">
        <v>1.1216280000000001</v>
      </c>
      <c r="L4692">
        <v>16.610689999999899</v>
      </c>
      <c r="M4692">
        <v>0.99918830000000003</v>
      </c>
      <c r="N4692">
        <v>-5.9244349999999996E-3</v>
      </c>
      <c r="O4692">
        <v>-3.9847880000000002E-2</v>
      </c>
      <c r="P4692">
        <v>0.98149010000000003</v>
      </c>
      <c r="Q4692">
        <v>0.18540899999999999</v>
      </c>
      <c r="R4692">
        <v>-4.7968749999999998E-2</v>
      </c>
      <c r="S4692">
        <v>3.077728</v>
      </c>
      <c r="T4692">
        <v>-3.0689839999999999E-2</v>
      </c>
      <c r="U4692">
        <v>0.31814579999999998</v>
      </c>
      <c r="V4692">
        <v>8.219245E-3</v>
      </c>
      <c r="W4692">
        <v>0.1912538</v>
      </c>
      <c r="X4692">
        <v>0.9815062</v>
      </c>
      <c r="Y4692">
        <v>-0.14236660000000001</v>
      </c>
      <c r="Z4692">
        <v>1.291801E-3</v>
      </c>
      <c r="AA4692">
        <v>0.9898131</v>
      </c>
      <c r="AB4692">
        <v>28</v>
      </c>
      <c r="AC4692">
        <v>98.1571</v>
      </c>
      <c r="AD4692">
        <v>-0.98017100000000001</v>
      </c>
      <c r="AE4692">
        <v>10.16578</v>
      </c>
      <c r="AF4692">
        <v>-14.0677383221106</v>
      </c>
      <c r="AG4692">
        <v>-0.98017100000000001</v>
      </c>
      <c r="AH4692">
        <v>97.664409668272597</v>
      </c>
      <c r="AI4692">
        <v>90.569134093544307</v>
      </c>
      <c r="AJ4692">
        <v>98.196598686919899</v>
      </c>
      <c r="AK4692">
        <v>98.677246174286793</v>
      </c>
      <c r="AL4692">
        <v>78.974036383947606</v>
      </c>
      <c r="AM4692">
        <v>89.520209814588796</v>
      </c>
      <c r="AN4692">
        <v>0.99999999632062497</v>
      </c>
    </row>
    <row r="4693" spans="1:40" x14ac:dyDescent="0.25">
      <c r="A4693" t="str">
        <f>"20190303171110400"</f>
        <v>20190303171110400</v>
      </c>
      <c r="B4693" t="str">
        <f>"1551604270395130"</f>
        <v>1551604270395130</v>
      </c>
      <c r="C4693" t="s">
        <v>40</v>
      </c>
      <c r="D4693">
        <v>4.9929870000000003</v>
      </c>
      <c r="E4693">
        <v>0.43585249999999998</v>
      </c>
      <c r="F4693" t="s">
        <v>99</v>
      </c>
      <c r="G4693">
        <v>-279.68</v>
      </c>
      <c r="H4693">
        <v>0.41566570000000003</v>
      </c>
      <c r="I4693">
        <v>27.766079999999999</v>
      </c>
      <c r="J4693">
        <v>-377.69830000000002</v>
      </c>
      <c r="K4693">
        <v>1.1216299999999999</v>
      </c>
      <c r="L4693">
        <v>16.605929999999901</v>
      </c>
      <c r="M4693">
        <v>0.99922180000000005</v>
      </c>
      <c r="N4693">
        <v>-5.9069650000000001E-3</v>
      </c>
      <c r="O4693">
        <v>-3.9001340000000002E-2</v>
      </c>
      <c r="P4693">
        <v>0.98141500000000004</v>
      </c>
      <c r="Q4693">
        <v>0.18592239999999999</v>
      </c>
      <c r="R4693">
        <v>-4.7514300000000002E-2</v>
      </c>
      <c r="S4693">
        <v>3.0778500000000002</v>
      </c>
      <c r="T4693">
        <v>-2.2136570000000001E-2</v>
      </c>
      <c r="U4693">
        <v>0.34979250000000001</v>
      </c>
      <c r="V4693">
        <v>8.5974229999999999E-3</v>
      </c>
      <c r="W4693">
        <v>0.19175130000000001</v>
      </c>
      <c r="X4693">
        <v>0.98140590000000005</v>
      </c>
      <c r="Y4693">
        <v>-0.15158089999999999</v>
      </c>
      <c r="Z4693">
        <v>1.042634E-3</v>
      </c>
      <c r="AA4693">
        <v>0.98844430000000005</v>
      </c>
      <c r="AB4693">
        <v>28</v>
      </c>
      <c r="AC4693">
        <v>98.018299999999996</v>
      </c>
      <c r="AD4693">
        <v>-0.70596429999999899</v>
      </c>
      <c r="AE4693">
        <v>11.16015</v>
      </c>
      <c r="AF4693">
        <v>-14.9738031381571</v>
      </c>
      <c r="AG4693">
        <v>-0.70596429999999899</v>
      </c>
      <c r="AH4693">
        <v>97.503459466157693</v>
      </c>
      <c r="AI4693">
        <v>90.410030451454404</v>
      </c>
      <c r="AJ4693">
        <v>98.730818028204595</v>
      </c>
      <c r="AK4693">
        <v>98.649063725317802</v>
      </c>
      <c r="AL4693">
        <v>78.9449943622174</v>
      </c>
      <c r="AM4693">
        <v>89.498083869217496</v>
      </c>
      <c r="AN4693">
        <v>1.0000000086443701</v>
      </c>
    </row>
    <row r="4694" spans="1:40" x14ac:dyDescent="0.25">
      <c r="A4694" t="str">
        <f>"20190303171110411"</f>
        <v>20190303171110411</v>
      </c>
      <c r="B4694" t="str">
        <f>"1551604270405866"</f>
        <v>1551604270405866</v>
      </c>
      <c r="C4694" t="s">
        <v>40</v>
      </c>
      <c r="D4694">
        <v>5.0018789999999997</v>
      </c>
      <c r="E4694">
        <v>0.43425609999999998</v>
      </c>
      <c r="F4694" t="s">
        <v>85</v>
      </c>
      <c r="G4694">
        <v>-168.5001</v>
      </c>
      <c r="H4694">
        <v>0.1013781</v>
      </c>
      <c r="I4694">
        <v>42.98901</v>
      </c>
      <c r="J4694">
        <v>-377.54160000000002</v>
      </c>
      <c r="K4694">
        <v>1.1216360000000001</v>
      </c>
      <c r="L4694">
        <v>16.600709999999999</v>
      </c>
      <c r="M4694">
        <v>0.99925850000000005</v>
      </c>
      <c r="N4694">
        <v>-5.8888029999999997E-3</v>
      </c>
      <c r="O4694">
        <v>-3.8048230000000002E-2</v>
      </c>
      <c r="P4694">
        <v>0.98137220000000003</v>
      </c>
      <c r="Q4694">
        <v>0.1863081</v>
      </c>
      <c r="R4694">
        <v>-4.6883180000000003E-2</v>
      </c>
      <c r="S4694">
        <v>3.0784910000000001</v>
      </c>
      <c r="T4694">
        <v>-1.501369E-2</v>
      </c>
      <c r="U4694">
        <v>0.3882446</v>
      </c>
      <c r="V4694">
        <v>8.9023820000000004E-3</v>
      </c>
      <c r="W4694">
        <v>0.1921196</v>
      </c>
      <c r="X4694">
        <v>0.98133119999999996</v>
      </c>
      <c r="Y4694">
        <v>-0.16277910000000001</v>
      </c>
      <c r="Z4694">
        <v>8.3837500000000004E-4</v>
      </c>
      <c r="AA4694">
        <v>0.98666209999999999</v>
      </c>
      <c r="AB4694">
        <v>28</v>
      </c>
      <c r="AC4694">
        <v>209.04150000000001</v>
      </c>
      <c r="AD4694">
        <v>-1.0202579000000001</v>
      </c>
      <c r="AE4694">
        <v>26.388300000000001</v>
      </c>
      <c r="AF4694">
        <v>-34.322184314525899</v>
      </c>
      <c r="AG4694">
        <v>-1.0202579000000001</v>
      </c>
      <c r="AH4694">
        <v>207.881208828197</v>
      </c>
      <c r="AI4694">
        <v>90.277443061294804</v>
      </c>
      <c r="AJ4694">
        <v>99.3752301600382</v>
      </c>
      <c r="AK4694">
        <v>210.698007219278</v>
      </c>
      <c r="AL4694">
        <v>78.923493115796703</v>
      </c>
      <c r="AM4694">
        <v>89.480241813760003</v>
      </c>
      <c r="AN4694">
        <v>1.0000000586014299</v>
      </c>
    </row>
    <row r="4695" spans="1:40" x14ac:dyDescent="0.25">
      <c r="A4695" t="str">
        <f>"20190303171110423"</f>
        <v>20190303171110423</v>
      </c>
      <c r="B4695" t="str">
        <f>"1551604270415626"</f>
        <v>1551604270415626</v>
      </c>
      <c r="C4695" t="s">
        <v>40</v>
      </c>
      <c r="D4695">
        <v>5.1133559999999996</v>
      </c>
      <c r="E4695">
        <v>0.43271150000000003</v>
      </c>
      <c r="F4695" t="s">
        <v>87</v>
      </c>
      <c r="G4695">
        <v>-215.11850000000001</v>
      </c>
      <c r="H4695">
        <v>0.4506561</v>
      </c>
      <c r="I4695">
        <v>37.871659999999999</v>
      </c>
      <c r="J4695">
        <v>-377.39580000000001</v>
      </c>
      <c r="K4695">
        <v>1.1216379999999999</v>
      </c>
      <c r="L4695">
        <v>16.59601</v>
      </c>
      <c r="M4695">
        <v>0.99929210000000002</v>
      </c>
      <c r="N4695">
        <v>-5.8731549999999997E-3</v>
      </c>
      <c r="O4695">
        <v>-3.7163790000000002E-2</v>
      </c>
      <c r="P4695">
        <v>0.98139880000000002</v>
      </c>
      <c r="Q4695">
        <v>0.1863455</v>
      </c>
      <c r="R4695">
        <v>-4.6176920000000003E-2</v>
      </c>
      <c r="S4695">
        <v>3.0785520000000002</v>
      </c>
      <c r="T4695">
        <v>-1.271749E-2</v>
      </c>
      <c r="U4695">
        <v>0.40316770000000002</v>
      </c>
      <c r="V4695">
        <v>9.0632490000000007E-3</v>
      </c>
      <c r="W4695">
        <v>0.19214210000000001</v>
      </c>
      <c r="X4695">
        <v>0.98132529999999996</v>
      </c>
      <c r="Y4695">
        <v>-0.16660800000000001</v>
      </c>
      <c r="Z4695">
        <v>7.6969899999999999E-4</v>
      </c>
      <c r="AA4695">
        <v>0.98602290000000004</v>
      </c>
      <c r="AB4695">
        <v>28</v>
      </c>
      <c r="AC4695">
        <v>162.2773</v>
      </c>
      <c r="AD4695">
        <v>-0.67098189999999902</v>
      </c>
      <c r="AE4695">
        <v>21.275649999999999</v>
      </c>
      <c r="AF4695">
        <v>-27.2914357989354</v>
      </c>
      <c r="AG4695">
        <v>-0.67098189999999902</v>
      </c>
      <c r="AH4695">
        <v>161.371783467635</v>
      </c>
      <c r="AI4695">
        <v>90.234898209816706</v>
      </c>
      <c r="AJ4695">
        <v>99.599116900808397</v>
      </c>
      <c r="AK4695">
        <v>163.66467298779801</v>
      </c>
      <c r="AL4695">
        <v>78.922179241878396</v>
      </c>
      <c r="AM4695">
        <v>89.470847075534493</v>
      </c>
      <c r="AN4695">
        <v>1.00000003674746</v>
      </c>
    </row>
    <row r="4696" spans="1:40" x14ac:dyDescent="0.25">
      <c r="A4696" t="str">
        <f>"20190303171110443"</f>
        <v>20190303171110443</v>
      </c>
      <c r="B4696" t="str">
        <f>"1551604270435145"</f>
        <v>1551604270435145</v>
      </c>
      <c r="C4696" t="s">
        <v>40</v>
      </c>
      <c r="D4696">
        <v>4.9651269999999998</v>
      </c>
      <c r="E4696">
        <v>0.43120419999999998</v>
      </c>
      <c r="F4696" t="s">
        <v>87</v>
      </c>
      <c r="G4696">
        <v>-215.11850000000001</v>
      </c>
      <c r="H4696">
        <v>0.438724</v>
      </c>
      <c r="I4696">
        <v>38.612139999999997</v>
      </c>
      <c r="J4696">
        <v>-377.13060000000002</v>
      </c>
      <c r="K4696">
        <v>1.121642</v>
      </c>
      <c r="L4696">
        <v>16.587800000000001</v>
      </c>
      <c r="M4696">
        <v>0.99935070000000004</v>
      </c>
      <c r="N4696">
        <v>-5.8453769999999997E-3</v>
      </c>
      <c r="O4696">
        <v>-3.55568E-2</v>
      </c>
      <c r="P4696">
        <v>0.98133170000000003</v>
      </c>
      <c r="Q4696">
        <v>0.18688930000000001</v>
      </c>
      <c r="R4696">
        <v>-4.5396180000000001E-2</v>
      </c>
      <c r="S4696">
        <v>3.0789789999999999</v>
      </c>
      <c r="T4696">
        <v>-1.2957099999999999E-2</v>
      </c>
      <c r="U4696">
        <v>0.4177246</v>
      </c>
      <c r="V4696">
        <v>9.8601910000000008E-3</v>
      </c>
      <c r="W4696">
        <v>0.19266050000000001</v>
      </c>
      <c r="X4696">
        <v>0.98121599999999998</v>
      </c>
      <c r="Y4696">
        <v>-0.16958419999999999</v>
      </c>
      <c r="Z4696">
        <v>7.9531830000000004E-4</v>
      </c>
      <c r="AA4696">
        <v>0.98551540000000004</v>
      </c>
      <c r="AB4696">
        <v>29</v>
      </c>
      <c r="AC4696">
        <v>162.0121</v>
      </c>
      <c r="AD4696">
        <v>-0.68291800000000003</v>
      </c>
      <c r="AE4696">
        <v>22.024339999999999</v>
      </c>
      <c r="AF4696">
        <v>-27.7706575725575</v>
      </c>
      <c r="AG4696">
        <v>-0.68291800000000003</v>
      </c>
      <c r="AH4696">
        <v>161.123710071647</v>
      </c>
      <c r="AI4696">
        <v>90.239316398295102</v>
      </c>
      <c r="AJ4696">
        <v>99.779197991056805</v>
      </c>
      <c r="AK4696">
        <v>163.50084325855599</v>
      </c>
      <c r="AL4696">
        <v>78.891911919310402</v>
      </c>
      <c r="AM4696">
        <v>89.424256927880194</v>
      </c>
      <c r="AN4696">
        <v>1.0000000651414001</v>
      </c>
    </row>
    <row r="4697" spans="1:40" x14ac:dyDescent="0.25">
      <c r="A4697" t="str">
        <f>"20190303171110457"</f>
        <v>20190303171110457</v>
      </c>
      <c r="B4697" t="str">
        <f>"1551604270445882"</f>
        <v>1551604270445882</v>
      </c>
      <c r="C4697" t="s">
        <v>40</v>
      </c>
      <c r="D4697">
        <v>4.9821849999999896</v>
      </c>
      <c r="E4697">
        <v>0.4306526</v>
      </c>
      <c r="F4697" t="s">
        <v>87</v>
      </c>
      <c r="G4697">
        <v>-220.0308</v>
      </c>
      <c r="H4697">
        <v>0.59879369999999998</v>
      </c>
      <c r="I4697">
        <v>38.650019999999998</v>
      </c>
      <c r="J4697">
        <v>-376.95859999999999</v>
      </c>
      <c r="K4697">
        <v>1.1216440000000001</v>
      </c>
      <c r="L4697">
        <v>16.582609999999999</v>
      </c>
      <c r="M4697">
        <v>0.99938709999999997</v>
      </c>
      <c r="N4697">
        <v>-5.8267600000000003E-3</v>
      </c>
      <c r="O4697">
        <v>-3.4516909999999998E-2</v>
      </c>
      <c r="P4697">
        <v>0.98122619999999905</v>
      </c>
      <c r="Q4697">
        <v>0.18758520000000001</v>
      </c>
      <c r="R4697">
        <v>-4.4800729999999997E-2</v>
      </c>
      <c r="S4697">
        <v>3.0790410000000001</v>
      </c>
      <c r="T4697">
        <v>-1.024723E-2</v>
      </c>
      <c r="U4697">
        <v>0.4324036</v>
      </c>
      <c r="V4697">
        <v>1.028659E-2</v>
      </c>
      <c r="W4697">
        <v>0.19333900000000001</v>
      </c>
      <c r="X4697">
        <v>0.98107809999999995</v>
      </c>
      <c r="Y4697">
        <v>-0.173166299999999</v>
      </c>
      <c r="Z4697">
        <v>7.0803190000000001E-4</v>
      </c>
      <c r="AA4697">
        <v>0.9848924</v>
      </c>
      <c r="AB4697">
        <v>29</v>
      </c>
      <c r="AC4697">
        <v>156.92779999999999</v>
      </c>
      <c r="AD4697">
        <v>-0.52285029999999999</v>
      </c>
      <c r="AE4697">
        <v>22.067409999999999</v>
      </c>
      <c r="AF4697">
        <v>-27.4707157105166</v>
      </c>
      <c r="AG4697">
        <v>-0.52285029999999999</v>
      </c>
      <c r="AH4697">
        <v>156.07087505154499</v>
      </c>
      <c r="AI4697">
        <v>90.189038912415597</v>
      </c>
      <c r="AJ4697">
        <v>99.982627519336603</v>
      </c>
      <c r="AK4697">
        <v>158.47091731115501</v>
      </c>
      <c r="AL4697">
        <v>78.852291213618301</v>
      </c>
      <c r="AM4697">
        <v>89.399276575171498</v>
      </c>
      <c r="AN4697">
        <v>1.00000001057721</v>
      </c>
    </row>
    <row r="4698" spans="1:40" x14ac:dyDescent="0.25">
      <c r="A4698" t="str">
        <f>"20190303171110475"</f>
        <v>20190303171110475</v>
      </c>
      <c r="B4698" t="str">
        <f>"1551604270465402"</f>
        <v>1551604270465402</v>
      </c>
      <c r="C4698" t="s">
        <v>40</v>
      </c>
      <c r="D4698">
        <v>4.969519</v>
      </c>
      <c r="E4698">
        <v>0.42968050000000002</v>
      </c>
      <c r="F4698" t="s">
        <v>87</v>
      </c>
      <c r="G4698">
        <v>-222.10759999999999</v>
      </c>
      <c r="H4698">
        <v>0.71651640000000005</v>
      </c>
      <c r="I4698">
        <v>38.650019999999998</v>
      </c>
      <c r="J4698">
        <v>-376.72719999999998</v>
      </c>
      <c r="K4698">
        <v>1.1216459999999999</v>
      </c>
      <c r="L4698">
        <v>16.57602</v>
      </c>
      <c r="M4698">
        <v>0.99943459999999995</v>
      </c>
      <c r="N4698">
        <v>-5.8020869999999896E-3</v>
      </c>
      <c r="O4698">
        <v>-3.3119139999999998E-2</v>
      </c>
      <c r="P4698">
        <v>0.98100670000000001</v>
      </c>
      <c r="Q4698">
        <v>0.18883839999999999</v>
      </c>
      <c r="R4698">
        <v>-4.4340730000000002E-2</v>
      </c>
      <c r="S4698">
        <v>3.0790099999999998</v>
      </c>
      <c r="T4698">
        <v>-8.0552100000000001E-3</v>
      </c>
      <c r="U4698">
        <v>0.4387817</v>
      </c>
      <c r="V4698">
        <v>1.120093E-2</v>
      </c>
      <c r="W4698">
        <v>0.19456970000000001</v>
      </c>
      <c r="X4698">
        <v>0.98082469999999999</v>
      </c>
      <c r="Y4698">
        <v>-0.173791</v>
      </c>
      <c r="Z4698">
        <v>6.2804579999999998E-4</v>
      </c>
      <c r="AA4698">
        <v>0.9847823</v>
      </c>
      <c r="AB4698">
        <v>29</v>
      </c>
      <c r="AC4698">
        <v>154.61959999999999</v>
      </c>
      <c r="AD4698">
        <v>-0.40512959999999898</v>
      </c>
      <c r="AE4698">
        <v>22.074000000000002</v>
      </c>
      <c r="AF4698">
        <v>-27.182661365112999</v>
      </c>
      <c r="AG4698">
        <v>-0.40512959999999898</v>
      </c>
      <c r="AH4698">
        <v>153.802655518677</v>
      </c>
      <c r="AI4698">
        <v>90.148618458944497</v>
      </c>
      <c r="AJ4698">
        <v>100.022797363263</v>
      </c>
      <c r="AK4698">
        <v>156.186804991587</v>
      </c>
      <c r="AL4698">
        <v>78.780411785313305</v>
      </c>
      <c r="AM4698">
        <v>89.3457157845788</v>
      </c>
      <c r="AN4698">
        <v>0.99999996056052098</v>
      </c>
    </row>
    <row r="4699" spans="1:40" x14ac:dyDescent="0.25">
      <c r="A4699" t="str">
        <f>"20190303171110486"</f>
        <v>20190303171110486</v>
      </c>
      <c r="B4699" t="str">
        <f>"1551604270475162"</f>
        <v>1551604270475162</v>
      </c>
      <c r="C4699" t="s">
        <v>40</v>
      </c>
      <c r="D4699">
        <v>4.9612740000000004</v>
      </c>
      <c r="E4699">
        <v>0.42930980000000002</v>
      </c>
      <c r="F4699" t="s">
        <v>87</v>
      </c>
      <c r="G4699">
        <v>-225.3038</v>
      </c>
      <c r="H4699">
        <v>0.94523599999999997</v>
      </c>
      <c r="I4699">
        <v>38.650019999999998</v>
      </c>
      <c r="J4699">
        <v>-376.58440000000002</v>
      </c>
      <c r="K4699">
        <v>1.1216469999999901</v>
      </c>
      <c r="L4699">
        <v>16.572140000000001</v>
      </c>
      <c r="M4699">
        <v>0.99946290000000004</v>
      </c>
      <c r="N4699">
        <v>-5.7883839999999997E-3</v>
      </c>
      <c r="O4699">
        <v>-3.2257359999999999E-2</v>
      </c>
      <c r="P4699">
        <v>0.9809542</v>
      </c>
      <c r="Q4699">
        <v>0.18918479999999999</v>
      </c>
      <c r="R4699">
        <v>-4.4026200000000001E-2</v>
      </c>
      <c r="S4699">
        <v>3.0790410000000001</v>
      </c>
      <c r="T4699">
        <v>-3.5868879999999999E-3</v>
      </c>
      <c r="U4699">
        <v>0.44885249999999999</v>
      </c>
      <c r="V4699">
        <v>1.1732009999999999E-2</v>
      </c>
      <c r="W4699">
        <v>0.1949041</v>
      </c>
      <c r="X4699">
        <v>0.98075210000000002</v>
      </c>
      <c r="Y4699">
        <v>-0.17609649999999999</v>
      </c>
      <c r="Z4699">
        <v>4.6611740000000002E-4</v>
      </c>
      <c r="AA4699">
        <v>0.98437280000000005</v>
      </c>
      <c r="AB4699">
        <v>29</v>
      </c>
      <c r="AC4699">
        <v>151.28059999999999</v>
      </c>
      <c r="AD4699">
        <v>-0.17641099999999901</v>
      </c>
      <c r="AE4699">
        <v>22.07788</v>
      </c>
      <c r="AF4699">
        <v>-26.946348528977499</v>
      </c>
      <c r="AG4699">
        <v>-0.17641099999999901</v>
      </c>
      <c r="AH4699">
        <v>150.48948395503101</v>
      </c>
      <c r="AI4699">
        <v>90.066113340655903</v>
      </c>
      <c r="AJ4699">
        <v>100.15168728347599</v>
      </c>
      <c r="AK4699">
        <v>152.88303241673901</v>
      </c>
      <c r="AL4699">
        <v>78.760878163688403</v>
      </c>
      <c r="AM4699">
        <v>89.314645772103901</v>
      </c>
      <c r="AN4699">
        <v>0.99999996495492904</v>
      </c>
    </row>
    <row r="4700" spans="1:40" x14ac:dyDescent="0.25">
      <c r="A4700" t="str">
        <f>"20190303171110499"</f>
        <v>20190303171110499</v>
      </c>
      <c r="B4700" t="str">
        <f>"1551604270495658"</f>
        <v>1551604270495658</v>
      </c>
      <c r="C4700" t="s">
        <v>40</v>
      </c>
      <c r="D4700">
        <v>4.975492</v>
      </c>
      <c r="E4700">
        <v>0.42872260000000001</v>
      </c>
      <c r="F4700" t="s">
        <v>87</v>
      </c>
      <c r="G4700">
        <v>-226.50030000000001</v>
      </c>
      <c r="H4700">
        <v>1.006219</v>
      </c>
      <c r="I4700">
        <v>38.650019999999998</v>
      </c>
      <c r="J4700">
        <v>-376.428</v>
      </c>
      <c r="K4700">
        <v>1.1216459999999999</v>
      </c>
      <c r="L4700">
        <v>16.567959999999999</v>
      </c>
      <c r="M4700">
        <v>0.99949290000000002</v>
      </c>
      <c r="N4700">
        <v>-5.7738540000000001E-3</v>
      </c>
      <c r="O4700">
        <v>-3.1314380000000003E-2</v>
      </c>
      <c r="P4700">
        <v>0.98088120000000001</v>
      </c>
      <c r="Q4700">
        <v>0.18968879999999999</v>
      </c>
      <c r="R4700">
        <v>-4.3480690000000002E-2</v>
      </c>
      <c r="S4700">
        <v>3.0790709999999999</v>
      </c>
      <c r="T4700">
        <v>-2.367854E-3</v>
      </c>
      <c r="U4700">
        <v>0.45294190000000001</v>
      </c>
      <c r="V4700">
        <v>1.211166E-2</v>
      </c>
      <c r="W4700">
        <v>0.19539419999999999</v>
      </c>
      <c r="X4700">
        <v>0.98065000000000002</v>
      </c>
      <c r="Y4700">
        <v>-0.17644649999999901</v>
      </c>
      <c r="Z4700">
        <v>4.2380770000000003E-4</v>
      </c>
      <c r="AA4700">
        <v>0.98431020000000002</v>
      </c>
      <c r="AB4700">
        <v>29</v>
      </c>
      <c r="AC4700">
        <v>149.92769999999999</v>
      </c>
      <c r="AD4700">
        <v>-0.115426999999999</v>
      </c>
      <c r="AE4700">
        <v>22.082059999999998</v>
      </c>
      <c r="AF4700">
        <v>-26.766185992624301</v>
      </c>
      <c r="AG4700">
        <v>-0.115426999999999</v>
      </c>
      <c r="AH4700">
        <v>149.16258660193699</v>
      </c>
      <c r="AI4700">
        <v>90.043640344039105</v>
      </c>
      <c r="AJ4700">
        <v>100.173060003863</v>
      </c>
      <c r="AK4700">
        <v>151.545106413122</v>
      </c>
      <c r="AL4700">
        <v>78.732247473303801</v>
      </c>
      <c r="AM4700">
        <v>89.292396145824299</v>
      </c>
      <c r="AN4700">
        <v>1.0000000041007899</v>
      </c>
    </row>
    <row r="4701" spans="1:40" x14ac:dyDescent="0.25">
      <c r="A4701" t="str">
        <f>"20190303171110510"</f>
        <v>20190303171110510</v>
      </c>
      <c r="B4701" t="str">
        <f>"1551604270505418"</f>
        <v>1551604270505418</v>
      </c>
      <c r="C4701" t="s">
        <v>40</v>
      </c>
      <c r="D4701">
        <v>4.9783580000000001</v>
      </c>
      <c r="E4701">
        <v>0.42853609999999998</v>
      </c>
      <c r="F4701" t="s">
        <v>87</v>
      </c>
      <c r="G4701">
        <v>-228.4957</v>
      </c>
      <c r="H4701">
        <v>1.0946180000000001</v>
      </c>
      <c r="I4701">
        <v>38.650019999999998</v>
      </c>
      <c r="J4701">
        <v>-376.28109999999998</v>
      </c>
      <c r="K4701">
        <v>1.12165</v>
      </c>
      <c r="L4701">
        <v>16.56418</v>
      </c>
      <c r="M4701">
        <v>0.99952039999999998</v>
      </c>
      <c r="N4701">
        <v>-5.7615540000000003E-3</v>
      </c>
      <c r="O4701">
        <v>-3.0428400000000001E-2</v>
      </c>
      <c r="P4701">
        <v>0.98092310000000005</v>
      </c>
      <c r="Q4701">
        <v>0.18953229999999999</v>
      </c>
      <c r="R4701">
        <v>-4.3215669999999998E-2</v>
      </c>
      <c r="S4701">
        <v>3.0789179999999998</v>
      </c>
      <c r="T4701">
        <v>-5.6231019999999996E-4</v>
      </c>
      <c r="U4701">
        <v>0.45959470000000002</v>
      </c>
      <c r="V4701">
        <v>1.271445E-2</v>
      </c>
      <c r="W4701">
        <v>0.19522819999999999</v>
      </c>
      <c r="X4701">
        <v>0.98067539999999997</v>
      </c>
      <c r="Y4701">
        <v>-0.1776623</v>
      </c>
      <c r="Z4701">
        <v>3.6202130000000002E-4</v>
      </c>
      <c r="AA4701">
        <v>0.98409150000000001</v>
      </c>
      <c r="AB4701">
        <v>29</v>
      </c>
      <c r="AC4701">
        <v>147.78539999999899</v>
      </c>
      <c r="AD4701">
        <v>-2.70319999999999E-2</v>
      </c>
      <c r="AE4701">
        <v>22.085840000000001</v>
      </c>
      <c r="AF4701">
        <v>-26.5725595733003</v>
      </c>
      <c r="AG4701">
        <v>-2.70319999999999E-2</v>
      </c>
      <c r="AH4701">
        <v>147.044912859748</v>
      </c>
      <c r="AI4701">
        <v>90.010365085906997</v>
      </c>
      <c r="AJ4701">
        <v>100.24339985837899</v>
      </c>
      <c r="AK4701">
        <v>149.426597535166</v>
      </c>
      <c r="AL4701">
        <v>78.741944994534094</v>
      </c>
      <c r="AM4701">
        <v>89.257202219292694</v>
      </c>
      <c r="AN4701">
        <v>0.99999997373960003</v>
      </c>
    </row>
    <row r="4702" spans="1:40" x14ac:dyDescent="0.25">
      <c r="A4702" t="str">
        <f>"20190303171110523"</f>
        <v>20190303171110523</v>
      </c>
      <c r="B4702" t="str">
        <f>"1551604270515178"</f>
        <v>1551604270515178</v>
      </c>
      <c r="C4702" t="s">
        <v>40</v>
      </c>
      <c r="D4702">
        <v>4.9677309999999997</v>
      </c>
      <c r="E4702">
        <v>0.42825059999999898</v>
      </c>
      <c r="F4702" t="s">
        <v>87</v>
      </c>
      <c r="G4702">
        <v>-229.10769999999999</v>
      </c>
      <c r="H4702">
        <v>1.0316289999999999</v>
      </c>
      <c r="I4702">
        <v>38.650019999999998</v>
      </c>
      <c r="J4702">
        <v>-376.11110000000002</v>
      </c>
      <c r="K4702">
        <v>1.121653</v>
      </c>
      <c r="L4702">
        <v>16.560029999999902</v>
      </c>
      <c r="M4702">
        <v>0.99955119999999997</v>
      </c>
      <c r="N4702">
        <v>-5.7479819999999996E-3</v>
      </c>
      <c r="O4702">
        <v>-2.9404130000000001E-2</v>
      </c>
      <c r="P4702">
        <v>0.98093859999999999</v>
      </c>
      <c r="Q4702">
        <v>0.18965860000000001</v>
      </c>
      <c r="R4702">
        <v>-4.2299749999999997E-2</v>
      </c>
      <c r="S4702">
        <v>3.0790709999999999</v>
      </c>
      <c r="T4702">
        <v>-1.883149E-3</v>
      </c>
      <c r="U4702">
        <v>0.4620667</v>
      </c>
      <c r="V4702">
        <v>1.2802060000000001E-2</v>
      </c>
      <c r="W4702">
        <v>0.19534090000000001</v>
      </c>
      <c r="X4702">
        <v>0.98065190000000002</v>
      </c>
      <c r="Y4702">
        <v>-0.1774193</v>
      </c>
      <c r="Z4702">
        <v>4.165886E-4</v>
      </c>
      <c r="AA4702">
        <v>0.98413530000000005</v>
      </c>
      <c r="AB4702">
        <v>29</v>
      </c>
      <c r="AC4702">
        <v>147.0034</v>
      </c>
      <c r="AD4702">
        <v>-9.0023999999999799E-2</v>
      </c>
      <c r="AE4702">
        <v>22.08999</v>
      </c>
      <c r="AF4702">
        <v>-26.4030063698352</v>
      </c>
      <c r="AG4702">
        <v>-9.0023999999999799E-2</v>
      </c>
      <c r="AH4702">
        <v>146.290233152327</v>
      </c>
      <c r="AI4702">
        <v>90.034698035055897</v>
      </c>
      <c r="AJ4702">
        <v>100.23081711970499</v>
      </c>
      <c r="AK4702">
        <v>148.653823245311</v>
      </c>
      <c r="AL4702">
        <v>78.735361917037196</v>
      </c>
      <c r="AM4702">
        <v>89.252066566624293</v>
      </c>
      <c r="AN4702">
        <v>1.0000000544633301</v>
      </c>
    </row>
    <row r="4703" spans="1:40" x14ac:dyDescent="0.25">
      <c r="A4703" t="str">
        <f>"20190303171110534"</f>
        <v>20190303171110534</v>
      </c>
      <c r="B4703" t="str">
        <f>"1551604270525914"</f>
        <v>1551604270525914</v>
      </c>
      <c r="C4703" t="s">
        <v>40</v>
      </c>
      <c r="D4703">
        <v>4.9984320000000002</v>
      </c>
      <c r="E4703">
        <v>0.42805530000000003</v>
      </c>
      <c r="F4703" t="s">
        <v>87</v>
      </c>
      <c r="G4703">
        <v>-230.6772</v>
      </c>
      <c r="H4703">
        <v>1.0519430000000001</v>
      </c>
      <c r="I4703">
        <v>38.650019999999998</v>
      </c>
      <c r="J4703">
        <v>-375.95049999999998</v>
      </c>
      <c r="K4703">
        <v>1.1216569999999999</v>
      </c>
      <c r="L4703">
        <v>16.556149999999999</v>
      </c>
      <c r="M4703">
        <v>0.99957929999999995</v>
      </c>
      <c r="N4703">
        <v>-5.7357369999999899E-3</v>
      </c>
      <c r="O4703">
        <v>-2.8436010000000001E-2</v>
      </c>
      <c r="P4703">
        <v>0.98089139999999997</v>
      </c>
      <c r="Q4703">
        <v>0.1900724</v>
      </c>
      <c r="R4703">
        <v>-4.153159E-2</v>
      </c>
      <c r="S4703">
        <v>3.0786739999999999</v>
      </c>
      <c r="T4703">
        <v>-1.4754529999999901E-3</v>
      </c>
      <c r="U4703">
        <v>0.4676208</v>
      </c>
      <c r="V4703">
        <v>1.298274E-2</v>
      </c>
      <c r="W4703">
        <v>0.19574349999999999</v>
      </c>
      <c r="X4703">
        <v>0.98056920000000003</v>
      </c>
      <c r="Y4703">
        <v>-0.17822060000000001</v>
      </c>
      <c r="Z4703">
        <v>4.0794959999999999E-4</v>
      </c>
      <c r="AA4703">
        <v>0.98399049999999999</v>
      </c>
      <c r="AB4703">
        <v>29</v>
      </c>
      <c r="AC4703">
        <v>145.27329999999901</v>
      </c>
      <c r="AD4703">
        <v>-6.9713999999999804E-2</v>
      </c>
      <c r="AE4703">
        <v>22.093869999999999</v>
      </c>
      <c r="AF4703">
        <v>-26.215989758207801</v>
      </c>
      <c r="AG4703">
        <v>-6.9713999999999804E-2</v>
      </c>
      <c r="AH4703">
        <v>144.58624742825299</v>
      </c>
      <c r="AI4703">
        <v>90.027182633482099</v>
      </c>
      <c r="AJ4703">
        <v>100.27706463104801</v>
      </c>
      <c r="AK4703">
        <v>146.94375088593699</v>
      </c>
      <c r="AL4703">
        <v>78.711840086301706</v>
      </c>
      <c r="AM4703">
        <v>89.241447979746198</v>
      </c>
      <c r="AN4703">
        <v>1.00000001265939</v>
      </c>
    </row>
    <row r="4704" spans="1:40" x14ac:dyDescent="0.25">
      <c r="A4704" t="str">
        <f>"20190303171110545"</f>
        <v>20190303171110545</v>
      </c>
      <c r="B4704" t="str">
        <f>"1551604270535674"</f>
        <v>1551604270535674</v>
      </c>
      <c r="C4704" t="s">
        <v>40</v>
      </c>
      <c r="D4704">
        <v>4.9823579999999996</v>
      </c>
      <c r="E4704">
        <v>0.42784519999999998</v>
      </c>
      <c r="F4704" t="s">
        <v>87</v>
      </c>
      <c r="G4704">
        <v>-231.82589999999999</v>
      </c>
      <c r="H4704">
        <v>1.111243</v>
      </c>
      <c r="I4704">
        <v>38.650019999999998</v>
      </c>
      <c r="J4704">
        <v>-375.81650000000002</v>
      </c>
      <c r="K4704">
        <v>1.1216619999999999</v>
      </c>
      <c r="L4704">
        <v>16.553159999999998</v>
      </c>
      <c r="M4704">
        <v>0.99960190000000004</v>
      </c>
      <c r="N4704">
        <v>-5.7264880000000001E-3</v>
      </c>
      <c r="O4704">
        <v>-2.762906E-2</v>
      </c>
      <c r="P4704">
        <v>0.98089199999999999</v>
      </c>
      <c r="Q4704">
        <v>0.19014059999999999</v>
      </c>
      <c r="R4704">
        <v>-4.120526E-2</v>
      </c>
      <c r="S4704">
        <v>3.0784910000000001</v>
      </c>
      <c r="T4704">
        <v>-2.222061E-4</v>
      </c>
      <c r="U4704">
        <v>0.4719238</v>
      </c>
      <c r="V4704">
        <v>1.344685E-2</v>
      </c>
      <c r="W4704">
        <v>0.1958039</v>
      </c>
      <c r="X4704">
        <v>0.9805509</v>
      </c>
      <c r="Y4704">
        <v>-0.1787792</v>
      </c>
      <c r="Z4704">
        <v>3.6603200000000002E-4</v>
      </c>
      <c r="AA4704">
        <v>0.98388920000000002</v>
      </c>
      <c r="AB4704">
        <v>29</v>
      </c>
      <c r="AC4704">
        <v>143.9906</v>
      </c>
      <c r="AD4704">
        <v>-1.04190000000001E-2</v>
      </c>
      <c r="AE4704">
        <v>22.09686</v>
      </c>
      <c r="AF4704">
        <v>-26.066813923914001</v>
      </c>
      <c r="AG4704">
        <v>-1.04190000000001E-2</v>
      </c>
      <c r="AH4704">
        <v>143.325102843027</v>
      </c>
      <c r="AI4704">
        <v>90.004097886985704</v>
      </c>
      <c r="AJ4704">
        <v>100.307827768979</v>
      </c>
      <c r="AK4704">
        <v>145.67623005028599</v>
      </c>
      <c r="AL4704">
        <v>78.708311288439205</v>
      </c>
      <c r="AM4704">
        <v>89.214319765650799</v>
      </c>
      <c r="AN4704">
        <v>1.00000002626047</v>
      </c>
    </row>
    <row r="4705" spans="1:40" x14ac:dyDescent="0.25">
      <c r="A4705" t="str">
        <f>"20190303171110558"</f>
        <v>20190303171110558</v>
      </c>
      <c r="B4705" t="str">
        <f>"1551604270545434"</f>
        <v>1551604270545434</v>
      </c>
      <c r="C4705" t="s">
        <v>40</v>
      </c>
      <c r="D4705">
        <v>5.0003630000000001</v>
      </c>
      <c r="E4705">
        <v>0.42769380000000001</v>
      </c>
      <c r="F4705" t="s">
        <v>87</v>
      </c>
      <c r="G4705">
        <v>-232.65369999999999</v>
      </c>
      <c r="H4705">
        <v>1.096554</v>
      </c>
      <c r="I4705">
        <v>38.650019999999998</v>
      </c>
      <c r="J4705">
        <v>-375.65460000000002</v>
      </c>
      <c r="K4705">
        <v>1.1216649999999999</v>
      </c>
      <c r="L4705">
        <v>16.549529999999901</v>
      </c>
      <c r="M4705">
        <v>0.99962839999999997</v>
      </c>
      <c r="N4705">
        <v>-5.7156000000000004E-3</v>
      </c>
      <c r="O4705">
        <v>-2.665462E-2</v>
      </c>
      <c r="P4705">
        <v>0.98080160000000005</v>
      </c>
      <c r="Q4705">
        <v>0.1907489</v>
      </c>
      <c r="R4705">
        <v>-4.0538060000000001E-2</v>
      </c>
      <c r="S4705">
        <v>3.0784910000000001</v>
      </c>
      <c r="T4705">
        <v>-5.3966050000000003E-4</v>
      </c>
      <c r="U4705">
        <v>0.47515869999999999</v>
      </c>
      <c r="V4705">
        <v>1.373484E-2</v>
      </c>
      <c r="W4705">
        <v>0.19640189999999999</v>
      </c>
      <c r="X4705">
        <v>0.9804273</v>
      </c>
      <c r="Y4705">
        <v>-0.17882999999999999</v>
      </c>
      <c r="Z4705">
        <v>3.82915E-4</v>
      </c>
      <c r="AA4705">
        <v>0.98387990000000003</v>
      </c>
      <c r="AB4705">
        <v>29</v>
      </c>
      <c r="AC4705">
        <v>143.0009</v>
      </c>
      <c r="AD4705">
        <v>-2.51109999999998E-2</v>
      </c>
      <c r="AE4705">
        <v>22.100490000000001</v>
      </c>
      <c r="AF4705">
        <v>-25.904333482250902</v>
      </c>
      <c r="AG4705">
        <v>-2.51109999999998E-2</v>
      </c>
      <c r="AH4705">
        <v>142.36099643078401</v>
      </c>
      <c r="AI4705">
        <v>90.009943110737396</v>
      </c>
      <c r="AJ4705">
        <v>100.312839059431</v>
      </c>
      <c r="AK4705">
        <v>144.69861239309699</v>
      </c>
      <c r="AL4705">
        <v>78.673369912158194</v>
      </c>
      <c r="AM4705">
        <v>89.197393942407203</v>
      </c>
      <c r="AN4705">
        <v>1.0000000213693601</v>
      </c>
    </row>
    <row r="4706" spans="1:40" x14ac:dyDescent="0.25">
      <c r="A4706" t="str">
        <f>"20190303171110575"</f>
        <v>20190303171110575</v>
      </c>
      <c r="B4706" t="str">
        <f>"1551604270565930"</f>
        <v>1551604270565930</v>
      </c>
      <c r="C4706" t="s">
        <v>40</v>
      </c>
      <c r="D4706">
        <v>4.9959860000000003</v>
      </c>
      <c r="E4706">
        <v>0.42739840000000001</v>
      </c>
      <c r="F4706" t="s">
        <v>87</v>
      </c>
      <c r="G4706">
        <v>-233.61439999999999</v>
      </c>
      <c r="H4706">
        <v>1.1627160000000001</v>
      </c>
      <c r="I4706">
        <v>38.650019999999998</v>
      </c>
      <c r="J4706">
        <v>-375.4221</v>
      </c>
      <c r="K4706">
        <v>1.1216699999999999</v>
      </c>
      <c r="L4706">
        <v>16.544709999999998</v>
      </c>
      <c r="M4706">
        <v>0.99966469999999996</v>
      </c>
      <c r="N4706">
        <v>-5.701561E-3</v>
      </c>
      <c r="O4706">
        <v>-2.5256150000000002E-2</v>
      </c>
      <c r="P4706">
        <v>0.98064689999999999</v>
      </c>
      <c r="Q4706">
        <v>0.19162509999999999</v>
      </c>
      <c r="R4706">
        <v>-4.0142850000000001E-2</v>
      </c>
      <c r="S4706">
        <v>3.0783689999999999</v>
      </c>
      <c r="T4706">
        <v>8.8989729999999995E-4</v>
      </c>
      <c r="U4706">
        <v>0.47897339999999999</v>
      </c>
      <c r="V4706">
        <v>1.471068E-2</v>
      </c>
      <c r="W4706">
        <v>0.19726679999999999</v>
      </c>
      <c r="X4706">
        <v>0.98023950000000004</v>
      </c>
      <c r="Y4706">
        <v>-0.17865029999999901</v>
      </c>
      <c r="Z4706">
        <v>3.3633399999999998E-4</v>
      </c>
      <c r="AA4706">
        <v>0.98391260000000003</v>
      </c>
      <c r="AB4706">
        <v>29</v>
      </c>
      <c r="AC4706">
        <v>141.80770000000001</v>
      </c>
      <c r="AD4706">
        <v>4.1045999999999902E-2</v>
      </c>
      <c r="AE4706">
        <v>22.105309999999999</v>
      </c>
      <c r="AF4706">
        <v>-25.679831301864301</v>
      </c>
      <c r="AG4706">
        <v>4.1045999999999902E-2</v>
      </c>
      <c r="AH4706">
        <v>141.20414797110601</v>
      </c>
      <c r="AI4706">
        <v>89.983613724671798</v>
      </c>
      <c r="AJ4706">
        <v>100.307340550833</v>
      </c>
      <c r="AK4706">
        <v>143.52026625084099</v>
      </c>
      <c r="AL4706">
        <v>78.622826156616199</v>
      </c>
      <c r="AM4706">
        <v>89.140213579569902</v>
      </c>
      <c r="AN4706">
        <v>1.00000003592427</v>
      </c>
    </row>
    <row r="4707" spans="1:40" x14ac:dyDescent="0.25">
      <c r="A4707" t="str">
        <f>"20190303171110587"</f>
        <v>20190303171110587</v>
      </c>
      <c r="B4707" t="str">
        <f>"1551604270575690"</f>
        <v>1551604270575690</v>
      </c>
      <c r="C4707" t="s">
        <v>40</v>
      </c>
      <c r="D4707">
        <v>4.9849119999999996</v>
      </c>
      <c r="E4707">
        <v>0.42729030000000001</v>
      </c>
      <c r="F4707" t="s">
        <v>87</v>
      </c>
      <c r="G4707">
        <v>-234.6635</v>
      </c>
      <c r="H4707">
        <v>1.2404010000000001</v>
      </c>
      <c r="I4707">
        <v>38.650019999999998</v>
      </c>
      <c r="J4707">
        <v>-375.27229999999997</v>
      </c>
      <c r="K4707">
        <v>1.1216729999999999</v>
      </c>
      <c r="L4707">
        <v>16.541779999999999</v>
      </c>
      <c r="M4707">
        <v>0.99968710000000005</v>
      </c>
      <c r="N4707">
        <v>-5.6936309999999898E-3</v>
      </c>
      <c r="O4707">
        <v>-2.4356699999999998E-2</v>
      </c>
      <c r="P4707">
        <v>0.98057119999999998</v>
      </c>
      <c r="Q4707">
        <v>0.192078</v>
      </c>
      <c r="R4707">
        <v>-3.9829179999999999E-2</v>
      </c>
      <c r="S4707">
        <v>3.0784910000000001</v>
      </c>
      <c r="T4707">
        <v>2.5969740000000002E-3</v>
      </c>
      <c r="U4707">
        <v>0.48345949999999999</v>
      </c>
      <c r="V4707">
        <v>1.5278470000000001E-2</v>
      </c>
      <c r="W4707">
        <v>0.19771369999999999</v>
      </c>
      <c r="X4707">
        <v>0.98014069999999998</v>
      </c>
      <c r="Y4707">
        <v>-0.17915880000000001</v>
      </c>
      <c r="Z4707">
        <v>2.7982620000000001E-4</v>
      </c>
      <c r="AA4707">
        <v>0.98382009999999998</v>
      </c>
      <c r="AB4707">
        <v>29</v>
      </c>
      <c r="AC4707">
        <v>140.60879999999901</v>
      </c>
      <c r="AD4707">
        <v>0.118728</v>
      </c>
      <c r="AE4707">
        <v>22.108239999999999</v>
      </c>
      <c r="AF4707">
        <v>-25.526485142172799</v>
      </c>
      <c r="AG4707">
        <v>0.118728</v>
      </c>
      <c r="AH4707">
        <v>140.02849451799901</v>
      </c>
      <c r="AI4707">
        <v>89.952207422052396</v>
      </c>
      <c r="AJ4707">
        <v>100.33128601832099</v>
      </c>
      <c r="AK4707">
        <v>142.33620346569899</v>
      </c>
      <c r="AL4707">
        <v>78.596705421672198</v>
      </c>
      <c r="AM4707">
        <v>89.106943568579993</v>
      </c>
      <c r="AN4707">
        <v>0.99999996530485902</v>
      </c>
    </row>
    <row r="4708" spans="1:40" x14ac:dyDescent="0.25">
      <c r="A4708" t="str">
        <f>"20190303171110600"</f>
        <v>20190303171110600</v>
      </c>
      <c r="B4708" t="str">
        <f>"1551604270595210"</f>
        <v>1551604270595210</v>
      </c>
      <c r="C4708" t="s">
        <v>40</v>
      </c>
      <c r="D4708">
        <v>5.0051209999999999</v>
      </c>
      <c r="E4708">
        <v>0.42708770000000001</v>
      </c>
      <c r="F4708" t="s">
        <v>87</v>
      </c>
      <c r="G4708">
        <v>-235.1422</v>
      </c>
      <c r="H4708">
        <v>1.2870790000000001</v>
      </c>
      <c r="I4708">
        <v>38.650019999999998</v>
      </c>
      <c r="J4708">
        <v>-375.10610000000003</v>
      </c>
      <c r="K4708">
        <v>1.1216759999999999</v>
      </c>
      <c r="L4708">
        <v>16.53867</v>
      </c>
      <c r="M4708">
        <v>0.99971109999999996</v>
      </c>
      <c r="N4708">
        <v>-5.6843769999999896E-3</v>
      </c>
      <c r="O4708">
        <v>-2.3358779999999999E-2</v>
      </c>
      <c r="P4708">
        <v>0.98048270000000004</v>
      </c>
      <c r="Q4708">
        <v>0.19264100000000001</v>
      </c>
      <c r="R4708">
        <v>-3.9287580000000003E-2</v>
      </c>
      <c r="S4708">
        <v>3.0784609999999999</v>
      </c>
      <c r="T4708">
        <v>3.6339760000000001E-3</v>
      </c>
      <c r="U4708">
        <v>0.48568729999999899</v>
      </c>
      <c r="V4708">
        <v>1.5714229999999999E-2</v>
      </c>
      <c r="W4708">
        <v>0.198268</v>
      </c>
      <c r="X4708">
        <v>0.9800219</v>
      </c>
      <c r="Y4708">
        <v>-0.178873</v>
      </c>
      <c r="Z4708">
        <v>2.4726480000000003E-4</v>
      </c>
      <c r="AA4708">
        <v>0.98387210000000003</v>
      </c>
      <c r="AB4708">
        <v>29</v>
      </c>
      <c r="AC4708">
        <v>139.9639</v>
      </c>
      <c r="AD4708">
        <v>0.165402999999999</v>
      </c>
      <c r="AE4708">
        <v>22.111350000000002</v>
      </c>
      <c r="AF4708">
        <v>-25.374720469228301</v>
      </c>
      <c r="AG4708">
        <v>0.165402999999999</v>
      </c>
      <c r="AH4708">
        <v>139.40901673474301</v>
      </c>
      <c r="AI4708">
        <v>89.933119813249903</v>
      </c>
      <c r="AJ4708">
        <v>100.31583698559101</v>
      </c>
      <c r="AK4708">
        <v>141.69960389497101</v>
      </c>
      <c r="AL4708">
        <v>78.564305723285699</v>
      </c>
      <c r="AM4708">
        <v>89.081365522347795</v>
      </c>
      <c r="AN4708">
        <v>1.00000003066405</v>
      </c>
    </row>
    <row r="4709" spans="1:40" x14ac:dyDescent="0.25">
      <c r="A4709" t="str">
        <f>"20190303171110610"</f>
        <v>20190303171110610</v>
      </c>
      <c r="B4709" t="str">
        <f>"1551604270605946"</f>
        <v>1551604270605946</v>
      </c>
      <c r="C4709" t="s">
        <v>40</v>
      </c>
      <c r="D4709">
        <v>5.0052669999999999</v>
      </c>
      <c r="E4709">
        <v>0.42701240000000001</v>
      </c>
      <c r="F4709" t="s">
        <v>87</v>
      </c>
      <c r="G4709">
        <v>-235.98230000000001</v>
      </c>
      <c r="H4709">
        <v>1.291501</v>
      </c>
      <c r="I4709">
        <v>38.650019999999998</v>
      </c>
      <c r="J4709">
        <v>-374.95850000000002</v>
      </c>
      <c r="K4709">
        <v>1.121678</v>
      </c>
      <c r="L4709">
        <v>16.53604</v>
      </c>
      <c r="M4709">
        <v>0.9997315</v>
      </c>
      <c r="N4709">
        <v>-5.6748379999999998E-3</v>
      </c>
      <c r="O4709">
        <v>-2.247304E-2</v>
      </c>
      <c r="P4709">
        <v>0.98044089999999995</v>
      </c>
      <c r="Q4709">
        <v>0.19296179999999999</v>
      </c>
      <c r="R4709">
        <v>-3.8754950000000003E-2</v>
      </c>
      <c r="S4709">
        <v>3.0785830000000001</v>
      </c>
      <c r="T4709">
        <v>3.758192E-3</v>
      </c>
      <c r="U4709">
        <v>0.48928830000000001</v>
      </c>
      <c r="V4709">
        <v>1.6048980000000001E-2</v>
      </c>
      <c r="W4709">
        <v>0.1985806</v>
      </c>
      <c r="X4709">
        <v>0.97995319999999997</v>
      </c>
      <c r="Y4709">
        <v>-0.1791181</v>
      </c>
      <c r="Z4709">
        <v>2.4879749999999999E-4</v>
      </c>
      <c r="AA4709">
        <v>0.98382749999999997</v>
      </c>
      <c r="AB4709">
        <v>30</v>
      </c>
      <c r="AC4709">
        <v>138.97620000000001</v>
      </c>
      <c r="AD4709">
        <v>0.169822999999999</v>
      </c>
      <c r="AE4709">
        <v>22.113980000000002</v>
      </c>
      <c r="AF4709">
        <v>-25.231625679891</v>
      </c>
      <c r="AG4709">
        <v>0.169822999999999</v>
      </c>
      <c r="AH4709">
        <v>138.44392245184901</v>
      </c>
      <c r="AI4709">
        <v>89.930856788369297</v>
      </c>
      <c r="AJ4709">
        <v>100.328882730071</v>
      </c>
      <c r="AK4709">
        <v>140.724494805115</v>
      </c>
      <c r="AL4709">
        <v>78.546031923106696</v>
      </c>
      <c r="AM4709">
        <v>89.061734151045201</v>
      </c>
      <c r="AN4709">
        <v>1.0000000493228101</v>
      </c>
    </row>
    <row r="4710" spans="1:40" x14ac:dyDescent="0.25">
      <c r="A4710" t="str">
        <f>"20190303171110622"</f>
        <v>20190303171110622</v>
      </c>
      <c r="B4710" t="str">
        <f>"1551604270615707"</f>
        <v>1551604270615707</v>
      </c>
      <c r="C4710" t="s">
        <v>40</v>
      </c>
      <c r="D4710">
        <v>5.0134850000000002</v>
      </c>
      <c r="E4710">
        <v>0.42687219999999998</v>
      </c>
      <c r="F4710" t="s">
        <v>87</v>
      </c>
      <c r="G4710">
        <v>-236.5145</v>
      </c>
      <c r="H4710">
        <v>1.301477</v>
      </c>
      <c r="I4710">
        <v>38.650019999999998</v>
      </c>
      <c r="J4710">
        <v>-374.81380000000001</v>
      </c>
      <c r="K4710">
        <v>1.121678</v>
      </c>
      <c r="L4710">
        <v>16.5336</v>
      </c>
      <c r="M4710">
        <v>0.99975060000000004</v>
      </c>
      <c r="N4710">
        <v>-5.6641570000000004E-3</v>
      </c>
      <c r="O4710">
        <v>-2.160517E-2</v>
      </c>
      <c r="P4710">
        <v>0.98034719999999997</v>
      </c>
      <c r="Q4710">
        <v>0.19348119999999999</v>
      </c>
      <c r="R4710">
        <v>-3.8529010000000002E-2</v>
      </c>
      <c r="S4710">
        <v>3.0784609999999999</v>
      </c>
      <c r="T4710">
        <v>3.9982799999999999E-3</v>
      </c>
      <c r="U4710">
        <v>0.49172969999999999</v>
      </c>
      <c r="V4710">
        <v>1.667306E-2</v>
      </c>
      <c r="W4710">
        <v>0.1990914</v>
      </c>
      <c r="X4710">
        <v>0.97983909999999996</v>
      </c>
      <c r="Y4710">
        <v>-0.179031</v>
      </c>
      <c r="Z4710">
        <v>2.4524360000000001E-4</v>
      </c>
      <c r="AA4710">
        <v>0.98384340000000003</v>
      </c>
      <c r="AB4710">
        <v>30</v>
      </c>
      <c r="AC4710">
        <v>138.29929999999999</v>
      </c>
      <c r="AD4710">
        <v>0.17979899999999899</v>
      </c>
      <c r="AE4710">
        <v>22.116420000000002</v>
      </c>
      <c r="AF4710">
        <v>-25.0992437075342</v>
      </c>
      <c r="AG4710">
        <v>0.17979899999999899</v>
      </c>
      <c r="AH4710">
        <v>137.78895356382901</v>
      </c>
      <c r="AI4710">
        <v>89.926445878930593</v>
      </c>
      <c r="AJ4710">
        <v>100.323645557999</v>
      </c>
      <c r="AK4710">
        <v>140.056417513035</v>
      </c>
      <c r="AL4710">
        <v>78.516168608834704</v>
      </c>
      <c r="AM4710">
        <v>89.025142205362201</v>
      </c>
      <c r="AN4710">
        <v>1.0000000191862599</v>
      </c>
    </row>
    <row r="4711" spans="1:40" x14ac:dyDescent="0.25">
      <c r="A4711" t="str">
        <f>"20190303171110634"</f>
        <v>20190303171110634</v>
      </c>
      <c r="B4711" t="str">
        <f>"1551604270625466"</f>
        <v>1551604270625466</v>
      </c>
      <c r="C4711" t="s">
        <v>40</v>
      </c>
      <c r="D4711">
        <v>5.0188300000000003</v>
      </c>
      <c r="E4711">
        <v>0.42679099999999998</v>
      </c>
      <c r="F4711" t="s">
        <v>87</v>
      </c>
      <c r="G4711">
        <v>-236.8794</v>
      </c>
      <c r="H4711">
        <v>1.3776349999999999</v>
      </c>
      <c r="I4711">
        <v>38.650019999999998</v>
      </c>
      <c r="J4711">
        <v>-374.64109999999999</v>
      </c>
      <c r="K4711">
        <v>1.121677</v>
      </c>
      <c r="L4711">
        <v>16.53079</v>
      </c>
      <c r="M4711">
        <v>0.99977249999999995</v>
      </c>
      <c r="N4711">
        <v>-5.6497759999999996E-3</v>
      </c>
      <c r="O4711">
        <v>-2.0571010000000001E-2</v>
      </c>
      <c r="P4711">
        <v>0.98027779999999998</v>
      </c>
      <c r="Q4711">
        <v>0.19394169999999999</v>
      </c>
      <c r="R4711">
        <v>-3.7979690000000003E-2</v>
      </c>
      <c r="S4711">
        <v>3.0783999999999998</v>
      </c>
      <c r="T4711">
        <v>5.712628E-3</v>
      </c>
      <c r="U4711">
        <v>0.49359130000000001</v>
      </c>
      <c r="V4711">
        <v>1.7135999999999998E-2</v>
      </c>
      <c r="W4711">
        <v>0.19953860000000001</v>
      </c>
      <c r="X4711">
        <v>0.9797401</v>
      </c>
      <c r="Y4711">
        <v>-0.17859649999999999</v>
      </c>
      <c r="Z4711">
        <v>1.896716E-4</v>
      </c>
      <c r="AA4711">
        <v>0.98392239999999997</v>
      </c>
      <c r="AB4711">
        <v>30</v>
      </c>
      <c r="AC4711">
        <v>137.76169999999999</v>
      </c>
      <c r="AD4711">
        <v>0.25595799999999902</v>
      </c>
      <c r="AE4711">
        <v>22.119230000000002</v>
      </c>
      <c r="AF4711">
        <v>-24.9484076811767</v>
      </c>
      <c r="AG4711">
        <v>0.25595799999999902</v>
      </c>
      <c r="AH4711">
        <v>137.27706381082899</v>
      </c>
      <c r="AI4711">
        <v>89.894891773948402</v>
      </c>
      <c r="AJ4711">
        <v>100.30037859328</v>
      </c>
      <c r="AK4711">
        <v>139.52591447056099</v>
      </c>
      <c r="AL4711">
        <v>78.490020839753001</v>
      </c>
      <c r="AM4711">
        <v>88.997978771027704</v>
      </c>
      <c r="AN4711">
        <v>0.99999997946698405</v>
      </c>
    </row>
    <row r="4712" spans="1:40" x14ac:dyDescent="0.25">
      <c r="A4712" t="str">
        <f>"20190303171110648"</f>
        <v>20190303171110648</v>
      </c>
      <c r="B4712" t="str">
        <f>"1551604270635226"</f>
        <v>1551604270635226</v>
      </c>
      <c r="C4712" t="s">
        <v>40</v>
      </c>
      <c r="D4712">
        <v>4.9966179999999998</v>
      </c>
      <c r="E4712">
        <v>0.42672710000000003</v>
      </c>
      <c r="F4712" t="s">
        <v>87</v>
      </c>
      <c r="G4712">
        <v>-237.28639999999999</v>
      </c>
      <c r="H4712">
        <v>1.4008229999999999</v>
      </c>
      <c r="I4712">
        <v>38.650019999999998</v>
      </c>
      <c r="J4712">
        <v>-374.45749999999998</v>
      </c>
      <c r="K4712">
        <v>1.121683</v>
      </c>
      <c r="L4712">
        <v>16.528079999999999</v>
      </c>
      <c r="M4712">
        <v>0.99979459999999998</v>
      </c>
      <c r="N4712">
        <v>-5.6313279999999997E-3</v>
      </c>
      <c r="O4712">
        <v>-1.9471039999999998E-2</v>
      </c>
      <c r="P4712">
        <v>0.98026040000000003</v>
      </c>
      <c r="Q4712">
        <v>0.1941734</v>
      </c>
      <c r="R4712">
        <v>-3.7234530000000002E-2</v>
      </c>
      <c r="S4712">
        <v>3.0783390000000002</v>
      </c>
      <c r="T4712">
        <v>6.2563419999999998E-3</v>
      </c>
      <c r="U4712">
        <v>0.49572749999999999</v>
      </c>
      <c r="V4712">
        <v>1.7467070000000001E-2</v>
      </c>
      <c r="W4712">
        <v>0.1997536</v>
      </c>
      <c r="X4712">
        <v>0.97969050000000002</v>
      </c>
      <c r="Y4712">
        <v>-0.1781826</v>
      </c>
      <c r="Z4712">
        <v>1.7676749999999999E-4</v>
      </c>
      <c r="AA4712">
        <v>0.98399740000000002</v>
      </c>
      <c r="AB4712">
        <v>30</v>
      </c>
      <c r="AC4712">
        <v>137.1711</v>
      </c>
      <c r="AD4712">
        <v>0.279139999999999</v>
      </c>
      <c r="AE4712">
        <v>22.121939999999999</v>
      </c>
      <c r="AF4712">
        <v>-24.7885521931487</v>
      </c>
      <c r="AG4712">
        <v>0.279139999999999</v>
      </c>
      <c r="AH4712">
        <v>136.713798672282</v>
      </c>
      <c r="AI4712">
        <v>89.884891419042106</v>
      </c>
      <c r="AJ4712">
        <v>100.27705395301901</v>
      </c>
      <c r="AK4712">
        <v>138.94320057626899</v>
      </c>
      <c r="AL4712">
        <v>78.477449832652496</v>
      </c>
      <c r="AM4712">
        <v>88.978571938535197</v>
      </c>
      <c r="AN4712">
        <v>1.0000000375187901</v>
      </c>
    </row>
    <row r="4713" spans="1:40" x14ac:dyDescent="0.25">
      <c r="A4713" t="str">
        <f>"20190303171110669"</f>
        <v>20190303171110669</v>
      </c>
      <c r="B4713" t="str">
        <f>"1551604270655723"</f>
        <v>1551604270655723</v>
      </c>
      <c r="C4713" t="s">
        <v>40</v>
      </c>
      <c r="D4713">
        <v>5.0201859999999998</v>
      </c>
      <c r="E4713">
        <v>0.42660559999999997</v>
      </c>
      <c r="F4713" t="s">
        <v>87</v>
      </c>
      <c r="G4713">
        <v>-237.88980000000001</v>
      </c>
      <c r="H4713">
        <v>1.4216089999999999</v>
      </c>
      <c r="I4713">
        <v>38.650019999999998</v>
      </c>
      <c r="J4713">
        <v>-374.18860000000001</v>
      </c>
      <c r="K4713">
        <v>1.121683</v>
      </c>
      <c r="L4713">
        <v>16.52441</v>
      </c>
      <c r="M4713">
        <v>0.99982499999999996</v>
      </c>
      <c r="N4713">
        <v>-5.6008189999999999E-3</v>
      </c>
      <c r="O4713">
        <v>-1.7863210000000001E-2</v>
      </c>
      <c r="P4713">
        <v>0.98015419999999998</v>
      </c>
      <c r="Q4713">
        <v>0.1948783</v>
      </c>
      <c r="R4713">
        <v>-3.6341329999999998E-2</v>
      </c>
      <c r="S4713">
        <v>3.078033</v>
      </c>
      <c r="T4713">
        <v>6.7601199999999997E-3</v>
      </c>
      <c r="U4713">
        <v>0.49859619999999999</v>
      </c>
      <c r="V4713">
        <v>1.8146820000000001E-2</v>
      </c>
      <c r="W4713">
        <v>0.20043050000000001</v>
      </c>
      <c r="X4713">
        <v>0.97953990000000002</v>
      </c>
      <c r="Y4713">
        <v>-0.17750929999999901</v>
      </c>
      <c r="Z4713">
        <v>1.6829630000000001E-4</v>
      </c>
      <c r="AA4713">
        <v>0.98411910000000002</v>
      </c>
      <c r="AB4713">
        <v>30</v>
      </c>
      <c r="AC4713">
        <v>136.2988</v>
      </c>
      <c r="AD4713">
        <v>0.29992600000000003</v>
      </c>
      <c r="AE4713">
        <v>22.125610000000002</v>
      </c>
      <c r="AF4713">
        <v>-24.556735349954302</v>
      </c>
      <c r="AG4713">
        <v>0.29992600000000003</v>
      </c>
      <c r="AH4713">
        <v>135.881169918155</v>
      </c>
      <c r="AI4713">
        <v>89.8755491099772</v>
      </c>
      <c r="AJ4713">
        <v>100.244045557619</v>
      </c>
      <c r="AK4713">
        <v>138.08264027378601</v>
      </c>
      <c r="AL4713">
        <v>78.437866010433197</v>
      </c>
      <c r="AM4713">
        <v>88.938667762647398</v>
      </c>
      <c r="AN4713">
        <v>1.00000005404918</v>
      </c>
    </row>
    <row r="4714" spans="1:40" x14ac:dyDescent="0.25">
      <c r="A4714" t="str">
        <f>"20190303171110688"</f>
        <v>20190303171110688</v>
      </c>
      <c r="B4714" t="str">
        <f>"1551604270675241"</f>
        <v>1551604270675241</v>
      </c>
      <c r="C4714" t="s">
        <v>40</v>
      </c>
      <c r="D4714">
        <v>5.036861</v>
      </c>
      <c r="E4714">
        <v>0.42651810000000001</v>
      </c>
      <c r="F4714" t="s">
        <v>87</v>
      </c>
      <c r="G4714">
        <v>-238.6489</v>
      </c>
      <c r="H4714">
        <v>1.4869619999999999</v>
      </c>
      <c r="I4714">
        <v>38.650019999999998</v>
      </c>
      <c r="J4714">
        <v>-373.9203</v>
      </c>
      <c r="K4714">
        <v>1.1216809999999999</v>
      </c>
      <c r="L4714">
        <v>16.52121</v>
      </c>
      <c r="M4714">
        <v>0.99985239999999997</v>
      </c>
      <c r="N4714">
        <v>-5.5656079999999997E-3</v>
      </c>
      <c r="O4714">
        <v>-1.6259200000000001E-2</v>
      </c>
      <c r="P4714">
        <v>0.98010330000000001</v>
      </c>
      <c r="Q4714">
        <v>0.19533829999999999</v>
      </c>
      <c r="R4714">
        <v>-3.5223520000000001E-2</v>
      </c>
      <c r="S4714">
        <v>3.077728</v>
      </c>
      <c r="T4714">
        <v>8.2947019999999993E-3</v>
      </c>
      <c r="U4714">
        <v>0.50241089999999999</v>
      </c>
      <c r="V4714">
        <v>1.8597499999999999E-2</v>
      </c>
      <c r="W4714">
        <v>0.20085749999999999</v>
      </c>
      <c r="X4714">
        <v>0.97944390000000003</v>
      </c>
      <c r="Y4714">
        <v>-0.17713429999999999</v>
      </c>
      <c r="Z4714">
        <v>1.256334E-4</v>
      </c>
      <c r="AA4714">
        <v>0.98418669999999997</v>
      </c>
      <c r="AB4714">
        <v>30</v>
      </c>
      <c r="AC4714">
        <v>135.2714</v>
      </c>
      <c r="AD4714">
        <v>0.36528100000000002</v>
      </c>
      <c r="AE4714">
        <v>22.128810000000001</v>
      </c>
      <c r="AF4714">
        <v>-24.3251505955676</v>
      </c>
      <c r="AG4714">
        <v>0.36528100000000002</v>
      </c>
      <c r="AH4714">
        <v>134.89275770367999</v>
      </c>
      <c r="AI4714">
        <v>89.847309829128207</v>
      </c>
      <c r="AJ4714">
        <v>100.22226204634001</v>
      </c>
      <c r="AK4714">
        <v>137.068969729147</v>
      </c>
      <c r="AL4714">
        <v>78.412891969384603</v>
      </c>
      <c r="AM4714">
        <v>88.912209030639502</v>
      </c>
      <c r="AN4714">
        <v>0.99999997777985405</v>
      </c>
    </row>
    <row r="4715" spans="1:40" x14ac:dyDescent="0.25">
      <c r="A4715" t="str">
        <f>"20190303171110701"</f>
        <v>20190303171110701</v>
      </c>
      <c r="B4715" t="str">
        <f>"1551604270695740"</f>
        <v>1551604270695740</v>
      </c>
      <c r="C4715" t="s">
        <v>40</v>
      </c>
      <c r="D4715">
        <v>5.0502779999999996</v>
      </c>
      <c r="E4715">
        <v>0.42645519999999998</v>
      </c>
      <c r="F4715" t="s">
        <v>87</v>
      </c>
      <c r="G4715">
        <v>-239.50239999999999</v>
      </c>
      <c r="H4715">
        <v>1.4952379999999901</v>
      </c>
      <c r="I4715">
        <v>38.650019999999998</v>
      </c>
      <c r="J4715">
        <v>-373.75369999999998</v>
      </c>
      <c r="K4715">
        <v>1.1216820000000001</v>
      </c>
      <c r="L4715">
        <v>16.519379999999899</v>
      </c>
      <c r="M4715">
        <v>0.99986819999999998</v>
      </c>
      <c r="N4715">
        <v>-5.5415100000000004E-3</v>
      </c>
      <c r="O4715">
        <v>-1.526484E-2</v>
      </c>
      <c r="P4715">
        <v>0.98014299999999999</v>
      </c>
      <c r="Q4715">
        <v>0.19528119999999999</v>
      </c>
      <c r="R4715">
        <v>-3.4419789999999999E-2</v>
      </c>
      <c r="S4715">
        <v>3.0773929999999998</v>
      </c>
      <c r="T4715">
        <v>8.5525510000000003E-3</v>
      </c>
      <c r="U4715">
        <v>0.50662229999999997</v>
      </c>
      <c r="V4715">
        <v>1.876624E-2</v>
      </c>
      <c r="W4715">
        <v>0.2007776</v>
      </c>
      <c r="X4715">
        <v>0.97945709999999997</v>
      </c>
      <c r="Y4715">
        <v>-0.17748420000000001</v>
      </c>
      <c r="Z4715">
        <v>1.2392419999999999E-4</v>
      </c>
      <c r="AA4715">
        <v>0.98412359999999999</v>
      </c>
      <c r="AB4715">
        <v>30</v>
      </c>
      <c r="AC4715">
        <v>134.25129999999999</v>
      </c>
      <c r="AD4715">
        <v>0.373555999999999</v>
      </c>
      <c r="AE4715">
        <v>22.13064</v>
      </c>
      <c r="AF4715">
        <v>-24.177235080574199</v>
      </c>
      <c r="AG4715">
        <v>0.373555999999999</v>
      </c>
      <c r="AH4715">
        <v>133.89682220778499</v>
      </c>
      <c r="AI4715">
        <v>89.842695894661702</v>
      </c>
      <c r="AJ4715">
        <v>100.235391194136</v>
      </c>
      <c r="AK4715">
        <v>136.06262248527199</v>
      </c>
      <c r="AL4715">
        <v>78.417565520641503</v>
      </c>
      <c r="AM4715">
        <v>88.902356410866204</v>
      </c>
      <c r="AN4715">
        <v>1.0000000135829501</v>
      </c>
    </row>
    <row r="4716" spans="1:40" x14ac:dyDescent="0.25">
      <c r="A4716" t="str">
        <f>"20190303171110723"</f>
        <v>20190303171110723</v>
      </c>
      <c r="B4716" t="str">
        <f>"1551604270715258"</f>
        <v>1551604270715258</v>
      </c>
      <c r="C4716" t="s">
        <v>40</v>
      </c>
      <c r="D4716">
        <v>5.0619239999999897</v>
      </c>
      <c r="E4716">
        <v>0.42638920000000002</v>
      </c>
      <c r="F4716" t="s">
        <v>87</v>
      </c>
      <c r="G4716">
        <v>-240.15899999999999</v>
      </c>
      <c r="H4716">
        <v>1.4258789999999999</v>
      </c>
      <c r="I4716">
        <v>38.650019999999998</v>
      </c>
      <c r="J4716">
        <v>-373.44990000000001</v>
      </c>
      <c r="K4716">
        <v>1.1216790000000001</v>
      </c>
      <c r="L4716">
        <v>16.516570000000002</v>
      </c>
      <c r="M4716">
        <v>0.99989450000000002</v>
      </c>
      <c r="N4716">
        <v>-5.4927140000000001E-3</v>
      </c>
      <c r="O4716">
        <v>-1.345268E-2</v>
      </c>
      <c r="P4716">
        <v>0.98021009999999997</v>
      </c>
      <c r="Q4716">
        <v>0.19533130000000001</v>
      </c>
      <c r="R4716">
        <v>-3.2155219999999998E-2</v>
      </c>
      <c r="S4716">
        <v>3.0772710000000001</v>
      </c>
      <c r="T4716">
        <v>7.007241E-3</v>
      </c>
      <c r="U4716">
        <v>0.50976560000000004</v>
      </c>
      <c r="V4716">
        <v>1.8273350000000001E-2</v>
      </c>
      <c r="W4716">
        <v>0.2007785</v>
      </c>
      <c r="X4716">
        <v>0.97946619999999995</v>
      </c>
      <c r="Y4716">
        <v>-0.17668539999999999</v>
      </c>
      <c r="Z4716">
        <v>1.849186E-4</v>
      </c>
      <c r="AA4716">
        <v>0.98426740000000001</v>
      </c>
      <c r="AB4716">
        <v>30</v>
      </c>
      <c r="AC4716">
        <v>133.29089999999999</v>
      </c>
      <c r="AD4716">
        <v>0.30420000000000003</v>
      </c>
      <c r="AE4716">
        <v>22.13345</v>
      </c>
      <c r="AF4716">
        <v>-23.924472519797</v>
      </c>
      <c r="AG4716">
        <v>0.30420000000000003</v>
      </c>
      <c r="AH4716">
        <v>132.98040522005101</v>
      </c>
      <c r="AI4716">
        <v>89.871003986250102</v>
      </c>
      <c r="AJ4716">
        <v>100.198965422649</v>
      </c>
      <c r="AK4716">
        <v>135.11573222789201</v>
      </c>
      <c r="AL4716">
        <v>78.417512478362596</v>
      </c>
      <c r="AM4716">
        <v>88.931188860114204</v>
      </c>
      <c r="AN4716">
        <v>0.99999997916245598</v>
      </c>
    </row>
    <row r="4717" spans="1:40" x14ac:dyDescent="0.25">
      <c r="A4717" t="str">
        <f>"20190303171110734"</f>
        <v>20190303171110734</v>
      </c>
      <c r="B4717" t="str">
        <f>"1551604270725018"</f>
        <v>1551604270725018</v>
      </c>
      <c r="C4717" t="s">
        <v>40</v>
      </c>
      <c r="D4717">
        <v>5.0616949999999896</v>
      </c>
      <c r="E4717">
        <v>0.42637120000000001</v>
      </c>
      <c r="F4717" t="s">
        <v>87</v>
      </c>
      <c r="G4717">
        <v>-241.72579999999999</v>
      </c>
      <c r="H4717">
        <v>1.3515680000000001</v>
      </c>
      <c r="I4717">
        <v>38.650019999999998</v>
      </c>
      <c r="J4717">
        <v>-373.28910000000002</v>
      </c>
      <c r="K4717">
        <v>1.12168</v>
      </c>
      <c r="L4717">
        <v>16.515229999999999</v>
      </c>
      <c r="M4717">
        <v>0.99990710000000005</v>
      </c>
      <c r="N4717">
        <v>-5.4652349999999997E-3</v>
      </c>
      <c r="O4717">
        <v>-1.249372E-2</v>
      </c>
      <c r="P4717">
        <v>0.9802244</v>
      </c>
      <c r="Q4717">
        <v>0.19546359999999999</v>
      </c>
      <c r="R4717">
        <v>-3.089389E-2</v>
      </c>
      <c r="S4717">
        <v>3.0764770000000001</v>
      </c>
      <c r="T4717">
        <v>5.3694249999999997E-3</v>
      </c>
      <c r="U4717">
        <v>0.51693729999999904</v>
      </c>
      <c r="V4717">
        <v>1.794919E-2</v>
      </c>
      <c r="W4717">
        <v>0.20088310000000001</v>
      </c>
      <c r="X4717">
        <v>0.97945079999999995</v>
      </c>
      <c r="Y4717">
        <v>-0.17801449999999999</v>
      </c>
      <c r="Z4717">
        <v>2.461214E-4</v>
      </c>
      <c r="AA4717">
        <v>0.98402780000000001</v>
      </c>
      <c r="AB4717">
        <v>30</v>
      </c>
      <c r="AC4717">
        <v>131.5633</v>
      </c>
      <c r="AD4717">
        <v>0.22988800000000001</v>
      </c>
      <c r="AE4717">
        <v>22.134789999999999</v>
      </c>
      <c r="AF4717">
        <v>-23.776731180697499</v>
      </c>
      <c r="AG4717">
        <v>0.22988800000000001</v>
      </c>
      <c r="AH4717">
        <v>131.27609147548699</v>
      </c>
      <c r="AI4717">
        <v>89.901271210472601</v>
      </c>
      <c r="AJ4717">
        <v>100.266121257338</v>
      </c>
      <c r="AK4717">
        <v>133.412135831836</v>
      </c>
      <c r="AL4717">
        <v>78.411395310029704</v>
      </c>
      <c r="AM4717">
        <v>88.950128244733904</v>
      </c>
      <c r="AN4717">
        <v>1.0000000314539499</v>
      </c>
    </row>
    <row r="4718" spans="1:40" x14ac:dyDescent="0.25">
      <c r="A4718" t="str">
        <f>"20190303171110746"</f>
        <v>20190303171110746</v>
      </c>
      <c r="B4718" t="str">
        <f>"1551604270735754"</f>
        <v>1551604270735754</v>
      </c>
      <c r="C4718" t="s">
        <v>40</v>
      </c>
      <c r="D4718">
        <v>5.0426219999999997</v>
      </c>
      <c r="E4718">
        <v>0.42633460000000001</v>
      </c>
      <c r="F4718" t="s">
        <v>87</v>
      </c>
      <c r="G4718">
        <v>-242.48140000000001</v>
      </c>
      <c r="H4718">
        <v>1.3167709999999999</v>
      </c>
      <c r="I4718">
        <v>38.650019999999998</v>
      </c>
      <c r="J4718">
        <v>-373.14859999999999</v>
      </c>
      <c r="K4718">
        <v>1.12168</v>
      </c>
      <c r="L4718">
        <v>16.514250000000001</v>
      </c>
      <c r="M4718">
        <v>0.99991730000000001</v>
      </c>
      <c r="N4718">
        <v>-5.4415000000000002E-3</v>
      </c>
      <c r="O4718">
        <v>-1.165708E-2</v>
      </c>
      <c r="P4718">
        <v>0.98011239999999999</v>
      </c>
      <c r="Q4718">
        <v>0.19621279999999999</v>
      </c>
      <c r="R4718">
        <v>-2.967624E-2</v>
      </c>
      <c r="S4718">
        <v>3.0759889999999999</v>
      </c>
      <c r="T4718">
        <v>4.5878890000000004E-3</v>
      </c>
      <c r="U4718">
        <v>0.52050779999999996</v>
      </c>
      <c r="V4718">
        <v>1.7548480000000002E-2</v>
      </c>
      <c r="W4718">
        <v>0.20160710000000001</v>
      </c>
      <c r="X4718">
        <v>0.97930930000000005</v>
      </c>
      <c r="Y4718">
        <v>-0.17832729999999999</v>
      </c>
      <c r="Z4718">
        <v>2.7632280000000002E-4</v>
      </c>
      <c r="AA4718">
        <v>0.98397120000000005</v>
      </c>
      <c r="AB4718">
        <v>30</v>
      </c>
      <c r="AC4718">
        <v>130.66719999999901</v>
      </c>
      <c r="AD4718">
        <v>0.19509099999999899</v>
      </c>
      <c r="AE4718">
        <v>22.135770000000001</v>
      </c>
      <c r="AF4718">
        <v>-23.657435127890601</v>
      </c>
      <c r="AG4718">
        <v>0.19509099999999899</v>
      </c>
      <c r="AH4718">
        <v>130.39999659414599</v>
      </c>
      <c r="AI4718">
        <v>89.915656833895198</v>
      </c>
      <c r="AJ4718">
        <v>100.28287473159</v>
      </c>
      <c r="AK4718">
        <v>132.528756913667</v>
      </c>
      <c r="AL4718">
        <v>78.369046836379397</v>
      </c>
      <c r="AM4718">
        <v>88.973412950552699</v>
      </c>
      <c r="AN4718">
        <v>1.0000000384936001</v>
      </c>
    </row>
    <row r="4719" spans="1:40" x14ac:dyDescent="0.25">
      <c r="A4719" t="str">
        <f>"20190303171110757"</f>
        <v>20190303171110757</v>
      </c>
      <c r="B4719" t="str">
        <f>"1551604270745514"</f>
        <v>1551604270745514</v>
      </c>
      <c r="C4719" t="s">
        <v>40</v>
      </c>
      <c r="D4719">
        <v>5.0579239999999999</v>
      </c>
      <c r="E4719">
        <v>0.4263093</v>
      </c>
      <c r="F4719" t="s">
        <v>87</v>
      </c>
      <c r="G4719">
        <v>-243.33150000000001</v>
      </c>
      <c r="H4719">
        <v>1.39</v>
      </c>
      <c r="I4719">
        <v>38.650019999999998</v>
      </c>
      <c r="J4719">
        <v>-372.99579999999997</v>
      </c>
      <c r="K4719">
        <v>1.1216820000000001</v>
      </c>
      <c r="L4719">
        <v>16.513279999999899</v>
      </c>
      <c r="M4719">
        <v>0.99992760000000003</v>
      </c>
      <c r="N4719">
        <v>-5.4157800000000002E-3</v>
      </c>
      <c r="O4719">
        <v>-1.074689E-2</v>
      </c>
      <c r="P4719">
        <v>0.98006289999999996</v>
      </c>
      <c r="Q4719">
        <v>0.1966165</v>
      </c>
      <c r="R4719">
        <v>-2.8613530000000002E-2</v>
      </c>
      <c r="S4719">
        <v>3.0754700000000001</v>
      </c>
      <c r="T4719">
        <v>6.3569550000000001E-3</v>
      </c>
      <c r="U4719">
        <v>0.52441409999999999</v>
      </c>
      <c r="V4719">
        <v>1.7375000000000002E-2</v>
      </c>
      <c r="W4719">
        <v>0.201985</v>
      </c>
      <c r="X4719">
        <v>0.97923450000000001</v>
      </c>
      <c r="Y4719">
        <v>-0.17867369999999999</v>
      </c>
      <c r="Z4719">
        <v>2.2413070000000001E-4</v>
      </c>
      <c r="AA4719">
        <v>0.98390840000000002</v>
      </c>
      <c r="AB4719">
        <v>30</v>
      </c>
      <c r="AC4719">
        <v>129.664299999999</v>
      </c>
      <c r="AD4719">
        <v>0.268317999999999</v>
      </c>
      <c r="AE4719">
        <v>22.13674</v>
      </c>
      <c r="AF4719">
        <v>-23.5288720605596</v>
      </c>
      <c r="AG4719">
        <v>0.268317999999999</v>
      </c>
      <c r="AH4719">
        <v>129.418368648642</v>
      </c>
      <c r="AI4719">
        <v>89.883126883869906</v>
      </c>
      <c r="AJ4719">
        <v>100.30410060859801</v>
      </c>
      <c r="AK4719">
        <v>131.540084988064</v>
      </c>
      <c r="AL4719">
        <v>78.346939732738903</v>
      </c>
      <c r="AM4719">
        <v>88.983481774621396</v>
      </c>
      <c r="AN4719">
        <v>1.0000000184201201</v>
      </c>
    </row>
    <row r="4720" spans="1:40" x14ac:dyDescent="0.25">
      <c r="A4720" t="str">
        <f>"20190303171110768"</f>
        <v>20190303171110768</v>
      </c>
      <c r="B4720" t="str">
        <f>"1551604270766012"</f>
        <v>1551604270766012</v>
      </c>
      <c r="C4720" t="s">
        <v>40</v>
      </c>
      <c r="D4720">
        <v>5.0641790000000002</v>
      </c>
      <c r="E4720">
        <v>0.42614209999999902</v>
      </c>
      <c r="F4720" t="s">
        <v>87</v>
      </c>
      <c r="G4720">
        <v>-244.08619999999999</v>
      </c>
      <c r="H4720">
        <v>1.4295310000000001</v>
      </c>
      <c r="I4720">
        <v>38.650019999999998</v>
      </c>
      <c r="J4720">
        <v>-372.83010000000002</v>
      </c>
      <c r="K4720">
        <v>1.1216839999999999</v>
      </c>
      <c r="L4720">
        <v>16.512419999999999</v>
      </c>
      <c r="M4720">
        <v>0.99993799999999999</v>
      </c>
      <c r="N4720">
        <v>-5.3896550000000001E-3</v>
      </c>
      <c r="O4720">
        <v>-9.761469E-3</v>
      </c>
      <c r="P4720">
        <v>0.97991059999999996</v>
      </c>
      <c r="Q4720">
        <v>0.19753280000000001</v>
      </c>
      <c r="R4720">
        <v>-2.7504319999999999E-2</v>
      </c>
      <c r="S4720">
        <v>3.0749819999999999</v>
      </c>
      <c r="T4720">
        <v>7.3436500000000002E-3</v>
      </c>
      <c r="U4720">
        <v>0.52804569999999995</v>
      </c>
      <c r="V4720">
        <v>1.72274E-2</v>
      </c>
      <c r="W4720">
        <v>0.2028741</v>
      </c>
      <c r="X4720">
        <v>0.97905330000000002</v>
      </c>
      <c r="Y4720">
        <v>-0.17885899999999999</v>
      </c>
      <c r="Z4720">
        <v>1.981098E-4</v>
      </c>
      <c r="AA4720">
        <v>0.98387469999999999</v>
      </c>
      <c r="AB4720">
        <v>30</v>
      </c>
      <c r="AC4720">
        <v>128.7439</v>
      </c>
      <c r="AD4720">
        <v>0.30784699999999898</v>
      </c>
      <c r="AE4720">
        <v>22.137599999999999</v>
      </c>
      <c r="AF4720">
        <v>-23.393162956830501</v>
      </c>
      <c r="AG4720">
        <v>0.30784699999999898</v>
      </c>
      <c r="AH4720">
        <v>128.52095358295901</v>
      </c>
      <c r="AI4720">
        <v>89.864977796550406</v>
      </c>
      <c r="AJ4720">
        <v>100.315944004101</v>
      </c>
      <c r="AK4720">
        <v>130.632960437913</v>
      </c>
      <c r="AL4720">
        <v>78.294921169801498</v>
      </c>
      <c r="AM4720">
        <v>88.991928773923107</v>
      </c>
      <c r="AN4720">
        <v>1.0000000240012199</v>
      </c>
    </row>
    <row r="4721" spans="1:40" x14ac:dyDescent="0.25">
      <c r="A4721" t="str">
        <f>"20190303171110780"</f>
        <v>20190303171110780</v>
      </c>
      <c r="B4721" t="str">
        <f>"1551604270775771"</f>
        <v>1551604270775771</v>
      </c>
      <c r="C4721" t="s">
        <v>40</v>
      </c>
      <c r="D4721">
        <v>5.033817</v>
      </c>
      <c r="E4721">
        <v>0.41038259999999999</v>
      </c>
      <c r="F4721" t="s">
        <v>87</v>
      </c>
      <c r="G4721">
        <v>-245.14879999999999</v>
      </c>
      <c r="H4721">
        <v>1.550103</v>
      </c>
      <c r="I4721">
        <v>38.650019999999998</v>
      </c>
      <c r="J4721">
        <v>-372.67849999999999</v>
      </c>
      <c r="K4721">
        <v>1.1216889999999999</v>
      </c>
      <c r="L4721">
        <v>16.51172</v>
      </c>
      <c r="M4721">
        <v>0.99994640000000001</v>
      </c>
      <c r="N4721">
        <v>-5.3663640000000002E-3</v>
      </c>
      <c r="O4721">
        <v>-8.8598600000000007E-3</v>
      </c>
      <c r="P4721">
        <v>0.97974090000000003</v>
      </c>
      <c r="Q4721">
        <v>0.1985123</v>
      </c>
      <c r="R4721">
        <v>-2.6472949999999999E-2</v>
      </c>
      <c r="S4721">
        <v>3.0744319999999998</v>
      </c>
      <c r="T4721">
        <v>1.031613E-2</v>
      </c>
      <c r="U4721">
        <v>0.53305049999999998</v>
      </c>
      <c r="V4721">
        <v>1.7075179999999999E-2</v>
      </c>
      <c r="W4721">
        <v>0.20382980000000001</v>
      </c>
      <c r="X4721">
        <v>0.97885750000000005</v>
      </c>
      <c r="Y4721">
        <v>-0.17955639999999901</v>
      </c>
      <c r="Z4721">
        <v>1.09638E-4</v>
      </c>
      <c r="AA4721">
        <v>0.9837477</v>
      </c>
      <c r="AB4721">
        <v>30</v>
      </c>
      <c r="AC4721">
        <v>127.52970000000001</v>
      </c>
      <c r="AD4721">
        <v>0.42841400000000002</v>
      </c>
      <c r="AE4721">
        <v>22.138300000000001</v>
      </c>
      <c r="AF4721">
        <v>-23.267087673887701</v>
      </c>
      <c r="AG4721">
        <v>0.42841400000000002</v>
      </c>
      <c r="AH4721">
        <v>127.327154484331</v>
      </c>
      <c r="AI4721">
        <v>89.810359484520504</v>
      </c>
      <c r="AJ4721">
        <v>100.35566973544201</v>
      </c>
      <c r="AK4721">
        <v>129.436259125704</v>
      </c>
      <c r="AL4721">
        <v>78.238995690475505</v>
      </c>
      <c r="AM4721">
        <v>89.000634379323699</v>
      </c>
      <c r="AN4721">
        <v>1.0000000772231501</v>
      </c>
    </row>
    <row r="4722" spans="1:40" x14ac:dyDescent="0.25">
      <c r="A4722" t="str">
        <f>"20190303171110791"</f>
        <v>20190303171110791</v>
      </c>
      <c r="B4722" t="str">
        <f>"1551604270785530"</f>
        <v>1551604270785530</v>
      </c>
      <c r="C4722" t="s">
        <v>40</v>
      </c>
      <c r="D4722">
        <v>5.0657240000000003</v>
      </c>
      <c r="E4722">
        <v>0.40995500000000001</v>
      </c>
      <c r="F4722" t="s">
        <v>100</v>
      </c>
      <c r="G4722">
        <v>-280.86259999999999</v>
      </c>
      <c r="H4722">
        <v>2.3885290000000001</v>
      </c>
      <c r="I4722">
        <v>36.263460000000002</v>
      </c>
      <c r="J4722">
        <v>-372.51280000000003</v>
      </c>
      <c r="K4722">
        <v>1.121694</v>
      </c>
      <c r="L4722">
        <v>16.51117</v>
      </c>
      <c r="M4722">
        <v>0.99995489999999998</v>
      </c>
      <c r="N4722">
        <v>-5.3422189999999996E-3</v>
      </c>
      <c r="O4722">
        <v>-7.8745640000000006E-3</v>
      </c>
      <c r="P4722">
        <v>0.97968069999999896</v>
      </c>
      <c r="Q4722">
        <v>0.19897190000000001</v>
      </c>
      <c r="R4722">
        <v>-2.5228170000000001E-2</v>
      </c>
      <c r="S4722">
        <v>3.0712890000000002</v>
      </c>
      <c r="T4722">
        <v>4.2376520000000001E-2</v>
      </c>
      <c r="U4722">
        <v>0.6607056</v>
      </c>
      <c r="V4722">
        <v>1.6791899999999998E-2</v>
      </c>
      <c r="W4722">
        <v>0.2042639</v>
      </c>
      <c r="X4722">
        <v>0.97877179999999997</v>
      </c>
      <c r="Y4722">
        <v>-0.21799060000000001</v>
      </c>
      <c r="Z4722">
        <v>-1.046939E-3</v>
      </c>
      <c r="AA4722">
        <v>0.97595030000000005</v>
      </c>
      <c r="AB4722">
        <v>31</v>
      </c>
      <c r="AC4722">
        <v>91.650199999999998</v>
      </c>
      <c r="AD4722">
        <v>1.2668349999999999</v>
      </c>
      <c r="AE4722">
        <v>19.752289999999899</v>
      </c>
      <c r="AF4722">
        <v>-20.469655733484501</v>
      </c>
      <c r="AG4722">
        <v>1.2668349999999999</v>
      </c>
      <c r="AH4722">
        <v>91.475113836743205</v>
      </c>
      <c r="AI4722">
        <v>89.225710683157004</v>
      </c>
      <c r="AJ4722">
        <v>102.613448621692</v>
      </c>
      <c r="AK4722">
        <v>93.745976597450394</v>
      </c>
      <c r="AL4722">
        <v>78.213587816901594</v>
      </c>
      <c r="AM4722">
        <v>89.017124702549694</v>
      </c>
      <c r="AN4722">
        <v>0.999999972612029</v>
      </c>
    </row>
    <row r="4723" spans="1:40" x14ac:dyDescent="0.25">
      <c r="A4723" t="str">
        <f>"20190303171110803"</f>
        <v>20190303171110803</v>
      </c>
      <c r="B4723" t="str">
        <f>"1551604270795290"</f>
        <v>1551604270795290</v>
      </c>
      <c r="C4723" t="s">
        <v>40</v>
      </c>
      <c r="D4723">
        <v>5.070989</v>
      </c>
      <c r="E4723">
        <v>0.40951850000000001</v>
      </c>
      <c r="F4723" t="s">
        <v>100</v>
      </c>
      <c r="G4723">
        <v>-281.69850000000002</v>
      </c>
      <c r="H4723">
        <v>2.55863</v>
      </c>
      <c r="I4723">
        <v>36.271569999999997</v>
      </c>
      <c r="J4723">
        <v>-372.35980000000001</v>
      </c>
      <c r="K4723">
        <v>1.1216980000000001</v>
      </c>
      <c r="L4723">
        <v>16.5108</v>
      </c>
      <c r="M4723">
        <v>0.99996169999999995</v>
      </c>
      <c r="N4723">
        <v>-5.3211630000000003E-3</v>
      </c>
      <c r="O4723">
        <v>-6.9653279999999998E-3</v>
      </c>
      <c r="P4723">
        <v>0.97963739999999999</v>
      </c>
      <c r="Q4723">
        <v>0.19936110000000001</v>
      </c>
      <c r="R4723">
        <v>-2.378982E-2</v>
      </c>
      <c r="S4723">
        <v>3.06955</v>
      </c>
      <c r="T4723">
        <v>4.8568960000000001E-2</v>
      </c>
      <c r="U4723">
        <v>0.66790769999999899</v>
      </c>
      <c r="V4723">
        <v>1.6240770000000002E-2</v>
      </c>
      <c r="W4723">
        <v>0.2046307</v>
      </c>
      <c r="X4723">
        <v>0.97870449999999998</v>
      </c>
      <c r="Y4723">
        <v>-0.2193988</v>
      </c>
      <c r="Z4723">
        <v>-1.2706480000000001E-3</v>
      </c>
      <c r="AA4723">
        <v>0.97563449999999996</v>
      </c>
      <c r="AB4723">
        <v>31</v>
      </c>
      <c r="AC4723">
        <v>90.661299999999898</v>
      </c>
      <c r="AD4723">
        <v>1.4369319999999901</v>
      </c>
      <c r="AE4723">
        <v>19.760770000000001</v>
      </c>
      <c r="AF4723">
        <v>-20.3868961574357</v>
      </c>
      <c r="AG4723">
        <v>1.4369319999999901</v>
      </c>
      <c r="AH4723">
        <v>90.499755533385894</v>
      </c>
      <c r="AI4723">
        <v>89.112583078640796</v>
      </c>
      <c r="AJ4723">
        <v>102.69511685412201</v>
      </c>
      <c r="AK4723">
        <v>92.778747890394101</v>
      </c>
      <c r="AL4723">
        <v>78.192118468636906</v>
      </c>
      <c r="AM4723">
        <v>89.049312454049101</v>
      </c>
      <c r="AN4723">
        <v>0.99999999215646596</v>
      </c>
    </row>
    <row r="4724" spans="1:40" x14ac:dyDescent="0.25">
      <c r="A4724" t="str">
        <f>"20190303171110814"</f>
        <v>20190303171110814</v>
      </c>
      <c r="B4724" t="str">
        <f>"1551604270805050"</f>
        <v>1551604270805050</v>
      </c>
      <c r="C4724" t="s">
        <v>40</v>
      </c>
      <c r="D4724">
        <v>5.0546170000000004</v>
      </c>
      <c r="E4724">
        <v>0.40903390000000001</v>
      </c>
      <c r="F4724" t="s">
        <v>100</v>
      </c>
      <c r="G4724">
        <v>-281.69850000000002</v>
      </c>
      <c r="H4724">
        <v>2.65713</v>
      </c>
      <c r="I4724">
        <v>36.478499999999997</v>
      </c>
      <c r="J4724">
        <v>-372.19450000000001</v>
      </c>
      <c r="K4724">
        <v>1.1216969999999999</v>
      </c>
      <c r="L4724">
        <v>16.510470000000002</v>
      </c>
      <c r="M4724">
        <v>0.99996810000000003</v>
      </c>
      <c r="N4724">
        <v>-5.2992109999999999E-3</v>
      </c>
      <c r="O4724">
        <v>-5.9839689999999996E-3</v>
      </c>
      <c r="P4724">
        <v>0.97962950000000004</v>
      </c>
      <c r="Q4724">
        <v>0.19955700000000001</v>
      </c>
      <c r="R4724">
        <v>-2.243324E-2</v>
      </c>
      <c r="S4724">
        <v>3.0681759999999998</v>
      </c>
      <c r="T4724">
        <v>5.196249E-2</v>
      </c>
      <c r="U4724">
        <v>0.67575069999999904</v>
      </c>
      <c r="V4724">
        <v>1.5842060000000002E-2</v>
      </c>
      <c r="W4724">
        <v>0.20480390000000001</v>
      </c>
      <c r="X4724">
        <v>0.97867479999999996</v>
      </c>
      <c r="Y4724">
        <v>-0.2209084</v>
      </c>
      <c r="Z4724">
        <v>-1.387566E-3</v>
      </c>
      <c r="AA4724">
        <v>0.97529359999999998</v>
      </c>
      <c r="AB4724">
        <v>31</v>
      </c>
      <c r="AC4724">
        <v>90.495999999999896</v>
      </c>
      <c r="AD4724">
        <v>1.535433</v>
      </c>
      <c r="AE4724">
        <v>19.968029999999899</v>
      </c>
      <c r="AF4724">
        <v>-20.5035768943577</v>
      </c>
      <c r="AG4724">
        <v>1.535433</v>
      </c>
      <c r="AH4724">
        <v>90.350088015590799</v>
      </c>
      <c r="AI4724">
        <v>89.050531297818196</v>
      </c>
      <c r="AJ4724">
        <v>102.785852524937</v>
      </c>
      <c r="AK4724">
        <v>92.660091864757604</v>
      </c>
      <c r="AL4724">
        <v>78.181980049939398</v>
      </c>
      <c r="AM4724">
        <v>89.072619515690306</v>
      </c>
      <c r="AN4724">
        <v>0.99999998623764597</v>
      </c>
    </row>
    <row r="4725" spans="1:40" x14ac:dyDescent="0.25">
      <c r="A4725" t="str">
        <f>"20190303171110835"</f>
        <v>20190303171110835</v>
      </c>
      <c r="B4725" t="str">
        <f>"1551604270825546"</f>
        <v>1551604270825546</v>
      </c>
      <c r="C4725" t="s">
        <v>40</v>
      </c>
      <c r="D4725">
        <v>5.0775839999999999</v>
      </c>
      <c r="E4725">
        <v>0.40892529999999999</v>
      </c>
      <c r="F4725" t="s">
        <v>100</v>
      </c>
      <c r="G4725">
        <v>-281.69850000000002</v>
      </c>
      <c r="H4725">
        <v>2.7108859999999999</v>
      </c>
      <c r="I4725">
        <v>36.675820000000002</v>
      </c>
      <c r="J4725">
        <v>-371.92070000000001</v>
      </c>
      <c r="K4725">
        <v>1.121702</v>
      </c>
      <c r="L4725">
        <v>16.510379999999898</v>
      </c>
      <c r="M4725">
        <v>0.99997659999999999</v>
      </c>
      <c r="N4725">
        <v>-5.266069E-3</v>
      </c>
      <c r="O4725">
        <v>-4.3592220000000003E-3</v>
      </c>
      <c r="P4725">
        <v>0.97952720000000004</v>
      </c>
      <c r="Q4725">
        <v>0.20029140000000001</v>
      </c>
      <c r="R4725">
        <v>-2.024515E-2</v>
      </c>
      <c r="S4725">
        <v>3.067078</v>
      </c>
      <c r="T4725">
        <v>5.3860659999999998E-2</v>
      </c>
      <c r="U4725">
        <v>0.68344119999999997</v>
      </c>
      <c r="V4725">
        <v>1.5238720000000001E-2</v>
      </c>
      <c r="W4725">
        <v>0.20550299999999999</v>
      </c>
      <c r="X4725">
        <v>0.97853789999999996</v>
      </c>
      <c r="Y4725">
        <v>-0.22172629999999999</v>
      </c>
      <c r="Z4725">
        <v>-1.430511E-3</v>
      </c>
      <c r="AA4725">
        <v>0.97510790000000003</v>
      </c>
      <c r="AB4725">
        <v>31</v>
      </c>
      <c r="AC4725">
        <v>90.222200000000001</v>
      </c>
      <c r="AD4725">
        <v>1.5891839999999999</v>
      </c>
      <c r="AE4725">
        <v>20.16544</v>
      </c>
      <c r="AF4725">
        <v>-20.552479300584601</v>
      </c>
      <c r="AG4725">
        <v>1.5891839999999999</v>
      </c>
      <c r="AH4725">
        <v>90.106809754887607</v>
      </c>
      <c r="AI4725">
        <v>89.014893130544095</v>
      </c>
      <c r="AJ4725">
        <v>102.84879486957399</v>
      </c>
      <c r="AK4725">
        <v>92.434663819318004</v>
      </c>
      <c r="AL4725">
        <v>78.141054973425796</v>
      </c>
      <c r="AM4725">
        <v>89.107807914396602</v>
      </c>
      <c r="AN4725">
        <v>1.0000000616663201</v>
      </c>
    </row>
    <row r="4726" spans="1:40" x14ac:dyDescent="0.25">
      <c r="A4726" t="str">
        <f>"20190303171110857"</f>
        <v>20190303171110857</v>
      </c>
      <c r="B4726" t="str">
        <f>"1551604270845065"</f>
        <v>1551604270845065</v>
      </c>
      <c r="C4726" t="s">
        <v>40</v>
      </c>
      <c r="D4726">
        <v>5.0823349999999996</v>
      </c>
      <c r="E4726">
        <v>0.40931420000000002</v>
      </c>
      <c r="F4726" t="s">
        <v>100</v>
      </c>
      <c r="G4726">
        <v>-281.69850000000002</v>
      </c>
      <c r="H4726">
        <v>2.814921</v>
      </c>
      <c r="I4726">
        <v>36.837119999999999</v>
      </c>
      <c r="J4726">
        <v>-371.6155</v>
      </c>
      <c r="K4726">
        <v>1.121713</v>
      </c>
      <c r="L4726">
        <v>16.510829999999999</v>
      </c>
      <c r="M4726">
        <v>0.99998310000000001</v>
      </c>
      <c r="N4726">
        <v>-5.2332389999999998E-3</v>
      </c>
      <c r="O4726">
        <v>-2.5488659999999999E-3</v>
      </c>
      <c r="P4726">
        <v>0.97936350000000005</v>
      </c>
      <c r="Q4726">
        <v>0.20124700000000001</v>
      </c>
      <c r="R4726">
        <v>-1.8624620000000001E-2</v>
      </c>
      <c r="S4726">
        <v>3.0652159999999999</v>
      </c>
      <c r="T4726">
        <v>5.7525630000000001E-2</v>
      </c>
      <c r="U4726">
        <v>0.69058229999999998</v>
      </c>
      <c r="V4726">
        <v>1.538279E-2</v>
      </c>
      <c r="W4726">
        <v>0.20642650000000001</v>
      </c>
      <c r="X4726">
        <v>0.97834120000000002</v>
      </c>
      <c r="Y4726">
        <v>-0.2222461</v>
      </c>
      <c r="Z4726">
        <v>-1.531129E-3</v>
      </c>
      <c r="AA4726">
        <v>0.97498940000000001</v>
      </c>
      <c r="AB4726">
        <v>31</v>
      </c>
      <c r="AC4726">
        <v>89.916999999999902</v>
      </c>
      <c r="AD4726">
        <v>1.693208</v>
      </c>
      <c r="AE4726">
        <v>20.32629</v>
      </c>
      <c r="AF4726">
        <v>-20.548481267242401</v>
      </c>
      <c r="AG4726">
        <v>1.693208</v>
      </c>
      <c r="AH4726">
        <v>89.834591697101402</v>
      </c>
      <c r="AI4726">
        <v>88.947392506099106</v>
      </c>
      <c r="AJ4726">
        <v>102.884008440199</v>
      </c>
      <c r="AK4726">
        <v>92.170282093017406</v>
      </c>
      <c r="AL4726">
        <v>78.086982445578897</v>
      </c>
      <c r="AM4726">
        <v>89.099193284266605</v>
      </c>
      <c r="AN4726">
        <v>1.00000001687393</v>
      </c>
    </row>
    <row r="4727" spans="1:40" x14ac:dyDescent="0.25">
      <c r="A4727" t="str">
        <f>"20190303171110871"</f>
        <v>20190303171110871</v>
      </c>
      <c r="B4727" t="str">
        <f>"1551604270865562"</f>
        <v>1551604270865562</v>
      </c>
      <c r="C4727" t="s">
        <v>40</v>
      </c>
      <c r="D4727">
        <v>5.0829029999999999</v>
      </c>
      <c r="E4727">
        <v>0.40963509999999997</v>
      </c>
      <c r="F4727" t="s">
        <v>100</v>
      </c>
      <c r="G4727">
        <v>-281.69850000000002</v>
      </c>
      <c r="H4727">
        <v>2.794759</v>
      </c>
      <c r="I4727">
        <v>36.835819999999998</v>
      </c>
      <c r="J4727">
        <v>-371.41399999999999</v>
      </c>
      <c r="K4727">
        <v>1.1217189999999999</v>
      </c>
      <c r="L4727">
        <v>16.511410000000001</v>
      </c>
      <c r="M4727">
        <v>0.99998549999999997</v>
      </c>
      <c r="N4727">
        <v>-5.2141929999999998E-3</v>
      </c>
      <c r="O4727">
        <v>-1.3546020000000001E-3</v>
      </c>
      <c r="P4727">
        <v>0.97920890000000005</v>
      </c>
      <c r="Q4727">
        <v>0.20208770000000001</v>
      </c>
      <c r="R4727">
        <v>-1.7625849999999998E-2</v>
      </c>
      <c r="S4727">
        <v>3.0646969999999998</v>
      </c>
      <c r="T4727">
        <v>5.7023530000000003E-2</v>
      </c>
      <c r="U4727">
        <v>0.69274899999999995</v>
      </c>
      <c r="V4727">
        <v>1.5547119999999999E-2</v>
      </c>
      <c r="W4727">
        <v>0.2072485</v>
      </c>
      <c r="X4727">
        <v>0.97816479999999995</v>
      </c>
      <c r="Y4727">
        <v>-0.2217739</v>
      </c>
      <c r="Z4727">
        <v>-1.4837909999999999E-3</v>
      </c>
      <c r="AA4727">
        <v>0.97509699999999999</v>
      </c>
      <c r="AB4727">
        <v>31</v>
      </c>
      <c r="AC4727">
        <v>89.715499999999906</v>
      </c>
      <c r="AD4727">
        <v>1.6730400000000001</v>
      </c>
      <c r="AE4727">
        <v>20.32441</v>
      </c>
      <c r="AF4727">
        <v>-20.439160889282899</v>
      </c>
      <c r="AG4727">
        <v>1.6730400000000001</v>
      </c>
      <c r="AH4727">
        <v>89.658228484464203</v>
      </c>
      <c r="AI4727">
        <v>88.957708044519194</v>
      </c>
      <c r="AJ4727">
        <v>102.842111940794</v>
      </c>
      <c r="AK4727">
        <v>91.973671752692198</v>
      </c>
      <c r="AL4727">
        <v>78.038844317696899</v>
      </c>
      <c r="AM4727">
        <v>89.089407674893906</v>
      </c>
      <c r="AN4727">
        <v>1.0000000148257899</v>
      </c>
    </row>
    <row r="4728" spans="1:40" x14ac:dyDescent="0.25">
      <c r="A4728" t="str">
        <f>"20190303171110888"</f>
        <v>20190303171110888</v>
      </c>
      <c r="B4728" t="str">
        <f>"1551604270886059"</f>
        <v>1551604270886059</v>
      </c>
      <c r="C4728" t="s">
        <v>40</v>
      </c>
      <c r="D4728">
        <v>5.0832920000000001</v>
      </c>
      <c r="E4728">
        <v>0.40995359999999997</v>
      </c>
      <c r="F4728" t="s">
        <v>100</v>
      </c>
      <c r="G4728">
        <v>-281.69850000000002</v>
      </c>
      <c r="H4728">
        <v>2.8067199999999999</v>
      </c>
      <c r="I4728">
        <v>36.813130000000001</v>
      </c>
      <c r="J4728">
        <v>-371.17329999999998</v>
      </c>
      <c r="K4728">
        <v>1.1217269999999999</v>
      </c>
      <c r="L4728">
        <v>16.512419999999999</v>
      </c>
      <c r="M4728">
        <v>0.99998659999999995</v>
      </c>
      <c r="N4728">
        <v>-5.1936409999999997E-3</v>
      </c>
      <c r="O4728" s="1">
        <v>7.0931030000000005E-5</v>
      </c>
      <c r="P4728">
        <v>0.97897590000000001</v>
      </c>
      <c r="Q4728">
        <v>0.20334140000000001</v>
      </c>
      <c r="R4728">
        <v>-1.6081970000000001E-2</v>
      </c>
      <c r="S4728">
        <v>3.0643009999999999</v>
      </c>
      <c r="T4728">
        <v>5.7552579999999999E-2</v>
      </c>
      <c r="U4728">
        <v>0.69342040000000005</v>
      </c>
      <c r="V4728">
        <v>1.53901E-2</v>
      </c>
      <c r="W4728">
        <v>0.20848069999999999</v>
      </c>
      <c r="X4728">
        <v>0.97790540000000004</v>
      </c>
      <c r="Y4728">
        <v>-0.220614</v>
      </c>
      <c r="Z4728">
        <v>-1.4639449999999999E-3</v>
      </c>
      <c r="AA4728">
        <v>0.97536009999999995</v>
      </c>
      <c r="AB4728">
        <v>31</v>
      </c>
      <c r="AC4728">
        <v>89.474799999999902</v>
      </c>
      <c r="AD4728">
        <v>1.68499299999999</v>
      </c>
      <c r="AE4728">
        <v>20.300709999999999</v>
      </c>
      <c r="AF4728">
        <v>-20.2875206864415</v>
      </c>
      <c r="AG4728">
        <v>1.68499299999999</v>
      </c>
      <c r="AH4728">
        <v>89.446071096911197</v>
      </c>
      <c r="AI4728">
        <v>88.947511106442093</v>
      </c>
      <c r="AJ4728">
        <v>102.77921015601601</v>
      </c>
      <c r="AK4728">
        <v>91.733430829150507</v>
      </c>
      <c r="AL4728">
        <v>77.966667944318104</v>
      </c>
      <c r="AM4728">
        <v>89.098363720054493</v>
      </c>
      <c r="AN4728">
        <v>1.00000001439983</v>
      </c>
    </row>
    <row r="4729" spans="1:40" x14ac:dyDescent="0.25">
      <c r="A4729" t="str">
        <f>"20190303171110900"</f>
        <v>20190303171110900</v>
      </c>
      <c r="B4729" t="str">
        <f>"1551604270895818"</f>
        <v>1551604270895818</v>
      </c>
      <c r="C4729" t="s">
        <v>40</v>
      </c>
      <c r="D4729">
        <v>5.0695759999999996</v>
      </c>
      <c r="E4729">
        <v>0.40995359999999997</v>
      </c>
      <c r="F4729" t="s">
        <v>100</v>
      </c>
      <c r="G4729">
        <v>-281.69850000000002</v>
      </c>
      <c r="H4729">
        <v>2.8416130000000002</v>
      </c>
      <c r="I4729">
        <v>36.839860000000002</v>
      </c>
      <c r="J4729">
        <v>-371.0147</v>
      </c>
      <c r="K4729">
        <v>1.121734</v>
      </c>
      <c r="L4729">
        <v>16.513279999999899</v>
      </c>
      <c r="M4729">
        <v>0.99998620000000005</v>
      </c>
      <c r="N4729">
        <v>-5.1812029999999997E-3</v>
      </c>
      <c r="O4729">
        <v>1.008887E-3</v>
      </c>
      <c r="P4729">
        <v>0.97895239999999994</v>
      </c>
      <c r="Q4729">
        <v>0.20352970000000001</v>
      </c>
      <c r="R4729">
        <v>-1.5104100000000001E-2</v>
      </c>
      <c r="S4729">
        <v>3.0636290000000002</v>
      </c>
      <c r="T4729">
        <v>5.8889270000000001E-2</v>
      </c>
      <c r="U4729">
        <v>0.69601440000000003</v>
      </c>
      <c r="V4729">
        <v>1.532674E-2</v>
      </c>
      <c r="W4729">
        <v>0.2086566</v>
      </c>
      <c r="X4729">
        <v>0.97786890000000004</v>
      </c>
      <c r="Y4729">
        <v>-0.22052930000000001</v>
      </c>
      <c r="Z4729">
        <v>-1.4898239999999901E-3</v>
      </c>
      <c r="AA4729">
        <v>0.9753792</v>
      </c>
      <c r="AB4729">
        <v>31</v>
      </c>
      <c r="AC4729">
        <v>89.316199999999895</v>
      </c>
      <c r="AD4729">
        <v>1.7198789999999999</v>
      </c>
      <c r="AE4729">
        <v>20.32658</v>
      </c>
      <c r="AF4729">
        <v>-20.2293269102178</v>
      </c>
      <c r="AG4729">
        <v>1.7198789999999999</v>
      </c>
      <c r="AH4729">
        <v>89.305178624066301</v>
      </c>
      <c r="AI4729">
        <v>88.923962920257097</v>
      </c>
      <c r="AJ4729">
        <v>102.763199446157</v>
      </c>
      <c r="AK4729">
        <v>91.583833617574101</v>
      </c>
      <c r="AL4729">
        <v>77.956363247016796</v>
      </c>
      <c r="AM4729">
        <v>89.102041576063797</v>
      </c>
      <c r="AN4729">
        <v>1.0000000356348899</v>
      </c>
    </row>
    <row r="4730" spans="1:40" x14ac:dyDescent="0.25">
      <c r="A4730" t="str">
        <f>"20190303171110912"</f>
        <v>20190303171110912</v>
      </c>
      <c r="B4730" t="str">
        <f>"1551604270905579"</f>
        <v>1551604270905579</v>
      </c>
      <c r="C4730" t="s">
        <v>40</v>
      </c>
      <c r="D4730">
        <v>5.1075480000000004</v>
      </c>
      <c r="E4730">
        <v>0.4138385</v>
      </c>
      <c r="F4730" t="s">
        <v>100</v>
      </c>
      <c r="G4730">
        <v>-281.69850000000002</v>
      </c>
      <c r="H4730">
        <v>2.8476750000000002</v>
      </c>
      <c r="I4730">
        <v>36.893479999999997</v>
      </c>
      <c r="J4730">
        <v>-370.84359999999998</v>
      </c>
      <c r="K4730">
        <v>1.1217440000000001</v>
      </c>
      <c r="L4730">
        <v>16.514309999999998</v>
      </c>
      <c r="M4730">
        <v>0.99998469999999995</v>
      </c>
      <c r="N4730">
        <v>-5.1689250000000004E-3</v>
      </c>
      <c r="O4730">
        <v>2.021349E-3</v>
      </c>
      <c r="P4730">
        <v>0.97896629999999996</v>
      </c>
      <c r="Q4730">
        <v>0.20355760000000001</v>
      </c>
      <c r="R4730">
        <v>-1.375381E-2</v>
      </c>
      <c r="S4730">
        <v>3.0629879999999998</v>
      </c>
      <c r="T4730">
        <v>5.9189079999999998E-2</v>
      </c>
      <c r="U4730">
        <v>0.69891359999999902</v>
      </c>
      <c r="V4730">
        <v>1.4964649999999999E-2</v>
      </c>
      <c r="W4730">
        <v>0.20867150000000001</v>
      </c>
      <c r="X4730">
        <v>0.9778713</v>
      </c>
      <c r="Y4730">
        <v>-0.22046350000000001</v>
      </c>
      <c r="Z4730">
        <v>-1.476974E-3</v>
      </c>
      <c r="AA4730">
        <v>0.97539410000000004</v>
      </c>
      <c r="AB4730">
        <v>31</v>
      </c>
      <c r="AC4730">
        <v>89.1450999999999</v>
      </c>
      <c r="AD4730">
        <v>1.7259310000000001</v>
      </c>
      <c r="AE4730">
        <v>20.379169999999899</v>
      </c>
      <c r="AF4730">
        <v>-20.1917397490379</v>
      </c>
      <c r="AG4730">
        <v>1.7259310000000001</v>
      </c>
      <c r="AH4730">
        <v>89.154352535925497</v>
      </c>
      <c r="AI4730">
        <v>88.918342110031503</v>
      </c>
      <c r="AJ4730">
        <v>102.76110748001101</v>
      </c>
      <c r="AK4730">
        <v>91.428571945588899</v>
      </c>
      <c r="AL4730">
        <v>77.955489980828105</v>
      </c>
      <c r="AM4730">
        <v>89.123254395851504</v>
      </c>
      <c r="AN4730">
        <v>1.00000000751278</v>
      </c>
    </row>
    <row r="4731" spans="1:40" x14ac:dyDescent="0.25">
      <c r="A4731" t="str">
        <f>"20190303171110925"</f>
        <v>20190303171110925</v>
      </c>
      <c r="B4731" t="str">
        <f>"1551604270915338"</f>
        <v>1551604270915338</v>
      </c>
      <c r="C4731" t="s">
        <v>40</v>
      </c>
      <c r="D4731">
        <v>5.1139070000000002</v>
      </c>
      <c r="E4731">
        <v>0.41345939999999998</v>
      </c>
      <c r="F4731" t="s">
        <v>100</v>
      </c>
      <c r="G4731">
        <v>-280.86259999999999</v>
      </c>
      <c r="H4731">
        <v>2.0502609999999999</v>
      </c>
      <c r="I4731">
        <v>36.259830000000001</v>
      </c>
      <c r="J4731">
        <v>-370.6739</v>
      </c>
      <c r="K4731">
        <v>1.1217469999999901</v>
      </c>
      <c r="L4731">
        <v>16.51559</v>
      </c>
      <c r="M4731">
        <v>0.99998220000000004</v>
      </c>
      <c r="N4731">
        <v>-5.1578470000000001E-3</v>
      </c>
      <c r="O4731">
        <v>3.0248689999999999E-3</v>
      </c>
      <c r="P4731">
        <v>0.97894020000000004</v>
      </c>
      <c r="Q4731">
        <v>0.2037525</v>
      </c>
      <c r="R4731">
        <v>-1.270633E-2</v>
      </c>
      <c r="S4731">
        <v>3.0673219999999999</v>
      </c>
      <c r="T4731">
        <v>3.1651850000000002E-2</v>
      </c>
      <c r="U4731">
        <v>0.67309569999999996</v>
      </c>
      <c r="V4731">
        <v>1.4895439999999999E-2</v>
      </c>
      <c r="W4731">
        <v>0.20885519999999999</v>
      </c>
      <c r="X4731">
        <v>0.97783319999999996</v>
      </c>
      <c r="Y4731">
        <v>-0.2113804</v>
      </c>
      <c r="Z4731">
        <v>-4.7995630000000002E-4</v>
      </c>
      <c r="AA4731">
        <v>0.97740380000000004</v>
      </c>
      <c r="AB4731">
        <v>31</v>
      </c>
      <c r="AC4731">
        <v>89.811300000000003</v>
      </c>
      <c r="AD4731">
        <v>0.92851399999999995</v>
      </c>
      <c r="AE4731">
        <v>19.744239999999898</v>
      </c>
      <c r="AF4731">
        <v>-19.4704935069465</v>
      </c>
      <c r="AG4731">
        <v>0.92851399999999995</v>
      </c>
      <c r="AH4731">
        <v>89.861451638810493</v>
      </c>
      <c r="AI4731">
        <v>89.4214237985301</v>
      </c>
      <c r="AJ4731">
        <v>102.22543468329999</v>
      </c>
      <c r="AK4731">
        <v>91.9513063870575</v>
      </c>
      <c r="AL4731">
        <v>77.944728348581506</v>
      </c>
      <c r="AM4731">
        <v>89.127274629434694</v>
      </c>
      <c r="AN4731">
        <v>1.0000000678610299</v>
      </c>
    </row>
    <row r="4732" spans="1:40" x14ac:dyDescent="0.25">
      <c r="A4732" t="str">
        <f>"20190303171110936"</f>
        <v>20190303171110936</v>
      </c>
      <c r="B4732" t="str">
        <f>"1551604270925098"</f>
        <v>1551604270925098</v>
      </c>
      <c r="C4732" t="s">
        <v>40</v>
      </c>
      <c r="D4732">
        <v>5.1029200000000001</v>
      </c>
      <c r="E4732">
        <v>0.4133541</v>
      </c>
      <c r="F4732" t="s">
        <v>100</v>
      </c>
      <c r="G4732">
        <v>-280.86259999999999</v>
      </c>
      <c r="H4732">
        <v>2.1358600000000001</v>
      </c>
      <c r="I4732">
        <v>36.407420000000002</v>
      </c>
      <c r="J4732">
        <v>-370.50200000000001</v>
      </c>
      <c r="K4732">
        <v>1.1217490000000001</v>
      </c>
      <c r="L4732">
        <v>16.516939999999899</v>
      </c>
      <c r="M4732">
        <v>0.99997860000000005</v>
      </c>
      <c r="N4732">
        <v>-5.1472009999999997E-3</v>
      </c>
      <c r="O4732">
        <v>4.0401899999999999E-3</v>
      </c>
      <c r="P4732">
        <v>0.97893149999999995</v>
      </c>
      <c r="Q4732">
        <v>0.20386609999999999</v>
      </c>
      <c r="R4732">
        <v>-1.1485E-2</v>
      </c>
      <c r="S4732">
        <v>3.0661619999999998</v>
      </c>
      <c r="T4732">
        <v>3.4621949999999999E-2</v>
      </c>
      <c r="U4732">
        <v>0.67910769999999998</v>
      </c>
      <c r="V4732">
        <v>1.4664409999999999E-2</v>
      </c>
      <c r="W4732">
        <v>0.2089578</v>
      </c>
      <c r="X4732">
        <v>0.97781470000000004</v>
      </c>
      <c r="Y4732">
        <v>-0.21229139999999999</v>
      </c>
      <c r="Z4732">
        <v>-5.6564989999999997E-4</v>
      </c>
      <c r="AA4732">
        <v>0.97720620000000002</v>
      </c>
      <c r="AB4732">
        <v>31</v>
      </c>
      <c r="AC4732">
        <v>89.639399999999895</v>
      </c>
      <c r="AD4732">
        <v>1.01411099999999</v>
      </c>
      <c r="AE4732">
        <v>19.89048</v>
      </c>
      <c r="AF4732">
        <v>-19.525770842692101</v>
      </c>
      <c r="AG4732">
        <v>1.01411099999999</v>
      </c>
      <c r="AH4732">
        <v>89.708087896449001</v>
      </c>
      <c r="AI4732">
        <v>89.367139962466297</v>
      </c>
      <c r="AJ4732">
        <v>102.279417469755</v>
      </c>
      <c r="AK4732">
        <v>91.814079433160302</v>
      </c>
      <c r="AL4732">
        <v>77.938716305435605</v>
      </c>
      <c r="AM4732">
        <v>89.140792402654498</v>
      </c>
      <c r="AN4732">
        <v>0.99999999731878897</v>
      </c>
    </row>
    <row r="4733" spans="1:40" x14ac:dyDescent="0.25">
      <c r="A4733" t="str">
        <f>"20190303171110948"</f>
        <v>20190303171110948</v>
      </c>
      <c r="B4733" t="str">
        <f>"1551604270935834"</f>
        <v>1551604270935834</v>
      </c>
      <c r="C4733" t="s">
        <v>40</v>
      </c>
      <c r="D4733">
        <v>5.1451440000000002</v>
      </c>
      <c r="E4733">
        <v>0.41347349999999999</v>
      </c>
      <c r="F4733" t="s">
        <v>100</v>
      </c>
      <c r="G4733">
        <v>-280.86259999999999</v>
      </c>
      <c r="H4733">
        <v>2.1404899999999998</v>
      </c>
      <c r="I4733">
        <v>36.498289999999997</v>
      </c>
      <c r="J4733">
        <v>-370.34010000000001</v>
      </c>
      <c r="K4733">
        <v>1.1217509999999999</v>
      </c>
      <c r="L4733">
        <v>16.518460000000001</v>
      </c>
      <c r="M4733">
        <v>0.99997440000000004</v>
      </c>
      <c r="N4733">
        <v>-5.1385099999999998E-3</v>
      </c>
      <c r="O4733">
        <v>4.9937569999999997E-3</v>
      </c>
      <c r="P4733">
        <v>0.97890540000000004</v>
      </c>
      <c r="Q4733">
        <v>0.2040488</v>
      </c>
      <c r="R4733">
        <v>-1.041224E-2</v>
      </c>
      <c r="S4733">
        <v>3.0653380000000001</v>
      </c>
      <c r="T4733">
        <v>3.483725E-2</v>
      </c>
      <c r="U4733">
        <v>0.68328859999999902</v>
      </c>
      <c r="V4733">
        <v>1.452195E-2</v>
      </c>
      <c r="W4733">
        <v>0.2091317</v>
      </c>
      <c r="X4733">
        <v>0.97777959999999997</v>
      </c>
      <c r="Y4733">
        <v>-0.21268509999999999</v>
      </c>
      <c r="Z4733">
        <v>-5.5939659999999997E-4</v>
      </c>
      <c r="AA4733">
        <v>0.97712060000000001</v>
      </c>
      <c r="AB4733">
        <v>32</v>
      </c>
      <c r="AC4733">
        <v>89.477500000000006</v>
      </c>
      <c r="AD4733">
        <v>1.0187390000000001</v>
      </c>
      <c r="AE4733">
        <v>19.97983</v>
      </c>
      <c r="AF4733">
        <v>-19.530334668833301</v>
      </c>
      <c r="AG4733">
        <v>1.0187390000000001</v>
      </c>
      <c r="AH4733">
        <v>89.565101277593698</v>
      </c>
      <c r="AI4733">
        <v>89.363289979697797</v>
      </c>
      <c r="AJ4733">
        <v>102.301211879793</v>
      </c>
      <c r="AK4733">
        <v>91.675401107889201</v>
      </c>
      <c r="AL4733">
        <v>77.928526884953897</v>
      </c>
      <c r="AM4733">
        <v>89.149107553951097</v>
      </c>
      <c r="AN4733">
        <v>0.99999995057642499</v>
      </c>
    </row>
    <row r="4734" spans="1:40" x14ac:dyDescent="0.25">
      <c r="A4734" t="str">
        <f>"20190303171110960"</f>
        <v>20190303171110960</v>
      </c>
      <c r="B4734" t="str">
        <f>"1551604270955355"</f>
        <v>1551604270955355</v>
      </c>
      <c r="C4734" t="s">
        <v>40</v>
      </c>
      <c r="D4734">
        <v>5.0969150000000001</v>
      </c>
      <c r="E4734">
        <v>0.41367769999999998</v>
      </c>
      <c r="F4734" t="s">
        <v>100</v>
      </c>
      <c r="G4734">
        <v>-280.86259999999999</v>
      </c>
      <c r="H4734">
        <v>2.1638850000000001</v>
      </c>
      <c r="I4734">
        <v>36.545720000000003</v>
      </c>
      <c r="J4734">
        <v>-370.1773</v>
      </c>
      <c r="K4734">
        <v>1.1217549999999901</v>
      </c>
      <c r="L4734">
        <v>16.52008</v>
      </c>
      <c r="M4734">
        <v>0.9999692</v>
      </c>
      <c r="N4734">
        <v>-5.1301890000000003E-3</v>
      </c>
      <c r="O4734">
        <v>5.9510780000000003E-3</v>
      </c>
      <c r="P4734">
        <v>0.97895880000000002</v>
      </c>
      <c r="Q4734">
        <v>0.20384959999999999</v>
      </c>
      <c r="R4734">
        <v>-9.2375479999999999E-3</v>
      </c>
      <c r="S4734">
        <v>3.064514</v>
      </c>
      <c r="T4734">
        <v>3.5692099999999997E-2</v>
      </c>
      <c r="U4734">
        <v>0.68591309999999905</v>
      </c>
      <c r="V4734">
        <v>1.4283240000000001E-2</v>
      </c>
      <c r="W4734">
        <v>0.20892330000000001</v>
      </c>
      <c r="X4734">
        <v>0.97782769999999997</v>
      </c>
      <c r="Y4734">
        <v>-0.21260209999999999</v>
      </c>
      <c r="Z4734">
        <v>-5.7227470000000003E-4</v>
      </c>
      <c r="AA4734">
        <v>0.97713870000000003</v>
      </c>
      <c r="AB4734">
        <v>32</v>
      </c>
      <c r="AC4734">
        <v>89.314700000000002</v>
      </c>
      <c r="AD4734">
        <v>1.04213</v>
      </c>
      <c r="AE4734">
        <v>20.025639999999999</v>
      </c>
      <c r="AF4734">
        <v>-19.491233081655999</v>
      </c>
      <c r="AG4734">
        <v>1.04213</v>
      </c>
      <c r="AH4734">
        <v>89.420702741861305</v>
      </c>
      <c r="AI4734">
        <v>89.347608643624994</v>
      </c>
      <c r="AJ4734">
        <v>102.296554362725</v>
      </c>
      <c r="AK4734">
        <v>91.526260061408905</v>
      </c>
      <c r="AL4734">
        <v>77.940737455229495</v>
      </c>
      <c r="AM4734">
        <v>89.163133573863206</v>
      </c>
      <c r="AN4734">
        <v>0.99999998355753805</v>
      </c>
    </row>
    <row r="4735" spans="1:40" x14ac:dyDescent="0.25">
      <c r="A4735" t="str">
        <f>"20190303171110978"</f>
        <v>20190303171110978</v>
      </c>
      <c r="B4735" t="str">
        <f>"1551604270975851"</f>
        <v>1551604270975851</v>
      </c>
      <c r="C4735" t="s">
        <v>40</v>
      </c>
      <c r="D4735">
        <v>5.0960900000000002</v>
      </c>
      <c r="E4735">
        <v>0.4139486</v>
      </c>
      <c r="F4735" t="s">
        <v>100</v>
      </c>
      <c r="G4735">
        <v>-280.86259999999999</v>
      </c>
      <c r="H4735">
        <v>2.1352000000000002</v>
      </c>
      <c r="I4735">
        <v>36.581910000000001</v>
      </c>
      <c r="J4735">
        <v>-369.92180000000002</v>
      </c>
      <c r="K4735">
        <v>1.1217549999999901</v>
      </c>
      <c r="L4735">
        <v>16.523009999999999</v>
      </c>
      <c r="M4735">
        <v>0.9999593</v>
      </c>
      <c r="N4735">
        <v>-5.1188520000000001E-3</v>
      </c>
      <c r="O4735">
        <v>7.4478219999999998E-3</v>
      </c>
      <c r="P4735">
        <v>0.97894780000000003</v>
      </c>
      <c r="Q4735">
        <v>0.20396529999999999</v>
      </c>
      <c r="R4735">
        <v>-7.7362709999999899E-3</v>
      </c>
      <c r="S4735">
        <v>3.0637210000000001</v>
      </c>
      <c r="T4735">
        <v>3.4763809999999999E-2</v>
      </c>
      <c r="U4735">
        <v>0.68817139999999999</v>
      </c>
      <c r="V4735">
        <v>1.424396E-2</v>
      </c>
      <c r="W4735">
        <v>0.2090282</v>
      </c>
      <c r="X4735">
        <v>0.97780590000000001</v>
      </c>
      <c r="Y4735">
        <v>-0.21187990000000001</v>
      </c>
      <c r="Z4735">
        <v>-5.171765E-4</v>
      </c>
      <c r="AA4735">
        <v>0.97729560000000004</v>
      </c>
      <c r="AB4735">
        <v>32</v>
      </c>
      <c r="AC4735">
        <v>89.059200000000004</v>
      </c>
      <c r="AD4735">
        <v>1.0134449999999999</v>
      </c>
      <c r="AE4735">
        <v>20.058900000000001</v>
      </c>
      <c r="AF4735">
        <v>-19.392648023484799</v>
      </c>
      <c r="AG4735">
        <v>1.0134449999999999</v>
      </c>
      <c r="AH4735">
        <v>89.195134478387999</v>
      </c>
      <c r="AI4735">
        <v>89.363886907613207</v>
      </c>
      <c r="AJ4735">
        <v>102.26624668142701</v>
      </c>
      <c r="AK4735">
        <v>91.284576368346606</v>
      </c>
      <c r="AL4735">
        <v>77.934591978234494</v>
      </c>
      <c r="AM4735">
        <v>89.1654160905927</v>
      </c>
      <c r="AN4735">
        <v>1.00000002843326</v>
      </c>
    </row>
    <row r="4736" spans="1:40" x14ac:dyDescent="0.25">
      <c r="A4736" t="str">
        <f>"20190303171110990"</f>
        <v>20190303171110990</v>
      </c>
      <c r="B4736" t="str">
        <f>"1551604270985610"</f>
        <v>1551604270985610</v>
      </c>
      <c r="C4736" t="s">
        <v>40</v>
      </c>
      <c r="D4736">
        <v>5.0900339999999904</v>
      </c>
      <c r="E4736">
        <v>0.41417340000000002</v>
      </c>
      <c r="F4736" t="s">
        <v>100</v>
      </c>
      <c r="G4736">
        <v>-280.86250000000001</v>
      </c>
      <c r="H4736">
        <v>2.0917059999999998</v>
      </c>
      <c r="I4736">
        <v>36.607250000000001</v>
      </c>
      <c r="J4736">
        <v>-369.738</v>
      </c>
      <c r="K4736">
        <v>1.1217539999999999</v>
      </c>
      <c r="L4736">
        <v>16.52533</v>
      </c>
      <c r="M4736">
        <v>0.99995069999999997</v>
      </c>
      <c r="N4736">
        <v>-5.1119440000000002E-3</v>
      </c>
      <c r="O4736">
        <v>8.5174320000000001E-3</v>
      </c>
      <c r="P4736">
        <v>0.97897389999999995</v>
      </c>
      <c r="Q4736">
        <v>0.2038895</v>
      </c>
      <c r="R4736">
        <v>-6.2347390000000004E-3</v>
      </c>
      <c r="S4736">
        <v>3.0630489999999999</v>
      </c>
      <c r="T4736">
        <v>3.3360000000000001E-2</v>
      </c>
      <c r="U4736">
        <v>0.69076539999999997</v>
      </c>
      <c r="V4736">
        <v>1.378943E-2</v>
      </c>
      <c r="W4736">
        <v>0.2089443</v>
      </c>
      <c r="X4736">
        <v>0.97783030000000004</v>
      </c>
      <c r="Y4736">
        <v>-0.21166889999999999</v>
      </c>
      <c r="Z4736">
        <v>-4.5598900000000001E-4</v>
      </c>
      <c r="AA4736">
        <v>0.97734129999999997</v>
      </c>
      <c r="AB4736">
        <v>32</v>
      </c>
      <c r="AC4736">
        <v>88.875500000000002</v>
      </c>
      <c r="AD4736">
        <v>0.96995200000000004</v>
      </c>
      <c r="AE4736">
        <v>20.08192</v>
      </c>
      <c r="AF4736">
        <v>-19.322001052574102</v>
      </c>
      <c r="AG4736">
        <v>0.96995200000000004</v>
      </c>
      <c r="AH4736">
        <v>89.033235325284195</v>
      </c>
      <c r="AI4736">
        <v>89.390026868881407</v>
      </c>
      <c r="AJ4736">
        <v>102.244463131427</v>
      </c>
      <c r="AK4736">
        <v>91.110907821431596</v>
      </c>
      <c r="AL4736">
        <v>77.939507073275195</v>
      </c>
      <c r="AM4736">
        <v>89.192064539798594</v>
      </c>
      <c r="AN4736">
        <v>0.99999998224015196</v>
      </c>
    </row>
    <row r="4737" spans="1:40" x14ac:dyDescent="0.25">
      <c r="A4737" t="str">
        <f>"20190303171111002"</f>
        <v>20190303171111002</v>
      </c>
      <c r="B4737" t="str">
        <f>"1551604270995370"</f>
        <v>1551604270995370</v>
      </c>
      <c r="C4737" t="s">
        <v>40</v>
      </c>
      <c r="D4737">
        <v>5.1084759999999996</v>
      </c>
      <c r="E4737">
        <v>0.41422490000000001</v>
      </c>
      <c r="F4737" t="s">
        <v>100</v>
      </c>
      <c r="G4737">
        <v>-280.86259999999999</v>
      </c>
      <c r="H4737">
        <v>2.0534509999999999</v>
      </c>
      <c r="I4737">
        <v>36.656089999999999</v>
      </c>
      <c r="J4737">
        <v>-369.57799999999997</v>
      </c>
      <c r="K4737">
        <v>1.1217469999999901</v>
      </c>
      <c r="L4737">
        <v>16.5275</v>
      </c>
      <c r="M4737">
        <v>0.99994240000000001</v>
      </c>
      <c r="N4737">
        <v>-5.1065040000000004E-3</v>
      </c>
      <c r="O4737">
        <v>9.4445250000000005E-3</v>
      </c>
      <c r="P4737">
        <v>0.97897860000000003</v>
      </c>
      <c r="Q4737">
        <v>0.2038953</v>
      </c>
      <c r="R4737">
        <v>-5.2652990000000002E-3</v>
      </c>
      <c r="S4737">
        <v>3.062195</v>
      </c>
      <c r="T4737">
        <v>3.2101629999999999E-2</v>
      </c>
      <c r="U4737">
        <v>0.69360350000000004</v>
      </c>
      <c r="V4737">
        <v>1.372696E-2</v>
      </c>
      <c r="W4737">
        <v>0.2089443</v>
      </c>
      <c r="X4737">
        <v>0.97783120000000001</v>
      </c>
      <c r="Y4737">
        <v>-0.21168390000000001</v>
      </c>
      <c r="Z4737">
        <v>-4.0302550000000001E-4</v>
      </c>
      <c r="AA4737">
        <v>0.97733809999999999</v>
      </c>
      <c r="AB4737">
        <v>32</v>
      </c>
      <c r="AC4737">
        <v>88.715400000000002</v>
      </c>
      <c r="AD4737">
        <v>0.93170399999999998</v>
      </c>
      <c r="AE4737">
        <v>20.128589999999999</v>
      </c>
      <c r="AF4737">
        <v>-19.287783322285499</v>
      </c>
      <c r="AG4737">
        <v>0.93170399999999998</v>
      </c>
      <c r="AH4737">
        <v>88.892226181518197</v>
      </c>
      <c r="AI4737">
        <v>89.413143828538693</v>
      </c>
      <c r="AJ4737">
        <v>102.242237295046</v>
      </c>
      <c r="AK4737">
        <v>90.965457913085004</v>
      </c>
      <c r="AL4737">
        <v>77.939507325129298</v>
      </c>
      <c r="AM4737">
        <v>89.195724973163905</v>
      </c>
      <c r="AN4737">
        <v>1.00000000281338</v>
      </c>
    </row>
    <row r="4738" spans="1:40" x14ac:dyDescent="0.25">
      <c r="A4738" t="str">
        <f>"20190303171111012"</f>
        <v>20190303171111012</v>
      </c>
      <c r="B4738" t="str">
        <f>"1551604271005130"</f>
        <v>1551604271005130</v>
      </c>
      <c r="C4738" t="s">
        <v>40</v>
      </c>
      <c r="D4738">
        <v>5.0900460000000001</v>
      </c>
      <c r="E4738">
        <v>0.41419349999999999</v>
      </c>
      <c r="F4738" t="s">
        <v>100</v>
      </c>
      <c r="G4738">
        <v>-280.86259999999999</v>
      </c>
      <c r="H4738">
        <v>2.0447690000000001</v>
      </c>
      <c r="I4738">
        <v>36.694519999999997</v>
      </c>
      <c r="J4738">
        <v>-369.41359999999997</v>
      </c>
      <c r="K4738">
        <v>1.121742</v>
      </c>
      <c r="L4738">
        <v>16.529879999999999</v>
      </c>
      <c r="M4738">
        <v>0.99993310000000002</v>
      </c>
      <c r="N4738">
        <v>-5.1015080000000003E-3</v>
      </c>
      <c r="O4738">
        <v>1.039313E-2</v>
      </c>
      <c r="P4738">
        <v>0.97900589999999998</v>
      </c>
      <c r="Q4738">
        <v>0.20379459999999999</v>
      </c>
      <c r="R4738">
        <v>-3.9727130000000001E-3</v>
      </c>
      <c r="S4738">
        <v>3.0615230000000002</v>
      </c>
      <c r="T4738">
        <v>3.1853079999999999E-2</v>
      </c>
      <c r="U4738">
        <v>0.69595340000000006</v>
      </c>
      <c r="V4738">
        <v>1.336356E-2</v>
      </c>
      <c r="W4738">
        <v>0.20883750000000001</v>
      </c>
      <c r="X4738">
        <v>0.97785900000000003</v>
      </c>
      <c r="Y4738">
        <v>-0.2115165</v>
      </c>
      <c r="Z4738">
        <v>-3.8101930000000001E-4</v>
      </c>
      <c r="AA4738">
        <v>0.97737439999999998</v>
      </c>
      <c r="AB4738">
        <v>32</v>
      </c>
      <c r="AC4738">
        <v>88.550999999999902</v>
      </c>
      <c r="AD4738">
        <v>0.92302700000000004</v>
      </c>
      <c r="AE4738">
        <v>20.164639999999999</v>
      </c>
      <c r="AF4738">
        <v>-19.2412294092981</v>
      </c>
      <c r="AG4738">
        <v>0.92302700000000004</v>
      </c>
      <c r="AH4738">
        <v>88.746626439803094</v>
      </c>
      <c r="AI4738">
        <v>89.417634754417804</v>
      </c>
      <c r="AJ4738">
        <v>102.233011816225</v>
      </c>
      <c r="AK4738">
        <v>90.813218159417403</v>
      </c>
      <c r="AL4738">
        <v>77.945763970561799</v>
      </c>
      <c r="AM4738">
        <v>89.217036478801703</v>
      </c>
      <c r="AN4738">
        <v>0.99999995501156003</v>
      </c>
    </row>
    <row r="4739" spans="1:40" x14ac:dyDescent="0.25">
      <c r="A4739" t="str">
        <f>"20190303171111026"</f>
        <v>20190303171111026</v>
      </c>
      <c r="B4739" t="str">
        <f>"1551604271015866"</f>
        <v>1551604271015866</v>
      </c>
      <c r="C4739" t="s">
        <v>40</v>
      </c>
      <c r="D4739">
        <v>5.0978399999999997</v>
      </c>
      <c r="E4739">
        <v>0.4141454</v>
      </c>
      <c r="F4739" t="s">
        <v>100</v>
      </c>
      <c r="G4739">
        <v>-280.86259999999999</v>
      </c>
      <c r="H4739">
        <v>2.0307270000000002</v>
      </c>
      <c r="I4739">
        <v>36.7819</v>
      </c>
      <c r="J4739">
        <v>-369.23309999999998</v>
      </c>
      <c r="K4739">
        <v>1.1217360000000001</v>
      </c>
      <c r="L4739">
        <v>16.532679999999999</v>
      </c>
      <c r="M4739">
        <v>0.99992190000000003</v>
      </c>
      <c r="N4739">
        <v>-5.0989260000000002E-3</v>
      </c>
      <c r="O4739">
        <v>1.142429E-2</v>
      </c>
      <c r="P4739">
        <v>0.97908079999999997</v>
      </c>
      <c r="Q4739">
        <v>0.2034503</v>
      </c>
      <c r="R4739">
        <v>-3.0568750000000001E-3</v>
      </c>
      <c r="S4739">
        <v>3.060638</v>
      </c>
      <c r="T4739">
        <v>3.1417849999999997E-2</v>
      </c>
      <c r="U4739">
        <v>0.69998169999999904</v>
      </c>
      <c r="V4739">
        <v>1.3460339999999999E-2</v>
      </c>
      <c r="W4739">
        <v>0.2084915</v>
      </c>
      <c r="X4739">
        <v>0.97793160000000001</v>
      </c>
      <c r="Y4739">
        <v>-0.2117928</v>
      </c>
      <c r="Z4739">
        <v>-3.5304610000000001E-4</v>
      </c>
      <c r="AA4739">
        <v>0.97731449999999997</v>
      </c>
      <c r="AB4739">
        <v>32</v>
      </c>
      <c r="AC4739">
        <v>88.370499999999893</v>
      </c>
      <c r="AD4739">
        <v>0.90899099999999999</v>
      </c>
      <c r="AE4739">
        <v>20.249220000000001</v>
      </c>
      <c r="AF4739">
        <v>-19.236381568217901</v>
      </c>
      <c r="AG4739">
        <v>0.90899099999999999</v>
      </c>
      <c r="AH4739">
        <v>88.587163431815</v>
      </c>
      <c r="AI4739">
        <v>89.425497546416494</v>
      </c>
      <c r="AJ4739">
        <v>102.251373003133</v>
      </c>
      <c r="AK4739">
        <v>90.656219672845694</v>
      </c>
      <c r="AL4739">
        <v>77.966035685095605</v>
      </c>
      <c r="AM4739">
        <v>89.211425445597698</v>
      </c>
      <c r="AN4739">
        <v>1.00000005030186</v>
      </c>
    </row>
    <row r="4740" spans="1:40" x14ac:dyDescent="0.25">
      <c r="A4740" t="str">
        <f>"20190303171111039"</f>
        <v>20190303171111039</v>
      </c>
      <c r="B4740" t="str">
        <f>"1551604271035386"</f>
        <v>1551604271035386</v>
      </c>
      <c r="C4740" t="s">
        <v>40</v>
      </c>
      <c r="D4740">
        <v>5.1161059999999896</v>
      </c>
      <c r="E4740">
        <v>0.41412500000000002</v>
      </c>
      <c r="F4740" t="s">
        <v>100</v>
      </c>
      <c r="G4740">
        <v>-280.86259999999999</v>
      </c>
      <c r="H4740">
        <v>2.0004439999999999</v>
      </c>
      <c r="I4740">
        <v>36.834229999999998</v>
      </c>
      <c r="J4740">
        <v>-369.05470000000003</v>
      </c>
      <c r="K4740">
        <v>1.1217299999999999</v>
      </c>
      <c r="L4740">
        <v>16.535550000000001</v>
      </c>
      <c r="M4740">
        <v>0.99990979999999996</v>
      </c>
      <c r="N4740">
        <v>-5.098104E-3</v>
      </c>
      <c r="O4740">
        <v>1.2436900000000001E-2</v>
      </c>
      <c r="P4740">
        <v>0.97915490000000005</v>
      </c>
      <c r="Q4740">
        <v>0.2031047</v>
      </c>
      <c r="R4740">
        <v>-2.1399050000000001E-3</v>
      </c>
      <c r="S4740">
        <v>3.0599669999999999</v>
      </c>
      <c r="T4740">
        <v>3.0426740000000001E-2</v>
      </c>
      <c r="U4740">
        <v>0.70297240000000005</v>
      </c>
      <c r="V4740">
        <v>1.3538669999999999E-2</v>
      </c>
      <c r="W4740">
        <v>0.20814540000000001</v>
      </c>
      <c r="X4740">
        <v>0.97800419999999999</v>
      </c>
      <c r="Y4740">
        <v>-0.21175759999999999</v>
      </c>
      <c r="Z4740">
        <v>-3.078736E-4</v>
      </c>
      <c r="AA4740">
        <v>0.97732220000000003</v>
      </c>
      <c r="AB4740">
        <v>32</v>
      </c>
      <c r="AC4740">
        <v>88.192099999999996</v>
      </c>
      <c r="AD4740">
        <v>0.878714</v>
      </c>
      <c r="AE4740">
        <v>20.298680000000001</v>
      </c>
      <c r="AF4740">
        <v>-19.198449582408202</v>
      </c>
      <c r="AG4740">
        <v>0.878714</v>
      </c>
      <c r="AH4740">
        <v>88.429397756399894</v>
      </c>
      <c r="AI4740">
        <v>89.443636507669893</v>
      </c>
      <c r="AJ4740">
        <v>102.249099852117</v>
      </c>
      <c r="AK4740">
        <v>90.493706920545904</v>
      </c>
      <c r="AL4740">
        <v>77.9863100614388</v>
      </c>
      <c r="AM4740">
        <v>89.206895935183297</v>
      </c>
      <c r="AN4740">
        <v>1.00000000917208</v>
      </c>
    </row>
    <row r="4741" spans="1:40" x14ac:dyDescent="0.25">
      <c r="A4741" t="str">
        <f>"20190303171111058"</f>
        <v>20190303171111058</v>
      </c>
      <c r="B4741" t="str">
        <f>"1551604271045147"</f>
        <v>1551604271045147</v>
      </c>
      <c r="C4741" t="s">
        <v>40</v>
      </c>
      <c r="D4741">
        <v>5.0865819999999999</v>
      </c>
      <c r="E4741">
        <v>0.41414000000000001</v>
      </c>
      <c r="F4741" t="s">
        <v>100</v>
      </c>
      <c r="G4741">
        <v>-280.86250000000001</v>
      </c>
      <c r="H4741">
        <v>1.9781679999999999</v>
      </c>
      <c r="I4741">
        <v>36.888260000000002</v>
      </c>
      <c r="J4741">
        <v>-368.7688</v>
      </c>
      <c r="K4741">
        <v>1.1217189999999999</v>
      </c>
      <c r="L4741">
        <v>16.540620000000001</v>
      </c>
      <c r="M4741">
        <v>0.99988869999999996</v>
      </c>
      <c r="N4741">
        <v>-5.1043379999999999E-3</v>
      </c>
      <c r="O4741">
        <v>1.4033210000000001E-2</v>
      </c>
      <c r="P4741">
        <v>0.97923539999999998</v>
      </c>
      <c r="Q4741">
        <v>0.2027253</v>
      </c>
      <c r="R4741">
        <v>-9.0186580000000001E-4</v>
      </c>
      <c r="S4741">
        <v>3.0592039999999998</v>
      </c>
      <c r="T4741">
        <v>2.9708149999999999E-2</v>
      </c>
      <c r="U4741">
        <v>0.70599369999999995</v>
      </c>
      <c r="V4741">
        <v>1.3871400000000001E-2</v>
      </c>
      <c r="W4741">
        <v>0.20777370000000001</v>
      </c>
      <c r="X4741">
        <v>0.97807849999999996</v>
      </c>
      <c r="Y4741">
        <v>-0.21116770000000001</v>
      </c>
      <c r="Z4741">
        <v>-2.6089439999999999E-4</v>
      </c>
      <c r="AA4741">
        <v>0.97744980000000004</v>
      </c>
      <c r="AB4741">
        <v>32</v>
      </c>
      <c r="AC4741">
        <v>87.906299999999902</v>
      </c>
      <c r="AD4741">
        <v>0.85644899999999902</v>
      </c>
      <c r="AE4741">
        <v>20.347639999999899</v>
      </c>
      <c r="AF4741">
        <v>-19.110291191900501</v>
      </c>
      <c r="AG4741">
        <v>0.85644899999999902</v>
      </c>
      <c r="AH4741">
        <v>88.175245915566805</v>
      </c>
      <c r="AI4741">
        <v>89.456127835261199</v>
      </c>
      <c r="AJ4741">
        <v>102.228632187185</v>
      </c>
      <c r="AK4741">
        <v>90.226441393859204</v>
      </c>
      <c r="AL4741">
        <v>78.008082061085403</v>
      </c>
      <c r="AM4741">
        <v>89.187468698926807</v>
      </c>
      <c r="AN4741">
        <v>0.99999993915594798</v>
      </c>
    </row>
    <row r="4742" spans="1:40" x14ac:dyDescent="0.25">
      <c r="A4742" t="str">
        <f>"20190303171111074"</f>
        <v>20190303171111074</v>
      </c>
      <c r="B4742" t="str">
        <f>"1551604271065643"</f>
        <v>1551604271065643</v>
      </c>
      <c r="C4742" t="s">
        <v>40</v>
      </c>
      <c r="D4742">
        <v>5.1136460000000001</v>
      </c>
      <c r="E4742">
        <v>0.4139562</v>
      </c>
      <c r="F4742" t="s">
        <v>100</v>
      </c>
      <c r="G4742">
        <v>-280.86259999999999</v>
      </c>
      <c r="H4742">
        <v>1.9480360000000001</v>
      </c>
      <c r="I4742">
        <v>36.935650000000003</v>
      </c>
      <c r="J4742">
        <v>-368.53930000000003</v>
      </c>
      <c r="K4742">
        <v>1.1217090000000001</v>
      </c>
      <c r="L4742">
        <v>16.544979999999999</v>
      </c>
      <c r="M4742">
        <v>0.99987000000000004</v>
      </c>
      <c r="N4742">
        <v>-5.1151779999999997E-3</v>
      </c>
      <c r="O4742">
        <v>1.529262E-2</v>
      </c>
      <c r="P4742">
        <v>0.97931080000000004</v>
      </c>
      <c r="Q4742">
        <v>0.20236219999999999</v>
      </c>
      <c r="R4742" s="1">
        <v>6.1844480000000006E-5</v>
      </c>
      <c r="S4742">
        <v>3.0583499999999999</v>
      </c>
      <c r="T4742">
        <v>2.8748510000000001E-2</v>
      </c>
      <c r="U4742">
        <v>0.70956419999999998</v>
      </c>
      <c r="V4742">
        <v>1.414904E-2</v>
      </c>
      <c r="W4742">
        <v>0.207422</v>
      </c>
      <c r="X4742">
        <v>0.97814920000000005</v>
      </c>
      <c r="Y4742">
        <v>-0.21107999999999999</v>
      </c>
      <c r="Z4742">
        <v>-2.130817E-4</v>
      </c>
      <c r="AA4742">
        <v>0.97746880000000003</v>
      </c>
      <c r="AB4742">
        <v>32</v>
      </c>
      <c r="AC4742">
        <v>87.676699999999997</v>
      </c>
      <c r="AD4742">
        <v>0.82632700000000003</v>
      </c>
      <c r="AE4742">
        <v>20.39067</v>
      </c>
      <c r="AF4742">
        <v>-19.045856565252201</v>
      </c>
      <c r="AG4742">
        <v>0.82632700000000003</v>
      </c>
      <c r="AH4742">
        <v>87.970864686046397</v>
      </c>
      <c r="AI4742">
        <v>89.474011192663994</v>
      </c>
      <c r="AJ4742">
        <v>102.21610350590601</v>
      </c>
      <c r="AK4742">
        <v>90.012779660589203</v>
      </c>
      <c r="AL4742">
        <v>78.028682135960594</v>
      </c>
      <c r="AM4742">
        <v>89.171267797245406</v>
      </c>
      <c r="AN4742">
        <v>0.99999996943878</v>
      </c>
    </row>
    <row r="4743" spans="1:40" x14ac:dyDescent="0.25">
      <c r="A4743" t="str">
        <f>"20190303171111091"</f>
        <v>20190303171111091</v>
      </c>
      <c r="B4743" t="str">
        <f>"1551604271085162"</f>
        <v>1551604271085162</v>
      </c>
      <c r="C4743" t="s">
        <v>40</v>
      </c>
      <c r="D4743">
        <v>5.1160319999999997</v>
      </c>
      <c r="E4743">
        <v>0.41389690000000001</v>
      </c>
      <c r="F4743" t="s">
        <v>100</v>
      </c>
      <c r="G4743">
        <v>-280.86259999999999</v>
      </c>
      <c r="H4743">
        <v>1.9521139999999999</v>
      </c>
      <c r="I4743">
        <v>37.015320000000003</v>
      </c>
      <c r="J4743">
        <v>-368.30099999999999</v>
      </c>
      <c r="K4743">
        <v>1.12169599999999</v>
      </c>
      <c r="L4743">
        <v>16.549769999999999</v>
      </c>
      <c r="M4743">
        <v>0.9998494</v>
      </c>
      <c r="N4743">
        <v>-5.1350579999999996E-3</v>
      </c>
      <c r="O4743">
        <v>1.6576469999999999E-2</v>
      </c>
      <c r="P4743">
        <v>0.97941149999999999</v>
      </c>
      <c r="Q4743">
        <v>0.2018702</v>
      </c>
      <c r="R4743">
        <v>1.1378759999999999E-3</v>
      </c>
      <c r="S4743">
        <v>3.057312</v>
      </c>
      <c r="T4743">
        <v>2.8956530000000001E-2</v>
      </c>
      <c r="U4743">
        <v>0.71380619999999995</v>
      </c>
      <c r="V4743">
        <v>1.434039E-2</v>
      </c>
      <c r="W4743">
        <v>0.20695040000000001</v>
      </c>
      <c r="X4743">
        <v>0.97824630000000001</v>
      </c>
      <c r="Y4743">
        <v>-0.2111845</v>
      </c>
      <c r="Z4743">
        <v>-1.9850569999999999E-4</v>
      </c>
      <c r="AA4743">
        <v>0.97744620000000004</v>
      </c>
      <c r="AB4743">
        <v>32</v>
      </c>
      <c r="AC4743">
        <v>87.438400000000001</v>
      </c>
      <c r="AD4743">
        <v>0.83041799999999999</v>
      </c>
      <c r="AE4743">
        <v>20.46555</v>
      </c>
      <c r="AF4743">
        <v>-19.011673108748301</v>
      </c>
      <c r="AG4743">
        <v>0.83041799999999999</v>
      </c>
      <c r="AH4743">
        <v>87.758132419419198</v>
      </c>
      <c r="AI4743">
        <v>89.470140815850598</v>
      </c>
      <c r="AJ4743">
        <v>102.223508197691</v>
      </c>
      <c r="AK4743">
        <v>89.797678779537193</v>
      </c>
      <c r="AL4743">
        <v>78.056302135164799</v>
      </c>
      <c r="AM4743">
        <v>89.160145072306506</v>
      </c>
      <c r="AN4743">
        <v>0.99999996915459999</v>
      </c>
    </row>
    <row r="4744" spans="1:40" x14ac:dyDescent="0.25">
      <c r="A4744" t="str">
        <f>"20190303171111103"</f>
        <v>20190303171111103</v>
      </c>
      <c r="B4744" t="str">
        <f>"1551604271095899"</f>
        <v>1551604271095899</v>
      </c>
      <c r="C4744" t="s">
        <v>40</v>
      </c>
      <c r="D4744">
        <v>5.1139580000000002</v>
      </c>
      <c r="E4744">
        <v>0.41381400000000002</v>
      </c>
      <c r="F4744" t="s">
        <v>100</v>
      </c>
      <c r="G4744">
        <v>-280.86250000000001</v>
      </c>
      <c r="H4744">
        <v>1.932612</v>
      </c>
      <c r="I4744">
        <v>37.06991</v>
      </c>
      <c r="J4744">
        <v>-368.11810000000003</v>
      </c>
      <c r="K4744">
        <v>1.121685</v>
      </c>
      <c r="L4744">
        <v>16.55368</v>
      </c>
      <c r="M4744">
        <v>0.99983290000000002</v>
      </c>
      <c r="N4744">
        <v>-5.160914E-3</v>
      </c>
      <c r="O4744">
        <v>1.7542849999999999E-2</v>
      </c>
      <c r="P4744">
        <v>0.97948789999999997</v>
      </c>
      <c r="Q4744">
        <v>0.20149429999999999</v>
      </c>
      <c r="R4744">
        <v>1.8479359999999999E-3</v>
      </c>
      <c r="S4744">
        <v>3.0564269999999998</v>
      </c>
      <c r="T4744">
        <v>2.8345820000000001E-2</v>
      </c>
      <c r="U4744">
        <v>0.71728519999999996</v>
      </c>
      <c r="V4744">
        <v>1.4585819999999999E-2</v>
      </c>
      <c r="W4744">
        <v>0.2066009</v>
      </c>
      <c r="X4744">
        <v>0.97831650000000003</v>
      </c>
      <c r="Y4744">
        <v>-0.2113575</v>
      </c>
      <c r="Z4744">
        <v>-1.6441559999999999E-4</v>
      </c>
      <c r="AA4744">
        <v>0.97740879999999997</v>
      </c>
      <c r="AB4744">
        <v>32</v>
      </c>
      <c r="AC4744">
        <v>87.255600000000001</v>
      </c>
      <c r="AD4744">
        <v>0.81092699999999995</v>
      </c>
      <c r="AE4744">
        <v>20.51623</v>
      </c>
      <c r="AF4744">
        <v>-18.980787062650901</v>
      </c>
      <c r="AG4744">
        <v>0.81092699999999995</v>
      </c>
      <c r="AH4744">
        <v>87.594920534862794</v>
      </c>
      <c r="AI4744">
        <v>89.481618057707493</v>
      </c>
      <c r="AJ4744">
        <v>102.226301994461</v>
      </c>
      <c r="AK4744">
        <v>89.631456440392299</v>
      </c>
      <c r="AL4744">
        <v>78.076768819338596</v>
      </c>
      <c r="AM4744">
        <v>89.145834692154907</v>
      </c>
      <c r="AN4744">
        <v>0.99999992609906296</v>
      </c>
    </row>
    <row r="4745" spans="1:40" x14ac:dyDescent="0.25">
      <c r="A4745" t="str">
        <f>"20190303171111114"</f>
        <v>20190303171111114</v>
      </c>
      <c r="B4745" t="str">
        <f>"1551604271105659"</f>
        <v>1551604271105659</v>
      </c>
      <c r="C4745" t="s">
        <v>40</v>
      </c>
      <c r="D4745">
        <v>5.1342660000000002</v>
      </c>
      <c r="E4745">
        <v>0.413742</v>
      </c>
      <c r="F4745" t="s">
        <v>100</v>
      </c>
      <c r="G4745">
        <v>-280.86259999999999</v>
      </c>
      <c r="H4745">
        <v>1.908145</v>
      </c>
      <c r="I4745">
        <v>37.104019999999998</v>
      </c>
      <c r="J4745">
        <v>-367.94490000000002</v>
      </c>
      <c r="K4745">
        <v>1.121677</v>
      </c>
      <c r="L4745">
        <v>16.557459999999999</v>
      </c>
      <c r="M4745">
        <v>0.9998165</v>
      </c>
      <c r="N4745">
        <v>-5.1928259999999898E-3</v>
      </c>
      <c r="O4745">
        <v>1.8444789999999999E-2</v>
      </c>
      <c r="P4745">
        <v>0.97948179999999996</v>
      </c>
      <c r="Q4745">
        <v>0.20151669999999999</v>
      </c>
      <c r="R4745">
        <v>2.6263189999999998E-3</v>
      </c>
      <c r="S4745">
        <v>3.0557859999999999</v>
      </c>
      <c r="T4745">
        <v>2.7542830000000001E-2</v>
      </c>
      <c r="U4745">
        <v>0.719696</v>
      </c>
      <c r="V4745">
        <v>1.469732E-2</v>
      </c>
      <c r="W4745">
        <v>0.2066537</v>
      </c>
      <c r="X4745">
        <v>0.9783037</v>
      </c>
      <c r="Y4745">
        <v>-0.21125250000000001</v>
      </c>
      <c r="Z4745">
        <v>-1.248202E-4</v>
      </c>
      <c r="AA4745">
        <v>0.97743150000000001</v>
      </c>
      <c r="AB4745">
        <v>32</v>
      </c>
      <c r="AC4745">
        <v>87.082300000000004</v>
      </c>
      <c r="AD4745">
        <v>0.78646799999999994</v>
      </c>
      <c r="AE4745">
        <v>20.546559999999999</v>
      </c>
      <c r="AF4745">
        <v>-18.935365296751499</v>
      </c>
      <c r="AG4745">
        <v>0.78646799999999994</v>
      </c>
      <c r="AH4745">
        <v>87.439711354322</v>
      </c>
      <c r="AI4745">
        <v>89.496346161379904</v>
      </c>
      <c r="AJ4745">
        <v>102.218922889472</v>
      </c>
      <c r="AK4745">
        <v>89.469937479376796</v>
      </c>
      <c r="AL4745">
        <v>78.073677120068695</v>
      </c>
      <c r="AM4745">
        <v>89.139294820668994</v>
      </c>
      <c r="AN4745">
        <v>0.99999994618627897</v>
      </c>
    </row>
    <row r="4746" spans="1:40" x14ac:dyDescent="0.25">
      <c r="A4746" t="str">
        <f>"20190303171111127"</f>
        <v>20190303171111127</v>
      </c>
      <c r="B4746" t="str">
        <f>"1551604271115419"</f>
        <v>1551604271115419</v>
      </c>
      <c r="C4746" t="s">
        <v>40</v>
      </c>
      <c r="D4746">
        <v>5.1413390000000003</v>
      </c>
      <c r="E4746">
        <v>0.41373490000000002</v>
      </c>
      <c r="F4746" t="s">
        <v>100</v>
      </c>
      <c r="G4746">
        <v>-280.86259999999999</v>
      </c>
      <c r="H4746">
        <v>1.9317690000000001</v>
      </c>
      <c r="I4746">
        <v>37.154789999999998</v>
      </c>
      <c r="J4746">
        <v>-367.78140000000002</v>
      </c>
      <c r="K4746">
        <v>1.1216680000000001</v>
      </c>
      <c r="L4746">
        <v>16.561250000000001</v>
      </c>
      <c r="M4746">
        <v>0.99980060000000004</v>
      </c>
      <c r="N4746">
        <v>-5.2308190000000003E-3</v>
      </c>
      <c r="O4746">
        <v>1.9271969999999999E-2</v>
      </c>
      <c r="P4746">
        <v>0.97961319999999996</v>
      </c>
      <c r="Q4746">
        <v>0.2008701</v>
      </c>
      <c r="R4746">
        <v>3.0630610000000002E-3</v>
      </c>
      <c r="S4746">
        <v>3.0550229999999998</v>
      </c>
      <c r="T4746">
        <v>2.8419730000000001E-2</v>
      </c>
      <c r="U4746">
        <v>0.72259519999999899</v>
      </c>
      <c r="V4746">
        <v>1.5083539999999999E-2</v>
      </c>
      <c r="W4746">
        <v>0.2060457</v>
      </c>
      <c r="X4746">
        <v>0.97842609999999997</v>
      </c>
      <c r="Y4746">
        <v>-0.2113768</v>
      </c>
      <c r="Z4746">
        <v>-1.331863E-4</v>
      </c>
      <c r="AA4746">
        <v>0.97740470000000002</v>
      </c>
      <c r="AB4746">
        <v>32</v>
      </c>
      <c r="AC4746">
        <v>86.918800000000005</v>
      </c>
      <c r="AD4746">
        <v>0.81010099999999896</v>
      </c>
      <c r="AE4746">
        <v>20.593540000000001</v>
      </c>
      <c r="AF4746">
        <v>-18.913040232845201</v>
      </c>
      <c r="AG4746">
        <v>0.81010099999999896</v>
      </c>
      <c r="AH4746">
        <v>87.292360644993394</v>
      </c>
      <c r="AI4746">
        <v>89.480348542942295</v>
      </c>
      <c r="AJ4746">
        <v>102.22493172766001</v>
      </c>
      <c r="AK4746">
        <v>89.321417260671694</v>
      </c>
      <c r="AL4746">
        <v>78.109279682442306</v>
      </c>
      <c r="AM4746">
        <v>89.116791008540503</v>
      </c>
      <c r="AN4746">
        <v>0.99999998841431503</v>
      </c>
    </row>
    <row r="4747" spans="1:40" x14ac:dyDescent="0.25">
      <c r="A4747" t="str">
        <f>"20190303171111139"</f>
        <v>20190303171111139</v>
      </c>
      <c r="B4747" t="str">
        <f>"1551604271125178"</f>
        <v>1551604271125178</v>
      </c>
      <c r="C4747" t="s">
        <v>40</v>
      </c>
      <c r="D4747">
        <v>4.9980570000000002</v>
      </c>
      <c r="E4747">
        <v>0.41373490000000002</v>
      </c>
      <c r="F4747" t="s">
        <v>100</v>
      </c>
      <c r="G4747">
        <v>-280.86259999999999</v>
      </c>
      <c r="H4747">
        <v>1.882082</v>
      </c>
      <c r="I4747">
        <v>37.156889999999997</v>
      </c>
      <c r="J4747">
        <v>-367.59</v>
      </c>
      <c r="K4747">
        <v>1.1216520000000001</v>
      </c>
      <c r="L4747">
        <v>16.565729999999999</v>
      </c>
      <c r="M4747">
        <v>0.99978160000000005</v>
      </c>
      <c r="N4747">
        <v>-5.2786580000000003E-3</v>
      </c>
      <c r="O4747">
        <v>2.0228300000000001E-2</v>
      </c>
      <c r="P4747">
        <v>0.97963319999999998</v>
      </c>
      <c r="Q4747">
        <v>0.20076179999999999</v>
      </c>
      <c r="R4747">
        <v>3.717564E-3</v>
      </c>
      <c r="S4747">
        <v>3.0546880000000001</v>
      </c>
      <c r="T4747">
        <v>2.672422E-2</v>
      </c>
      <c r="U4747">
        <v>0.72381589999999996</v>
      </c>
      <c r="V4747">
        <v>1.537634E-2</v>
      </c>
      <c r="W4747">
        <v>0.20598459999999999</v>
      </c>
      <c r="X4747">
        <v>0.97843440000000004</v>
      </c>
      <c r="Y4747">
        <v>-0.21083640000000001</v>
      </c>
      <c r="Z4747" s="1">
        <v>-6.575254E-5</v>
      </c>
      <c r="AA4747">
        <v>0.97752139999999998</v>
      </c>
      <c r="AB4747">
        <v>33</v>
      </c>
      <c r="AC4747">
        <v>86.727399999999903</v>
      </c>
      <c r="AD4747">
        <v>0.76042999999999905</v>
      </c>
      <c r="AE4747">
        <v>20.591159999999999</v>
      </c>
      <c r="AF4747">
        <v>-18.8312041523624</v>
      </c>
      <c r="AG4747">
        <v>0.76042999999999905</v>
      </c>
      <c r="AH4747">
        <v>87.119843604915999</v>
      </c>
      <c r="AI4747">
        <v>89.511191711394204</v>
      </c>
      <c r="AJ4747">
        <v>102.197001260718</v>
      </c>
      <c r="AK4747">
        <v>89.135064106993696</v>
      </c>
      <c r="AL4747">
        <v>78.112857109400906</v>
      </c>
      <c r="AM4747">
        <v>89.099656685641804</v>
      </c>
      <c r="AN4747">
        <v>0.99999998118615696</v>
      </c>
    </row>
    <row r="4748" spans="1:40" x14ac:dyDescent="0.25">
      <c r="A4748" t="str">
        <f>"20190303171111157"</f>
        <v>20190303171111157</v>
      </c>
      <c r="B4748" t="str">
        <f>"1551604271145675"</f>
        <v>1551604271145675</v>
      </c>
      <c r="C4748" t="s">
        <v>40</v>
      </c>
      <c r="D4748">
        <v>5.2210799999999997</v>
      </c>
      <c r="E4748">
        <v>0.41590919999999998</v>
      </c>
      <c r="F4748" t="s">
        <v>100</v>
      </c>
      <c r="G4748">
        <v>-280.86259999999999</v>
      </c>
      <c r="H4748">
        <v>1.8636710000000001</v>
      </c>
      <c r="I4748">
        <v>37.170029999999997</v>
      </c>
      <c r="J4748">
        <v>-367.33589999999998</v>
      </c>
      <c r="K4748">
        <v>1.1216349999999999</v>
      </c>
      <c r="L4748">
        <v>16.57199</v>
      </c>
      <c r="M4748">
        <v>0.99975550000000002</v>
      </c>
      <c r="N4748">
        <v>-5.3517900000000004E-3</v>
      </c>
      <c r="O4748">
        <v>2.1461609999999999E-2</v>
      </c>
      <c r="P4748">
        <v>0.97965100000000005</v>
      </c>
      <c r="Q4748">
        <v>0.2006607</v>
      </c>
      <c r="R4748">
        <v>4.4286389999999998E-3</v>
      </c>
      <c r="S4748">
        <v>3.0542600000000002</v>
      </c>
      <c r="T4748">
        <v>2.6131629999999999E-2</v>
      </c>
      <c r="U4748">
        <v>0.7256165</v>
      </c>
      <c r="V4748">
        <v>1.588902E-2</v>
      </c>
      <c r="W4748">
        <v>0.2059561</v>
      </c>
      <c r="X4748">
        <v>0.97843219999999997</v>
      </c>
      <c r="Y4748">
        <v>-0.21020710000000001</v>
      </c>
      <c r="Z4748" s="1">
        <v>-2.2333699999999999E-5</v>
      </c>
      <c r="AA4748">
        <v>0.97765690000000005</v>
      </c>
      <c r="AB4748">
        <v>33</v>
      </c>
      <c r="AC4748">
        <v>86.473299999999995</v>
      </c>
      <c r="AD4748">
        <v>0.74203599999999903</v>
      </c>
      <c r="AE4748">
        <v>20.598040000000001</v>
      </c>
      <c r="AF4748">
        <v>-18.736107484618501</v>
      </c>
      <c r="AG4748">
        <v>0.74203599999999903</v>
      </c>
      <c r="AH4748">
        <v>86.889401087237104</v>
      </c>
      <c r="AI4748">
        <v>89.521698527856302</v>
      </c>
      <c r="AJ4748">
        <v>102.16846916028101</v>
      </c>
      <c r="AK4748">
        <v>88.889596480123799</v>
      </c>
      <c r="AL4748">
        <v>78.1145257210067</v>
      </c>
      <c r="AM4748">
        <v>89.0696404173584</v>
      </c>
      <c r="AN4748">
        <v>0.99999997304030397</v>
      </c>
    </row>
    <row r="4749" spans="1:40" x14ac:dyDescent="0.25">
      <c r="A4749" t="str">
        <f>"20190303171111169"</f>
        <v>20190303171111169</v>
      </c>
      <c r="B4749" t="str">
        <f>"1551604271155435"</f>
        <v>1551604271155435</v>
      </c>
      <c r="C4749" t="s">
        <v>40</v>
      </c>
      <c r="D4749">
        <v>5.3228759999999999</v>
      </c>
      <c r="E4749">
        <v>0.4964095</v>
      </c>
      <c r="F4749" t="s">
        <v>100</v>
      </c>
      <c r="G4749">
        <v>-280.86250000000001</v>
      </c>
      <c r="H4749">
        <v>1.6893009999999999</v>
      </c>
      <c r="I4749">
        <v>36.701740000000001</v>
      </c>
      <c r="J4749">
        <v>-367.16090000000003</v>
      </c>
      <c r="K4749">
        <v>1.121621</v>
      </c>
      <c r="L4749">
        <v>16.576509999999999</v>
      </c>
      <c r="M4749">
        <v>0.99973710000000005</v>
      </c>
      <c r="N4749">
        <v>-5.4044269999999998E-3</v>
      </c>
      <c r="O4749">
        <v>2.2281840000000001E-2</v>
      </c>
      <c r="P4749">
        <v>0.97975089999999998</v>
      </c>
      <c r="Q4749">
        <v>0.20015440000000001</v>
      </c>
      <c r="R4749">
        <v>5.188659E-3</v>
      </c>
      <c r="S4749">
        <v>3.0549620000000002</v>
      </c>
      <c r="T4749">
        <v>2.0054820000000001E-2</v>
      </c>
      <c r="U4749">
        <v>0.71115109999999904</v>
      </c>
      <c r="V4749">
        <v>1.594711E-2</v>
      </c>
      <c r="W4749">
        <v>0.20550119999999999</v>
      </c>
      <c r="X4749">
        <v>0.97852689999999998</v>
      </c>
      <c r="Y4749">
        <v>-0.20496629999999999</v>
      </c>
      <c r="Z4749">
        <v>1.6044510000000001E-4</v>
      </c>
      <c r="AA4749">
        <v>0.978769</v>
      </c>
      <c r="AB4749">
        <v>33</v>
      </c>
      <c r="AC4749">
        <v>86.298400000000001</v>
      </c>
      <c r="AD4749">
        <v>0.56767999999999996</v>
      </c>
      <c r="AE4749">
        <v>20.125229999999998</v>
      </c>
      <c r="AF4749">
        <v>-18.196571298987799</v>
      </c>
      <c r="AG4749">
        <v>0.56767999999999996</v>
      </c>
      <c r="AH4749">
        <v>86.721848669081496</v>
      </c>
      <c r="AI4749">
        <v>89.632941040173904</v>
      </c>
      <c r="AJ4749">
        <v>101.85027639854999</v>
      </c>
      <c r="AK4749">
        <v>88.612169052588996</v>
      </c>
      <c r="AL4749">
        <v>78.141159297537897</v>
      </c>
      <c r="AM4749">
        <v>89.0663299904989</v>
      </c>
      <c r="AN4749">
        <v>0.99999997377119998</v>
      </c>
    </row>
    <row r="4750" spans="1:40" x14ac:dyDescent="0.25">
      <c r="A4750" t="str">
        <f>"20190303171111180"</f>
        <v>20190303171111180</v>
      </c>
      <c r="B4750" t="str">
        <f>"1551604271175931"</f>
        <v>1551604271175931</v>
      </c>
      <c r="C4750" t="s">
        <v>40</v>
      </c>
      <c r="D4750">
        <v>4.9795689999999997</v>
      </c>
      <c r="E4750">
        <v>0.51490179999999997</v>
      </c>
      <c r="F4750" t="s">
        <v>41</v>
      </c>
      <c r="G4750">
        <v>-317.10019999999997</v>
      </c>
      <c r="H4750">
        <v>-0.05</v>
      </c>
      <c r="I4750">
        <v>17.80264</v>
      </c>
      <c r="J4750">
        <v>-366.99160000000001</v>
      </c>
      <c r="K4750">
        <v>1.121605</v>
      </c>
      <c r="L4750">
        <v>16.580960000000001</v>
      </c>
      <c r="M4750">
        <v>0.99971900000000002</v>
      </c>
      <c r="N4750">
        <v>-5.4557299999999998E-3</v>
      </c>
      <c r="O4750">
        <v>2.3066070000000001E-2</v>
      </c>
      <c r="P4750">
        <v>0.9797633</v>
      </c>
      <c r="Q4750">
        <v>0.200069</v>
      </c>
      <c r="R4750">
        <v>6.0364019999999997E-3</v>
      </c>
      <c r="S4750">
        <v>3.076355</v>
      </c>
      <c r="T4750">
        <v>-7.1998950000000006E-2</v>
      </c>
      <c r="U4750">
        <v>7.5347899999999995E-2</v>
      </c>
      <c r="V4750">
        <v>1.587879E-2</v>
      </c>
      <c r="W4750">
        <v>0.20546519999999999</v>
      </c>
      <c r="X4750">
        <v>0.97853559999999995</v>
      </c>
      <c r="Y4750">
        <v>-1.422467E-3</v>
      </c>
      <c r="Z4750">
        <v>-3.9325820000000002E-4</v>
      </c>
      <c r="AA4750">
        <v>0.99999890000000002</v>
      </c>
      <c r="AB4750">
        <v>33</v>
      </c>
      <c r="AC4750">
        <v>49.891399999999997</v>
      </c>
      <c r="AD4750">
        <v>-1.171605</v>
      </c>
      <c r="AE4750">
        <v>1.2216799999999901</v>
      </c>
      <c r="AF4750">
        <v>-7.0500382318190197E-2</v>
      </c>
      <c r="AG4750">
        <v>-1.171605</v>
      </c>
      <c r="AH4750">
        <v>49.878815913992497</v>
      </c>
      <c r="AI4750">
        <v>91.345573506090503</v>
      </c>
      <c r="AJ4750">
        <v>90.080983712161697</v>
      </c>
      <c r="AK4750">
        <v>49.892623759047602</v>
      </c>
      <c r="AL4750">
        <v>78.143267265662004</v>
      </c>
      <c r="AM4750">
        <v>89.070337544473503</v>
      </c>
      <c r="AN4750">
        <v>1.0000000024251301</v>
      </c>
    </row>
    <row r="4751" spans="1:40" x14ac:dyDescent="0.25">
      <c r="A4751" t="str">
        <f>"20190303171111193"</f>
        <v>20190303171111193</v>
      </c>
      <c r="B4751" t="str">
        <f>"1551604271185691"</f>
        <v>1551604271185691</v>
      </c>
      <c r="C4751" t="s">
        <v>40</v>
      </c>
      <c r="D4751">
        <v>5.0282929999999997</v>
      </c>
      <c r="E4751">
        <v>0.52151479999999995</v>
      </c>
      <c r="F4751" t="s">
        <v>42</v>
      </c>
      <c r="G4751">
        <v>-327.83519999999999</v>
      </c>
      <c r="H4751" s="1">
        <v>-1.8562360000000001E-6</v>
      </c>
      <c r="I4751">
        <v>15.705030000000001</v>
      </c>
      <c r="J4751">
        <v>-366.80180000000001</v>
      </c>
      <c r="K4751">
        <v>1.1215889999999999</v>
      </c>
      <c r="L4751">
        <v>16.586089999999999</v>
      </c>
      <c r="M4751">
        <v>0.99969859999999999</v>
      </c>
      <c r="N4751">
        <v>-5.5139819999999997E-3</v>
      </c>
      <c r="O4751">
        <v>2.3925249999999999E-2</v>
      </c>
      <c r="P4751">
        <v>0.97978469999999995</v>
      </c>
      <c r="Q4751">
        <v>0.19992570000000001</v>
      </c>
      <c r="R4751">
        <v>7.1937669999999898E-3</v>
      </c>
      <c r="S4751">
        <v>3.0804140000000002</v>
      </c>
      <c r="T4751">
        <v>-8.8236090000000003E-2</v>
      </c>
      <c r="U4751">
        <v>-6.8908689999999995E-2</v>
      </c>
      <c r="V4751">
        <v>1.557597E-2</v>
      </c>
      <c r="W4751">
        <v>0.205377</v>
      </c>
      <c r="X4751">
        <v>0.97855899999999996</v>
      </c>
      <c r="Y4751">
        <v>4.6248570000000003E-2</v>
      </c>
      <c r="Z4751">
        <v>-1.34291799999999E-3</v>
      </c>
      <c r="AA4751">
        <v>0.99892910000000001</v>
      </c>
      <c r="AB4751">
        <v>33</v>
      </c>
      <c r="AC4751">
        <v>38.9666</v>
      </c>
      <c r="AD4751">
        <v>-1.121590856236</v>
      </c>
      <c r="AE4751">
        <v>-0.88105999999999896</v>
      </c>
      <c r="AF4751">
        <v>1.8116074362626</v>
      </c>
      <c r="AG4751">
        <v>-1.121590856236</v>
      </c>
      <c r="AH4751">
        <v>38.902152257312402</v>
      </c>
      <c r="AI4751">
        <v>91.649654653500605</v>
      </c>
      <c r="AJ4751">
        <v>87.333758681397796</v>
      </c>
      <c r="AK4751">
        <v>38.960458644669899</v>
      </c>
      <c r="AL4751">
        <v>78.148431082186704</v>
      </c>
      <c r="AM4751">
        <v>89.088085659326595</v>
      </c>
      <c r="AN4751">
        <v>1.0000000197257199</v>
      </c>
    </row>
    <row r="4752" spans="1:40" x14ac:dyDescent="0.25">
      <c r="A4752" t="str">
        <f>"20190303171111206"</f>
        <v>20190303171111206</v>
      </c>
      <c r="B4752" t="str">
        <f>"1551604271195451"</f>
        <v>1551604271195451</v>
      </c>
      <c r="C4752" t="s">
        <v>40</v>
      </c>
      <c r="D4752">
        <v>5.0360300000000002</v>
      </c>
      <c r="E4752">
        <v>0.52567229999999998</v>
      </c>
      <c r="F4752" t="s">
        <v>42</v>
      </c>
      <c r="G4752">
        <v>-328.57159999999999</v>
      </c>
      <c r="H4752" s="1">
        <v>-1.7289150000000001E-6</v>
      </c>
      <c r="I4752">
        <v>15.120710000000001</v>
      </c>
      <c r="J4752">
        <v>-366.62110000000001</v>
      </c>
      <c r="K4752">
        <v>1.121572</v>
      </c>
      <c r="L4752">
        <v>16.59113</v>
      </c>
      <c r="M4752">
        <v>0.99967890000000004</v>
      </c>
      <c r="N4752">
        <v>-5.5706970000000003E-3</v>
      </c>
      <c r="O4752">
        <v>2.4718270000000001E-2</v>
      </c>
      <c r="P4752">
        <v>0.97981130000000005</v>
      </c>
      <c r="Q4752">
        <v>0.19977200000000001</v>
      </c>
      <c r="R4752">
        <v>7.8094660000000002E-3</v>
      </c>
      <c r="S4752">
        <v>3.0811769999999998</v>
      </c>
      <c r="T4752">
        <v>-9.0394970000000005E-2</v>
      </c>
      <c r="U4752">
        <v>-0.118103</v>
      </c>
      <c r="V4752">
        <v>1.5749619999999999E-2</v>
      </c>
      <c r="W4752">
        <v>0.20527860000000001</v>
      </c>
      <c r="X4752">
        <v>0.97857680000000002</v>
      </c>
      <c r="Y4752">
        <v>6.2952010000000003E-2</v>
      </c>
      <c r="Z4752">
        <v>-1.685523E-3</v>
      </c>
      <c r="AA4752">
        <v>0.99801510000000004</v>
      </c>
      <c r="AB4752">
        <v>33</v>
      </c>
      <c r="AC4752">
        <v>38.049500000000002</v>
      </c>
      <c r="AD4752">
        <v>-1.1215737289150001</v>
      </c>
      <c r="AE4752">
        <v>-1.4704199999999901</v>
      </c>
      <c r="AF4752">
        <v>2.4084136589092</v>
      </c>
      <c r="AG4752">
        <v>-1.1215737289150001</v>
      </c>
      <c r="AH4752">
        <v>37.968586277228603</v>
      </c>
      <c r="AI4752">
        <v>91.688605930427698</v>
      </c>
      <c r="AJ4752">
        <v>86.370491428472704</v>
      </c>
      <c r="AK4752">
        <v>38.0614230931157</v>
      </c>
      <c r="AL4752">
        <v>78.154190935368106</v>
      </c>
      <c r="AM4752">
        <v>89.077937621334996</v>
      </c>
      <c r="AN4752">
        <v>0.99999995382317097</v>
      </c>
    </row>
    <row r="4753" spans="1:40" x14ac:dyDescent="0.25">
      <c r="A4753" t="str">
        <f>"20190303171111225"</f>
        <v>20190303171111225</v>
      </c>
      <c r="B4753" t="str">
        <f>"1551604271215947"</f>
        <v>1551604271215947</v>
      </c>
      <c r="C4753" t="s">
        <v>40</v>
      </c>
      <c r="D4753">
        <v>4.9809229999999998</v>
      </c>
      <c r="E4753">
        <v>0.53128619999999904</v>
      </c>
      <c r="F4753" t="s">
        <v>42</v>
      </c>
      <c r="G4753">
        <v>-328.7679</v>
      </c>
      <c r="H4753" s="1">
        <v>-1.750797E-6</v>
      </c>
      <c r="I4753">
        <v>14.755050000000001</v>
      </c>
      <c r="J4753">
        <v>-366.32089999999999</v>
      </c>
      <c r="K4753">
        <v>1.1215389999999901</v>
      </c>
      <c r="L4753">
        <v>16.59976</v>
      </c>
      <c r="M4753">
        <v>0.99964609999999998</v>
      </c>
      <c r="N4753">
        <v>-5.6689319999999998E-3</v>
      </c>
      <c r="O4753">
        <v>2.599541E-2</v>
      </c>
      <c r="P4753">
        <v>0.97988280000000005</v>
      </c>
      <c r="Q4753">
        <v>0.19937369999999999</v>
      </c>
      <c r="R4753">
        <v>8.9325759999999994E-3</v>
      </c>
      <c r="S4753">
        <v>3.0816349999999999</v>
      </c>
      <c r="T4753">
        <v>-9.1307639999999995E-2</v>
      </c>
      <c r="U4753">
        <v>-0.1494751</v>
      </c>
      <c r="V4753">
        <v>1.5901080000000001E-2</v>
      </c>
      <c r="W4753">
        <v>0.20497560000000001</v>
      </c>
      <c r="X4753">
        <v>0.97863789999999995</v>
      </c>
      <c r="Y4753">
        <v>7.4350860000000005E-2</v>
      </c>
      <c r="Z4753">
        <v>-1.9339559999999999E-3</v>
      </c>
      <c r="AA4753">
        <v>0.99723030000000001</v>
      </c>
      <c r="AB4753">
        <v>33</v>
      </c>
      <c r="AC4753">
        <v>37.552999999999997</v>
      </c>
      <c r="AD4753">
        <v>-1.1215407507970001</v>
      </c>
      <c r="AE4753">
        <v>-1.8447099999999901</v>
      </c>
      <c r="AF4753">
        <v>2.8178005031866702</v>
      </c>
      <c r="AG4753">
        <v>-1.1215407507970001</v>
      </c>
      <c r="AH4753">
        <v>37.4590230885116</v>
      </c>
      <c r="AI4753">
        <v>91.710121510697405</v>
      </c>
      <c r="AJ4753">
        <v>85.698110350522299</v>
      </c>
      <c r="AK4753">
        <v>37.581594751648097</v>
      </c>
      <c r="AL4753">
        <v>78.171929181549999</v>
      </c>
      <c r="AM4753">
        <v>89.069130051342995</v>
      </c>
      <c r="AN4753">
        <v>0.99999999012846796</v>
      </c>
    </row>
    <row r="4754" spans="1:40" x14ac:dyDescent="0.25">
      <c r="A4754" t="str">
        <f>"20190303171111238"</f>
        <v>20190303171111238</v>
      </c>
      <c r="B4754" t="str">
        <f>"1551604271225707"</f>
        <v>1551604271225707</v>
      </c>
      <c r="C4754" t="s">
        <v>40</v>
      </c>
      <c r="D4754">
        <v>4.989859</v>
      </c>
      <c r="E4754">
        <v>0.53330299999999997</v>
      </c>
      <c r="F4754" t="s">
        <v>42</v>
      </c>
      <c r="G4754">
        <v>-328.09930000000003</v>
      </c>
      <c r="H4754" s="1">
        <v>-2.146372E-6</v>
      </c>
      <c r="I4754">
        <v>14.23338</v>
      </c>
      <c r="J4754">
        <v>-366.13670000000002</v>
      </c>
      <c r="K4754">
        <v>1.121518</v>
      </c>
      <c r="L4754">
        <v>16.605219999999999</v>
      </c>
      <c r="M4754">
        <v>0.99962569999999995</v>
      </c>
      <c r="N4754">
        <v>-5.7323189999999996E-3</v>
      </c>
      <c r="O4754">
        <v>2.675609E-2</v>
      </c>
      <c r="P4754">
        <v>0.97992029999999997</v>
      </c>
      <c r="Q4754">
        <v>0.19916429999999999</v>
      </c>
      <c r="R4754">
        <v>9.4972479999999998E-3</v>
      </c>
      <c r="S4754">
        <v>3.0817260000000002</v>
      </c>
      <c r="T4754">
        <v>-9.0427400000000005E-2</v>
      </c>
      <c r="U4754">
        <v>-0.19079589999999999</v>
      </c>
      <c r="V4754">
        <v>1.6095829999999998E-2</v>
      </c>
      <c r="W4754">
        <v>0.20482819999999999</v>
      </c>
      <c r="X4754">
        <v>0.97866560000000002</v>
      </c>
      <c r="Y4754">
        <v>8.8424199999999994E-2</v>
      </c>
      <c r="Z4754">
        <v>-2.1806429999999999E-3</v>
      </c>
      <c r="AA4754">
        <v>0.99608050000000004</v>
      </c>
      <c r="AB4754">
        <v>33</v>
      </c>
      <c r="AC4754">
        <v>38.037399999999899</v>
      </c>
      <c r="AD4754">
        <v>-1.1215201463719999</v>
      </c>
      <c r="AE4754">
        <v>-2.3718400000000002</v>
      </c>
      <c r="AF4754">
        <v>3.3858074699340901</v>
      </c>
      <c r="AG4754">
        <v>-1.1215201463719999</v>
      </c>
      <c r="AH4754">
        <v>37.927475272930302</v>
      </c>
      <c r="AI4754">
        <v>91.687044763459795</v>
      </c>
      <c r="AJ4754">
        <v>84.898695389561894</v>
      </c>
      <c r="AK4754">
        <v>38.0948143484244</v>
      </c>
      <c r="AL4754">
        <v>78.180557915565402</v>
      </c>
      <c r="AM4754">
        <v>89.057757840653693</v>
      </c>
      <c r="AN4754">
        <v>1.00000001194099</v>
      </c>
    </row>
    <row r="4755" spans="1:40" x14ac:dyDescent="0.25">
      <c r="A4755" t="str">
        <f>"20190303171111258"</f>
        <v>20190303171111258</v>
      </c>
      <c r="B4755" t="str">
        <f>"1551604271245227"</f>
        <v>1551604271245227</v>
      </c>
      <c r="C4755" t="s">
        <v>40</v>
      </c>
      <c r="D4755">
        <v>4.9927089999999996</v>
      </c>
      <c r="E4755">
        <v>0.53652169999999999</v>
      </c>
      <c r="F4755" t="s">
        <v>42</v>
      </c>
      <c r="G4755">
        <v>-327.94319999999999</v>
      </c>
      <c r="H4755" s="1">
        <v>-2.250458E-6</v>
      </c>
      <c r="I4755">
        <v>14.06744</v>
      </c>
      <c r="J4755">
        <v>-365.83120000000002</v>
      </c>
      <c r="K4755">
        <v>1.1214900000000001</v>
      </c>
      <c r="L4755">
        <v>16.6145</v>
      </c>
      <c r="M4755">
        <v>0.99959180000000003</v>
      </c>
      <c r="N4755">
        <v>-5.8457630000000003E-3</v>
      </c>
      <c r="O4755">
        <v>2.7969500000000001E-2</v>
      </c>
      <c r="P4755">
        <v>0.98003410000000002</v>
      </c>
      <c r="Q4755">
        <v>0.19859750000000001</v>
      </c>
      <c r="R4755">
        <v>9.6038689999999993E-3</v>
      </c>
      <c r="S4755">
        <v>3.0818180000000002</v>
      </c>
      <c r="T4755">
        <v>-9.0495110000000004E-2</v>
      </c>
      <c r="U4755">
        <v>-0.20477290000000001</v>
      </c>
      <c r="V4755">
        <v>1.720356E-2</v>
      </c>
      <c r="W4755">
        <v>0.20437449999999999</v>
      </c>
      <c r="X4755">
        <v>0.97874159999999999</v>
      </c>
      <c r="Y4755">
        <v>9.4125639999999997E-2</v>
      </c>
      <c r="Z4755">
        <v>-2.312695E-3</v>
      </c>
      <c r="AA4755">
        <v>0.99555769999999999</v>
      </c>
      <c r="AB4755">
        <v>33</v>
      </c>
      <c r="AC4755">
        <v>37.887999999999998</v>
      </c>
      <c r="AD4755">
        <v>-1.1214922504579901</v>
      </c>
      <c r="AE4755">
        <v>-2.5470599999999899</v>
      </c>
      <c r="AF4755">
        <v>3.6026475613379301</v>
      </c>
      <c r="AG4755">
        <v>-1.1214922504579901</v>
      </c>
      <c r="AH4755">
        <v>37.7689923980084</v>
      </c>
      <c r="AI4755">
        <v>91.693129887945204</v>
      </c>
      <c r="AJ4755">
        <v>84.551248214525003</v>
      </c>
      <c r="AK4755">
        <v>37.956996734197403</v>
      </c>
      <c r="AL4755">
        <v>78.207114778180994</v>
      </c>
      <c r="AM4755">
        <v>88.993002967543802</v>
      </c>
      <c r="AN4755">
        <v>1.00000000914874</v>
      </c>
    </row>
    <row r="4756" spans="1:40" x14ac:dyDescent="0.25">
      <c r="A4756" t="str">
        <f>"20190303171111272"</f>
        <v>20190303171111272</v>
      </c>
      <c r="B4756" t="str">
        <f>"1551604271265723"</f>
        <v>1551604271265723</v>
      </c>
      <c r="C4756" t="s">
        <v>40</v>
      </c>
      <c r="D4756">
        <v>4.980315</v>
      </c>
      <c r="E4756">
        <v>0.53854349999999995</v>
      </c>
      <c r="F4756" t="s">
        <v>42</v>
      </c>
      <c r="G4756">
        <v>-327.5104</v>
      </c>
      <c r="H4756" s="1">
        <v>-2.4997820000000001E-6</v>
      </c>
      <c r="I4756">
        <v>13.75502</v>
      </c>
      <c r="J4756">
        <v>-365.62779999999998</v>
      </c>
      <c r="K4756">
        <v>1.121475</v>
      </c>
      <c r="L4756">
        <v>16.620909999999999</v>
      </c>
      <c r="M4756">
        <v>0.99956920000000005</v>
      </c>
      <c r="N4756">
        <v>-5.9285229999999998E-3</v>
      </c>
      <c r="O4756">
        <v>2.8750149999999999E-2</v>
      </c>
      <c r="P4756">
        <v>0.98007880000000003</v>
      </c>
      <c r="Q4756">
        <v>0.19836100000000001</v>
      </c>
      <c r="R4756">
        <v>9.9528859999999993E-3</v>
      </c>
      <c r="S4756">
        <v>3.0816349999999999</v>
      </c>
      <c r="T4756">
        <v>-9.0186829999999996E-2</v>
      </c>
      <c r="U4756">
        <v>-0.22994999999999999</v>
      </c>
      <c r="V4756">
        <v>1.7634609999999998E-2</v>
      </c>
      <c r="W4756">
        <v>0.2042195</v>
      </c>
      <c r="X4756">
        <v>0.97876629999999998</v>
      </c>
      <c r="Y4756">
        <v>0.10299220000000001</v>
      </c>
      <c r="Z4756">
        <v>-2.4805040000000001E-3</v>
      </c>
      <c r="AA4756">
        <v>0.99467910000000004</v>
      </c>
      <c r="AB4756">
        <v>33</v>
      </c>
      <c r="AC4756">
        <v>38.117399999999897</v>
      </c>
      <c r="AD4756">
        <v>-1.1214774997820001</v>
      </c>
      <c r="AE4756">
        <v>-2.8658899999999998</v>
      </c>
      <c r="AF4756">
        <v>3.9571991098650301</v>
      </c>
      <c r="AG4756">
        <v>-1.1214774997820001</v>
      </c>
      <c r="AH4756">
        <v>37.986548987310499</v>
      </c>
      <c r="AI4756">
        <v>91.681956495163803</v>
      </c>
      <c r="AJ4756">
        <v>84.052738662284696</v>
      </c>
      <c r="AK4756">
        <v>38.208572867132503</v>
      </c>
      <c r="AL4756">
        <v>78.216187177255307</v>
      </c>
      <c r="AM4756">
        <v>88.967803226114498</v>
      </c>
      <c r="AN4756">
        <v>1.0000000268328899</v>
      </c>
    </row>
    <row r="4757" spans="1:40" x14ac:dyDescent="0.25">
      <c r="A4757" t="str">
        <f>"20190303171111295"</f>
        <v>20190303171111295</v>
      </c>
      <c r="B4757" t="str">
        <f>"1551604271285244"</f>
        <v>1551604271285244</v>
      </c>
      <c r="C4757" t="s">
        <v>40</v>
      </c>
      <c r="D4757">
        <v>5.0064349999999997</v>
      </c>
      <c r="E4757">
        <v>0.540107</v>
      </c>
      <c r="F4757" t="s">
        <v>42</v>
      </c>
      <c r="G4757">
        <v>-327.78469999999999</v>
      </c>
      <c r="H4757" s="1">
        <v>-2.4327509999999999E-6</v>
      </c>
      <c r="I4757">
        <v>13.61115</v>
      </c>
      <c r="J4757">
        <v>-365.30430000000001</v>
      </c>
      <c r="K4757">
        <v>1.121456</v>
      </c>
      <c r="L4757">
        <v>16.63138</v>
      </c>
      <c r="M4757">
        <v>0.99953289999999995</v>
      </c>
      <c r="N4757">
        <v>-6.0679840000000002E-3</v>
      </c>
      <c r="O4757">
        <v>2.9956099999999999E-2</v>
      </c>
      <c r="P4757">
        <v>0.9800759</v>
      </c>
      <c r="Q4757">
        <v>0.19833049999999999</v>
      </c>
      <c r="R4757">
        <v>1.0790859999999999E-2</v>
      </c>
      <c r="S4757">
        <v>3.0819700000000001</v>
      </c>
      <c r="T4757">
        <v>-9.1333990000000004E-2</v>
      </c>
      <c r="U4757">
        <v>-0.24511720000000001</v>
      </c>
      <c r="V4757">
        <v>1.7998279999999998E-2</v>
      </c>
      <c r="W4757">
        <v>0.20432500000000001</v>
      </c>
      <c r="X4757">
        <v>0.97873770000000004</v>
      </c>
      <c r="Y4757">
        <v>0.1090434</v>
      </c>
      <c r="Z4757">
        <v>-2.6491900000000001E-3</v>
      </c>
      <c r="AA4757">
        <v>0.99403350000000001</v>
      </c>
      <c r="AB4757">
        <v>33</v>
      </c>
      <c r="AC4757">
        <v>37.519599999999997</v>
      </c>
      <c r="AD4757">
        <v>-1.121458432751</v>
      </c>
      <c r="AE4757">
        <v>-3.0202300000000002</v>
      </c>
      <c r="AF4757">
        <v>4.1391618300228297</v>
      </c>
      <c r="AG4757">
        <v>-1.121458432751</v>
      </c>
      <c r="AH4757">
        <v>37.379105391908404</v>
      </c>
      <c r="AI4757">
        <v>91.708054519329494</v>
      </c>
      <c r="AJ4757">
        <v>83.681116210923093</v>
      </c>
      <c r="AK4757">
        <v>37.624298658857398</v>
      </c>
      <c r="AL4757">
        <v>78.210012720418007</v>
      </c>
      <c r="AM4757">
        <v>88.946490704887097</v>
      </c>
      <c r="AN4757">
        <v>1.0000000645546201</v>
      </c>
    </row>
    <row r="4758" spans="1:40" x14ac:dyDescent="0.25">
      <c r="A4758" t="str">
        <f>"20190303171111306"</f>
        <v>20190303171111306</v>
      </c>
      <c r="B4758" t="str">
        <f>"1551604271295978"</f>
        <v>1551604271295978</v>
      </c>
      <c r="C4758" t="s">
        <v>40</v>
      </c>
      <c r="D4758">
        <v>4.9767910000000004</v>
      </c>
      <c r="E4758">
        <v>0.5407769</v>
      </c>
      <c r="F4758" t="s">
        <v>42</v>
      </c>
      <c r="G4758">
        <v>-327.44709999999998</v>
      </c>
      <c r="H4758" s="1">
        <v>-2.5919600000000001E-6</v>
      </c>
      <c r="I4758">
        <v>13.5001</v>
      </c>
      <c r="J4758">
        <v>-365.1241</v>
      </c>
      <c r="K4758">
        <v>1.121445</v>
      </c>
      <c r="L4758">
        <v>16.63739</v>
      </c>
      <c r="M4758">
        <v>0.99951270000000003</v>
      </c>
      <c r="N4758">
        <v>-6.1568009999999999E-3</v>
      </c>
      <c r="O4758">
        <v>3.0601010000000001E-2</v>
      </c>
      <c r="P4758">
        <v>0.98007330000000004</v>
      </c>
      <c r="Q4758">
        <v>0.19832269999999999</v>
      </c>
      <c r="R4758">
        <v>1.1151799999999899E-2</v>
      </c>
      <c r="S4758">
        <v>3.0822750000000001</v>
      </c>
      <c r="T4758">
        <v>-9.1307280000000005E-2</v>
      </c>
      <c r="U4758">
        <v>-0.2549438</v>
      </c>
      <c r="V4758">
        <v>1.8280100000000001E-2</v>
      </c>
      <c r="W4758">
        <v>0.20440340000000001</v>
      </c>
      <c r="X4758">
        <v>0.97871600000000003</v>
      </c>
      <c r="Y4758">
        <v>0.1128224</v>
      </c>
      <c r="Z4758">
        <v>-2.732801E-3</v>
      </c>
      <c r="AA4758">
        <v>0.99361140000000003</v>
      </c>
      <c r="AB4758">
        <v>33</v>
      </c>
      <c r="AC4758">
        <v>37.677</v>
      </c>
      <c r="AD4758">
        <v>-1.12144759196</v>
      </c>
      <c r="AE4758">
        <v>-3.1372900000000001</v>
      </c>
      <c r="AF4758">
        <v>4.2850266682241998</v>
      </c>
      <c r="AG4758">
        <v>-1.12144759196</v>
      </c>
      <c r="AH4758">
        <v>37.530327606993303</v>
      </c>
      <c r="AI4758">
        <v>91.700510380751695</v>
      </c>
      <c r="AJ4758">
        <v>83.486457721521404</v>
      </c>
      <c r="AK4758">
        <v>37.790800316176799</v>
      </c>
      <c r="AL4758">
        <v>78.205422636817701</v>
      </c>
      <c r="AM4758">
        <v>88.929974771866299</v>
      </c>
      <c r="AN4758">
        <v>0.99999996032178395</v>
      </c>
    </row>
    <row r="4759" spans="1:40" x14ac:dyDescent="0.25">
      <c r="A4759" t="str">
        <f>"20190303171111326"</f>
        <v>20190303171111326</v>
      </c>
      <c r="B4759" t="str">
        <f>"1551604271315499"</f>
        <v>1551604271315499</v>
      </c>
      <c r="C4759" t="s">
        <v>40</v>
      </c>
      <c r="D4759">
        <v>4.9840359999999997</v>
      </c>
      <c r="E4759">
        <v>0.541975599999999</v>
      </c>
      <c r="F4759" t="s">
        <v>42</v>
      </c>
      <c r="G4759">
        <v>-327.57369999999997</v>
      </c>
      <c r="H4759" s="1">
        <v>-2.5481400000000001E-6</v>
      </c>
      <c r="I4759">
        <v>13.481979999999901</v>
      </c>
      <c r="J4759">
        <v>-364.83800000000002</v>
      </c>
      <c r="K4759">
        <v>1.1214309999999901</v>
      </c>
      <c r="L4759">
        <v>16.647089999999999</v>
      </c>
      <c r="M4759">
        <v>0.99948079999999995</v>
      </c>
      <c r="N4759">
        <v>-6.3089599999999997E-3</v>
      </c>
      <c r="O4759">
        <v>3.159704E-2</v>
      </c>
      <c r="P4759">
        <v>0.98014159999999995</v>
      </c>
      <c r="Q4759">
        <v>0.19798969999999999</v>
      </c>
      <c r="R4759">
        <v>1.1076570000000001E-2</v>
      </c>
      <c r="S4759">
        <v>3.0825809999999998</v>
      </c>
      <c r="T4759">
        <v>-9.2061760000000006E-2</v>
      </c>
      <c r="U4759">
        <v>-0.25903320000000002</v>
      </c>
      <c r="V4759">
        <v>1.9351440000000001E-2</v>
      </c>
      <c r="W4759">
        <v>0.20422090000000001</v>
      </c>
      <c r="X4759">
        <v>0.97873350000000003</v>
      </c>
      <c r="Y4759">
        <v>0.1151105</v>
      </c>
      <c r="Z4759">
        <v>-2.8224040000000001E-3</v>
      </c>
      <c r="AA4759">
        <v>0.99334869999999997</v>
      </c>
      <c r="AB4759">
        <v>33</v>
      </c>
      <c r="AC4759">
        <v>37.264299999999999</v>
      </c>
      <c r="AD4759">
        <v>-1.12143354813999</v>
      </c>
      <c r="AE4759">
        <v>-3.1651099999999999</v>
      </c>
      <c r="AF4759">
        <v>4.3370947840685199</v>
      </c>
      <c r="AG4759">
        <v>-1.12143354813999</v>
      </c>
      <c r="AH4759">
        <v>37.112312600702701</v>
      </c>
      <c r="AI4759">
        <v>91.719104402423795</v>
      </c>
      <c r="AJ4759">
        <v>83.334418405368595</v>
      </c>
      <c r="AK4759">
        <v>37.381703424819598</v>
      </c>
      <c r="AL4759">
        <v>78.216104426946501</v>
      </c>
      <c r="AM4759">
        <v>88.867300044547505</v>
      </c>
      <c r="AN4759">
        <v>0.99999995912456596</v>
      </c>
    </row>
    <row r="4760" spans="1:40" x14ac:dyDescent="0.25">
      <c r="A4760" t="str">
        <f>"20190303171111337"</f>
        <v>20190303171111337</v>
      </c>
      <c r="B4760" t="str">
        <f>"1551604271325259"</f>
        <v>1551604271325259</v>
      </c>
      <c r="C4760" t="s">
        <v>40</v>
      </c>
      <c r="D4760">
        <v>4.8737430000000002</v>
      </c>
      <c r="E4760">
        <v>0.541975599999999</v>
      </c>
      <c r="F4760" t="s">
        <v>42</v>
      </c>
      <c r="G4760">
        <v>-327.37939999999998</v>
      </c>
      <c r="H4760" s="1">
        <v>-2.6482680000000001E-6</v>
      </c>
      <c r="I4760">
        <v>13.38616</v>
      </c>
      <c r="J4760">
        <v>-364.6601</v>
      </c>
      <c r="K4760">
        <v>1.121421</v>
      </c>
      <c r="L4760">
        <v>16.653199999999998</v>
      </c>
      <c r="M4760">
        <v>0.99946100000000004</v>
      </c>
      <c r="N4760">
        <v>-6.4091769999999899E-3</v>
      </c>
      <c r="O4760">
        <v>3.220054E-2</v>
      </c>
      <c r="P4760">
        <v>0.98015390000000002</v>
      </c>
      <c r="Q4760">
        <v>0.19792129999999999</v>
      </c>
      <c r="R4760">
        <v>1.1211240000000001E-2</v>
      </c>
      <c r="S4760">
        <v>3.0824579999999999</v>
      </c>
      <c r="T4760">
        <v>-9.2282530000000002E-2</v>
      </c>
      <c r="U4760">
        <v>-0.268341099999999</v>
      </c>
      <c r="V4760">
        <v>1.9819670000000001E-2</v>
      </c>
      <c r="W4760">
        <v>0.20425080000000001</v>
      </c>
      <c r="X4760">
        <v>0.97871790000000003</v>
      </c>
      <c r="Y4760">
        <v>0.1186881</v>
      </c>
      <c r="Z4760">
        <v>-2.910349E-3</v>
      </c>
      <c r="AA4760">
        <v>0.99292729999999996</v>
      </c>
      <c r="AB4760">
        <v>33</v>
      </c>
      <c r="AC4760">
        <v>37.280700000000003</v>
      </c>
      <c r="AD4760">
        <v>-1.121423648268</v>
      </c>
      <c r="AE4760">
        <v>-3.26703999999999</v>
      </c>
      <c r="AF4760">
        <v>4.4618224556326203</v>
      </c>
      <c r="AG4760">
        <v>-1.121423648268</v>
      </c>
      <c r="AH4760">
        <v>37.122829699691302</v>
      </c>
      <c r="AI4760">
        <v>91.717934755646894</v>
      </c>
      <c r="AJ4760">
        <v>83.146450202063306</v>
      </c>
      <c r="AK4760">
        <v>37.406816698788496</v>
      </c>
      <c r="AL4760">
        <v>78.214354503890405</v>
      </c>
      <c r="AM4760">
        <v>88.839882002202998</v>
      </c>
      <c r="AN4760">
        <v>0.99999996819997805</v>
      </c>
    </row>
    <row r="4761" spans="1:40" x14ac:dyDescent="0.25">
      <c r="A4761" t="str">
        <f>"20190303171111350"</f>
        <v>20190303171111350</v>
      </c>
      <c r="B4761" t="str">
        <f>"1551604271345755"</f>
        <v>1551604271345755</v>
      </c>
      <c r="C4761" t="s">
        <v>40</v>
      </c>
      <c r="D4761">
        <v>4.9934120000000002</v>
      </c>
      <c r="E4761">
        <v>0.54304110000000005</v>
      </c>
      <c r="F4761" t="s">
        <v>42</v>
      </c>
      <c r="G4761">
        <v>-327.30450000000002</v>
      </c>
      <c r="H4761" s="1">
        <v>-2.6716220000000002E-6</v>
      </c>
      <c r="I4761">
        <v>13.406409999999999</v>
      </c>
      <c r="J4761">
        <v>-364.46260000000001</v>
      </c>
      <c r="K4761">
        <v>1.121413</v>
      </c>
      <c r="L4761">
        <v>16.66019</v>
      </c>
      <c r="M4761">
        <v>0.99943919999999997</v>
      </c>
      <c r="N4761">
        <v>-6.5240790000000003E-3</v>
      </c>
      <c r="O4761">
        <v>3.2848750000000003E-2</v>
      </c>
      <c r="P4761">
        <v>0.98021380000000002</v>
      </c>
      <c r="Q4761">
        <v>0.19760800000000001</v>
      </c>
      <c r="R4761">
        <v>1.1511220000000001E-2</v>
      </c>
      <c r="S4761">
        <v>3.0824579999999999</v>
      </c>
      <c r="T4761">
        <v>-9.2536090000000001E-2</v>
      </c>
      <c r="U4761">
        <v>-0.26791379999999998</v>
      </c>
      <c r="V4761">
        <v>2.016915E-2</v>
      </c>
      <c r="W4761">
        <v>0.2040506</v>
      </c>
      <c r="X4761">
        <v>0.97875259999999997</v>
      </c>
      <c r="Y4761">
        <v>0.11919449999999999</v>
      </c>
      <c r="Z4761">
        <v>-2.9454630000000002E-3</v>
      </c>
      <c r="AA4761">
        <v>0.99286660000000004</v>
      </c>
      <c r="AB4761">
        <v>34</v>
      </c>
      <c r="AC4761">
        <v>37.158099999999898</v>
      </c>
      <c r="AD4761">
        <v>-1.1214156716220001</v>
      </c>
      <c r="AE4761">
        <v>-3.2537799999999901</v>
      </c>
      <c r="AF4761">
        <v>4.4686078247787302</v>
      </c>
      <c r="AG4761">
        <v>-1.1214156716220001</v>
      </c>
      <c r="AH4761">
        <v>36.997719980495198</v>
      </c>
      <c r="AI4761">
        <v>91.723607620351103</v>
      </c>
      <c r="AJ4761">
        <v>83.1131389433842</v>
      </c>
      <c r="AK4761">
        <v>37.283472380605403</v>
      </c>
      <c r="AL4761">
        <v>78.226072834701796</v>
      </c>
      <c r="AM4761">
        <v>88.819473238169095</v>
      </c>
      <c r="AN4761">
        <v>1.0000000469894199</v>
      </c>
    </row>
    <row r="4762" spans="1:40" x14ac:dyDescent="0.25">
      <c r="A4762" t="str">
        <f>"20190303171111362"</f>
        <v>20190303171111362</v>
      </c>
      <c r="B4762" t="str">
        <f>"1551604271355515"</f>
        <v>1551604271355515</v>
      </c>
      <c r="C4762" t="s">
        <v>40</v>
      </c>
      <c r="D4762">
        <v>4.9627910000000002</v>
      </c>
      <c r="E4762">
        <v>0.5434812</v>
      </c>
      <c r="F4762" t="s">
        <v>42</v>
      </c>
      <c r="G4762">
        <v>-326.99959999999999</v>
      </c>
      <c r="H4762" s="1">
        <v>-2.8141989999999999E-6</v>
      </c>
      <c r="I4762">
        <v>13.31057</v>
      </c>
      <c r="J4762">
        <v>-364.28489999999999</v>
      </c>
      <c r="K4762">
        <v>1.1214090000000001</v>
      </c>
      <c r="L4762">
        <v>16.666529999999899</v>
      </c>
      <c r="M4762">
        <v>0.99941939999999996</v>
      </c>
      <c r="N4762">
        <v>-6.6298650000000004E-3</v>
      </c>
      <c r="O4762">
        <v>3.3421270000000003E-2</v>
      </c>
      <c r="P4762">
        <v>0.98031259999999998</v>
      </c>
      <c r="Q4762">
        <v>0.19709660000000001</v>
      </c>
      <c r="R4762">
        <v>1.183583E-2</v>
      </c>
      <c r="S4762">
        <v>3.0824280000000002</v>
      </c>
      <c r="T4762">
        <v>-9.2269420000000005E-2</v>
      </c>
      <c r="U4762">
        <v>-0.27560420000000002</v>
      </c>
      <c r="V4762">
        <v>2.0420879999999999E-2</v>
      </c>
      <c r="W4762">
        <v>0.20364299999999999</v>
      </c>
      <c r="X4762">
        <v>0.97883220000000004</v>
      </c>
      <c r="Y4762">
        <v>0.1222202</v>
      </c>
      <c r="Z4762">
        <v>-3.0086959999999999E-3</v>
      </c>
      <c r="AA4762">
        <v>0.99249849999999995</v>
      </c>
      <c r="AB4762">
        <v>34</v>
      </c>
      <c r="AC4762">
        <v>37.285299999999999</v>
      </c>
      <c r="AD4762">
        <v>-1.1214118141989999</v>
      </c>
      <c r="AE4762">
        <v>-3.3559599999999898</v>
      </c>
      <c r="AF4762">
        <v>4.5961103277301296</v>
      </c>
      <c r="AG4762">
        <v>-1.1214118141989999</v>
      </c>
      <c r="AH4762">
        <v>37.118998987674097</v>
      </c>
      <c r="AI4762">
        <v>91.717344650264195</v>
      </c>
      <c r="AJ4762">
        <v>82.9415076349609</v>
      </c>
      <c r="AK4762">
        <v>37.419271511463698</v>
      </c>
      <c r="AL4762">
        <v>78.249926673054503</v>
      </c>
      <c r="AM4762">
        <v>88.804840571385995</v>
      </c>
      <c r="AN4762">
        <v>0.999999979772907</v>
      </c>
    </row>
    <row r="4763" spans="1:40" x14ac:dyDescent="0.25">
      <c r="A4763" t="str">
        <f>"20190303171111381"</f>
        <v>20190303171111381</v>
      </c>
      <c r="B4763" t="str">
        <f>"1551604271375965"</f>
        <v>1551604271375965</v>
      </c>
      <c r="C4763" t="s">
        <v>40</v>
      </c>
      <c r="D4763">
        <v>4.9662280000000001</v>
      </c>
      <c r="E4763">
        <v>0.54432700000000001</v>
      </c>
      <c r="F4763" t="s">
        <v>42</v>
      </c>
      <c r="G4763">
        <v>-327.41340000000002</v>
      </c>
      <c r="H4763" s="1">
        <v>-2.6486969999999999E-6</v>
      </c>
      <c r="I4763">
        <v>13.33548</v>
      </c>
      <c r="J4763">
        <v>-364.00420000000003</v>
      </c>
      <c r="K4763">
        <v>1.121402</v>
      </c>
      <c r="L4763">
        <v>16.676760000000002</v>
      </c>
      <c r="M4763">
        <v>0.99938850000000001</v>
      </c>
      <c r="N4763">
        <v>-6.8065869999999898E-3</v>
      </c>
      <c r="O4763">
        <v>3.4300829999999997E-2</v>
      </c>
      <c r="P4763">
        <v>0.98027989999999998</v>
      </c>
      <c r="Q4763">
        <v>0.1972447</v>
      </c>
      <c r="R4763">
        <v>1.209175E-2</v>
      </c>
      <c r="S4763">
        <v>3.0824280000000002</v>
      </c>
      <c r="T4763">
        <v>-9.374905E-2</v>
      </c>
      <c r="U4763">
        <v>-0.27847290000000002</v>
      </c>
      <c r="V4763">
        <v>2.1041130000000002E-2</v>
      </c>
      <c r="W4763">
        <v>0.2039637</v>
      </c>
      <c r="X4763">
        <v>0.97875230000000002</v>
      </c>
      <c r="Y4763">
        <v>0.12400600000000001</v>
      </c>
      <c r="Z4763">
        <v>-3.1127199999999998E-3</v>
      </c>
      <c r="AA4763">
        <v>0.99227659999999995</v>
      </c>
      <c r="AB4763">
        <v>34</v>
      </c>
      <c r="AC4763">
        <v>36.590800000000002</v>
      </c>
      <c r="AD4763">
        <v>-1.121404648697</v>
      </c>
      <c r="AE4763">
        <v>-3.3412799999999998</v>
      </c>
      <c r="AF4763">
        <v>4.5901618183334598</v>
      </c>
      <c r="AG4763">
        <v>-1.121404648697</v>
      </c>
      <c r="AH4763">
        <v>36.420730692565002</v>
      </c>
      <c r="AI4763">
        <v>91.749763030932698</v>
      </c>
      <c r="AJ4763">
        <v>82.816795832754906</v>
      </c>
      <c r="AK4763">
        <v>36.725968443118703</v>
      </c>
      <c r="AL4763">
        <v>78.231158147082397</v>
      </c>
      <c r="AM4763">
        <v>88.768450122840704</v>
      </c>
      <c r="AN4763">
        <v>0.99999999241232795</v>
      </c>
    </row>
    <row r="4764" spans="1:40" x14ac:dyDescent="0.25">
      <c r="A4764" t="str">
        <f>"20190303171111393"</f>
        <v>20190303171111393</v>
      </c>
      <c r="B4764" t="str">
        <f>"1551604271385725"</f>
        <v>1551604271385725</v>
      </c>
      <c r="C4764" t="s">
        <v>40</v>
      </c>
      <c r="D4764">
        <v>4.9615780000000003</v>
      </c>
      <c r="E4764">
        <v>0.54470410000000002</v>
      </c>
      <c r="F4764" t="s">
        <v>42</v>
      </c>
      <c r="G4764">
        <v>-326.51029999999997</v>
      </c>
      <c r="H4764" s="1">
        <v>-3.0275919999999998E-6</v>
      </c>
      <c r="I4764">
        <v>13.21486</v>
      </c>
      <c r="J4764">
        <v>-363.80689999999998</v>
      </c>
      <c r="K4764">
        <v>1.1214010000000001</v>
      </c>
      <c r="L4764">
        <v>16.684049999999999</v>
      </c>
      <c r="M4764">
        <v>0.9993668</v>
      </c>
      <c r="N4764">
        <v>-6.9431639999999999E-3</v>
      </c>
      <c r="O4764">
        <v>3.4901019999999998E-2</v>
      </c>
      <c r="P4764">
        <v>0.98020510000000005</v>
      </c>
      <c r="Q4764">
        <v>0.1976057</v>
      </c>
      <c r="R4764">
        <v>1.225735E-2</v>
      </c>
      <c r="S4764">
        <v>3.0824280000000002</v>
      </c>
      <c r="T4764">
        <v>-9.2192170000000004E-2</v>
      </c>
      <c r="U4764">
        <v>-0.2846069</v>
      </c>
      <c r="V4764">
        <v>2.1471230000000001E-2</v>
      </c>
      <c r="W4764">
        <v>0.2044571</v>
      </c>
      <c r="X4764">
        <v>0.97863999999999995</v>
      </c>
      <c r="Y4764">
        <v>0.1265606</v>
      </c>
      <c r="Z4764">
        <v>-3.1285900000000001E-3</v>
      </c>
      <c r="AA4764">
        <v>0.991954</v>
      </c>
      <c r="AB4764">
        <v>34</v>
      </c>
      <c r="AC4764">
        <v>37.296599999999998</v>
      </c>
      <c r="AD4764">
        <v>-1.1214040275920001</v>
      </c>
      <c r="AE4764">
        <v>-3.4691900000000002</v>
      </c>
      <c r="AF4764">
        <v>4.7645265916060797</v>
      </c>
      <c r="AG4764">
        <v>-1.1214040275920001</v>
      </c>
      <c r="AH4764">
        <v>37.119526135166403</v>
      </c>
      <c r="AI4764">
        <v>91.716342523913099</v>
      </c>
      <c r="AJ4764">
        <v>82.685716818959904</v>
      </c>
      <c r="AK4764">
        <v>37.440853103722503</v>
      </c>
      <c r="AL4764">
        <v>78.2022797629743</v>
      </c>
      <c r="AM4764">
        <v>88.743139942721896</v>
      </c>
      <c r="AN4764">
        <v>0.99999998452906103</v>
      </c>
    </row>
    <row r="4765" spans="1:40" x14ac:dyDescent="0.25">
      <c r="A4765" t="str">
        <f>"20190303171111405"</f>
        <v>20190303171111405</v>
      </c>
      <c r="B4765" t="str">
        <f>"1551604271395485"</f>
        <v>1551604271395485</v>
      </c>
      <c r="C4765" t="s">
        <v>40</v>
      </c>
      <c r="D4765">
        <v>4.9201180000000004</v>
      </c>
      <c r="E4765">
        <v>0.54501549999999999</v>
      </c>
      <c r="F4765" t="s">
        <v>42</v>
      </c>
      <c r="G4765">
        <v>-325.75119999999998</v>
      </c>
      <c r="H4765" s="1">
        <v>-3.3377280000000002E-6</v>
      </c>
      <c r="I4765">
        <v>13.144780000000001</v>
      </c>
      <c r="J4765">
        <v>-363.63690000000003</v>
      </c>
      <c r="K4765">
        <v>1.121402</v>
      </c>
      <c r="L4765">
        <v>16.690460000000002</v>
      </c>
      <c r="M4765">
        <v>0.99934800000000001</v>
      </c>
      <c r="N4765">
        <v>-7.068253E-3</v>
      </c>
      <c r="O4765">
        <v>3.5403669999999998E-2</v>
      </c>
      <c r="P4765">
        <v>0.98015759999999996</v>
      </c>
      <c r="Q4765">
        <v>0.197848</v>
      </c>
      <c r="R4765">
        <v>1.21332E-2</v>
      </c>
      <c r="S4765">
        <v>3.0825200000000001</v>
      </c>
      <c r="T4765">
        <v>-9.0833899999999995E-2</v>
      </c>
      <c r="U4765">
        <v>-0.2866821</v>
      </c>
      <c r="V4765">
        <v>2.2094659999999999E-2</v>
      </c>
      <c r="W4765">
        <v>0.20482210000000001</v>
      </c>
      <c r="X4765">
        <v>0.97854980000000003</v>
      </c>
      <c r="Y4765">
        <v>0.12772020000000001</v>
      </c>
      <c r="Z4765">
        <v>-3.1212599999999998E-3</v>
      </c>
      <c r="AA4765">
        <v>0.9918053</v>
      </c>
      <c r="AB4765">
        <v>34</v>
      </c>
      <c r="AC4765">
        <v>37.8857</v>
      </c>
      <c r="AD4765">
        <v>-1.121405337728</v>
      </c>
      <c r="AE4765">
        <v>-3.5456799999999999</v>
      </c>
      <c r="AF4765">
        <v>4.8805446140092901</v>
      </c>
      <c r="AG4765">
        <v>-1.121405337728</v>
      </c>
      <c r="AH4765">
        <v>37.703667838121397</v>
      </c>
      <c r="AI4765">
        <v>91.689535737091205</v>
      </c>
      <c r="AJ4765">
        <v>82.624370738194997</v>
      </c>
      <c r="AK4765">
        <v>38.034771382357597</v>
      </c>
      <c r="AL4765">
        <v>78.180914713629207</v>
      </c>
      <c r="AM4765">
        <v>88.706539304091507</v>
      </c>
      <c r="AN4765">
        <v>0.99999998886448205</v>
      </c>
    </row>
    <row r="4766" spans="1:40" x14ac:dyDescent="0.25">
      <c r="A4766" t="str">
        <f>"20190303171111417"</f>
        <v>20190303171111417</v>
      </c>
      <c r="B4766" t="str">
        <f>"1551604271405245"</f>
        <v>1551604271405245</v>
      </c>
      <c r="C4766" t="s">
        <v>40</v>
      </c>
      <c r="D4766">
        <v>4.9174519999999999</v>
      </c>
      <c r="E4766">
        <v>0.54531600000000002</v>
      </c>
      <c r="F4766" t="s">
        <v>42</v>
      </c>
      <c r="G4766">
        <v>-325.2346</v>
      </c>
      <c r="H4766" s="1">
        <v>-3.5517860000000001E-6</v>
      </c>
      <c r="I4766">
        <v>13.08587</v>
      </c>
      <c r="J4766">
        <v>-363.45310000000001</v>
      </c>
      <c r="K4766">
        <v>1.1214</v>
      </c>
      <c r="L4766">
        <v>16.69745</v>
      </c>
      <c r="M4766">
        <v>0.99932799999999999</v>
      </c>
      <c r="N4766">
        <v>-7.2081890000000003E-3</v>
      </c>
      <c r="O4766">
        <v>3.5940229999999997E-2</v>
      </c>
      <c r="P4766">
        <v>0.98015359999999996</v>
      </c>
      <c r="Q4766">
        <v>0.1978538</v>
      </c>
      <c r="R4766">
        <v>1.236842E-2</v>
      </c>
      <c r="S4766">
        <v>3.0825200000000001</v>
      </c>
      <c r="T4766">
        <v>-9.0014339999999998E-2</v>
      </c>
      <c r="U4766">
        <v>-0.28933720000000002</v>
      </c>
      <c r="V4766">
        <v>2.2394799999999999E-2</v>
      </c>
      <c r="W4766">
        <v>0.20496449999999999</v>
      </c>
      <c r="X4766">
        <v>0.97851319999999997</v>
      </c>
      <c r="Y4766">
        <v>0.12909979999999999</v>
      </c>
      <c r="Z4766">
        <v>-3.1357300000000002E-3</v>
      </c>
      <c r="AA4766">
        <v>0.99162660000000002</v>
      </c>
      <c r="AB4766">
        <v>34</v>
      </c>
      <c r="AC4766">
        <v>38.218499999999999</v>
      </c>
      <c r="AD4766">
        <v>-1.1214035517859999</v>
      </c>
      <c r="AE4766">
        <v>-3.61158</v>
      </c>
      <c r="AF4766">
        <v>4.9786154887053504</v>
      </c>
      <c r="AG4766">
        <v>-1.1214035517859999</v>
      </c>
      <c r="AH4766">
        <v>38.031549586436299</v>
      </c>
      <c r="AI4766">
        <v>91.674661989980905</v>
      </c>
      <c r="AJ4766">
        <v>82.541961414717704</v>
      </c>
      <c r="AK4766">
        <v>38.372423979413902</v>
      </c>
      <c r="AL4766">
        <v>78.172579414464096</v>
      </c>
      <c r="AM4766">
        <v>88.688925645893804</v>
      </c>
      <c r="AN4766">
        <v>1.0000000279507599</v>
      </c>
    </row>
    <row r="4767" spans="1:40" x14ac:dyDescent="0.25">
      <c r="A4767" t="str">
        <f>"20190303171111436"</f>
        <v>20190303171111436</v>
      </c>
      <c r="B4767" t="str">
        <f>"1551604271425741"</f>
        <v>1551604271425741</v>
      </c>
      <c r="C4767" t="s">
        <v>40</v>
      </c>
      <c r="D4767">
        <v>4.8916219999999999</v>
      </c>
      <c r="E4767">
        <v>0.54585499999999998</v>
      </c>
      <c r="F4767" t="s">
        <v>42</v>
      </c>
      <c r="G4767">
        <v>-325.14269999999999</v>
      </c>
      <c r="H4767" s="1">
        <v>-3.5869229999999999E-6</v>
      </c>
      <c r="I4767">
        <v>13.08649</v>
      </c>
      <c r="J4767">
        <v>-363.17039999999997</v>
      </c>
      <c r="K4767">
        <v>1.12141</v>
      </c>
      <c r="L4767">
        <v>16.708369999999999</v>
      </c>
      <c r="M4767">
        <v>0.99929730000000005</v>
      </c>
      <c r="N4767">
        <v>-7.4591350000000004E-3</v>
      </c>
      <c r="O4767">
        <v>3.673527E-2</v>
      </c>
      <c r="P4767">
        <v>0.98024029999999995</v>
      </c>
      <c r="Q4767">
        <v>0.19742390000000001</v>
      </c>
      <c r="R4767">
        <v>1.2358030000000001E-2</v>
      </c>
      <c r="S4767">
        <v>3.0826720000000001</v>
      </c>
      <c r="T4767">
        <v>-9.0234400000000006E-2</v>
      </c>
      <c r="U4767">
        <v>-0.29055789999999998</v>
      </c>
      <c r="V4767">
        <v>2.3203330000000001E-2</v>
      </c>
      <c r="W4767">
        <v>0.20478099999999999</v>
      </c>
      <c r="X4767">
        <v>0.97853270000000003</v>
      </c>
      <c r="Y4767">
        <v>0.1302719</v>
      </c>
      <c r="Z4767">
        <v>-3.188752E-3</v>
      </c>
      <c r="AA4767">
        <v>0.99147320000000005</v>
      </c>
      <c r="AB4767">
        <v>34</v>
      </c>
      <c r="AC4767">
        <v>38.027699999999903</v>
      </c>
      <c r="AD4767">
        <v>-1.121413586923</v>
      </c>
      <c r="AE4767">
        <v>-3.62188</v>
      </c>
      <c r="AF4767">
        <v>5.0121122845958999</v>
      </c>
      <c r="AG4767">
        <v>-1.121413586923</v>
      </c>
      <c r="AH4767">
        <v>37.836369054315099</v>
      </c>
      <c r="AI4767">
        <v>91.682971089711899</v>
      </c>
      <c r="AJ4767">
        <v>82.454069891136896</v>
      </c>
      <c r="AK4767">
        <v>38.183368908474698</v>
      </c>
      <c r="AL4767">
        <v>78.183320084662498</v>
      </c>
      <c r="AM4767">
        <v>88.641635797864097</v>
      </c>
      <c r="AN4767">
        <v>0.99999994872668796</v>
      </c>
    </row>
    <row r="4768" spans="1:40" x14ac:dyDescent="0.25">
      <c r="A4768" t="str">
        <f>"20190303171111448"</f>
        <v>20190303171111448</v>
      </c>
      <c r="B4768" t="str">
        <f>"1551604271435502"</f>
        <v>1551604271435502</v>
      </c>
      <c r="C4768" t="s">
        <v>40</v>
      </c>
      <c r="D4768">
        <v>4.8727229999999997</v>
      </c>
      <c r="E4768">
        <v>0.54609819999999998</v>
      </c>
      <c r="F4768" t="s">
        <v>42</v>
      </c>
      <c r="G4768">
        <v>-325.30040000000002</v>
      </c>
      <c r="H4768" s="1">
        <v>-3.525799E-6</v>
      </c>
      <c r="I4768">
        <v>13.08858</v>
      </c>
      <c r="J4768">
        <v>-362.98410000000001</v>
      </c>
      <c r="K4768">
        <v>1.121413</v>
      </c>
      <c r="L4768">
        <v>16.715729999999901</v>
      </c>
      <c r="M4768">
        <v>0.99927730000000003</v>
      </c>
      <c r="N4768">
        <v>-7.63709E-3</v>
      </c>
      <c r="O4768">
        <v>3.724003E-2</v>
      </c>
      <c r="P4768">
        <v>0.98021440000000004</v>
      </c>
      <c r="Q4768">
        <v>0.1975565</v>
      </c>
      <c r="R4768">
        <v>1.2322970000000001E-2</v>
      </c>
      <c r="S4768">
        <v>3.0825809999999998</v>
      </c>
      <c r="T4768">
        <v>-9.1281890000000004E-2</v>
      </c>
      <c r="U4768">
        <v>-0.2946472</v>
      </c>
      <c r="V4768">
        <v>2.3740879999999999E-2</v>
      </c>
      <c r="W4768">
        <v>0.20508770000000001</v>
      </c>
      <c r="X4768">
        <v>0.97845559999999998</v>
      </c>
      <c r="Y4768">
        <v>0.13207579999999999</v>
      </c>
      <c r="Z4768">
        <v>-3.2729529999999999E-3</v>
      </c>
      <c r="AA4768">
        <v>0.99123419999999896</v>
      </c>
      <c r="AB4768">
        <v>34</v>
      </c>
      <c r="AC4768">
        <v>37.683699999999902</v>
      </c>
      <c r="AD4768">
        <v>-1.1214165257989901</v>
      </c>
      <c r="AE4768">
        <v>-3.6271499999999901</v>
      </c>
      <c r="AF4768">
        <v>5.0236087775173797</v>
      </c>
      <c r="AG4768">
        <v>-1.1214165257989901</v>
      </c>
      <c r="AH4768">
        <v>37.489584875254501</v>
      </c>
      <c r="AI4768">
        <v>91.698193774578101</v>
      </c>
      <c r="AJ4768">
        <v>82.367823315324301</v>
      </c>
      <c r="AK4768">
        <v>37.841289543206599</v>
      </c>
      <c r="AL4768">
        <v>78.165366761282002</v>
      </c>
      <c r="AM4768">
        <v>88.610069396414104</v>
      </c>
      <c r="AN4768">
        <v>0.99999997762291204</v>
      </c>
    </row>
    <row r="4769" spans="1:40" x14ac:dyDescent="0.25">
      <c r="A4769" t="str">
        <f>"20190303171111471"</f>
        <v>20190303171111471</v>
      </c>
      <c r="B4769" t="str">
        <f>"1551604271465757"</f>
        <v>1551604271465757</v>
      </c>
      <c r="C4769" t="s">
        <v>40</v>
      </c>
      <c r="D4769">
        <v>4.7807269999999997</v>
      </c>
      <c r="E4769">
        <v>0.54691899999999904</v>
      </c>
      <c r="F4769" t="s">
        <v>42</v>
      </c>
      <c r="G4769">
        <v>-324.9606</v>
      </c>
      <c r="H4769" s="1">
        <v>-3.6650090000000001E-6</v>
      </c>
      <c r="I4769">
        <v>13.05574</v>
      </c>
      <c r="J4769">
        <v>-362.65370000000001</v>
      </c>
      <c r="K4769">
        <v>1.121421</v>
      </c>
      <c r="L4769">
        <v>16.728909999999999</v>
      </c>
      <c r="M4769">
        <v>0.99924179999999996</v>
      </c>
      <c r="N4769">
        <v>-7.9546979999999996E-3</v>
      </c>
      <c r="O4769">
        <v>3.8113550000000003E-2</v>
      </c>
      <c r="P4769">
        <v>0.98026159999999996</v>
      </c>
      <c r="Q4769">
        <v>0.1973452</v>
      </c>
      <c r="R4769">
        <v>1.194016E-2</v>
      </c>
      <c r="S4769">
        <v>3.0826419999999999</v>
      </c>
      <c r="T4769">
        <v>-9.0915679999999999E-2</v>
      </c>
      <c r="U4769">
        <v>-0.2967224</v>
      </c>
      <c r="V4769">
        <v>2.4997640000000002E-2</v>
      </c>
      <c r="W4769">
        <v>0.2051876</v>
      </c>
      <c r="X4769">
        <v>0.97840340000000003</v>
      </c>
      <c r="Y4769">
        <v>0.13360079999999999</v>
      </c>
      <c r="Z4769">
        <v>-3.3171139999999999E-3</v>
      </c>
      <c r="AA4769">
        <v>0.99102970000000001</v>
      </c>
      <c r="AB4769">
        <v>34</v>
      </c>
      <c r="AC4769">
        <v>37.693100000000001</v>
      </c>
      <c r="AD4769">
        <v>-1.1214246650090001</v>
      </c>
      <c r="AE4769">
        <v>-3.6731699999999901</v>
      </c>
      <c r="AF4769">
        <v>5.1026900442473098</v>
      </c>
      <c r="AG4769">
        <v>-1.1214246650090001</v>
      </c>
      <c r="AH4769">
        <v>37.4928344808446</v>
      </c>
      <c r="AI4769">
        <v>91.697586920426801</v>
      </c>
      <c r="AJ4769">
        <v>82.249791126291299</v>
      </c>
      <c r="AK4769">
        <v>37.855087853219402</v>
      </c>
      <c r="AL4769">
        <v>78.159519086467597</v>
      </c>
      <c r="AM4769">
        <v>88.536444430676397</v>
      </c>
      <c r="AN4769">
        <v>1.00000002316544</v>
      </c>
    </row>
    <row r="4770" spans="1:40" x14ac:dyDescent="0.25">
      <c r="A4770" t="str">
        <f>"20190303171111494"</f>
        <v>20190303171111494</v>
      </c>
      <c r="B4770" t="str">
        <f>"1551604271485277"</f>
        <v>1551604271485277</v>
      </c>
      <c r="C4770" t="s">
        <v>40</v>
      </c>
      <c r="D4770">
        <v>4.7845659999999999</v>
      </c>
      <c r="E4770">
        <v>0.54730990000000002</v>
      </c>
      <c r="F4770" t="s">
        <v>42</v>
      </c>
      <c r="G4770">
        <v>-324.44830000000002</v>
      </c>
      <c r="H4770" s="1">
        <v>-3.8889710000000002E-6</v>
      </c>
      <c r="I4770">
        <v>12.95346</v>
      </c>
      <c r="J4770">
        <v>-362.30700000000002</v>
      </c>
      <c r="K4770">
        <v>1.121443</v>
      </c>
      <c r="L4770">
        <v>16.743010000000002</v>
      </c>
      <c r="M4770">
        <v>0.99920509999999996</v>
      </c>
      <c r="N4770">
        <v>-8.3047889999999999E-3</v>
      </c>
      <c r="O4770">
        <v>3.8992249999999999E-2</v>
      </c>
      <c r="P4770">
        <v>0.98033170000000003</v>
      </c>
      <c r="Q4770">
        <v>0.19702520000000001</v>
      </c>
      <c r="R4770">
        <v>1.144502E-2</v>
      </c>
      <c r="S4770">
        <v>3.0823360000000002</v>
      </c>
      <c r="T4770">
        <v>-9.0474369999999998E-2</v>
      </c>
      <c r="U4770">
        <v>-0.30459589999999998</v>
      </c>
      <c r="V4770">
        <v>2.6372840000000002E-2</v>
      </c>
      <c r="W4770">
        <v>0.2052118</v>
      </c>
      <c r="X4770">
        <v>0.97836219999999996</v>
      </c>
      <c r="Y4770">
        <v>0.13698689999999999</v>
      </c>
      <c r="Z4770">
        <v>-3.3944460000000002E-3</v>
      </c>
      <c r="AA4770">
        <v>0.99056699999999998</v>
      </c>
      <c r="AB4770">
        <v>34</v>
      </c>
      <c r="AC4770">
        <v>37.858699999999899</v>
      </c>
      <c r="AD4770">
        <v>-1.1214468889710001</v>
      </c>
      <c r="AE4770">
        <v>-3.7895500000000002</v>
      </c>
      <c r="AF4770">
        <v>5.2583463531015697</v>
      </c>
      <c r="AG4770">
        <v>-1.1214468889710001</v>
      </c>
      <c r="AH4770">
        <v>37.649430755652098</v>
      </c>
      <c r="AI4770">
        <v>91.689748120870803</v>
      </c>
      <c r="AJ4770">
        <v>82.049157956552904</v>
      </c>
      <c r="AK4770">
        <v>38.0314013115294</v>
      </c>
      <c r="AL4770">
        <v>78.158102126684696</v>
      </c>
      <c r="AM4770">
        <v>88.455902535601993</v>
      </c>
      <c r="AN4770">
        <v>1.00000000196887</v>
      </c>
    </row>
    <row r="4771" spans="1:40" x14ac:dyDescent="0.25">
      <c r="A4771" t="str">
        <f>"20190303171111507"</f>
        <v>20190303171111507</v>
      </c>
      <c r="B4771" t="str">
        <f>"1551604271496013"</f>
        <v>1551604271496013</v>
      </c>
      <c r="C4771" t="s">
        <v>40</v>
      </c>
      <c r="D4771">
        <v>4.772856</v>
      </c>
      <c r="E4771">
        <v>0.54748869999999905</v>
      </c>
      <c r="F4771" t="s">
        <v>42</v>
      </c>
      <c r="G4771">
        <v>-324.33159999999998</v>
      </c>
      <c r="H4771" s="1">
        <v>-3.9381849999999996E-6</v>
      </c>
      <c r="I4771">
        <v>12.93694</v>
      </c>
      <c r="J4771">
        <v>-362.10309999999998</v>
      </c>
      <c r="K4771">
        <v>1.121453</v>
      </c>
      <c r="L4771">
        <v>16.7515</v>
      </c>
      <c r="M4771">
        <v>0.99918379999999996</v>
      </c>
      <c r="N4771">
        <v>-8.5187649999999993E-3</v>
      </c>
      <c r="O4771">
        <v>3.9487460000000002E-2</v>
      </c>
      <c r="P4771">
        <v>0.9804022</v>
      </c>
      <c r="Q4771">
        <v>0.19668579999999999</v>
      </c>
      <c r="R4771">
        <v>1.123364E-2</v>
      </c>
      <c r="S4771">
        <v>3.0820620000000001</v>
      </c>
      <c r="T4771">
        <v>-9.1016050000000001E-2</v>
      </c>
      <c r="U4771">
        <v>-0.30889889999999998</v>
      </c>
      <c r="V4771">
        <v>2.7082459999999999E-2</v>
      </c>
      <c r="W4771">
        <v>0.20508199999999999</v>
      </c>
      <c r="X4771">
        <v>0.97836999999999996</v>
      </c>
      <c r="Y4771">
        <v>0.13885339999999999</v>
      </c>
      <c r="Z4771">
        <v>-3.4656349999999999E-3</v>
      </c>
      <c r="AA4771">
        <v>0.99030689999999999</v>
      </c>
      <c r="AB4771">
        <v>34</v>
      </c>
      <c r="AC4771">
        <v>37.771500000000003</v>
      </c>
      <c r="AD4771">
        <v>-1.1214569381849999</v>
      </c>
      <c r="AE4771">
        <v>-3.81455999999999</v>
      </c>
      <c r="AF4771">
        <v>5.2985156858231104</v>
      </c>
      <c r="AG4771">
        <v>-1.1214569381849999</v>
      </c>
      <c r="AH4771">
        <v>37.558631085854401</v>
      </c>
      <c r="AI4771">
        <v>91.693518070613294</v>
      </c>
      <c r="AJ4771">
        <v>81.970091596939497</v>
      </c>
      <c r="AK4771">
        <v>37.947104015727298</v>
      </c>
      <c r="AL4771">
        <v>78.165700367912194</v>
      </c>
      <c r="AM4771">
        <v>88.414388721385507</v>
      </c>
      <c r="AN4771">
        <v>0.99999997163182497</v>
      </c>
    </row>
    <row r="4772" spans="1:40" x14ac:dyDescent="0.25">
      <c r="A4772" t="str">
        <f>"20190303171111526"</f>
        <v>20190303171111526</v>
      </c>
      <c r="B4772" t="str">
        <f>"1551604271515534"</f>
        <v>1551604271515534</v>
      </c>
      <c r="C4772" t="s">
        <v>40</v>
      </c>
      <c r="D4772">
        <v>4.753037</v>
      </c>
      <c r="E4772">
        <v>0.54787169999999996</v>
      </c>
      <c r="F4772" t="s">
        <v>42</v>
      </c>
      <c r="G4772">
        <v>-324.48809999999997</v>
      </c>
      <c r="H4772" s="1">
        <v>-3.8720850000000004E-6</v>
      </c>
      <c r="I4772">
        <v>12.95946</v>
      </c>
      <c r="J4772">
        <v>-361.82429999999999</v>
      </c>
      <c r="K4772">
        <v>1.1214630000000001</v>
      </c>
      <c r="L4772">
        <v>16.763179999999998</v>
      </c>
      <c r="M4772">
        <v>0.99915500000000002</v>
      </c>
      <c r="N4772">
        <v>-8.8102849999999993E-3</v>
      </c>
      <c r="O4772">
        <v>4.014388E-2</v>
      </c>
      <c r="P4772">
        <v>0.98054649999999999</v>
      </c>
      <c r="Q4772">
        <v>0.19598499999999999</v>
      </c>
      <c r="R4772">
        <v>1.0897260000000001E-2</v>
      </c>
      <c r="S4772">
        <v>3.0819700000000001</v>
      </c>
      <c r="T4772">
        <v>-9.1886280000000001E-2</v>
      </c>
      <c r="U4772">
        <v>-0.31069950000000002</v>
      </c>
      <c r="V4772">
        <v>2.8082099999999902E-2</v>
      </c>
      <c r="W4772">
        <v>0.20466809999999999</v>
      </c>
      <c r="X4772">
        <v>0.97842850000000003</v>
      </c>
      <c r="Y4772">
        <v>0.1400769</v>
      </c>
      <c r="Z4772">
        <v>-3.5425040000000001E-3</v>
      </c>
      <c r="AA4772">
        <v>0.99013430000000002</v>
      </c>
      <c r="AB4772">
        <v>34</v>
      </c>
      <c r="AC4772">
        <v>37.336199999999998</v>
      </c>
      <c r="AD4772">
        <v>-1.1214668720849901</v>
      </c>
      <c r="AE4772">
        <v>-3.80371999999999</v>
      </c>
      <c r="AF4772">
        <v>5.2948038171074501</v>
      </c>
      <c r="AG4772">
        <v>-1.1214668720849901</v>
      </c>
      <c r="AH4772">
        <v>37.120252667326902</v>
      </c>
      <c r="AI4772">
        <v>91.713148408737595</v>
      </c>
      <c r="AJ4772">
        <v>81.882134462995197</v>
      </c>
      <c r="AK4772">
        <v>37.512741748544997</v>
      </c>
      <c r="AL4772">
        <v>78.189929157855801</v>
      </c>
      <c r="AM4772">
        <v>88.355992060971005</v>
      </c>
      <c r="AN4772">
        <v>0.999999982555134</v>
      </c>
    </row>
    <row r="4773" spans="1:40" x14ac:dyDescent="0.25">
      <c r="A4773" t="str">
        <f>"20190303171111538"</f>
        <v>20190303171111538</v>
      </c>
      <c r="B4773" t="str">
        <f>"1551604271525294"</f>
        <v>1551604271525294</v>
      </c>
      <c r="C4773" t="s">
        <v>40</v>
      </c>
      <c r="D4773">
        <v>4.7019190000000002</v>
      </c>
      <c r="E4773">
        <v>0.54808979999999996</v>
      </c>
      <c r="F4773" t="s">
        <v>42</v>
      </c>
      <c r="G4773">
        <v>-324.73309999999998</v>
      </c>
      <c r="H4773" s="1">
        <v>-3.7740510000000001E-6</v>
      </c>
      <c r="I4773">
        <v>12.97433</v>
      </c>
      <c r="J4773">
        <v>-361.62740000000002</v>
      </c>
      <c r="K4773">
        <v>1.121467</v>
      </c>
      <c r="L4773">
        <v>16.771509999999999</v>
      </c>
      <c r="M4773">
        <v>0.99913510000000005</v>
      </c>
      <c r="N4773">
        <v>-9.012539E-3</v>
      </c>
      <c r="O4773">
        <v>4.0593150000000001E-2</v>
      </c>
      <c r="P4773">
        <v>0.98061609999999999</v>
      </c>
      <c r="Q4773">
        <v>0.1956146</v>
      </c>
      <c r="R4773">
        <v>1.1264949999999999E-2</v>
      </c>
      <c r="S4773">
        <v>3.0816349999999999</v>
      </c>
      <c r="T4773">
        <v>-9.3174460000000001E-2</v>
      </c>
      <c r="U4773">
        <v>-0.31478879999999998</v>
      </c>
      <c r="V4773">
        <v>2.816892E-2</v>
      </c>
      <c r="W4773">
        <v>0.20449439999999999</v>
      </c>
      <c r="X4773">
        <v>0.97846230000000001</v>
      </c>
      <c r="Y4773">
        <v>0.1418295</v>
      </c>
      <c r="Z4773">
        <v>-3.6386029999999998E-3</v>
      </c>
      <c r="AA4773">
        <v>0.9898844</v>
      </c>
      <c r="AB4773">
        <v>34</v>
      </c>
      <c r="AC4773">
        <v>36.894300000000001</v>
      </c>
      <c r="AD4773">
        <v>-1.1214707740509999</v>
      </c>
      <c r="AE4773">
        <v>-3.7971799999999898</v>
      </c>
      <c r="AF4773">
        <v>5.2869328909454403</v>
      </c>
      <c r="AG4773">
        <v>-1.1214707740509999</v>
      </c>
      <c r="AH4773">
        <v>36.676209470599801</v>
      </c>
      <c r="AI4773">
        <v>91.733514967469503</v>
      </c>
      <c r="AJ4773">
        <v>81.797229383421893</v>
      </c>
      <c r="AK4773">
        <v>37.072276666286903</v>
      </c>
      <c r="AL4773">
        <v>78.200096209242702</v>
      </c>
      <c r="AM4773">
        <v>88.3509691021235</v>
      </c>
      <c r="AN4773">
        <v>0.99999996010330705</v>
      </c>
    </row>
    <row r="4774" spans="1:40" x14ac:dyDescent="0.25">
      <c r="A4774" t="str">
        <f>"20190303171111550"</f>
        <v>20190303171111550</v>
      </c>
      <c r="B4774" t="str">
        <f>"1551604271536030"</f>
        <v>1551604271536030</v>
      </c>
      <c r="C4774" t="s">
        <v>40</v>
      </c>
      <c r="D4774">
        <v>4.730702</v>
      </c>
      <c r="E4774">
        <v>0.54827199999999998</v>
      </c>
      <c r="F4774" t="s">
        <v>42</v>
      </c>
      <c r="G4774">
        <v>-324.70740000000001</v>
      </c>
      <c r="H4774" s="1">
        <v>-3.7793879999999999E-6</v>
      </c>
      <c r="I4774">
        <v>12.99136</v>
      </c>
      <c r="J4774">
        <v>-361.44940000000003</v>
      </c>
      <c r="K4774">
        <v>1.1214679999999999</v>
      </c>
      <c r="L4774">
        <v>16.779139999999899</v>
      </c>
      <c r="M4774">
        <v>0.99911760000000005</v>
      </c>
      <c r="N4774">
        <v>-9.1886450000000005E-3</v>
      </c>
      <c r="O4774">
        <v>4.0984739999999999E-2</v>
      </c>
      <c r="P4774">
        <v>0.98067969999999904</v>
      </c>
      <c r="Q4774">
        <v>0.19528809999999999</v>
      </c>
      <c r="R4774">
        <v>1.1412E-2</v>
      </c>
      <c r="S4774">
        <v>3.0816349999999999</v>
      </c>
      <c r="T4774">
        <v>-9.3606709999999996E-2</v>
      </c>
      <c r="U4774">
        <v>-0.3155212</v>
      </c>
      <c r="V4774">
        <v>2.841838E-2</v>
      </c>
      <c r="W4774">
        <v>0.20433999999999999</v>
      </c>
      <c r="X4774">
        <v>0.97848740000000001</v>
      </c>
      <c r="Y4774">
        <v>0.14244879999999999</v>
      </c>
      <c r="Z4774">
        <v>-3.6800819999999999E-3</v>
      </c>
      <c r="AA4774">
        <v>0.98979530000000004</v>
      </c>
      <c r="AB4774">
        <v>34</v>
      </c>
      <c r="AC4774">
        <v>36.741999999999997</v>
      </c>
      <c r="AD4774">
        <v>-1.121471779388</v>
      </c>
      <c r="AE4774">
        <v>-3.7877799999999899</v>
      </c>
      <c r="AF4774">
        <v>5.2856493359121597</v>
      </c>
      <c r="AG4774">
        <v>-1.121471779388</v>
      </c>
      <c r="AH4774">
        <v>36.522210071108198</v>
      </c>
      <c r="AI4774">
        <v>91.740680610004205</v>
      </c>
      <c r="AJ4774">
        <v>81.765087539702293</v>
      </c>
      <c r="AK4774">
        <v>36.919745615758899</v>
      </c>
      <c r="AL4774">
        <v>78.209134178740001</v>
      </c>
      <c r="AM4774">
        <v>88.3364163377192</v>
      </c>
      <c r="AN4774">
        <v>1.00000001594029</v>
      </c>
    </row>
    <row r="4775" spans="1:40" x14ac:dyDescent="0.25">
      <c r="A4775" t="str">
        <f>"20190303171111562"</f>
        <v>20190303171111562</v>
      </c>
      <c r="B4775" t="str">
        <f>"1551604271545789"</f>
        <v>1551604271545789</v>
      </c>
      <c r="C4775" t="s">
        <v>40</v>
      </c>
      <c r="D4775">
        <v>4.7011409999999998</v>
      </c>
      <c r="E4775">
        <v>0.54842360000000001</v>
      </c>
      <c r="F4775" t="s">
        <v>42</v>
      </c>
      <c r="G4775">
        <v>-324.75479999999999</v>
      </c>
      <c r="H4775" s="1">
        <v>-3.756247E-6</v>
      </c>
      <c r="I4775">
        <v>13.009969999999999</v>
      </c>
      <c r="J4775">
        <v>-361.27420000000001</v>
      </c>
      <c r="K4775">
        <v>1.121451</v>
      </c>
      <c r="L4775">
        <v>16.786770000000001</v>
      </c>
      <c r="M4775">
        <v>0.99911150000000004</v>
      </c>
      <c r="N4775">
        <v>-9.2541940000000003E-3</v>
      </c>
      <c r="O4775">
        <v>4.1116519999999997E-2</v>
      </c>
      <c r="P4775">
        <v>0.98071390000000003</v>
      </c>
      <c r="Q4775">
        <v>0.19513349999999999</v>
      </c>
      <c r="R4775">
        <v>1.110936E-2</v>
      </c>
      <c r="S4775">
        <v>3.0815429999999999</v>
      </c>
      <c r="T4775">
        <v>-9.4179029999999997E-2</v>
      </c>
      <c r="U4775">
        <v>-0.31652829999999998</v>
      </c>
      <c r="V4775">
        <v>2.885395E-2</v>
      </c>
      <c r="W4775">
        <v>0.2042504</v>
      </c>
      <c r="X4775">
        <v>0.97849330000000001</v>
      </c>
      <c r="Y4775">
        <v>0.142901</v>
      </c>
      <c r="Z4775">
        <v>-3.7147170000000002E-3</v>
      </c>
      <c r="AA4775">
        <v>0.98973</v>
      </c>
      <c r="AB4775">
        <v>34</v>
      </c>
      <c r="AC4775">
        <v>36.519399999999997</v>
      </c>
      <c r="AD4775">
        <v>-1.1214547562469901</v>
      </c>
      <c r="AE4775">
        <v>-3.7768000000000002</v>
      </c>
      <c r="AF4775">
        <v>5.27030349488928</v>
      </c>
      <c r="AG4775">
        <v>-1.1214547562469901</v>
      </c>
      <c r="AH4775">
        <v>36.299351097024299</v>
      </c>
      <c r="AI4775">
        <v>91.751218537133795</v>
      </c>
      <c r="AJ4775">
        <v>81.7389499337784</v>
      </c>
      <c r="AK4775">
        <v>36.697093205914697</v>
      </c>
      <c r="AL4775">
        <v>78.214377784707807</v>
      </c>
      <c r="AM4775">
        <v>88.310943341120407</v>
      </c>
      <c r="AN4775">
        <v>0.99999995723782498</v>
      </c>
    </row>
    <row r="4776" spans="1:40" x14ac:dyDescent="0.25">
      <c r="A4776" t="str">
        <f>"20190303171111574"</f>
        <v>20190303171111574</v>
      </c>
      <c r="B4776" t="str">
        <f>"1551604271565310"</f>
        <v>1551604271565310</v>
      </c>
      <c r="C4776" t="s">
        <v>40</v>
      </c>
      <c r="D4776">
        <v>4.6817769999999896</v>
      </c>
      <c r="E4776">
        <v>0.5487069</v>
      </c>
      <c r="F4776" t="s">
        <v>42</v>
      </c>
      <c r="G4776">
        <v>-324.71539999999999</v>
      </c>
      <c r="H4776" s="1">
        <v>-3.771547E-6</v>
      </c>
      <c r="I4776">
        <v>13.009309999999999</v>
      </c>
      <c r="J4776">
        <v>-361.07929999999999</v>
      </c>
      <c r="K4776">
        <v>1.1214150000000001</v>
      </c>
      <c r="L4776">
        <v>16.795349999999999</v>
      </c>
      <c r="M4776">
        <v>0.9991177</v>
      </c>
      <c r="N4776">
        <v>-9.2055709999999992E-3</v>
      </c>
      <c r="O4776">
        <v>4.0977149999999997E-2</v>
      </c>
      <c r="P4776">
        <v>0.98072999999999999</v>
      </c>
      <c r="Q4776">
        <v>0.19509789999999999</v>
      </c>
      <c r="R4776">
        <v>1.028111E-2</v>
      </c>
      <c r="S4776">
        <v>3.0814210000000002</v>
      </c>
      <c r="T4776">
        <v>-9.4523549999999998E-2</v>
      </c>
      <c r="U4776">
        <v>-0.3183899</v>
      </c>
      <c r="V4776">
        <v>2.9540540000000001E-2</v>
      </c>
      <c r="W4776">
        <v>0.20416909999999999</v>
      </c>
      <c r="X4776">
        <v>0.97848979999999997</v>
      </c>
      <c r="Y4776">
        <v>0.1433577</v>
      </c>
      <c r="Z4776">
        <v>-3.7319470000000002E-3</v>
      </c>
      <c r="AA4776">
        <v>0.98966390000000004</v>
      </c>
      <c r="AB4776">
        <v>34</v>
      </c>
      <c r="AC4776">
        <v>36.363900000000001</v>
      </c>
      <c r="AD4776">
        <v>-1.1214187715469901</v>
      </c>
      <c r="AE4776">
        <v>-3.7860399999999901</v>
      </c>
      <c r="AF4776">
        <v>5.2680555068211303</v>
      </c>
      <c r="AG4776">
        <v>-1.1214187715469901</v>
      </c>
      <c r="AH4776">
        <v>36.1442014466421</v>
      </c>
      <c r="AI4776">
        <v>91.758534101714304</v>
      </c>
      <c r="AJ4776">
        <v>81.707471093362798</v>
      </c>
      <c r="AK4776">
        <v>36.543307008254899</v>
      </c>
      <c r="AL4776">
        <v>78.219136439019096</v>
      </c>
      <c r="AM4776">
        <v>88.270769574336299</v>
      </c>
      <c r="AN4776">
        <v>0.99999997680117003</v>
      </c>
    </row>
    <row r="4777" spans="1:40" x14ac:dyDescent="0.25">
      <c r="A4777" t="str">
        <f>"20190303171111593"</f>
        <v>20190303171111593</v>
      </c>
      <c r="B4777" t="str">
        <f>"1551604271585805"</f>
        <v>1551604271585805</v>
      </c>
      <c r="C4777" t="s">
        <v>40</v>
      </c>
      <c r="D4777">
        <v>4.6796860000000002</v>
      </c>
      <c r="E4777">
        <v>0.54897790000000002</v>
      </c>
      <c r="F4777" t="s">
        <v>42</v>
      </c>
      <c r="G4777">
        <v>-324.29020000000003</v>
      </c>
      <c r="H4777" s="1">
        <v>-3.9538339999999998E-6</v>
      </c>
      <c r="I4777">
        <v>12.937849999999999</v>
      </c>
      <c r="J4777">
        <v>-360.7989</v>
      </c>
      <c r="K4777">
        <v>1.1213059999999999</v>
      </c>
      <c r="L4777">
        <v>16.80771</v>
      </c>
      <c r="M4777">
        <v>0.99909650000000005</v>
      </c>
      <c r="N4777">
        <v>-9.7215270000000006E-3</v>
      </c>
      <c r="O4777">
        <v>4.1376540000000003E-2</v>
      </c>
      <c r="P4777">
        <v>0.98087559999999996</v>
      </c>
      <c r="Q4777">
        <v>0.1943793</v>
      </c>
      <c r="R4777">
        <v>1.0000159999999999E-2</v>
      </c>
      <c r="S4777">
        <v>3.0810240000000002</v>
      </c>
      <c r="T4777">
        <v>-9.3917009999999995E-2</v>
      </c>
      <c r="U4777">
        <v>-0.32305909999999999</v>
      </c>
      <c r="V4777">
        <v>3.0301720000000001E-2</v>
      </c>
      <c r="W4777">
        <v>0.2039455</v>
      </c>
      <c r="X4777">
        <v>0.97851319999999997</v>
      </c>
      <c r="Y4777">
        <v>0.1452493</v>
      </c>
      <c r="Z4777">
        <v>-3.7723679999999999E-3</v>
      </c>
      <c r="AA4777">
        <v>0.98938789999999999</v>
      </c>
      <c r="AB4777">
        <v>34</v>
      </c>
      <c r="AC4777">
        <v>36.508699999999898</v>
      </c>
      <c r="AD4777">
        <v>-1.1213099538339999</v>
      </c>
      <c r="AE4777">
        <v>-3.8698600000000001</v>
      </c>
      <c r="AF4777">
        <v>5.3722090470277202</v>
      </c>
      <c r="AG4777">
        <v>-1.1213099538339999</v>
      </c>
      <c r="AH4777">
        <v>36.283456345016603</v>
      </c>
      <c r="AI4777">
        <v>91.751037534568695</v>
      </c>
      <c r="AJ4777">
        <v>81.577848698249099</v>
      </c>
      <c r="AK4777">
        <v>36.696146533365898</v>
      </c>
      <c r="AL4777">
        <v>78.232223671683499</v>
      </c>
      <c r="AM4777">
        <v>88.226282469509201</v>
      </c>
      <c r="AN4777">
        <v>1.00000002188972</v>
      </c>
    </row>
    <row r="4778" spans="1:40" x14ac:dyDescent="0.25">
      <c r="A4778" t="str">
        <f>"20190303171111605"</f>
        <v>20190303171111605</v>
      </c>
      <c r="B4778" t="str">
        <f>"1551604271595565"</f>
        <v>1551604271595565</v>
      </c>
      <c r="C4778" t="s">
        <v>40</v>
      </c>
      <c r="D4778">
        <v>4.6772799999999997</v>
      </c>
      <c r="E4778">
        <v>0.54912139999999998</v>
      </c>
      <c r="F4778" t="s">
        <v>42</v>
      </c>
      <c r="G4778">
        <v>-324.60230000000001</v>
      </c>
      <c r="H4778" s="1">
        <v>-3.8228299999999996E-6</v>
      </c>
      <c r="I4778">
        <v>12.97973</v>
      </c>
      <c r="J4778">
        <v>-360.62479999999999</v>
      </c>
      <c r="K4778">
        <v>1.121186</v>
      </c>
      <c r="L4778">
        <v>16.8154</v>
      </c>
      <c r="M4778">
        <v>0.99906779999999995</v>
      </c>
      <c r="N4778">
        <v>-1.006189E-2</v>
      </c>
      <c r="O4778">
        <v>4.1980089999999998E-2</v>
      </c>
      <c r="P4778">
        <v>0.98096839999999996</v>
      </c>
      <c r="Q4778">
        <v>0.19389719999999999</v>
      </c>
      <c r="R4778">
        <v>1.0248520000000001E-2</v>
      </c>
      <c r="S4778">
        <v>3.0807500000000001</v>
      </c>
      <c r="T4778">
        <v>-9.5436450000000006E-2</v>
      </c>
      <c r="U4778">
        <v>-0.32580569999999998</v>
      </c>
      <c r="V4778">
        <v>3.0723179999999999E-2</v>
      </c>
      <c r="W4778">
        <v>0.20378679999999999</v>
      </c>
      <c r="X4778">
        <v>0.97853310000000004</v>
      </c>
      <c r="Y4778">
        <v>0.14672399999999999</v>
      </c>
      <c r="Z4778">
        <v>-3.8821900000000002E-3</v>
      </c>
      <c r="AA4778">
        <v>0.98916979999999999</v>
      </c>
      <c r="AB4778">
        <v>34</v>
      </c>
      <c r="AC4778">
        <v>36.022499999999901</v>
      </c>
      <c r="AD4778">
        <v>-1.1211898228299999</v>
      </c>
      <c r="AE4778">
        <v>-3.8356699999999999</v>
      </c>
      <c r="AF4778">
        <v>5.3394780151541497</v>
      </c>
      <c r="AG4778">
        <v>-1.1211898228299999</v>
      </c>
      <c r="AH4778">
        <v>35.795423166407303</v>
      </c>
      <c r="AI4778">
        <v>91.774421150374906</v>
      </c>
      <c r="AJ4778">
        <v>81.515945217435799</v>
      </c>
      <c r="AK4778">
        <v>36.208830577019498</v>
      </c>
      <c r="AL4778">
        <v>78.241511316473407</v>
      </c>
      <c r="AM4778">
        <v>88.201664857595702</v>
      </c>
      <c r="AN4778">
        <v>1.00000000071958</v>
      </c>
    </row>
    <row r="4779" spans="1:40" x14ac:dyDescent="0.25">
      <c r="A4779" t="str">
        <f>"20190303171111627"</f>
        <v>20190303171111627</v>
      </c>
      <c r="B4779" t="str">
        <f>"1551604271615085"</f>
        <v>1551604271615085</v>
      </c>
      <c r="C4779" t="s">
        <v>40</v>
      </c>
      <c r="D4779">
        <v>4.6798500000000001</v>
      </c>
      <c r="E4779">
        <v>0.54941960000000001</v>
      </c>
      <c r="F4779" t="s">
        <v>42</v>
      </c>
      <c r="G4779">
        <v>-324.7953</v>
      </c>
      <c r="H4779" s="1">
        <v>-3.737821E-6</v>
      </c>
      <c r="I4779">
        <v>13.020799999999999</v>
      </c>
      <c r="J4779">
        <v>-360.2937</v>
      </c>
      <c r="K4779">
        <v>1.1209559999999901</v>
      </c>
      <c r="L4779">
        <v>16.82996</v>
      </c>
      <c r="M4779">
        <v>0.99900710000000004</v>
      </c>
      <c r="N4779">
        <v>-1.051244E-2</v>
      </c>
      <c r="O4779">
        <v>4.3294050000000001E-2</v>
      </c>
      <c r="P4779">
        <v>0.98111369999999998</v>
      </c>
      <c r="Q4779">
        <v>0.19309490000000001</v>
      </c>
      <c r="R4779">
        <v>1.1424800000000001E-2</v>
      </c>
      <c r="S4779">
        <v>3.0806580000000001</v>
      </c>
      <c r="T4779">
        <v>-9.6400979999999997E-2</v>
      </c>
      <c r="U4779">
        <v>-0.32626339999999998</v>
      </c>
      <c r="V4779">
        <v>3.0955400000000001E-2</v>
      </c>
      <c r="W4779">
        <v>0.20341010000000001</v>
      </c>
      <c r="X4779">
        <v>0.97860409999999998</v>
      </c>
      <c r="Y4779">
        <v>0.14816960000000001</v>
      </c>
      <c r="Z4779">
        <v>-3.9899979999999998E-3</v>
      </c>
      <c r="AA4779">
        <v>0.98895390000000005</v>
      </c>
      <c r="AB4779">
        <v>34</v>
      </c>
      <c r="AC4779">
        <v>35.498399999999997</v>
      </c>
      <c r="AD4779">
        <v>-1.1209597378209999</v>
      </c>
      <c r="AE4779">
        <v>-3.8091599999999999</v>
      </c>
      <c r="AF4779">
        <v>5.3372809004504402</v>
      </c>
      <c r="AG4779">
        <v>-1.1209597378209999</v>
      </c>
      <c r="AH4779">
        <v>35.265424211909298</v>
      </c>
      <c r="AI4779">
        <v>91.800125663405097</v>
      </c>
      <c r="AJ4779">
        <v>81.393826211810506</v>
      </c>
      <c r="AK4779">
        <v>35.684636231718102</v>
      </c>
      <c r="AL4779">
        <v>78.263555719545707</v>
      </c>
      <c r="AM4779">
        <v>88.188212607059</v>
      </c>
      <c r="AN4779">
        <v>0.99999994505398804</v>
      </c>
    </row>
    <row r="4780" spans="1:40" x14ac:dyDescent="0.25">
      <c r="A4780" t="str">
        <f>"20190303171111640"</f>
        <v>20190303171111640</v>
      </c>
      <c r="B4780" t="str">
        <f>"1551604271625822"</f>
        <v>1551604271625822</v>
      </c>
      <c r="C4780" t="s">
        <v>40</v>
      </c>
      <c r="D4780">
        <v>4.6773230000000003</v>
      </c>
      <c r="E4780">
        <v>0.54955039999999999</v>
      </c>
      <c r="F4780" t="s">
        <v>42</v>
      </c>
      <c r="G4780">
        <v>-324.81490000000002</v>
      </c>
      <c r="H4780" s="1">
        <v>-3.7140890000000001E-6</v>
      </c>
      <c r="I4780">
        <v>13.08164</v>
      </c>
      <c r="J4780">
        <v>-360.10419999999999</v>
      </c>
      <c r="K4780">
        <v>1.120865</v>
      </c>
      <c r="L4780">
        <v>16.838349999999998</v>
      </c>
      <c r="M4780">
        <v>0.99897740000000002</v>
      </c>
      <c r="N4780">
        <v>-1.064258E-2</v>
      </c>
      <c r="O4780">
        <v>4.394356E-2</v>
      </c>
      <c r="P4780">
        <v>0.98120779999999996</v>
      </c>
      <c r="Q4780">
        <v>0.19257550000000001</v>
      </c>
      <c r="R4780">
        <v>1.2080560000000001E-2</v>
      </c>
      <c r="S4780">
        <v>3.0806580000000001</v>
      </c>
      <c r="T4780">
        <v>-9.7333909999999996E-2</v>
      </c>
      <c r="U4780">
        <v>-0.32546999999999998</v>
      </c>
      <c r="V4780">
        <v>3.0968800000000001E-2</v>
      </c>
      <c r="W4780">
        <v>0.20301559999999999</v>
      </c>
      <c r="X4780">
        <v>0.97868569999999999</v>
      </c>
      <c r="Y4780">
        <v>0.1485582</v>
      </c>
      <c r="Z4780">
        <v>-4.0512909999999899E-3</v>
      </c>
      <c r="AA4780">
        <v>0.98889539999999998</v>
      </c>
      <c r="AB4780">
        <v>34</v>
      </c>
      <c r="AC4780">
        <v>35.289299999999898</v>
      </c>
      <c r="AD4780">
        <v>-1.1208687140889999</v>
      </c>
      <c r="AE4780">
        <v>-3.7567099999999898</v>
      </c>
      <c r="AF4780">
        <v>5.2986202773638604</v>
      </c>
      <c r="AG4780">
        <v>-1.1208687140889999</v>
      </c>
      <c r="AH4780">
        <v>35.055145828933099</v>
      </c>
      <c r="AI4780">
        <v>91.810821780037401</v>
      </c>
      <c r="AJ4780">
        <v>81.404749141259899</v>
      </c>
      <c r="AK4780">
        <v>35.471044143155503</v>
      </c>
      <c r="AL4780">
        <v>78.286641826733501</v>
      </c>
      <c r="AM4780">
        <v>88.1875798682142</v>
      </c>
      <c r="AN4780">
        <v>1.0000000499006401</v>
      </c>
    </row>
    <row r="4781" spans="1:40" x14ac:dyDescent="0.25">
      <c r="A4781" t="str">
        <f>"20190303171111654"</f>
        <v>20190303171111654</v>
      </c>
      <c r="B4781" t="str">
        <f>"1551604271645342"</f>
        <v>1551604271645342</v>
      </c>
      <c r="C4781" t="s">
        <v>40</v>
      </c>
      <c r="D4781">
        <v>4.6612689999999999</v>
      </c>
      <c r="E4781">
        <v>0.54980580000000001</v>
      </c>
      <c r="F4781" t="s">
        <v>42</v>
      </c>
      <c r="G4781">
        <v>-325.03660000000002</v>
      </c>
      <c r="H4781" s="1">
        <v>-3.612733E-6</v>
      </c>
      <c r="I4781">
        <v>13.142659999999999</v>
      </c>
      <c r="J4781">
        <v>-359.88339999999999</v>
      </c>
      <c r="K4781">
        <v>1.1208370000000001</v>
      </c>
      <c r="L4781">
        <v>16.848210000000002</v>
      </c>
      <c r="M4781">
        <v>0.99895480000000003</v>
      </c>
      <c r="N4781">
        <v>-1.075138E-2</v>
      </c>
      <c r="O4781">
        <v>4.4429219999999998E-2</v>
      </c>
      <c r="P4781">
        <v>0.98124900000000004</v>
      </c>
      <c r="Q4781">
        <v>0.1923424</v>
      </c>
      <c r="R4781">
        <v>1.245275E-2</v>
      </c>
      <c r="S4781">
        <v>3.0807799999999999</v>
      </c>
      <c r="T4781">
        <v>-9.8471160000000002E-2</v>
      </c>
      <c r="U4781">
        <v>-0.32467649999999998</v>
      </c>
      <c r="V4781">
        <v>3.1061450000000001E-2</v>
      </c>
      <c r="W4781">
        <v>0.2028913</v>
      </c>
      <c r="X4781">
        <v>0.97870849999999998</v>
      </c>
      <c r="Y4781">
        <v>0.14878029999999901</v>
      </c>
      <c r="Z4781">
        <v>-4.1130330000000003E-3</v>
      </c>
      <c r="AA4781">
        <v>0.98886169999999995</v>
      </c>
      <c r="AB4781">
        <v>34</v>
      </c>
      <c r="AC4781">
        <v>34.846799999999902</v>
      </c>
      <c r="AD4781">
        <v>-1.120840612733</v>
      </c>
      <c r="AE4781">
        <v>-3.7055500000000001</v>
      </c>
      <c r="AF4781">
        <v>5.2448304241617203</v>
      </c>
      <c r="AG4781">
        <v>-1.120840612733</v>
      </c>
      <c r="AH4781">
        <v>34.612333174954898</v>
      </c>
      <c r="AI4781">
        <v>91.833823899838904</v>
      </c>
      <c r="AJ4781">
        <v>81.383482000304198</v>
      </c>
      <c r="AK4781">
        <v>35.025392755420299</v>
      </c>
      <c r="AL4781">
        <v>78.293914593280505</v>
      </c>
      <c r="AM4781">
        <v>88.182203565974902</v>
      </c>
      <c r="AN4781">
        <v>1.0000000106320199</v>
      </c>
    </row>
    <row r="4782" spans="1:40" x14ac:dyDescent="0.25">
      <c r="A4782" t="str">
        <f>"20190303171111672"</f>
        <v>20190303171111672</v>
      </c>
      <c r="B4782" t="str">
        <f>"1551604271665837"</f>
        <v>1551604271665837</v>
      </c>
      <c r="C4782" t="s">
        <v>40</v>
      </c>
      <c r="D4782">
        <v>4.6712540000000002</v>
      </c>
      <c r="E4782">
        <v>0.5500621</v>
      </c>
      <c r="F4782" t="s">
        <v>42</v>
      </c>
      <c r="G4782">
        <v>-324.71660000000003</v>
      </c>
      <c r="H4782" s="1">
        <v>-3.7386819999999998E-6</v>
      </c>
      <c r="I4782">
        <v>13.13115</v>
      </c>
      <c r="J4782">
        <v>-359.6046</v>
      </c>
      <c r="K4782">
        <v>1.120879</v>
      </c>
      <c r="L4782">
        <v>16.860869999999998</v>
      </c>
      <c r="M4782">
        <v>0.99893969999999999</v>
      </c>
      <c r="N4782">
        <v>-1.091492E-2</v>
      </c>
      <c r="O4782">
        <v>4.4726839999999997E-2</v>
      </c>
      <c r="P4782">
        <v>0.98129279999999997</v>
      </c>
      <c r="Q4782">
        <v>0.19216179999999999</v>
      </c>
      <c r="R4782">
        <v>1.176755E-2</v>
      </c>
      <c r="S4782">
        <v>3.0806879999999999</v>
      </c>
      <c r="T4782">
        <v>-9.8188040000000004E-2</v>
      </c>
      <c r="U4782">
        <v>-0.32562259999999998</v>
      </c>
      <c r="V4782">
        <v>3.200447E-2</v>
      </c>
      <c r="W4782">
        <v>0.20287730000000001</v>
      </c>
      <c r="X4782">
        <v>0.97868100000000002</v>
      </c>
      <c r="Y4782">
        <v>0.14937829999999999</v>
      </c>
      <c r="Z4782">
        <v>-4.1261830000000003E-3</v>
      </c>
      <c r="AA4782">
        <v>0.98877150000000003</v>
      </c>
      <c r="AB4782">
        <v>34</v>
      </c>
      <c r="AC4782">
        <v>34.887999999999899</v>
      </c>
      <c r="AD4782">
        <v>-1.1208827386819999</v>
      </c>
      <c r="AE4782">
        <v>-3.7297199999999999</v>
      </c>
      <c r="AF4782">
        <v>5.2811202601933598</v>
      </c>
      <c r="AG4782">
        <v>-1.1208827386819999</v>
      </c>
      <c r="AH4782">
        <v>34.6508904531807</v>
      </c>
      <c r="AI4782">
        <v>91.831614614995601</v>
      </c>
      <c r="AJ4782">
        <v>81.334273512911693</v>
      </c>
      <c r="AK4782">
        <v>35.068943789553103</v>
      </c>
      <c r="AL4782">
        <v>78.294733553925596</v>
      </c>
      <c r="AM4782">
        <v>88.127001732902798</v>
      </c>
      <c r="AN4782">
        <v>0.99999999235813497</v>
      </c>
    </row>
    <row r="4783" spans="1:40" x14ac:dyDescent="0.25">
      <c r="A4783" t="str">
        <f>"20190303171111697"</f>
        <v>20190303171111697</v>
      </c>
      <c r="B4783" t="str">
        <f>"1551604271685357"</f>
        <v>1551604271685357</v>
      </c>
      <c r="C4783" t="s">
        <v>40</v>
      </c>
      <c r="D4783">
        <v>4.6871309999999999</v>
      </c>
      <c r="E4783">
        <v>0.55028969999999999</v>
      </c>
      <c r="F4783" t="s">
        <v>42</v>
      </c>
      <c r="G4783">
        <v>-324.27760000000001</v>
      </c>
      <c r="H4783" s="1">
        <v>-3.9203310000000002E-6</v>
      </c>
      <c r="I4783">
        <v>13.081910000000001</v>
      </c>
      <c r="J4783">
        <v>-359.24790000000002</v>
      </c>
      <c r="K4783">
        <v>1.120919</v>
      </c>
      <c r="L4783">
        <v>16.877289999999999</v>
      </c>
      <c r="M4783">
        <v>0.99893019999999999</v>
      </c>
      <c r="N4783">
        <v>-1.10986E-2</v>
      </c>
      <c r="O4783">
        <v>4.4894360000000001E-2</v>
      </c>
      <c r="P4783">
        <v>0.98137200000000002</v>
      </c>
      <c r="Q4783">
        <v>0.19178410000000001</v>
      </c>
      <c r="R4783">
        <v>1.13109E-2</v>
      </c>
      <c r="S4783">
        <v>3.0802610000000001</v>
      </c>
      <c r="T4783">
        <v>-9.7732899999999998E-2</v>
      </c>
      <c r="U4783">
        <v>-0.32949830000000002</v>
      </c>
      <c r="V4783">
        <v>3.2598429999999998E-2</v>
      </c>
      <c r="W4783">
        <v>0.20268539999999999</v>
      </c>
      <c r="X4783">
        <v>0.97870119999999905</v>
      </c>
      <c r="Y4783">
        <v>0.15078820000000001</v>
      </c>
      <c r="Z4783">
        <v>-4.1481410000000002E-3</v>
      </c>
      <c r="AA4783">
        <v>0.98855740000000003</v>
      </c>
      <c r="AB4783">
        <v>34</v>
      </c>
      <c r="AC4783">
        <v>34.970300000000002</v>
      </c>
      <c r="AD4783">
        <v>-1.120922920331</v>
      </c>
      <c r="AE4783">
        <v>-3.79537999999999</v>
      </c>
      <c r="AF4783">
        <v>5.3561795214634298</v>
      </c>
      <c r="AG4783">
        <v>-1.120922920331</v>
      </c>
      <c r="AH4783">
        <v>34.729368242493798</v>
      </c>
      <c r="AI4783">
        <v>91.827047022032204</v>
      </c>
      <c r="AJ4783">
        <v>81.232565723609497</v>
      </c>
      <c r="AK4783">
        <v>35.157846148224202</v>
      </c>
      <c r="AL4783">
        <v>78.3059623868416</v>
      </c>
      <c r="AM4783">
        <v>88.092306196827096</v>
      </c>
      <c r="AN4783">
        <v>1.00000003394653</v>
      </c>
    </row>
    <row r="4784" spans="1:40" x14ac:dyDescent="0.25">
      <c r="A4784" t="str">
        <f>"20190303171111715"</f>
        <v>20190303171111715</v>
      </c>
      <c r="B4784" t="str">
        <f>"1551604271705854"</f>
        <v>1551604271705854</v>
      </c>
      <c r="C4784" t="s">
        <v>40</v>
      </c>
      <c r="D4784">
        <v>4.7501179999999996</v>
      </c>
      <c r="E4784">
        <v>0.55053450000000004</v>
      </c>
      <c r="F4784" t="s">
        <v>42</v>
      </c>
      <c r="G4784">
        <v>-323.92160000000001</v>
      </c>
      <c r="H4784" s="1">
        <v>-4.062668E-6</v>
      </c>
      <c r="I4784">
        <v>13.060840000000001</v>
      </c>
      <c r="J4784">
        <v>-358.95710000000003</v>
      </c>
      <c r="K4784">
        <v>1.120897</v>
      </c>
      <c r="L4784">
        <v>16.890750000000001</v>
      </c>
      <c r="M4784">
        <v>0.99892380000000003</v>
      </c>
      <c r="N4784">
        <v>-1.119501E-2</v>
      </c>
      <c r="O4784">
        <v>4.50114E-2</v>
      </c>
      <c r="P4784">
        <v>0.98144310000000001</v>
      </c>
      <c r="Q4784">
        <v>0.19143250000000001</v>
      </c>
      <c r="R4784">
        <v>1.1097889999999999E-2</v>
      </c>
      <c r="S4784">
        <v>3.079895</v>
      </c>
      <c r="T4784">
        <v>-9.77267E-2</v>
      </c>
      <c r="U4784">
        <v>-0.33273320000000001</v>
      </c>
      <c r="V4784">
        <v>3.2937550000000003E-2</v>
      </c>
      <c r="W4784">
        <v>0.20242769999999999</v>
      </c>
      <c r="X4784">
        <v>0.97874309999999998</v>
      </c>
      <c r="Y4784">
        <v>0.15194189999999999</v>
      </c>
      <c r="Z4784">
        <v>-4.1783259999999996E-3</v>
      </c>
      <c r="AA4784">
        <v>0.98838060000000005</v>
      </c>
      <c r="AB4784">
        <v>34</v>
      </c>
      <c r="AC4784">
        <v>35.035499999999999</v>
      </c>
      <c r="AD4784">
        <v>-1.120901062668</v>
      </c>
      <c r="AE4784">
        <v>-3.8299099999999999</v>
      </c>
      <c r="AF4784">
        <v>5.3976637942110299</v>
      </c>
      <c r="AG4784">
        <v>-1.120901062668</v>
      </c>
      <c r="AH4784">
        <v>34.792393787235902</v>
      </c>
      <c r="AI4784">
        <v>91.823452734385597</v>
      </c>
      <c r="AJ4784">
        <v>81.181479276504206</v>
      </c>
      <c r="AK4784">
        <v>35.226436934122603</v>
      </c>
      <c r="AL4784">
        <v>78.321039135581003</v>
      </c>
      <c r="AM4784">
        <v>88.072557892482806</v>
      </c>
      <c r="AN4784">
        <v>0.99999995586245005</v>
      </c>
    </row>
    <row r="4785" spans="1:40" x14ac:dyDescent="0.25">
      <c r="A4785" t="str">
        <f>"20190303171111727"</f>
        <v>20190303171111727</v>
      </c>
      <c r="B4785" t="str">
        <f>"1551604271715613"</f>
        <v>1551604271715613</v>
      </c>
      <c r="C4785" t="s">
        <v>40</v>
      </c>
      <c r="D4785">
        <v>4.807461</v>
      </c>
      <c r="E4785">
        <v>0.55045619999999995</v>
      </c>
      <c r="F4785" t="s">
        <v>42</v>
      </c>
      <c r="G4785">
        <v>-323.505</v>
      </c>
      <c r="H4785" s="1">
        <v>-4.2326129999999997E-6</v>
      </c>
      <c r="I4785">
        <v>13.02337</v>
      </c>
      <c r="J4785">
        <v>-358.7826</v>
      </c>
      <c r="K4785">
        <v>1.120854</v>
      </c>
      <c r="L4785">
        <v>16.89883</v>
      </c>
      <c r="M4785">
        <v>0.99891890000000005</v>
      </c>
      <c r="N4785">
        <v>-1.123424E-2</v>
      </c>
      <c r="O4785">
        <v>4.5112480000000003E-2</v>
      </c>
      <c r="P4785">
        <v>0.98144960000000003</v>
      </c>
      <c r="Q4785">
        <v>0.1913822</v>
      </c>
      <c r="R4785">
        <v>1.138895E-2</v>
      </c>
      <c r="S4785">
        <v>3.079529</v>
      </c>
      <c r="T4785">
        <v>-9.7366449999999993E-2</v>
      </c>
      <c r="U4785">
        <v>-0.3359375</v>
      </c>
      <c r="V4785">
        <v>3.2766009999999998E-2</v>
      </c>
      <c r="W4785">
        <v>0.2024127</v>
      </c>
      <c r="X4785">
        <v>0.97875199999999996</v>
      </c>
      <c r="Y4785">
        <v>0.1530707</v>
      </c>
      <c r="Z4785">
        <v>-4.1919820000000003E-3</v>
      </c>
      <c r="AA4785">
        <v>0.98820629999999998</v>
      </c>
      <c r="AB4785">
        <v>34</v>
      </c>
      <c r="AC4785">
        <v>35.2776</v>
      </c>
      <c r="AD4785">
        <v>-1.1208582326129899</v>
      </c>
      <c r="AE4785">
        <v>-3.8754599999999999</v>
      </c>
      <c r="AF4785">
        <v>5.4576304207474697</v>
      </c>
      <c r="AG4785">
        <v>-1.1208582326129899</v>
      </c>
      <c r="AH4785">
        <v>35.0318944704986</v>
      </c>
      <c r="AI4785">
        <v>91.810746744807702</v>
      </c>
      <c r="AJ4785">
        <v>81.145052095583495</v>
      </c>
      <c r="AK4785">
        <v>35.472181821523698</v>
      </c>
      <c r="AL4785">
        <v>78.321917203512797</v>
      </c>
      <c r="AM4785">
        <v>88.082605993402296</v>
      </c>
      <c r="AN4785">
        <v>0.99999999501830406</v>
      </c>
    </row>
    <row r="4786" spans="1:40" x14ac:dyDescent="0.25">
      <c r="A4786" t="str">
        <f>"20190303171111740"</f>
        <v>20190303171111740</v>
      </c>
      <c r="B4786" t="str">
        <f>"1551604271735134"</f>
        <v>1551604271735134</v>
      </c>
      <c r="C4786" t="s">
        <v>40</v>
      </c>
      <c r="D4786">
        <v>4.9104140000000003</v>
      </c>
      <c r="E4786">
        <v>0.52760600000000002</v>
      </c>
      <c r="F4786" t="s">
        <v>42</v>
      </c>
      <c r="G4786">
        <v>-323.35320000000002</v>
      </c>
      <c r="H4786" s="1">
        <v>-4.2874639999999999E-6</v>
      </c>
      <c r="I4786">
        <v>13.04842</v>
      </c>
      <c r="J4786">
        <v>-358.58460000000002</v>
      </c>
      <c r="K4786">
        <v>1.120803</v>
      </c>
      <c r="L4786">
        <v>16.90802</v>
      </c>
      <c r="M4786">
        <v>0.99891289999999999</v>
      </c>
      <c r="N4786">
        <v>-1.1272880000000001E-2</v>
      </c>
      <c r="O4786">
        <v>4.5233370000000002E-2</v>
      </c>
      <c r="P4786">
        <v>0.98154989999999998</v>
      </c>
      <c r="Q4786">
        <v>0.1908511</v>
      </c>
      <c r="R4786">
        <v>1.1659310000000001E-2</v>
      </c>
      <c r="S4786">
        <v>3.07959</v>
      </c>
      <c r="T4786">
        <v>-9.7427369999999999E-2</v>
      </c>
      <c r="U4786">
        <v>-0.33468629999999999</v>
      </c>
      <c r="V4786">
        <v>3.2644239999999998E-2</v>
      </c>
      <c r="W4786">
        <v>0.20191629999999999</v>
      </c>
      <c r="X4786">
        <v>0.97885860000000002</v>
      </c>
      <c r="Y4786">
        <v>0.15279139999999999</v>
      </c>
      <c r="Z4786">
        <v>-4.1920580000000002E-3</v>
      </c>
      <c r="AA4786">
        <v>0.9882495</v>
      </c>
      <c r="AB4786">
        <v>34</v>
      </c>
      <c r="AC4786">
        <v>35.231400000000001</v>
      </c>
      <c r="AD4786">
        <v>-1.120807287464</v>
      </c>
      <c r="AE4786">
        <v>-3.8595999999999999</v>
      </c>
      <c r="AF4786">
        <v>5.4439409149160696</v>
      </c>
      <c r="AG4786">
        <v>-1.120807287464</v>
      </c>
      <c r="AH4786">
        <v>34.985752975665299</v>
      </c>
      <c r="AI4786">
        <v>91.813102107586701</v>
      </c>
      <c r="AJ4786">
        <v>81.155446898960903</v>
      </c>
      <c r="AK4786">
        <v>35.424505824852403</v>
      </c>
      <c r="AL4786">
        <v>78.350958529095493</v>
      </c>
      <c r="AM4786">
        <v>88.089934292803903</v>
      </c>
      <c r="AN4786">
        <v>0.99999999870241296</v>
      </c>
    </row>
    <row r="4787" spans="1:40" x14ac:dyDescent="0.25">
      <c r="A4787" t="str">
        <f>"20190303171111753"</f>
        <v>20190303171111753</v>
      </c>
      <c r="B4787" t="str">
        <f>"1551604271745869"</f>
        <v>1551604271745869</v>
      </c>
      <c r="C4787" t="s">
        <v>40</v>
      </c>
      <c r="D4787">
        <v>4.9701620000000002</v>
      </c>
      <c r="E4787">
        <v>0.52451759999999903</v>
      </c>
      <c r="F4787" t="s">
        <v>42</v>
      </c>
      <c r="G4787">
        <v>-324.82119999999998</v>
      </c>
      <c r="H4787" s="1">
        <v>-3.204571E-6</v>
      </c>
      <c r="I4787">
        <v>15.241300000000001</v>
      </c>
      <c r="J4787">
        <v>-358.36660000000001</v>
      </c>
      <c r="K4787">
        <v>1.120735</v>
      </c>
      <c r="L4787">
        <v>16.918060000000001</v>
      </c>
      <c r="M4787">
        <v>0.99890610000000002</v>
      </c>
      <c r="N4787">
        <v>-1.130424E-2</v>
      </c>
      <c r="O4787">
        <v>4.5374159999999997E-2</v>
      </c>
      <c r="P4787">
        <v>0.98150749999999998</v>
      </c>
      <c r="Q4787">
        <v>0.1910481</v>
      </c>
      <c r="R4787">
        <v>1.198608E-2</v>
      </c>
      <c r="S4787">
        <v>3.078033</v>
      </c>
      <c r="T4787">
        <v>-0.10217809999999999</v>
      </c>
      <c r="U4787">
        <v>-0.151947</v>
      </c>
      <c r="V4787">
        <v>3.2485409999999999E-2</v>
      </c>
      <c r="W4787">
        <v>0.2021386</v>
      </c>
      <c r="X4787">
        <v>0.97881799999999997</v>
      </c>
      <c r="Y4787">
        <v>9.4495510000000005E-2</v>
      </c>
      <c r="Z4787">
        <v>-3.0941050000000002E-3</v>
      </c>
      <c r="AA4787">
        <v>0.99552050000000003</v>
      </c>
      <c r="AB4787">
        <v>34</v>
      </c>
      <c r="AC4787">
        <v>33.545400000000001</v>
      </c>
      <c r="AD4787">
        <v>-1.1207382045709999</v>
      </c>
      <c r="AE4787">
        <v>-1.67675999999999</v>
      </c>
      <c r="AF4787">
        <v>3.19366853899766</v>
      </c>
      <c r="AG4787">
        <v>-1.1207382045709999</v>
      </c>
      <c r="AH4787">
        <v>33.3975739777377</v>
      </c>
      <c r="AI4787">
        <v>91.913259113641701</v>
      </c>
      <c r="AJ4787">
        <v>84.537656628255903</v>
      </c>
      <c r="AK4787">
        <v>33.568638942599797</v>
      </c>
      <c r="AL4787">
        <v>78.337953483554102</v>
      </c>
      <c r="AM4787">
        <v>88.099142067680802</v>
      </c>
      <c r="AN4787">
        <v>0.99999999629841396</v>
      </c>
    </row>
    <row r="4788" spans="1:40" x14ac:dyDescent="0.25">
      <c r="A4788" t="str">
        <f>"20190303171111773"</f>
        <v>20190303171111773</v>
      </c>
      <c r="B4788" t="str">
        <f>"1551604271765389"</f>
        <v>1551604271765389</v>
      </c>
      <c r="C4788" t="s">
        <v>40</v>
      </c>
      <c r="D4788">
        <v>4.9667079999999997</v>
      </c>
      <c r="E4788">
        <v>0.52210699999999999</v>
      </c>
      <c r="F4788" t="s">
        <v>42</v>
      </c>
      <c r="G4788">
        <v>-322.67039999999997</v>
      </c>
      <c r="H4788" s="1">
        <v>-4.1848579999999996E-6</v>
      </c>
      <c r="I4788">
        <v>15.446619999999999</v>
      </c>
      <c r="J4788">
        <v>-358.08909999999997</v>
      </c>
      <c r="K4788">
        <v>1.1206719999999999</v>
      </c>
      <c r="L4788">
        <v>16.930820000000001</v>
      </c>
      <c r="M4788">
        <v>0.99889910000000004</v>
      </c>
      <c r="N4788">
        <v>-1.133224E-2</v>
      </c>
      <c r="O4788">
        <v>4.5522310000000003E-2</v>
      </c>
      <c r="P4788">
        <v>0.98140190000000005</v>
      </c>
      <c r="Q4788">
        <v>0.1915886</v>
      </c>
      <c r="R4788">
        <v>1.2002499999999999E-2</v>
      </c>
      <c r="S4788">
        <v>3.0768430000000002</v>
      </c>
      <c r="T4788">
        <v>-9.6602439999999998E-2</v>
      </c>
      <c r="U4788">
        <v>-0.1268311</v>
      </c>
      <c r="V4788">
        <v>3.2643640000000002E-2</v>
      </c>
      <c r="W4788">
        <v>0.20269989999999999</v>
      </c>
      <c r="X4788">
        <v>0.97869660000000003</v>
      </c>
      <c r="Y4788">
        <v>8.6562970000000003E-2</v>
      </c>
      <c r="Z4788">
        <v>-2.7614979999999998E-3</v>
      </c>
      <c r="AA4788">
        <v>0.99624259999999998</v>
      </c>
      <c r="AB4788">
        <v>34</v>
      </c>
      <c r="AC4788">
        <v>35.418700000000001</v>
      </c>
      <c r="AD4788">
        <v>-1.12067618485799</v>
      </c>
      <c r="AE4788">
        <v>-1.48419999999999</v>
      </c>
      <c r="AF4788">
        <v>3.0920155381763701</v>
      </c>
      <c r="AG4788">
        <v>-1.12067618485799</v>
      </c>
      <c r="AH4788">
        <v>35.279151484105199</v>
      </c>
      <c r="AI4788">
        <v>91.812500333729403</v>
      </c>
      <c r="AJ4788">
        <v>84.9911521524172</v>
      </c>
      <c r="AK4788">
        <v>35.432118263491802</v>
      </c>
      <c r="AL4788">
        <v>78.305112941581001</v>
      </c>
      <c r="AM4788">
        <v>88.089653447732303</v>
      </c>
      <c r="AN4788">
        <v>0.99999994577200801</v>
      </c>
    </row>
    <row r="4789" spans="1:40" x14ac:dyDescent="0.25">
      <c r="A4789" t="str">
        <f>"20190303171111785"</f>
        <v>20190303171111785</v>
      </c>
      <c r="B4789" t="str">
        <f>"1551604271775149"</f>
        <v>1551604271775149</v>
      </c>
      <c r="C4789" t="s">
        <v>40</v>
      </c>
      <c r="D4789">
        <v>4.9696939999999996</v>
      </c>
      <c r="E4789">
        <v>0.52128379999999996</v>
      </c>
      <c r="F4789" t="s">
        <v>42</v>
      </c>
      <c r="G4789">
        <v>-321.13600000000002</v>
      </c>
      <c r="H4789" s="1">
        <v>-4.8762739999999999E-6</v>
      </c>
      <c r="I4789">
        <v>15.637879999999999</v>
      </c>
      <c r="J4789">
        <v>-357.89640000000003</v>
      </c>
      <c r="K4789">
        <v>1.120644</v>
      </c>
      <c r="L4789">
        <v>16.939640000000001</v>
      </c>
      <c r="M4789">
        <v>0.9988958</v>
      </c>
      <c r="N4789">
        <v>-1.134372E-2</v>
      </c>
      <c r="O4789">
        <v>4.5592870000000001E-2</v>
      </c>
      <c r="P4789">
        <v>0.98138619999999999</v>
      </c>
      <c r="Q4789">
        <v>0.19167010000000001</v>
      </c>
      <c r="R4789">
        <v>1.1995759999999999E-2</v>
      </c>
      <c r="S4789">
        <v>3.0763240000000001</v>
      </c>
      <c r="T4789">
        <v>-9.3295569999999994E-2</v>
      </c>
      <c r="U4789">
        <v>-0.1076355</v>
      </c>
      <c r="V4789">
        <v>3.2736130000000002E-2</v>
      </c>
      <c r="W4789">
        <v>0.20278959999999999</v>
      </c>
      <c r="X4789">
        <v>0.97867499999999996</v>
      </c>
      <c r="Y4789">
        <v>8.0439529999999995E-2</v>
      </c>
      <c r="Z4789">
        <v>-2.5404910000000002E-3</v>
      </c>
      <c r="AA4789">
        <v>0.99675630000000004</v>
      </c>
      <c r="AB4789">
        <v>34</v>
      </c>
      <c r="AC4789">
        <v>36.760399999999997</v>
      </c>
      <c r="AD4789">
        <v>-1.1206488762739999</v>
      </c>
      <c r="AE4789">
        <v>-1.30176</v>
      </c>
      <c r="AF4789">
        <v>2.9737657358644398</v>
      </c>
      <c r="AG4789">
        <v>-1.1206488762739999</v>
      </c>
      <c r="AH4789">
        <v>36.6288150158897</v>
      </c>
      <c r="AI4789">
        <v>91.746659234035207</v>
      </c>
      <c r="AJ4789">
        <v>85.358535321381794</v>
      </c>
      <c r="AK4789">
        <v>36.7664143754047</v>
      </c>
      <c r="AL4789">
        <v>78.299865339928999</v>
      </c>
      <c r="AM4789">
        <v>88.084202594592696</v>
      </c>
      <c r="AN4789">
        <v>1.00000001585026</v>
      </c>
    </row>
    <row r="4790" spans="1:40" x14ac:dyDescent="0.25">
      <c r="A4790" t="str">
        <f>"20190303171111797"</f>
        <v>20190303171111797</v>
      </c>
      <c r="B4790" t="str">
        <f>"1551604271785886"</f>
        <v>1551604271785886</v>
      </c>
      <c r="C4790" t="s">
        <v>40</v>
      </c>
      <c r="D4790">
        <v>4.972804</v>
      </c>
      <c r="E4790">
        <v>0.52111439999999998</v>
      </c>
      <c r="F4790" t="s">
        <v>42</v>
      </c>
      <c r="G4790">
        <v>-321.08120000000002</v>
      </c>
      <c r="H4790" s="1">
        <v>-4.8840439999999997E-6</v>
      </c>
      <c r="I4790">
        <v>15.73995</v>
      </c>
      <c r="J4790">
        <v>-357.71780000000001</v>
      </c>
      <c r="K4790">
        <v>1.1206210000000001</v>
      </c>
      <c r="L4790">
        <v>16.94781</v>
      </c>
      <c r="M4790">
        <v>0.99889340000000004</v>
      </c>
      <c r="N4790">
        <v>-1.1351399999999999E-2</v>
      </c>
      <c r="O4790">
        <v>4.5644669999999998E-2</v>
      </c>
      <c r="P4790">
        <v>0.98140910000000003</v>
      </c>
      <c r="Q4790">
        <v>0.19155259999999999</v>
      </c>
      <c r="R4790">
        <v>1.200641E-2</v>
      </c>
      <c r="S4790">
        <v>3.076416</v>
      </c>
      <c r="T4790">
        <v>-9.3645809999999996E-2</v>
      </c>
      <c r="U4790">
        <v>-0.1002502</v>
      </c>
      <c r="V4790">
        <v>3.2790880000000001E-2</v>
      </c>
      <c r="W4790">
        <v>0.20267750000000001</v>
      </c>
      <c r="X4790">
        <v>0.97869629999999996</v>
      </c>
      <c r="Y4790">
        <v>7.8100929999999999E-2</v>
      </c>
      <c r="Z4790">
        <v>-2.5023039999999999E-3</v>
      </c>
      <c r="AA4790">
        <v>0.99694229999999995</v>
      </c>
      <c r="AB4790">
        <v>34</v>
      </c>
      <c r="AC4790">
        <v>36.636599999999902</v>
      </c>
      <c r="AD4790">
        <v>-1.12062588404399</v>
      </c>
      <c r="AE4790">
        <v>-1.2078599999999999</v>
      </c>
      <c r="AF4790">
        <v>2.8762858001002898</v>
      </c>
      <c r="AG4790">
        <v>-1.12062588404399</v>
      </c>
      <c r="AH4790">
        <v>36.509153334123802</v>
      </c>
      <c r="AI4790">
        <v>91.752679170557698</v>
      </c>
      <c r="AJ4790">
        <v>85.495394071254395</v>
      </c>
      <c r="AK4790">
        <v>36.639420022025703</v>
      </c>
      <c r="AL4790">
        <v>78.306423375349098</v>
      </c>
      <c r="AM4790">
        <v>88.081042619174895</v>
      </c>
      <c r="AN4790">
        <v>0.99999992922555403</v>
      </c>
    </row>
    <row r="4791" spans="1:40" x14ac:dyDescent="0.25">
      <c r="A4791" t="str">
        <f>"20190303171111808"</f>
        <v>20190303171111808</v>
      </c>
      <c r="B4791" t="str">
        <f>"1551604271795646"</f>
        <v>1551604271795646</v>
      </c>
      <c r="C4791" t="s">
        <v>40</v>
      </c>
      <c r="D4791">
        <v>4.9714239999999998</v>
      </c>
      <c r="E4791">
        <v>0.52080749999999998</v>
      </c>
      <c r="F4791" t="s">
        <v>42</v>
      </c>
      <c r="G4791">
        <v>-321.6816</v>
      </c>
      <c r="H4791" s="1">
        <v>-4.590088E-6</v>
      </c>
      <c r="I4791">
        <v>15.797219999999999</v>
      </c>
      <c r="J4791">
        <v>-357.5437</v>
      </c>
      <c r="K4791">
        <v>1.1206160000000001</v>
      </c>
      <c r="L4791">
        <v>16.95581</v>
      </c>
      <c r="M4791">
        <v>0.99889240000000001</v>
      </c>
      <c r="N4791">
        <v>-1.135393E-2</v>
      </c>
      <c r="O4791">
        <v>4.5663420000000003E-2</v>
      </c>
      <c r="P4791">
        <v>0.98145079999999996</v>
      </c>
      <c r="Q4791">
        <v>0.19135070000000001</v>
      </c>
      <c r="R4791">
        <v>1.179855E-2</v>
      </c>
      <c r="S4791">
        <v>3.076721</v>
      </c>
      <c r="T4791">
        <v>-9.5677380000000006E-2</v>
      </c>
      <c r="U4791">
        <v>-9.8236080000000003E-2</v>
      </c>
      <c r="V4791">
        <v>3.3025569999999997E-2</v>
      </c>
      <c r="W4791">
        <v>0.20247760000000001</v>
      </c>
      <c r="X4791">
        <v>0.97872979999999998</v>
      </c>
      <c r="Y4791">
        <v>7.7462390000000006E-2</v>
      </c>
      <c r="Z4791">
        <v>-2.5447389999999999E-3</v>
      </c>
      <c r="AA4791">
        <v>0.99699210000000005</v>
      </c>
      <c r="AB4791">
        <v>34</v>
      </c>
      <c r="AC4791">
        <v>35.862099999999998</v>
      </c>
      <c r="AD4791">
        <v>-1.120620590088</v>
      </c>
      <c r="AE4791">
        <v>-1.15858999999999</v>
      </c>
      <c r="AF4791">
        <v>2.7923492040656801</v>
      </c>
      <c r="AG4791">
        <v>-1.120620590088</v>
      </c>
      <c r="AH4791">
        <v>35.736919594612402</v>
      </c>
      <c r="AI4791">
        <v>91.790609893252494</v>
      </c>
      <c r="AJ4791">
        <v>85.532199761417999</v>
      </c>
      <c r="AK4791">
        <v>35.8633577164237</v>
      </c>
      <c r="AL4791">
        <v>78.318119479412104</v>
      </c>
      <c r="AM4791">
        <v>88.067384789820693</v>
      </c>
      <c r="AN4791">
        <v>0.99999994409181003</v>
      </c>
    </row>
    <row r="4792" spans="1:40" x14ac:dyDescent="0.25">
      <c r="A4792" t="str">
        <f>"20190303171111827"</f>
        <v>20190303171111827</v>
      </c>
      <c r="B4792" t="str">
        <f>"1551604271815165"</f>
        <v>1551604271815165</v>
      </c>
      <c r="C4792" t="s">
        <v>40</v>
      </c>
      <c r="D4792">
        <v>5.0307370000000002</v>
      </c>
      <c r="E4792">
        <v>0.52112669999999905</v>
      </c>
      <c r="F4792" t="s">
        <v>42</v>
      </c>
      <c r="G4792">
        <v>-322.23610000000002</v>
      </c>
      <c r="H4792" s="1">
        <v>-4.3180820000000001E-6</v>
      </c>
      <c r="I4792">
        <v>15.85305</v>
      </c>
      <c r="J4792">
        <v>-357.26850000000002</v>
      </c>
      <c r="K4792">
        <v>1.1206199999999999</v>
      </c>
      <c r="L4792">
        <v>16.96838</v>
      </c>
      <c r="M4792">
        <v>0.99889209999999995</v>
      </c>
      <c r="N4792">
        <v>-1.135543E-2</v>
      </c>
      <c r="O4792">
        <v>4.5671450000000002E-2</v>
      </c>
      <c r="P4792">
        <v>0.98156639999999995</v>
      </c>
      <c r="Q4792">
        <v>0.19075629999999999</v>
      </c>
      <c r="R4792">
        <v>1.1816129999999999E-2</v>
      </c>
      <c r="S4792">
        <v>3.0769039999999999</v>
      </c>
      <c r="T4792">
        <v>-9.7656969999999996E-2</v>
      </c>
      <c r="U4792">
        <v>-9.6099850000000001E-2</v>
      </c>
      <c r="V4792">
        <v>3.3027929999999997E-2</v>
      </c>
      <c r="W4792">
        <v>0.20188449999999999</v>
      </c>
      <c r="X4792">
        <v>0.97885230000000001</v>
      </c>
      <c r="Y4792">
        <v>7.6775040000000003E-2</v>
      </c>
      <c r="Z4792">
        <v>-2.5841890000000002E-3</v>
      </c>
      <c r="AA4792">
        <v>0.99704510000000002</v>
      </c>
      <c r="AB4792">
        <v>34</v>
      </c>
      <c r="AC4792">
        <v>35.032400000000003</v>
      </c>
      <c r="AD4792">
        <v>-1.1206243180819999</v>
      </c>
      <c r="AE4792">
        <v>-1.1153299999999999</v>
      </c>
      <c r="AF4792">
        <v>2.7114777855391901</v>
      </c>
      <c r="AG4792">
        <v>-1.1206243180819999</v>
      </c>
      <c r="AH4792">
        <v>34.909212925716297</v>
      </c>
      <c r="AI4792">
        <v>91.833109007605998</v>
      </c>
      <c r="AJ4792">
        <v>85.558624042667603</v>
      </c>
      <c r="AK4792">
        <v>35.0322859336462</v>
      </c>
      <c r="AL4792">
        <v>78.352818983800006</v>
      </c>
      <c r="AM4792">
        <v>88.067488484305898</v>
      </c>
      <c r="AN4792">
        <v>1.0000000103578099</v>
      </c>
    </row>
    <row r="4793" spans="1:40" x14ac:dyDescent="0.25">
      <c r="A4793" t="str">
        <f>"20190303171111839"</f>
        <v>20190303171111839</v>
      </c>
      <c r="B4793" t="str">
        <f>"1551604271825902"</f>
        <v>1551604271825902</v>
      </c>
      <c r="C4793" t="s">
        <v>40</v>
      </c>
      <c r="D4793">
        <v>5.02902</v>
      </c>
      <c r="E4793">
        <v>0.52091120000000002</v>
      </c>
      <c r="F4793" t="s">
        <v>42</v>
      </c>
      <c r="G4793">
        <v>-323.55579999999998</v>
      </c>
      <c r="H4793" s="1">
        <v>-3.6882600000000001E-6</v>
      </c>
      <c r="I4793">
        <v>15.88654</v>
      </c>
      <c r="J4793">
        <v>-357.08319999999998</v>
      </c>
      <c r="K4793">
        <v>1.120627</v>
      </c>
      <c r="L4793">
        <v>16.976839999999999</v>
      </c>
      <c r="M4793">
        <v>0.99889240000000001</v>
      </c>
      <c r="N4793">
        <v>-1.1354029999999999E-2</v>
      </c>
      <c r="O4793">
        <v>4.5664490000000002E-2</v>
      </c>
      <c r="P4793">
        <v>0.9816319</v>
      </c>
      <c r="Q4793">
        <v>0.19041949999999999</v>
      </c>
      <c r="R4793">
        <v>1.181424E-2</v>
      </c>
      <c r="S4793">
        <v>3.077423</v>
      </c>
      <c r="T4793">
        <v>-0.102295</v>
      </c>
      <c r="U4793">
        <v>-9.8754880000000003E-2</v>
      </c>
      <c r="V4793">
        <v>3.3028019999999998E-2</v>
      </c>
      <c r="W4793">
        <v>0.2015469</v>
      </c>
      <c r="X4793">
        <v>0.97892179999999995</v>
      </c>
      <c r="Y4793">
        <v>7.7615690000000001E-2</v>
      </c>
      <c r="Z4793">
        <v>-2.7288970000000001E-3</v>
      </c>
      <c r="AA4793">
        <v>0.99697959999999997</v>
      </c>
      <c r="AB4793">
        <v>34</v>
      </c>
      <c r="AC4793">
        <v>33.5274</v>
      </c>
      <c r="AD4793">
        <v>-1.1206306882599999</v>
      </c>
      <c r="AE4793">
        <v>-1.0902999999999901</v>
      </c>
      <c r="AF4793">
        <v>2.6173516836465902</v>
      </c>
      <c r="AG4793">
        <v>-1.1206306882599999</v>
      </c>
      <c r="AH4793">
        <v>33.405349077202096</v>
      </c>
      <c r="AI4793">
        <v>91.915483052088604</v>
      </c>
      <c r="AJ4793">
        <v>85.519955226614201</v>
      </c>
      <c r="AK4793">
        <v>33.526462532529202</v>
      </c>
      <c r="AL4793">
        <v>78.3725672474921</v>
      </c>
      <c r="AM4793">
        <v>88.067620320132704</v>
      </c>
      <c r="AN4793">
        <v>0.99999994675998305</v>
      </c>
    </row>
    <row r="4794" spans="1:40" x14ac:dyDescent="0.25">
      <c r="A4794" t="str">
        <f>"20190303171111851"</f>
        <v>20190303171111851</v>
      </c>
      <c r="B4794" t="str">
        <f>"1551604271845422"</f>
        <v>1551604271845422</v>
      </c>
      <c r="C4794" t="s">
        <v>40</v>
      </c>
      <c r="D4794">
        <v>5.8298639999999997</v>
      </c>
      <c r="E4794">
        <v>0.52079370000000003</v>
      </c>
      <c r="F4794" t="s">
        <v>42</v>
      </c>
      <c r="G4794">
        <v>-323.59739999999999</v>
      </c>
      <c r="H4794" s="1">
        <v>-3.6632879999999998E-6</v>
      </c>
      <c r="I4794">
        <v>15.9165299999999</v>
      </c>
      <c r="J4794">
        <v>-356.89389999999997</v>
      </c>
      <c r="K4794">
        <v>1.120633</v>
      </c>
      <c r="L4794">
        <v>16.985469999999999</v>
      </c>
      <c r="M4794">
        <v>0.99889309999999998</v>
      </c>
      <c r="N4794">
        <v>-1.1348530000000001E-2</v>
      </c>
      <c r="O4794">
        <v>4.5649179999999998E-2</v>
      </c>
      <c r="P4794">
        <v>0.9816279</v>
      </c>
      <c r="Q4794">
        <v>0.1904508</v>
      </c>
      <c r="R4794">
        <v>1.16439E-2</v>
      </c>
      <c r="S4794">
        <v>3.0773619999999999</v>
      </c>
      <c r="T4794">
        <v>-0.1029867</v>
      </c>
      <c r="U4794">
        <v>-9.7442630000000002E-2</v>
      </c>
      <c r="V4794">
        <v>3.3183659999999997E-2</v>
      </c>
      <c r="W4794">
        <v>0.20157259999999999</v>
      </c>
      <c r="X4794">
        <v>0.97891130000000004</v>
      </c>
      <c r="Y4794">
        <v>7.7175759999999996E-2</v>
      </c>
      <c r="Z4794">
        <v>-2.7377719999999999E-3</v>
      </c>
      <c r="AA4794">
        <v>0.9970137</v>
      </c>
      <c r="AB4794">
        <v>34</v>
      </c>
      <c r="AC4794">
        <v>33.296499999999902</v>
      </c>
      <c r="AD4794">
        <v>-1.1206366632879901</v>
      </c>
      <c r="AE4794">
        <v>-1.06894</v>
      </c>
      <c r="AF4794">
        <v>2.5849561991042602</v>
      </c>
      <c r="AG4794">
        <v>-1.1206366632879901</v>
      </c>
      <c r="AH4794">
        <v>33.175444987822701</v>
      </c>
      <c r="AI4794">
        <v>91.928822421590098</v>
      </c>
      <c r="AJ4794">
        <v>85.5446433493439</v>
      </c>
      <c r="AK4794">
        <v>33.294864096770901</v>
      </c>
      <c r="AL4794">
        <v>78.371064528702206</v>
      </c>
      <c r="AM4794">
        <v>88.058500390519498</v>
      </c>
      <c r="AN4794">
        <v>1.0000000008147201</v>
      </c>
    </row>
    <row r="4795" spans="1:40" x14ac:dyDescent="0.25">
      <c r="A4795" t="str">
        <f>"20190303171111873"</f>
        <v>20190303171111873</v>
      </c>
      <c r="B4795" t="str">
        <f>"1551604271865917"</f>
        <v>1551604271865917</v>
      </c>
      <c r="C4795" t="s">
        <v>40</v>
      </c>
      <c r="D4795">
        <v>5.0868609999999999</v>
      </c>
      <c r="E4795">
        <v>0.52117100000000005</v>
      </c>
      <c r="F4795" t="s">
        <v>42</v>
      </c>
      <c r="G4795">
        <v>-323.70440000000002</v>
      </c>
      <c r="H4795" s="1">
        <v>-3.6085459999999998E-6</v>
      </c>
      <c r="I4795">
        <v>15.940160000000001</v>
      </c>
      <c r="J4795">
        <v>-356.56199999999899</v>
      </c>
      <c r="K4795">
        <v>1.1206529999999999</v>
      </c>
      <c r="L4795">
        <v>17.000640000000001</v>
      </c>
      <c r="M4795">
        <v>0.99889459999999997</v>
      </c>
      <c r="N4795">
        <v>-1.133523E-2</v>
      </c>
      <c r="O4795">
        <v>4.5622049999999997E-2</v>
      </c>
      <c r="P4795">
        <v>0.9816532</v>
      </c>
      <c r="Q4795">
        <v>0.190391</v>
      </c>
      <c r="R4795">
        <v>1.0422819999999999E-2</v>
      </c>
      <c r="S4795">
        <v>3.077423</v>
      </c>
      <c r="T4795">
        <v>-0.103908399999999</v>
      </c>
      <c r="U4795">
        <v>-9.6923830000000002E-2</v>
      </c>
      <c r="V4795">
        <v>3.4378909999999999E-2</v>
      </c>
      <c r="W4795">
        <v>0.20149929999999999</v>
      </c>
      <c r="X4795">
        <v>0.97888520000000001</v>
      </c>
      <c r="Y4795">
        <v>7.6979069999999997E-2</v>
      </c>
      <c r="Z4795">
        <v>-2.757977E-3</v>
      </c>
      <c r="AA4795">
        <v>0.9970289</v>
      </c>
      <c r="AB4795">
        <v>34</v>
      </c>
      <c r="AC4795">
        <v>32.857599999999898</v>
      </c>
      <c r="AD4795">
        <v>-1.1206566085459999</v>
      </c>
      <c r="AE4795">
        <v>-1.0604799999999901</v>
      </c>
      <c r="AF4795">
        <v>2.5555331961180898</v>
      </c>
      <c r="AG4795">
        <v>-1.1206566085459999</v>
      </c>
      <c r="AH4795">
        <v>32.736957319696799</v>
      </c>
      <c r="AI4795">
        <v>91.954650509274998</v>
      </c>
      <c r="AJ4795">
        <v>85.536392450228703</v>
      </c>
      <c r="AK4795">
        <v>32.855669156210901</v>
      </c>
      <c r="AL4795">
        <v>78.375352940631799</v>
      </c>
      <c r="AM4795">
        <v>87.988571920145503</v>
      </c>
      <c r="AN4795">
        <v>1.0000000560661499</v>
      </c>
    </row>
    <row r="4796" spans="1:40" x14ac:dyDescent="0.25">
      <c r="A4796" t="str">
        <f>"20190303171111896"</f>
        <v>20190303171111896</v>
      </c>
      <c r="B4796" t="str">
        <f>"1551604271885438"</f>
        <v>1551604271885438</v>
      </c>
      <c r="C4796" t="s">
        <v>40</v>
      </c>
      <c r="D4796">
        <v>5.1421999999999999</v>
      </c>
      <c r="E4796">
        <v>0.52122270000000004</v>
      </c>
      <c r="F4796" t="s">
        <v>42</v>
      </c>
      <c r="G4796">
        <v>-324.1429</v>
      </c>
      <c r="H4796" s="1">
        <v>-3.4055459999999998E-6</v>
      </c>
      <c r="I4796">
        <v>15.916090000000001</v>
      </c>
      <c r="J4796">
        <v>-356.21780000000001</v>
      </c>
      <c r="K4796">
        <v>1.120673</v>
      </c>
      <c r="L4796">
        <v>17.016359999999999</v>
      </c>
      <c r="M4796">
        <v>0.99889559999999999</v>
      </c>
      <c r="N4796">
        <v>-1.131974E-2</v>
      </c>
      <c r="O4796">
        <v>4.5601540000000003E-2</v>
      </c>
      <c r="P4796">
        <v>0.9816762</v>
      </c>
      <c r="Q4796">
        <v>0.19031629999999999</v>
      </c>
      <c r="R4796">
        <v>9.5595639999999996E-3</v>
      </c>
      <c r="S4796">
        <v>3.0778500000000002</v>
      </c>
      <c r="T4796">
        <v>-0.10639419999999999</v>
      </c>
      <c r="U4796">
        <v>-0.1029663</v>
      </c>
      <c r="V4796">
        <v>3.5223810000000001E-2</v>
      </c>
      <c r="W4796">
        <v>0.20140959999999999</v>
      </c>
      <c r="X4796">
        <v>0.97887360000000001</v>
      </c>
      <c r="Y4796">
        <v>7.8904630000000003E-2</v>
      </c>
      <c r="Z4796">
        <v>-2.8692100000000001E-3</v>
      </c>
      <c r="AA4796">
        <v>0.99687800000000004</v>
      </c>
      <c r="AB4796">
        <v>34</v>
      </c>
      <c r="AC4796">
        <v>32.0749</v>
      </c>
      <c r="AD4796">
        <v>-1.1206764055459999</v>
      </c>
      <c r="AE4796">
        <v>-1.1002700000000001</v>
      </c>
      <c r="AF4796">
        <v>2.5587638033103799</v>
      </c>
      <c r="AG4796">
        <v>-1.1206764055459999</v>
      </c>
      <c r="AH4796">
        <v>31.952390948349599</v>
      </c>
      <c r="AI4796">
        <v>92.002324920034496</v>
      </c>
      <c r="AJ4796">
        <v>85.421495148878407</v>
      </c>
      <c r="AK4796">
        <v>32.074264997397101</v>
      </c>
      <c r="AL4796">
        <v>78.380599689690797</v>
      </c>
      <c r="AM4796">
        <v>87.939156547572793</v>
      </c>
      <c r="AN4796">
        <v>1.0000000342700099</v>
      </c>
    </row>
    <row r="4797" spans="1:40" x14ac:dyDescent="0.25">
      <c r="A4797" t="str">
        <f>"20190303171111907"</f>
        <v>20190303171111907</v>
      </c>
      <c r="B4797" t="str">
        <f>"1551604271895198"</f>
        <v>1551604271895198</v>
      </c>
      <c r="C4797" t="s">
        <v>40</v>
      </c>
      <c r="D4797">
        <v>5.0262820000000001</v>
      </c>
      <c r="E4797">
        <v>0.52124129999999902</v>
      </c>
      <c r="F4797" t="s">
        <v>42</v>
      </c>
      <c r="G4797">
        <v>-324.04430000000002</v>
      </c>
      <c r="H4797" s="1">
        <v>-3.452525E-6</v>
      </c>
      <c r="I4797">
        <v>15.91385</v>
      </c>
      <c r="J4797">
        <v>-356.04950000000002</v>
      </c>
      <c r="K4797">
        <v>1.120681</v>
      </c>
      <c r="L4797">
        <v>17.024049999999999</v>
      </c>
      <c r="M4797">
        <v>0.99889589999999995</v>
      </c>
      <c r="N4797">
        <v>-1.131216E-2</v>
      </c>
      <c r="O4797">
        <v>4.5596610000000003E-2</v>
      </c>
      <c r="P4797">
        <v>0.98169830000000002</v>
      </c>
      <c r="Q4797">
        <v>0.1901996</v>
      </c>
      <c r="R4797">
        <v>9.6325679999999993E-3</v>
      </c>
      <c r="S4797">
        <v>3.07782</v>
      </c>
      <c r="T4797">
        <v>-0.107207399999999</v>
      </c>
      <c r="U4797">
        <v>-0.1054688</v>
      </c>
      <c r="V4797">
        <v>3.5147770000000002E-2</v>
      </c>
      <c r="W4797">
        <v>0.2012853</v>
      </c>
      <c r="X4797">
        <v>0.97890189999999999</v>
      </c>
      <c r="Y4797">
        <v>7.9707819999999999E-2</v>
      </c>
      <c r="Z4797">
        <v>-2.910129E-3</v>
      </c>
      <c r="AA4797">
        <v>0.99681399999999998</v>
      </c>
      <c r="AB4797">
        <v>34</v>
      </c>
      <c r="AC4797">
        <v>32.005200000000002</v>
      </c>
      <c r="AD4797">
        <v>-1.1206844525249999</v>
      </c>
      <c r="AE4797">
        <v>-1.1101999999999901</v>
      </c>
      <c r="AF4797">
        <v>2.5653255844929101</v>
      </c>
      <c r="AG4797">
        <v>-1.1206844525249999</v>
      </c>
      <c r="AH4797">
        <v>31.882239806266099</v>
      </c>
      <c r="AI4797">
        <v>92.006680383871299</v>
      </c>
      <c r="AJ4797">
        <v>85.399747386076996</v>
      </c>
      <c r="AK4797">
        <v>32.004906562288902</v>
      </c>
      <c r="AL4797">
        <v>78.387870455277195</v>
      </c>
      <c r="AM4797">
        <v>87.943661004097706</v>
      </c>
      <c r="AN4797">
        <v>1.0000000337778301</v>
      </c>
    </row>
    <row r="4798" spans="1:40" x14ac:dyDescent="0.25">
      <c r="A4798" t="str">
        <f>"20190303171111919"</f>
        <v>20190303171111919</v>
      </c>
      <c r="B4798" t="str">
        <f>"1551604271905933"</f>
        <v>1551604271905933</v>
      </c>
      <c r="C4798" t="s">
        <v>40</v>
      </c>
      <c r="D4798">
        <v>5.1456839999999904</v>
      </c>
      <c r="E4798">
        <v>0.52116989999999996</v>
      </c>
      <c r="F4798" t="s">
        <v>42</v>
      </c>
      <c r="G4798">
        <v>-324.16550000000001</v>
      </c>
      <c r="H4798" s="1">
        <v>-3.391974E-6</v>
      </c>
      <c r="I4798">
        <v>15.932130000000001</v>
      </c>
      <c r="J4798">
        <v>-355.87090000000001</v>
      </c>
      <c r="K4798">
        <v>1.120684</v>
      </c>
      <c r="L4798">
        <v>17.0322</v>
      </c>
      <c r="M4798">
        <v>0.99889629999999996</v>
      </c>
      <c r="N4798">
        <v>-1.130341E-2</v>
      </c>
      <c r="O4798">
        <v>4.5592349999999997E-2</v>
      </c>
      <c r="P4798">
        <v>0.98177499999999995</v>
      </c>
      <c r="Q4798">
        <v>0.1897884</v>
      </c>
      <c r="R4798">
        <v>9.9139710000000006E-3</v>
      </c>
      <c r="S4798">
        <v>3.0779109999999998</v>
      </c>
      <c r="T4798">
        <v>-0.10818510000000001</v>
      </c>
      <c r="U4798">
        <v>-0.10540769999999999</v>
      </c>
      <c r="V4798">
        <v>3.486711E-2</v>
      </c>
      <c r="W4798">
        <v>0.2008663</v>
      </c>
      <c r="X4798">
        <v>0.97899789999999998</v>
      </c>
      <c r="Y4798">
        <v>7.9681459999999996E-2</v>
      </c>
      <c r="Z4798">
        <v>-2.9364899999999999E-3</v>
      </c>
      <c r="AA4798">
        <v>0.99681600000000004</v>
      </c>
      <c r="AB4798">
        <v>34</v>
      </c>
      <c r="AC4798">
        <v>31.705400000000001</v>
      </c>
      <c r="AD4798">
        <v>-1.1206873919739999</v>
      </c>
      <c r="AE4798">
        <v>-1.1000700000000001</v>
      </c>
      <c r="AF4798">
        <v>2.5413704133053301</v>
      </c>
      <c r="AG4798">
        <v>-1.1206873919739999</v>
      </c>
      <c r="AH4798">
        <v>31.582856001013202</v>
      </c>
      <c r="AI4798">
        <v>92.0256911863044</v>
      </c>
      <c r="AJ4798">
        <v>85.399505843425203</v>
      </c>
      <c r="AK4798">
        <v>31.704751962267199</v>
      </c>
      <c r="AL4798">
        <v>78.412376797999599</v>
      </c>
      <c r="AM4798">
        <v>87.9602671040264</v>
      </c>
      <c r="AN4798">
        <v>0.99999993701992396</v>
      </c>
    </row>
    <row r="4799" spans="1:40" x14ac:dyDescent="0.25">
      <c r="A4799" t="str">
        <f>"20190303171111931"</f>
        <v>20190303171111931</v>
      </c>
      <c r="B4799" t="str">
        <f>"1551604271925454"</f>
        <v>1551604271925454</v>
      </c>
      <c r="C4799" t="s">
        <v>40</v>
      </c>
      <c r="D4799">
        <v>5.0006050000000002</v>
      </c>
      <c r="E4799">
        <v>0.52150370000000001</v>
      </c>
      <c r="F4799" t="s">
        <v>42</v>
      </c>
      <c r="G4799">
        <v>-324.41370000000001</v>
      </c>
      <c r="H4799" s="1">
        <v>-3.26897E-6</v>
      </c>
      <c r="I4799">
        <v>15.964259999999999</v>
      </c>
      <c r="J4799">
        <v>-355.68270000000001</v>
      </c>
      <c r="K4799">
        <v>1.1206929999999999</v>
      </c>
      <c r="L4799">
        <v>17.04083</v>
      </c>
      <c r="M4799">
        <v>0.99889649999999996</v>
      </c>
      <c r="N4799">
        <v>-1.129166E-2</v>
      </c>
      <c r="O4799">
        <v>4.559042E-2</v>
      </c>
      <c r="P4799">
        <v>0.98182590000000003</v>
      </c>
      <c r="Q4799">
        <v>0.1894844</v>
      </c>
      <c r="R4799">
        <v>1.067481E-2</v>
      </c>
      <c r="S4799">
        <v>3.0779420000000002</v>
      </c>
      <c r="T4799">
        <v>-0.1096539</v>
      </c>
      <c r="U4799">
        <v>-0.10449219999999999</v>
      </c>
      <c r="V4799">
        <v>3.4108300000000001E-2</v>
      </c>
      <c r="W4799">
        <v>0.20055149999999999</v>
      </c>
      <c r="X4799">
        <v>0.97908919999999999</v>
      </c>
      <c r="Y4799">
        <v>7.9381209999999994E-2</v>
      </c>
      <c r="Z4799">
        <v>-2.9701739999999999E-3</v>
      </c>
      <c r="AA4799">
        <v>0.9968399</v>
      </c>
      <c r="AB4799">
        <v>34</v>
      </c>
      <c r="AC4799">
        <v>31.268999999999998</v>
      </c>
      <c r="AD4799">
        <v>-1.12069626897</v>
      </c>
      <c r="AE4799">
        <v>-1.07656999999999</v>
      </c>
      <c r="AF4799">
        <v>2.49790318411846</v>
      </c>
      <c r="AG4799">
        <v>-1.12069626897</v>
      </c>
      <c r="AH4799">
        <v>31.1474356793886</v>
      </c>
      <c r="AI4799">
        <v>92.054045497145097</v>
      </c>
      <c r="AJ4799">
        <v>85.414914082565005</v>
      </c>
      <c r="AK4799">
        <v>31.2675267625402</v>
      </c>
      <c r="AL4799">
        <v>78.430788562526004</v>
      </c>
      <c r="AM4799">
        <v>88.004807276557898</v>
      </c>
      <c r="AN4799">
        <v>0.99999997091888904</v>
      </c>
    </row>
    <row r="4800" spans="1:40" x14ac:dyDescent="0.25">
      <c r="A4800" t="str">
        <f>"20190303171111950"</f>
        <v>20190303171111950</v>
      </c>
      <c r="B4800" t="str">
        <f>"1551604271935213"</f>
        <v>1551604271935213</v>
      </c>
      <c r="C4800" t="s">
        <v>40</v>
      </c>
      <c r="D4800">
        <v>5.0782439999999998</v>
      </c>
      <c r="E4800">
        <v>0.52161709999999994</v>
      </c>
      <c r="F4800" t="s">
        <v>42</v>
      </c>
      <c r="G4800">
        <v>-325.03989999999999</v>
      </c>
      <c r="H4800" s="1">
        <v>-2.9672729999999998E-6</v>
      </c>
      <c r="I4800">
        <v>15.99615</v>
      </c>
      <c r="J4800">
        <v>-355.39789999999999</v>
      </c>
      <c r="K4800">
        <v>1.1207100000000001</v>
      </c>
      <c r="L4800">
        <v>17.053829999999898</v>
      </c>
      <c r="M4800">
        <v>0.99889660000000002</v>
      </c>
      <c r="N4800">
        <v>-1.1272849999999999E-2</v>
      </c>
      <c r="O4800">
        <v>4.5589850000000001E-2</v>
      </c>
      <c r="P4800">
        <v>0.98175230000000002</v>
      </c>
      <c r="Q4800">
        <v>0.18980559999999999</v>
      </c>
      <c r="R4800">
        <v>1.166288E-2</v>
      </c>
      <c r="S4800">
        <v>3.0783999999999998</v>
      </c>
      <c r="T4800">
        <v>-0.1125863</v>
      </c>
      <c r="U4800">
        <v>-0.10495</v>
      </c>
      <c r="V4800">
        <v>3.3118429999999997E-2</v>
      </c>
      <c r="W4800">
        <v>0.2008537</v>
      </c>
      <c r="X4800">
        <v>0.97906119999999996</v>
      </c>
      <c r="Y4800">
        <v>7.9519350000000003E-2</v>
      </c>
      <c r="Z4800">
        <v>-3.0542640000000001E-3</v>
      </c>
      <c r="AA4800">
        <v>0.99682859999999995</v>
      </c>
      <c r="AB4800">
        <v>34</v>
      </c>
      <c r="AC4800">
        <v>30.358000000000001</v>
      </c>
      <c r="AD4800">
        <v>-1.1207129672730001</v>
      </c>
      <c r="AE4800">
        <v>-1.05767999999999</v>
      </c>
      <c r="AF4800">
        <v>2.4373670953956599</v>
      </c>
      <c r="AG4800">
        <v>-1.1207129672730001</v>
      </c>
      <c r="AH4800">
        <v>30.237050404083899</v>
      </c>
      <c r="AI4800">
        <v>92.115795699867704</v>
      </c>
      <c r="AJ4800">
        <v>85.391430464027493</v>
      </c>
      <c r="AK4800">
        <v>30.355822720721001</v>
      </c>
      <c r="AL4800">
        <v>78.413113735134203</v>
      </c>
      <c r="AM4800">
        <v>88.062610380555199</v>
      </c>
      <c r="AN4800">
        <v>0.99999993627739503</v>
      </c>
    </row>
    <row r="4801" spans="1:40" x14ac:dyDescent="0.25">
      <c r="A4801" t="str">
        <f>"20190303171111962"</f>
        <v>20190303171111962</v>
      </c>
      <c r="B4801" t="str">
        <f>"1551604271955710"</f>
        <v>1551604271955710</v>
      </c>
      <c r="C4801" t="s">
        <v>40</v>
      </c>
      <c r="D4801">
        <v>5.1399800000000004</v>
      </c>
      <c r="E4801">
        <v>0.52174160000000003</v>
      </c>
      <c r="F4801" t="s">
        <v>42</v>
      </c>
      <c r="G4801">
        <v>-324.63350000000003</v>
      </c>
      <c r="H4801" s="1">
        <v>-3.1540530000000002E-6</v>
      </c>
      <c r="I4801">
        <v>16.026440000000001</v>
      </c>
      <c r="J4801">
        <v>-355.21120000000002</v>
      </c>
      <c r="K4801">
        <v>1.1207199999999999</v>
      </c>
      <c r="L4801">
        <v>17.062349999999999</v>
      </c>
      <c r="M4801">
        <v>0.99889680000000003</v>
      </c>
      <c r="N4801">
        <v>-1.1259109999999999E-2</v>
      </c>
      <c r="O4801">
        <v>4.5589919999999999E-2</v>
      </c>
      <c r="P4801">
        <v>0.981657</v>
      </c>
      <c r="Q4801">
        <v>0.19027549999999999</v>
      </c>
      <c r="R4801">
        <v>1.204906E-2</v>
      </c>
      <c r="S4801">
        <v>3.0786739999999999</v>
      </c>
      <c r="T4801">
        <v>-0.11215269999999999</v>
      </c>
      <c r="U4801">
        <v>-0.10281369999999999</v>
      </c>
      <c r="V4801">
        <v>3.2728729999999998E-2</v>
      </c>
      <c r="W4801">
        <v>0.20130919999999999</v>
      </c>
      <c r="X4801">
        <v>0.97898079999999998</v>
      </c>
      <c r="Y4801">
        <v>7.8826729999999998E-2</v>
      </c>
      <c r="Z4801">
        <v>-3.0255669999999998E-3</v>
      </c>
      <c r="AA4801">
        <v>0.99688370000000004</v>
      </c>
      <c r="AB4801">
        <v>34</v>
      </c>
      <c r="AC4801">
        <v>30.5777</v>
      </c>
      <c r="AD4801">
        <v>-1.120723154053</v>
      </c>
      <c r="AE4801">
        <v>-1.0359099999999899</v>
      </c>
      <c r="AF4801">
        <v>2.4257011971130198</v>
      </c>
      <c r="AG4801">
        <v>-1.120723154053</v>
      </c>
      <c r="AH4801">
        <v>30.457804036262299</v>
      </c>
      <c r="AI4801">
        <v>92.100655203166099</v>
      </c>
      <c r="AJ4801">
        <v>85.446496717264296</v>
      </c>
      <c r="AK4801">
        <v>30.5747914693962</v>
      </c>
      <c r="AL4801">
        <v>78.386471898526295</v>
      </c>
      <c r="AM4801">
        <v>88.085233186609699</v>
      </c>
      <c r="AN4801">
        <v>0.99999998527034595</v>
      </c>
    </row>
    <row r="4802" spans="1:40" x14ac:dyDescent="0.25">
      <c r="A4802" t="str">
        <f>"20190303171111975"</f>
        <v>20190303171111975</v>
      </c>
      <c r="B4802" t="str">
        <f>"1551604271965470"</f>
        <v>1551604271965470</v>
      </c>
      <c r="C4802" t="s">
        <v>40</v>
      </c>
      <c r="D4802">
        <v>5.2004859999999997</v>
      </c>
      <c r="E4802">
        <v>0.52186549999999998</v>
      </c>
      <c r="F4802" t="s">
        <v>42</v>
      </c>
      <c r="G4802">
        <v>-324.291</v>
      </c>
      <c r="H4802" s="1">
        <v>-3.3143549999999998E-6</v>
      </c>
      <c r="I4802">
        <v>16.035350000000001</v>
      </c>
      <c r="J4802">
        <v>-355.01690000000002</v>
      </c>
      <c r="K4802">
        <v>1.12073</v>
      </c>
      <c r="L4802">
        <v>17.071200000000001</v>
      </c>
      <c r="M4802">
        <v>0.99889700000000003</v>
      </c>
      <c r="N4802">
        <v>-1.1243589999999999E-2</v>
      </c>
      <c r="O4802">
        <v>4.5590180000000001E-2</v>
      </c>
      <c r="P4802">
        <v>0.98155440000000005</v>
      </c>
      <c r="Q4802">
        <v>0.19080130000000001</v>
      </c>
      <c r="R4802">
        <v>1.208009E-2</v>
      </c>
      <c r="S4802">
        <v>3.0789179999999998</v>
      </c>
      <c r="T4802">
        <v>-0.11159769999999899</v>
      </c>
      <c r="U4802">
        <v>-0.10226440000000001</v>
      </c>
      <c r="V4802">
        <v>3.2693409999999999E-2</v>
      </c>
      <c r="W4802">
        <v>0.20181869999999999</v>
      </c>
      <c r="X4802">
        <v>0.97887710000000006</v>
      </c>
      <c r="Y4802">
        <v>7.8647670000000003E-2</v>
      </c>
      <c r="Z4802">
        <v>-3.0058709999999998E-3</v>
      </c>
      <c r="AA4802">
        <v>0.9968979</v>
      </c>
      <c r="AB4802">
        <v>34</v>
      </c>
      <c r="AC4802">
        <v>30.725899999999999</v>
      </c>
      <c r="AD4802">
        <v>-1.120733314355</v>
      </c>
      <c r="AE4802">
        <v>-1.0358499999999999</v>
      </c>
      <c r="AF4802">
        <v>2.4324280828729101</v>
      </c>
      <c r="AG4802">
        <v>-1.120733314355</v>
      </c>
      <c r="AH4802">
        <v>30.606047148422899</v>
      </c>
      <c r="AI4802">
        <v>92.090535881837994</v>
      </c>
      <c r="AJ4802">
        <v>85.455945752340995</v>
      </c>
      <c r="AK4802">
        <v>30.723002320602401</v>
      </c>
      <c r="AL4802">
        <v>78.356668296714801</v>
      </c>
      <c r="AM4802">
        <v>88.087095541067001</v>
      </c>
      <c r="AN4802">
        <v>1.0000000118157599</v>
      </c>
    </row>
    <row r="4803" spans="1:40" x14ac:dyDescent="0.25">
      <c r="A4803" t="str">
        <f>"20190303171111998"</f>
        <v>20190303171111998</v>
      </c>
      <c r="B4803" t="str">
        <f>"1551604271985967"</f>
        <v>1551604271985967</v>
      </c>
      <c r="C4803" t="s">
        <v>40</v>
      </c>
      <c r="D4803">
        <v>5.0980280000000002</v>
      </c>
      <c r="E4803">
        <v>0.52197859999999996</v>
      </c>
      <c r="F4803" t="s">
        <v>42</v>
      </c>
      <c r="G4803">
        <v>-323.7756</v>
      </c>
      <c r="H4803" s="1">
        <v>-3.5594429999999999E-6</v>
      </c>
      <c r="I4803">
        <v>16.02711</v>
      </c>
      <c r="J4803">
        <v>-354.66820000000001</v>
      </c>
      <c r="K4803">
        <v>1.1207499999999999</v>
      </c>
      <c r="L4803">
        <v>17.087129999999998</v>
      </c>
      <c r="M4803">
        <v>0.99889729999999999</v>
      </c>
      <c r="N4803">
        <v>-1.1214780000000001E-2</v>
      </c>
      <c r="O4803">
        <v>4.5590360000000003E-2</v>
      </c>
      <c r="P4803">
        <v>0.98146319999999998</v>
      </c>
      <c r="Q4803">
        <v>0.1912307</v>
      </c>
      <c r="R4803">
        <v>1.269991E-2</v>
      </c>
      <c r="S4803">
        <v>3.079132</v>
      </c>
      <c r="T4803">
        <v>-0.1104593</v>
      </c>
      <c r="U4803">
        <v>-0.10290530000000001</v>
      </c>
      <c r="V4803">
        <v>3.2070040000000001E-2</v>
      </c>
      <c r="W4803">
        <v>0.20221890000000001</v>
      </c>
      <c r="X4803">
        <v>0.97881510000000005</v>
      </c>
      <c r="Y4803">
        <v>7.8854259999999995E-2</v>
      </c>
      <c r="Z4803">
        <v>-2.97934E-3</v>
      </c>
      <c r="AA4803">
        <v>0.99688169999999998</v>
      </c>
      <c r="AB4803">
        <v>34</v>
      </c>
      <c r="AC4803">
        <v>30.892600000000002</v>
      </c>
      <c r="AD4803">
        <v>-1.12075355944299</v>
      </c>
      <c r="AE4803">
        <v>-1.06001999999999</v>
      </c>
      <c r="AF4803">
        <v>2.4641715071666201</v>
      </c>
      <c r="AG4803">
        <v>-1.12075355944299</v>
      </c>
      <c r="AH4803">
        <v>30.771691601710302</v>
      </c>
      <c r="AI4803">
        <v>92.079230498874793</v>
      </c>
      <c r="AJ4803">
        <v>85.421571537297396</v>
      </c>
      <c r="AK4803">
        <v>30.890536314355298</v>
      </c>
      <c r="AL4803">
        <v>78.333255487127303</v>
      </c>
      <c r="AM4803">
        <v>88.123424066772301</v>
      </c>
      <c r="AN4803">
        <v>0.99999998548541003</v>
      </c>
    </row>
    <row r="4804" spans="1:40" x14ac:dyDescent="0.25">
      <c r="A4804" t="str">
        <f>"20190303171112018"</f>
        <v>20190303171112018</v>
      </c>
      <c r="B4804" t="str">
        <f>"1551604272005486"</f>
        <v>1551604272005486</v>
      </c>
      <c r="C4804" t="s">
        <v>40</v>
      </c>
      <c r="D4804">
        <v>5.0522369999999999</v>
      </c>
      <c r="E4804">
        <v>0.52224700000000002</v>
      </c>
      <c r="F4804" t="s">
        <v>42</v>
      </c>
      <c r="G4804">
        <v>-323.18770000000001</v>
      </c>
      <c r="H4804" s="1">
        <v>-3.833699E-6</v>
      </c>
      <c r="I4804">
        <v>16.047889999999999</v>
      </c>
      <c r="J4804">
        <v>-354.36799999999999</v>
      </c>
      <c r="K4804">
        <v>1.1207659999999999</v>
      </c>
      <c r="L4804">
        <v>17.100829999999998</v>
      </c>
      <c r="M4804">
        <v>0.9988977</v>
      </c>
      <c r="N4804">
        <v>-1.1186700000000001E-2</v>
      </c>
      <c r="O4804">
        <v>4.5589989999999997E-2</v>
      </c>
      <c r="P4804">
        <v>0.98143539999999996</v>
      </c>
      <c r="Q4804">
        <v>0.19132750000000001</v>
      </c>
      <c r="R4804">
        <v>1.3363460000000001E-2</v>
      </c>
      <c r="S4804">
        <v>3.0793149999999998</v>
      </c>
      <c r="T4804">
        <v>-0.109628</v>
      </c>
      <c r="U4804">
        <v>-0.1016541</v>
      </c>
      <c r="V4804">
        <v>3.1405349999999999E-2</v>
      </c>
      <c r="W4804">
        <v>0.202289</v>
      </c>
      <c r="X4804">
        <v>0.97882219999999998</v>
      </c>
      <c r="Y4804">
        <v>7.8448809999999994E-2</v>
      </c>
      <c r="Z4804">
        <v>-2.94692E-3</v>
      </c>
      <c r="AA4804">
        <v>0.99691379999999996</v>
      </c>
      <c r="AB4804">
        <v>34</v>
      </c>
      <c r="AC4804">
        <v>31.180299999999999</v>
      </c>
      <c r="AD4804">
        <v>-1.120769833699</v>
      </c>
      <c r="AE4804">
        <v>-1.05293999999999</v>
      </c>
      <c r="AF4804">
        <v>2.4702554211690999</v>
      </c>
      <c r="AG4804">
        <v>-1.120769833699</v>
      </c>
      <c r="AH4804">
        <v>31.059784831783301</v>
      </c>
      <c r="AI4804">
        <v>92.060080561144702</v>
      </c>
      <c r="AJ4804">
        <v>85.452707843070002</v>
      </c>
      <c r="AK4804">
        <v>31.178013417513</v>
      </c>
      <c r="AL4804">
        <v>78.329154671381602</v>
      </c>
      <c r="AM4804">
        <v>88.162304720773705</v>
      </c>
      <c r="AN4804">
        <v>1.00000001737123</v>
      </c>
    </row>
    <row r="4805" spans="1:40" x14ac:dyDescent="0.25">
      <c r="A4805" t="str">
        <f>"20190303171112030"</f>
        <v>20190303171112030</v>
      </c>
      <c r="B4805" t="str">
        <f>"1551604272025982"</f>
        <v>1551604272025982</v>
      </c>
      <c r="C4805" t="s">
        <v>40</v>
      </c>
      <c r="D4805">
        <v>5.0673180000000002</v>
      </c>
      <c r="E4805">
        <v>0.52243530000000005</v>
      </c>
      <c r="F4805" t="s">
        <v>42</v>
      </c>
      <c r="G4805">
        <v>-323.38420000000002</v>
      </c>
      <c r="H4805" s="1">
        <v>-3.736425E-6</v>
      </c>
      <c r="I4805">
        <v>16.07235</v>
      </c>
      <c r="J4805">
        <v>-354.16239999999999</v>
      </c>
      <c r="K4805">
        <v>1.1207720000000001</v>
      </c>
      <c r="L4805">
        <v>17.110199999999999</v>
      </c>
      <c r="M4805">
        <v>0.99889790000000001</v>
      </c>
      <c r="N4805">
        <v>-1.116731E-2</v>
      </c>
      <c r="O4805">
        <v>4.5589999999999999E-2</v>
      </c>
      <c r="P4805">
        <v>0.98136939999999995</v>
      </c>
      <c r="Q4805">
        <v>0.1916358</v>
      </c>
      <c r="R4805">
        <v>1.3772110000000001E-2</v>
      </c>
      <c r="S4805">
        <v>3.0798649999999999</v>
      </c>
      <c r="T4805">
        <v>-0.11140750000000001</v>
      </c>
      <c r="U4805">
        <v>-0.1022339</v>
      </c>
      <c r="V4805">
        <v>3.0994009999999999E-2</v>
      </c>
      <c r="W4805">
        <v>0.2025776</v>
      </c>
      <c r="X4805">
        <v>0.97877559999999997</v>
      </c>
      <c r="Y4805">
        <v>7.8627779999999994E-2</v>
      </c>
      <c r="Z4805">
        <v>-2.9996900000000002E-3</v>
      </c>
      <c r="AA4805">
        <v>0.99689950000000005</v>
      </c>
      <c r="AB4805">
        <v>34</v>
      </c>
      <c r="AC4805">
        <v>30.778199999999899</v>
      </c>
      <c r="AD4805">
        <v>-1.1207757364249999</v>
      </c>
      <c r="AE4805">
        <v>-1.0378499999999899</v>
      </c>
      <c r="AF4805">
        <v>2.4368086719773601</v>
      </c>
      <c r="AG4805">
        <v>-1.1207757364249999</v>
      </c>
      <c r="AH4805">
        <v>30.6582680101852</v>
      </c>
      <c r="AI4805">
        <v>92.0870558696476</v>
      </c>
      <c r="AJ4805">
        <v>85.455518029834295</v>
      </c>
      <c r="AK4805">
        <v>30.7753728188551</v>
      </c>
      <c r="AL4805">
        <v>78.312269242371997</v>
      </c>
      <c r="AM4805">
        <v>88.186271955627802</v>
      </c>
      <c r="AN4805">
        <v>0.99999999391649996</v>
      </c>
    </row>
    <row r="4806" spans="1:40" x14ac:dyDescent="0.25">
      <c r="A4806" t="str">
        <f>"20190303171112051"</f>
        <v>20190303171112051</v>
      </c>
      <c r="B4806" t="str">
        <f>"1551604272045503"</f>
        <v>1551604272045503</v>
      </c>
      <c r="C4806" t="s">
        <v>40</v>
      </c>
      <c r="D4806">
        <v>5.0037129999999896</v>
      </c>
      <c r="E4806">
        <v>0.52267770000000002</v>
      </c>
      <c r="F4806" t="s">
        <v>42</v>
      </c>
      <c r="G4806">
        <v>-323.2527</v>
      </c>
      <c r="H4806" s="1">
        <v>-3.7968510000000001E-6</v>
      </c>
      <c r="I4806">
        <v>16.082129999999999</v>
      </c>
      <c r="J4806">
        <v>-353.8578</v>
      </c>
      <c r="K4806">
        <v>1.1207800000000001</v>
      </c>
      <c r="L4806">
        <v>17.124079999999999</v>
      </c>
      <c r="M4806">
        <v>0.99889819999999996</v>
      </c>
      <c r="N4806">
        <v>-1.11363E-2</v>
      </c>
      <c r="O4806">
        <v>4.559001E-2</v>
      </c>
      <c r="P4806">
        <v>0.98124370000000005</v>
      </c>
      <c r="Q4806">
        <v>0.192327</v>
      </c>
      <c r="R4806">
        <v>1.307817E-2</v>
      </c>
      <c r="S4806">
        <v>3.0801699999999999</v>
      </c>
      <c r="T4806">
        <v>-0.1116861</v>
      </c>
      <c r="U4806">
        <v>-0.1024475</v>
      </c>
      <c r="V4806">
        <v>3.1681229999999998E-2</v>
      </c>
      <c r="W4806">
        <v>0.20323640000000001</v>
      </c>
      <c r="X4806">
        <v>0.97861699999999996</v>
      </c>
      <c r="Y4806">
        <v>7.869313E-2</v>
      </c>
      <c r="Z4806">
        <v>-3.0087970000000001E-3</v>
      </c>
      <c r="AA4806">
        <v>0.99689439999999996</v>
      </c>
      <c r="AB4806">
        <v>34</v>
      </c>
      <c r="AC4806">
        <v>30.6051</v>
      </c>
      <c r="AD4806">
        <v>-1.1207837968509999</v>
      </c>
      <c r="AE4806">
        <v>-1.0419499999999999</v>
      </c>
      <c r="AF4806">
        <v>2.43298071455113</v>
      </c>
      <c r="AG4806">
        <v>-1.1207837968509999</v>
      </c>
      <c r="AH4806">
        <v>30.484932950547702</v>
      </c>
      <c r="AI4806">
        <v>92.098873045849501</v>
      </c>
      <c r="AJ4806">
        <v>85.436936556707295</v>
      </c>
      <c r="AK4806">
        <v>30.602396776658701</v>
      </c>
      <c r="AL4806">
        <v>78.273720777627403</v>
      </c>
      <c r="AM4806">
        <v>88.145784273227406</v>
      </c>
      <c r="AN4806">
        <v>0.999999983654136</v>
      </c>
    </row>
    <row r="4807" spans="1:40" x14ac:dyDescent="0.25">
      <c r="A4807" t="str">
        <f>"20190303171112065"</f>
        <v>20190303171112065</v>
      </c>
      <c r="B4807" t="str">
        <f>"1551604272055262"</f>
        <v>1551604272055262</v>
      </c>
      <c r="C4807" t="s">
        <v>40</v>
      </c>
      <c r="D4807">
        <v>5.0236700000000001</v>
      </c>
      <c r="E4807">
        <v>0.52282119999999999</v>
      </c>
      <c r="F4807" t="s">
        <v>42</v>
      </c>
      <c r="G4807">
        <v>-323.21039999999999</v>
      </c>
      <c r="H4807" s="1">
        <v>-3.8194329999999997E-6</v>
      </c>
      <c r="I4807">
        <v>16.067620000000002</v>
      </c>
      <c r="J4807">
        <v>-353.64699999999999</v>
      </c>
      <c r="K4807">
        <v>1.120787</v>
      </c>
      <c r="L4807">
        <v>17.133700000000001</v>
      </c>
      <c r="M4807">
        <v>0.99889850000000002</v>
      </c>
      <c r="N4807">
        <v>-1.111437E-2</v>
      </c>
      <c r="O4807">
        <v>4.5590319999999997E-2</v>
      </c>
      <c r="P4807">
        <v>0.98108689999999998</v>
      </c>
      <c r="Q4807">
        <v>0.1931484</v>
      </c>
      <c r="R4807">
        <v>1.2747059999999999E-2</v>
      </c>
      <c r="S4807">
        <v>3.0808409999999999</v>
      </c>
      <c r="T4807">
        <v>-0.1126672</v>
      </c>
      <c r="U4807">
        <v>-0.1062012</v>
      </c>
      <c r="V4807">
        <v>3.2004879999999999E-2</v>
      </c>
      <c r="W4807">
        <v>0.20403470000000001</v>
      </c>
      <c r="X4807">
        <v>0.97844030000000004</v>
      </c>
      <c r="Y4807">
        <v>7.9896930000000005E-2</v>
      </c>
      <c r="Z4807">
        <v>-3.0639510000000001E-3</v>
      </c>
      <c r="AA4807">
        <v>0.99679839999999997</v>
      </c>
      <c r="AB4807">
        <v>34</v>
      </c>
      <c r="AC4807">
        <v>30.436599999999999</v>
      </c>
      <c r="AD4807">
        <v>-1.1207908194329901</v>
      </c>
      <c r="AE4807">
        <v>-1.0660799999999899</v>
      </c>
      <c r="AF4807">
        <v>2.4493540372913798</v>
      </c>
      <c r="AG4807">
        <v>-1.1207908194329901</v>
      </c>
      <c r="AH4807">
        <v>30.3152859365841</v>
      </c>
      <c r="AI4807">
        <v>92.110455134614995</v>
      </c>
      <c r="AJ4807">
        <v>85.380763842045596</v>
      </c>
      <c r="AK4807">
        <v>30.434718146843</v>
      </c>
      <c r="AL4807">
        <v>78.227002208011001</v>
      </c>
      <c r="AM4807">
        <v>88.126517313349495</v>
      </c>
      <c r="AN4807">
        <v>0.99999994590599495</v>
      </c>
    </row>
    <row r="4808" spans="1:40" x14ac:dyDescent="0.25">
      <c r="A4808" t="str">
        <f>"20190303171112079"</f>
        <v>20190303171112079</v>
      </c>
      <c r="B4808" t="str">
        <f>"1551604272065998"</f>
        <v>1551604272065998</v>
      </c>
      <c r="C4808" t="s">
        <v>40</v>
      </c>
      <c r="D4808">
        <v>5.0130359999999996</v>
      </c>
      <c r="E4808">
        <v>0.52293009999999995</v>
      </c>
      <c r="F4808" t="s">
        <v>42</v>
      </c>
      <c r="G4808">
        <v>-322.58359999999999</v>
      </c>
      <c r="H4808" s="1">
        <v>-4.1191769999999999E-6</v>
      </c>
      <c r="I4808">
        <v>16.048210000000001</v>
      </c>
      <c r="J4808">
        <v>-353.43759999999997</v>
      </c>
      <c r="K4808">
        <v>1.120795</v>
      </c>
      <c r="L4808">
        <v>17.143249999999998</v>
      </c>
      <c r="M4808">
        <v>0.99889870000000003</v>
      </c>
      <c r="N4808">
        <v>-1.1092319999999999E-2</v>
      </c>
      <c r="O4808">
        <v>4.5590569999999997E-2</v>
      </c>
      <c r="P4808">
        <v>0.98100719999999997</v>
      </c>
      <c r="Q4808">
        <v>0.19359270000000001</v>
      </c>
      <c r="R4808">
        <v>1.211109E-2</v>
      </c>
      <c r="S4808">
        <v>3.0810849999999999</v>
      </c>
      <c r="T4808">
        <v>-0.1111679</v>
      </c>
      <c r="U4808">
        <v>-0.107666</v>
      </c>
      <c r="V4808">
        <v>3.2636819999999997E-2</v>
      </c>
      <c r="W4808">
        <v>0.2044562</v>
      </c>
      <c r="X4808">
        <v>0.97833150000000002</v>
      </c>
      <c r="Y4808">
        <v>8.0369579999999996E-2</v>
      </c>
      <c r="Z4808">
        <v>-3.0333880000000001E-3</v>
      </c>
      <c r="AA4808">
        <v>0.99676050000000005</v>
      </c>
      <c r="AB4808">
        <v>34</v>
      </c>
      <c r="AC4808">
        <v>30.8539999999999</v>
      </c>
      <c r="AD4808">
        <v>-1.1207991191769999</v>
      </c>
      <c r="AE4808">
        <v>-1.09503999999999</v>
      </c>
      <c r="AF4808">
        <v>2.49734785113443</v>
      </c>
      <c r="AG4808">
        <v>-1.1207991191769999</v>
      </c>
      <c r="AH4808">
        <v>30.7314864415698</v>
      </c>
      <c r="AI4808">
        <v>92.081835416137906</v>
      </c>
      <c r="AJ4808">
        <v>85.354153705364993</v>
      </c>
      <c r="AK4808">
        <v>30.853155363163399</v>
      </c>
      <c r="AL4808">
        <v>78.202332768529104</v>
      </c>
      <c r="AM4808">
        <v>88.089340028714304</v>
      </c>
      <c r="AN4808">
        <v>1.0000000118151999</v>
      </c>
    </row>
    <row r="4809" spans="1:40" x14ac:dyDescent="0.25">
      <c r="A4809" t="str">
        <f>"20190303171112098"</f>
        <v>20190303171112098</v>
      </c>
      <c r="B4809" t="str">
        <f>"1551604272085517"</f>
        <v>1551604272085517</v>
      </c>
      <c r="C4809" t="s">
        <v>40</v>
      </c>
      <c r="D4809">
        <v>5.0537599999999996</v>
      </c>
      <c r="E4809">
        <v>0.52315690000000004</v>
      </c>
      <c r="F4809" t="s">
        <v>42</v>
      </c>
      <c r="G4809">
        <v>-322.28899999999999</v>
      </c>
      <c r="H4809" s="1">
        <v>-4.2613740000000001E-6</v>
      </c>
      <c r="I4809">
        <v>16.03173</v>
      </c>
      <c r="J4809">
        <v>-353.14670000000001</v>
      </c>
      <c r="K4809">
        <v>1.1208020000000001</v>
      </c>
      <c r="L4809">
        <v>17.15652</v>
      </c>
      <c r="M4809">
        <v>0.99889899999999998</v>
      </c>
      <c r="N4809">
        <v>-1.105971E-2</v>
      </c>
      <c r="O4809">
        <v>4.559129E-2</v>
      </c>
      <c r="P4809">
        <v>0.98098540000000001</v>
      </c>
      <c r="Q4809">
        <v>0.1937566</v>
      </c>
      <c r="R4809">
        <v>1.1232290000000001E-2</v>
      </c>
      <c r="S4809">
        <v>3.0813290000000002</v>
      </c>
      <c r="T4809">
        <v>-0.11087320000000001</v>
      </c>
      <c r="U4809">
        <v>-0.10995480000000001</v>
      </c>
      <c r="V4809">
        <v>3.3514250000000002E-2</v>
      </c>
      <c r="W4809">
        <v>0.2045874</v>
      </c>
      <c r="X4809">
        <v>0.97827439999999999</v>
      </c>
      <c r="Y4809">
        <v>8.1106819999999996E-2</v>
      </c>
      <c r="Z4809">
        <v>-3.042459E-3</v>
      </c>
      <c r="AA4809">
        <v>0.99670080000000005</v>
      </c>
      <c r="AB4809">
        <v>34</v>
      </c>
      <c r="AC4809">
        <v>30.857700000000001</v>
      </c>
      <c r="AD4809">
        <v>-1.120806261374</v>
      </c>
      <c r="AE4809">
        <v>-1.12479</v>
      </c>
      <c r="AF4809">
        <v>2.52721894235136</v>
      </c>
      <c r="AG4809">
        <v>-1.120806261374</v>
      </c>
      <c r="AH4809">
        <v>30.7338333018531</v>
      </c>
      <c r="AI4809">
        <v>92.081526742283103</v>
      </c>
      <c r="AJ4809">
        <v>85.299189142361499</v>
      </c>
      <c r="AK4809">
        <v>30.857925265386999</v>
      </c>
      <c r="AL4809">
        <v>78.194653156078004</v>
      </c>
      <c r="AM4809">
        <v>88.037897766996494</v>
      </c>
      <c r="AN4809">
        <v>1.00000000544359</v>
      </c>
    </row>
    <row r="4810" spans="1:40" x14ac:dyDescent="0.25">
      <c r="A4810" t="str">
        <f>"20190303171112117"</f>
        <v>20190303171112117</v>
      </c>
      <c r="B4810" t="str">
        <f>"1551604272106014"</f>
        <v>1551604272106014</v>
      </c>
      <c r="C4810" t="s">
        <v>40</v>
      </c>
      <c r="D4810">
        <v>5.0400369999999999</v>
      </c>
      <c r="E4810">
        <v>0.52331000000000005</v>
      </c>
      <c r="F4810" t="s">
        <v>42</v>
      </c>
      <c r="G4810">
        <v>-322.33260000000001</v>
      </c>
      <c r="H4810" s="1">
        <v>-4.2430949999999997E-6</v>
      </c>
      <c r="I4810">
        <v>16.01858</v>
      </c>
      <c r="J4810">
        <v>-352.84269999999998</v>
      </c>
      <c r="K4810">
        <v>1.120798</v>
      </c>
      <c r="L4810">
        <v>17.17041</v>
      </c>
      <c r="M4810">
        <v>0.99889939999999999</v>
      </c>
      <c r="N4810">
        <v>-1.1026029999999999E-2</v>
      </c>
      <c r="O4810">
        <v>4.559179E-2</v>
      </c>
      <c r="P4810">
        <v>0.98124270000000002</v>
      </c>
      <c r="Q4810">
        <v>0.19252</v>
      </c>
      <c r="R4810">
        <v>9.9535279999999997E-3</v>
      </c>
      <c r="S4810">
        <v>3.0815730000000001</v>
      </c>
      <c r="T4810">
        <v>-0.11208650000000001</v>
      </c>
      <c r="U4810">
        <v>-0.1138</v>
      </c>
      <c r="V4810">
        <v>3.4803750000000001E-2</v>
      </c>
      <c r="W4810">
        <v>0.20332</v>
      </c>
      <c r="X4810">
        <v>0.97849359999999996</v>
      </c>
      <c r="Y4810">
        <v>8.2343650000000004E-2</v>
      </c>
      <c r="Z4810">
        <v>-3.1055420000000002E-3</v>
      </c>
      <c r="AA4810">
        <v>0.99659909999999996</v>
      </c>
      <c r="AB4810">
        <v>34</v>
      </c>
      <c r="AC4810">
        <v>30.510099999999898</v>
      </c>
      <c r="AD4810">
        <v>-1.120802243095</v>
      </c>
      <c r="AE4810">
        <v>-1.1518299999999999</v>
      </c>
      <c r="AF4810">
        <v>2.5383060748786601</v>
      </c>
      <c r="AG4810">
        <v>-1.120802243095</v>
      </c>
      <c r="AH4810">
        <v>30.3849072836544</v>
      </c>
      <c r="AI4810">
        <v>92.1051744074651</v>
      </c>
      <c r="AJ4810">
        <v>85.224690952068897</v>
      </c>
      <c r="AK4810">
        <v>30.511338647036901</v>
      </c>
      <c r="AL4810">
        <v>78.268829192904903</v>
      </c>
      <c r="AM4810">
        <v>87.962922100996295</v>
      </c>
      <c r="AN4810">
        <v>1.00000002432751</v>
      </c>
    </row>
    <row r="4811" spans="1:40" x14ac:dyDescent="0.25">
      <c r="A4811" t="str">
        <f>"20190303171112129"</f>
        <v>20190303171112129</v>
      </c>
      <c r="B4811" t="str">
        <f>"1551604272115774"</f>
        <v>1551604272115774</v>
      </c>
      <c r="C4811" t="s">
        <v>40</v>
      </c>
      <c r="D4811">
        <v>5.0460570000000002</v>
      </c>
      <c r="E4811">
        <v>0.52331000000000005</v>
      </c>
      <c r="F4811" t="s">
        <v>42</v>
      </c>
      <c r="G4811">
        <v>-323.27569999999997</v>
      </c>
      <c r="H4811" s="1">
        <v>-3.795642E-6</v>
      </c>
      <c r="I4811">
        <v>16.027819999999998</v>
      </c>
      <c r="J4811">
        <v>-352.66829999999999</v>
      </c>
      <c r="K4811">
        <v>1.120798</v>
      </c>
      <c r="L4811">
        <v>17.178339999999999</v>
      </c>
      <c r="M4811">
        <v>0.99889950000000005</v>
      </c>
      <c r="N4811">
        <v>-1.1008159999999999E-2</v>
      </c>
      <c r="O4811">
        <v>4.5592250000000001E-2</v>
      </c>
      <c r="P4811">
        <v>0.98134600000000005</v>
      </c>
      <c r="Q4811">
        <v>0.19201850000000001</v>
      </c>
      <c r="R4811">
        <v>9.4349189999999999E-3</v>
      </c>
      <c r="S4811">
        <v>3.0814509999999999</v>
      </c>
      <c r="T4811">
        <v>-0.1168091</v>
      </c>
      <c r="U4811">
        <v>-0.11907959999999999</v>
      </c>
      <c r="V4811">
        <v>3.5327079999999997E-2</v>
      </c>
      <c r="W4811">
        <v>0.20280219999999999</v>
      </c>
      <c r="X4811">
        <v>0.97858230000000002</v>
      </c>
      <c r="Y4811">
        <v>8.4041729999999995E-2</v>
      </c>
      <c r="Z4811">
        <v>-3.2800329999999999E-3</v>
      </c>
      <c r="AA4811">
        <v>0.99645689999999998</v>
      </c>
      <c r="AB4811">
        <v>34</v>
      </c>
      <c r="AC4811">
        <v>29.392600000000002</v>
      </c>
      <c r="AD4811">
        <v>-1.120801795642</v>
      </c>
      <c r="AE4811">
        <v>-1.15051999999999</v>
      </c>
      <c r="AF4811">
        <v>2.48587033797721</v>
      </c>
      <c r="AG4811">
        <v>-1.120801795642</v>
      </c>
      <c r="AH4811">
        <v>29.267082997025</v>
      </c>
      <c r="AI4811">
        <v>92.185246350974097</v>
      </c>
      <c r="AJ4811">
        <v>85.1450973048657</v>
      </c>
      <c r="AK4811">
        <v>29.393841109271499</v>
      </c>
      <c r="AL4811">
        <v>78.2991282189694</v>
      </c>
      <c r="AM4811">
        <v>87.9325050249019</v>
      </c>
      <c r="AN4811">
        <v>1.00000002638972</v>
      </c>
    </row>
    <row r="4812" spans="1:40" x14ac:dyDescent="0.25">
      <c r="A4812" t="str">
        <f>"20190303171112142"</f>
        <v>20190303171112142</v>
      </c>
      <c r="B4812" t="str">
        <f>"1551604272135294"</f>
        <v>1551604272135294</v>
      </c>
      <c r="C4812" t="s">
        <v>40</v>
      </c>
      <c r="D4812">
        <v>5.0169750000000004</v>
      </c>
      <c r="E4812">
        <v>0.52800040000000004</v>
      </c>
      <c r="F4812" t="s">
        <v>42</v>
      </c>
      <c r="G4812">
        <v>-323.4923</v>
      </c>
      <c r="H4812" s="1">
        <v>-3.691908E-6</v>
      </c>
      <c r="I4812">
        <v>16.035229999999999</v>
      </c>
      <c r="J4812">
        <v>-352.47370000000001</v>
      </c>
      <c r="K4812">
        <v>1.120798</v>
      </c>
      <c r="L4812">
        <v>17.18723</v>
      </c>
      <c r="M4812">
        <v>0.9988998</v>
      </c>
      <c r="N4812">
        <v>-1.0988960000000001E-2</v>
      </c>
      <c r="O4812">
        <v>4.5592540000000001E-2</v>
      </c>
      <c r="P4812">
        <v>0.98144929999999997</v>
      </c>
      <c r="Q4812">
        <v>0.1915385</v>
      </c>
      <c r="R4812">
        <v>8.4120219999999999E-3</v>
      </c>
      <c r="S4812">
        <v>3.0813600000000001</v>
      </c>
      <c r="T4812">
        <v>-0.1183712</v>
      </c>
      <c r="U4812">
        <v>-0.1207275</v>
      </c>
      <c r="V4812">
        <v>3.6353709999999997E-2</v>
      </c>
      <c r="W4812">
        <v>0.2023035</v>
      </c>
      <c r="X4812">
        <v>0.97864790000000002</v>
      </c>
      <c r="Y4812">
        <v>8.4572289999999994E-2</v>
      </c>
      <c r="Z4812">
        <v>-3.3376489999999998E-3</v>
      </c>
      <c r="AA4812">
        <v>0.99641170000000001</v>
      </c>
      <c r="AB4812">
        <v>34</v>
      </c>
      <c r="AC4812">
        <v>28.981400000000001</v>
      </c>
      <c r="AD4812">
        <v>-1.1208016919079999</v>
      </c>
      <c r="AE4812">
        <v>-1.1519999999999999</v>
      </c>
      <c r="AF4812">
        <v>2.46853103660776</v>
      </c>
      <c r="AG4812">
        <v>-1.1208016919079999</v>
      </c>
      <c r="AH4812">
        <v>28.855644645149599</v>
      </c>
      <c r="AI4812">
        <v>92.216259303662497</v>
      </c>
      <c r="AJ4812">
        <v>85.1103886294853</v>
      </c>
      <c r="AK4812">
        <v>28.982720193219102</v>
      </c>
      <c r="AL4812">
        <v>78.328306199507495</v>
      </c>
      <c r="AM4812">
        <v>87.872619068840706</v>
      </c>
      <c r="AN4812">
        <v>1.0000000052587099</v>
      </c>
    </row>
    <row r="4813" spans="1:40" x14ac:dyDescent="0.25">
      <c r="A4813" t="str">
        <f>"20190303171112152"</f>
        <v>20190303171112152</v>
      </c>
      <c r="B4813" t="str">
        <f>"1551604272146031"</f>
        <v>1551604272146031</v>
      </c>
      <c r="C4813" t="s">
        <v>40</v>
      </c>
      <c r="D4813">
        <v>5.1448669999999996</v>
      </c>
      <c r="E4813">
        <v>0.52800040000000004</v>
      </c>
      <c r="F4813" t="s">
        <v>42</v>
      </c>
      <c r="G4813">
        <v>-332.96780000000001</v>
      </c>
      <c r="H4813" s="1">
        <v>-3.6071370000000001E-6</v>
      </c>
      <c r="I4813">
        <v>16.188389999999998</v>
      </c>
      <c r="J4813">
        <v>-352.29109999999997</v>
      </c>
      <c r="K4813">
        <v>1.1208009999999999</v>
      </c>
      <c r="L4813">
        <v>17.19556</v>
      </c>
      <c r="M4813">
        <v>0.99890000000000001</v>
      </c>
      <c r="N4813">
        <v>-1.097188E-2</v>
      </c>
      <c r="O4813">
        <v>4.5592760000000003E-2</v>
      </c>
      <c r="P4813">
        <v>0.98150870000000001</v>
      </c>
      <c r="Q4813">
        <v>0.1912693</v>
      </c>
      <c r="R4813">
        <v>7.5394299999999997E-3</v>
      </c>
      <c r="S4813">
        <v>3.0927120000000001</v>
      </c>
      <c r="T4813">
        <v>-0.17770610000000001</v>
      </c>
      <c r="U4813">
        <v>-0.15835569999999999</v>
      </c>
      <c r="V4813">
        <v>3.7228329999999997E-2</v>
      </c>
      <c r="W4813">
        <v>0.20201810000000001</v>
      </c>
      <c r="X4813">
        <v>0.97867400000000004</v>
      </c>
      <c r="Y4813">
        <v>9.6380430000000003E-2</v>
      </c>
      <c r="Z4813">
        <v>-5.4108999999999997E-3</v>
      </c>
      <c r="AA4813">
        <v>0.99532989999999999</v>
      </c>
      <c r="AB4813">
        <v>34</v>
      </c>
      <c r="AC4813">
        <v>19.3232999999999</v>
      </c>
      <c r="AD4813">
        <v>-1.1208046071369999</v>
      </c>
      <c r="AE4813">
        <v>-1.0071699999999999</v>
      </c>
      <c r="AF4813">
        <v>1.8808673174145301</v>
      </c>
      <c r="AG4813">
        <v>-1.1208046071369999</v>
      </c>
      <c r="AH4813">
        <v>19.1928849999479</v>
      </c>
      <c r="AI4813">
        <v>93.326201531118201</v>
      </c>
      <c r="AJ4813">
        <v>84.402990884625197</v>
      </c>
      <c r="AK4813">
        <v>19.317367818994502</v>
      </c>
      <c r="AL4813">
        <v>78.345003458039599</v>
      </c>
      <c r="AM4813">
        <v>87.821544003275207</v>
      </c>
      <c r="AN4813">
        <v>1.0000000297790901</v>
      </c>
    </row>
    <row r="4814" spans="1:40" x14ac:dyDescent="0.25">
      <c r="A4814" t="str">
        <f>"20190303171112165"</f>
        <v>20190303171112165</v>
      </c>
      <c r="B4814" t="str">
        <f>"1551604272155790"</f>
        <v>1551604272155790</v>
      </c>
      <c r="C4814" t="s">
        <v>40</v>
      </c>
      <c r="D4814">
        <v>5.0188579999999998</v>
      </c>
      <c r="E4814">
        <v>0.52829749999999998</v>
      </c>
      <c r="F4814" t="s">
        <v>42</v>
      </c>
      <c r="G4814">
        <v>-332.88760000000002</v>
      </c>
      <c r="H4814" s="1">
        <v>-3.641692E-6</v>
      </c>
      <c r="I4814">
        <v>16.187560000000001</v>
      </c>
      <c r="J4814">
        <v>-352.11200000000002</v>
      </c>
      <c r="K4814">
        <v>1.1208020000000001</v>
      </c>
      <c r="L4814">
        <v>17.20374</v>
      </c>
      <c r="M4814">
        <v>0.99890009999999996</v>
      </c>
      <c r="N4814">
        <v>-1.0953879999999999E-2</v>
      </c>
      <c r="O4814">
        <v>4.5592870000000001E-2</v>
      </c>
      <c r="P4814">
        <v>0.98154870000000005</v>
      </c>
      <c r="Q4814">
        <v>0.19110079999999999</v>
      </c>
      <c r="R4814">
        <v>6.5528619999999996E-3</v>
      </c>
      <c r="S4814">
        <v>3.09259</v>
      </c>
      <c r="T4814">
        <v>-0.17863699999999999</v>
      </c>
      <c r="U4814">
        <v>-0.1606445</v>
      </c>
      <c r="V4814">
        <v>3.821563E-2</v>
      </c>
      <c r="W4814">
        <v>0.20183180000000001</v>
      </c>
      <c r="X4814">
        <v>0.97867440000000006</v>
      </c>
      <c r="Y4814">
        <v>9.7113279999999996E-2</v>
      </c>
      <c r="Z4814">
        <v>-5.4643030000000002E-3</v>
      </c>
      <c r="AA4814">
        <v>0.99525830000000004</v>
      </c>
      <c r="AB4814">
        <v>34</v>
      </c>
      <c r="AC4814">
        <v>19.2243999999999</v>
      </c>
      <c r="AD4814">
        <v>-1.120805641692</v>
      </c>
      <c r="AE4814">
        <v>-1.0161799999999901</v>
      </c>
      <c r="AF4814">
        <v>1.8852809919239</v>
      </c>
      <c r="AG4814">
        <v>-1.120805641692</v>
      </c>
      <c r="AH4814">
        <v>19.0933548288913</v>
      </c>
      <c r="AI4814">
        <v>93.343263107560006</v>
      </c>
      <c r="AJ4814">
        <v>84.360884326646797</v>
      </c>
      <c r="AK4814">
        <v>19.2189148582043</v>
      </c>
      <c r="AL4814">
        <v>78.355902350023101</v>
      </c>
      <c r="AM4814">
        <v>87.763829882189398</v>
      </c>
      <c r="AN4814">
        <v>1.00000004554144</v>
      </c>
    </row>
    <row r="4815" spans="1:40" x14ac:dyDescent="0.25">
      <c r="A4815" t="str">
        <f>"20190303171112178"</f>
        <v>20190303171112178</v>
      </c>
      <c r="B4815" t="str">
        <f>"1551604272165551"</f>
        <v>1551604272165551</v>
      </c>
      <c r="C4815" t="s">
        <v>40</v>
      </c>
      <c r="D4815">
        <v>5.0501040000000001</v>
      </c>
      <c r="E4815">
        <v>0.52827440000000003</v>
      </c>
      <c r="F4815" t="s">
        <v>42</v>
      </c>
      <c r="G4815">
        <v>-332.09190000000001</v>
      </c>
      <c r="H4815" s="1">
        <v>-3.9936360000000003E-6</v>
      </c>
      <c r="I4815">
        <v>16.127870000000001</v>
      </c>
      <c r="J4815">
        <v>-351.92520000000002</v>
      </c>
      <c r="K4815">
        <v>1.1208020000000001</v>
      </c>
      <c r="L4815">
        <v>17.212250000000001</v>
      </c>
      <c r="M4815">
        <v>0.99890020000000002</v>
      </c>
      <c r="N4815">
        <v>-1.093476E-2</v>
      </c>
      <c r="O4815">
        <v>4.5593330000000001E-2</v>
      </c>
      <c r="P4815">
        <v>0.98153550000000001</v>
      </c>
      <c r="Q4815">
        <v>0.19119230000000001</v>
      </c>
      <c r="R4815">
        <v>5.7986369999999997E-3</v>
      </c>
      <c r="S4815">
        <v>3.0912169999999999</v>
      </c>
      <c r="T4815">
        <v>-0.17305870000000001</v>
      </c>
      <c r="U4815">
        <v>-0.16610720000000001</v>
      </c>
      <c r="V4815">
        <v>3.8969049999999998E-2</v>
      </c>
      <c r="W4815">
        <v>0.20190420000000001</v>
      </c>
      <c r="X4815">
        <v>0.97862969999999905</v>
      </c>
      <c r="Y4815">
        <v>9.8901470000000005E-2</v>
      </c>
      <c r="Z4815">
        <v>-5.3568490000000003E-3</v>
      </c>
      <c r="AA4815">
        <v>0.99508280000000005</v>
      </c>
      <c r="AB4815">
        <v>34</v>
      </c>
      <c r="AC4815">
        <v>19.833300000000001</v>
      </c>
      <c r="AD4815">
        <v>-1.120805993636</v>
      </c>
      <c r="AE4815">
        <v>-1.0843799999999899</v>
      </c>
      <c r="AF4815">
        <v>1.9812641220242599</v>
      </c>
      <c r="AG4815">
        <v>-1.120805993636</v>
      </c>
      <c r="AH4815">
        <v>19.700502475484502</v>
      </c>
      <c r="AI4815">
        <v>93.239867972616693</v>
      </c>
      <c r="AJ4815">
        <v>84.257117823136795</v>
      </c>
      <c r="AK4815">
        <v>19.831576119490901</v>
      </c>
      <c r="AL4815">
        <v>78.351666299366897</v>
      </c>
      <c r="AM4815">
        <v>87.719685899717902</v>
      </c>
      <c r="AN4815">
        <v>0.999999991278816</v>
      </c>
    </row>
    <row r="4816" spans="1:40" x14ac:dyDescent="0.25">
      <c r="A4816" t="str">
        <f>"20190303171112188"</f>
        <v>20190303171112188</v>
      </c>
      <c r="B4816" t="str">
        <f>"1551604272175310"</f>
        <v>1551604272175310</v>
      </c>
      <c r="C4816" t="s">
        <v>40</v>
      </c>
      <c r="D4816">
        <v>5.11327</v>
      </c>
      <c r="E4816">
        <v>0.5274025</v>
      </c>
      <c r="F4816" t="s">
        <v>42</v>
      </c>
      <c r="G4816">
        <v>-331.95960000000002</v>
      </c>
      <c r="H4816" s="1">
        <v>-4.050169E-6</v>
      </c>
      <c r="I4816">
        <v>16.129079999999998</v>
      </c>
      <c r="J4816">
        <v>-351.74110000000002</v>
      </c>
      <c r="K4816">
        <v>1.120797</v>
      </c>
      <c r="L4816">
        <v>17.220669999999998</v>
      </c>
      <c r="M4816">
        <v>0.99890049999999997</v>
      </c>
      <c r="N4816">
        <v>-1.091613E-2</v>
      </c>
      <c r="O4816">
        <v>4.5593439999999999E-2</v>
      </c>
      <c r="P4816">
        <v>0.98161799999999999</v>
      </c>
      <c r="Q4816">
        <v>0.1907932</v>
      </c>
      <c r="R4816">
        <v>4.9396359999999999E-3</v>
      </c>
      <c r="S4816">
        <v>3.0912480000000002</v>
      </c>
      <c r="T4816">
        <v>-0.173533299999999</v>
      </c>
      <c r="U4816">
        <v>-0.16769410000000001</v>
      </c>
      <c r="V4816">
        <v>3.98308E-2</v>
      </c>
      <c r="W4816">
        <v>0.2014871</v>
      </c>
      <c r="X4816">
        <v>0.97868100000000002</v>
      </c>
      <c r="Y4816">
        <v>9.9408209999999997E-2</v>
      </c>
      <c r="Z4816">
        <v>-5.3882000000000001E-3</v>
      </c>
      <c r="AA4816">
        <v>0.99503209999999997</v>
      </c>
      <c r="AB4816">
        <v>34</v>
      </c>
      <c r="AC4816">
        <v>19.781499999999902</v>
      </c>
      <c r="AD4816">
        <v>-1.120801050169</v>
      </c>
      <c r="AE4816">
        <v>-1.0915900000000001</v>
      </c>
      <c r="AF4816">
        <v>1.9860586261580699</v>
      </c>
      <c r="AG4816">
        <v>-1.120801050169</v>
      </c>
      <c r="AH4816">
        <v>19.648269700510799</v>
      </c>
      <c r="AI4816">
        <v>93.248282647990806</v>
      </c>
      <c r="AJ4816">
        <v>84.228113394967806</v>
      </c>
      <c r="AK4816">
        <v>19.780170021630401</v>
      </c>
      <c r="AL4816">
        <v>78.376066183675306</v>
      </c>
      <c r="AM4816">
        <v>87.669436753025906</v>
      </c>
      <c r="AN4816">
        <v>1.0000000219280201</v>
      </c>
    </row>
    <row r="4817" spans="1:40" x14ac:dyDescent="0.25">
      <c r="A4817" t="str">
        <f>"20190303171112206"</f>
        <v>20190303171112206</v>
      </c>
      <c r="B4817" t="str">
        <f>"1551604272195806"</f>
        <v>1551604272195806</v>
      </c>
      <c r="C4817" t="s">
        <v>40</v>
      </c>
      <c r="D4817">
        <v>5.0190489999999999</v>
      </c>
      <c r="E4817">
        <v>0.52762209999999998</v>
      </c>
      <c r="F4817" t="s">
        <v>42</v>
      </c>
      <c r="G4817">
        <v>-330.6345</v>
      </c>
      <c r="H4817" s="1">
        <v>-4.6237899999999998E-6</v>
      </c>
      <c r="I4817">
        <v>16.100169999999999</v>
      </c>
      <c r="J4817">
        <v>-351.48070000000001</v>
      </c>
      <c r="K4817">
        <v>1.1207929999999999</v>
      </c>
      <c r="L4817">
        <v>17.232510000000001</v>
      </c>
      <c r="M4817">
        <v>0.99890080000000003</v>
      </c>
      <c r="N4817">
        <v>-1.088866E-2</v>
      </c>
      <c r="O4817">
        <v>4.5593599999999998E-2</v>
      </c>
      <c r="P4817">
        <v>0.98170360000000001</v>
      </c>
      <c r="Q4817">
        <v>0.19037950000000001</v>
      </c>
      <c r="R4817">
        <v>3.7538599999999999E-3</v>
      </c>
      <c r="S4817">
        <v>3.0888979999999999</v>
      </c>
      <c r="T4817">
        <v>-0.16402610000000001</v>
      </c>
      <c r="U4817">
        <v>-0.163970899999999</v>
      </c>
      <c r="V4817">
        <v>4.1019439999999997E-2</v>
      </c>
      <c r="W4817">
        <v>0.20104659999999999</v>
      </c>
      <c r="X4817">
        <v>0.97872250000000005</v>
      </c>
      <c r="Y4817">
        <v>9.8279350000000001E-2</v>
      </c>
      <c r="Z4817">
        <v>-5.0636320000000002E-3</v>
      </c>
      <c r="AA4817">
        <v>0.99514599999999998</v>
      </c>
      <c r="AB4817">
        <v>34</v>
      </c>
      <c r="AC4817">
        <v>20.8462</v>
      </c>
      <c r="AD4817">
        <v>-1.1207976237899999</v>
      </c>
      <c r="AE4817">
        <v>-1.1323399999999899</v>
      </c>
      <c r="AF4817">
        <v>2.0756893805513199</v>
      </c>
      <c r="AG4817">
        <v>-1.1207976237899999</v>
      </c>
      <c r="AH4817">
        <v>20.713189212846199</v>
      </c>
      <c r="AI4817">
        <v>93.081867562206398</v>
      </c>
      <c r="AJ4817">
        <v>84.277437465164596</v>
      </c>
      <c r="AK4817">
        <v>20.847083275249599</v>
      </c>
      <c r="AL4817">
        <v>78.401832344916201</v>
      </c>
      <c r="AM4817">
        <v>87.600069341418205</v>
      </c>
      <c r="AN4817">
        <v>1.00000003091786</v>
      </c>
    </row>
    <row r="4818" spans="1:40" x14ac:dyDescent="0.25">
      <c r="A4818" t="str">
        <f>"20190303171112220"</f>
        <v>20190303171112220</v>
      </c>
      <c r="B4818" t="str">
        <f>"1551604272205566"</f>
        <v>1551604272205566</v>
      </c>
      <c r="C4818" t="s">
        <v>40</v>
      </c>
      <c r="D4818">
        <v>5.0494199999999996</v>
      </c>
      <c r="E4818">
        <v>0.52750719999999995</v>
      </c>
      <c r="F4818" t="s">
        <v>42</v>
      </c>
      <c r="G4818">
        <v>-330.38229999999999</v>
      </c>
      <c r="H4818" s="1">
        <v>-4.736343E-6</v>
      </c>
      <c r="I4818">
        <v>16.075569999999999</v>
      </c>
      <c r="J4818">
        <v>-351.28539999999998</v>
      </c>
      <c r="K4818">
        <v>1.12079</v>
      </c>
      <c r="L4818">
        <v>17.241420000000002</v>
      </c>
      <c r="M4818">
        <v>0.99890100000000004</v>
      </c>
      <c r="N4818">
        <v>-1.086765E-2</v>
      </c>
      <c r="O4818">
        <v>4.5593719999999997E-2</v>
      </c>
      <c r="P4818">
        <v>0.98182029999999998</v>
      </c>
      <c r="Q4818">
        <v>0.1897818</v>
      </c>
      <c r="R4818">
        <v>3.4605679999999998E-3</v>
      </c>
      <c r="S4818">
        <v>3.0883790000000002</v>
      </c>
      <c r="T4818">
        <v>-0.1640617</v>
      </c>
      <c r="U4818">
        <v>-0.16934199999999999</v>
      </c>
      <c r="V4818">
        <v>4.1317819999999998E-2</v>
      </c>
      <c r="W4818">
        <v>0.20043</v>
      </c>
      <c r="X4818">
        <v>0.97883640000000005</v>
      </c>
      <c r="Y4818">
        <v>0.10001069999999999</v>
      </c>
      <c r="Z4818">
        <v>-5.1206749999999999E-3</v>
      </c>
      <c r="AA4818">
        <v>0.9949732</v>
      </c>
      <c r="AB4818">
        <v>34</v>
      </c>
      <c r="AC4818">
        <v>20.903099999999899</v>
      </c>
      <c r="AD4818">
        <v>-1.120794736343</v>
      </c>
      <c r="AE4818">
        <v>-1.1658499999999901</v>
      </c>
      <c r="AF4818">
        <v>2.11169158758692</v>
      </c>
      <c r="AG4818">
        <v>-1.120794736343</v>
      </c>
      <c r="AH4818">
        <v>20.768677195418</v>
      </c>
      <c r="AI4818">
        <v>93.073192308587906</v>
      </c>
      <c r="AJ4818">
        <v>84.194303266449396</v>
      </c>
      <c r="AK4818">
        <v>20.905821549261699</v>
      </c>
      <c r="AL4818">
        <v>78.437894882548306</v>
      </c>
      <c r="AM4818">
        <v>87.582913569720006</v>
      </c>
      <c r="AN4818">
        <v>1.0000000225572501</v>
      </c>
    </row>
    <row r="4819" spans="1:40" x14ac:dyDescent="0.25">
      <c r="A4819" t="str">
        <f>"20190303171112230"</f>
        <v>20190303171112230</v>
      </c>
      <c r="B4819" t="str">
        <f>"1551604272225086"</f>
        <v>1551604272225086</v>
      </c>
      <c r="C4819" t="s">
        <v>40</v>
      </c>
      <c r="D4819">
        <v>5.0040100000000001</v>
      </c>
      <c r="E4819">
        <v>0.52756409999999998</v>
      </c>
      <c r="F4819" t="s">
        <v>42</v>
      </c>
      <c r="G4819">
        <v>-330.72269999999997</v>
      </c>
      <c r="H4819" s="1">
        <v>-4.5832569999999997E-6</v>
      </c>
      <c r="I4819">
        <v>16.115379999999998</v>
      </c>
      <c r="J4819">
        <v>-351.1028</v>
      </c>
      <c r="K4819">
        <v>1.1207849999999999</v>
      </c>
      <c r="L4819">
        <v>17.249759999999998</v>
      </c>
      <c r="M4819">
        <v>0.99890120000000004</v>
      </c>
      <c r="N4819">
        <v>-1.0848500000000001E-2</v>
      </c>
      <c r="O4819">
        <v>4.5594009999999997E-2</v>
      </c>
      <c r="P4819">
        <v>0.98194619999999999</v>
      </c>
      <c r="Q4819">
        <v>0.18913369999999999</v>
      </c>
      <c r="R4819">
        <v>3.2269540000000002E-3</v>
      </c>
      <c r="S4819">
        <v>3.0886840000000002</v>
      </c>
      <c r="T4819">
        <v>-0.1683519</v>
      </c>
      <c r="U4819">
        <v>-0.16912839999999901</v>
      </c>
      <c r="V4819">
        <v>4.1557190000000001E-2</v>
      </c>
      <c r="W4819">
        <v>0.19976430000000001</v>
      </c>
      <c r="X4819">
        <v>0.97896229999999995</v>
      </c>
      <c r="Y4819">
        <v>9.9926349999999997E-2</v>
      </c>
      <c r="Z4819">
        <v>-5.2497960000000001E-3</v>
      </c>
      <c r="AA4819">
        <v>0.994981</v>
      </c>
      <c r="AB4819">
        <v>34</v>
      </c>
      <c r="AC4819">
        <v>20.380099999999999</v>
      </c>
      <c r="AD4819">
        <v>-1.1207895832570001</v>
      </c>
      <c r="AE4819">
        <v>-1.1343799999999999</v>
      </c>
      <c r="AF4819">
        <v>2.05626557201535</v>
      </c>
      <c r="AG4819">
        <v>-1.1207895832570001</v>
      </c>
      <c r="AH4819">
        <v>20.246136519931301</v>
      </c>
      <c r="AI4819">
        <v>93.152373017208902</v>
      </c>
      <c r="AJ4819">
        <v>84.200733823603102</v>
      </c>
      <c r="AK4819">
        <v>20.381129541227399</v>
      </c>
      <c r="AL4819">
        <v>78.476823487944799</v>
      </c>
      <c r="AM4819">
        <v>87.569239486572897</v>
      </c>
      <c r="AN4819">
        <v>0.99999998020823699</v>
      </c>
    </row>
    <row r="4820" spans="1:40" x14ac:dyDescent="0.25">
      <c r="A4820" t="str">
        <f>"20190303171112241"</f>
        <v>20190303171112241</v>
      </c>
      <c r="B4820" t="str">
        <f>"1551604272235822"</f>
        <v>1551604272235822</v>
      </c>
      <c r="C4820" t="s">
        <v>40</v>
      </c>
      <c r="D4820">
        <v>5.0448529999999998</v>
      </c>
      <c r="E4820">
        <v>0.52763190000000004</v>
      </c>
      <c r="F4820" t="s">
        <v>42</v>
      </c>
      <c r="G4820">
        <v>-330.87509999999997</v>
      </c>
      <c r="H4820" s="1">
        <v>-4.5147350000000001E-6</v>
      </c>
      <c r="I4820">
        <v>16.13306</v>
      </c>
      <c r="J4820">
        <v>-350.9375</v>
      </c>
      <c r="K4820">
        <v>1.120779</v>
      </c>
      <c r="L4820">
        <v>17.25732</v>
      </c>
      <c r="M4820">
        <v>0.99890140000000005</v>
      </c>
      <c r="N4820">
        <v>-1.0831850000000001E-2</v>
      </c>
      <c r="O4820">
        <v>4.5593920000000003E-2</v>
      </c>
      <c r="P4820">
        <v>0.98208410000000002</v>
      </c>
      <c r="Q4820">
        <v>0.1884265</v>
      </c>
      <c r="R4820">
        <v>2.6100110000000002E-3</v>
      </c>
      <c r="S4820">
        <v>3.0886840000000002</v>
      </c>
      <c r="T4820">
        <v>-0.17113909999999999</v>
      </c>
      <c r="U4820">
        <v>-0.17050170000000001</v>
      </c>
      <c r="V4820">
        <v>4.2179590000000003E-2</v>
      </c>
      <c r="W4820">
        <v>0.19904189999999999</v>
      </c>
      <c r="X4820">
        <v>0.97908280000000003</v>
      </c>
      <c r="Y4820">
        <v>0.1003593</v>
      </c>
      <c r="Z4820">
        <v>-5.3499970000000004E-3</v>
      </c>
      <c r="AA4820">
        <v>0.99493690000000001</v>
      </c>
      <c r="AB4820">
        <v>34</v>
      </c>
      <c r="AC4820">
        <v>20.0624</v>
      </c>
      <c r="AD4820">
        <v>-1.120783514735</v>
      </c>
      <c r="AE4820">
        <v>-1.12425999999999</v>
      </c>
      <c r="AF4820">
        <v>2.0315473813772802</v>
      </c>
      <c r="AG4820">
        <v>-1.120783514735</v>
      </c>
      <c r="AH4820">
        <v>19.928272224642001</v>
      </c>
      <c r="AI4820">
        <v>93.202411358656406</v>
      </c>
      <c r="AJ4820">
        <v>84.179206082583804</v>
      </c>
      <c r="AK4820">
        <v>20.062885493096999</v>
      </c>
      <c r="AL4820">
        <v>78.519062012250401</v>
      </c>
      <c r="AM4820">
        <v>87.533182021478595</v>
      </c>
      <c r="AN4820">
        <v>0.99999996251200796</v>
      </c>
    </row>
    <row r="4821" spans="1:40" x14ac:dyDescent="0.25">
      <c r="A4821" t="str">
        <f>"20190303171112253"</f>
        <v>20190303171112253</v>
      </c>
      <c r="B4821" t="str">
        <f>"1551604272245581"</f>
        <v>1551604272245581</v>
      </c>
      <c r="C4821" t="s">
        <v>40</v>
      </c>
      <c r="D4821">
        <v>5.023237</v>
      </c>
      <c r="E4821">
        <v>0.52763570000000004</v>
      </c>
      <c r="F4821" t="s">
        <v>42</v>
      </c>
      <c r="G4821">
        <v>-330.8374</v>
      </c>
      <c r="H4821" s="1">
        <v>-4.5312739999999998E-6</v>
      </c>
      <c r="I4821">
        <v>16.131019999999999</v>
      </c>
      <c r="J4821">
        <v>-350.75540000000001</v>
      </c>
      <c r="K4821">
        <v>1.1207750000000001</v>
      </c>
      <c r="L4821">
        <v>17.265629999999899</v>
      </c>
      <c r="M4821">
        <v>0.9989017</v>
      </c>
      <c r="N4821">
        <v>-1.0814219999999999E-2</v>
      </c>
      <c r="O4821">
        <v>4.5593359999999999E-2</v>
      </c>
      <c r="P4821">
        <v>0.98217670000000001</v>
      </c>
      <c r="Q4821">
        <v>0.18795129999999999</v>
      </c>
      <c r="R4821">
        <v>1.947776E-3</v>
      </c>
      <c r="S4821">
        <v>3.0882260000000001</v>
      </c>
      <c r="T4821">
        <v>-0.1721994</v>
      </c>
      <c r="U4821">
        <v>-0.17303470000000001</v>
      </c>
      <c r="V4821">
        <v>4.2845170000000002E-2</v>
      </c>
      <c r="W4821">
        <v>0.1985498</v>
      </c>
      <c r="X4821">
        <v>0.97915390000000002</v>
      </c>
      <c r="Y4821">
        <v>0.101176</v>
      </c>
      <c r="Z4821">
        <v>-5.4105369999999896E-3</v>
      </c>
      <c r="AA4821">
        <v>0.99485389999999996</v>
      </c>
      <c r="AB4821">
        <v>34</v>
      </c>
      <c r="AC4821">
        <v>19.917999999999999</v>
      </c>
      <c r="AD4821">
        <v>-1.1207795312739901</v>
      </c>
      <c r="AE4821">
        <v>-1.1346099999999899</v>
      </c>
      <c r="AF4821">
        <v>2.0351883439121998</v>
      </c>
      <c r="AG4821">
        <v>-1.1207795312739901</v>
      </c>
      <c r="AH4821">
        <v>19.783114573393402</v>
      </c>
      <c r="AI4821">
        <v>93.225543958680802</v>
      </c>
      <c r="AJ4821">
        <v>84.1263580543731</v>
      </c>
      <c r="AK4821">
        <v>19.919080314535901</v>
      </c>
      <c r="AL4821">
        <v>78.547832445281102</v>
      </c>
      <c r="AM4821">
        <v>87.494487391989196</v>
      </c>
      <c r="AN4821">
        <v>1.0000000457787801</v>
      </c>
    </row>
    <row r="4822" spans="1:40" x14ac:dyDescent="0.25">
      <c r="A4822" t="str">
        <f>"20190303171112268"</f>
        <v>20190303171112268</v>
      </c>
      <c r="B4822" t="str">
        <f>"1551604272255342"</f>
        <v>1551604272255342</v>
      </c>
      <c r="C4822" t="s">
        <v>40</v>
      </c>
      <c r="D4822">
        <v>5.0394649999999999</v>
      </c>
      <c r="E4822">
        <v>0.52763859999999996</v>
      </c>
      <c r="F4822" t="s">
        <v>42</v>
      </c>
      <c r="G4822">
        <v>-330.90910000000002</v>
      </c>
      <c r="H4822" s="1">
        <v>-4.498545E-6</v>
      </c>
      <c r="I4822">
        <v>16.142150000000001</v>
      </c>
      <c r="J4822">
        <v>-350.54899999999998</v>
      </c>
      <c r="K4822">
        <v>1.120768</v>
      </c>
      <c r="L4822">
        <v>17.275020000000001</v>
      </c>
      <c r="M4822">
        <v>0.99890219999999996</v>
      </c>
      <c r="N4822">
        <v>-1.079569E-2</v>
      </c>
      <c r="O4822">
        <v>4.5586330000000001E-2</v>
      </c>
      <c r="P4822">
        <v>0.98222949999999998</v>
      </c>
      <c r="Q4822">
        <v>0.1876767</v>
      </c>
      <c r="R4822">
        <v>1.67121E-3</v>
      </c>
      <c r="S4822">
        <v>3.088165</v>
      </c>
      <c r="T4822">
        <v>-0.17439749999999901</v>
      </c>
      <c r="U4822">
        <v>-0.17480470000000001</v>
      </c>
      <c r="V4822">
        <v>4.3118610000000002E-2</v>
      </c>
      <c r="W4822">
        <v>0.19825770000000001</v>
      </c>
      <c r="X4822">
        <v>0.97920099999999999</v>
      </c>
      <c r="Y4822">
        <v>0.1017315</v>
      </c>
      <c r="Z4822">
        <v>-5.4971000000000004E-3</v>
      </c>
      <c r="AA4822">
        <v>0.99479669999999998</v>
      </c>
      <c r="AB4822">
        <v>34</v>
      </c>
      <c r="AC4822">
        <v>19.639900000000001</v>
      </c>
      <c r="AD4822">
        <v>-1.1207724985450001</v>
      </c>
      <c r="AE4822">
        <v>-1.13287</v>
      </c>
      <c r="AF4822">
        <v>2.0204971462850798</v>
      </c>
      <c r="AG4822">
        <v>-1.1207724985450001</v>
      </c>
      <c r="AH4822">
        <v>19.5045270193568</v>
      </c>
      <c r="AI4822">
        <v>93.271256487663507</v>
      </c>
      <c r="AJ4822">
        <v>84.085757380738897</v>
      </c>
      <c r="AK4822">
        <v>19.640904102419999</v>
      </c>
      <c r="AL4822">
        <v>78.564907052653595</v>
      </c>
      <c r="AM4822">
        <v>87.478638786662799</v>
      </c>
      <c r="AN4822">
        <v>0.99999996426931004</v>
      </c>
    </row>
    <row r="4823" spans="1:40" x14ac:dyDescent="0.25">
      <c r="A4823" t="str">
        <f>"20190303171112288"</f>
        <v>20190303171112288</v>
      </c>
      <c r="B4823" t="str">
        <f>"1551604272275838"</f>
        <v>1551604272275838</v>
      </c>
      <c r="C4823" t="s">
        <v>40</v>
      </c>
      <c r="D4823">
        <v>5.0356690000000004</v>
      </c>
      <c r="E4823">
        <v>0.52750149999999996</v>
      </c>
      <c r="F4823" t="s">
        <v>42</v>
      </c>
      <c r="G4823">
        <v>-330.84010000000001</v>
      </c>
      <c r="H4823" s="1">
        <v>-4.5257109999999998E-6</v>
      </c>
      <c r="I4823">
        <v>16.155819999999999</v>
      </c>
      <c r="J4823">
        <v>-350.23239999999998</v>
      </c>
      <c r="K4823">
        <v>1.120746</v>
      </c>
      <c r="L4823">
        <v>17.289429999999999</v>
      </c>
      <c r="M4823">
        <v>0.99890389999999996</v>
      </c>
      <c r="N4823">
        <v>-1.076918E-2</v>
      </c>
      <c r="O4823">
        <v>4.5555489999999997E-2</v>
      </c>
      <c r="P4823">
        <v>0.98238119999999995</v>
      </c>
      <c r="Q4823">
        <v>0.186888</v>
      </c>
      <c r="R4823">
        <v>8.3042119999999998E-4</v>
      </c>
      <c r="S4823">
        <v>3.088165</v>
      </c>
      <c r="T4823">
        <v>-0.17561270000000001</v>
      </c>
      <c r="U4823">
        <v>-0.17535400000000001</v>
      </c>
      <c r="V4823">
        <v>4.39412E-2</v>
      </c>
      <c r="W4823">
        <v>0.1974426</v>
      </c>
      <c r="X4823">
        <v>0.97932920000000001</v>
      </c>
      <c r="Y4823">
        <v>0.1018737</v>
      </c>
      <c r="Z4823">
        <v>-5.5381669999999897E-3</v>
      </c>
      <c r="AA4823">
        <v>0.9947819</v>
      </c>
      <c r="AB4823">
        <v>34</v>
      </c>
      <c r="AC4823">
        <v>19.392299999999899</v>
      </c>
      <c r="AD4823">
        <v>-1.120750525711</v>
      </c>
      <c r="AE4823">
        <v>-1.13360999999999</v>
      </c>
      <c r="AF4823">
        <v>2.0092216550397102</v>
      </c>
      <c r="AG4823">
        <v>-1.120750525711</v>
      </c>
      <c r="AH4823">
        <v>19.256420326398501</v>
      </c>
      <c r="AI4823">
        <v>93.3129916995792</v>
      </c>
      <c r="AJ4823">
        <v>84.043292565765299</v>
      </c>
      <c r="AK4823">
        <v>19.3933694129435</v>
      </c>
      <c r="AL4823">
        <v>78.612551590469195</v>
      </c>
      <c r="AM4823">
        <v>87.430937585941606</v>
      </c>
      <c r="AN4823">
        <v>1.0000000456624101</v>
      </c>
    </row>
    <row r="4824" spans="1:40" x14ac:dyDescent="0.25">
      <c r="A4824" t="str">
        <f>"20190303171112309"</f>
        <v>20190303171112309</v>
      </c>
      <c r="B4824" t="str">
        <f>"1551604272295358"</f>
        <v>1551604272295358</v>
      </c>
      <c r="C4824" t="s">
        <v>40</v>
      </c>
      <c r="D4824">
        <v>4.9845309999999996</v>
      </c>
      <c r="E4824">
        <v>0.52753260000000002</v>
      </c>
      <c r="F4824" t="s">
        <v>42</v>
      </c>
      <c r="G4824">
        <v>-331.09070000000003</v>
      </c>
      <c r="H4824" s="1">
        <v>-4.4108659999999999E-6</v>
      </c>
      <c r="I4824">
        <v>16.197209999999998</v>
      </c>
      <c r="J4824">
        <v>-349.90440000000001</v>
      </c>
      <c r="K4824">
        <v>1.120709</v>
      </c>
      <c r="L4824">
        <v>17.304349999999999</v>
      </c>
      <c r="M4824">
        <v>0.9989074</v>
      </c>
      <c r="N4824">
        <v>-1.0744449999999999E-2</v>
      </c>
      <c r="O4824">
        <v>4.5481830000000001E-2</v>
      </c>
      <c r="P4824">
        <v>0.98268800000000001</v>
      </c>
      <c r="Q4824">
        <v>0.1852656</v>
      </c>
      <c r="R4824">
        <v>1.1428720000000001E-3</v>
      </c>
      <c r="S4824">
        <v>3.0883790000000002</v>
      </c>
      <c r="T4824">
        <v>-0.18082509999999999</v>
      </c>
      <c r="U4824">
        <v>-0.17620849999999999</v>
      </c>
      <c r="V4824">
        <v>4.3583810000000001E-2</v>
      </c>
      <c r="W4824">
        <v>0.19579640000000001</v>
      </c>
      <c r="X4824">
        <v>0.97967559999999998</v>
      </c>
      <c r="Y4824">
        <v>0.1020562</v>
      </c>
      <c r="Z4824">
        <v>-5.7027960000000004E-3</v>
      </c>
      <c r="AA4824">
        <v>0.99476229999999999</v>
      </c>
      <c r="AB4824">
        <v>34</v>
      </c>
      <c r="AC4824">
        <v>18.813699999999901</v>
      </c>
      <c r="AD4824">
        <v>-1.120713410866</v>
      </c>
      <c r="AE4824">
        <v>-1.10713999999999</v>
      </c>
      <c r="AF4824">
        <v>1.9548124003201299</v>
      </c>
      <c r="AG4824">
        <v>-1.120713410866</v>
      </c>
      <c r="AH4824">
        <v>18.677822141941899</v>
      </c>
      <c r="AI4824">
        <v>93.415156391942702</v>
      </c>
      <c r="AJ4824">
        <v>84.025201550328902</v>
      </c>
      <c r="AK4824">
        <v>18.813248790035001</v>
      </c>
      <c r="AL4824">
        <v>78.708749531334902</v>
      </c>
      <c r="AM4824">
        <v>87.452704883933805</v>
      </c>
      <c r="AN4824">
        <v>1.00000002999121</v>
      </c>
    </row>
    <row r="4825" spans="1:40" x14ac:dyDescent="0.25">
      <c r="A4825" t="str">
        <f>"20190303171112332"</f>
        <v>20190303171112332</v>
      </c>
      <c r="B4825" t="str">
        <f>"1551604272325614"</f>
        <v>1551604272325614</v>
      </c>
      <c r="C4825" t="s">
        <v>40</v>
      </c>
      <c r="D4825">
        <v>4.9879049999999996</v>
      </c>
      <c r="E4825">
        <v>0.52754690000000004</v>
      </c>
      <c r="F4825" t="s">
        <v>42</v>
      </c>
      <c r="G4825">
        <v>-331.28579999999999</v>
      </c>
      <c r="H4825" s="1">
        <v>-4.3184059999999998E-6</v>
      </c>
      <c r="I4825">
        <v>16.246489999999898</v>
      </c>
      <c r="J4825">
        <v>-349.56270000000001</v>
      </c>
      <c r="K4825">
        <v>1.1206469999999999</v>
      </c>
      <c r="L4825">
        <v>17.319790000000001</v>
      </c>
      <c r="M4825">
        <v>0.99891439999999998</v>
      </c>
      <c r="N4825">
        <v>-1.0721649999999999E-2</v>
      </c>
      <c r="O4825">
        <v>4.5336359999999999E-2</v>
      </c>
      <c r="P4825">
        <v>0.98305520000000002</v>
      </c>
      <c r="Q4825">
        <v>0.18330179999999999</v>
      </c>
      <c r="R4825">
        <v>1.7423650000000001E-3</v>
      </c>
      <c r="S4825">
        <v>3.088104</v>
      </c>
      <c r="T4825">
        <v>-0.18588270000000001</v>
      </c>
      <c r="U4825">
        <v>-0.17544560000000001</v>
      </c>
      <c r="V4825">
        <v>4.2881530000000001E-2</v>
      </c>
      <c r="W4825">
        <v>0.19381000000000001</v>
      </c>
      <c r="X4825">
        <v>0.98010149999999996</v>
      </c>
      <c r="Y4825">
        <v>0.1016579</v>
      </c>
      <c r="Z4825">
        <v>-5.8394800000000002E-3</v>
      </c>
      <c r="AA4825">
        <v>0.99480230000000003</v>
      </c>
      <c r="AB4825">
        <v>34</v>
      </c>
      <c r="AC4825">
        <v>18.276900000000001</v>
      </c>
      <c r="AD4825">
        <v>-1.1206513184060001</v>
      </c>
      <c r="AE4825">
        <v>-1.0732999999999999</v>
      </c>
      <c r="AF4825">
        <v>1.8937566936732699</v>
      </c>
      <c r="AG4825">
        <v>-1.1206513184060001</v>
      </c>
      <c r="AH4825">
        <v>18.1414734480379</v>
      </c>
      <c r="AI4825">
        <v>93.515779156900606</v>
      </c>
      <c r="AJ4825">
        <v>84.040577635088894</v>
      </c>
      <c r="AK4825">
        <v>18.274442061473302</v>
      </c>
      <c r="AL4825">
        <v>78.8247850314267</v>
      </c>
      <c r="AM4825">
        <v>87.494785223283898</v>
      </c>
      <c r="AN4825">
        <v>1.00000004600869</v>
      </c>
    </row>
    <row r="4826" spans="1:40" x14ac:dyDescent="0.25">
      <c r="A4826" t="str">
        <f>"20190303171112344"</f>
        <v>20190303171112344</v>
      </c>
      <c r="B4826" t="str">
        <f>"1551604272335374"</f>
        <v>1551604272335374</v>
      </c>
      <c r="C4826" t="s">
        <v>40</v>
      </c>
      <c r="D4826">
        <v>4.9810699999999999</v>
      </c>
      <c r="E4826">
        <v>0.52758380000000005</v>
      </c>
      <c r="F4826" t="s">
        <v>42</v>
      </c>
      <c r="G4826">
        <v>-331.4119</v>
      </c>
      <c r="H4826" s="1">
        <v>-4.2562409999999997E-6</v>
      </c>
      <c r="I4826">
        <v>16.292089999999899</v>
      </c>
      <c r="J4826">
        <v>-349.3605</v>
      </c>
      <c r="K4826">
        <v>1.120598</v>
      </c>
      <c r="L4826">
        <v>17.328889999999902</v>
      </c>
      <c r="M4826">
        <v>0.99892060000000005</v>
      </c>
      <c r="N4826">
        <v>-1.0709649999999999E-2</v>
      </c>
      <c r="O4826">
        <v>4.5200820000000003E-2</v>
      </c>
      <c r="P4826">
        <v>0.98318830000000002</v>
      </c>
      <c r="Q4826">
        <v>0.1825852</v>
      </c>
      <c r="R4826">
        <v>1.9344379999999999E-3</v>
      </c>
      <c r="S4826">
        <v>3.087555</v>
      </c>
      <c r="T4826">
        <v>-0.19062889999999999</v>
      </c>
      <c r="U4826">
        <v>-0.17480470000000001</v>
      </c>
      <c r="V4826">
        <v>4.2581210000000001E-2</v>
      </c>
      <c r="W4826">
        <v>0.19307879999999999</v>
      </c>
      <c r="X4826">
        <v>0.98025879999999999</v>
      </c>
      <c r="Y4826">
        <v>0.10131419999999999</v>
      </c>
      <c r="Z4826">
        <v>-5.9684710000000004E-3</v>
      </c>
      <c r="AA4826">
        <v>0.99483659999999996</v>
      </c>
      <c r="AB4826">
        <v>35</v>
      </c>
      <c r="AC4826">
        <v>17.948599999999999</v>
      </c>
      <c r="AD4826">
        <v>-1.1206022562410001</v>
      </c>
      <c r="AE4826">
        <v>-1.03679999999999</v>
      </c>
      <c r="AF4826">
        <v>1.8399298888023901</v>
      </c>
      <c r="AG4826">
        <v>-1.1206022562410001</v>
      </c>
      <c r="AH4826">
        <v>17.814177382613799</v>
      </c>
      <c r="AI4826">
        <v>93.580455846692402</v>
      </c>
      <c r="AJ4826">
        <v>84.103138625439797</v>
      </c>
      <c r="AK4826">
        <v>17.943968547443198</v>
      </c>
      <c r="AL4826">
        <v>78.867485181160603</v>
      </c>
      <c r="AM4826">
        <v>87.512707021985094</v>
      </c>
      <c r="AN4826">
        <v>0.99999994871596998</v>
      </c>
    </row>
    <row r="4827" spans="1:40" x14ac:dyDescent="0.25">
      <c r="A4827" t="str">
        <f>"20190303171112363"</f>
        <v>20190303171112363</v>
      </c>
      <c r="B4827" t="str">
        <f>"1551604272355870"</f>
        <v>1551604272355870</v>
      </c>
      <c r="C4827" t="s">
        <v>40</v>
      </c>
      <c r="D4827">
        <v>4.9704410000000001</v>
      </c>
      <c r="E4827">
        <v>0.52767109999999995</v>
      </c>
      <c r="F4827" t="s">
        <v>42</v>
      </c>
      <c r="G4827">
        <v>-331.32420000000002</v>
      </c>
      <c r="H4827" s="1">
        <v>-4.2910260000000004E-6</v>
      </c>
      <c r="I4827">
        <v>16.307929999999999</v>
      </c>
      <c r="J4827">
        <v>-349.05459999999999</v>
      </c>
      <c r="K4827">
        <v>1.1205149999999999</v>
      </c>
      <c r="L4827">
        <v>17.342469999999999</v>
      </c>
      <c r="M4827">
        <v>0.99893350000000003</v>
      </c>
      <c r="N4827">
        <v>-1.0693350000000001E-2</v>
      </c>
      <c r="O4827">
        <v>4.4917350000000002E-2</v>
      </c>
      <c r="P4827">
        <v>0.98329650000000002</v>
      </c>
      <c r="Q4827">
        <v>0.18200479999999999</v>
      </c>
      <c r="R4827">
        <v>1.6166150000000001E-3</v>
      </c>
      <c r="S4827">
        <v>3.0872799999999998</v>
      </c>
      <c r="T4827">
        <v>-0.1918144</v>
      </c>
      <c r="U4827">
        <v>-0.1747437</v>
      </c>
      <c r="V4827">
        <v>4.2661089999999999E-2</v>
      </c>
      <c r="W4827">
        <v>0.1924757</v>
      </c>
      <c r="X4827">
        <v>0.98037399999999997</v>
      </c>
      <c r="Y4827">
        <v>0.1010148</v>
      </c>
      <c r="Z4827">
        <v>-5.9801539999999997E-3</v>
      </c>
      <c r="AA4827">
        <v>0.99486699999999995</v>
      </c>
      <c r="AB4827">
        <v>35</v>
      </c>
      <c r="AC4827">
        <v>17.7303999999999</v>
      </c>
      <c r="AD4827">
        <v>-1.120519291026</v>
      </c>
      <c r="AE4827">
        <v>-1.03454</v>
      </c>
      <c r="AF4827">
        <v>1.82268881349184</v>
      </c>
      <c r="AG4827">
        <v>-1.120519291026</v>
      </c>
      <c r="AH4827">
        <v>17.595992424865798</v>
      </c>
      <c r="AI4827">
        <v>93.624355821580394</v>
      </c>
      <c r="AJ4827">
        <v>84.086082650199401</v>
      </c>
      <c r="AK4827">
        <v>17.725594698297801</v>
      </c>
      <c r="AL4827">
        <v>78.902701645216894</v>
      </c>
      <c r="AM4827">
        <v>87.508339324960701</v>
      </c>
      <c r="AN4827">
        <v>1.0000000217832301</v>
      </c>
    </row>
    <row r="4828" spans="1:40" x14ac:dyDescent="0.25">
      <c r="A4828" t="str">
        <f>"20190303171112376"</f>
        <v>20190303171112376</v>
      </c>
      <c r="B4828" t="str">
        <f>"1551604272365631"</f>
        <v>1551604272365631</v>
      </c>
      <c r="C4828" t="s">
        <v>40</v>
      </c>
      <c r="D4828">
        <v>4.9260129999999904</v>
      </c>
      <c r="E4828">
        <v>0.52766169999999901</v>
      </c>
      <c r="F4828" t="s">
        <v>42</v>
      </c>
      <c r="G4828">
        <v>-331.12740000000002</v>
      </c>
      <c r="H4828" s="1">
        <v>-4.3735410000000002E-6</v>
      </c>
      <c r="I4828">
        <v>16.318709999999999</v>
      </c>
      <c r="J4828">
        <v>-348.86989999999997</v>
      </c>
      <c r="K4828">
        <v>1.1204559999999999</v>
      </c>
      <c r="L4828">
        <v>17.350619999999999</v>
      </c>
      <c r="M4828">
        <v>0.99894309999999997</v>
      </c>
      <c r="N4828">
        <v>-1.068435E-2</v>
      </c>
      <c r="O4828">
        <v>4.4705420000000003E-2</v>
      </c>
      <c r="P4828">
        <v>0.98333579999999998</v>
      </c>
      <c r="Q4828">
        <v>0.1817916</v>
      </c>
      <c r="R4828">
        <v>1.6511049999999999E-3</v>
      </c>
      <c r="S4828">
        <v>3.0869140000000002</v>
      </c>
      <c r="T4828">
        <v>-0.1929439</v>
      </c>
      <c r="U4828">
        <v>-0.1762695</v>
      </c>
      <c r="V4828">
        <v>4.2445209999999997E-2</v>
      </c>
      <c r="W4828">
        <v>0.1922488</v>
      </c>
      <c r="X4828">
        <v>0.98042790000000002</v>
      </c>
      <c r="Y4828">
        <v>0.10129680000000001</v>
      </c>
      <c r="Z4828">
        <v>-6.0148900000000002E-3</v>
      </c>
      <c r="AA4828">
        <v>0.99483809999999995</v>
      </c>
      <c r="AB4828">
        <v>35</v>
      </c>
      <c r="AC4828">
        <v>17.7424999999999</v>
      </c>
      <c r="AD4828">
        <v>-1.1204603735409999</v>
      </c>
      <c r="AE4828">
        <v>-1.0319100000000001</v>
      </c>
      <c r="AF4828">
        <v>1.8168879060079399</v>
      </c>
      <c r="AG4828">
        <v>-1.1204603735409999</v>
      </c>
      <c r="AH4828">
        <v>17.608636819130599</v>
      </c>
      <c r="AI4828">
        <v>93.621719449673705</v>
      </c>
      <c r="AJ4828">
        <v>84.108975033960803</v>
      </c>
      <c r="AK4828">
        <v>17.7375478502445</v>
      </c>
      <c r="AL4828">
        <v>78.915949588934694</v>
      </c>
      <c r="AM4828">
        <v>87.521068345936698</v>
      </c>
      <c r="AN4828">
        <v>1.0000000320258899</v>
      </c>
    </row>
    <row r="4829" spans="1:40" x14ac:dyDescent="0.25">
      <c r="A4829" t="str">
        <f>"20190303171112388"</f>
        <v>20190303171112388</v>
      </c>
      <c r="B4829" t="str">
        <f>"1551604272375391"</f>
        <v>1551604272375391</v>
      </c>
      <c r="C4829" t="s">
        <v>40</v>
      </c>
      <c r="D4829">
        <v>4.9816909999999996</v>
      </c>
      <c r="E4829">
        <v>0.52765450000000003</v>
      </c>
      <c r="F4829" t="s">
        <v>42</v>
      </c>
      <c r="G4829">
        <v>-330.9819</v>
      </c>
      <c r="H4829" s="1">
        <v>-4.4341379999999901E-6</v>
      </c>
      <c r="I4829">
        <v>16.329079999999902</v>
      </c>
      <c r="J4829">
        <v>-348.69409999999999</v>
      </c>
      <c r="K4829">
        <v>1.1203970000000001</v>
      </c>
      <c r="L4829">
        <v>17.358280000000001</v>
      </c>
      <c r="M4829">
        <v>0.99895509999999998</v>
      </c>
      <c r="N4829">
        <v>-1.067705E-2</v>
      </c>
      <c r="O4829">
        <v>4.443805E-2</v>
      </c>
      <c r="P4829">
        <v>0.98345229999999995</v>
      </c>
      <c r="Q4829">
        <v>0.1811577</v>
      </c>
      <c r="R4829">
        <v>1.831977E-3</v>
      </c>
      <c r="S4829">
        <v>3.086884</v>
      </c>
      <c r="T4829">
        <v>-0.1933541</v>
      </c>
      <c r="U4829">
        <v>-0.1762695</v>
      </c>
      <c r="V4829">
        <v>4.2033859999999999E-2</v>
      </c>
      <c r="W4829">
        <v>0.19160389999999999</v>
      </c>
      <c r="X4829">
        <v>0.98057179999999999</v>
      </c>
      <c r="Y4829">
        <v>0.10103090000000001</v>
      </c>
      <c r="Z4829">
        <v>-6.0039319999999896E-3</v>
      </c>
      <c r="AA4829">
        <v>0.99486520000000001</v>
      </c>
      <c r="AB4829">
        <v>35</v>
      </c>
      <c r="AC4829">
        <v>17.7121999999999</v>
      </c>
      <c r="AD4829">
        <v>-1.120401434138</v>
      </c>
      <c r="AE4829">
        <v>-1.0291999999999999</v>
      </c>
      <c r="AF4829">
        <v>1.8081131878723</v>
      </c>
      <c r="AG4829">
        <v>-1.120401434138</v>
      </c>
      <c r="AH4829">
        <v>17.5788608220216</v>
      </c>
      <c r="AI4829">
        <v>93.627767052140499</v>
      </c>
      <c r="AJ4829">
        <v>84.127365948872196</v>
      </c>
      <c r="AK4829">
        <v>17.7070867302835</v>
      </c>
      <c r="AL4829">
        <v>78.953598964259797</v>
      </c>
      <c r="AM4829">
        <v>87.545422747617295</v>
      </c>
      <c r="AN4829">
        <v>0.99999997741847402</v>
      </c>
    </row>
    <row r="4830" spans="1:40" x14ac:dyDescent="0.25">
      <c r="A4830" t="str">
        <f>"20190303171112398"</f>
        <v>20190303171112398</v>
      </c>
      <c r="B4830" t="str">
        <f>"1551604272385150"</f>
        <v>1551604272385150</v>
      </c>
      <c r="C4830" t="s">
        <v>40</v>
      </c>
      <c r="D4830">
        <v>4.9807100000000002</v>
      </c>
      <c r="E4830">
        <v>0.52776190000000001</v>
      </c>
      <c r="F4830" t="s">
        <v>42</v>
      </c>
      <c r="G4830">
        <v>-330.97179999999997</v>
      </c>
      <c r="H4830" s="1">
        <v>-4.4351920000000001E-6</v>
      </c>
      <c r="I4830">
        <v>16.347570000000001</v>
      </c>
      <c r="J4830">
        <v>-348.51580000000001</v>
      </c>
      <c r="K4830">
        <v>1.120331</v>
      </c>
      <c r="L4830">
        <v>17.366</v>
      </c>
      <c r="M4830">
        <v>0.99896819999999997</v>
      </c>
      <c r="N4830">
        <v>-1.0669929999999999E-2</v>
      </c>
      <c r="O4830">
        <v>4.4145999999999998E-2</v>
      </c>
      <c r="P4830">
        <v>0.98348999999999998</v>
      </c>
      <c r="Q4830">
        <v>0.18095140000000001</v>
      </c>
      <c r="R4830">
        <v>2.0793140000000001E-3</v>
      </c>
      <c r="S4830">
        <v>3.086792</v>
      </c>
      <c r="T4830">
        <v>-0.19514629999999999</v>
      </c>
      <c r="U4830">
        <v>-0.1760254</v>
      </c>
      <c r="V4830">
        <v>4.1529499999999997E-2</v>
      </c>
      <c r="W4830">
        <v>0.19138530000000001</v>
      </c>
      <c r="X4830">
        <v>0.98063599999999995</v>
      </c>
      <c r="Y4830">
        <v>0.1006592</v>
      </c>
      <c r="Z4830">
        <v>-6.029983E-3</v>
      </c>
      <c r="AA4830">
        <v>0.99490270000000003</v>
      </c>
      <c r="AB4830">
        <v>35</v>
      </c>
      <c r="AC4830">
        <v>17.544</v>
      </c>
      <c r="AD4830">
        <v>-1.1203354351920001</v>
      </c>
      <c r="AE4830">
        <v>-1.01842999999999</v>
      </c>
      <c r="AF4830">
        <v>1.78472492845081</v>
      </c>
      <c r="AG4830">
        <v>-1.1203354351920001</v>
      </c>
      <c r="AH4830">
        <v>17.411169138462501</v>
      </c>
      <c r="AI4830">
        <v>93.662528115162203</v>
      </c>
      <c r="AJ4830">
        <v>84.147360189625303</v>
      </c>
      <c r="AK4830">
        <v>17.538221270292201</v>
      </c>
      <c r="AL4830">
        <v>78.966360216712602</v>
      </c>
      <c r="AM4830">
        <v>87.574998172133505</v>
      </c>
      <c r="AN4830">
        <v>0.99999999846116905</v>
      </c>
    </row>
    <row r="4831" spans="1:40" x14ac:dyDescent="0.25">
      <c r="A4831" t="str">
        <f>"20190303171112410"</f>
        <v>20190303171112410</v>
      </c>
      <c r="B4831" t="str">
        <f>"1551604272405646"</f>
        <v>1551604272405646</v>
      </c>
      <c r="C4831" t="s">
        <v>40</v>
      </c>
      <c r="D4831">
        <v>4.9421609999999996</v>
      </c>
      <c r="E4831">
        <v>0.52791880000000002</v>
      </c>
      <c r="F4831" t="s">
        <v>42</v>
      </c>
      <c r="G4831">
        <v>-330.76609999999999</v>
      </c>
      <c r="H4831" s="1">
        <v>-4.5231419999999998E-6</v>
      </c>
      <c r="I4831">
        <v>16.349270000000001</v>
      </c>
      <c r="J4831">
        <v>-348.32749999999999</v>
      </c>
      <c r="K4831">
        <v>1.1202639999999999</v>
      </c>
      <c r="L4831">
        <v>17.373989999999999</v>
      </c>
      <c r="M4831">
        <v>0.99898480000000001</v>
      </c>
      <c r="N4831">
        <v>-1.066344E-2</v>
      </c>
      <c r="O4831">
        <v>4.3769330000000002E-2</v>
      </c>
      <c r="P4831">
        <v>0.98358089999999998</v>
      </c>
      <c r="Q4831">
        <v>0.18045169999999999</v>
      </c>
      <c r="R4831">
        <v>2.4454500000000001E-3</v>
      </c>
      <c r="S4831">
        <v>3.0865779999999998</v>
      </c>
      <c r="T4831">
        <v>-0.19481950000000001</v>
      </c>
      <c r="U4831">
        <v>-0.17678829999999901</v>
      </c>
      <c r="V4831">
        <v>4.0830709999999999E-2</v>
      </c>
      <c r="W4831">
        <v>0.19087380000000001</v>
      </c>
      <c r="X4831">
        <v>0.980765</v>
      </c>
      <c r="Y4831">
        <v>0.10053479999999999</v>
      </c>
      <c r="Z4831">
        <v>-5.9960500000000002E-3</v>
      </c>
      <c r="AA4831">
        <v>0.99491549999999995</v>
      </c>
      <c r="AB4831">
        <v>35</v>
      </c>
      <c r="AC4831">
        <v>17.5613999999999</v>
      </c>
      <c r="AD4831">
        <v>-1.120268523142</v>
      </c>
      <c r="AE4831">
        <v>-1.0247199999999901</v>
      </c>
      <c r="AF4831">
        <v>1.7851923050471501</v>
      </c>
      <c r="AG4831">
        <v>-1.120268523142</v>
      </c>
      <c r="AH4831">
        <v>17.429030189929101</v>
      </c>
      <c r="AI4831">
        <v>93.658596018286801</v>
      </c>
      <c r="AJ4831">
        <v>84.151795835964506</v>
      </c>
      <c r="AK4831">
        <v>17.555996311556999</v>
      </c>
      <c r="AL4831">
        <v>78.996217112342904</v>
      </c>
      <c r="AM4831">
        <v>87.616067854334801</v>
      </c>
      <c r="AN4831">
        <v>0.99999996981527095</v>
      </c>
    </row>
    <row r="4832" spans="1:40" x14ac:dyDescent="0.25">
      <c r="A4832" t="str">
        <f>"20190303171112431"</f>
        <v>20190303171112431</v>
      </c>
      <c r="B4832" t="str">
        <f>"1551604272425167"</f>
        <v>1551604272425167</v>
      </c>
      <c r="C4832" t="s">
        <v>40</v>
      </c>
      <c r="D4832">
        <v>4.9162739999999996</v>
      </c>
      <c r="E4832">
        <v>0.52821149999999994</v>
      </c>
      <c r="F4832" t="s">
        <v>42</v>
      </c>
      <c r="G4832">
        <v>-330.5711</v>
      </c>
      <c r="H4832" s="1">
        <v>-4.6062309999999998E-6</v>
      </c>
      <c r="I4832">
        <v>16.35239</v>
      </c>
      <c r="J4832">
        <v>-348.02140000000003</v>
      </c>
      <c r="K4832">
        <v>1.1201399999999999</v>
      </c>
      <c r="L4832">
        <v>17.386779999999899</v>
      </c>
      <c r="M4832">
        <v>0.99901589999999996</v>
      </c>
      <c r="N4832">
        <v>-1.0654250000000001E-2</v>
      </c>
      <c r="O4832">
        <v>4.3056190000000001E-2</v>
      </c>
      <c r="P4832">
        <v>0.98358809999999997</v>
      </c>
      <c r="Q4832">
        <v>0.18041070000000001</v>
      </c>
      <c r="R4832">
        <v>2.5803860000000001E-3</v>
      </c>
      <c r="S4832">
        <v>3.0862430000000001</v>
      </c>
      <c r="T4832">
        <v>-0.19471440000000001</v>
      </c>
      <c r="U4832">
        <v>-0.1775513</v>
      </c>
      <c r="V4832">
        <v>4.005152E-2</v>
      </c>
      <c r="W4832">
        <v>0.19081339999999999</v>
      </c>
      <c r="X4832">
        <v>0.98080889999999998</v>
      </c>
      <c r="Y4832">
        <v>0.10007820000000001</v>
      </c>
      <c r="Z4832">
        <v>-5.9392769999999998E-3</v>
      </c>
      <c r="AA4832">
        <v>0.99496189999999995</v>
      </c>
      <c r="AB4832">
        <v>35</v>
      </c>
      <c r="AC4832">
        <v>17.450299999999999</v>
      </c>
      <c r="AD4832">
        <v>-1.1201446062310001</v>
      </c>
      <c r="AE4832">
        <v>-1.0343899999999899</v>
      </c>
      <c r="AF4832">
        <v>1.7775181954721</v>
      </c>
      <c r="AG4832">
        <v>-1.1201446062310001</v>
      </c>
      <c r="AH4832">
        <v>17.318466602476501</v>
      </c>
      <c r="AI4832">
        <v>93.681404309588203</v>
      </c>
      <c r="AJ4832">
        <v>84.139844242421802</v>
      </c>
      <c r="AK4832">
        <v>17.445445833660902</v>
      </c>
      <c r="AL4832">
        <v>78.999742777515806</v>
      </c>
      <c r="AM4832">
        <v>87.661615012939606</v>
      </c>
      <c r="AN4832">
        <v>0.99999998809654</v>
      </c>
    </row>
    <row r="4833" spans="1:40" x14ac:dyDescent="0.25">
      <c r="A4833" t="str">
        <f>"20190303171112442"</f>
        <v>20190303171112442</v>
      </c>
      <c r="B4833" t="str">
        <f>"1551604272435902"</f>
        <v>1551604272435902</v>
      </c>
      <c r="C4833" t="s">
        <v>40</v>
      </c>
      <c r="D4833">
        <v>5.0776820000000003</v>
      </c>
      <c r="E4833">
        <v>0.52822460000000004</v>
      </c>
      <c r="F4833" t="s">
        <v>42</v>
      </c>
      <c r="G4833">
        <v>-330.25259999999997</v>
      </c>
      <c r="H4833" s="1">
        <v>-4.7432109999999998E-6</v>
      </c>
      <c r="I4833">
        <v>16.35041</v>
      </c>
      <c r="J4833">
        <v>-347.83449999999999</v>
      </c>
      <c r="K4833">
        <v>1.1200669999999999</v>
      </c>
      <c r="L4833">
        <v>17.394410000000001</v>
      </c>
      <c r="M4833">
        <v>0.99903739999999996</v>
      </c>
      <c r="N4833">
        <v>-1.064944E-2</v>
      </c>
      <c r="O4833">
        <v>4.2554010000000003E-2</v>
      </c>
      <c r="P4833">
        <v>0.98347530000000005</v>
      </c>
      <c r="Q4833">
        <v>0.1810322</v>
      </c>
      <c r="R4833">
        <v>1.9850929999999998E-3</v>
      </c>
      <c r="S4833">
        <v>3.0862430000000001</v>
      </c>
      <c r="T4833">
        <v>-0.1945567</v>
      </c>
      <c r="U4833">
        <v>-0.17999270000000001</v>
      </c>
      <c r="V4833">
        <v>4.0183759999999999E-2</v>
      </c>
      <c r="W4833">
        <v>0.19142139999999999</v>
      </c>
      <c r="X4833">
        <v>0.98068509999999998</v>
      </c>
      <c r="Y4833">
        <v>0.10036299999999999</v>
      </c>
      <c r="Z4833">
        <v>-5.9186269999999897E-3</v>
      </c>
      <c r="AA4833">
        <v>0.99493330000000002</v>
      </c>
      <c r="AB4833">
        <v>35</v>
      </c>
      <c r="AC4833">
        <v>17.581900000000001</v>
      </c>
      <c r="AD4833">
        <v>-1.1200717432109999</v>
      </c>
      <c r="AE4833">
        <v>-1.044</v>
      </c>
      <c r="AF4833">
        <v>1.78406190458716</v>
      </c>
      <c r="AG4833">
        <v>-1.1200717432109999</v>
      </c>
      <c r="AH4833">
        <v>17.450968015881699</v>
      </c>
      <c r="AI4833">
        <v>93.6534405273879</v>
      </c>
      <c r="AJ4833">
        <v>84.162769791405793</v>
      </c>
      <c r="AK4833">
        <v>17.577648371743798</v>
      </c>
      <c r="AL4833">
        <v>78.964253745614101</v>
      </c>
      <c r="AM4833">
        <v>87.653607033267406</v>
      </c>
      <c r="AN4833">
        <v>1.0000000761538499</v>
      </c>
    </row>
    <row r="4834" spans="1:40" x14ac:dyDescent="0.25">
      <c r="A4834" t="str">
        <f>"20190303171112454"</f>
        <v>20190303171112454</v>
      </c>
      <c r="B4834" t="str">
        <f>"1551604272445662"</f>
        <v>1551604272445662</v>
      </c>
      <c r="C4834" t="s">
        <v>40</v>
      </c>
      <c r="D4834">
        <v>4.9248890000000003</v>
      </c>
      <c r="E4834">
        <v>0.52826319999999904</v>
      </c>
      <c r="F4834" t="s">
        <v>42</v>
      </c>
      <c r="G4834">
        <v>-329.80970000000002</v>
      </c>
      <c r="H4834" s="1">
        <v>-9.3094749999999999E-7</v>
      </c>
      <c r="I4834">
        <v>16.332820000000002</v>
      </c>
      <c r="J4834">
        <v>-347.65019999999998</v>
      </c>
      <c r="K4834">
        <v>1.1199920000000001</v>
      </c>
      <c r="L4834">
        <v>17.401820000000001</v>
      </c>
      <c r="M4834">
        <v>0.99905999999999995</v>
      </c>
      <c r="N4834">
        <v>-1.064507E-2</v>
      </c>
      <c r="O4834">
        <v>4.2022329999999997E-2</v>
      </c>
      <c r="P4834">
        <v>0.98338519999999896</v>
      </c>
      <c r="Q4834">
        <v>0.18152650000000001</v>
      </c>
      <c r="R4834">
        <v>1.3524450000000001E-3</v>
      </c>
      <c r="S4834">
        <v>3.0861510000000001</v>
      </c>
      <c r="T4834">
        <v>-0.1917748</v>
      </c>
      <c r="U4834">
        <v>-0.1817627</v>
      </c>
      <c r="V4834">
        <v>4.0325069999999998E-2</v>
      </c>
      <c r="W4834">
        <v>0.19190289999999999</v>
      </c>
      <c r="X4834">
        <v>0.98058509999999999</v>
      </c>
      <c r="Y4834">
        <v>0.1004126</v>
      </c>
      <c r="Z4834">
        <v>-5.8098619999999998E-3</v>
      </c>
      <c r="AA4834">
        <v>0.9949289</v>
      </c>
      <c r="AB4834">
        <v>35</v>
      </c>
      <c r="AC4834">
        <v>17.840499999999899</v>
      </c>
      <c r="AD4834">
        <v>-1.1199929309475001</v>
      </c>
      <c r="AE4834">
        <v>-1.06899999999999</v>
      </c>
      <c r="AF4834">
        <v>1.8106868920342001</v>
      </c>
      <c r="AG4834">
        <v>-1.1199929309475001</v>
      </c>
      <c r="AH4834">
        <v>17.7102667052086</v>
      </c>
      <c r="AI4834">
        <v>93.599836639567201</v>
      </c>
      <c r="AJ4834">
        <v>84.162397920174698</v>
      </c>
      <c r="AK4834">
        <v>17.837783437298899</v>
      </c>
      <c r="AL4834">
        <v>78.936143708830102</v>
      </c>
      <c r="AM4834">
        <v>87.645125135852197</v>
      </c>
      <c r="AN4834">
        <v>0.99999998632046205</v>
      </c>
    </row>
    <row r="4835" spans="1:40" x14ac:dyDescent="0.25">
      <c r="A4835" t="str">
        <f>"20190303171112467"</f>
        <v>20190303171112467</v>
      </c>
      <c r="B4835" t="str">
        <f>"1551604272455422"</f>
        <v>1551604272455422</v>
      </c>
      <c r="C4835" t="s">
        <v>40</v>
      </c>
      <c r="D4835">
        <v>4.9861319999999996</v>
      </c>
      <c r="E4835">
        <v>0.52833830000000004</v>
      </c>
      <c r="F4835" t="s">
        <v>42</v>
      </c>
      <c r="G4835">
        <v>-329.37520000000001</v>
      </c>
      <c r="H4835" s="1">
        <v>-1.102829E-6</v>
      </c>
      <c r="I4835">
        <v>16.31399</v>
      </c>
      <c r="J4835">
        <v>-347.45909999999998</v>
      </c>
      <c r="K4835">
        <v>1.1199159999999999</v>
      </c>
      <c r="L4835">
        <v>17.409329999999901</v>
      </c>
      <c r="M4835">
        <v>0.99908600000000003</v>
      </c>
      <c r="N4835">
        <v>-1.064117E-2</v>
      </c>
      <c r="O4835">
        <v>4.1402229999999998E-2</v>
      </c>
      <c r="P4835">
        <v>0.98331040000000003</v>
      </c>
      <c r="Q4835">
        <v>0.18193570000000001</v>
      </c>
      <c r="R4835">
        <v>3.3640019999999898E-4</v>
      </c>
      <c r="S4835">
        <v>3.0858150000000002</v>
      </c>
      <c r="T4835">
        <v>-0.18911500000000001</v>
      </c>
      <c r="U4835">
        <v>-0.1836853</v>
      </c>
      <c r="V4835">
        <v>4.0763519999999998E-2</v>
      </c>
      <c r="W4835">
        <v>0.19229879999999999</v>
      </c>
      <c r="X4835">
        <v>0.98048939999999996</v>
      </c>
      <c r="Y4835">
        <v>0.1004275</v>
      </c>
      <c r="Z4835">
        <v>-5.7003339999999996E-3</v>
      </c>
      <c r="AA4835">
        <v>0.99492809999999998</v>
      </c>
      <c r="AB4835">
        <v>35</v>
      </c>
      <c r="AC4835">
        <v>18.0838999999999</v>
      </c>
      <c r="AD4835">
        <v>-1.11991710282899</v>
      </c>
      <c r="AE4835">
        <v>-1.09533999999999</v>
      </c>
      <c r="AF4835">
        <v>1.8361405875363801</v>
      </c>
      <c r="AG4835">
        <v>-1.11991710282899</v>
      </c>
      <c r="AH4835">
        <v>17.954433236794301</v>
      </c>
      <c r="AI4835">
        <v>93.550758156251106</v>
      </c>
      <c r="AJ4835">
        <v>84.160849609026698</v>
      </c>
      <c r="AK4835">
        <v>18.082790145022202</v>
      </c>
      <c r="AL4835">
        <v>78.913029727096301</v>
      </c>
      <c r="AM4835">
        <v>87.619318064452301</v>
      </c>
      <c r="AN4835">
        <v>0.99999997827829401</v>
      </c>
    </row>
    <row r="4836" spans="1:40" x14ac:dyDescent="0.25">
      <c r="A4836" t="str">
        <f>"20190303171112487"</f>
        <v>20190303171112487</v>
      </c>
      <c r="B4836" t="str">
        <f>"1551604272475918"</f>
        <v>1551604272475918</v>
      </c>
      <c r="C4836" t="s">
        <v>40</v>
      </c>
      <c r="D4836">
        <v>5.0765789999999997</v>
      </c>
      <c r="E4836">
        <v>0.52850469999999905</v>
      </c>
      <c r="F4836" t="s">
        <v>42</v>
      </c>
      <c r="G4836">
        <v>-328.98239999999998</v>
      </c>
      <c r="H4836" s="1">
        <v>-1.259845E-6</v>
      </c>
      <c r="I4836">
        <v>16.290769999999998</v>
      </c>
      <c r="J4836">
        <v>-347.14800000000002</v>
      </c>
      <c r="K4836">
        <v>1.1197919999999999</v>
      </c>
      <c r="L4836">
        <v>17.421229999999898</v>
      </c>
      <c r="M4836">
        <v>0.99913050000000003</v>
      </c>
      <c r="N4836">
        <v>-1.063566E-2</v>
      </c>
      <c r="O4836">
        <v>4.0314900000000001E-2</v>
      </c>
      <c r="P4836">
        <v>0.98355879999999996</v>
      </c>
      <c r="Q4836">
        <v>0.1805861</v>
      </c>
      <c r="R4836">
        <v>-8.7904649999999895E-4</v>
      </c>
      <c r="S4836">
        <v>3.0855709999999998</v>
      </c>
      <c r="T4836">
        <v>-0.18702379999999999</v>
      </c>
      <c r="U4836">
        <v>-0.18679809999999999</v>
      </c>
      <c r="V4836">
        <v>4.0970769999999997E-2</v>
      </c>
      <c r="W4836">
        <v>0.19093460000000001</v>
      </c>
      <c r="X4836">
        <v>0.98074729999999999</v>
      </c>
      <c r="Y4836">
        <v>0.1003569</v>
      </c>
      <c r="Z4836">
        <v>-5.5819619999999898E-3</v>
      </c>
      <c r="AA4836">
        <v>0.99493589999999998</v>
      </c>
      <c r="AB4836">
        <v>35</v>
      </c>
      <c r="AC4836">
        <v>18.165600000000001</v>
      </c>
      <c r="AD4836">
        <v>-1.119793259845</v>
      </c>
      <c r="AE4836">
        <v>-1.13045999999999</v>
      </c>
      <c r="AF4836">
        <v>1.85490524172951</v>
      </c>
      <c r="AG4836">
        <v>-1.119793259845</v>
      </c>
      <c r="AH4836">
        <v>18.036978233353</v>
      </c>
      <c r="AI4836">
        <v>93.533955028372603</v>
      </c>
      <c r="AJ4836">
        <v>84.128398973293102</v>
      </c>
      <c r="AK4836">
        <v>18.166650604639301</v>
      </c>
      <c r="AL4836">
        <v>78.992667994935204</v>
      </c>
      <c r="AM4836">
        <v>87.607856706320703</v>
      </c>
      <c r="AN4836">
        <v>0.99999994596441899</v>
      </c>
    </row>
    <row r="4837" spans="1:40" x14ac:dyDescent="0.25">
      <c r="A4837" t="str">
        <f>"20190303171112509"</f>
        <v>20190303171112509</v>
      </c>
      <c r="B4837" t="str">
        <f>"1551604272495438"</f>
        <v>1551604272495438</v>
      </c>
      <c r="C4837" t="s">
        <v>40</v>
      </c>
      <c r="D4837">
        <v>4.9057490000000001</v>
      </c>
      <c r="E4837">
        <v>0.52864040000000001</v>
      </c>
      <c r="F4837" t="s">
        <v>42</v>
      </c>
      <c r="G4837">
        <v>-329.00760000000002</v>
      </c>
      <c r="H4837" s="1">
        <v>-1.2494550000000001E-6</v>
      </c>
      <c r="I4837">
        <v>16.293369999999999</v>
      </c>
      <c r="J4837">
        <v>-346.8116</v>
      </c>
      <c r="K4837">
        <v>1.119658</v>
      </c>
      <c r="L4837">
        <v>17.433620000000001</v>
      </c>
      <c r="M4837">
        <v>0.99918169999999995</v>
      </c>
      <c r="N4837">
        <v>-1.063089E-2</v>
      </c>
      <c r="O4837">
        <v>3.902539E-2</v>
      </c>
      <c r="P4837">
        <v>0.98391479999999998</v>
      </c>
      <c r="Q4837">
        <v>0.17863579999999901</v>
      </c>
      <c r="R4837">
        <v>-1.1910250000000001E-3</v>
      </c>
      <c r="S4837">
        <v>3.0849299999999999</v>
      </c>
      <c r="T4837">
        <v>-0.19043080000000001</v>
      </c>
      <c r="U4837">
        <v>-0.191803</v>
      </c>
      <c r="V4837">
        <v>4.0076250000000001E-2</v>
      </c>
      <c r="W4837">
        <v>0.18897439999999999</v>
      </c>
      <c r="X4837">
        <v>0.98116389999999998</v>
      </c>
      <c r="Y4837">
        <v>0.1006847</v>
      </c>
      <c r="Z4837">
        <v>-5.628531E-3</v>
      </c>
      <c r="AA4837">
        <v>0.99490250000000002</v>
      </c>
      <c r="AB4837">
        <v>35</v>
      </c>
      <c r="AC4837">
        <v>17.803999999999899</v>
      </c>
      <c r="AD4837">
        <v>-1.1196592494549999</v>
      </c>
      <c r="AE4837">
        <v>-1.14025</v>
      </c>
      <c r="AF4837">
        <v>1.82703233627398</v>
      </c>
      <c r="AG4837">
        <v>-1.1196592494549999</v>
      </c>
      <c r="AH4837">
        <v>17.676311864275799</v>
      </c>
      <c r="AI4837">
        <v>93.605251592411307</v>
      </c>
      <c r="AJ4837">
        <v>84.098835175592498</v>
      </c>
      <c r="AK4837">
        <v>17.805720572777201</v>
      </c>
      <c r="AL4837">
        <v>79.107062744552096</v>
      </c>
      <c r="AM4837">
        <v>87.6610184149595</v>
      </c>
      <c r="AN4837">
        <v>1.0000000141663099</v>
      </c>
    </row>
    <row r="4838" spans="1:40" x14ac:dyDescent="0.25">
      <c r="A4838" t="str">
        <f>"20190303171112524"</f>
        <v>20190303171112524</v>
      </c>
      <c r="B4838" t="str">
        <f>"1551604272515936"</f>
        <v>1551604272515936</v>
      </c>
      <c r="C4838" t="s">
        <v>40</v>
      </c>
      <c r="D4838">
        <v>4.9170669999999896</v>
      </c>
      <c r="E4838">
        <v>0.52883019999999903</v>
      </c>
      <c r="F4838" t="s">
        <v>42</v>
      </c>
      <c r="G4838">
        <v>-329.065</v>
      </c>
      <c r="H4838" s="1">
        <v>-1.22211E-6</v>
      </c>
      <c r="I4838">
        <v>16.313279999999999</v>
      </c>
      <c r="J4838">
        <v>-346.58280000000002</v>
      </c>
      <c r="K4838">
        <v>1.1195850000000001</v>
      </c>
      <c r="L4838">
        <v>17.441770000000002</v>
      </c>
      <c r="M4838">
        <v>0.99921760000000004</v>
      </c>
      <c r="N4838">
        <v>-1.062808E-2</v>
      </c>
      <c r="O4838">
        <v>3.8096659999999997E-2</v>
      </c>
      <c r="P4838">
        <v>0.98406979999999999</v>
      </c>
      <c r="Q4838">
        <v>0.17776749999999999</v>
      </c>
      <c r="R4838">
        <v>-2.3421000000000002E-3</v>
      </c>
      <c r="S4838">
        <v>3.0841370000000001</v>
      </c>
      <c r="T4838">
        <v>-0.1945837</v>
      </c>
      <c r="U4838">
        <v>-0.19470209999999999</v>
      </c>
      <c r="V4838">
        <v>4.0347519999999998E-2</v>
      </c>
      <c r="W4838">
        <v>0.18809780000000001</v>
      </c>
      <c r="X4838">
        <v>0.9813212</v>
      </c>
      <c r="Y4838">
        <v>0.1006967</v>
      </c>
      <c r="Z4838">
        <v>-5.7015159999999898E-3</v>
      </c>
      <c r="AA4838">
        <v>0.99490080000000003</v>
      </c>
      <c r="AB4838">
        <v>35</v>
      </c>
      <c r="AC4838">
        <v>17.517800000000001</v>
      </c>
      <c r="AD4838">
        <v>-1.1195862221099999</v>
      </c>
      <c r="AE4838">
        <v>-1.12849</v>
      </c>
      <c r="AF4838">
        <v>1.7878056149631201</v>
      </c>
      <c r="AG4838">
        <v>-1.1195862221099999</v>
      </c>
      <c r="AH4838">
        <v>17.391343392651802</v>
      </c>
      <c r="AI4838">
        <v>93.664137421928899</v>
      </c>
      <c r="AJ4838">
        <v>84.130691331787006</v>
      </c>
      <c r="AK4838">
        <v>17.518805530822199</v>
      </c>
      <c r="AL4838">
        <v>79.158205262361804</v>
      </c>
      <c r="AM4838">
        <v>87.645581004389797</v>
      </c>
      <c r="AN4838">
        <v>1.0000000011522101</v>
      </c>
    </row>
    <row r="4839" spans="1:40" x14ac:dyDescent="0.25">
      <c r="A4839" t="str">
        <f>"20190303171112543"</f>
        <v>20190303171112543</v>
      </c>
      <c r="B4839" t="str">
        <f>"1551604272535454"</f>
        <v>1551604272535454</v>
      </c>
      <c r="C4839" t="s">
        <v>40</v>
      </c>
      <c r="D4839">
        <v>4.9003439999999996</v>
      </c>
      <c r="E4839">
        <v>0.52896860000000001</v>
      </c>
      <c r="F4839" t="s">
        <v>42</v>
      </c>
      <c r="G4839">
        <v>-329.06299999999999</v>
      </c>
      <c r="H4839" s="1">
        <v>-1.2249130000000001E-6</v>
      </c>
      <c r="I4839">
        <v>16.30575</v>
      </c>
      <c r="J4839">
        <v>-346.2817</v>
      </c>
      <c r="K4839">
        <v>1.1195090000000001</v>
      </c>
      <c r="L4839">
        <v>17.452120000000001</v>
      </c>
      <c r="M4839">
        <v>0.99926530000000002</v>
      </c>
      <c r="N4839">
        <v>-1.062489E-2</v>
      </c>
      <c r="O4839">
        <v>3.6826449999999997E-2</v>
      </c>
      <c r="P4839">
        <v>0.98417010000000005</v>
      </c>
      <c r="Q4839">
        <v>0.17716589999999999</v>
      </c>
      <c r="R4839">
        <v>-4.6768110000000003E-3</v>
      </c>
      <c r="S4839">
        <v>3.0836790000000001</v>
      </c>
      <c r="T4839">
        <v>-0.19705880000000001</v>
      </c>
      <c r="U4839">
        <v>-0.1999512</v>
      </c>
      <c r="V4839">
        <v>4.1467150000000001E-2</v>
      </c>
      <c r="W4839">
        <v>0.18748329999999999</v>
      </c>
      <c r="X4839">
        <v>0.98139209999999999</v>
      </c>
      <c r="Y4839">
        <v>0.1011215</v>
      </c>
      <c r="Z4839">
        <v>-5.7210710000000003E-3</v>
      </c>
      <c r="AA4839">
        <v>0.99485760000000001</v>
      </c>
      <c r="AB4839">
        <v>35</v>
      </c>
      <c r="AC4839">
        <v>17.218699999999899</v>
      </c>
      <c r="AD4839">
        <v>-1.119510224913</v>
      </c>
      <c r="AE4839">
        <v>-1.1463699999999999</v>
      </c>
      <c r="AF4839">
        <v>1.77227288688582</v>
      </c>
      <c r="AG4839">
        <v>-1.119510224913</v>
      </c>
      <c r="AH4839">
        <v>17.092863186427898</v>
      </c>
      <c r="AI4839">
        <v>93.727353797693894</v>
      </c>
      <c r="AJ4839">
        <v>84.080441626890206</v>
      </c>
      <c r="AK4839">
        <v>17.220924082035101</v>
      </c>
      <c r="AL4839">
        <v>79.194051054867003</v>
      </c>
      <c r="AM4839">
        <v>87.580497883422197</v>
      </c>
      <c r="AN4839">
        <v>0.99999998312521099</v>
      </c>
    </row>
    <row r="4840" spans="1:40" x14ac:dyDescent="0.25">
      <c r="A4840" t="str">
        <f>"20190303171112553"</f>
        <v>20190303171112553</v>
      </c>
      <c r="B4840" t="str">
        <f>"1551604272545214"</f>
        <v>1551604272545214</v>
      </c>
      <c r="C4840" t="s">
        <v>40</v>
      </c>
      <c r="D4840">
        <v>4.9240409999999999</v>
      </c>
      <c r="E4840">
        <v>0.52906089999999995</v>
      </c>
      <c r="F4840" t="s">
        <v>42</v>
      </c>
      <c r="G4840">
        <v>-328.85899999999998</v>
      </c>
      <c r="H4840" s="1">
        <v>-1.310103E-6</v>
      </c>
      <c r="I4840">
        <v>16.279869999999999</v>
      </c>
      <c r="J4840">
        <v>-346.09949999999998</v>
      </c>
      <c r="K4840">
        <v>1.11947</v>
      </c>
      <c r="L4840">
        <v>17.458189999999998</v>
      </c>
      <c r="M4840">
        <v>0.99929389999999996</v>
      </c>
      <c r="N4840">
        <v>-1.0623270000000001E-2</v>
      </c>
      <c r="O4840">
        <v>3.6039960000000003E-2</v>
      </c>
      <c r="P4840">
        <v>0.98413969999999995</v>
      </c>
      <c r="Q4840">
        <v>0.17727229999999999</v>
      </c>
      <c r="R4840">
        <v>-6.5974040000000003E-3</v>
      </c>
      <c r="S4840">
        <v>3.082916</v>
      </c>
      <c r="T4840">
        <v>-0.1980962</v>
      </c>
      <c r="U4840">
        <v>-0.207428</v>
      </c>
      <c r="V4840">
        <v>4.262941E-2</v>
      </c>
      <c r="W4840">
        <v>0.18757979999999999</v>
      </c>
      <c r="X4840">
        <v>0.98132390000000003</v>
      </c>
      <c r="Y4840">
        <v>0.1027506</v>
      </c>
      <c r="Z4840">
        <v>-5.7701840000000003E-3</v>
      </c>
      <c r="AA4840">
        <v>0.99469039999999997</v>
      </c>
      <c r="AB4840">
        <v>35</v>
      </c>
      <c r="AC4840">
        <v>17.240499999999901</v>
      </c>
      <c r="AD4840">
        <v>-1.1194713101030001</v>
      </c>
      <c r="AE4840">
        <v>-1.17831999999999</v>
      </c>
      <c r="AF4840">
        <v>1.7914184538706599</v>
      </c>
      <c r="AG4840">
        <v>-1.1194713101030001</v>
      </c>
      <c r="AH4840">
        <v>17.1150038344161</v>
      </c>
      <c r="AI4840">
        <v>93.722039872836604</v>
      </c>
      <c r="AJ4840">
        <v>84.024638909600199</v>
      </c>
      <c r="AK4840">
        <v>17.244876118519699</v>
      </c>
      <c r="AL4840">
        <v>79.188422576287394</v>
      </c>
      <c r="AM4840">
        <v>87.512594351001795</v>
      </c>
      <c r="AN4840">
        <v>1.00000002233809</v>
      </c>
    </row>
    <row r="4841" spans="1:40" x14ac:dyDescent="0.25">
      <c r="A4841" t="str">
        <f>"20190303171112565"</f>
        <v>20190303171112565</v>
      </c>
      <c r="B4841" t="str">
        <f>"1551604272555950"</f>
        <v>1551604272555950</v>
      </c>
      <c r="C4841" t="s">
        <v>40</v>
      </c>
      <c r="D4841">
        <v>5.0813509999999997</v>
      </c>
      <c r="E4841">
        <v>0.52911140000000001</v>
      </c>
      <c r="F4841" t="s">
        <v>42</v>
      </c>
      <c r="G4841">
        <v>-328.59620000000001</v>
      </c>
      <c r="H4841" s="1">
        <v>-1.420315E-6</v>
      </c>
      <c r="I4841">
        <v>16.244989999999898</v>
      </c>
      <c r="J4841">
        <v>-345.92329999999998</v>
      </c>
      <c r="K4841">
        <v>1.11944</v>
      </c>
      <c r="L4841">
        <v>17.46387</v>
      </c>
      <c r="M4841">
        <v>0.99932149999999997</v>
      </c>
      <c r="N4841">
        <v>-1.062191E-2</v>
      </c>
      <c r="O4841">
        <v>3.5266659999999998E-2</v>
      </c>
      <c r="P4841">
        <v>0.98410430000000004</v>
      </c>
      <c r="Q4841">
        <v>0.17740210000000001</v>
      </c>
      <c r="R4841">
        <v>-8.1942379999999995E-3</v>
      </c>
      <c r="S4841">
        <v>3.0824579999999999</v>
      </c>
      <c r="T4841">
        <v>-0.1971474</v>
      </c>
      <c r="U4841">
        <v>-0.2136536</v>
      </c>
      <c r="V4841">
        <v>4.3477330000000002E-2</v>
      </c>
      <c r="W4841">
        <v>0.18770249999999999</v>
      </c>
      <c r="X4841">
        <v>0.9812632</v>
      </c>
      <c r="Y4841">
        <v>0.10399129999999999</v>
      </c>
      <c r="Z4841">
        <v>-5.7489250000000002E-3</v>
      </c>
      <c r="AA4841">
        <v>0.99456160000000005</v>
      </c>
      <c r="AB4841">
        <v>35</v>
      </c>
      <c r="AC4841">
        <v>17.327099999999898</v>
      </c>
      <c r="AD4841">
        <v>-1.119441420315</v>
      </c>
      <c r="AE4841">
        <v>-1.21888</v>
      </c>
      <c r="AF4841">
        <v>1.8216589695763801</v>
      </c>
      <c r="AG4841">
        <v>-1.119441420315</v>
      </c>
      <c r="AH4841">
        <v>17.201885125243599</v>
      </c>
      <c r="AI4841">
        <v>93.702722172574397</v>
      </c>
      <c r="AJ4841">
        <v>83.954976015411006</v>
      </c>
      <c r="AK4841">
        <v>17.3342563254681</v>
      </c>
      <c r="AL4841">
        <v>79.1812648687078</v>
      </c>
      <c r="AM4841">
        <v>87.463025910621894</v>
      </c>
      <c r="AN4841">
        <v>0.99999998720220895</v>
      </c>
    </row>
    <row r="4842" spans="1:40" x14ac:dyDescent="0.25">
      <c r="A4842" t="str">
        <f>"20190303171112578"</f>
        <v>20190303171112578</v>
      </c>
      <c r="B4842" t="str">
        <f>"1551604272565711"</f>
        <v>1551604272565711</v>
      </c>
      <c r="C4842" t="s">
        <v>40</v>
      </c>
      <c r="D4842">
        <v>5.0201960000000003</v>
      </c>
      <c r="E4842">
        <v>0.52912869999999901</v>
      </c>
      <c r="F4842" t="s">
        <v>42</v>
      </c>
      <c r="G4842">
        <v>-328.3279</v>
      </c>
      <c r="H4842" s="1">
        <v>-1.5316709999999999E-6</v>
      </c>
      <c r="I4842">
        <v>16.21378</v>
      </c>
      <c r="J4842">
        <v>-345.73919999999998</v>
      </c>
      <c r="K4842">
        <v>1.119408</v>
      </c>
      <c r="L4842">
        <v>17.469729999999998</v>
      </c>
      <c r="M4842">
        <v>0.99934990000000001</v>
      </c>
      <c r="N4842">
        <v>-1.06205E-2</v>
      </c>
      <c r="O4842">
        <v>3.4454869999999999E-2</v>
      </c>
      <c r="P4842">
        <v>0.98412929999999998</v>
      </c>
      <c r="Q4842">
        <v>0.17717859999999999</v>
      </c>
      <c r="R4842">
        <v>-9.8742699999999992E-3</v>
      </c>
      <c r="S4842">
        <v>3.082001</v>
      </c>
      <c r="T4842">
        <v>-0.1960799</v>
      </c>
      <c r="U4842">
        <v>-0.21896360000000001</v>
      </c>
      <c r="V4842">
        <v>4.437083E-2</v>
      </c>
      <c r="W4842">
        <v>0.18747159999999999</v>
      </c>
      <c r="X4842">
        <v>0.98126729999999995</v>
      </c>
      <c r="Y4842">
        <v>0.1049007</v>
      </c>
      <c r="Z4842">
        <v>-5.7101290000000004E-3</v>
      </c>
      <c r="AA4842">
        <v>0.99446630000000003</v>
      </c>
      <c r="AB4842">
        <v>35</v>
      </c>
      <c r="AC4842">
        <v>17.411299999999901</v>
      </c>
      <c r="AD4842">
        <v>-1.119409531671</v>
      </c>
      <c r="AE4842">
        <v>-1.2559499999999899</v>
      </c>
      <c r="AF4842">
        <v>1.8475448145598801</v>
      </c>
      <c r="AG4842">
        <v>-1.119409531671</v>
      </c>
      <c r="AH4842">
        <v>17.2866010193584</v>
      </c>
      <c r="AI4842">
        <v>93.684143603654903</v>
      </c>
      <c r="AJ4842">
        <v>83.899540881312106</v>
      </c>
      <c r="AK4842">
        <v>17.421052618710601</v>
      </c>
      <c r="AL4842">
        <v>79.194733074286304</v>
      </c>
      <c r="AM4842">
        <v>87.410969741915096</v>
      </c>
      <c r="AN4842">
        <v>0.99999994270536696</v>
      </c>
    </row>
    <row r="4843" spans="1:40" x14ac:dyDescent="0.25">
      <c r="A4843" t="str">
        <f>"20190303171112590"</f>
        <v>20190303171112590</v>
      </c>
      <c r="B4843" t="str">
        <f>"1551604272575298"</f>
        <v>1551604272575298</v>
      </c>
      <c r="C4843" t="s">
        <v>40</v>
      </c>
      <c r="D4843">
        <v>4.9317570000000002</v>
      </c>
      <c r="E4843">
        <v>0.52917819999999904</v>
      </c>
      <c r="F4843" t="s">
        <v>42</v>
      </c>
      <c r="G4843">
        <v>-328.15199999999999</v>
      </c>
      <c r="H4843" s="1">
        <v>-1.605924E-6</v>
      </c>
      <c r="I4843">
        <v>16.188479999999998</v>
      </c>
      <c r="J4843">
        <v>-345.54090000000002</v>
      </c>
      <c r="K4843">
        <v>1.1193820000000001</v>
      </c>
      <c r="L4843">
        <v>17.475770000000001</v>
      </c>
      <c r="M4843">
        <v>0.99937989999999999</v>
      </c>
      <c r="N4843">
        <v>-1.0619190000000001E-2</v>
      </c>
      <c r="O4843">
        <v>3.3571869999999997E-2</v>
      </c>
      <c r="P4843">
        <v>0.98414170000000001</v>
      </c>
      <c r="Q4843">
        <v>0.17702129999999999</v>
      </c>
      <c r="R4843">
        <v>-1.135338E-2</v>
      </c>
      <c r="S4843">
        <v>3.0814509999999999</v>
      </c>
      <c r="T4843">
        <v>-0.19613159999999999</v>
      </c>
      <c r="U4843">
        <v>-0.2244873</v>
      </c>
      <c r="V4843">
        <v>4.4991330000000003E-2</v>
      </c>
      <c r="W4843">
        <v>0.18730859999999999</v>
      </c>
      <c r="X4843">
        <v>0.98127030000000004</v>
      </c>
      <c r="Y4843">
        <v>0.1058069</v>
      </c>
      <c r="Z4843">
        <v>-5.6991309999999996E-3</v>
      </c>
      <c r="AA4843">
        <v>0.99437030000000004</v>
      </c>
      <c r="AB4843">
        <v>35</v>
      </c>
      <c r="AC4843">
        <v>17.3889</v>
      </c>
      <c r="AD4843">
        <v>-1.1193836059240001</v>
      </c>
      <c r="AE4843">
        <v>-1.28729</v>
      </c>
      <c r="AF4843">
        <v>1.86269824082686</v>
      </c>
      <c r="AG4843">
        <v>-1.1193836059240001</v>
      </c>
      <c r="AH4843">
        <v>17.264723641720501</v>
      </c>
      <c r="AI4843">
        <v>93.688318346292306</v>
      </c>
      <c r="AJ4843">
        <v>83.842153858051105</v>
      </c>
      <c r="AK4843">
        <v>17.4009582155287</v>
      </c>
      <c r="AL4843">
        <v>79.204242062090898</v>
      </c>
      <c r="AM4843">
        <v>87.374821990733395</v>
      </c>
      <c r="AN4843">
        <v>1.0000000665355999</v>
      </c>
    </row>
    <row r="4844" spans="1:40" x14ac:dyDescent="0.25">
      <c r="A4844" t="str">
        <f>"20190303171112601"</f>
        <v>20190303171112601</v>
      </c>
      <c r="B4844" t="str">
        <f>"1551604272595766"</f>
        <v>1551604272595766</v>
      </c>
      <c r="C4844" t="s">
        <v>40</v>
      </c>
      <c r="D4844">
        <v>4.8972689999999997</v>
      </c>
      <c r="E4844">
        <v>0.52926379999999995</v>
      </c>
      <c r="F4844" t="s">
        <v>42</v>
      </c>
      <c r="G4844">
        <v>-327.92200000000003</v>
      </c>
      <c r="H4844" s="1">
        <v>-1.701747E-6</v>
      </c>
      <c r="I4844">
        <v>16.16038</v>
      </c>
      <c r="J4844">
        <v>-345.36680000000001</v>
      </c>
      <c r="K4844">
        <v>1.1193599999999999</v>
      </c>
      <c r="L4844">
        <v>17.480989999999998</v>
      </c>
      <c r="M4844">
        <v>0.99940569999999895</v>
      </c>
      <c r="N4844">
        <v>-1.061818E-2</v>
      </c>
      <c r="O4844">
        <v>3.2795640000000001E-2</v>
      </c>
      <c r="P4844">
        <v>0.98413300000000004</v>
      </c>
      <c r="Q4844">
        <v>0.17699699999999999</v>
      </c>
      <c r="R4844">
        <v>-1.243496E-2</v>
      </c>
      <c r="S4844">
        <v>3.0808719999999998</v>
      </c>
      <c r="T4844">
        <v>-0.1957371</v>
      </c>
      <c r="U4844">
        <v>-0.23001099999999999</v>
      </c>
      <c r="V4844">
        <v>4.5317179999999999E-2</v>
      </c>
      <c r="W4844">
        <v>0.18727959999999999</v>
      </c>
      <c r="X4844">
        <v>0.98126080000000004</v>
      </c>
      <c r="Y4844">
        <v>0.1068211</v>
      </c>
      <c r="Z4844">
        <v>-5.6853829999999996E-3</v>
      </c>
      <c r="AA4844">
        <v>0.99426199999999998</v>
      </c>
      <c r="AB4844">
        <v>35</v>
      </c>
      <c r="AC4844">
        <v>17.444800000000001</v>
      </c>
      <c r="AD4844">
        <v>-1.1193617017469999</v>
      </c>
      <c r="AE4844">
        <v>-1.3206099999999901</v>
      </c>
      <c r="AF4844">
        <v>1.8843310714032699</v>
      </c>
      <c r="AG4844">
        <v>-1.1193617017469999</v>
      </c>
      <c r="AH4844">
        <v>17.321192732337199</v>
      </c>
      <c r="AI4844">
        <v>93.675903087677796</v>
      </c>
      <c r="AJ4844">
        <v>83.791345165690103</v>
      </c>
      <c r="AK4844">
        <v>17.459306741012501</v>
      </c>
      <c r="AL4844">
        <v>79.205933135396194</v>
      </c>
      <c r="AM4844">
        <v>87.355810445993797</v>
      </c>
      <c r="AN4844">
        <v>1.00000002649797</v>
      </c>
    </row>
    <row r="4845" spans="1:40" x14ac:dyDescent="0.25">
      <c r="A4845" t="str">
        <f>"20190303171112612"</f>
        <v>20190303171112612</v>
      </c>
      <c r="B4845" t="str">
        <f>"1551604272605527"</f>
        <v>1551604272605527</v>
      </c>
      <c r="C4845" t="s">
        <v>40</v>
      </c>
      <c r="D4845">
        <v>4.9387169999999996</v>
      </c>
      <c r="E4845">
        <v>0.52932419999999902</v>
      </c>
      <c r="F4845" t="s">
        <v>42</v>
      </c>
      <c r="G4845">
        <v>-327.64600000000002</v>
      </c>
      <c r="H4845" s="1">
        <v>-1.815429E-6</v>
      </c>
      <c r="I4845">
        <v>16.131460000000001</v>
      </c>
      <c r="J4845">
        <v>-345.1902</v>
      </c>
      <c r="K4845">
        <v>1.1193360000000001</v>
      </c>
      <c r="L4845">
        <v>17.48611</v>
      </c>
      <c r="M4845">
        <v>0.99943139999999997</v>
      </c>
      <c r="N4845">
        <v>-1.0617349999999999E-2</v>
      </c>
      <c r="O4845">
        <v>3.2007170000000001E-2</v>
      </c>
      <c r="P4845">
        <v>0.9840951</v>
      </c>
      <c r="Q4845">
        <v>0.17710909999999999</v>
      </c>
      <c r="R4845">
        <v>-1.3767049999999999E-2</v>
      </c>
      <c r="S4845">
        <v>3.0804140000000002</v>
      </c>
      <c r="T4845">
        <v>-0.19457920000000001</v>
      </c>
      <c r="U4845">
        <v>-0.23458860000000001</v>
      </c>
      <c r="V4845">
        <v>4.5879860000000001E-2</v>
      </c>
      <c r="W4845">
        <v>0.18738679999999999</v>
      </c>
      <c r="X4845">
        <v>0.98121420000000004</v>
      </c>
      <c r="Y4845">
        <v>0.1075195</v>
      </c>
      <c r="Z4845">
        <v>-5.638044E-3</v>
      </c>
      <c r="AA4845">
        <v>0.99418700000000004</v>
      </c>
      <c r="AB4845">
        <v>35</v>
      </c>
      <c r="AC4845">
        <v>17.5442</v>
      </c>
      <c r="AD4845">
        <v>-1.1193378154289999</v>
      </c>
      <c r="AE4845">
        <v>-1.3546499999999899</v>
      </c>
      <c r="AF4845">
        <v>1.9078077709582</v>
      </c>
      <c r="AG4845">
        <v>-1.1193378154289999</v>
      </c>
      <c r="AH4845">
        <v>17.421354523018401</v>
      </c>
      <c r="AI4845">
        <v>93.654464745549802</v>
      </c>
      <c r="AJ4845">
        <v>83.750457750757306</v>
      </c>
      <c r="AK4845">
        <v>17.561214111008201</v>
      </c>
      <c r="AL4845">
        <v>79.199680482152203</v>
      </c>
      <c r="AM4845">
        <v>87.322899427295994</v>
      </c>
      <c r="AN4845">
        <v>1.00000004032474</v>
      </c>
    </row>
    <row r="4846" spans="1:40" x14ac:dyDescent="0.25">
      <c r="A4846" t="str">
        <f>"20190303171112631"</f>
        <v>20190303171112631</v>
      </c>
      <c r="B4846" t="str">
        <f>"1551604272626023"</f>
        <v>1551604272626023</v>
      </c>
      <c r="C4846" t="s">
        <v>40</v>
      </c>
      <c r="D4846">
        <v>4.9090230000000004</v>
      </c>
      <c r="E4846">
        <v>0.52939230000000004</v>
      </c>
      <c r="F4846" t="s">
        <v>42</v>
      </c>
      <c r="G4846">
        <v>-327.416</v>
      </c>
      <c r="H4846" s="1">
        <v>-1.9105740000000001E-6</v>
      </c>
      <c r="I4846">
        <v>16.10577</v>
      </c>
      <c r="J4846">
        <v>-344.89109999999999</v>
      </c>
      <c r="K4846">
        <v>1.1193150000000001</v>
      </c>
      <c r="L4846">
        <v>17.494479999999999</v>
      </c>
      <c r="M4846">
        <v>0.9994731</v>
      </c>
      <c r="N4846">
        <v>-1.061642E-2</v>
      </c>
      <c r="O4846">
        <v>3.0673329999999999E-2</v>
      </c>
      <c r="P4846">
        <v>0.9839852</v>
      </c>
      <c r="Q4846">
        <v>0.17749210000000001</v>
      </c>
      <c r="R4846">
        <v>-1.642368E-2</v>
      </c>
      <c r="S4846">
        <v>3.0800480000000001</v>
      </c>
      <c r="T4846">
        <v>-0.19396769999999999</v>
      </c>
      <c r="U4846">
        <v>-0.23919679999999999</v>
      </c>
      <c r="V4846">
        <v>4.7231950000000002E-2</v>
      </c>
      <c r="W4846">
        <v>0.1877606</v>
      </c>
      <c r="X4846">
        <v>0.98107860000000002</v>
      </c>
      <c r="Y4846">
        <v>0.1076836</v>
      </c>
      <c r="Z4846">
        <v>-5.5577999999999999E-3</v>
      </c>
      <c r="AA4846">
        <v>0.99416970000000005</v>
      </c>
      <c r="AB4846">
        <v>35</v>
      </c>
      <c r="AC4846">
        <v>17.475099999999902</v>
      </c>
      <c r="AD4846">
        <v>-1.119316910574</v>
      </c>
      <c r="AE4846">
        <v>-1.3887099999999899</v>
      </c>
      <c r="AF4846">
        <v>1.91629360824829</v>
      </c>
      <c r="AG4846">
        <v>-1.119316910574</v>
      </c>
      <c r="AH4846">
        <v>17.353528583282401</v>
      </c>
      <c r="AI4846">
        <v>93.668276370669403</v>
      </c>
      <c r="AJ4846">
        <v>83.698544481201793</v>
      </c>
      <c r="AK4846">
        <v>17.494856553573399</v>
      </c>
      <c r="AL4846">
        <v>79.177876520187297</v>
      </c>
      <c r="AM4846">
        <v>87.243744232885902</v>
      </c>
      <c r="AN4846">
        <v>1.0000000596955501</v>
      </c>
    </row>
    <row r="4847" spans="1:40" x14ac:dyDescent="0.25">
      <c r="A4847" t="str">
        <f>"20190303171112644"</f>
        <v>20190303171112644</v>
      </c>
      <c r="B4847" t="str">
        <f>"1551604272635782"</f>
        <v>1551604272635782</v>
      </c>
      <c r="C4847" t="s">
        <v>40</v>
      </c>
      <c r="D4847">
        <v>4.9097460000000002</v>
      </c>
      <c r="E4847">
        <v>0.52943640000000003</v>
      </c>
      <c r="F4847" t="s">
        <v>42</v>
      </c>
      <c r="G4847">
        <v>-326.95409999999998</v>
      </c>
      <c r="H4847" s="1">
        <v>-2.1014080000000001E-6</v>
      </c>
      <c r="I4847">
        <v>16.055160000000001</v>
      </c>
      <c r="J4847">
        <v>-344.69069999999999</v>
      </c>
      <c r="K4847">
        <v>1.1193040000000001</v>
      </c>
      <c r="L4847">
        <v>17.49982</v>
      </c>
      <c r="M4847">
        <v>0.99950019999999995</v>
      </c>
      <c r="N4847">
        <v>-1.0615960000000001E-2</v>
      </c>
      <c r="O4847">
        <v>2.9781430000000001E-2</v>
      </c>
      <c r="P4847">
        <v>0.98388929999999997</v>
      </c>
      <c r="Q4847">
        <v>0.17788119999999999</v>
      </c>
      <c r="R4847">
        <v>-1.7890949999999999E-2</v>
      </c>
      <c r="S4847">
        <v>3.0794069999999998</v>
      </c>
      <c r="T4847">
        <v>-0.19216349999999999</v>
      </c>
      <c r="U4847">
        <v>-0.24710080000000001</v>
      </c>
      <c r="V4847">
        <v>4.7826420000000001E-2</v>
      </c>
      <c r="W4847">
        <v>0.1881447</v>
      </c>
      <c r="X4847">
        <v>0.98097619999999996</v>
      </c>
      <c r="Y4847">
        <v>0.1093508</v>
      </c>
      <c r="Z4847">
        <v>-5.5238279999999997E-3</v>
      </c>
      <c r="AA4847">
        <v>0.99398790000000004</v>
      </c>
      <c r="AB4847">
        <v>35</v>
      </c>
      <c r="AC4847">
        <v>17.736599999999999</v>
      </c>
      <c r="AD4847">
        <v>-1.1193061014079999</v>
      </c>
      <c r="AE4847">
        <v>-1.4446599999999901</v>
      </c>
      <c r="AF4847">
        <v>1.9644980577041999</v>
      </c>
      <c r="AG4847">
        <v>-1.1193061014079999</v>
      </c>
      <c r="AH4847">
        <v>17.616011718860602</v>
      </c>
      <c r="AI4847">
        <v>93.613298201475203</v>
      </c>
      <c r="AJ4847">
        <v>83.636794505983502</v>
      </c>
      <c r="AK4847">
        <v>17.760517099634399</v>
      </c>
      <c r="AL4847">
        <v>79.155469774566697</v>
      </c>
      <c r="AM4847">
        <v>87.208817130076497</v>
      </c>
      <c r="AN4847">
        <v>1.0000000497772701</v>
      </c>
    </row>
    <row r="4848" spans="1:40" x14ac:dyDescent="0.25">
      <c r="A4848" t="str">
        <f>"20190303171112658"</f>
        <v>20190303171112658</v>
      </c>
      <c r="B4848" t="str">
        <f>"1551604272645543"</f>
        <v>1551604272645543</v>
      </c>
      <c r="C4848" t="s">
        <v>40</v>
      </c>
      <c r="D4848">
        <v>4.9579959999999996</v>
      </c>
      <c r="E4848">
        <v>0.52947239999999995</v>
      </c>
      <c r="F4848" t="s">
        <v>42</v>
      </c>
      <c r="G4848">
        <v>-326.60730000000001</v>
      </c>
      <c r="H4848" s="1">
        <v>-2.2433569999999999E-6</v>
      </c>
      <c r="I4848">
        <v>16.022210000000001</v>
      </c>
      <c r="J4848">
        <v>-344.48989999999998</v>
      </c>
      <c r="K4848">
        <v>1.1192899999999999</v>
      </c>
      <c r="L4848">
        <v>17.505099999999999</v>
      </c>
      <c r="M4848">
        <v>0.99952640000000004</v>
      </c>
      <c r="N4848">
        <v>-1.061555E-2</v>
      </c>
      <c r="O4848">
        <v>2.8889140000000001E-2</v>
      </c>
      <c r="P4848">
        <v>0.98382340000000001</v>
      </c>
      <c r="Q4848">
        <v>0.1781344</v>
      </c>
      <c r="R4848">
        <v>-1.8976549999999998E-2</v>
      </c>
      <c r="S4848">
        <v>3.0790099999999998</v>
      </c>
      <c r="T4848">
        <v>-0.190581</v>
      </c>
      <c r="U4848">
        <v>-0.2515869</v>
      </c>
      <c r="V4848">
        <v>4.8038530000000003E-2</v>
      </c>
      <c r="W4848">
        <v>0.1883947</v>
      </c>
      <c r="X4848">
        <v>0.98091779999999995</v>
      </c>
      <c r="Y4848">
        <v>0.1099168</v>
      </c>
      <c r="Z4848">
        <v>-5.4558519999999998E-3</v>
      </c>
      <c r="AA4848">
        <v>0.99392579999999997</v>
      </c>
      <c r="AB4848">
        <v>35</v>
      </c>
      <c r="AC4848">
        <v>17.882599999999901</v>
      </c>
      <c r="AD4848">
        <v>-1.1192922433569901</v>
      </c>
      <c r="AE4848">
        <v>-1.48288999999999</v>
      </c>
      <c r="AF4848">
        <v>1.9911655571149001</v>
      </c>
      <c r="AG4848">
        <v>-1.1192922433569901</v>
      </c>
      <c r="AH4848">
        <v>17.763178859728999</v>
      </c>
      <c r="AI4848">
        <v>93.583168406735794</v>
      </c>
      <c r="AJ4848">
        <v>83.604122631410306</v>
      </c>
      <c r="AK4848">
        <v>17.909441046682701</v>
      </c>
      <c r="AL4848">
        <v>79.140884434816797</v>
      </c>
      <c r="AM4848">
        <v>87.196291304328398</v>
      </c>
      <c r="AN4848">
        <v>0.99999999685474505</v>
      </c>
    </row>
    <row r="4849" spans="1:40" x14ac:dyDescent="0.25">
      <c r="A4849" t="str">
        <f>"20190303171112672"</f>
        <v>20190303171112672</v>
      </c>
      <c r="B4849" t="str">
        <f>"1551604272666039"</f>
        <v>1551604272666039</v>
      </c>
      <c r="C4849" t="s">
        <v>40</v>
      </c>
      <c r="D4849">
        <v>4.8789379999999998</v>
      </c>
      <c r="E4849">
        <v>0.52952109999999997</v>
      </c>
      <c r="F4849" t="s">
        <v>42</v>
      </c>
      <c r="G4849">
        <v>-326.3236</v>
      </c>
      <c r="H4849" s="1">
        <v>-2.359958E-6</v>
      </c>
      <c r="I4849">
        <v>15.999180000000001</v>
      </c>
      <c r="J4849">
        <v>-344.2473</v>
      </c>
      <c r="K4849">
        <v>1.1192770000000001</v>
      </c>
      <c r="L4849">
        <v>17.511140000000001</v>
      </c>
      <c r="M4849">
        <v>0.99955680000000002</v>
      </c>
      <c r="N4849">
        <v>-1.061525E-2</v>
      </c>
      <c r="O4849">
        <v>2.7814640000000002E-2</v>
      </c>
      <c r="P4849">
        <v>0.98382420000000004</v>
      </c>
      <c r="Q4849">
        <v>0.17801059999999999</v>
      </c>
      <c r="R4849">
        <v>-2.0067430000000001E-2</v>
      </c>
      <c r="S4849">
        <v>3.0787659999999999</v>
      </c>
      <c r="T4849">
        <v>-0.1896938</v>
      </c>
      <c r="U4849">
        <v>-0.25521850000000001</v>
      </c>
      <c r="V4849">
        <v>4.8077670000000003E-2</v>
      </c>
      <c r="W4849">
        <v>0.18826879999999999</v>
      </c>
      <c r="X4849">
        <v>0.98094000000000003</v>
      </c>
      <c r="Y4849">
        <v>0.110023</v>
      </c>
      <c r="Z4849">
        <v>-5.3811479999999997E-3</v>
      </c>
      <c r="AA4849">
        <v>0.99391450000000003</v>
      </c>
      <c r="AB4849">
        <v>35</v>
      </c>
      <c r="AC4849">
        <v>17.923699999999901</v>
      </c>
      <c r="AD4849">
        <v>-1.119279359958</v>
      </c>
      <c r="AE4849">
        <v>-1.51196</v>
      </c>
      <c r="AF4849">
        <v>2.0021916653604501</v>
      </c>
      <c r="AG4849">
        <v>-1.119279359958</v>
      </c>
      <c r="AH4849">
        <v>17.8057625088734</v>
      </c>
      <c r="AI4849">
        <v>93.574441421818605</v>
      </c>
      <c r="AJ4849">
        <v>83.584253039194707</v>
      </c>
      <c r="AK4849">
        <v>17.952903282557699</v>
      </c>
      <c r="AL4849">
        <v>79.148228822359897</v>
      </c>
      <c r="AM4849">
        <v>87.194073998397997</v>
      </c>
      <c r="AN4849">
        <v>0.99999994350303301</v>
      </c>
    </row>
    <row r="4850" spans="1:40" x14ac:dyDescent="0.25">
      <c r="A4850" t="str">
        <f>"20190303171112692"</f>
        <v>20190303171112692</v>
      </c>
      <c r="B4850" t="str">
        <f>"1551604272685559"</f>
        <v>1551604272685559</v>
      </c>
      <c r="C4850" t="s">
        <v>40</v>
      </c>
      <c r="D4850">
        <v>4.9207669999999997</v>
      </c>
      <c r="E4850">
        <v>0.52963530000000003</v>
      </c>
      <c r="F4850" t="s">
        <v>42</v>
      </c>
      <c r="G4850">
        <v>-326.07459999999998</v>
      </c>
      <c r="H4850" s="1">
        <v>-2.4808579999999999E-6</v>
      </c>
      <c r="I4850">
        <v>15.98104</v>
      </c>
      <c r="J4850">
        <v>-343.95679999999999</v>
      </c>
      <c r="K4850">
        <v>1.119267</v>
      </c>
      <c r="L4850">
        <v>17.518039999999999</v>
      </c>
      <c r="M4850">
        <v>0.99959160000000002</v>
      </c>
      <c r="N4850">
        <v>-1.061512E-2</v>
      </c>
      <c r="O4850">
        <v>2.6530809999999998E-2</v>
      </c>
      <c r="P4850">
        <v>0.98381759999999996</v>
      </c>
      <c r="Q4850">
        <v>0.17796039999999999</v>
      </c>
      <c r="R4850">
        <v>-2.0811619999999999E-2</v>
      </c>
      <c r="S4850">
        <v>3.0783079999999998</v>
      </c>
      <c r="T4850">
        <v>-0.18959699999999999</v>
      </c>
      <c r="U4850">
        <v>-0.25918580000000002</v>
      </c>
      <c r="V4850">
        <v>4.7564820000000001E-2</v>
      </c>
      <c r="W4850">
        <v>0.1882191</v>
      </c>
      <c r="X4850">
        <v>0.98097460000000003</v>
      </c>
      <c r="Y4850">
        <v>0.11003250000000001</v>
      </c>
      <c r="Z4850">
        <v>-5.3141409999999997E-3</v>
      </c>
      <c r="AA4850">
        <v>0.99391379999999996</v>
      </c>
      <c r="AB4850">
        <v>35</v>
      </c>
      <c r="AC4850">
        <v>17.882200000000001</v>
      </c>
      <c r="AD4850">
        <v>-1.1192694808579999</v>
      </c>
      <c r="AE4850">
        <v>-1.5369999999999899</v>
      </c>
      <c r="AF4850">
        <v>2.0031248829224899</v>
      </c>
      <c r="AG4850">
        <v>-1.1192694808579999</v>
      </c>
      <c r="AH4850">
        <v>17.766033562439102</v>
      </c>
      <c r="AI4850">
        <v>93.582261601114496</v>
      </c>
      <c r="AJ4850">
        <v>83.567054094796006</v>
      </c>
      <c r="AK4850">
        <v>17.913604383514699</v>
      </c>
      <c r="AL4850">
        <v>79.1511289198247</v>
      </c>
      <c r="AM4850">
        <v>87.224055820316295</v>
      </c>
      <c r="AN4850">
        <v>1.0000000037757999</v>
      </c>
    </row>
    <row r="4851" spans="1:40" x14ac:dyDescent="0.25">
      <c r="A4851" t="str">
        <f>"20190303171112708"</f>
        <v>20190303171112708</v>
      </c>
      <c r="B4851" t="str">
        <f>"1551604272695318"</f>
        <v>1551604272695318</v>
      </c>
      <c r="C4851" t="s">
        <v>40</v>
      </c>
      <c r="D4851">
        <v>4.9760150000000003</v>
      </c>
      <c r="E4851">
        <v>0.52967980000000003</v>
      </c>
      <c r="F4851" t="s">
        <v>42</v>
      </c>
      <c r="G4851">
        <v>-325.745</v>
      </c>
      <c r="H4851" s="1">
        <v>-2.64021E-6</v>
      </c>
      <c r="I4851">
        <v>15.961209999999999</v>
      </c>
      <c r="J4851">
        <v>-343.71179999999998</v>
      </c>
      <c r="K4851">
        <v>1.119259</v>
      </c>
      <c r="L4851">
        <v>17.52356</v>
      </c>
      <c r="M4851">
        <v>0.99961979999999995</v>
      </c>
      <c r="N4851">
        <v>-1.0615370000000001E-2</v>
      </c>
      <c r="O4851">
        <v>2.5449579999999999E-2</v>
      </c>
      <c r="P4851">
        <v>0.98372870000000001</v>
      </c>
      <c r="Q4851">
        <v>0.17833270000000001</v>
      </c>
      <c r="R4851">
        <v>-2.1804179999999999E-2</v>
      </c>
      <c r="S4851">
        <v>3.078033</v>
      </c>
      <c r="T4851">
        <v>-0.18917039999999999</v>
      </c>
      <c r="U4851">
        <v>-0.26312259999999998</v>
      </c>
      <c r="V4851">
        <v>4.7496959999999998E-2</v>
      </c>
      <c r="W4851">
        <v>0.18859000000000001</v>
      </c>
      <c r="X4851">
        <v>0.98090670000000002</v>
      </c>
      <c r="Y4851">
        <v>0.1102291</v>
      </c>
      <c r="Z4851">
        <v>-5.2553519999999996E-3</v>
      </c>
      <c r="AA4851">
        <v>0.99389229999999995</v>
      </c>
      <c r="AB4851">
        <v>35</v>
      </c>
      <c r="AC4851">
        <v>17.9667999999999</v>
      </c>
      <c r="AD4851">
        <v>-1.11926164021</v>
      </c>
      <c r="AE4851">
        <v>-1.5623499999999899</v>
      </c>
      <c r="AF4851">
        <v>2.0113700092070901</v>
      </c>
      <c r="AG4851">
        <v>-1.11926164021</v>
      </c>
      <c r="AH4851">
        <v>17.852454698499599</v>
      </c>
      <c r="AI4851">
        <v>93.564973540817704</v>
      </c>
      <c r="AJ4851">
        <v>83.571804264823697</v>
      </c>
      <c r="AK4851">
        <v>18.000235962207999</v>
      </c>
      <c r="AL4851">
        <v>79.129490929250807</v>
      </c>
      <c r="AM4851">
        <v>87.227818453418706</v>
      </c>
      <c r="AN4851">
        <v>1.00000005170706</v>
      </c>
    </row>
    <row r="4852" spans="1:40" x14ac:dyDescent="0.25">
      <c r="A4852" t="str">
        <f>"20190303171112721"</f>
        <v>20190303171112721</v>
      </c>
      <c r="B4852" t="str">
        <f>"1551604272715815"</f>
        <v>1551604272715815</v>
      </c>
      <c r="C4852" t="s">
        <v>40</v>
      </c>
      <c r="D4852">
        <v>4.941268</v>
      </c>
      <c r="E4852">
        <v>0.52968319999999902</v>
      </c>
      <c r="F4852" t="s">
        <v>42</v>
      </c>
      <c r="G4852">
        <v>-325.37029999999999</v>
      </c>
      <c r="H4852" s="1">
        <v>-2.8224930000000001E-6</v>
      </c>
      <c r="I4852">
        <v>15.93205</v>
      </c>
      <c r="J4852">
        <v>-343.48390000000001</v>
      </c>
      <c r="K4852">
        <v>1.1192489999999999</v>
      </c>
      <c r="L4852">
        <v>17.528469999999999</v>
      </c>
      <c r="M4852">
        <v>0.99964470000000005</v>
      </c>
      <c r="N4852">
        <v>-1.061575E-2</v>
      </c>
      <c r="O4852">
        <v>2.4445140000000001E-2</v>
      </c>
      <c r="P4852">
        <v>0.98353639999999998</v>
      </c>
      <c r="Q4852">
        <v>0.1792715</v>
      </c>
      <c r="R4852">
        <v>-2.275344E-2</v>
      </c>
      <c r="S4852">
        <v>3.0777589999999999</v>
      </c>
      <c r="T4852">
        <v>-0.18781510000000001</v>
      </c>
      <c r="U4852">
        <v>-0.2670593</v>
      </c>
      <c r="V4852">
        <v>4.7460219999999997E-2</v>
      </c>
      <c r="W4852">
        <v>0.1895269</v>
      </c>
      <c r="X4852">
        <v>0.98072789999999999</v>
      </c>
      <c r="Y4852">
        <v>0.1105044</v>
      </c>
      <c r="Z4852">
        <v>-5.1795909999999999E-3</v>
      </c>
      <c r="AA4852">
        <v>0.99386220000000003</v>
      </c>
      <c r="AB4852">
        <v>35</v>
      </c>
      <c r="AC4852">
        <v>18.113600000000002</v>
      </c>
      <c r="AD4852">
        <v>-1.1192518224929999</v>
      </c>
      <c r="AE4852">
        <v>-1.59642</v>
      </c>
      <c r="AF4852">
        <v>2.03106237410167</v>
      </c>
      <c r="AG4852">
        <v>-1.1192518224929999</v>
      </c>
      <c r="AH4852">
        <v>18.0009601128078</v>
      </c>
      <c r="AI4852">
        <v>93.535542405795695</v>
      </c>
      <c r="AJ4852">
        <v>83.562498515352601</v>
      </c>
      <c r="AK4852">
        <v>18.149724625804801</v>
      </c>
      <c r="AL4852">
        <v>79.074824812313594</v>
      </c>
      <c r="AM4852">
        <v>87.229455229804302</v>
      </c>
      <c r="AN4852">
        <v>1.0000000660722299</v>
      </c>
    </row>
    <row r="4853" spans="1:40" x14ac:dyDescent="0.25">
      <c r="A4853" t="str">
        <f>"20190303171112732"</f>
        <v>20190303171112732</v>
      </c>
      <c r="B4853" t="str">
        <f>"1551604272725575"</f>
        <v>1551604272725575</v>
      </c>
      <c r="C4853" t="s">
        <v>40</v>
      </c>
      <c r="D4853">
        <v>4.9572289999999999</v>
      </c>
      <c r="E4853">
        <v>0.52970319999999904</v>
      </c>
      <c r="F4853" t="s">
        <v>42</v>
      </c>
      <c r="G4853">
        <v>-324.8263</v>
      </c>
      <c r="H4853" s="1">
        <v>-3.086838E-6</v>
      </c>
      <c r="I4853">
        <v>15.89151</v>
      </c>
      <c r="J4853">
        <v>-343.31330000000003</v>
      </c>
      <c r="K4853">
        <v>1.119246</v>
      </c>
      <c r="L4853">
        <v>17.53201</v>
      </c>
      <c r="M4853">
        <v>0.99966299999999997</v>
      </c>
      <c r="N4853">
        <v>-1.061606E-2</v>
      </c>
      <c r="O4853">
        <v>2.369317E-2</v>
      </c>
      <c r="P4853">
        <v>0.98344960000000003</v>
      </c>
      <c r="Q4853">
        <v>0.17965590000000001</v>
      </c>
      <c r="R4853">
        <v>-2.3469859999999999E-2</v>
      </c>
      <c r="S4853">
        <v>3.0776059999999998</v>
      </c>
      <c r="T4853">
        <v>-0.18462200000000001</v>
      </c>
      <c r="U4853">
        <v>-0.27001950000000002</v>
      </c>
      <c r="V4853">
        <v>4.7438519999999998E-2</v>
      </c>
      <c r="W4853">
        <v>0.18991089999999999</v>
      </c>
      <c r="X4853">
        <v>0.98065460000000004</v>
      </c>
      <c r="Y4853">
        <v>0.110718899999999</v>
      </c>
      <c r="Z4853">
        <v>-5.0678650000000004E-3</v>
      </c>
      <c r="AA4853">
        <v>0.99383880000000002</v>
      </c>
      <c r="AB4853">
        <v>35</v>
      </c>
      <c r="AC4853">
        <v>18.486999999999998</v>
      </c>
      <c r="AD4853">
        <v>-1.1192490868380001</v>
      </c>
      <c r="AE4853">
        <v>-1.6404999999999901</v>
      </c>
      <c r="AF4853">
        <v>2.0705496173795801</v>
      </c>
      <c r="AG4853">
        <v>-1.1192490868380001</v>
      </c>
      <c r="AH4853">
        <v>18.376109436351399</v>
      </c>
      <c r="AI4853">
        <v>93.4635926701079</v>
      </c>
      <c r="AJ4853">
        <v>83.571245861747997</v>
      </c>
      <c r="AK4853">
        <v>18.5262325434283</v>
      </c>
      <c r="AL4853">
        <v>79.052415570220603</v>
      </c>
      <c r="AM4853">
        <v>87.230513349496107</v>
      </c>
      <c r="AN4853">
        <v>1.00000000380988</v>
      </c>
    </row>
    <row r="4854" spans="1:40" x14ac:dyDescent="0.25">
      <c r="A4854" t="str">
        <f>"20190303171112744"</f>
        <v>20190303171112744</v>
      </c>
      <c r="B4854" t="str">
        <f>"1551604272735336"</f>
        <v>1551604272735336</v>
      </c>
      <c r="C4854" t="s">
        <v>40</v>
      </c>
      <c r="D4854">
        <v>4.9132499999999997</v>
      </c>
      <c r="E4854">
        <v>0.52973479999999995</v>
      </c>
      <c r="F4854" t="s">
        <v>42</v>
      </c>
      <c r="G4854">
        <v>-324.54790000000003</v>
      </c>
      <c r="H4854" s="1">
        <v>-3.2217940000000001E-6</v>
      </c>
      <c r="I4854">
        <v>15.8725</v>
      </c>
      <c r="J4854">
        <v>-343.13510000000002</v>
      </c>
      <c r="K4854">
        <v>1.119245</v>
      </c>
      <c r="L4854">
        <v>17.535520000000002</v>
      </c>
      <c r="M4854">
        <v>0.99968129999999999</v>
      </c>
      <c r="N4854">
        <v>-1.0616459999999999E-2</v>
      </c>
      <c r="O4854">
        <v>2.2907879999999999E-2</v>
      </c>
      <c r="P4854">
        <v>0.98336489999999999</v>
      </c>
      <c r="Q4854">
        <v>0.1799943</v>
      </c>
      <c r="R4854">
        <v>-2.4414109999999999E-2</v>
      </c>
      <c r="S4854">
        <v>3.0774840000000001</v>
      </c>
      <c r="T4854">
        <v>-0.18355440000000001</v>
      </c>
      <c r="U4854">
        <v>-0.2721558</v>
      </c>
      <c r="V4854">
        <v>4.761145E-2</v>
      </c>
      <c r="W4854">
        <v>0.19024740000000001</v>
      </c>
      <c r="X4854">
        <v>0.98058100000000004</v>
      </c>
      <c r="Y4854">
        <v>0.110630199999999</v>
      </c>
      <c r="Z4854">
        <v>-4.9991230000000003E-3</v>
      </c>
      <c r="AA4854">
        <v>0.99384899999999998</v>
      </c>
      <c r="AB4854">
        <v>35</v>
      </c>
      <c r="AC4854">
        <v>18.587199999999999</v>
      </c>
      <c r="AD4854">
        <v>-1.1192482217940001</v>
      </c>
      <c r="AE4854">
        <v>-1.6630199999999999</v>
      </c>
      <c r="AF4854">
        <v>2.0809154201952702</v>
      </c>
      <c r="AG4854">
        <v>-1.1192482217940001</v>
      </c>
      <c r="AH4854">
        <v>18.477755583459999</v>
      </c>
      <c r="AI4854">
        <v>93.444605283705599</v>
      </c>
      <c r="AJ4854">
        <v>83.574575099820095</v>
      </c>
      <c r="AK4854">
        <v>18.628214540585599</v>
      </c>
      <c r="AL4854">
        <v>79.032777588406304</v>
      </c>
      <c r="AM4854">
        <v>87.220225105530503</v>
      </c>
      <c r="AN4854">
        <v>1.00000001046943</v>
      </c>
    </row>
    <row r="4855" spans="1:40" x14ac:dyDescent="0.25">
      <c r="A4855" t="str">
        <f>"20190303171112754"</f>
        <v>20190303171112754</v>
      </c>
      <c r="B4855" t="str">
        <f>"1551604272746070"</f>
        <v>1551604272746070</v>
      </c>
      <c r="C4855" t="s">
        <v>40</v>
      </c>
      <c r="D4855">
        <v>4.9565400000000004</v>
      </c>
      <c r="E4855">
        <v>0.52976159999999906</v>
      </c>
      <c r="F4855" t="s">
        <v>42</v>
      </c>
      <c r="G4855">
        <v>-324.2543</v>
      </c>
      <c r="H4855" s="1">
        <v>-3.3650439999999999E-6</v>
      </c>
      <c r="I4855">
        <v>15.84736</v>
      </c>
      <c r="J4855">
        <v>-342.95710000000003</v>
      </c>
      <c r="K4855">
        <v>1.119243</v>
      </c>
      <c r="L4855">
        <v>17.538969999999999</v>
      </c>
      <c r="M4855">
        <v>0.999699</v>
      </c>
      <c r="N4855">
        <v>-1.061691E-2</v>
      </c>
      <c r="O4855">
        <v>2.2123500000000001E-2</v>
      </c>
      <c r="P4855">
        <v>0.98329610000000001</v>
      </c>
      <c r="Q4855">
        <v>0.1802685</v>
      </c>
      <c r="R4855">
        <v>-2.5149999999999999E-2</v>
      </c>
      <c r="S4855">
        <v>3.0773009999999998</v>
      </c>
      <c r="T4855">
        <v>-0.18242169999999999</v>
      </c>
      <c r="U4855">
        <v>-0.27514650000000002</v>
      </c>
      <c r="V4855">
        <v>4.7577599999999998E-2</v>
      </c>
      <c r="W4855">
        <v>0.1905213</v>
      </c>
      <c r="X4855">
        <v>0.9805294</v>
      </c>
      <c r="Y4855">
        <v>0.1108175</v>
      </c>
      <c r="Z4855">
        <v>-4.9390379999999998E-3</v>
      </c>
      <c r="AA4855">
        <v>0.9938285</v>
      </c>
      <c r="AB4855">
        <v>35</v>
      </c>
      <c r="AC4855">
        <v>18.7028</v>
      </c>
      <c r="AD4855">
        <v>-1.1192463650440001</v>
      </c>
      <c r="AE4855">
        <v>-1.6916100000000001</v>
      </c>
      <c r="AF4855">
        <v>2.0975396673497699</v>
      </c>
      <c r="AG4855">
        <v>-1.1192463650440001</v>
      </c>
      <c r="AH4855">
        <v>18.594742845865699</v>
      </c>
      <c r="AI4855">
        <v>93.422909362591795</v>
      </c>
      <c r="AJ4855">
        <v>83.564079662500006</v>
      </c>
      <c r="AK4855">
        <v>18.746115506569499</v>
      </c>
      <c r="AL4855">
        <v>79.016791206886694</v>
      </c>
      <c r="AM4855">
        <v>87.222052375503907</v>
      </c>
      <c r="AN4855">
        <v>0.99999994901990297</v>
      </c>
    </row>
    <row r="4856" spans="1:40" x14ac:dyDescent="0.25">
      <c r="A4856" t="str">
        <f>"20190303171112766"</f>
        <v>20190303171112766</v>
      </c>
      <c r="B4856" t="str">
        <f>"1551604272755830"</f>
        <v>1551604272755830</v>
      </c>
      <c r="C4856" t="s">
        <v>40</v>
      </c>
      <c r="D4856">
        <v>4.9356949999999999</v>
      </c>
      <c r="E4856">
        <v>0.52977079999999999</v>
      </c>
      <c r="F4856" t="s">
        <v>42</v>
      </c>
      <c r="G4856">
        <v>-323.97579999999999</v>
      </c>
      <c r="H4856" s="1">
        <v>-3.5003920000000002E-6</v>
      </c>
      <c r="I4856">
        <v>15.826479999999901</v>
      </c>
      <c r="J4856">
        <v>-342.78160000000003</v>
      </c>
      <c r="K4856">
        <v>1.1192409999999999</v>
      </c>
      <c r="L4856">
        <v>17.54214</v>
      </c>
      <c r="M4856">
        <v>0.99971569999999998</v>
      </c>
      <c r="N4856">
        <v>-1.0617349999999999E-2</v>
      </c>
      <c r="O4856">
        <v>2.1350279999999999E-2</v>
      </c>
      <c r="P4856">
        <v>0.98322770000000004</v>
      </c>
      <c r="Q4856">
        <v>0.18053230000000001</v>
      </c>
      <c r="R4856">
        <v>-2.5913249999999999E-2</v>
      </c>
      <c r="S4856">
        <v>3.077118</v>
      </c>
      <c r="T4856">
        <v>-0.1814452</v>
      </c>
      <c r="U4856">
        <v>-0.27761839999999999</v>
      </c>
      <c r="V4856">
        <v>4.7581440000000003E-2</v>
      </c>
      <c r="W4856">
        <v>0.19078439999999999</v>
      </c>
      <c r="X4856">
        <v>0.98047810000000002</v>
      </c>
      <c r="Y4856">
        <v>0.1108495</v>
      </c>
      <c r="Z4856">
        <v>-4.8785139999999996E-3</v>
      </c>
      <c r="AA4856">
        <v>0.99382530000000002</v>
      </c>
      <c r="AB4856">
        <v>35</v>
      </c>
      <c r="AC4856">
        <v>18.805800000000001</v>
      </c>
      <c r="AD4856">
        <v>-1.119244500392</v>
      </c>
      <c r="AE4856">
        <v>-1.71566</v>
      </c>
      <c r="AF4856">
        <v>2.1093905097878101</v>
      </c>
      <c r="AG4856">
        <v>-1.119244500392</v>
      </c>
      <c r="AH4856">
        <v>18.699192453852898</v>
      </c>
      <c r="AI4856">
        <v>93.403827772525005</v>
      </c>
      <c r="AJ4856">
        <v>83.563872014758601</v>
      </c>
      <c r="AK4856">
        <v>18.851048644589198</v>
      </c>
      <c r="AL4856">
        <v>79.001435501680703</v>
      </c>
      <c r="AM4856">
        <v>87.221683387789994</v>
      </c>
      <c r="AN4856">
        <v>0.99999999264772099</v>
      </c>
    </row>
    <row r="4857" spans="1:40" x14ac:dyDescent="0.25">
      <c r="A4857" t="str">
        <f>"20190303171112777"</f>
        <v>20190303171112777</v>
      </c>
      <c r="B4857" t="str">
        <f>"1551604272765591"</f>
        <v>1551604272765591</v>
      </c>
      <c r="C4857" t="s">
        <v>40</v>
      </c>
      <c r="D4857">
        <v>4.9752330000000002</v>
      </c>
      <c r="E4857">
        <v>0.52984140000000002</v>
      </c>
      <c r="F4857" t="s">
        <v>42</v>
      </c>
      <c r="G4857">
        <v>-323.74160000000001</v>
      </c>
      <c r="H4857" s="1">
        <v>-3.614267E-6</v>
      </c>
      <c r="I4857">
        <v>15.8088</v>
      </c>
      <c r="J4857">
        <v>-342.61559999999997</v>
      </c>
      <c r="K4857">
        <v>1.119238</v>
      </c>
      <c r="L4857">
        <v>17.545069999999999</v>
      </c>
      <c r="M4857">
        <v>0.99973100000000004</v>
      </c>
      <c r="N4857">
        <v>-1.061778E-2</v>
      </c>
      <c r="O4857">
        <v>2.0619140000000001E-2</v>
      </c>
      <c r="P4857">
        <v>0.98321040000000004</v>
      </c>
      <c r="Q4857">
        <v>0.1805245</v>
      </c>
      <c r="R4857">
        <v>-2.6610959999999999E-2</v>
      </c>
      <c r="S4857">
        <v>3.0769959999999998</v>
      </c>
      <c r="T4857">
        <v>-0.18087780000000001</v>
      </c>
      <c r="U4857">
        <v>-0.2801208</v>
      </c>
      <c r="V4857">
        <v>4.7561520000000003E-2</v>
      </c>
      <c r="W4857">
        <v>0.19077730000000001</v>
      </c>
      <c r="X4857">
        <v>0.98048040000000003</v>
      </c>
      <c r="Y4857">
        <v>0.11093</v>
      </c>
      <c r="Z4857">
        <v>-4.8321390000000001E-3</v>
      </c>
      <c r="AA4857">
        <v>0.99381649999999999</v>
      </c>
      <c r="AB4857">
        <v>35</v>
      </c>
      <c r="AC4857">
        <v>18.873999999999899</v>
      </c>
      <c r="AD4857">
        <v>-1.1192416142670001</v>
      </c>
      <c r="AE4857">
        <v>-1.73627</v>
      </c>
      <c r="AF4857">
        <v>2.11770385758869</v>
      </c>
      <c r="AG4857">
        <v>-1.1192416142670001</v>
      </c>
      <c r="AH4857">
        <v>18.768736782024799</v>
      </c>
      <c r="AI4857">
        <v>93.391226835349798</v>
      </c>
      <c r="AJ4857">
        <v>83.562460405328096</v>
      </c>
      <c r="AK4857">
        <v>18.920963289761001</v>
      </c>
      <c r="AL4857">
        <v>79.001849389273204</v>
      </c>
      <c r="AM4857">
        <v>87.222851214910804</v>
      </c>
      <c r="AN4857">
        <v>0.99999994558207805</v>
      </c>
    </row>
    <row r="4858" spans="1:40" x14ac:dyDescent="0.25">
      <c r="A4858" t="str">
        <f>"20190303171112789"</f>
        <v>20190303171112789</v>
      </c>
      <c r="B4858" t="str">
        <f>"1551604272775351"</f>
        <v>1551604272775351</v>
      </c>
      <c r="C4858" t="s">
        <v>40</v>
      </c>
      <c r="D4858">
        <v>4.976648</v>
      </c>
      <c r="E4858">
        <v>0.52984140000000002</v>
      </c>
      <c r="F4858" t="s">
        <v>42</v>
      </c>
      <c r="G4858">
        <v>-323.59519999999998</v>
      </c>
      <c r="H4858" s="1">
        <v>-3.685901E-6</v>
      </c>
      <c r="I4858">
        <v>15.79509</v>
      </c>
      <c r="J4858">
        <v>-342.42829999999998</v>
      </c>
      <c r="K4858">
        <v>1.1192359999999999</v>
      </c>
      <c r="L4858">
        <v>17.548159999999999</v>
      </c>
      <c r="M4858">
        <v>0.99974779999999996</v>
      </c>
      <c r="N4858">
        <v>-1.061843E-2</v>
      </c>
      <c r="O4858">
        <v>1.979413E-2</v>
      </c>
      <c r="P4858">
        <v>0.98317650000000001</v>
      </c>
      <c r="Q4858">
        <v>0.18059810000000001</v>
      </c>
      <c r="R4858">
        <v>-2.7364759999999998E-2</v>
      </c>
      <c r="S4858">
        <v>3.0767820000000001</v>
      </c>
      <c r="T4858">
        <v>-0.18105099999999999</v>
      </c>
      <c r="U4858">
        <v>-0.28308109999999997</v>
      </c>
      <c r="V4858">
        <v>4.7504850000000001E-2</v>
      </c>
      <c r="W4858">
        <v>0.1908513</v>
      </c>
      <c r="X4858">
        <v>0.98046880000000003</v>
      </c>
      <c r="Y4858">
        <v>0.1110646</v>
      </c>
      <c r="Z4858">
        <v>-4.8015559999999898E-3</v>
      </c>
      <c r="AA4858">
        <v>0.99380159999999995</v>
      </c>
      <c r="AB4858">
        <v>35</v>
      </c>
      <c r="AC4858">
        <v>18.833100000000002</v>
      </c>
      <c r="AD4858">
        <v>-1.1192396859010001</v>
      </c>
      <c r="AE4858">
        <v>-1.7530699999999899</v>
      </c>
      <c r="AF4858">
        <v>2.1181156909982599</v>
      </c>
      <c r="AG4858">
        <v>-1.1192396859010001</v>
      </c>
      <c r="AH4858">
        <v>18.729127017761499</v>
      </c>
      <c r="AI4858">
        <v>93.398277671209598</v>
      </c>
      <c r="AJ4858">
        <v>83.547716497433399</v>
      </c>
      <c r="AK4858">
        <v>18.881718947235498</v>
      </c>
      <c r="AL4858">
        <v>78.997530731054994</v>
      </c>
      <c r="AM4858">
        <v>87.226122276532607</v>
      </c>
      <c r="AN4858">
        <v>0.99999999862932598</v>
      </c>
    </row>
    <row r="4859" spans="1:40" x14ac:dyDescent="0.25">
      <c r="A4859" t="str">
        <f>"20190303171112800"</f>
        <v>20190303171112800</v>
      </c>
      <c r="B4859" t="str">
        <f>"1551604272786087"</f>
        <v>1551604272786087</v>
      </c>
      <c r="C4859" t="s">
        <v>40</v>
      </c>
      <c r="D4859">
        <v>4.9920030000000004</v>
      </c>
      <c r="E4859">
        <v>0.55762250000000002</v>
      </c>
      <c r="F4859" t="s">
        <v>42</v>
      </c>
      <c r="G4859">
        <v>-323.38080000000002</v>
      </c>
      <c r="H4859" s="1">
        <v>-3.7899790000000002E-6</v>
      </c>
      <c r="I4859">
        <v>15.7797</v>
      </c>
      <c r="J4859">
        <v>-342.255</v>
      </c>
      <c r="K4859">
        <v>1.1192329999999999</v>
      </c>
      <c r="L4859">
        <v>17.55096</v>
      </c>
      <c r="M4859">
        <v>0.9997625</v>
      </c>
      <c r="N4859">
        <v>-1.061987E-2</v>
      </c>
      <c r="O4859">
        <v>1.9030499999999999E-2</v>
      </c>
      <c r="P4859">
        <v>0.98314650000000003</v>
      </c>
      <c r="Q4859">
        <v>0.1806305</v>
      </c>
      <c r="R4859">
        <v>-2.8207349999999999E-2</v>
      </c>
      <c r="S4859">
        <v>3.0765989999999999</v>
      </c>
      <c r="T4859">
        <v>-0.18078179999999999</v>
      </c>
      <c r="U4859">
        <v>-0.28564450000000002</v>
      </c>
      <c r="V4859">
        <v>4.759737E-2</v>
      </c>
      <c r="W4859">
        <v>0.19088450000000001</v>
      </c>
      <c r="X4859">
        <v>0.98045780000000005</v>
      </c>
      <c r="Y4859">
        <v>0.11113339999999899</v>
      </c>
      <c r="Z4859">
        <v>-4.7608889999999999E-3</v>
      </c>
      <c r="AA4859">
        <v>0.99379410000000001</v>
      </c>
      <c r="AB4859">
        <v>35</v>
      </c>
      <c r="AC4859">
        <v>18.874199999999899</v>
      </c>
      <c r="AD4859">
        <v>-1.1192367899789999</v>
      </c>
      <c r="AE4859">
        <v>-1.7712599999999901</v>
      </c>
      <c r="AF4859">
        <v>2.1227455117379401</v>
      </c>
      <c r="AG4859">
        <v>-1.1192367899789999</v>
      </c>
      <c r="AH4859">
        <v>18.771638082370799</v>
      </c>
      <c r="AI4859">
        <v>93.390594585170703</v>
      </c>
      <c r="AJ4859">
        <v>83.548252466138806</v>
      </c>
      <c r="AK4859">
        <v>18.924405824098201</v>
      </c>
      <c r="AL4859">
        <v>78.9955923409847</v>
      </c>
      <c r="AM4859">
        <v>87.2206972280933</v>
      </c>
      <c r="AN4859">
        <v>0.99999994977600204</v>
      </c>
    </row>
    <row r="4860" spans="1:40" x14ac:dyDescent="0.25">
      <c r="A4860" t="str">
        <f>"20190303171112812"</f>
        <v>20190303171112812</v>
      </c>
      <c r="B4860" t="str">
        <f>"1551604272805607"</f>
        <v>1551604272805607</v>
      </c>
      <c r="C4860" t="s">
        <v>40</v>
      </c>
      <c r="D4860">
        <v>4.9152930000000001</v>
      </c>
      <c r="E4860">
        <v>0.56855290000000003</v>
      </c>
      <c r="F4860" t="s">
        <v>42</v>
      </c>
      <c r="G4860">
        <v>-321.47859999999997</v>
      </c>
      <c r="H4860" s="1">
        <v>-4.9885709999999998E-6</v>
      </c>
      <c r="I4860">
        <v>14.09165</v>
      </c>
      <c r="J4860">
        <v>-342.05720000000002</v>
      </c>
      <c r="K4860">
        <v>1.119232</v>
      </c>
      <c r="L4860">
        <v>17.55396</v>
      </c>
      <c r="M4860">
        <v>0.99977890000000003</v>
      </c>
      <c r="N4860">
        <v>-1.062368E-2</v>
      </c>
      <c r="O4860">
        <v>1.8159160000000001E-2</v>
      </c>
      <c r="P4860">
        <v>0.98305849999999995</v>
      </c>
      <c r="Q4860">
        <v>0.18092220000000001</v>
      </c>
      <c r="R4860">
        <v>-2.9383200000000002E-2</v>
      </c>
      <c r="S4860">
        <v>3.0671080000000002</v>
      </c>
      <c r="T4860">
        <v>-0.1652274</v>
      </c>
      <c r="U4860">
        <v>-0.51068119999999995</v>
      </c>
      <c r="V4860">
        <v>4.7917359999999999E-2</v>
      </c>
      <c r="W4860">
        <v>0.1911775</v>
      </c>
      <c r="X4860">
        <v>0.98038519999999896</v>
      </c>
      <c r="Y4860">
        <v>0.18180289999999999</v>
      </c>
      <c r="Z4860">
        <v>-6.6129219999999898E-3</v>
      </c>
      <c r="AA4860">
        <v>0.98331270000000004</v>
      </c>
      <c r="AB4860">
        <v>35</v>
      </c>
      <c r="AC4860">
        <v>20.578600000000002</v>
      </c>
      <c r="AD4860">
        <v>-1.1192369885709901</v>
      </c>
      <c r="AE4860">
        <v>-3.46231</v>
      </c>
      <c r="AF4860">
        <v>3.8244484618716599</v>
      </c>
      <c r="AG4860">
        <v>-1.1192369885709901</v>
      </c>
      <c r="AH4860">
        <v>20.453492342254702</v>
      </c>
      <c r="AI4860">
        <v>93.078907123375501</v>
      </c>
      <c r="AJ4860">
        <v>79.408981959110804</v>
      </c>
      <c r="AK4860">
        <v>20.838052847345701</v>
      </c>
      <c r="AL4860">
        <v>78.978490555742098</v>
      </c>
      <c r="AM4860">
        <v>87.201835116977605</v>
      </c>
      <c r="AN4860">
        <v>1.00000002513732</v>
      </c>
    </row>
    <row r="4861" spans="1:40" x14ac:dyDescent="0.25">
      <c r="A4861" t="str">
        <f>"20190303171112826"</f>
        <v>20190303171112826</v>
      </c>
      <c r="B4861" t="str">
        <f>"1551604272815367"</f>
        <v>1551604272815367</v>
      </c>
      <c r="C4861" t="s">
        <v>40</v>
      </c>
      <c r="D4861">
        <v>4.9406109999999996</v>
      </c>
      <c r="E4861">
        <v>0.57036149999999997</v>
      </c>
      <c r="F4861" t="s">
        <v>41</v>
      </c>
      <c r="G4861">
        <v>-315.68099999999998</v>
      </c>
      <c r="H4861">
        <v>-0.05</v>
      </c>
      <c r="I4861">
        <v>12.35371</v>
      </c>
      <c r="J4861">
        <v>-341.8433</v>
      </c>
      <c r="K4861">
        <v>1.119232</v>
      </c>
      <c r="L4861">
        <v>17.556979999999999</v>
      </c>
      <c r="M4861">
        <v>0.9997954</v>
      </c>
      <c r="N4861">
        <v>-1.062891E-2</v>
      </c>
      <c r="O4861">
        <v>1.7217240000000002E-2</v>
      </c>
      <c r="P4861">
        <v>0.98296600000000001</v>
      </c>
      <c r="Q4861">
        <v>0.18123919999999999</v>
      </c>
      <c r="R4861">
        <v>-3.0497130000000001E-2</v>
      </c>
      <c r="S4861">
        <v>3.058624</v>
      </c>
      <c r="T4861">
        <v>-0.13558629999999999</v>
      </c>
      <c r="U4861">
        <v>-0.60302730000000004</v>
      </c>
      <c r="V4861">
        <v>4.8106099999999999E-2</v>
      </c>
      <c r="W4861">
        <v>0.1914981</v>
      </c>
      <c r="X4861">
        <v>0.9803134</v>
      </c>
      <c r="Y4861">
        <v>0.2100399</v>
      </c>
      <c r="Z4861">
        <v>-6.3112009999999998E-3</v>
      </c>
      <c r="AA4861">
        <v>0.97767250000000006</v>
      </c>
      <c r="AB4861">
        <v>35</v>
      </c>
      <c r="AC4861">
        <v>26.162299999999998</v>
      </c>
      <c r="AD4861">
        <v>-1.169232</v>
      </c>
      <c r="AE4861">
        <v>-5.2032699999999901</v>
      </c>
      <c r="AF4861">
        <v>5.64212624314065</v>
      </c>
      <c r="AG4861">
        <v>-1.169232</v>
      </c>
      <c r="AH4861">
        <v>26.018839796086201</v>
      </c>
      <c r="AI4861">
        <v>92.514654492904398</v>
      </c>
      <c r="AJ4861">
        <v>77.764968921450802</v>
      </c>
      <c r="AK4861">
        <v>26.649216055031701</v>
      </c>
      <c r="AL4861">
        <v>78.959775933114202</v>
      </c>
      <c r="AM4861">
        <v>87.190625724683102</v>
      </c>
      <c r="AN4861">
        <v>1.0000000406901799</v>
      </c>
    </row>
    <row r="4862" spans="1:40" x14ac:dyDescent="0.25">
      <c r="A4862" t="str">
        <f>"20190303171112843"</f>
        <v>20190303171112843</v>
      </c>
      <c r="B4862" t="str">
        <f>"1551604272835862"</f>
        <v>1551604272835862</v>
      </c>
      <c r="C4862" t="s">
        <v>40</v>
      </c>
      <c r="D4862">
        <v>4.939813</v>
      </c>
      <c r="E4862">
        <v>0.57284169999999901</v>
      </c>
      <c r="F4862" t="s">
        <v>41</v>
      </c>
      <c r="G4862">
        <v>-314.14280000000002</v>
      </c>
      <c r="H4862">
        <v>-0.05</v>
      </c>
      <c r="I4862">
        <v>11.931749999999999</v>
      </c>
      <c r="J4862">
        <v>-341.55799999999999</v>
      </c>
      <c r="K4862">
        <v>1.1192340000000001</v>
      </c>
      <c r="L4862">
        <v>17.56073</v>
      </c>
      <c r="M4862">
        <v>0.99981609999999999</v>
      </c>
      <c r="N4862">
        <v>-1.0636380000000001E-2</v>
      </c>
      <c r="O4862">
        <v>1.5960700000000001E-2</v>
      </c>
      <c r="P4862">
        <v>0.98269300000000004</v>
      </c>
      <c r="Q4862">
        <v>0.1823834</v>
      </c>
      <c r="R4862">
        <v>-3.2422359999999997E-2</v>
      </c>
      <c r="S4862">
        <v>3.0565190000000002</v>
      </c>
      <c r="T4862">
        <v>-0.12901469999999901</v>
      </c>
      <c r="U4862">
        <v>-0.62069700000000005</v>
      </c>
      <c r="V4862">
        <v>4.8797409999999999E-2</v>
      </c>
      <c r="W4862">
        <v>0.1926437</v>
      </c>
      <c r="X4862">
        <v>0.98005469999999895</v>
      </c>
      <c r="Y4862">
        <v>0.2143892</v>
      </c>
      <c r="Z4862">
        <v>-6.1282510000000004E-3</v>
      </c>
      <c r="AA4862">
        <v>0.97672910000000002</v>
      </c>
      <c r="AB4862">
        <v>35</v>
      </c>
      <c r="AC4862">
        <v>27.415199999999999</v>
      </c>
      <c r="AD4862">
        <v>-1.1692340000000001</v>
      </c>
      <c r="AE4862">
        <v>-5.6289800000000003</v>
      </c>
      <c r="AF4862">
        <v>6.0552847206891496</v>
      </c>
      <c r="AG4862">
        <v>-1.1692340000000001</v>
      </c>
      <c r="AH4862">
        <v>27.274256346045998</v>
      </c>
      <c r="AI4862">
        <v>92.396458538324495</v>
      </c>
      <c r="AJ4862">
        <v>77.482525641485594</v>
      </c>
      <c r="AK4862">
        <v>27.962808164152602</v>
      </c>
      <c r="AL4862">
        <v>78.892892116704502</v>
      </c>
      <c r="AM4862">
        <v>87.149568637266697</v>
      </c>
      <c r="AN4862">
        <v>0.99999999868224299</v>
      </c>
    </row>
    <row r="4863" spans="1:40" x14ac:dyDescent="0.25">
      <c r="A4863" t="str">
        <f>"20190303171112855"</f>
        <v>20190303171112855</v>
      </c>
      <c r="B4863" t="str">
        <f>"1551604272845623"</f>
        <v>1551604272845623</v>
      </c>
      <c r="C4863" t="s">
        <v>40</v>
      </c>
      <c r="D4863">
        <v>4.9280049999999997</v>
      </c>
      <c r="E4863">
        <v>0.57372990000000001</v>
      </c>
      <c r="F4863" t="s">
        <v>41</v>
      </c>
      <c r="G4863">
        <v>-312.06920000000002</v>
      </c>
      <c r="H4863">
        <v>-0.05</v>
      </c>
      <c r="I4863">
        <v>11.32616</v>
      </c>
      <c r="J4863">
        <v>-341.3741</v>
      </c>
      <c r="K4863">
        <v>1.1192340000000001</v>
      </c>
      <c r="L4863">
        <v>17.562989999999999</v>
      </c>
      <c r="M4863">
        <v>0.99982859999999996</v>
      </c>
      <c r="N4863">
        <v>-1.0641080000000001E-2</v>
      </c>
      <c r="O4863">
        <v>1.5151049999999999E-2</v>
      </c>
      <c r="P4863">
        <v>0.98259660000000004</v>
      </c>
      <c r="Q4863">
        <v>0.18271879999999999</v>
      </c>
      <c r="R4863">
        <v>-3.3429649999999998E-2</v>
      </c>
      <c r="S4863">
        <v>3.0540470000000002</v>
      </c>
      <c r="T4863">
        <v>-0.1210932</v>
      </c>
      <c r="U4863">
        <v>-0.64569089999999996</v>
      </c>
      <c r="V4863">
        <v>4.9010209999999998E-2</v>
      </c>
      <c r="W4863">
        <v>0.1929824</v>
      </c>
      <c r="X4863">
        <v>0.9799774</v>
      </c>
      <c r="Y4863">
        <v>0.2214303</v>
      </c>
      <c r="Z4863">
        <v>-5.9666370000000003E-3</v>
      </c>
      <c r="AA4863">
        <v>0.97515790000000002</v>
      </c>
      <c r="AB4863">
        <v>35</v>
      </c>
      <c r="AC4863">
        <v>29.3048999999999</v>
      </c>
      <c r="AD4863">
        <v>-1.1692340000000001</v>
      </c>
      <c r="AE4863">
        <v>-6.2368299999999897</v>
      </c>
      <c r="AF4863">
        <v>6.6699811726450697</v>
      </c>
      <c r="AG4863">
        <v>-1.1692340000000001</v>
      </c>
      <c r="AH4863">
        <v>29.162623008673201</v>
      </c>
      <c r="AI4863">
        <v>92.2382281819621</v>
      </c>
      <c r="AJ4863">
        <v>77.117084269468407</v>
      </c>
      <c r="AK4863">
        <v>29.938509277119898</v>
      </c>
      <c r="AL4863">
        <v>78.8731144456724</v>
      </c>
      <c r="AM4863">
        <v>87.136933418349798</v>
      </c>
      <c r="AN4863">
        <v>0.999999955952381</v>
      </c>
    </row>
    <row r="4864" spans="1:40" x14ac:dyDescent="0.25">
      <c r="A4864" t="str">
        <f>"20190303171112867"</f>
        <v>20190303171112867</v>
      </c>
      <c r="B4864" t="str">
        <f>"1551604272855383"</f>
        <v>1551604272855383</v>
      </c>
      <c r="C4864" t="s">
        <v>40</v>
      </c>
      <c r="D4864">
        <v>4.9371299999999998</v>
      </c>
      <c r="E4864">
        <v>0.57430879999999995</v>
      </c>
      <c r="F4864" t="s">
        <v>41</v>
      </c>
      <c r="G4864">
        <v>-311.43939999999998</v>
      </c>
      <c r="H4864">
        <v>-0.05</v>
      </c>
      <c r="I4864">
        <v>11.134740000000001</v>
      </c>
      <c r="J4864">
        <v>-341.20499999999998</v>
      </c>
      <c r="K4864">
        <v>1.1192329999999999</v>
      </c>
      <c r="L4864">
        <v>17.56485</v>
      </c>
      <c r="M4864">
        <v>0.9998397</v>
      </c>
      <c r="N4864">
        <v>-1.064526E-2</v>
      </c>
      <c r="O4864">
        <v>1.440607E-2</v>
      </c>
      <c r="P4864">
        <v>0.98255590000000004</v>
      </c>
      <c r="Q4864">
        <v>0.18277409999999999</v>
      </c>
      <c r="R4864">
        <v>-3.4322869999999998E-2</v>
      </c>
      <c r="S4864">
        <v>3.0530089999999999</v>
      </c>
      <c r="T4864">
        <v>-0.1192489</v>
      </c>
      <c r="U4864">
        <v>-0.65560909999999994</v>
      </c>
      <c r="V4864">
        <v>4.917179E-2</v>
      </c>
      <c r="W4864">
        <v>0.1930404</v>
      </c>
      <c r="X4864">
        <v>0.97995790000000005</v>
      </c>
      <c r="Y4864">
        <v>0.22380459999999999</v>
      </c>
      <c r="Z4864">
        <v>-5.9300459999999996E-3</v>
      </c>
      <c r="AA4864">
        <v>0.97461600000000004</v>
      </c>
      <c r="AB4864">
        <v>35</v>
      </c>
      <c r="AC4864">
        <v>29.765599999999999</v>
      </c>
      <c r="AD4864">
        <v>-1.169233</v>
      </c>
      <c r="AE4864">
        <v>-6.43011</v>
      </c>
      <c r="AF4864">
        <v>6.84817644120408</v>
      </c>
      <c r="AG4864">
        <v>-1.169233</v>
      </c>
      <c r="AH4864">
        <v>29.6261971943151</v>
      </c>
      <c r="AI4864">
        <v>92.202067921937299</v>
      </c>
      <c r="AJ4864">
        <v>76.984522915826304</v>
      </c>
      <c r="AK4864">
        <v>30.429856828033099</v>
      </c>
      <c r="AL4864">
        <v>78.869727802233101</v>
      </c>
      <c r="AM4864">
        <v>87.127452996362194</v>
      </c>
      <c r="AN4864">
        <v>0.99999997336818602</v>
      </c>
    </row>
    <row r="4865" spans="1:40" x14ac:dyDescent="0.25">
      <c r="A4865" t="str">
        <f>"20190303171112877"</f>
        <v>20190303171112877</v>
      </c>
      <c r="B4865" t="str">
        <f>"1551604272866119"</f>
        <v>1551604272866119</v>
      </c>
      <c r="C4865" t="s">
        <v>40</v>
      </c>
      <c r="D4865">
        <v>4.9323839999999999</v>
      </c>
      <c r="E4865">
        <v>0.57474789999999998</v>
      </c>
      <c r="F4865" t="s">
        <v>41</v>
      </c>
      <c r="G4865">
        <v>-311.07</v>
      </c>
      <c r="H4865">
        <v>-0.05</v>
      </c>
      <c r="I4865">
        <v>11.021269999999999</v>
      </c>
      <c r="J4865">
        <v>-341.0231</v>
      </c>
      <c r="K4865">
        <v>1.119232</v>
      </c>
      <c r="L4865">
        <v>17.566800000000001</v>
      </c>
      <c r="M4865">
        <v>0.99985069999999998</v>
      </c>
      <c r="N4865">
        <v>-1.064974E-2</v>
      </c>
      <c r="O4865">
        <v>1.360536E-2</v>
      </c>
      <c r="P4865">
        <v>0.98247689999999999</v>
      </c>
      <c r="Q4865">
        <v>0.18295210000000001</v>
      </c>
      <c r="R4865">
        <v>-3.5604450000000003E-2</v>
      </c>
      <c r="S4865">
        <v>3.052155</v>
      </c>
      <c r="T4865">
        <v>-0.118423</v>
      </c>
      <c r="U4865">
        <v>-0.66275019999999996</v>
      </c>
      <c r="V4865">
        <v>4.9667250000000003E-2</v>
      </c>
      <c r="W4865">
        <v>0.19322110000000001</v>
      </c>
      <c r="X4865">
        <v>0.97989729999999997</v>
      </c>
      <c r="Y4865">
        <v>0.22526009999999999</v>
      </c>
      <c r="Z4865">
        <v>-5.9106619999999997E-3</v>
      </c>
      <c r="AA4865">
        <v>0.9742807</v>
      </c>
      <c r="AB4865">
        <v>35</v>
      </c>
      <c r="AC4865">
        <v>29.953099999999999</v>
      </c>
      <c r="AD4865">
        <v>-1.169232</v>
      </c>
      <c r="AE4865">
        <v>-6.5455300000000003</v>
      </c>
      <c r="AF4865">
        <v>6.9423735247756602</v>
      </c>
      <c r="AG4865">
        <v>-1.169232</v>
      </c>
      <c r="AH4865">
        <v>29.817903322478902</v>
      </c>
      <c r="AI4865">
        <v>92.187117411139297</v>
      </c>
      <c r="AJ4865">
        <v>76.893565526117001</v>
      </c>
      <c r="AK4865">
        <v>30.637738365878601</v>
      </c>
      <c r="AL4865">
        <v>78.859175797935393</v>
      </c>
      <c r="AM4865">
        <v>87.098379001262899</v>
      </c>
      <c r="AN4865">
        <v>0.99999997387753004</v>
      </c>
    </row>
    <row r="4866" spans="1:40" x14ac:dyDescent="0.25">
      <c r="A4866" t="str">
        <f>"20190303171112891"</f>
        <v>20190303171112891</v>
      </c>
      <c r="B4866" t="str">
        <f>"1551604272885639"</f>
        <v>1551604272885639</v>
      </c>
      <c r="C4866" t="s">
        <v>40</v>
      </c>
      <c r="D4866">
        <v>4.9230150000000004</v>
      </c>
      <c r="E4866">
        <v>0.57542219999999999</v>
      </c>
      <c r="F4866" t="s">
        <v>41</v>
      </c>
      <c r="G4866">
        <v>-310.64400000000001</v>
      </c>
      <c r="H4866">
        <v>-0.05</v>
      </c>
      <c r="I4866">
        <v>10.89476</v>
      </c>
      <c r="J4866">
        <v>-340.80590000000001</v>
      </c>
      <c r="K4866">
        <v>1.1192299999999999</v>
      </c>
      <c r="L4866">
        <v>17.56888</v>
      </c>
      <c r="M4866">
        <v>0.99986330000000001</v>
      </c>
      <c r="N4866">
        <v>-1.0655009999999999E-2</v>
      </c>
      <c r="O4866">
        <v>1.264902E-2</v>
      </c>
      <c r="P4866">
        <v>0.98249390000000003</v>
      </c>
      <c r="Q4866">
        <v>0.1826034</v>
      </c>
      <c r="R4866">
        <v>-3.690264E-2</v>
      </c>
      <c r="S4866">
        <v>3.0511170000000001</v>
      </c>
      <c r="T4866">
        <v>-0.11743149999999999</v>
      </c>
      <c r="U4866">
        <v>-0.67010499999999995</v>
      </c>
      <c r="V4866">
        <v>5.0025750000000001E-2</v>
      </c>
      <c r="W4866">
        <v>0.19287579999999999</v>
      </c>
      <c r="X4866">
        <v>0.97994709999999996</v>
      </c>
      <c r="Y4866">
        <v>0.2266406</v>
      </c>
      <c r="Z4866">
        <v>-5.8787809999999996E-3</v>
      </c>
      <c r="AA4866">
        <v>0.97396070000000001</v>
      </c>
      <c r="AB4866">
        <v>35</v>
      </c>
      <c r="AC4866">
        <v>30.161899999999999</v>
      </c>
      <c r="AD4866">
        <v>-1.16923</v>
      </c>
      <c r="AE4866">
        <v>-6.6741199999999896</v>
      </c>
      <c r="AF4866">
        <v>7.0450334518109203</v>
      </c>
      <c r="AG4866">
        <v>-1.16923</v>
      </c>
      <c r="AH4866">
        <v>30.032037222587899</v>
      </c>
      <c r="AI4866">
        <v>92.170689012310604</v>
      </c>
      <c r="AJ4866">
        <v>76.798042099954202</v>
      </c>
      <c r="AK4866">
        <v>30.869448567620001</v>
      </c>
      <c r="AL4866">
        <v>78.879339440646902</v>
      </c>
      <c r="AM4866">
        <v>87.077619438388595</v>
      </c>
      <c r="AN4866">
        <v>0.99999998434355597</v>
      </c>
    </row>
    <row r="4867" spans="1:40" x14ac:dyDescent="0.25">
      <c r="A4867" t="str">
        <f>"20190303171112904"</f>
        <v>20190303171112904</v>
      </c>
      <c r="B4867" t="str">
        <f>"1551604272895400"</f>
        <v>1551604272895400</v>
      </c>
      <c r="C4867" t="s">
        <v>40</v>
      </c>
      <c r="D4867">
        <v>4.9169919999999996</v>
      </c>
      <c r="E4867">
        <v>0.57573399999999997</v>
      </c>
      <c r="F4867" t="s">
        <v>41</v>
      </c>
      <c r="G4867">
        <v>-310.51049999999998</v>
      </c>
      <c r="H4867">
        <v>-0.05</v>
      </c>
      <c r="I4867">
        <v>10.819599999999999</v>
      </c>
      <c r="J4867">
        <v>-340.60390000000001</v>
      </c>
      <c r="K4867">
        <v>1.1192260000000001</v>
      </c>
      <c r="L4867">
        <v>17.570650000000001</v>
      </c>
      <c r="M4867">
        <v>0.99987400000000004</v>
      </c>
      <c r="N4867">
        <v>-1.0659760000000001E-2</v>
      </c>
      <c r="O4867">
        <v>1.175998E-2</v>
      </c>
      <c r="P4867">
        <v>0.9824697</v>
      </c>
      <c r="Q4867">
        <v>0.1825698</v>
      </c>
      <c r="R4867">
        <v>-3.7704479999999999E-2</v>
      </c>
      <c r="S4867">
        <v>3.0498050000000001</v>
      </c>
      <c r="T4867">
        <v>-0.11770509999999999</v>
      </c>
      <c r="U4867">
        <v>-0.67944340000000003</v>
      </c>
      <c r="V4867">
        <v>4.9954810000000002E-2</v>
      </c>
      <c r="W4867">
        <v>0.1928472</v>
      </c>
      <c r="X4867">
        <v>0.9799563</v>
      </c>
      <c r="Y4867">
        <v>0.2287025</v>
      </c>
      <c r="Z4867">
        <v>-5.917187E-3</v>
      </c>
      <c r="AA4867">
        <v>0.97347839999999997</v>
      </c>
      <c r="AB4867">
        <v>35</v>
      </c>
      <c r="AC4867">
        <v>30.093399999999999</v>
      </c>
      <c r="AD4867">
        <v>-1.1692260000000001</v>
      </c>
      <c r="AE4867">
        <v>-6.7510500000000002</v>
      </c>
      <c r="AF4867">
        <v>7.0943047725877504</v>
      </c>
      <c r="AG4867">
        <v>-1.1692260000000001</v>
      </c>
      <c r="AH4867">
        <v>29.968849557797402</v>
      </c>
      <c r="AI4867">
        <v>92.174216581369393</v>
      </c>
      <c r="AJ4867">
        <v>76.681950951079202</v>
      </c>
      <c r="AK4867">
        <v>30.819282818769899</v>
      </c>
      <c r="AL4867">
        <v>78.881008928115406</v>
      </c>
      <c r="AM4867">
        <v>87.081783758906795</v>
      </c>
      <c r="AN4867">
        <v>0.99999993774983098</v>
      </c>
    </row>
    <row r="4868" spans="1:40" x14ac:dyDescent="0.25">
      <c r="A4868" t="str">
        <f>"20190303171112922"</f>
        <v>20190303171112922</v>
      </c>
      <c r="B4868" t="str">
        <f>"1551604272915895"</f>
        <v>1551604272915895</v>
      </c>
      <c r="C4868" t="s">
        <v>40</v>
      </c>
      <c r="D4868">
        <v>4.9214880000000001</v>
      </c>
      <c r="E4868">
        <v>0.57617309999999999</v>
      </c>
      <c r="F4868" t="s">
        <v>41</v>
      </c>
      <c r="G4868">
        <v>-310.32749999999999</v>
      </c>
      <c r="H4868">
        <v>-0.05</v>
      </c>
      <c r="I4868">
        <v>10.776</v>
      </c>
      <c r="J4868">
        <v>-340.3279</v>
      </c>
      <c r="K4868">
        <v>1.1192219999999999</v>
      </c>
      <c r="L4868">
        <v>17.572779999999899</v>
      </c>
      <c r="M4868">
        <v>0.99988750000000004</v>
      </c>
      <c r="N4868">
        <v>-1.0666E-2</v>
      </c>
      <c r="O4868">
        <v>1.054537E-2</v>
      </c>
      <c r="P4868">
        <v>0.98248469999999999</v>
      </c>
      <c r="Q4868">
        <v>0.18210180000000001</v>
      </c>
      <c r="R4868">
        <v>-3.9529410000000001E-2</v>
      </c>
      <c r="S4868">
        <v>3.0491640000000002</v>
      </c>
      <c r="T4868">
        <v>-0.117754</v>
      </c>
      <c r="U4868">
        <v>-0.68429569999999995</v>
      </c>
      <c r="V4868">
        <v>5.0586220000000001E-2</v>
      </c>
      <c r="W4868">
        <v>0.19238359999999999</v>
      </c>
      <c r="X4868">
        <v>0.98001510000000003</v>
      </c>
      <c r="Y4868">
        <v>0.22903879999999999</v>
      </c>
      <c r="Z4868">
        <v>-5.8949019999999996E-3</v>
      </c>
      <c r="AA4868">
        <v>0.97339949999999997</v>
      </c>
      <c r="AB4868">
        <v>35</v>
      </c>
      <c r="AC4868">
        <v>30.000399999999999</v>
      </c>
      <c r="AD4868">
        <v>-1.169222</v>
      </c>
      <c r="AE4868">
        <v>-6.7967799999999903</v>
      </c>
      <c r="AF4868">
        <v>7.1025237626464497</v>
      </c>
      <c r="AG4868">
        <v>-1.169222</v>
      </c>
      <c r="AH4868">
        <v>29.883877401619099</v>
      </c>
      <c r="AI4868">
        <v>92.1799216248384</v>
      </c>
      <c r="AJ4868">
        <v>76.6305206512002</v>
      </c>
      <c r="AK4868">
        <v>30.738559700142702</v>
      </c>
      <c r="AL4868">
        <v>78.908078906142194</v>
      </c>
      <c r="AM4868">
        <v>87.045140556852203</v>
      </c>
      <c r="AN4868">
        <v>1.0000000057154199</v>
      </c>
    </row>
    <row r="4869" spans="1:40" x14ac:dyDescent="0.25">
      <c r="A4869" t="str">
        <f>"20190303171112933"</f>
        <v>20190303171112933</v>
      </c>
      <c r="B4869" t="str">
        <f>"1551604272925655"</f>
        <v>1551604272925655</v>
      </c>
      <c r="C4869" t="s">
        <v>40</v>
      </c>
      <c r="D4869">
        <v>4.9201439999999996</v>
      </c>
      <c r="E4869">
        <v>0.57636200000000004</v>
      </c>
      <c r="F4869" t="s">
        <v>41</v>
      </c>
      <c r="G4869">
        <v>-310.42880000000002</v>
      </c>
      <c r="H4869">
        <v>-0.05</v>
      </c>
      <c r="I4869">
        <v>10.776870000000001</v>
      </c>
      <c r="J4869">
        <v>-340.1377</v>
      </c>
      <c r="K4869">
        <v>1.1192219999999999</v>
      </c>
      <c r="L4869">
        <v>17.574069999999999</v>
      </c>
      <c r="M4869">
        <v>0.99989589999999995</v>
      </c>
      <c r="N4869">
        <v>-1.067012E-2</v>
      </c>
      <c r="O4869">
        <v>9.7081930000000004E-3</v>
      </c>
      <c r="P4869">
        <v>0.98247779999999996</v>
      </c>
      <c r="Q4869">
        <v>0.1819374</v>
      </c>
      <c r="R4869">
        <v>-4.0450489999999999E-2</v>
      </c>
      <c r="S4869">
        <v>3.0476679999999998</v>
      </c>
      <c r="T4869">
        <v>-0.1191807</v>
      </c>
      <c r="U4869">
        <v>-0.69271850000000001</v>
      </c>
      <c r="V4869">
        <v>5.0684979999999998E-2</v>
      </c>
      <c r="W4869">
        <v>0.192223</v>
      </c>
      <c r="X4869">
        <v>0.98004150000000001</v>
      </c>
      <c r="Y4869">
        <v>0.2308788</v>
      </c>
      <c r="Z4869">
        <v>-5.976299E-3</v>
      </c>
      <c r="AA4869">
        <v>0.97296419999999995</v>
      </c>
      <c r="AB4869">
        <v>35</v>
      </c>
      <c r="AC4869">
        <v>29.7088999999999</v>
      </c>
      <c r="AD4869">
        <v>-1.169222</v>
      </c>
      <c r="AE4869">
        <v>-6.7972000000000001</v>
      </c>
      <c r="AF4869">
        <v>7.0749026486541</v>
      </c>
      <c r="AG4869">
        <v>-1.169222</v>
      </c>
      <c r="AH4869">
        <v>29.5979439143528</v>
      </c>
      <c r="AI4869">
        <v>92.200284591512798</v>
      </c>
      <c r="AJ4869">
        <v>76.556633984163796</v>
      </c>
      <c r="AK4869">
        <v>30.4542215715719</v>
      </c>
      <c r="AL4869">
        <v>78.917455502971094</v>
      </c>
      <c r="AM4869">
        <v>87.039461617606307</v>
      </c>
      <c r="AN4869">
        <v>0.99999999532442496</v>
      </c>
    </row>
    <row r="4870" spans="1:40" x14ac:dyDescent="0.25">
      <c r="A4870" t="str">
        <f>"20190303171112945"</f>
        <v>20190303171112945</v>
      </c>
      <c r="B4870" t="str">
        <f>"1551604272935415"</f>
        <v>1551604272935415</v>
      </c>
      <c r="C4870" t="s">
        <v>40</v>
      </c>
      <c r="D4870">
        <v>4.8974510000000002</v>
      </c>
      <c r="E4870">
        <v>0.57653369999999904</v>
      </c>
      <c r="F4870" t="s">
        <v>41</v>
      </c>
      <c r="G4870">
        <v>-310.38490000000002</v>
      </c>
      <c r="H4870">
        <v>-0.05</v>
      </c>
      <c r="I4870">
        <v>10.77148</v>
      </c>
      <c r="J4870">
        <v>-339.96519999999998</v>
      </c>
      <c r="K4870">
        <v>1.1192169999999999</v>
      </c>
      <c r="L4870">
        <v>17.575039999999898</v>
      </c>
      <c r="M4870">
        <v>0.99990310000000004</v>
      </c>
      <c r="N4870">
        <v>-1.067364E-2</v>
      </c>
      <c r="O4870">
        <v>8.9491039999999994E-3</v>
      </c>
      <c r="P4870">
        <v>0.98242479999999999</v>
      </c>
      <c r="Q4870">
        <v>0.18195169999999999</v>
      </c>
      <c r="R4870">
        <v>-4.1661209999999997E-2</v>
      </c>
      <c r="S4870">
        <v>3.0469970000000002</v>
      </c>
      <c r="T4870">
        <v>-0.1197404</v>
      </c>
      <c r="U4870">
        <v>-0.69665529999999998</v>
      </c>
      <c r="V4870">
        <v>5.1149840000000002E-2</v>
      </c>
      <c r="W4870">
        <v>0.1922384</v>
      </c>
      <c r="X4870">
        <v>0.9800143</v>
      </c>
      <c r="Y4870">
        <v>0.23137940000000001</v>
      </c>
      <c r="Z4870">
        <v>-5.9908540000000003E-3</v>
      </c>
      <c r="AA4870">
        <v>0.97284510000000002</v>
      </c>
      <c r="AB4870">
        <v>35</v>
      </c>
      <c r="AC4870">
        <v>29.580299999999902</v>
      </c>
      <c r="AD4870">
        <v>-1.169217</v>
      </c>
      <c r="AE4870">
        <v>-6.8035599999999903</v>
      </c>
      <c r="AF4870">
        <v>7.0575472395776799</v>
      </c>
      <c r="AG4870">
        <v>-1.169217</v>
      </c>
      <c r="AH4870">
        <v>29.474489657958401</v>
      </c>
      <c r="AI4870">
        <v>92.209275995040002</v>
      </c>
      <c r="AJ4870">
        <v>76.534286191270894</v>
      </c>
      <c r="AK4870">
        <v>30.330209066688798</v>
      </c>
      <c r="AL4870">
        <v>78.916556076732604</v>
      </c>
      <c r="AM4870">
        <v>87.012275080419499</v>
      </c>
      <c r="AN4870">
        <v>0.99999996838553695</v>
      </c>
    </row>
    <row r="4871" spans="1:40" x14ac:dyDescent="0.25">
      <c r="A4871" t="str">
        <f>"20190303171112956"</f>
        <v>20190303171112956</v>
      </c>
      <c r="B4871" t="str">
        <f>"1551604272946151"</f>
        <v>1551604272946151</v>
      </c>
      <c r="C4871" t="s">
        <v>40</v>
      </c>
      <c r="D4871">
        <v>4.9298320000000002</v>
      </c>
      <c r="E4871">
        <v>0.57663769999999903</v>
      </c>
      <c r="F4871" t="s">
        <v>41</v>
      </c>
      <c r="G4871">
        <v>-310.07470000000001</v>
      </c>
      <c r="H4871">
        <v>-0.05</v>
      </c>
      <c r="I4871">
        <v>10.692</v>
      </c>
      <c r="J4871">
        <v>-339.7774</v>
      </c>
      <c r="K4871">
        <v>1.1192150000000001</v>
      </c>
      <c r="L4871">
        <v>17.576049999999999</v>
      </c>
      <c r="M4871">
        <v>0.99991010000000002</v>
      </c>
      <c r="N4871">
        <v>-1.067741E-2</v>
      </c>
      <c r="O4871">
        <v>8.1221820000000004E-3</v>
      </c>
      <c r="P4871">
        <v>0.98242090000000004</v>
      </c>
      <c r="Q4871">
        <v>0.1817897</v>
      </c>
      <c r="R4871">
        <v>-4.2454640000000002E-2</v>
      </c>
      <c r="S4871">
        <v>3.0459900000000002</v>
      </c>
      <c r="T4871">
        <v>-0.11914909999999999</v>
      </c>
      <c r="U4871">
        <v>-0.70141600000000004</v>
      </c>
      <c r="V4871">
        <v>5.113119E-2</v>
      </c>
      <c r="W4871">
        <v>0.19208030000000001</v>
      </c>
      <c r="X4871">
        <v>0.98004630000000004</v>
      </c>
      <c r="Y4871">
        <v>0.23209070000000001</v>
      </c>
      <c r="Z4871">
        <v>-5.9627150000000004E-3</v>
      </c>
      <c r="AA4871">
        <v>0.97267590000000004</v>
      </c>
      <c r="AB4871">
        <v>35</v>
      </c>
      <c r="AC4871">
        <v>29.7027</v>
      </c>
      <c r="AD4871">
        <v>-1.1692149999999999</v>
      </c>
      <c r="AE4871">
        <v>-6.8840499999999896</v>
      </c>
      <c r="AF4871">
        <v>7.1146251016077304</v>
      </c>
      <c r="AG4871">
        <v>-1.1692149999999999</v>
      </c>
      <c r="AH4871">
        <v>29.602272430381699</v>
      </c>
      <c r="AI4871">
        <v>92.199299057306604</v>
      </c>
      <c r="AJ4871">
        <v>76.485821196656204</v>
      </c>
      <c r="AK4871">
        <v>30.467679384803599</v>
      </c>
      <c r="AL4871">
        <v>78.925786862129897</v>
      </c>
      <c r="AM4871">
        <v>87.013459818875006</v>
      </c>
      <c r="AN4871">
        <v>0.99999999519129801</v>
      </c>
    </row>
    <row r="4872" spans="1:40" x14ac:dyDescent="0.25">
      <c r="A4872" t="str">
        <f>"20190303171112967"</f>
        <v>20190303171112967</v>
      </c>
      <c r="B4872" t="str">
        <f>"1551604272955911"</f>
        <v>1551604272955911</v>
      </c>
      <c r="C4872" t="s">
        <v>40</v>
      </c>
      <c r="D4872">
        <v>4.9037949999999997</v>
      </c>
      <c r="E4872">
        <v>0.57679590000000003</v>
      </c>
      <c r="F4872" t="s">
        <v>41</v>
      </c>
      <c r="G4872">
        <v>-310.11590000000001</v>
      </c>
      <c r="H4872">
        <v>-0.05</v>
      </c>
      <c r="I4872">
        <v>10.715450000000001</v>
      </c>
      <c r="J4872">
        <v>-339.60059999999999</v>
      </c>
      <c r="K4872">
        <v>1.119211</v>
      </c>
      <c r="L4872">
        <v>17.576750000000001</v>
      </c>
      <c r="M4872">
        <v>0.99991609999999997</v>
      </c>
      <c r="N4872">
        <v>-1.0680780000000001E-2</v>
      </c>
      <c r="O4872">
        <v>7.3441399999999999E-3</v>
      </c>
      <c r="P4872">
        <v>0.98244160000000003</v>
      </c>
      <c r="Q4872">
        <v>0.18151870000000001</v>
      </c>
      <c r="R4872">
        <v>-4.3123010000000003E-2</v>
      </c>
      <c r="S4872">
        <v>3.045471</v>
      </c>
      <c r="T4872">
        <v>-0.1200483</v>
      </c>
      <c r="U4872">
        <v>-0.70440669999999905</v>
      </c>
      <c r="V4872">
        <v>5.1035259999999999E-2</v>
      </c>
      <c r="W4872">
        <v>0.19181400000000001</v>
      </c>
      <c r="X4872">
        <v>0.98010339999999996</v>
      </c>
      <c r="Y4872">
        <v>0.23227410000000001</v>
      </c>
      <c r="Z4872">
        <v>-5.982144E-3</v>
      </c>
      <c r="AA4872">
        <v>0.97263200000000005</v>
      </c>
      <c r="AB4872">
        <v>35</v>
      </c>
      <c r="AC4872">
        <v>29.484699999999901</v>
      </c>
      <c r="AD4872">
        <v>-1.169211</v>
      </c>
      <c r="AE4872">
        <v>-6.8613</v>
      </c>
      <c r="AF4872">
        <v>7.0671248232417003</v>
      </c>
      <c r="AG4872">
        <v>-1.169211</v>
      </c>
      <c r="AH4872">
        <v>29.389670216781099</v>
      </c>
      <c r="AI4872">
        <v>92.215123676550604</v>
      </c>
      <c r="AJ4872">
        <v>76.479192550852503</v>
      </c>
      <c r="AK4872">
        <v>30.250025174881198</v>
      </c>
      <c r="AL4872">
        <v>78.941333218968893</v>
      </c>
      <c r="AM4872">
        <v>87.019226267893501</v>
      </c>
      <c r="AN4872">
        <v>0.99999994152541205</v>
      </c>
    </row>
    <row r="4873" spans="1:40" x14ac:dyDescent="0.25">
      <c r="A4873" t="str">
        <f>"20190303171112978"</f>
        <v>20190303171112978</v>
      </c>
      <c r="B4873" t="str">
        <f>"1551604272965671"</f>
        <v>1551604272965671</v>
      </c>
      <c r="C4873" t="s">
        <v>40</v>
      </c>
      <c r="D4873">
        <v>4.8902330000000003</v>
      </c>
      <c r="E4873">
        <v>0.57688859999999997</v>
      </c>
      <c r="F4873" t="s">
        <v>41</v>
      </c>
      <c r="G4873">
        <v>-310.19549999999998</v>
      </c>
      <c r="H4873">
        <v>-0.05</v>
      </c>
      <c r="I4873">
        <v>10.743230000000001</v>
      </c>
      <c r="J4873">
        <v>-339.43430000000001</v>
      </c>
      <c r="K4873">
        <v>1.119208</v>
      </c>
      <c r="L4873">
        <v>17.577390000000001</v>
      </c>
      <c r="M4873">
        <v>0.99992110000000001</v>
      </c>
      <c r="N4873">
        <v>-1.0683929999999999E-2</v>
      </c>
      <c r="O4873">
        <v>6.6121729999999998E-3</v>
      </c>
      <c r="P4873">
        <v>0.98251100000000002</v>
      </c>
      <c r="Q4873">
        <v>0.18099750000000001</v>
      </c>
      <c r="R4873">
        <v>-4.3728250000000003E-2</v>
      </c>
      <c r="S4873">
        <v>3.0448909999999998</v>
      </c>
      <c r="T4873">
        <v>-0.1210716</v>
      </c>
      <c r="U4873">
        <v>-0.70761109999999905</v>
      </c>
      <c r="V4873">
        <v>5.0920300000000002E-2</v>
      </c>
      <c r="W4873">
        <v>0.19129689999999999</v>
      </c>
      <c r="X4873">
        <v>0.98021049999999998</v>
      </c>
      <c r="Y4873">
        <v>0.23257069999999999</v>
      </c>
      <c r="Z4873">
        <v>-6.0103079999999998E-3</v>
      </c>
      <c r="AA4873">
        <v>0.97256089999999995</v>
      </c>
      <c r="AB4873">
        <v>35</v>
      </c>
      <c r="AC4873">
        <v>29.238800000000001</v>
      </c>
      <c r="AD4873">
        <v>-1.169208</v>
      </c>
      <c r="AE4873">
        <v>-6.8341599999999998</v>
      </c>
      <c r="AF4873">
        <v>7.01671470571568</v>
      </c>
      <c r="AG4873">
        <v>-1.169208</v>
      </c>
      <c r="AH4873">
        <v>29.1487734577567</v>
      </c>
      <c r="AI4873">
        <v>92.233275283741193</v>
      </c>
      <c r="AJ4873">
        <v>76.465226094358897</v>
      </c>
      <c r="AK4873">
        <v>30.004205150283401</v>
      </c>
      <c r="AL4873">
        <v>78.971520553490706</v>
      </c>
      <c r="AM4873">
        <v>87.026252943118294</v>
      </c>
      <c r="AN4873">
        <v>1.0000000026059701</v>
      </c>
    </row>
    <row r="4874" spans="1:40" x14ac:dyDescent="0.25">
      <c r="A4874" t="str">
        <f>"20190303171112989"</f>
        <v>20190303171112989</v>
      </c>
      <c r="B4874" t="str">
        <f>"1551604272975431"</f>
        <v>1551604272975431</v>
      </c>
      <c r="C4874" t="s">
        <v>40</v>
      </c>
      <c r="D4874">
        <v>4.8927230000000002</v>
      </c>
      <c r="E4874">
        <v>0.57699500000000004</v>
      </c>
      <c r="F4874" t="s">
        <v>41</v>
      </c>
      <c r="G4874">
        <v>-310.4511</v>
      </c>
      <c r="H4874">
        <v>-0.05</v>
      </c>
      <c r="I4874">
        <v>10.81734</v>
      </c>
      <c r="J4874">
        <v>-339.25650000000002</v>
      </c>
      <c r="K4874">
        <v>1.1192040000000001</v>
      </c>
      <c r="L4874">
        <v>17.577850000000002</v>
      </c>
      <c r="M4874">
        <v>0.99992599999999998</v>
      </c>
      <c r="N4874">
        <v>-1.0687179999999999E-2</v>
      </c>
      <c r="O4874">
        <v>5.8296609999999999E-3</v>
      </c>
      <c r="P4874">
        <v>0.98260210000000003</v>
      </c>
      <c r="Q4874">
        <v>0.18035689999999999</v>
      </c>
      <c r="R4874">
        <v>-4.4325009999999998E-2</v>
      </c>
      <c r="S4874">
        <v>3.0444339999999999</v>
      </c>
      <c r="T4874">
        <v>-0.1228151</v>
      </c>
      <c r="U4874">
        <v>-0.71008300000000002</v>
      </c>
      <c r="V4874">
        <v>5.0747180000000003E-2</v>
      </c>
      <c r="W4874">
        <v>0.19066169999999999</v>
      </c>
      <c r="X4874">
        <v>0.98034319999999997</v>
      </c>
      <c r="Y4874">
        <v>0.2325854</v>
      </c>
      <c r="Z4874">
        <v>-6.0579190000000002E-3</v>
      </c>
      <c r="AA4874">
        <v>0.97255709999999995</v>
      </c>
      <c r="AB4874">
        <v>35</v>
      </c>
      <c r="AC4874">
        <v>28.805399999999999</v>
      </c>
      <c r="AD4874">
        <v>-1.1692039999999999</v>
      </c>
      <c r="AE4874">
        <v>-6.76051</v>
      </c>
      <c r="AF4874">
        <v>6.9175285659931101</v>
      </c>
      <c r="AG4874">
        <v>-1.1692039999999999</v>
      </c>
      <c r="AH4874">
        <v>28.720648979784698</v>
      </c>
      <c r="AI4874">
        <v>92.266453924936698</v>
      </c>
      <c r="AJ4874">
        <v>76.457924441923495</v>
      </c>
      <c r="AK4874">
        <v>29.565096266965799</v>
      </c>
      <c r="AL4874">
        <v>79.008596957111607</v>
      </c>
      <c r="AM4874">
        <v>87.036745549432297</v>
      </c>
      <c r="AN4874">
        <v>0.99999997495554005</v>
      </c>
    </row>
    <row r="4875" spans="1:40" x14ac:dyDescent="0.25">
      <c r="A4875" t="str">
        <f>"20190303171112999"</f>
        <v>20190303171112999</v>
      </c>
      <c r="B4875" t="str">
        <f>"1551604272985286"</f>
        <v>1551604272985286</v>
      </c>
      <c r="C4875" t="s">
        <v>40</v>
      </c>
      <c r="D4875">
        <v>4.8938119999999996</v>
      </c>
      <c r="E4875">
        <v>0.57703879999999996</v>
      </c>
      <c r="F4875" t="s">
        <v>41</v>
      </c>
      <c r="G4875">
        <v>-310.77370000000002</v>
      </c>
      <c r="H4875">
        <v>-0.05</v>
      </c>
      <c r="I4875">
        <v>10.91006</v>
      </c>
      <c r="J4875">
        <v>-339.09469999999999</v>
      </c>
      <c r="K4875">
        <v>1.1191990000000001</v>
      </c>
      <c r="L4875">
        <v>17.578220000000002</v>
      </c>
      <c r="M4875">
        <v>0.99992979999999998</v>
      </c>
      <c r="N4875">
        <v>-1.069004E-2</v>
      </c>
      <c r="O4875">
        <v>5.1178430000000004E-3</v>
      </c>
      <c r="P4875">
        <v>0.98266070000000005</v>
      </c>
      <c r="Q4875">
        <v>0.1799443</v>
      </c>
      <c r="R4875">
        <v>-4.4703189999999997E-2</v>
      </c>
      <c r="S4875">
        <v>3.0439449999999999</v>
      </c>
      <c r="T4875">
        <v>-0.1249526</v>
      </c>
      <c r="U4875">
        <v>-0.71258540000000004</v>
      </c>
      <c r="V4875">
        <v>5.0425280000000003E-2</v>
      </c>
      <c r="W4875">
        <v>0.19025359999999999</v>
      </c>
      <c r="X4875">
        <v>0.98043910000000001</v>
      </c>
      <c r="Y4875">
        <v>0.23267860000000001</v>
      </c>
      <c r="Z4875">
        <v>-6.1242730000000004E-3</v>
      </c>
      <c r="AA4875">
        <v>0.97253440000000002</v>
      </c>
      <c r="AB4875">
        <v>35</v>
      </c>
      <c r="AC4875">
        <v>28.320999999999898</v>
      </c>
      <c r="AD4875">
        <v>-1.1691989999999901</v>
      </c>
      <c r="AE4875">
        <v>-6.6681600000000003</v>
      </c>
      <c r="AF4875">
        <v>6.8020392128245302</v>
      </c>
      <c r="AG4875">
        <v>-1.1691989999999901</v>
      </c>
      <c r="AH4875">
        <v>28.240896180135302</v>
      </c>
      <c r="AI4875">
        <v>92.304903987244501</v>
      </c>
      <c r="AJ4875">
        <v>76.457805963038695</v>
      </c>
      <c r="AK4875">
        <v>29.072030902769502</v>
      </c>
      <c r="AL4875">
        <v>79.032415462845506</v>
      </c>
      <c r="AM4875">
        <v>87.055796414459493</v>
      </c>
      <c r="AN4875">
        <v>0.99999998499242404</v>
      </c>
    </row>
    <row r="4876" spans="1:40" x14ac:dyDescent="0.25">
      <c r="A4876" t="str">
        <f>"20190303171113011"</f>
        <v>20190303171113011</v>
      </c>
      <c r="B4876" t="str">
        <f>"1551604273005782"</f>
        <v>1551604273005782</v>
      </c>
      <c r="C4876" t="s">
        <v>40</v>
      </c>
      <c r="D4876">
        <v>4.9114000000000004</v>
      </c>
      <c r="E4876">
        <v>0.57716339999999999</v>
      </c>
      <c r="F4876" t="s">
        <v>41</v>
      </c>
      <c r="G4876">
        <v>-310.85629999999998</v>
      </c>
      <c r="H4876">
        <v>-0.05</v>
      </c>
      <c r="I4876">
        <v>10.951420000000001</v>
      </c>
      <c r="J4876">
        <v>-338.91160000000002</v>
      </c>
      <c r="K4876">
        <v>1.1191990000000001</v>
      </c>
      <c r="L4876">
        <v>17.578429999999901</v>
      </c>
      <c r="M4876">
        <v>0.99993359999999998</v>
      </c>
      <c r="N4876">
        <v>-1.0693039999999999E-2</v>
      </c>
      <c r="O4876">
        <v>4.3122059999999999E-3</v>
      </c>
      <c r="P4876">
        <v>0.98272470000000001</v>
      </c>
      <c r="Q4876">
        <v>0.17942729999999901</v>
      </c>
      <c r="R4876">
        <v>-4.5368360000000003E-2</v>
      </c>
      <c r="S4876">
        <v>3.0435180000000002</v>
      </c>
      <c r="T4876">
        <v>-0.12601569999999901</v>
      </c>
      <c r="U4876">
        <v>-0.71423340000000002</v>
      </c>
      <c r="V4876">
        <v>5.0297769999999999E-2</v>
      </c>
      <c r="W4876">
        <v>0.1897414</v>
      </c>
      <c r="X4876">
        <v>0.98054490000000005</v>
      </c>
      <c r="Y4876">
        <v>0.2324215</v>
      </c>
      <c r="Z4876">
        <v>-6.1358300000000001E-3</v>
      </c>
      <c r="AA4876">
        <v>0.97259580000000001</v>
      </c>
      <c r="AB4876">
        <v>35</v>
      </c>
      <c r="AC4876">
        <v>28.055299999999999</v>
      </c>
      <c r="AD4876">
        <v>-1.1691989999999901</v>
      </c>
      <c r="AE4876">
        <v>-6.6270099999999896</v>
      </c>
      <c r="AF4876">
        <v>6.7368533699871804</v>
      </c>
      <c r="AG4876">
        <v>-1.1691989999999901</v>
      </c>
      <c r="AH4876">
        <v>27.980432541723701</v>
      </c>
      <c r="AI4876">
        <v>92.326382698404402</v>
      </c>
      <c r="AJ4876">
        <v>76.462550090879105</v>
      </c>
      <c r="AK4876">
        <v>28.803764074375099</v>
      </c>
      <c r="AL4876">
        <v>79.062306821149605</v>
      </c>
      <c r="AM4876">
        <v>87.063544669727605</v>
      </c>
      <c r="AN4876">
        <v>0.99999998272847102</v>
      </c>
    </row>
    <row r="4877" spans="1:40" x14ac:dyDescent="0.25">
      <c r="A4877" t="str">
        <f>"20190303171113022"</f>
        <v>20190303171113022</v>
      </c>
      <c r="B4877" t="str">
        <f>"1551604273015542"</f>
        <v>1551604273015542</v>
      </c>
      <c r="C4877" t="s">
        <v>40</v>
      </c>
      <c r="D4877">
        <v>4.8908779999999998</v>
      </c>
      <c r="E4877">
        <v>0.57722309999999999</v>
      </c>
      <c r="F4877" t="s">
        <v>41</v>
      </c>
      <c r="G4877">
        <v>-310.86669999999998</v>
      </c>
      <c r="H4877">
        <v>-0.05</v>
      </c>
      <c r="I4877">
        <v>10.96796</v>
      </c>
      <c r="J4877">
        <v>-338.73919999999998</v>
      </c>
      <c r="K4877">
        <v>1.1191960000000001</v>
      </c>
      <c r="L4877">
        <v>17.578520000000001</v>
      </c>
      <c r="M4877">
        <v>0.99993659999999995</v>
      </c>
      <c r="N4877">
        <v>-1.069578E-2</v>
      </c>
      <c r="O4877">
        <v>3.5538380000000001E-3</v>
      </c>
      <c r="P4877">
        <v>0.98272910000000002</v>
      </c>
      <c r="Q4877">
        <v>0.179317</v>
      </c>
      <c r="R4877">
        <v>-4.5710889999999997E-2</v>
      </c>
      <c r="S4877">
        <v>3.0428160000000002</v>
      </c>
      <c r="T4877">
        <v>-0.12685569999999999</v>
      </c>
      <c r="U4877">
        <v>-0.71722410000000003</v>
      </c>
      <c r="V4877">
        <v>4.9895330000000002E-2</v>
      </c>
      <c r="W4877">
        <v>0.1896351</v>
      </c>
      <c r="X4877">
        <v>0.98058610000000002</v>
      </c>
      <c r="Y4877">
        <v>0.2326368</v>
      </c>
      <c r="Z4877">
        <v>-6.1520480000000002E-3</v>
      </c>
      <c r="AA4877">
        <v>0.97254430000000003</v>
      </c>
      <c r="AB4877">
        <v>35</v>
      </c>
      <c r="AC4877">
        <v>27.872499999999999</v>
      </c>
      <c r="AD4877">
        <v>-1.1691959999999999</v>
      </c>
      <c r="AE4877">
        <v>-6.6105600000000004</v>
      </c>
      <c r="AF4877">
        <v>6.6984191775208402</v>
      </c>
      <c r="AG4877">
        <v>-1.1691959999999999</v>
      </c>
      <c r="AH4877">
        <v>27.802512811466901</v>
      </c>
      <c r="AI4877">
        <v>92.341163344132198</v>
      </c>
      <c r="AJ4877">
        <v>76.453972715726096</v>
      </c>
      <c r="AK4877">
        <v>28.621941887230101</v>
      </c>
      <c r="AL4877">
        <v>79.068510810299998</v>
      </c>
      <c r="AM4877">
        <v>87.087121240826804</v>
      </c>
      <c r="AN4877">
        <v>1.0000000573105099</v>
      </c>
    </row>
    <row r="4878" spans="1:40" x14ac:dyDescent="0.25">
      <c r="A4878" t="str">
        <f>"20190303171113034"</f>
        <v>20190303171113034</v>
      </c>
      <c r="B4878" t="str">
        <f>"1551604273025302"</f>
        <v>1551604273025302</v>
      </c>
      <c r="C4878" t="s">
        <v>40</v>
      </c>
      <c r="D4878">
        <v>4.886876</v>
      </c>
      <c r="E4878">
        <v>0.57728819999999903</v>
      </c>
      <c r="F4878" t="s">
        <v>41</v>
      </c>
      <c r="G4878">
        <v>-310.77109999999999</v>
      </c>
      <c r="H4878">
        <v>-0.05</v>
      </c>
      <c r="I4878">
        <v>10.97287</v>
      </c>
      <c r="J4878">
        <v>-338.54039999999998</v>
      </c>
      <c r="K4878">
        <v>1.119194</v>
      </c>
      <c r="L4878">
        <v>17.578489999999999</v>
      </c>
      <c r="M4878">
        <v>0.99993920000000003</v>
      </c>
      <c r="N4878">
        <v>-1.0698829999999999E-2</v>
      </c>
      <c r="O4878">
        <v>2.6794169999999999E-3</v>
      </c>
      <c r="P4878">
        <v>0.98269399999999996</v>
      </c>
      <c r="Q4878">
        <v>0.1794221</v>
      </c>
      <c r="R4878">
        <v>-4.6048609999999997E-2</v>
      </c>
      <c r="S4878">
        <v>3.0425110000000002</v>
      </c>
      <c r="T4878">
        <v>-0.12719130000000001</v>
      </c>
      <c r="U4878">
        <v>-0.71859740000000005</v>
      </c>
      <c r="V4878">
        <v>4.9374649999999999E-2</v>
      </c>
      <c r="W4878">
        <v>0.1897451</v>
      </c>
      <c r="X4878">
        <v>0.98059110000000005</v>
      </c>
      <c r="Y4878">
        <v>0.2322236</v>
      </c>
      <c r="Z4878">
        <v>-6.1281399999999998E-3</v>
      </c>
      <c r="AA4878">
        <v>0.97264309999999998</v>
      </c>
      <c r="AB4878">
        <v>35</v>
      </c>
      <c r="AC4878">
        <v>27.769299999999902</v>
      </c>
      <c r="AD4878">
        <v>-1.1691940000000001</v>
      </c>
      <c r="AE4878">
        <v>-6.6056199999999903</v>
      </c>
      <c r="AF4878">
        <v>6.6688171644925003</v>
      </c>
      <c r="AG4878">
        <v>-1.1691940000000001</v>
      </c>
      <c r="AH4878">
        <v>27.705016726846701</v>
      </c>
      <c r="AI4878">
        <v>92.349506700861198</v>
      </c>
      <c r="AJ4878">
        <v>76.465920699055303</v>
      </c>
      <c r="AK4878">
        <v>28.520310110830099</v>
      </c>
      <c r="AL4878">
        <v>79.062090898708504</v>
      </c>
      <c r="AM4878">
        <v>87.117481566568401</v>
      </c>
      <c r="AN4878">
        <v>0.99999998221792097</v>
      </c>
    </row>
    <row r="4879" spans="1:40" x14ac:dyDescent="0.25">
      <c r="A4879" t="str">
        <f>"20190303171113045"</f>
        <v>20190303171113045</v>
      </c>
      <c r="B4879" t="str">
        <f>"1551604273036037"</f>
        <v>1551604273036037</v>
      </c>
      <c r="C4879" t="s">
        <v>40</v>
      </c>
      <c r="D4879">
        <v>4.8536199999999896</v>
      </c>
      <c r="E4879">
        <v>0.57736169999999998</v>
      </c>
      <c r="F4879" t="s">
        <v>41</v>
      </c>
      <c r="G4879">
        <v>-310.42869999999999</v>
      </c>
      <c r="H4879">
        <v>-0.05</v>
      </c>
      <c r="I4879">
        <v>10.923220000000001</v>
      </c>
      <c r="J4879">
        <v>-338.36739999999998</v>
      </c>
      <c r="K4879">
        <v>1.1191960000000001</v>
      </c>
      <c r="L4879">
        <v>17.578250000000001</v>
      </c>
      <c r="M4879">
        <v>0.99994090000000002</v>
      </c>
      <c r="N4879">
        <v>-1.07014E-2</v>
      </c>
      <c r="O4879">
        <v>1.918428E-3</v>
      </c>
      <c r="P4879">
        <v>0.9826589</v>
      </c>
      <c r="Q4879">
        <v>0.17946379999999901</v>
      </c>
      <c r="R4879">
        <v>-4.6628360000000001E-2</v>
      </c>
      <c r="S4879">
        <v>3.0421749999999999</v>
      </c>
      <c r="T4879">
        <v>-0.12652679999999999</v>
      </c>
      <c r="U4879">
        <v>-0.72021480000000004</v>
      </c>
      <c r="V4879">
        <v>4.9207319999999999E-2</v>
      </c>
      <c r="W4879">
        <v>0.18979009999999999</v>
      </c>
      <c r="X4879">
        <v>0.98059079999999998</v>
      </c>
      <c r="Y4879">
        <v>0.23200000000000001</v>
      </c>
      <c r="Z4879">
        <v>-6.0741989999999997E-3</v>
      </c>
      <c r="AA4879">
        <v>0.97269680000000003</v>
      </c>
      <c r="AB4879">
        <v>35</v>
      </c>
      <c r="AC4879">
        <v>27.938699999999901</v>
      </c>
      <c r="AD4879">
        <v>-1.1691959999999999</v>
      </c>
      <c r="AE4879">
        <v>-6.65503</v>
      </c>
      <c r="AF4879">
        <v>6.6975195836813999</v>
      </c>
      <c r="AG4879">
        <v>-1.1691959999999999</v>
      </c>
      <c r="AH4879">
        <v>27.879676404714999</v>
      </c>
      <c r="AI4879">
        <v>92.335061601990006</v>
      </c>
      <c r="AJ4879">
        <v>76.491836352809003</v>
      </c>
      <c r="AK4879">
        <v>28.696692218648401</v>
      </c>
      <c r="AL4879">
        <v>79.059464843490602</v>
      </c>
      <c r="AM4879">
        <v>87.127233112234094</v>
      </c>
      <c r="AN4879">
        <v>0.99999997972211596</v>
      </c>
    </row>
    <row r="4880" spans="1:40" x14ac:dyDescent="0.25">
      <c r="A4880" t="str">
        <f>"20190303171113057"</f>
        <v>20190303171113057</v>
      </c>
      <c r="B4880" t="str">
        <f>"1551604273045798"</f>
        <v>1551604273045798</v>
      </c>
      <c r="C4880" t="s">
        <v>40</v>
      </c>
      <c r="D4880">
        <v>4.8623880000000002</v>
      </c>
      <c r="E4880">
        <v>0.5773973</v>
      </c>
      <c r="F4880" t="s">
        <v>41</v>
      </c>
      <c r="G4880">
        <v>-310.12079999999997</v>
      </c>
      <c r="H4880">
        <v>-0.05</v>
      </c>
      <c r="I4880">
        <v>10.868029999999999</v>
      </c>
      <c r="J4880">
        <v>-338.1859</v>
      </c>
      <c r="K4880">
        <v>1.1191960000000001</v>
      </c>
      <c r="L4880">
        <v>17.577939999999899</v>
      </c>
      <c r="M4880">
        <v>0.9999422</v>
      </c>
      <c r="N4880">
        <v>-1.070407E-2</v>
      </c>
      <c r="O4880">
        <v>1.119947E-3</v>
      </c>
      <c r="P4880">
        <v>0.98267360000000004</v>
      </c>
      <c r="Q4880">
        <v>0.179282</v>
      </c>
      <c r="R4880">
        <v>-4.7020760000000002E-2</v>
      </c>
      <c r="S4880">
        <v>3.0416259999999999</v>
      </c>
      <c r="T4880">
        <v>-0.12590029999999999</v>
      </c>
      <c r="U4880">
        <v>-0.72256469999999995</v>
      </c>
      <c r="V4880">
        <v>4.881477E-2</v>
      </c>
      <c r="W4880">
        <v>0.18961259999999999</v>
      </c>
      <c r="X4880">
        <v>0.98064479999999998</v>
      </c>
      <c r="Y4880">
        <v>0.23197660000000001</v>
      </c>
      <c r="Z4880">
        <v>-6.0263479999999999E-3</v>
      </c>
      <c r="AA4880">
        <v>0.97270270000000003</v>
      </c>
      <c r="AB4880">
        <v>35</v>
      </c>
      <c r="AC4880">
        <v>28.065100000000001</v>
      </c>
      <c r="AD4880">
        <v>-1.1691959999999999</v>
      </c>
      <c r="AE4880">
        <v>-6.70990999999999</v>
      </c>
      <c r="AF4880">
        <v>6.7302897310690897</v>
      </c>
      <c r="AG4880">
        <v>-1.1691959999999999</v>
      </c>
      <c r="AH4880">
        <v>28.011579924754599</v>
      </c>
      <c r="AI4880">
        <v>92.324057745568197</v>
      </c>
      <c r="AJ4880">
        <v>76.489741963265502</v>
      </c>
      <c r="AK4880">
        <v>28.832489123061599</v>
      </c>
      <c r="AL4880">
        <v>79.069823394019394</v>
      </c>
      <c r="AM4880">
        <v>87.150269269117302</v>
      </c>
      <c r="AN4880">
        <v>1.0000000218079701</v>
      </c>
    </row>
    <row r="4881" spans="1:40" x14ac:dyDescent="0.25">
      <c r="A4881" t="str">
        <f>"20190303171113068"</f>
        <v>20190303171113068</v>
      </c>
      <c r="B4881" t="str">
        <f>"1551604273055558"</f>
        <v>1551604273055558</v>
      </c>
      <c r="C4881" t="s">
        <v>40</v>
      </c>
      <c r="D4881">
        <v>4.8494380000000001</v>
      </c>
      <c r="E4881">
        <v>0.57746339999999996</v>
      </c>
      <c r="F4881" t="s">
        <v>41</v>
      </c>
      <c r="G4881">
        <v>-309.95389999999998</v>
      </c>
      <c r="H4881">
        <v>-0.05</v>
      </c>
      <c r="I4881">
        <v>10.854799999999999</v>
      </c>
      <c r="J4881">
        <v>-338.0016</v>
      </c>
      <c r="K4881">
        <v>1.119192</v>
      </c>
      <c r="L4881">
        <v>17.57742</v>
      </c>
      <c r="M4881">
        <v>0.99994269999999996</v>
      </c>
      <c r="N4881">
        <v>-1.070659E-2</v>
      </c>
      <c r="O4881">
        <v>3.0954639999999998E-4</v>
      </c>
      <c r="P4881">
        <v>0.98260910000000001</v>
      </c>
      <c r="Q4881">
        <v>0.1795165</v>
      </c>
      <c r="R4881">
        <v>-4.7472130000000001E-2</v>
      </c>
      <c r="S4881">
        <v>3.0412599999999999</v>
      </c>
      <c r="T4881">
        <v>-0.12595029999999999</v>
      </c>
      <c r="U4881">
        <v>-0.72424319999999998</v>
      </c>
      <c r="V4881">
        <v>4.8471180000000003E-2</v>
      </c>
      <c r="W4881">
        <v>0.18985050000000001</v>
      </c>
      <c r="X4881">
        <v>0.98061580000000004</v>
      </c>
      <c r="Y4881">
        <v>0.23172319999999999</v>
      </c>
      <c r="Z4881">
        <v>-5.9978009999999997E-3</v>
      </c>
      <c r="AA4881">
        <v>0.9727633</v>
      </c>
      <c r="AB4881">
        <v>35</v>
      </c>
      <c r="AC4881">
        <v>28.047699999999999</v>
      </c>
      <c r="AD4881">
        <v>-1.169192</v>
      </c>
      <c r="AE4881">
        <v>-6.72262</v>
      </c>
      <c r="AF4881">
        <v>6.7202588161307197</v>
      </c>
      <c r="AG4881">
        <v>-1.169192</v>
      </c>
      <c r="AH4881">
        <v>27.999605729952201</v>
      </c>
      <c r="AI4881">
        <v>92.325177339116706</v>
      </c>
      <c r="AJ4881">
        <v>76.503582862850195</v>
      </c>
      <c r="AK4881">
        <v>28.8185150471258</v>
      </c>
      <c r="AL4881">
        <v>79.055940401267193</v>
      </c>
      <c r="AM4881">
        <v>87.170211258077003</v>
      </c>
      <c r="AN4881">
        <v>1.00000000742524</v>
      </c>
    </row>
    <row r="4882" spans="1:40" x14ac:dyDescent="0.25">
      <c r="A4882" t="str">
        <f>"20190303171113079"</f>
        <v>20190303171113079</v>
      </c>
      <c r="B4882" t="str">
        <f>"1551604273065318"</f>
        <v>1551604273065318</v>
      </c>
      <c r="C4882" t="s">
        <v>40</v>
      </c>
      <c r="D4882">
        <v>4.853834</v>
      </c>
      <c r="E4882">
        <v>0.57753679999999996</v>
      </c>
      <c r="F4882" t="s">
        <v>41</v>
      </c>
      <c r="G4882">
        <v>-309.44779999999997</v>
      </c>
      <c r="H4882">
        <v>-0.05</v>
      </c>
      <c r="I4882">
        <v>10.755570000000001</v>
      </c>
      <c r="J4882">
        <v>-337.83499999999998</v>
      </c>
      <c r="K4882">
        <v>1.119189</v>
      </c>
      <c r="L4882">
        <v>17.576840000000001</v>
      </c>
      <c r="M4882">
        <v>0.99994269999999996</v>
      </c>
      <c r="N4882">
        <v>-1.0708820000000001E-2</v>
      </c>
      <c r="O4882">
        <v>-4.2330710000000003E-4</v>
      </c>
      <c r="P4882">
        <v>0.98259969999999996</v>
      </c>
      <c r="Q4882">
        <v>0.1794955</v>
      </c>
      <c r="R4882">
        <v>-4.7746009999999998E-2</v>
      </c>
      <c r="S4882">
        <v>3.0407410000000001</v>
      </c>
      <c r="T4882">
        <v>-0.1245091</v>
      </c>
      <c r="U4882">
        <v>-0.72647090000000003</v>
      </c>
      <c r="V4882">
        <v>4.8025270000000002E-2</v>
      </c>
      <c r="W4882">
        <v>0.1898331</v>
      </c>
      <c r="X4882">
        <v>0.98064110000000004</v>
      </c>
      <c r="Y4882">
        <v>0.23172709999999999</v>
      </c>
      <c r="Z4882">
        <v>-5.9225739999999999E-3</v>
      </c>
      <c r="AA4882">
        <v>0.97276280000000004</v>
      </c>
      <c r="AB4882">
        <v>35</v>
      </c>
      <c r="AC4882">
        <v>28.3872</v>
      </c>
      <c r="AD4882">
        <v>-1.169189</v>
      </c>
      <c r="AE4882">
        <v>-6.8212699999999904</v>
      </c>
      <c r="AF4882">
        <v>6.79834913816262</v>
      </c>
      <c r="AG4882">
        <v>-1.169189</v>
      </c>
      <c r="AH4882">
        <v>28.344626554159898</v>
      </c>
      <c r="AI4882">
        <v>92.296985735567603</v>
      </c>
      <c r="AJ4882">
        <v>76.512602668884796</v>
      </c>
      <c r="AK4882">
        <v>29.171945571333801</v>
      </c>
      <c r="AL4882">
        <v>79.056955727953493</v>
      </c>
      <c r="AM4882">
        <v>87.196274352053607</v>
      </c>
      <c r="AN4882">
        <v>0.99999999971169595</v>
      </c>
    </row>
    <row r="4883" spans="1:40" x14ac:dyDescent="0.25">
      <c r="A4883" t="str">
        <f>"20190303171113092"</f>
        <v>20190303171113092</v>
      </c>
      <c r="B4883" t="str">
        <f>"1551604273086135"</f>
        <v>1551604273086135</v>
      </c>
      <c r="C4883" t="s">
        <v>40</v>
      </c>
      <c r="D4883">
        <v>4.8247999999999998</v>
      </c>
      <c r="E4883">
        <v>0.57764130000000002</v>
      </c>
      <c r="F4883" t="s">
        <v>41</v>
      </c>
      <c r="G4883">
        <v>-309.11950000000002</v>
      </c>
      <c r="H4883">
        <v>-0.05</v>
      </c>
      <c r="I4883">
        <v>10.69763</v>
      </c>
      <c r="J4883">
        <v>-337.61709999999999</v>
      </c>
      <c r="K4883">
        <v>1.1191879999999901</v>
      </c>
      <c r="L4883">
        <v>17.575900000000001</v>
      </c>
      <c r="M4883">
        <v>0.99994179999999999</v>
      </c>
      <c r="N4883">
        <v>-1.071158E-2</v>
      </c>
      <c r="O4883">
        <v>-1.381291E-3</v>
      </c>
      <c r="P4883">
        <v>0.98260800000000004</v>
      </c>
      <c r="Q4883">
        <v>0.17922160000000001</v>
      </c>
      <c r="R4883">
        <v>-4.859724E-2</v>
      </c>
      <c r="S4883">
        <v>3.040375</v>
      </c>
      <c r="T4883">
        <v>-0.12379279999999999</v>
      </c>
      <c r="U4883">
        <v>-0.72836299999999998</v>
      </c>
      <c r="V4883">
        <v>4.7934520000000001E-2</v>
      </c>
      <c r="W4883">
        <v>0.18956300000000001</v>
      </c>
      <c r="X4883">
        <v>0.98069779999999995</v>
      </c>
      <c r="Y4883">
        <v>0.2313974</v>
      </c>
      <c r="Z4883">
        <v>-5.8596739999999996E-3</v>
      </c>
      <c r="AA4883">
        <v>0.97284170000000003</v>
      </c>
      <c r="AB4883">
        <v>35</v>
      </c>
      <c r="AC4883">
        <v>28.497599999999899</v>
      </c>
      <c r="AD4883">
        <v>-1.1691879999999999</v>
      </c>
      <c r="AE4883">
        <v>-6.8782699999999997</v>
      </c>
      <c r="AF4883">
        <v>6.8280370213251</v>
      </c>
      <c r="AG4883">
        <v>-1.1691879999999999</v>
      </c>
      <c r="AH4883">
        <v>28.461802867728998</v>
      </c>
      <c r="AI4883">
        <v>92.287508394155395</v>
      </c>
      <c r="AJ4883">
        <v>76.509588217071993</v>
      </c>
      <c r="AK4883">
        <v>29.292717740513499</v>
      </c>
      <c r="AL4883">
        <v>79.072717649523497</v>
      </c>
      <c r="AM4883">
        <v>87.201725464179802</v>
      </c>
      <c r="AN4883">
        <v>1.00000001205073</v>
      </c>
    </row>
    <row r="4884" spans="1:40" x14ac:dyDescent="0.25">
      <c r="A4884" t="str">
        <f>"20190303171113105"</f>
        <v>20190303171113105</v>
      </c>
      <c r="B4884" t="str">
        <f>"1551604273095895"</f>
        <v>1551604273095895</v>
      </c>
      <c r="C4884" t="s">
        <v>40</v>
      </c>
      <c r="D4884">
        <v>4.8405509999999996</v>
      </c>
      <c r="E4884">
        <v>0.57773430000000003</v>
      </c>
      <c r="F4884" t="s">
        <v>41</v>
      </c>
      <c r="G4884">
        <v>-308.85050000000001</v>
      </c>
      <c r="H4884">
        <v>-0.05</v>
      </c>
      <c r="I4884">
        <v>10.648239999999999</v>
      </c>
      <c r="J4884">
        <v>-337.41520000000003</v>
      </c>
      <c r="K4884">
        <v>1.119186</v>
      </c>
      <c r="L4884">
        <v>17.574829999999999</v>
      </c>
      <c r="M4884">
        <v>0.9999401</v>
      </c>
      <c r="N4884">
        <v>-1.071401E-2</v>
      </c>
      <c r="O4884">
        <v>-2.2686999999999998E-3</v>
      </c>
      <c r="P4884">
        <v>0.98258029999999996</v>
      </c>
      <c r="Q4884">
        <v>0.17913750000000001</v>
      </c>
      <c r="R4884">
        <v>-4.945621E-2</v>
      </c>
      <c r="S4884">
        <v>3.0394290000000002</v>
      </c>
      <c r="T4884">
        <v>-0.1235343</v>
      </c>
      <c r="U4884">
        <v>-0.73196410000000001</v>
      </c>
      <c r="V4884">
        <v>4.7921789999999999E-2</v>
      </c>
      <c r="W4884">
        <v>0.1894815</v>
      </c>
      <c r="X4884">
        <v>0.98071410000000003</v>
      </c>
      <c r="Y4884">
        <v>0.23169319999999999</v>
      </c>
      <c r="Z4884">
        <v>-5.8326910000000001E-3</v>
      </c>
      <c r="AA4884">
        <v>0.97277139999999995</v>
      </c>
      <c r="AB4884">
        <v>35</v>
      </c>
      <c r="AC4884">
        <v>28.564699999999998</v>
      </c>
      <c r="AD4884">
        <v>-1.1691860000000001</v>
      </c>
      <c r="AE4884">
        <v>-6.9265899999999903</v>
      </c>
      <c r="AF4884">
        <v>6.8509233816191699</v>
      </c>
      <c r="AG4884">
        <v>-1.1691860000000001</v>
      </c>
      <c r="AH4884">
        <v>28.535189985983301</v>
      </c>
      <c r="AI4884">
        <v>92.2815319698244</v>
      </c>
      <c r="AJ4884">
        <v>76.499562630746397</v>
      </c>
      <c r="AK4884">
        <v>29.369358430506701</v>
      </c>
      <c r="AL4884">
        <v>79.077472666038403</v>
      </c>
      <c r="AM4884">
        <v>87.202513845632197</v>
      </c>
      <c r="AN4884">
        <v>0.99999994136893</v>
      </c>
    </row>
    <row r="4885" spans="1:40" x14ac:dyDescent="0.25">
      <c r="A4885" t="str">
        <f>"20190303171113124"</f>
        <v>20190303171113124</v>
      </c>
      <c r="B4885" t="str">
        <f>"1551604273115415"</f>
        <v>1551604273115415</v>
      </c>
      <c r="C4885" t="s">
        <v>40</v>
      </c>
      <c r="D4885">
        <v>4.8187530000000001</v>
      </c>
      <c r="E4885">
        <v>0.57786510000000002</v>
      </c>
      <c r="F4885" t="s">
        <v>41</v>
      </c>
      <c r="G4885">
        <v>-308.64229999999998</v>
      </c>
      <c r="H4885">
        <v>-0.05</v>
      </c>
      <c r="I4885">
        <v>10.606809999999999</v>
      </c>
      <c r="J4885">
        <v>-337.11989999999997</v>
      </c>
      <c r="K4885">
        <v>1.1191869999999999</v>
      </c>
      <c r="L4885">
        <v>17.573</v>
      </c>
      <c r="M4885">
        <v>0.9999363</v>
      </c>
      <c r="N4885">
        <v>-1.07173999999999E-2</v>
      </c>
      <c r="O4885">
        <v>-3.5669109999999999E-3</v>
      </c>
      <c r="P4885">
        <v>0.98248570000000002</v>
      </c>
      <c r="Q4885">
        <v>0.1792783</v>
      </c>
      <c r="R4885">
        <v>-5.0807779999999997E-2</v>
      </c>
      <c r="S4885">
        <v>3.038605</v>
      </c>
      <c r="T4885">
        <v>-0.12347379999999999</v>
      </c>
      <c r="U4885">
        <v>-0.73587040000000004</v>
      </c>
      <c r="V4885">
        <v>4.7999140000000003E-2</v>
      </c>
      <c r="W4885">
        <v>0.18962480000000001</v>
      </c>
      <c r="X4885">
        <v>0.98068270000000002</v>
      </c>
      <c r="Y4885">
        <v>0.23167270000000001</v>
      </c>
      <c r="Z4885">
        <v>-5.792798E-3</v>
      </c>
      <c r="AA4885">
        <v>0.97277650000000004</v>
      </c>
      <c r="AB4885">
        <v>36</v>
      </c>
      <c r="AC4885">
        <v>28.477599999999899</v>
      </c>
      <c r="AD4885">
        <v>-1.169187</v>
      </c>
      <c r="AE4885">
        <v>-6.9661899999999903</v>
      </c>
      <c r="AF4885">
        <v>6.8536623508345702</v>
      </c>
      <c r="AG4885">
        <v>-1.169187</v>
      </c>
      <c r="AH4885">
        <v>28.457008441108201</v>
      </c>
      <c r="AI4885">
        <v>92.287402815053099</v>
      </c>
      <c r="AJ4885">
        <v>76.458622700179802</v>
      </c>
      <c r="AK4885">
        <v>29.294044023956801</v>
      </c>
      <c r="AL4885">
        <v>79.069111451280705</v>
      </c>
      <c r="AM4885">
        <v>87.1979160734099</v>
      </c>
      <c r="AN4885">
        <v>1.0000000201475301</v>
      </c>
    </row>
    <row r="4886" spans="1:40" x14ac:dyDescent="0.25">
      <c r="A4886" t="str">
        <f>"20190303171113136"</f>
        <v>20190303171113136</v>
      </c>
      <c r="B4886" t="str">
        <f>"1551604273126151"</f>
        <v>1551604273126151</v>
      </c>
      <c r="C4886" t="s">
        <v>40</v>
      </c>
      <c r="D4886">
        <v>4.806324</v>
      </c>
      <c r="E4886">
        <v>0.57798340000000004</v>
      </c>
      <c r="F4886" t="s">
        <v>41</v>
      </c>
      <c r="G4886">
        <v>-308.05009999999999</v>
      </c>
      <c r="H4886">
        <v>-0.05</v>
      </c>
      <c r="I4886">
        <v>10.478389999999999</v>
      </c>
      <c r="J4886">
        <v>-336.92270000000002</v>
      </c>
      <c r="K4886">
        <v>1.119184</v>
      </c>
      <c r="L4886">
        <v>17.571560000000002</v>
      </c>
      <c r="M4886">
        <v>0.99993270000000001</v>
      </c>
      <c r="N4886">
        <v>-1.0719569999999999E-2</v>
      </c>
      <c r="O4886">
        <v>-4.4338149999999998E-3</v>
      </c>
      <c r="P4886">
        <v>0.98242010000000002</v>
      </c>
      <c r="Q4886">
        <v>0.17939739999999901</v>
      </c>
      <c r="R4886">
        <v>-5.1647619999999998E-2</v>
      </c>
      <c r="S4886">
        <v>3.037445</v>
      </c>
      <c r="T4886">
        <v>-0.1221662</v>
      </c>
      <c r="U4886">
        <v>-0.74130249999999998</v>
      </c>
      <c r="V4886">
        <v>4.7988419999999997E-2</v>
      </c>
      <c r="W4886">
        <v>0.18974559999999999</v>
      </c>
      <c r="X4886">
        <v>0.98065979999999997</v>
      </c>
      <c r="Y4886">
        <v>0.23256060000000001</v>
      </c>
      <c r="Z4886">
        <v>-5.7437019999999998E-3</v>
      </c>
      <c r="AA4886">
        <v>0.97256489999999995</v>
      </c>
      <c r="AB4886">
        <v>36</v>
      </c>
      <c r="AC4886">
        <v>28.872599999999998</v>
      </c>
      <c r="AD4886">
        <v>-1.169184</v>
      </c>
      <c r="AE4886">
        <v>-7.0931699999999998</v>
      </c>
      <c r="AF4886">
        <v>6.9543224602615004</v>
      </c>
      <c r="AG4886">
        <v>-1.169184</v>
      </c>
      <c r="AH4886">
        <v>28.859137843621799</v>
      </c>
      <c r="AI4886">
        <v>92.255489290767997</v>
      </c>
      <c r="AJ4886">
        <v>76.451473056977505</v>
      </c>
      <c r="AK4886">
        <v>29.708238405942499</v>
      </c>
      <c r="AL4886">
        <v>79.062061499704399</v>
      </c>
      <c r="AM4886">
        <v>87.1984755719144</v>
      </c>
      <c r="AN4886">
        <v>0.99999996225474697</v>
      </c>
    </row>
    <row r="4887" spans="1:40" x14ac:dyDescent="0.25">
      <c r="A4887" t="str">
        <f>"20190303171113154"</f>
        <v>20190303171113154</v>
      </c>
      <c r="B4887" t="str">
        <f>"1551604273145671"</f>
        <v>1551604273145671</v>
      </c>
      <c r="C4887" t="s">
        <v>40</v>
      </c>
      <c r="D4887">
        <v>4.8446939999999996</v>
      </c>
      <c r="E4887">
        <v>0.57818099999999994</v>
      </c>
      <c r="F4887" t="s">
        <v>41</v>
      </c>
      <c r="G4887">
        <v>-307.69709999999998</v>
      </c>
      <c r="H4887">
        <v>-0.05</v>
      </c>
      <c r="I4887">
        <v>10.402329999999999</v>
      </c>
      <c r="J4887">
        <v>-336.6216</v>
      </c>
      <c r="K4887">
        <v>1.119178</v>
      </c>
      <c r="L4887">
        <v>17.568999999999999</v>
      </c>
      <c r="M4887">
        <v>0.99992610000000004</v>
      </c>
      <c r="N4887">
        <v>-1.072272E-2</v>
      </c>
      <c r="O4887">
        <v>-5.7568209999999996E-3</v>
      </c>
      <c r="P4887">
        <v>0.98238559999999997</v>
      </c>
      <c r="Q4887">
        <v>0.17912709999999901</v>
      </c>
      <c r="R4887">
        <v>-5.321766E-2</v>
      </c>
      <c r="S4887">
        <v>3.036743</v>
      </c>
      <c r="T4887">
        <v>-0.1214862</v>
      </c>
      <c r="U4887">
        <v>-0.74493409999999904</v>
      </c>
      <c r="V4887">
        <v>4.8258509999999998E-2</v>
      </c>
      <c r="W4887">
        <v>0.1894778</v>
      </c>
      <c r="X4887">
        <v>0.98069830000000002</v>
      </c>
      <c r="Y4887">
        <v>0.23242570000000001</v>
      </c>
      <c r="Z4887">
        <v>-5.6784519999999996E-3</v>
      </c>
      <c r="AA4887">
        <v>0.9725975</v>
      </c>
      <c r="AB4887">
        <v>36</v>
      </c>
      <c r="AC4887">
        <v>28.924499999999998</v>
      </c>
      <c r="AD4887">
        <v>-1.1691780000000001</v>
      </c>
      <c r="AE4887">
        <v>-7.1666699999999999</v>
      </c>
      <c r="AF4887">
        <v>6.9892691653233001</v>
      </c>
      <c r="AG4887">
        <v>-1.1691780000000001</v>
      </c>
      <c r="AH4887">
        <v>28.9207593497045</v>
      </c>
      <c r="AI4887">
        <v>92.250320656323495</v>
      </c>
      <c r="AJ4887">
        <v>76.413848460738905</v>
      </c>
      <c r="AK4887">
        <v>29.776285564599</v>
      </c>
      <c r="AL4887">
        <v>79.077688534962903</v>
      </c>
      <c r="AM4887">
        <v>87.182843693126202</v>
      </c>
      <c r="AN4887">
        <v>0.99999993805157295</v>
      </c>
    </row>
    <row r="4888" spans="1:40" x14ac:dyDescent="0.25">
      <c r="A4888" t="str">
        <f>"20190303171113167"</f>
        <v>20190303171113167</v>
      </c>
      <c r="B4888" t="str">
        <f>"1551604273155432"</f>
        <v>1551604273155432</v>
      </c>
      <c r="C4888" t="s">
        <v>40</v>
      </c>
      <c r="D4888">
        <v>4.8319210000000004</v>
      </c>
      <c r="E4888">
        <v>0.57824370000000003</v>
      </c>
      <c r="F4888" t="s">
        <v>41</v>
      </c>
      <c r="G4888">
        <v>-307.24340000000001</v>
      </c>
      <c r="H4888">
        <v>-0.05</v>
      </c>
      <c r="I4888">
        <v>10.293659999999999</v>
      </c>
      <c r="J4888">
        <v>-336.43970000000002</v>
      </c>
      <c r="K4888">
        <v>1.1191759999999999</v>
      </c>
      <c r="L4888">
        <v>17.567229999999999</v>
      </c>
      <c r="M4888">
        <v>0.99992110000000001</v>
      </c>
      <c r="N4888">
        <v>-1.0724539999999999E-2</v>
      </c>
      <c r="O4888">
        <v>-6.5567269999999896E-3</v>
      </c>
      <c r="P4888">
        <v>0.98229239999999995</v>
      </c>
      <c r="Q4888">
        <v>0.1792831</v>
      </c>
      <c r="R4888">
        <v>-5.440101E-2</v>
      </c>
      <c r="S4888">
        <v>3.0350649999999999</v>
      </c>
      <c r="T4888">
        <v>-0.1207879</v>
      </c>
      <c r="U4888">
        <v>-0.75161739999999999</v>
      </c>
      <c r="V4888">
        <v>4.8657190000000003E-2</v>
      </c>
      <c r="W4888">
        <v>0.1896332</v>
      </c>
      <c r="X4888">
        <v>0.98064859999999998</v>
      </c>
      <c r="Y4888">
        <v>0.2337921</v>
      </c>
      <c r="Z4888">
        <v>-5.6665209999999999E-3</v>
      </c>
      <c r="AA4888">
        <v>0.97227010000000003</v>
      </c>
      <c r="AB4888">
        <v>36</v>
      </c>
      <c r="AC4888">
        <v>29.196300000000001</v>
      </c>
      <c r="AD4888">
        <v>-1.169176</v>
      </c>
      <c r="AE4888">
        <v>-7.2735699999999897</v>
      </c>
      <c r="AF4888">
        <v>7.0712933987692503</v>
      </c>
      <c r="AG4888">
        <v>-1.169176</v>
      </c>
      <c r="AH4888">
        <v>29.199277362183601</v>
      </c>
      <c r="AI4888">
        <v>92.228617425430897</v>
      </c>
      <c r="AJ4888">
        <v>76.386570873489902</v>
      </c>
      <c r="AK4888">
        <v>30.0660599567715</v>
      </c>
      <c r="AL4888">
        <v>79.068620769728497</v>
      </c>
      <c r="AM4888">
        <v>87.159464444048893</v>
      </c>
      <c r="AN4888">
        <v>0.99999997468144697</v>
      </c>
    </row>
    <row r="4889" spans="1:40" x14ac:dyDescent="0.25">
      <c r="A4889" t="str">
        <f>"20190303171113178"</f>
        <v>20190303171113178</v>
      </c>
      <c r="B4889" t="str">
        <f>"1551604273166167"</f>
        <v>1551604273166167</v>
      </c>
      <c r="C4889" t="s">
        <v>40</v>
      </c>
      <c r="D4889">
        <v>4.8236949999999998</v>
      </c>
      <c r="E4889">
        <v>0.57832989999999995</v>
      </c>
      <c r="F4889" t="s">
        <v>41</v>
      </c>
      <c r="G4889">
        <v>-306.96050000000002</v>
      </c>
      <c r="H4889">
        <v>-0.05</v>
      </c>
      <c r="I4889">
        <v>10.22345</v>
      </c>
      <c r="J4889">
        <v>-336.26139999999998</v>
      </c>
      <c r="K4889">
        <v>1.119178</v>
      </c>
      <c r="L4889">
        <v>17.565429999999999</v>
      </c>
      <c r="M4889">
        <v>0.99991549999999996</v>
      </c>
      <c r="N4889">
        <v>-1.0726309999999999E-2</v>
      </c>
      <c r="O4889">
        <v>-7.33958599999999E-3</v>
      </c>
      <c r="P4889">
        <v>0.9822746</v>
      </c>
      <c r="Q4889">
        <v>0.17907790000000001</v>
      </c>
      <c r="R4889">
        <v>-5.5387939999999997E-2</v>
      </c>
      <c r="S4889">
        <v>3.0341490000000002</v>
      </c>
      <c r="T4889">
        <v>-0.12033770000000001</v>
      </c>
      <c r="U4889">
        <v>-0.75585939999999996</v>
      </c>
      <c r="V4889">
        <v>4.887445E-2</v>
      </c>
      <c r="W4889">
        <v>0.18942909999999999</v>
      </c>
      <c r="X4889">
        <v>0.98067720000000003</v>
      </c>
      <c r="Y4889">
        <v>0.2343808</v>
      </c>
      <c r="Z4889">
        <v>-5.6438019999999998E-3</v>
      </c>
      <c r="AA4889">
        <v>0.97212849999999995</v>
      </c>
      <c r="AB4889">
        <v>36</v>
      </c>
      <c r="AC4889">
        <v>29.300899999999899</v>
      </c>
      <c r="AD4889">
        <v>-1.1691780000000001</v>
      </c>
      <c r="AE4889">
        <v>-7.3419799999999897</v>
      </c>
      <c r="AF4889">
        <v>7.11605249649587</v>
      </c>
      <c r="AG4889">
        <v>-1.1691780000000001</v>
      </c>
      <c r="AH4889">
        <v>29.3100901592078</v>
      </c>
      <c r="AI4889">
        <v>92.219893332821698</v>
      </c>
      <c r="AJ4889">
        <v>76.353480031111502</v>
      </c>
      <c r="AK4889">
        <v>30.1842105324864</v>
      </c>
      <c r="AL4889">
        <v>79.080530251214597</v>
      </c>
      <c r="AM4889">
        <v>87.146885106260498</v>
      </c>
      <c r="AN4889">
        <v>0.99999993319472402</v>
      </c>
    </row>
    <row r="4890" spans="1:40" x14ac:dyDescent="0.25">
      <c r="A4890" t="str">
        <f>"20190303171113189"</f>
        <v>20190303171113189</v>
      </c>
      <c r="B4890" t="str">
        <f>"1551604273175927"</f>
        <v>1551604273175927</v>
      </c>
      <c r="C4890" t="s">
        <v>40</v>
      </c>
      <c r="D4890">
        <v>4.7879559999999897</v>
      </c>
      <c r="E4890">
        <v>0.57840309999999995</v>
      </c>
      <c r="F4890" t="s">
        <v>41</v>
      </c>
      <c r="G4890">
        <v>-306.8553</v>
      </c>
      <c r="H4890">
        <v>-0.05</v>
      </c>
      <c r="I4890">
        <v>10.20013</v>
      </c>
      <c r="J4890">
        <v>-336.08089999999999</v>
      </c>
      <c r="K4890">
        <v>1.119175</v>
      </c>
      <c r="L4890">
        <v>17.563389999999998</v>
      </c>
      <c r="M4890">
        <v>0.99990950000000001</v>
      </c>
      <c r="N4890">
        <v>-1.0728120000000001E-2</v>
      </c>
      <c r="O4890">
        <v>-8.1328159999999993E-3</v>
      </c>
      <c r="P4890">
        <v>0.98216749999999997</v>
      </c>
      <c r="Q4890">
        <v>0.17936759999999999</v>
      </c>
      <c r="R4890">
        <v>-5.6343310000000001E-2</v>
      </c>
      <c r="S4890">
        <v>3.033264</v>
      </c>
      <c r="T4890">
        <v>-0.12060129999999999</v>
      </c>
      <c r="U4890">
        <v>-0.7597351</v>
      </c>
      <c r="V4890">
        <v>4.9052829999999999E-2</v>
      </c>
      <c r="W4890">
        <v>0.18971940000000001</v>
      </c>
      <c r="X4890">
        <v>0.98061229999999999</v>
      </c>
      <c r="Y4890">
        <v>0.23484430000000001</v>
      </c>
      <c r="Z4890">
        <v>-5.6431169999999996E-3</v>
      </c>
      <c r="AA4890">
        <v>0.97201660000000001</v>
      </c>
      <c r="AB4890">
        <v>36</v>
      </c>
      <c r="AC4890">
        <v>29.225599999999901</v>
      </c>
      <c r="AD4890">
        <v>-1.1691750000000001</v>
      </c>
      <c r="AE4890">
        <v>-7.3632599999999897</v>
      </c>
      <c r="AF4890">
        <v>7.1146096851801701</v>
      </c>
      <c r="AG4890">
        <v>-1.1691750000000001</v>
      </c>
      <c r="AH4890">
        <v>29.2405171107849</v>
      </c>
      <c r="AI4890">
        <v>92.224894694602796</v>
      </c>
      <c r="AJ4890">
        <v>76.324897699857601</v>
      </c>
      <c r="AK4890">
        <v>30.116315877928798</v>
      </c>
      <c r="AL4890">
        <v>79.063591468500903</v>
      </c>
      <c r="AM4890">
        <v>87.136300021438103</v>
      </c>
      <c r="AN4890">
        <v>1.0000000568893199</v>
      </c>
    </row>
    <row r="4891" spans="1:40" x14ac:dyDescent="0.25">
      <c r="A4891" t="str">
        <f>"20190303171113201"</f>
        <v>20190303171113201</v>
      </c>
      <c r="B4891" t="str">
        <f>"1551604273195955"</f>
        <v>1551604273195955</v>
      </c>
      <c r="C4891" t="s">
        <v>40</v>
      </c>
      <c r="D4891">
        <v>4.8218139999999998</v>
      </c>
      <c r="E4891">
        <v>0.57854939999999999</v>
      </c>
      <c r="F4891" t="s">
        <v>41</v>
      </c>
      <c r="G4891">
        <v>-306.31349999999998</v>
      </c>
      <c r="H4891">
        <v>-0.05</v>
      </c>
      <c r="I4891">
        <v>10.06664</v>
      </c>
      <c r="J4891">
        <v>-335.8938</v>
      </c>
      <c r="K4891">
        <v>1.1191739999999999</v>
      </c>
      <c r="L4891">
        <v>17.561160000000001</v>
      </c>
      <c r="M4891">
        <v>0.99990239999999997</v>
      </c>
      <c r="N4891">
        <v>-1.072994E-2</v>
      </c>
      <c r="O4891">
        <v>-8.9553719999999996E-3</v>
      </c>
      <c r="P4891">
        <v>0.98209080000000004</v>
      </c>
      <c r="Q4891">
        <v>0.1795088</v>
      </c>
      <c r="R4891">
        <v>-5.722029E-2</v>
      </c>
      <c r="S4891">
        <v>3.0324399999999998</v>
      </c>
      <c r="T4891">
        <v>-0.1191049</v>
      </c>
      <c r="U4891">
        <v>-0.7637024</v>
      </c>
      <c r="V4891">
        <v>4.9123409999999999E-2</v>
      </c>
      <c r="W4891">
        <v>0.18986169999999999</v>
      </c>
      <c r="X4891">
        <v>0.98058120000000004</v>
      </c>
      <c r="Y4891">
        <v>0.23530780000000001</v>
      </c>
      <c r="Z4891">
        <v>-5.5793359999999998E-3</v>
      </c>
      <c r="AA4891">
        <v>0.97190489999999996</v>
      </c>
      <c r="AB4891">
        <v>36</v>
      </c>
      <c r="AC4891">
        <v>29.580300000000001</v>
      </c>
      <c r="AD4891">
        <v>-1.1691739999999999</v>
      </c>
      <c r="AE4891">
        <v>-7.4945199999999996</v>
      </c>
      <c r="AF4891">
        <v>7.2187043825421098</v>
      </c>
      <c r="AG4891">
        <v>-1.1691739999999999</v>
      </c>
      <c r="AH4891">
        <v>29.602776186274301</v>
      </c>
      <c r="AI4891">
        <v>92.197420868403199</v>
      </c>
      <c r="AJ4891">
        <v>76.295751718154193</v>
      </c>
      <c r="AK4891">
        <v>30.492638763141802</v>
      </c>
      <c r="AL4891">
        <v>79.055287074922902</v>
      </c>
      <c r="AM4891">
        <v>87.132095637291101</v>
      </c>
      <c r="AN4891">
        <v>1.0000000321651701</v>
      </c>
    </row>
    <row r="4892" spans="1:40" x14ac:dyDescent="0.25">
      <c r="A4892" t="str">
        <f>"20190303171113213"</f>
        <v>20190303171113213</v>
      </c>
      <c r="B4892" t="str">
        <f>"1551604273205714"</f>
        <v>1551604273205714</v>
      </c>
      <c r="C4892" t="s">
        <v>40</v>
      </c>
      <c r="D4892">
        <v>4.8253659999999998</v>
      </c>
      <c r="E4892">
        <v>0.57861039999999997</v>
      </c>
      <c r="F4892" t="s">
        <v>41</v>
      </c>
      <c r="G4892">
        <v>-305.87779999999998</v>
      </c>
      <c r="H4892">
        <v>-0.05</v>
      </c>
      <c r="I4892">
        <v>9.9597320000000007</v>
      </c>
      <c r="J4892">
        <v>-335.69499999999999</v>
      </c>
      <c r="K4892">
        <v>1.1191719999999901</v>
      </c>
      <c r="L4892">
        <v>17.55865</v>
      </c>
      <c r="M4892">
        <v>0.99989410000000001</v>
      </c>
      <c r="N4892">
        <v>-1.073176E-2</v>
      </c>
      <c r="O4892">
        <v>-9.8282339999999999E-3</v>
      </c>
      <c r="P4892">
        <v>0.98201850000000002</v>
      </c>
      <c r="Q4892">
        <v>0.17960039999999999</v>
      </c>
      <c r="R4892">
        <v>-5.8167799999999999E-2</v>
      </c>
      <c r="S4892">
        <v>3.031555</v>
      </c>
      <c r="T4892">
        <v>-0.11808440000000001</v>
      </c>
      <c r="U4892">
        <v>-0.76773069999999999</v>
      </c>
      <c r="V4892">
        <v>4.9214420000000002E-2</v>
      </c>
      <c r="W4892">
        <v>0.18995390000000001</v>
      </c>
      <c r="X4892">
        <v>0.98055879999999995</v>
      </c>
      <c r="Y4892">
        <v>0.2357436</v>
      </c>
      <c r="Z4892">
        <v>-5.5308090000000002E-3</v>
      </c>
      <c r="AA4892">
        <v>0.97179959999999999</v>
      </c>
      <c r="AB4892">
        <v>36</v>
      </c>
      <c r="AC4892">
        <v>29.8172</v>
      </c>
      <c r="AD4892">
        <v>-1.1691720000000001</v>
      </c>
      <c r="AE4892">
        <v>-7.5989179999999896</v>
      </c>
      <c r="AF4892">
        <v>7.2949514983540897</v>
      </c>
      <c r="AG4892">
        <v>-1.1691720000000001</v>
      </c>
      <c r="AH4892">
        <v>29.847355598645201</v>
      </c>
      <c r="AI4892">
        <v>92.179149081527001</v>
      </c>
      <c r="AJ4892">
        <v>76.265667650419402</v>
      </c>
      <c r="AK4892">
        <v>30.748136801453501</v>
      </c>
      <c r="AL4892">
        <v>79.049906705129104</v>
      </c>
      <c r="AM4892">
        <v>87.126725694884996</v>
      </c>
      <c r="AN4892">
        <v>1.00000005175929</v>
      </c>
    </row>
    <row r="4893" spans="1:40" x14ac:dyDescent="0.25">
      <c r="A4893" t="str">
        <f>"20190303171113224"</f>
        <v>20190303171113224</v>
      </c>
      <c r="B4893" t="str">
        <f>"1551604273215474"</f>
        <v>1551604273215474</v>
      </c>
      <c r="C4893" t="s">
        <v>40</v>
      </c>
      <c r="D4893">
        <v>4.8223989999999999</v>
      </c>
      <c r="E4893">
        <v>0.5786424</v>
      </c>
      <c r="F4893" t="s">
        <v>41</v>
      </c>
      <c r="G4893">
        <v>-305.62270000000001</v>
      </c>
      <c r="H4893">
        <v>-0.05</v>
      </c>
      <c r="I4893">
        <v>9.9071960000000008</v>
      </c>
      <c r="J4893">
        <v>-335.52839999999998</v>
      </c>
      <c r="K4893">
        <v>1.1191709999999999</v>
      </c>
      <c r="L4893">
        <v>17.556370000000001</v>
      </c>
      <c r="M4893">
        <v>0.99988679999999996</v>
      </c>
      <c r="N4893">
        <v>-1.073324E-2</v>
      </c>
      <c r="O4893">
        <v>-1.0560669999999999E-2</v>
      </c>
      <c r="P4893">
        <v>0.98197610000000002</v>
      </c>
      <c r="Q4893">
        <v>0.1795831</v>
      </c>
      <c r="R4893">
        <v>-5.8932890000000002E-2</v>
      </c>
      <c r="S4893">
        <v>3.0308229999999998</v>
      </c>
      <c r="T4893">
        <v>-0.1178343</v>
      </c>
      <c r="U4893">
        <v>-0.77114869999999902</v>
      </c>
      <c r="V4893">
        <v>4.9260779999999997E-2</v>
      </c>
      <c r="W4893">
        <v>0.189938</v>
      </c>
      <c r="X4893">
        <v>0.98055950000000003</v>
      </c>
      <c r="Y4893">
        <v>0.23611799999999999</v>
      </c>
      <c r="Z4893">
        <v>-5.5117430000000004E-3</v>
      </c>
      <c r="AA4893">
        <v>0.97170880000000004</v>
      </c>
      <c r="AB4893">
        <v>36</v>
      </c>
      <c r="AC4893">
        <v>29.9056999999999</v>
      </c>
      <c r="AD4893">
        <v>-1.169171</v>
      </c>
      <c r="AE4893">
        <v>-7.6491740000000004</v>
      </c>
      <c r="AF4893">
        <v>7.3224004093466402</v>
      </c>
      <c r="AG4893">
        <v>-1.169171</v>
      </c>
      <c r="AH4893">
        <v>29.941862964739698</v>
      </c>
      <c r="AI4893">
        <v>92.172202899287996</v>
      </c>
      <c r="AJ4893">
        <v>76.257812213201404</v>
      </c>
      <c r="AK4893">
        <v>30.846388222631401</v>
      </c>
      <c r="AL4893">
        <v>79.050834034384295</v>
      </c>
      <c r="AM4893">
        <v>87.124025661104994</v>
      </c>
      <c r="AN4893">
        <v>1.0000000006652201</v>
      </c>
    </row>
    <row r="4894" spans="1:40" x14ac:dyDescent="0.25">
      <c r="A4894" t="str">
        <f>"20190303171113234"</f>
        <v>20190303171113234</v>
      </c>
      <c r="B4894" t="str">
        <f>"1551604273226210"</f>
        <v>1551604273226210</v>
      </c>
      <c r="C4894" t="s">
        <v>40</v>
      </c>
      <c r="D4894">
        <v>5.1548619999999996</v>
      </c>
      <c r="E4894">
        <v>0.57870339999999998</v>
      </c>
      <c r="F4894" t="s">
        <v>41</v>
      </c>
      <c r="G4894">
        <v>-305.56909999999999</v>
      </c>
      <c r="H4894">
        <v>-0.05</v>
      </c>
      <c r="I4894">
        <v>9.9093630000000008</v>
      </c>
      <c r="J4894">
        <v>-335.34809999999999</v>
      </c>
      <c r="K4894">
        <v>1.11917</v>
      </c>
      <c r="L4894">
        <v>17.553799999999999</v>
      </c>
      <c r="M4894">
        <v>0.99987809999999999</v>
      </c>
      <c r="N4894">
        <v>-1.0734820000000001E-2</v>
      </c>
      <c r="O4894">
        <v>-1.1352579999999999E-2</v>
      </c>
      <c r="P4894">
        <v>0.9819561</v>
      </c>
      <c r="Q4894">
        <v>0.17947550000000001</v>
      </c>
      <c r="R4894">
        <v>-5.9592190000000003E-2</v>
      </c>
      <c r="S4894">
        <v>3.0302730000000002</v>
      </c>
      <c r="T4894">
        <v>-0.1182576</v>
      </c>
      <c r="U4894">
        <v>-0.77346800000000004</v>
      </c>
      <c r="V4894">
        <v>4.9141940000000002E-2</v>
      </c>
      <c r="W4894">
        <v>0.18983220000000001</v>
      </c>
      <c r="X4894">
        <v>0.98058590000000001</v>
      </c>
      <c r="Y4894">
        <v>0.23608779999999999</v>
      </c>
      <c r="Z4894">
        <v>-5.504414E-3</v>
      </c>
      <c r="AA4894">
        <v>0.97171609999999997</v>
      </c>
      <c r="AB4894">
        <v>36</v>
      </c>
      <c r="AC4894">
        <v>29.779</v>
      </c>
      <c r="AD4894">
        <v>-1.16917</v>
      </c>
      <c r="AE4894">
        <v>-7.6444369999999902</v>
      </c>
      <c r="AF4894">
        <v>7.2953061539047299</v>
      </c>
      <c r="AG4894">
        <v>-1.16917</v>
      </c>
      <c r="AH4894">
        <v>29.8207439266852</v>
      </c>
      <c r="AI4894">
        <v>92.1809724931407</v>
      </c>
      <c r="AJ4894">
        <v>76.253233092589596</v>
      </c>
      <c r="AK4894">
        <v>30.722389534491501</v>
      </c>
      <c r="AL4894">
        <v>79.057007707900297</v>
      </c>
      <c r="AM4894">
        <v>87.131029361109</v>
      </c>
      <c r="AN4894">
        <v>0.999999950851305</v>
      </c>
    </row>
    <row r="4895" spans="1:40" x14ac:dyDescent="0.25">
      <c r="A4895" t="str">
        <f>"20190303171113244"</f>
        <v>20190303171113244</v>
      </c>
      <c r="B4895" t="str">
        <f>"1551604273235971"</f>
        <v>1551604273235971</v>
      </c>
      <c r="C4895" t="s">
        <v>40</v>
      </c>
      <c r="D4895">
        <v>4.8296000000000001</v>
      </c>
      <c r="E4895">
        <v>0.57876340000000004</v>
      </c>
      <c r="F4895" t="s">
        <v>41</v>
      </c>
      <c r="G4895">
        <v>-305.63240000000002</v>
      </c>
      <c r="H4895">
        <v>-0.05</v>
      </c>
      <c r="I4895">
        <v>9.9441830000000007</v>
      </c>
      <c r="J4895">
        <v>-335.19110000000001</v>
      </c>
      <c r="K4895">
        <v>1.1191709999999999</v>
      </c>
      <c r="L4895">
        <v>17.551389999999898</v>
      </c>
      <c r="M4895">
        <v>0.99987000000000004</v>
      </c>
      <c r="N4895">
        <v>-1.073614E-2</v>
      </c>
      <c r="O4895">
        <v>-1.204186E-2</v>
      </c>
      <c r="P4895">
        <v>0.98193399999999997</v>
      </c>
      <c r="Q4895">
        <v>0.17932509999999999</v>
      </c>
      <c r="R4895">
        <v>-6.0401410000000003E-2</v>
      </c>
      <c r="S4895">
        <v>3.0298159999999998</v>
      </c>
      <c r="T4895">
        <v>-0.1192087</v>
      </c>
      <c r="U4895">
        <v>-0.77587890000000004</v>
      </c>
      <c r="V4895">
        <v>4.9273999999999998E-2</v>
      </c>
      <c r="W4895">
        <v>0.1896833</v>
      </c>
      <c r="X4895">
        <v>0.98060809999999998</v>
      </c>
      <c r="Y4895">
        <v>0.2361761</v>
      </c>
      <c r="Z4895">
        <v>-5.5206539999999998E-3</v>
      </c>
      <c r="AA4895">
        <v>0.97169459999999996</v>
      </c>
      <c r="AB4895">
        <v>36</v>
      </c>
      <c r="AC4895">
        <v>29.558699999999899</v>
      </c>
      <c r="AD4895">
        <v>-1.169171</v>
      </c>
      <c r="AE4895">
        <v>-7.6072069999999901</v>
      </c>
      <c r="AF4895">
        <v>7.2400694809633102</v>
      </c>
      <c r="AG4895">
        <v>-1.169171</v>
      </c>
      <c r="AH4895">
        <v>29.604726344880302</v>
      </c>
      <c r="AI4895">
        <v>92.1969136922648</v>
      </c>
      <c r="AJ4895">
        <v>76.257598264889495</v>
      </c>
      <c r="AK4895">
        <v>30.4995965362112</v>
      </c>
      <c r="AL4895">
        <v>79.065697065707099</v>
      </c>
      <c r="AM4895">
        <v>87.123397474032004</v>
      </c>
      <c r="AN4895">
        <v>0.99999996358024901</v>
      </c>
    </row>
    <row r="4896" spans="1:40" x14ac:dyDescent="0.25">
      <c r="A4896" t="str">
        <f>"20190303171113255"</f>
        <v>20190303171113255</v>
      </c>
      <c r="B4896" t="str">
        <f>"1551604273245731"</f>
        <v>1551604273245731</v>
      </c>
      <c r="C4896" t="s">
        <v>40</v>
      </c>
      <c r="D4896">
        <v>4.8494349999999997</v>
      </c>
      <c r="E4896">
        <v>0.57883169999999995</v>
      </c>
      <c r="F4896" t="s">
        <v>41</v>
      </c>
      <c r="G4896">
        <v>-305.58850000000001</v>
      </c>
      <c r="H4896">
        <v>-0.05</v>
      </c>
      <c r="I4896">
        <v>9.9398040000000005</v>
      </c>
      <c r="J4896">
        <v>-335.01740000000001</v>
      </c>
      <c r="K4896">
        <v>1.1191690000000001</v>
      </c>
      <c r="L4896">
        <v>17.548679999999901</v>
      </c>
      <c r="M4896">
        <v>0.99986050000000004</v>
      </c>
      <c r="N4896">
        <v>-1.073758E-2</v>
      </c>
      <c r="O4896">
        <v>-1.280481E-2</v>
      </c>
      <c r="P4896">
        <v>0.98195659999999896</v>
      </c>
      <c r="Q4896">
        <v>0.1791025</v>
      </c>
      <c r="R4896">
        <v>-6.0693669999999998E-2</v>
      </c>
      <c r="S4896">
        <v>3.0291440000000001</v>
      </c>
      <c r="T4896">
        <v>-0.11963749999999999</v>
      </c>
      <c r="U4896">
        <v>-0.77886959999999905</v>
      </c>
      <c r="V4896">
        <v>4.8815730000000002E-2</v>
      </c>
      <c r="W4896">
        <v>0.1894642</v>
      </c>
      <c r="X4896">
        <v>0.98067340000000003</v>
      </c>
      <c r="Y4896">
        <v>0.23638519999999999</v>
      </c>
      <c r="Z4896">
        <v>-5.5197889999999998E-3</v>
      </c>
      <c r="AA4896">
        <v>0.9716437</v>
      </c>
      <c r="AB4896">
        <v>36</v>
      </c>
      <c r="AC4896">
        <v>29.428899999999999</v>
      </c>
      <c r="AD4896">
        <v>-1.1691689999999999</v>
      </c>
      <c r="AE4896">
        <v>-7.6088759999999898</v>
      </c>
      <c r="AF4896">
        <v>7.2207161967938198</v>
      </c>
      <c r="AG4896">
        <v>-1.1691689999999999</v>
      </c>
      <c r="AH4896">
        <v>29.480307827922001</v>
      </c>
      <c r="AI4896">
        <v>92.205981449393605</v>
      </c>
      <c r="AJ4896">
        <v>76.237291548528205</v>
      </c>
      <c r="AK4896">
        <v>30.374236585867301</v>
      </c>
      <c r="AL4896">
        <v>79.0784826850538</v>
      </c>
      <c r="AM4896">
        <v>87.150296291325404</v>
      </c>
      <c r="AN4896">
        <v>0.99999998802231604</v>
      </c>
    </row>
    <row r="4897" spans="1:40" x14ac:dyDescent="0.25">
      <c r="A4897" t="str">
        <f>"20190303171113268"</f>
        <v>20190303171113268</v>
      </c>
      <c r="B4897" t="str">
        <f>"1551604273255491"</f>
        <v>1551604273255491</v>
      </c>
      <c r="C4897" t="s">
        <v>40</v>
      </c>
      <c r="D4897">
        <v>4.8541660000000002</v>
      </c>
      <c r="E4897">
        <v>0.57889330000000006</v>
      </c>
      <c r="F4897" t="s">
        <v>41</v>
      </c>
      <c r="G4897">
        <v>-305.55630000000002</v>
      </c>
      <c r="H4897">
        <v>-0.05</v>
      </c>
      <c r="I4897">
        <v>9.957001</v>
      </c>
      <c r="J4897">
        <v>-334.83159999999998</v>
      </c>
      <c r="K4897">
        <v>1.1191660000000001</v>
      </c>
      <c r="L4897">
        <v>17.545559999999998</v>
      </c>
      <c r="M4897">
        <v>0.99984960000000001</v>
      </c>
      <c r="N4897">
        <v>-1.07391E-2</v>
      </c>
      <c r="O4897">
        <v>-1.362068E-2</v>
      </c>
      <c r="P4897">
        <v>0.98191580000000001</v>
      </c>
      <c r="Q4897">
        <v>0.17909530000000001</v>
      </c>
      <c r="R4897">
        <v>-6.1368800000000001E-2</v>
      </c>
      <c r="S4897">
        <v>3.0288390000000001</v>
      </c>
      <c r="T4897">
        <v>-0.1202</v>
      </c>
      <c r="U4897">
        <v>-0.78048709999999999</v>
      </c>
      <c r="V4897">
        <v>4.8689999999999997E-2</v>
      </c>
      <c r="W4897">
        <v>0.18945899999999999</v>
      </c>
      <c r="X4897">
        <v>0.98068060000000001</v>
      </c>
      <c r="Y4897">
        <v>0.23610139999999999</v>
      </c>
      <c r="Z4897">
        <v>-5.5091599999999999E-3</v>
      </c>
      <c r="AA4897">
        <v>0.97171280000000004</v>
      </c>
      <c r="AB4897">
        <v>36</v>
      </c>
      <c r="AC4897">
        <v>29.275299999999898</v>
      </c>
      <c r="AD4897">
        <v>-1.1691659999999999</v>
      </c>
      <c r="AE4897">
        <v>-7.5885590000000001</v>
      </c>
      <c r="AF4897">
        <v>7.17835415768059</v>
      </c>
      <c r="AG4897">
        <v>-1.1691659999999999</v>
      </c>
      <c r="AH4897">
        <v>29.332113251305501</v>
      </c>
      <c r="AI4897">
        <v>92.217215721020594</v>
      </c>
      <c r="AJ4897">
        <v>76.248467177180103</v>
      </c>
      <c r="AK4897">
        <v>30.2203339712859</v>
      </c>
      <c r="AL4897">
        <v>79.078785521609703</v>
      </c>
      <c r="AM4897">
        <v>87.157644782499901</v>
      </c>
      <c r="AN4897">
        <v>0.99999993399867704</v>
      </c>
    </row>
    <row r="4898" spans="1:40" x14ac:dyDescent="0.25">
      <c r="A4898" t="str">
        <f>"20190303171113279"</f>
        <v>20190303171113279</v>
      </c>
      <c r="B4898" t="str">
        <f>"1551604273265251"</f>
        <v>1551604273265251</v>
      </c>
      <c r="C4898" t="s">
        <v>40</v>
      </c>
      <c r="D4898">
        <v>5.0632650000000003</v>
      </c>
      <c r="E4898">
        <v>0.57900090000000004</v>
      </c>
      <c r="F4898" t="s">
        <v>41</v>
      </c>
      <c r="G4898">
        <v>-305.37720000000002</v>
      </c>
      <c r="H4898">
        <v>-0.05</v>
      </c>
      <c r="I4898">
        <v>9.9276280000000003</v>
      </c>
      <c r="J4898">
        <v>-334.65370000000001</v>
      </c>
      <c r="K4898">
        <v>1.119165</v>
      </c>
      <c r="L4898">
        <v>17.54251</v>
      </c>
      <c r="M4898">
        <v>0.99983860000000002</v>
      </c>
      <c r="N4898">
        <v>-1.074055E-2</v>
      </c>
      <c r="O4898">
        <v>-1.4402460000000001E-2</v>
      </c>
      <c r="P4898">
        <v>0.98187150000000001</v>
      </c>
      <c r="Q4898">
        <v>0.179141299999999</v>
      </c>
      <c r="R4898">
        <v>-6.1942669999999998E-2</v>
      </c>
      <c r="S4898">
        <v>3.0282290000000001</v>
      </c>
      <c r="T4898">
        <v>-0.1202028</v>
      </c>
      <c r="U4898">
        <v>-0.78320310000000004</v>
      </c>
      <c r="V4898">
        <v>4.8496709999999998E-2</v>
      </c>
      <c r="W4898">
        <v>0.1895068</v>
      </c>
      <c r="X4898">
        <v>0.98068100000000002</v>
      </c>
      <c r="Y4898">
        <v>0.23620620000000001</v>
      </c>
      <c r="Z4898">
        <v>-5.4903199999999999E-3</v>
      </c>
      <c r="AA4898">
        <v>0.97168739999999998</v>
      </c>
      <c r="AB4898">
        <v>36</v>
      </c>
      <c r="AC4898">
        <v>29.276499999999999</v>
      </c>
      <c r="AD4898">
        <v>-1.169165</v>
      </c>
      <c r="AE4898">
        <v>-7.6148819999999997</v>
      </c>
      <c r="AF4898">
        <v>7.18168637512714</v>
      </c>
      <c r="AG4898">
        <v>-1.169165</v>
      </c>
      <c r="AH4898">
        <v>29.339316298520501</v>
      </c>
      <c r="AI4898">
        <v>92.216642671018803</v>
      </c>
      <c r="AJ4898">
        <v>76.245575496285795</v>
      </c>
      <c r="AK4898">
        <v>30.2281168261032</v>
      </c>
      <c r="AL4898">
        <v>79.075996882546505</v>
      </c>
      <c r="AM4898">
        <v>87.168911148978296</v>
      </c>
      <c r="AN4898">
        <v>0.99999999094403202</v>
      </c>
    </row>
    <row r="4899" spans="1:40" x14ac:dyDescent="0.25">
      <c r="A4899" t="str">
        <f>"20190303171113292"</f>
        <v>20190303171113292</v>
      </c>
      <c r="B4899" t="str">
        <f>"1551604273285278"</f>
        <v>1551604273285278</v>
      </c>
      <c r="C4899" t="s">
        <v>40</v>
      </c>
      <c r="D4899">
        <v>4.8628989999999996</v>
      </c>
      <c r="E4899">
        <v>0.58466390000000001</v>
      </c>
      <c r="F4899" t="s">
        <v>41</v>
      </c>
      <c r="G4899">
        <v>-305.24979999999999</v>
      </c>
      <c r="H4899">
        <v>-0.05</v>
      </c>
      <c r="I4899">
        <v>9.9101560000000006</v>
      </c>
      <c r="J4899">
        <v>-334.42860000000002</v>
      </c>
      <c r="K4899">
        <v>1.1191629999999999</v>
      </c>
      <c r="L4899">
        <v>17.538360000000001</v>
      </c>
      <c r="M4899">
        <v>0.99982389999999999</v>
      </c>
      <c r="N4899">
        <v>-1.0742410000000001E-2</v>
      </c>
      <c r="O4899">
        <v>-1.5390600000000001E-2</v>
      </c>
      <c r="P4899">
        <v>0.98184910000000003</v>
      </c>
      <c r="Q4899">
        <v>0.1790012</v>
      </c>
      <c r="R4899">
        <v>-6.2700409999999998E-2</v>
      </c>
      <c r="S4899">
        <v>3.027771</v>
      </c>
      <c r="T4899">
        <v>-0.1203914</v>
      </c>
      <c r="U4899">
        <v>-0.78591919999999904</v>
      </c>
      <c r="V4899">
        <v>4.8283649999999997E-2</v>
      </c>
      <c r="W4899">
        <v>0.1893696</v>
      </c>
      <c r="X4899">
        <v>0.98071799999999998</v>
      </c>
      <c r="Y4899">
        <v>0.23609820000000001</v>
      </c>
      <c r="Z4899">
        <v>-5.4663450000000001E-3</v>
      </c>
      <c r="AA4899">
        <v>0.97171379999999996</v>
      </c>
      <c r="AB4899">
        <v>36</v>
      </c>
      <c r="AC4899">
        <v>29.178799999999999</v>
      </c>
      <c r="AD4899">
        <v>-1.169163</v>
      </c>
      <c r="AE4899">
        <v>-7.6282039999999904</v>
      </c>
      <c r="AF4899">
        <v>7.1674239996042797</v>
      </c>
      <c r="AG4899">
        <v>-1.169163</v>
      </c>
      <c r="AH4899">
        <v>29.2487976693821</v>
      </c>
      <c r="AI4899">
        <v>92.223353493066</v>
      </c>
      <c r="AJ4899">
        <v>76.230985449175904</v>
      </c>
      <c r="AK4899">
        <v>30.1368723329931</v>
      </c>
      <c r="AL4899">
        <v>79.084002663785697</v>
      </c>
      <c r="AM4899">
        <v>87.181435004626906</v>
      </c>
      <c r="AN4899">
        <v>0.99999997589274003</v>
      </c>
    </row>
    <row r="4900" spans="1:40" x14ac:dyDescent="0.25">
      <c r="A4900" t="str">
        <f>"20190303171113304"</f>
        <v>20190303171113304</v>
      </c>
      <c r="B4900" t="str">
        <f>"1551604273296014"</f>
        <v>1551604273296014</v>
      </c>
      <c r="C4900" t="s">
        <v>40</v>
      </c>
      <c r="D4900">
        <v>4.8704090000000004</v>
      </c>
      <c r="E4900">
        <v>0.58454969999999995</v>
      </c>
      <c r="F4900" t="s">
        <v>41</v>
      </c>
      <c r="G4900">
        <v>-311.26280000000003</v>
      </c>
      <c r="H4900">
        <v>-0.05</v>
      </c>
      <c r="I4900">
        <v>11.17999</v>
      </c>
      <c r="J4900">
        <v>-334.2321</v>
      </c>
      <c r="K4900">
        <v>1.1191610000000001</v>
      </c>
      <c r="L4900">
        <v>17.534610000000001</v>
      </c>
      <c r="M4900">
        <v>0.99981019999999998</v>
      </c>
      <c r="N4900">
        <v>-1.074395E-2</v>
      </c>
      <c r="O4900">
        <v>-1.6253449999999999E-2</v>
      </c>
      <c r="P4900">
        <v>0.98178880000000002</v>
      </c>
      <c r="Q4900">
        <v>0.1789647</v>
      </c>
      <c r="R4900">
        <v>-6.3737970000000005E-2</v>
      </c>
      <c r="S4900">
        <v>3.0302730000000002</v>
      </c>
      <c r="T4900">
        <v>-0.15293599999999999</v>
      </c>
      <c r="U4900">
        <v>-0.83172610000000002</v>
      </c>
      <c r="V4900">
        <v>4.8474360000000001E-2</v>
      </c>
      <c r="W4900">
        <v>0.18933410000000001</v>
      </c>
      <c r="X4900">
        <v>0.98071549999999996</v>
      </c>
      <c r="Y4900">
        <v>0.24862519999999999</v>
      </c>
      <c r="Z4900">
        <v>-6.8842529999999999E-3</v>
      </c>
      <c r="AA4900">
        <v>0.96857530000000003</v>
      </c>
      <c r="AB4900">
        <v>36</v>
      </c>
      <c r="AC4900">
        <v>22.969299999999901</v>
      </c>
      <c r="AD4900">
        <v>-1.1691609999999999</v>
      </c>
      <c r="AE4900">
        <v>-6.3546199999999997</v>
      </c>
      <c r="AF4900">
        <v>5.9660699881424799</v>
      </c>
      <c r="AG4900">
        <v>-1.1691609999999999</v>
      </c>
      <c r="AH4900">
        <v>23.014167587009201</v>
      </c>
      <c r="AI4900">
        <v>92.815324906284204</v>
      </c>
      <c r="AJ4900">
        <v>75.466865408901796</v>
      </c>
      <c r="AK4900">
        <v>23.803630779153799</v>
      </c>
      <c r="AL4900">
        <v>79.086074719301394</v>
      </c>
      <c r="AM4900">
        <v>87.170313137645806</v>
      </c>
      <c r="AN4900">
        <v>1.00000002847023</v>
      </c>
    </row>
    <row r="4901" spans="1:40" x14ac:dyDescent="0.25">
      <c r="A4901" t="str">
        <f>"20190303171113317"</f>
        <v>20190303171113317</v>
      </c>
      <c r="B4901" t="str">
        <f>"1551604273305774"</f>
        <v>1551604273305774</v>
      </c>
      <c r="C4901" t="s">
        <v>40</v>
      </c>
      <c r="D4901">
        <v>4.8739129999999999</v>
      </c>
      <c r="E4901">
        <v>0.58448990000000001</v>
      </c>
      <c r="F4901" t="s">
        <v>41</v>
      </c>
      <c r="G4901">
        <v>-311.09949999999998</v>
      </c>
      <c r="H4901">
        <v>-0.05</v>
      </c>
      <c r="I4901">
        <v>11.167949999999999</v>
      </c>
      <c r="J4901">
        <v>-334.03559999999999</v>
      </c>
      <c r="K4901">
        <v>1.119154</v>
      </c>
      <c r="L4901">
        <v>17.5307</v>
      </c>
      <c r="M4901">
        <v>0.99979580000000001</v>
      </c>
      <c r="N4901">
        <v>-1.074544E-2</v>
      </c>
      <c r="O4901">
        <v>-1.711594E-2</v>
      </c>
      <c r="P4901">
        <v>0.98173969999999999</v>
      </c>
      <c r="Q4901">
        <v>0.17890029999999901</v>
      </c>
      <c r="R4901">
        <v>-6.4668279999999995E-2</v>
      </c>
      <c r="S4901">
        <v>3.0294189999999999</v>
      </c>
      <c r="T4901">
        <v>-0.1531122</v>
      </c>
      <c r="U4901">
        <v>-0.83377080000000003</v>
      </c>
      <c r="V4901">
        <v>4.8557910000000003E-2</v>
      </c>
      <c r="W4901">
        <v>0.18927089999999999</v>
      </c>
      <c r="X4901">
        <v>0.98072360000000003</v>
      </c>
      <c r="Y4901">
        <v>0.2484672</v>
      </c>
      <c r="Z4901">
        <v>-6.8533319999999898E-3</v>
      </c>
      <c r="AA4901">
        <v>0.96861609999999998</v>
      </c>
      <c r="AB4901">
        <v>36</v>
      </c>
      <c r="AC4901">
        <v>22.9361</v>
      </c>
      <c r="AD4901">
        <v>-1.169154</v>
      </c>
      <c r="AE4901">
        <v>-6.3627500000000001</v>
      </c>
      <c r="AF4901">
        <v>5.9548548989110799</v>
      </c>
      <c r="AG4901">
        <v>-1.169154</v>
      </c>
      <c r="AH4901">
        <v>22.9861913763045</v>
      </c>
      <c r="AI4901">
        <v>92.818846847619</v>
      </c>
      <c r="AJ4901">
        <v>75.476121263901405</v>
      </c>
      <c r="AK4901">
        <v>23.7737715125492</v>
      </c>
      <c r="AL4901">
        <v>79.089762860988699</v>
      </c>
      <c r="AM4901">
        <v>87.165467233454706</v>
      </c>
      <c r="AN4901">
        <v>1.00000006190366</v>
      </c>
    </row>
    <row r="4902" spans="1:40" x14ac:dyDescent="0.25">
      <c r="A4902" t="str">
        <f>"20190303171113335"</f>
        <v>20190303171113335</v>
      </c>
      <c r="B4902" t="str">
        <f>"1551604273325293"</f>
        <v>1551604273325293</v>
      </c>
      <c r="C4902" t="s">
        <v>40</v>
      </c>
      <c r="D4902">
        <v>4.8693439999999999</v>
      </c>
      <c r="E4902">
        <v>0.58398879999999997</v>
      </c>
      <c r="F4902" t="s">
        <v>41</v>
      </c>
      <c r="G4902">
        <v>-310.61380000000003</v>
      </c>
      <c r="H4902">
        <v>-0.05</v>
      </c>
      <c r="I4902">
        <v>11.063689999999999</v>
      </c>
      <c r="J4902">
        <v>-333.75069999999999</v>
      </c>
      <c r="K4902">
        <v>1.119151</v>
      </c>
      <c r="L4902">
        <v>17.52469</v>
      </c>
      <c r="M4902">
        <v>0.99977360000000004</v>
      </c>
      <c r="N4902">
        <v>-1.07475E-2</v>
      </c>
      <c r="O4902">
        <v>-1.8366449999999999E-2</v>
      </c>
      <c r="P4902">
        <v>0.98162169999999904</v>
      </c>
      <c r="Q4902">
        <v>0.1790776</v>
      </c>
      <c r="R4902">
        <v>-6.5957660000000001E-2</v>
      </c>
      <c r="S4902">
        <v>3.0281980000000002</v>
      </c>
      <c r="T4902">
        <v>-0.15115979999999901</v>
      </c>
      <c r="U4902">
        <v>-0.83612059999999999</v>
      </c>
      <c r="V4902">
        <v>4.862139E-2</v>
      </c>
      <c r="W4902">
        <v>0.1894488</v>
      </c>
      <c r="X4902">
        <v>0.98068610000000001</v>
      </c>
      <c r="Y4902">
        <v>0.24806339999999999</v>
      </c>
      <c r="Z4902">
        <v>-6.7275310000000001E-3</v>
      </c>
      <c r="AA4902">
        <v>0.96872040000000004</v>
      </c>
      <c r="AB4902">
        <v>36</v>
      </c>
      <c r="AC4902">
        <v>23.136899999999901</v>
      </c>
      <c r="AD4902">
        <v>-1.1691510000000001</v>
      </c>
      <c r="AE4902">
        <v>-6.4610000000000003</v>
      </c>
      <c r="AF4902">
        <v>6.0206813003136102</v>
      </c>
      <c r="AG4902">
        <v>-1.1691510000000001</v>
      </c>
      <c r="AH4902">
        <v>23.196722057751899</v>
      </c>
      <c r="AI4902">
        <v>92.792967221755205</v>
      </c>
      <c r="AJ4902">
        <v>75.450001558885305</v>
      </c>
      <c r="AK4902">
        <v>23.993820696282299</v>
      </c>
      <c r="AL4902">
        <v>79.079382078253204</v>
      </c>
      <c r="AM4902">
        <v>87.161659337238802</v>
      </c>
      <c r="AN4902">
        <v>1.00000005706008</v>
      </c>
    </row>
    <row r="4903" spans="1:40" x14ac:dyDescent="0.25">
      <c r="A4903" t="str">
        <f>"20190303171113345"</f>
        <v>20190303171113345</v>
      </c>
      <c r="B4903" t="str">
        <f>"1551604273336031"</f>
        <v>1551604273336031</v>
      </c>
      <c r="C4903" t="s">
        <v>40</v>
      </c>
      <c r="D4903">
        <v>4.8989940000000001</v>
      </c>
      <c r="E4903">
        <v>0.58390350000000002</v>
      </c>
      <c r="F4903" t="s">
        <v>41</v>
      </c>
      <c r="G4903">
        <v>-308.82940000000002</v>
      </c>
      <c r="H4903">
        <v>-0.05</v>
      </c>
      <c r="I4903">
        <v>10.62921</v>
      </c>
      <c r="J4903">
        <v>-333.5761</v>
      </c>
      <c r="K4903">
        <v>1.1191519999999999</v>
      </c>
      <c r="L4903">
        <v>17.520810000000001</v>
      </c>
      <c r="M4903">
        <v>0.99975930000000002</v>
      </c>
      <c r="N4903">
        <v>-1.0748799999999999E-2</v>
      </c>
      <c r="O4903">
        <v>-1.9132980000000001E-2</v>
      </c>
      <c r="P4903">
        <v>0.98159629999999998</v>
      </c>
      <c r="Q4903">
        <v>0.1790059</v>
      </c>
      <c r="R4903">
        <v>-6.6526699999999994E-2</v>
      </c>
      <c r="S4903">
        <v>3.0258479999999999</v>
      </c>
      <c r="T4903">
        <v>-0.14195360000000001</v>
      </c>
      <c r="U4903">
        <v>-0.83721919999999905</v>
      </c>
      <c r="V4903">
        <v>4.8437590000000003E-2</v>
      </c>
      <c r="W4903">
        <v>0.18937950000000001</v>
      </c>
      <c r="X4903">
        <v>0.98070849999999998</v>
      </c>
      <c r="Y4903">
        <v>0.2478766</v>
      </c>
      <c r="Z4903">
        <v>-6.3838159999999996E-3</v>
      </c>
      <c r="AA4903">
        <v>0.96877060000000004</v>
      </c>
      <c r="AB4903">
        <v>36</v>
      </c>
      <c r="AC4903">
        <v>24.746699999999901</v>
      </c>
      <c r="AD4903">
        <v>-1.169152</v>
      </c>
      <c r="AE4903">
        <v>-6.8916000000000004</v>
      </c>
      <c r="AF4903">
        <v>6.4035684425508803</v>
      </c>
      <c r="AG4903">
        <v>-1.169152</v>
      </c>
      <c r="AH4903">
        <v>24.8226159142929</v>
      </c>
      <c r="AI4903">
        <v>92.611286843998798</v>
      </c>
      <c r="AJ4903">
        <v>75.534613988632699</v>
      </c>
      <c r="AK4903">
        <v>25.661934183261501</v>
      </c>
      <c r="AL4903">
        <v>79.083425011826193</v>
      </c>
      <c r="AM4903">
        <v>87.172435949420404</v>
      </c>
      <c r="AN4903">
        <v>0.999999978558753</v>
      </c>
    </row>
    <row r="4904" spans="1:40" x14ac:dyDescent="0.25">
      <c r="A4904" t="str">
        <f>"20190303171113356"</f>
        <v>20190303171113356</v>
      </c>
      <c r="B4904" t="str">
        <f>"1551604273345791"</f>
        <v>1551604273345791</v>
      </c>
      <c r="C4904" t="s">
        <v>40</v>
      </c>
      <c r="D4904">
        <v>4.8858069999999998</v>
      </c>
      <c r="E4904">
        <v>0.58377029999999996</v>
      </c>
      <c r="F4904" t="s">
        <v>41</v>
      </c>
      <c r="G4904">
        <v>-308.26159999999999</v>
      </c>
      <c r="H4904">
        <v>-0.05</v>
      </c>
      <c r="I4904">
        <v>10.50146</v>
      </c>
      <c r="J4904">
        <v>-333.39830000000001</v>
      </c>
      <c r="K4904">
        <v>1.1191500000000001</v>
      </c>
      <c r="L4904">
        <v>17.516779999999901</v>
      </c>
      <c r="M4904">
        <v>0.99974390000000002</v>
      </c>
      <c r="N4904">
        <v>-1.075013E-2</v>
      </c>
      <c r="O4904">
        <v>-1.9912969999999999E-2</v>
      </c>
      <c r="P4904">
        <v>0.98161050000000005</v>
      </c>
      <c r="Q4904">
        <v>0.1787646</v>
      </c>
      <c r="R4904">
        <v>-6.6963960000000003E-2</v>
      </c>
      <c r="S4904">
        <v>3.0248409999999999</v>
      </c>
      <c r="T4904">
        <v>-0.13970239999999901</v>
      </c>
      <c r="U4904">
        <v>-0.83874509999999902</v>
      </c>
      <c r="V4904">
        <v>4.8107410000000003E-2</v>
      </c>
      <c r="W4904">
        <v>0.18914159999999999</v>
      </c>
      <c r="X4904">
        <v>0.9807707</v>
      </c>
      <c r="Y4904">
        <v>0.24766659999999999</v>
      </c>
      <c r="Z4904">
        <v>-6.2759010000000004E-3</v>
      </c>
      <c r="AA4904">
        <v>0.96882500000000005</v>
      </c>
      <c r="AB4904">
        <v>36</v>
      </c>
      <c r="AC4904">
        <v>25.136700000000001</v>
      </c>
      <c r="AD4904">
        <v>-1.1691499999999999</v>
      </c>
      <c r="AE4904">
        <v>-7.0153199999999902</v>
      </c>
      <c r="AF4904">
        <v>6.5003073445895199</v>
      </c>
      <c r="AG4904">
        <v>-1.1691499999999999</v>
      </c>
      <c r="AH4904">
        <v>25.220800757003801</v>
      </c>
      <c r="AI4904">
        <v>92.570258495476594</v>
      </c>
      <c r="AJ4904">
        <v>75.547356669460498</v>
      </c>
      <c r="AK4904">
        <v>26.071242742169201</v>
      </c>
      <c r="AL4904">
        <v>79.097306983415706</v>
      </c>
      <c r="AM4904">
        <v>87.191857197832206</v>
      </c>
      <c r="AN4904">
        <v>1.0000000168629699</v>
      </c>
    </row>
    <row r="4905" spans="1:40" x14ac:dyDescent="0.25">
      <c r="A4905" t="str">
        <f>"20190303171113367"</f>
        <v>20190303171113367</v>
      </c>
      <c r="B4905" t="str">
        <f>"1551604273355550"</f>
        <v>1551604273355550</v>
      </c>
      <c r="C4905" t="s">
        <v>40</v>
      </c>
      <c r="D4905">
        <v>4.8852219999999997</v>
      </c>
      <c r="E4905">
        <v>0.58360000000000001</v>
      </c>
      <c r="F4905" t="s">
        <v>41</v>
      </c>
      <c r="G4905">
        <v>-307.68889999999999</v>
      </c>
      <c r="H4905">
        <v>-0.05</v>
      </c>
      <c r="I4905">
        <v>10.380039999999999</v>
      </c>
      <c r="J4905">
        <v>-333.22840000000002</v>
      </c>
      <c r="K4905">
        <v>1.119148</v>
      </c>
      <c r="L4905">
        <v>17.512699999999999</v>
      </c>
      <c r="M4905">
        <v>0.99972879999999997</v>
      </c>
      <c r="N4905">
        <v>-1.0751210000000001E-2</v>
      </c>
      <c r="O4905">
        <v>-2.065815E-2</v>
      </c>
      <c r="P4905">
        <v>0.9815642</v>
      </c>
      <c r="Q4905">
        <v>0.17883949999999901</v>
      </c>
      <c r="R4905">
        <v>-6.7440890000000003E-2</v>
      </c>
      <c r="S4905">
        <v>3.0240170000000002</v>
      </c>
      <c r="T4905">
        <v>-0.13751920000000001</v>
      </c>
      <c r="U4905">
        <v>-0.83944699999999906</v>
      </c>
      <c r="V4905">
        <v>4.7853409999999999E-2</v>
      </c>
      <c r="W4905">
        <v>0.18921789999999999</v>
      </c>
      <c r="X4905">
        <v>0.98076839999999998</v>
      </c>
      <c r="Y4905">
        <v>0.24723020000000001</v>
      </c>
      <c r="Z4905">
        <v>-6.1661950000000002E-3</v>
      </c>
      <c r="AA4905">
        <v>0.96893720000000005</v>
      </c>
      <c r="AB4905">
        <v>36</v>
      </c>
      <c r="AC4905">
        <v>25.5395</v>
      </c>
      <c r="AD4905">
        <v>-1.1691479999999901</v>
      </c>
      <c r="AE4905">
        <v>-7.1326599999999996</v>
      </c>
      <c r="AF4905">
        <v>6.59069606267329</v>
      </c>
      <c r="AG4905">
        <v>-1.1691479999999901</v>
      </c>
      <c r="AH4905">
        <v>25.6315774278318</v>
      </c>
      <c r="AI4905">
        <v>92.529485029915804</v>
      </c>
      <c r="AJ4905">
        <v>75.579816031504606</v>
      </c>
      <c r="AK4905">
        <v>26.4911672652485</v>
      </c>
      <c r="AL4905">
        <v>79.092854829791506</v>
      </c>
      <c r="AM4905">
        <v>87.206653690925407</v>
      </c>
      <c r="AN4905">
        <v>1.0000000084837899</v>
      </c>
    </row>
    <row r="4906" spans="1:40" x14ac:dyDescent="0.25">
      <c r="A4906" t="str">
        <f>"20190303171113378"</f>
        <v>20190303171113378</v>
      </c>
      <c r="B4906" t="str">
        <f>"1551604273365310"</f>
        <v>1551604273365310</v>
      </c>
      <c r="C4906" t="s">
        <v>40</v>
      </c>
      <c r="D4906">
        <v>4.8801370000000004</v>
      </c>
      <c r="E4906">
        <v>0.5835555</v>
      </c>
      <c r="F4906" t="s">
        <v>41</v>
      </c>
      <c r="G4906">
        <v>-307.17439999999999</v>
      </c>
      <c r="H4906">
        <v>-0.05</v>
      </c>
      <c r="I4906">
        <v>10.27524</v>
      </c>
      <c r="J4906">
        <v>-333.04680000000002</v>
      </c>
      <c r="K4906">
        <v>1.1191439999999999</v>
      </c>
      <c r="L4906">
        <v>17.508299999999998</v>
      </c>
      <c r="M4906">
        <v>0.99971200000000005</v>
      </c>
      <c r="N4906">
        <v>-1.0752350000000001E-2</v>
      </c>
      <c r="O4906">
        <v>-2.1454709999999998E-2</v>
      </c>
      <c r="P4906">
        <v>0.98150539999999997</v>
      </c>
      <c r="Q4906">
        <v>0.17889059999999901</v>
      </c>
      <c r="R4906">
        <v>-6.8156759999999997E-2</v>
      </c>
      <c r="S4906">
        <v>3.0233460000000001</v>
      </c>
      <c r="T4906">
        <v>-0.1356697</v>
      </c>
      <c r="U4906">
        <v>-0.83984380000000003</v>
      </c>
      <c r="V4906">
        <v>4.778785E-2</v>
      </c>
      <c r="W4906">
        <v>0.18927079999999999</v>
      </c>
      <c r="X4906">
        <v>0.98076129999999995</v>
      </c>
      <c r="Y4906">
        <v>0.24663940000000001</v>
      </c>
      <c r="Z4906">
        <v>-6.062713E-3</v>
      </c>
      <c r="AA4906">
        <v>0.96908839999999996</v>
      </c>
      <c r="AB4906">
        <v>36</v>
      </c>
      <c r="AC4906">
        <v>25.872399999999999</v>
      </c>
      <c r="AD4906">
        <v>-1.169144</v>
      </c>
      <c r="AE4906">
        <v>-7.2330599999999903</v>
      </c>
      <c r="AF4906">
        <v>6.6636570036723004</v>
      </c>
      <c r="AG4906">
        <v>-1.169144</v>
      </c>
      <c r="AH4906">
        <v>25.972444356047099</v>
      </c>
      <c r="AI4906">
        <v>92.496661093236199</v>
      </c>
      <c r="AJ4906">
        <v>75.610210316018097</v>
      </c>
      <c r="AK4906">
        <v>26.839133521469901</v>
      </c>
      <c r="AL4906">
        <v>79.089767139436304</v>
      </c>
      <c r="AM4906">
        <v>87.210454412719798</v>
      </c>
      <c r="AN4906">
        <v>0.99999992095897305</v>
      </c>
    </row>
    <row r="4907" spans="1:40" x14ac:dyDescent="0.25">
      <c r="A4907" t="str">
        <f>"20190303171113390"</f>
        <v>20190303171113390</v>
      </c>
      <c r="B4907" t="str">
        <f>"1551604273385806"</f>
        <v>1551604273385806</v>
      </c>
      <c r="C4907" t="s">
        <v>40</v>
      </c>
      <c r="D4907">
        <v>4.8881730000000001</v>
      </c>
      <c r="E4907">
        <v>0.58337439999999996</v>
      </c>
      <c r="F4907" t="s">
        <v>41</v>
      </c>
      <c r="G4907">
        <v>-306.77539999999999</v>
      </c>
      <c r="H4907">
        <v>-0.05</v>
      </c>
      <c r="I4907">
        <v>10.190950000000001</v>
      </c>
      <c r="J4907">
        <v>-332.85180000000003</v>
      </c>
      <c r="K4907">
        <v>1.1191420000000001</v>
      </c>
      <c r="L4907">
        <v>17.503360000000001</v>
      </c>
      <c r="M4907">
        <v>0.99969330000000001</v>
      </c>
      <c r="N4907">
        <v>-1.0753560000000001E-2</v>
      </c>
      <c r="O4907">
        <v>-2.2309559999999999E-2</v>
      </c>
      <c r="P4907">
        <v>0.98141049999999996</v>
      </c>
      <c r="Q4907">
        <v>0.1791336</v>
      </c>
      <c r="R4907">
        <v>-6.8882899999999997E-2</v>
      </c>
      <c r="S4907">
        <v>3.0226139999999999</v>
      </c>
      <c r="T4907">
        <v>-0.1345142</v>
      </c>
      <c r="U4907">
        <v>-0.84188839999999998</v>
      </c>
      <c r="V4907">
        <v>4.7676839999999998E-2</v>
      </c>
      <c r="W4907">
        <v>0.1895143</v>
      </c>
      <c r="X4907">
        <v>0.98071969999999997</v>
      </c>
      <c r="Y4907">
        <v>0.2464845</v>
      </c>
      <c r="Z4907">
        <v>-5.9930199999999999E-3</v>
      </c>
      <c r="AA4907">
        <v>0.9691282</v>
      </c>
      <c r="AB4907">
        <v>36</v>
      </c>
      <c r="AC4907">
        <v>26.0764</v>
      </c>
      <c r="AD4907">
        <v>-1.1691419999999999</v>
      </c>
      <c r="AE4907">
        <v>-7.3124099999999999</v>
      </c>
      <c r="AF4907">
        <v>6.7162863764537599</v>
      </c>
      <c r="AG4907">
        <v>-1.1691419999999999</v>
      </c>
      <c r="AH4907">
        <v>26.184256940463499</v>
      </c>
      <c r="AI4907">
        <v>92.476524826738</v>
      </c>
      <c r="AJ4907">
        <v>75.613730549547</v>
      </c>
      <c r="AK4907">
        <v>27.057174782872501</v>
      </c>
      <c r="AL4907">
        <v>79.075558675264602</v>
      </c>
      <c r="AM4907">
        <v>87.216806392304704</v>
      </c>
      <c r="AN4907">
        <v>0.99999994047248097</v>
      </c>
    </row>
    <row r="4908" spans="1:40" x14ac:dyDescent="0.25">
      <c r="A4908" t="str">
        <f>"20190303171113402"</f>
        <v>20190303171113402</v>
      </c>
      <c r="B4908" t="str">
        <f>"1551604273395566"</f>
        <v>1551604273395566</v>
      </c>
      <c r="C4908" t="s">
        <v>40</v>
      </c>
      <c r="D4908">
        <v>4.8976989999999896</v>
      </c>
      <c r="E4908">
        <v>0.58342669999999996</v>
      </c>
      <c r="F4908" t="s">
        <v>41</v>
      </c>
      <c r="G4908">
        <v>-306.42189999999999</v>
      </c>
      <c r="H4908">
        <v>-0.05</v>
      </c>
      <c r="I4908">
        <v>10.1342</v>
      </c>
      <c r="J4908">
        <v>-332.66730000000001</v>
      </c>
      <c r="K4908">
        <v>1.1191420000000001</v>
      </c>
      <c r="L4908">
        <v>17.498570000000001</v>
      </c>
      <c r="M4908">
        <v>0.99967499999999998</v>
      </c>
      <c r="N4908">
        <v>-1.0754700000000001E-2</v>
      </c>
      <c r="O4908">
        <v>-2.3118280000000001E-2</v>
      </c>
      <c r="P4908">
        <v>0.98135700000000003</v>
      </c>
      <c r="Q4908">
        <v>0.1790815</v>
      </c>
      <c r="R4908">
        <v>-6.9774849999999999E-2</v>
      </c>
      <c r="S4908">
        <v>3.0220950000000002</v>
      </c>
      <c r="T4908">
        <v>-0.13368429999999901</v>
      </c>
      <c r="U4908">
        <v>-0.84262079999999995</v>
      </c>
      <c r="V4908">
        <v>4.777493E-2</v>
      </c>
      <c r="W4908">
        <v>0.1894633</v>
      </c>
      <c r="X4908">
        <v>0.98072490000000001</v>
      </c>
      <c r="Y4908">
        <v>0.2459654</v>
      </c>
      <c r="Z4908">
        <v>-5.9260569999999898E-3</v>
      </c>
      <c r="AA4908">
        <v>0.96926049999999997</v>
      </c>
      <c r="AB4908">
        <v>36</v>
      </c>
      <c r="AC4908">
        <v>26.2454</v>
      </c>
      <c r="AD4908">
        <v>-1.1691419999999999</v>
      </c>
      <c r="AE4908">
        <v>-7.3643700000000001</v>
      </c>
      <c r="AF4908">
        <v>6.7432134825904999</v>
      </c>
      <c r="AG4908">
        <v>-1.1691419999999999</v>
      </c>
      <c r="AH4908">
        <v>26.3601551120579</v>
      </c>
      <c r="AI4908">
        <v>92.460427258006902</v>
      </c>
      <c r="AJ4908">
        <v>75.650835265860096</v>
      </c>
      <c r="AK4908">
        <v>27.234088907464901</v>
      </c>
      <c r="AL4908">
        <v>79.078535973151602</v>
      </c>
      <c r="AM4908">
        <v>87.211104064235201</v>
      </c>
      <c r="AN4908">
        <v>1.0000000577317001</v>
      </c>
    </row>
    <row r="4909" spans="1:40" x14ac:dyDescent="0.25">
      <c r="A4909" t="str">
        <f>"20190303171113413"</f>
        <v>20190303171113413</v>
      </c>
      <c r="B4909" t="str">
        <f>"1551604273405326"</f>
        <v>1551604273405326</v>
      </c>
      <c r="C4909" t="s">
        <v>40</v>
      </c>
      <c r="D4909">
        <v>4.888706</v>
      </c>
      <c r="E4909">
        <v>0.5834762</v>
      </c>
      <c r="F4909" t="s">
        <v>41</v>
      </c>
      <c r="G4909">
        <v>-306.17230000000001</v>
      </c>
      <c r="H4909">
        <v>-0.05</v>
      </c>
      <c r="I4909">
        <v>10.08089</v>
      </c>
      <c r="J4909">
        <v>-332.4828</v>
      </c>
      <c r="K4909">
        <v>1.1191420000000001</v>
      </c>
      <c r="L4909">
        <v>17.493649999999999</v>
      </c>
      <c r="M4909">
        <v>0.99965579999999998</v>
      </c>
      <c r="N4909">
        <v>-1.0755839999999999E-2</v>
      </c>
      <c r="O4909">
        <v>-2.3926880000000001E-2</v>
      </c>
      <c r="P4909">
        <v>0.98128599999999999</v>
      </c>
      <c r="Q4909">
        <v>0.17934729999999999</v>
      </c>
      <c r="R4909">
        <v>-7.008723E-2</v>
      </c>
      <c r="S4909">
        <v>3.0211790000000001</v>
      </c>
      <c r="T4909">
        <v>-0.13331519999999999</v>
      </c>
      <c r="U4909">
        <v>-0.84582520000000005</v>
      </c>
      <c r="V4909">
        <v>4.7295539999999997E-2</v>
      </c>
      <c r="W4909">
        <v>0.1897315</v>
      </c>
      <c r="X4909">
        <v>0.98069620000000002</v>
      </c>
      <c r="Y4909">
        <v>0.2462123</v>
      </c>
      <c r="Z4909">
        <v>-5.8954050000000003E-3</v>
      </c>
      <c r="AA4909">
        <v>0.969198</v>
      </c>
      <c r="AB4909">
        <v>36</v>
      </c>
      <c r="AC4909">
        <v>26.310499999999902</v>
      </c>
      <c r="AD4909">
        <v>-1.1691419999999999</v>
      </c>
      <c r="AE4909">
        <v>-7.4127599999999898</v>
      </c>
      <c r="AF4909">
        <v>6.7686904690819603</v>
      </c>
      <c r="AG4909">
        <v>-1.1691419999999999</v>
      </c>
      <c r="AH4909">
        <v>26.431987208514698</v>
      </c>
      <c r="AI4909">
        <v>92.453590774642805</v>
      </c>
      <c r="AJ4909">
        <v>75.636387864826901</v>
      </c>
      <c r="AK4909">
        <v>27.309925145878498</v>
      </c>
      <c r="AL4909">
        <v>79.062884440890798</v>
      </c>
      <c r="AM4909">
        <v>87.238964606266293</v>
      </c>
      <c r="AN4909">
        <v>0.99999997344529001</v>
      </c>
    </row>
    <row r="4910" spans="1:40" x14ac:dyDescent="0.25">
      <c r="A4910" t="str">
        <f>"20190303171113423"</f>
        <v>20190303171113423</v>
      </c>
      <c r="B4910" t="str">
        <f>"1551604273416062"</f>
        <v>1551604273416062</v>
      </c>
      <c r="C4910" t="s">
        <v>40</v>
      </c>
      <c r="D4910">
        <v>4.8644049999999996</v>
      </c>
      <c r="E4910">
        <v>0.58347360000000004</v>
      </c>
      <c r="F4910" t="s">
        <v>41</v>
      </c>
      <c r="G4910">
        <v>-305.73230000000001</v>
      </c>
      <c r="H4910">
        <v>-0.05</v>
      </c>
      <c r="I4910">
        <v>9.9891970000000008</v>
      </c>
      <c r="J4910">
        <v>-332.31729999999999</v>
      </c>
      <c r="K4910">
        <v>1.1191420000000001</v>
      </c>
      <c r="L4910">
        <v>17.489039999999999</v>
      </c>
      <c r="M4910">
        <v>0.99963820000000003</v>
      </c>
      <c r="N4910">
        <v>-1.075683E-2</v>
      </c>
      <c r="O4910">
        <v>-2.465239E-2</v>
      </c>
      <c r="P4910">
        <v>0.98126869999999999</v>
      </c>
      <c r="Q4910">
        <v>0.17924200000000001</v>
      </c>
      <c r="R4910">
        <v>-7.05982E-2</v>
      </c>
      <c r="S4910">
        <v>3.020813</v>
      </c>
      <c r="T4910">
        <v>-0.1320257</v>
      </c>
      <c r="U4910">
        <v>-0.84744259999999905</v>
      </c>
      <c r="V4910">
        <v>4.7093589999999998E-2</v>
      </c>
      <c r="W4910">
        <v>0.18962760000000001</v>
      </c>
      <c r="X4910">
        <v>0.98072610000000005</v>
      </c>
      <c r="Y4910">
        <v>0.24602570000000001</v>
      </c>
      <c r="Z4910">
        <v>-5.8259409999999899E-3</v>
      </c>
      <c r="AA4910">
        <v>0.96924580000000005</v>
      </c>
      <c r="AB4910">
        <v>36</v>
      </c>
      <c r="AC4910">
        <v>26.584999999999901</v>
      </c>
      <c r="AD4910">
        <v>-1.1691419999999999</v>
      </c>
      <c r="AE4910">
        <v>-7.4998429999999896</v>
      </c>
      <c r="AF4910">
        <v>6.8299062699253303</v>
      </c>
      <c r="AG4910">
        <v>-1.1691419999999999</v>
      </c>
      <c r="AH4910">
        <v>26.713962509979101</v>
      </c>
      <c r="AI4910">
        <v>92.427963036686606</v>
      </c>
      <c r="AJ4910">
        <v>75.658515296248495</v>
      </c>
      <c r="AK4910">
        <v>27.598012712090298</v>
      </c>
      <c r="AL4910">
        <v>79.068948478098903</v>
      </c>
      <c r="AM4910">
        <v>87.250819676382804</v>
      </c>
      <c r="AN4910">
        <v>1.00000005806102</v>
      </c>
    </row>
    <row r="4911" spans="1:40" x14ac:dyDescent="0.25">
      <c r="A4911" t="str">
        <f>"20190303171113435"</f>
        <v>20190303171113435</v>
      </c>
      <c r="B4911" t="str">
        <f>"1551604273425822"</f>
        <v>1551604273425822</v>
      </c>
      <c r="C4911" t="s">
        <v>40</v>
      </c>
      <c r="D4911">
        <v>4.9021179999999998</v>
      </c>
      <c r="E4911">
        <v>0.58362360000000002</v>
      </c>
      <c r="F4911" t="s">
        <v>41</v>
      </c>
      <c r="G4911">
        <v>-305.42669999999998</v>
      </c>
      <c r="H4911">
        <v>-0.05</v>
      </c>
      <c r="I4911">
        <v>9.9285739999999993</v>
      </c>
      <c r="J4911">
        <v>-332.13119999999998</v>
      </c>
      <c r="K4911">
        <v>1.1191420000000001</v>
      </c>
      <c r="L4911">
        <v>17.483799999999999</v>
      </c>
      <c r="M4911">
        <v>0.9996178</v>
      </c>
      <c r="N4911">
        <v>-1.0757930000000001E-2</v>
      </c>
      <c r="O4911">
        <v>-2.5467900000000002E-2</v>
      </c>
      <c r="P4911">
        <v>0.9813153</v>
      </c>
      <c r="Q4911">
        <v>0.17888370000000001</v>
      </c>
      <c r="R4911">
        <v>-7.0861439999999998E-2</v>
      </c>
      <c r="S4911">
        <v>3.020203</v>
      </c>
      <c r="T4911">
        <v>-0.13131180000000001</v>
      </c>
      <c r="U4911">
        <v>-0.84915160000000001</v>
      </c>
      <c r="V4911">
        <v>4.6552830000000003E-2</v>
      </c>
      <c r="W4911">
        <v>0.18927369999999999</v>
      </c>
      <c r="X4911">
        <v>0.98082020000000003</v>
      </c>
      <c r="Y4911">
        <v>0.2457973</v>
      </c>
      <c r="Z4911">
        <v>-5.7717100000000002E-3</v>
      </c>
      <c r="AA4911">
        <v>0.9693041</v>
      </c>
      <c r="AB4911">
        <v>36</v>
      </c>
      <c r="AC4911">
        <v>26.704499999999999</v>
      </c>
      <c r="AD4911">
        <v>-1.1691419999999999</v>
      </c>
      <c r="AE4911">
        <v>-7.5552259999999896</v>
      </c>
      <c r="AF4911">
        <v>6.86045301392278</v>
      </c>
      <c r="AG4911">
        <v>-1.1691419999999999</v>
      </c>
      <c r="AH4911">
        <v>26.840630001096699</v>
      </c>
      <c r="AI4911">
        <v>92.416558163560694</v>
      </c>
      <c r="AJ4911">
        <v>75.662198312392803</v>
      </c>
      <c r="AK4911">
        <v>27.728182908877798</v>
      </c>
      <c r="AL4911">
        <v>79.089598598385095</v>
      </c>
      <c r="AM4911">
        <v>87.282600338948995</v>
      </c>
      <c r="AN4911">
        <v>0.999999982110369</v>
      </c>
    </row>
    <row r="4912" spans="1:40" x14ac:dyDescent="0.25">
      <c r="A4912" t="str">
        <f>"20190303171113446"</f>
        <v>20190303171113446</v>
      </c>
      <c r="B4912" t="str">
        <f>"1551604273435583"</f>
        <v>1551604273435583</v>
      </c>
      <c r="C4912" t="s">
        <v>40</v>
      </c>
      <c r="D4912">
        <v>4.9248669999999999</v>
      </c>
      <c r="E4912">
        <v>0.58370390000000005</v>
      </c>
      <c r="F4912" t="s">
        <v>41</v>
      </c>
      <c r="G4912">
        <v>-305.40499999999997</v>
      </c>
      <c r="H4912">
        <v>-0.05</v>
      </c>
      <c r="I4912">
        <v>9.9497680000000006</v>
      </c>
      <c r="J4912">
        <v>-331.96820000000002</v>
      </c>
      <c r="K4912">
        <v>1.119135</v>
      </c>
      <c r="L4912">
        <v>17.47897</v>
      </c>
      <c r="M4912">
        <v>0.99959929999999997</v>
      </c>
      <c r="N4912">
        <v>-1.075894E-2</v>
      </c>
      <c r="O4912">
        <v>-2.6181490000000002E-2</v>
      </c>
      <c r="P4912">
        <v>0.98125839999999998</v>
      </c>
      <c r="Q4912">
        <v>0.179008</v>
      </c>
      <c r="R4912">
        <v>-7.1331350000000002E-2</v>
      </c>
      <c r="S4912">
        <v>3.0197449999999999</v>
      </c>
      <c r="T4912">
        <v>-0.1320993</v>
      </c>
      <c r="U4912">
        <v>-0.85125729999999999</v>
      </c>
      <c r="V4912">
        <v>4.632344E-2</v>
      </c>
      <c r="W4912">
        <v>0.1893996</v>
      </c>
      <c r="X4912">
        <v>0.98080679999999998</v>
      </c>
      <c r="Y4912">
        <v>0.2457676</v>
      </c>
      <c r="Z4912">
        <v>-5.7732900000000004E-3</v>
      </c>
      <c r="AA4912">
        <v>0.96931160000000005</v>
      </c>
      <c r="AB4912">
        <v>36</v>
      </c>
      <c r="AC4912">
        <v>26.563199999999998</v>
      </c>
      <c r="AD4912">
        <v>-1.169135</v>
      </c>
      <c r="AE4912">
        <v>-7.5292019999999997</v>
      </c>
      <c r="AF4912">
        <v>6.8188892809683299</v>
      </c>
      <c r="AG4912">
        <v>-1.169135</v>
      </c>
      <c r="AH4912">
        <v>26.703348254994701</v>
      </c>
      <c r="AI4912">
        <v>92.429093382198403</v>
      </c>
      <c r="AJ4912">
        <v>75.675239260300003</v>
      </c>
      <c r="AK4912">
        <v>27.585012882031801</v>
      </c>
      <c r="AL4912">
        <v>79.082252645006093</v>
      </c>
      <c r="AM4912">
        <v>87.295933569247794</v>
      </c>
      <c r="AN4912">
        <v>1.0000000242499101</v>
      </c>
    </row>
    <row r="4913" spans="1:40" x14ac:dyDescent="0.25">
      <c r="A4913" t="str">
        <f>"20190303171113457"</f>
        <v>20190303171113457</v>
      </c>
      <c r="B4913" t="str">
        <f>"1551604273445342"</f>
        <v>1551604273445342</v>
      </c>
      <c r="C4913" t="s">
        <v>40</v>
      </c>
      <c r="D4913">
        <v>4.9106889999999996</v>
      </c>
      <c r="E4913">
        <v>0.58379300000000001</v>
      </c>
      <c r="F4913" t="s">
        <v>41</v>
      </c>
      <c r="G4913">
        <v>-305.19690000000003</v>
      </c>
      <c r="H4913">
        <v>-0.05</v>
      </c>
      <c r="I4913">
        <v>9.9093630000000008</v>
      </c>
      <c r="J4913">
        <v>-331.7885</v>
      </c>
      <c r="K4913">
        <v>1.119135</v>
      </c>
      <c r="L4913">
        <v>17.473659999999999</v>
      </c>
      <c r="M4913">
        <v>0.99957839999999998</v>
      </c>
      <c r="N4913">
        <v>-1.076006E-2</v>
      </c>
      <c r="O4913">
        <v>-2.6969110000000001E-2</v>
      </c>
      <c r="P4913">
        <v>0.98124520000000004</v>
      </c>
      <c r="Q4913">
        <v>0.17887999999999901</v>
      </c>
      <c r="R4913">
        <v>-7.183494E-2</v>
      </c>
      <c r="S4913">
        <v>3.0192570000000001</v>
      </c>
      <c r="T4913">
        <v>-0.13185469999999999</v>
      </c>
      <c r="U4913">
        <v>-0.85369869999999903</v>
      </c>
      <c r="V4913">
        <v>4.605269E-2</v>
      </c>
      <c r="W4913">
        <v>0.18927369999999999</v>
      </c>
      <c r="X4913">
        <v>0.98084380000000004</v>
      </c>
      <c r="Y4913">
        <v>0.24577199999999999</v>
      </c>
      <c r="Z4913">
        <v>-5.7408939999999999E-3</v>
      </c>
      <c r="AA4913">
        <v>0.96931069999999997</v>
      </c>
      <c r="AB4913">
        <v>36</v>
      </c>
      <c r="AC4913">
        <v>26.5915999999999</v>
      </c>
      <c r="AD4913">
        <v>-1.169135</v>
      </c>
      <c r="AE4913">
        <v>-7.5642969999999901</v>
      </c>
      <c r="AF4913">
        <v>6.8321339248290496</v>
      </c>
      <c r="AG4913">
        <v>-1.169135</v>
      </c>
      <c r="AH4913">
        <v>26.738124246653001</v>
      </c>
      <c r="AI4913">
        <v>92.425843008506604</v>
      </c>
      <c r="AJ4913">
        <v>75.666459959153102</v>
      </c>
      <c r="AK4913">
        <v>27.6219517566098</v>
      </c>
      <c r="AL4913">
        <v>79.089598485433896</v>
      </c>
      <c r="AM4913">
        <v>87.311816231583407</v>
      </c>
      <c r="AN4913">
        <v>0.99999997188318202</v>
      </c>
    </row>
    <row r="4914" spans="1:40" x14ac:dyDescent="0.25">
      <c r="A4914" t="str">
        <f>"20190303171113468"</f>
        <v>20190303171113468</v>
      </c>
      <c r="B4914" t="str">
        <f>"1551604273456078"</f>
        <v>1551604273456078</v>
      </c>
      <c r="C4914" t="s">
        <v>40</v>
      </c>
      <c r="D4914">
        <v>4.9143129999999999</v>
      </c>
      <c r="E4914">
        <v>0.58392670000000002</v>
      </c>
      <c r="F4914" t="s">
        <v>41</v>
      </c>
      <c r="G4914">
        <v>-305.1524</v>
      </c>
      <c r="H4914">
        <v>-0.05</v>
      </c>
      <c r="I4914">
        <v>9.9207459999999994</v>
      </c>
      <c r="J4914">
        <v>-331.60219999999998</v>
      </c>
      <c r="K4914">
        <v>1.1191340000000001</v>
      </c>
      <c r="L4914">
        <v>17.467929999999999</v>
      </c>
      <c r="M4914">
        <v>0.99955620000000001</v>
      </c>
      <c r="N4914">
        <v>-1.0761120000000001E-2</v>
      </c>
      <c r="O4914">
        <v>-2.778487E-2</v>
      </c>
      <c r="P4914">
        <v>0.98121320000000001</v>
      </c>
      <c r="Q4914">
        <v>0.17876439999999999</v>
      </c>
      <c r="R4914">
        <v>-7.2557049999999998E-2</v>
      </c>
      <c r="S4914">
        <v>3.0188290000000002</v>
      </c>
      <c r="T4914">
        <v>-0.13250529999999999</v>
      </c>
      <c r="U4914">
        <v>-0.8560181</v>
      </c>
      <c r="V4914">
        <v>4.5973319999999998E-2</v>
      </c>
      <c r="W4914">
        <v>0.18915989999999999</v>
      </c>
      <c r="X4914">
        <v>0.98086949999999995</v>
      </c>
      <c r="Y4914">
        <v>0.2457046</v>
      </c>
      <c r="Z4914">
        <v>-5.7333490000000004E-3</v>
      </c>
      <c r="AA4914">
        <v>0.96932779999999996</v>
      </c>
      <c r="AB4914">
        <v>36</v>
      </c>
      <c r="AC4914">
        <v>26.4497999999999</v>
      </c>
      <c r="AD4914">
        <v>-1.1691339999999999</v>
      </c>
      <c r="AE4914">
        <v>-7.5471839999999899</v>
      </c>
      <c r="AF4914">
        <v>6.7970429032077897</v>
      </c>
      <c r="AG4914">
        <v>-1.1691339999999999</v>
      </c>
      <c r="AH4914">
        <v>26.601235993377699</v>
      </c>
      <c r="AI4914">
        <v>92.438311617725603</v>
      </c>
      <c r="AJ4914">
        <v>75.666689020912301</v>
      </c>
      <c r="AK4914">
        <v>27.480764598412701</v>
      </c>
      <c r="AL4914">
        <v>79.096238953433101</v>
      </c>
      <c r="AM4914">
        <v>87.3165126419199</v>
      </c>
      <c r="AN4914">
        <v>0.999999994975041</v>
      </c>
    </row>
    <row r="4915" spans="1:40" x14ac:dyDescent="0.25">
      <c r="A4915" t="str">
        <f>"20190303171113480"</f>
        <v>20190303171113480</v>
      </c>
      <c r="B4915" t="str">
        <f>"1551604273465838"</f>
        <v>1551604273465838</v>
      </c>
      <c r="C4915" t="s">
        <v>40</v>
      </c>
      <c r="D4915">
        <v>4.8917919999999997</v>
      </c>
      <c r="E4915">
        <v>0.58405379999999996</v>
      </c>
      <c r="F4915" t="s">
        <v>41</v>
      </c>
      <c r="G4915">
        <v>-305.11349999999999</v>
      </c>
      <c r="H4915">
        <v>-0.05</v>
      </c>
      <c r="I4915">
        <v>9.9264679999999998</v>
      </c>
      <c r="J4915">
        <v>-331.42930000000001</v>
      </c>
      <c r="K4915">
        <v>1.1191340000000001</v>
      </c>
      <c r="L4915">
        <v>17.462489999999999</v>
      </c>
      <c r="M4915">
        <v>0.9995347</v>
      </c>
      <c r="N4915">
        <v>-1.076206E-2</v>
      </c>
      <c r="O4915">
        <v>-2.854197E-2</v>
      </c>
      <c r="P4915">
        <v>0.98111360000000003</v>
      </c>
      <c r="Q4915">
        <v>0.178877799999999</v>
      </c>
      <c r="R4915">
        <v>-7.3615739999999999E-2</v>
      </c>
      <c r="S4915">
        <v>3.0181580000000001</v>
      </c>
      <c r="T4915">
        <v>-0.13321259999999999</v>
      </c>
      <c r="U4915">
        <v>-0.85928340000000003</v>
      </c>
      <c r="V4915">
        <v>4.6290890000000001E-2</v>
      </c>
      <c r="W4915">
        <v>0.18927269999999999</v>
      </c>
      <c r="X4915">
        <v>0.98083279999999995</v>
      </c>
      <c r="Y4915">
        <v>0.24599489999999999</v>
      </c>
      <c r="Z4915">
        <v>-5.738964E-3</v>
      </c>
      <c r="AA4915">
        <v>0.96925410000000001</v>
      </c>
      <c r="AB4915">
        <v>36</v>
      </c>
      <c r="AC4915">
        <v>26.315799999999999</v>
      </c>
      <c r="AD4915">
        <v>-1.1691339999999999</v>
      </c>
      <c r="AE4915">
        <v>-7.5360219999999902</v>
      </c>
      <c r="AF4915">
        <v>6.7694545505148502</v>
      </c>
      <c r="AG4915">
        <v>-1.1691339999999999</v>
      </c>
      <c r="AH4915">
        <v>26.471893694533701</v>
      </c>
      <c r="AI4915">
        <v>92.450089657690398</v>
      </c>
      <c r="AJ4915">
        <v>75.655594827187102</v>
      </c>
      <c r="AK4915">
        <v>27.348739367585701</v>
      </c>
      <c r="AL4915">
        <v>79.089657052682696</v>
      </c>
      <c r="AM4915">
        <v>87.297902336247205</v>
      </c>
      <c r="AN4915">
        <v>0.99999999150906105</v>
      </c>
    </row>
    <row r="4916" spans="1:40" x14ac:dyDescent="0.25">
      <c r="A4916" t="str">
        <f>"20190303171113491"</f>
        <v>20190303171113491</v>
      </c>
      <c r="B4916" t="str">
        <f>"1551604273485357"</f>
        <v>1551604273485357</v>
      </c>
      <c r="C4916" t="s">
        <v>40</v>
      </c>
      <c r="D4916">
        <v>4.8926449999999999</v>
      </c>
      <c r="E4916">
        <v>0.58422069999999904</v>
      </c>
      <c r="F4916" t="s">
        <v>41</v>
      </c>
      <c r="G4916">
        <v>-304.93529999999998</v>
      </c>
      <c r="H4916">
        <v>-0.05</v>
      </c>
      <c r="I4916">
        <v>9.8797149999999991</v>
      </c>
      <c r="J4916">
        <v>-331.23039999999997</v>
      </c>
      <c r="K4916">
        <v>1.1191329999999999</v>
      </c>
      <c r="L4916">
        <v>17.456019999999999</v>
      </c>
      <c r="M4916">
        <v>0.99950950000000005</v>
      </c>
      <c r="N4916">
        <v>-1.076306E-2</v>
      </c>
      <c r="O4916">
        <v>-2.941291E-2</v>
      </c>
      <c r="P4916">
        <v>0.98102719999999999</v>
      </c>
      <c r="Q4916">
        <v>0.17890690000000001</v>
      </c>
      <c r="R4916">
        <v>-7.4687619999999996E-2</v>
      </c>
      <c r="S4916">
        <v>3.017242</v>
      </c>
      <c r="T4916">
        <v>-0.1331455</v>
      </c>
      <c r="U4916">
        <v>-0.86355590000000004</v>
      </c>
      <c r="V4916">
        <v>4.6509149999999999E-2</v>
      </c>
      <c r="W4916">
        <v>0.18930130000000001</v>
      </c>
      <c r="X4916">
        <v>0.98081700000000005</v>
      </c>
      <c r="Y4916">
        <v>0.24649689999999999</v>
      </c>
      <c r="Z4916">
        <v>-5.7229300000000002E-3</v>
      </c>
      <c r="AA4916">
        <v>0.96912670000000001</v>
      </c>
      <c r="AB4916">
        <v>36</v>
      </c>
      <c r="AC4916">
        <v>26.295099999999898</v>
      </c>
      <c r="AD4916">
        <v>-1.169133</v>
      </c>
      <c r="AE4916">
        <v>-7.5763049999999996</v>
      </c>
      <c r="AF4916">
        <v>6.78717768911946</v>
      </c>
      <c r="AG4916">
        <v>-1.169133</v>
      </c>
      <c r="AH4916">
        <v>26.458280808970901</v>
      </c>
      <c r="AI4916">
        <v>92.450875033297393</v>
      </c>
      <c r="AJ4916">
        <v>75.612503461952898</v>
      </c>
      <c r="AK4916">
        <v>27.3399575040219</v>
      </c>
      <c r="AL4916">
        <v>79.087988708249895</v>
      </c>
      <c r="AM4916">
        <v>87.285137384073707</v>
      </c>
      <c r="AN4916">
        <v>1.0000000353522001</v>
      </c>
    </row>
    <row r="4917" spans="1:40" x14ac:dyDescent="0.25">
      <c r="A4917" t="str">
        <f>"20190303171113504"</f>
        <v>20190303171113504</v>
      </c>
      <c r="B4917" t="str">
        <f>"1551604273496094"</f>
        <v>1551604273496094</v>
      </c>
      <c r="C4917" t="s">
        <v>40</v>
      </c>
      <c r="D4917">
        <v>4.9262509999999997</v>
      </c>
      <c r="E4917">
        <v>0.58422069999999904</v>
      </c>
      <c r="F4917" t="s">
        <v>41</v>
      </c>
      <c r="G4917">
        <v>-304.67399999999998</v>
      </c>
      <c r="H4917">
        <v>-0.05</v>
      </c>
      <c r="I4917">
        <v>9.8114170000000005</v>
      </c>
      <c r="J4917">
        <v>-331.02949999999998</v>
      </c>
      <c r="K4917">
        <v>1.1191310000000001</v>
      </c>
      <c r="L4917">
        <v>17.449339999999999</v>
      </c>
      <c r="M4917">
        <v>0.99948309999999996</v>
      </c>
      <c r="N4917">
        <v>-1.07642E-2</v>
      </c>
      <c r="O4917">
        <v>-3.0292570000000001E-2</v>
      </c>
      <c r="P4917">
        <v>0.98090449999999996</v>
      </c>
      <c r="Q4917">
        <v>0.17910400000000001</v>
      </c>
      <c r="R4917">
        <v>-7.5816800000000004E-2</v>
      </c>
      <c r="S4917">
        <v>3.0161129999999998</v>
      </c>
      <c r="T4917">
        <v>-0.1327826</v>
      </c>
      <c r="U4917">
        <v>-0.86822509999999997</v>
      </c>
      <c r="V4917">
        <v>4.6777770000000003E-2</v>
      </c>
      <c r="W4917">
        <v>0.1894979</v>
      </c>
      <c r="X4917">
        <v>0.98076620000000003</v>
      </c>
      <c r="Y4917">
        <v>0.24712700000000001</v>
      </c>
      <c r="Z4917">
        <v>-5.7013940000000003E-3</v>
      </c>
      <c r="AA4917">
        <v>0.96896629999999995</v>
      </c>
      <c r="AB4917">
        <v>36</v>
      </c>
      <c r="AC4917">
        <v>26.3554999999999</v>
      </c>
      <c r="AD4917">
        <v>-1.1691309999999999</v>
      </c>
      <c r="AE4917">
        <v>-7.63792299999999</v>
      </c>
      <c r="AF4917">
        <v>6.8236080341538896</v>
      </c>
      <c r="AG4917">
        <v>-1.1691309999999999</v>
      </c>
      <c r="AH4917">
        <v>26.5266340279946</v>
      </c>
      <c r="AI4917">
        <v>92.444144081192107</v>
      </c>
      <c r="AJ4917">
        <v>75.574215602497105</v>
      </c>
      <c r="AK4917">
        <v>27.415156515221501</v>
      </c>
      <c r="AL4917">
        <v>79.076516065252306</v>
      </c>
      <c r="AM4917">
        <v>87.269339767045096</v>
      </c>
      <c r="AN4917">
        <v>0.99999997646651095</v>
      </c>
    </row>
    <row r="4918" spans="1:40" x14ac:dyDescent="0.25">
      <c r="A4918" t="str">
        <f>"20190303171113518"</f>
        <v>20190303171113518</v>
      </c>
      <c r="B4918" t="str">
        <f>"1551604273505854"</f>
        <v>1551604273505854</v>
      </c>
      <c r="C4918" t="s">
        <v>40</v>
      </c>
      <c r="D4918">
        <v>4.9179089999999999</v>
      </c>
      <c r="E4918">
        <v>0.58758809999999995</v>
      </c>
      <c r="F4918" t="s">
        <v>41</v>
      </c>
      <c r="G4918">
        <v>-304.38420000000002</v>
      </c>
      <c r="H4918">
        <v>-0.05</v>
      </c>
      <c r="I4918">
        <v>9.7482299999999995</v>
      </c>
      <c r="J4918">
        <v>-330.80599999999998</v>
      </c>
      <c r="K4918">
        <v>1.119132</v>
      </c>
      <c r="L4918">
        <v>17.441770000000002</v>
      </c>
      <c r="M4918">
        <v>0.99945309999999998</v>
      </c>
      <c r="N4918">
        <v>-1.076556E-2</v>
      </c>
      <c r="O4918">
        <v>-3.127104E-2</v>
      </c>
      <c r="P4918">
        <v>0.98080480000000003</v>
      </c>
      <c r="Q4918">
        <v>0.17918799999999999</v>
      </c>
      <c r="R4918">
        <v>-7.6901410000000003E-2</v>
      </c>
      <c r="S4918">
        <v>3.0151979999999998</v>
      </c>
      <c r="T4918">
        <v>-0.13229920000000001</v>
      </c>
      <c r="U4918">
        <v>-0.87146000000000001</v>
      </c>
      <c r="V4918">
        <v>4.6903769999999997E-2</v>
      </c>
      <c r="W4918">
        <v>0.18958220000000001</v>
      </c>
      <c r="X4918">
        <v>0.9807439</v>
      </c>
      <c r="Y4918">
        <v>0.2472183</v>
      </c>
      <c r="Z4918">
        <v>-5.6585740000000004E-3</v>
      </c>
      <c r="AA4918">
        <v>0.96894329999999995</v>
      </c>
      <c r="AB4918">
        <v>36</v>
      </c>
      <c r="AC4918">
        <v>26.421799999999902</v>
      </c>
      <c r="AD4918">
        <v>-1.1691320000000001</v>
      </c>
      <c r="AE4918">
        <v>-7.6935399999999996</v>
      </c>
      <c r="AF4918">
        <v>6.8511263037271002</v>
      </c>
      <c r="AG4918">
        <v>-1.1691320000000001</v>
      </c>
      <c r="AH4918">
        <v>26.601462094676499</v>
      </c>
      <c r="AI4918">
        <v>92.437096579116002</v>
      </c>
      <c r="AJ4918">
        <v>75.557510376825405</v>
      </c>
      <c r="AK4918">
        <v>27.494410101647102</v>
      </c>
      <c r="AL4918">
        <v>79.071596963615804</v>
      </c>
      <c r="AM4918">
        <v>87.261933511801303</v>
      </c>
      <c r="AN4918">
        <v>0.99999998579213101</v>
      </c>
    </row>
    <row r="4919" spans="1:40" x14ac:dyDescent="0.25">
      <c r="A4919" t="str">
        <f>"20190303171113532"</f>
        <v>20190303171113532</v>
      </c>
      <c r="B4919" t="str">
        <f>"1551604273525374"</f>
        <v>1551604273525374</v>
      </c>
      <c r="C4919" t="s">
        <v>40</v>
      </c>
      <c r="D4919">
        <v>4.9149929999999999</v>
      </c>
      <c r="E4919">
        <v>0.58682519999999905</v>
      </c>
      <c r="F4919" t="s">
        <v>41</v>
      </c>
      <c r="G4919">
        <v>-304.65550000000002</v>
      </c>
      <c r="H4919">
        <v>-0.05</v>
      </c>
      <c r="I4919">
        <v>9.6163329999999991</v>
      </c>
      <c r="J4919">
        <v>-330.57670000000002</v>
      </c>
      <c r="K4919">
        <v>1.11913</v>
      </c>
      <c r="L4919">
        <v>17.433689999999999</v>
      </c>
      <c r="M4919">
        <v>0.99942109999999995</v>
      </c>
      <c r="N4919">
        <v>-1.076679E-2</v>
      </c>
      <c r="O4919">
        <v>-3.2274909999999997E-2</v>
      </c>
      <c r="P4919">
        <v>0.98076989999999997</v>
      </c>
      <c r="Q4919">
        <v>0.1790754</v>
      </c>
      <c r="R4919">
        <v>-7.76062E-2</v>
      </c>
      <c r="S4919">
        <v>3.0126339999999998</v>
      </c>
      <c r="T4919">
        <v>-0.13468840000000001</v>
      </c>
      <c r="U4919">
        <v>-0.90151979999999998</v>
      </c>
      <c r="V4919">
        <v>4.6622209999999997E-2</v>
      </c>
      <c r="W4919">
        <v>0.18947259999999999</v>
      </c>
      <c r="X4919">
        <v>0.9807785</v>
      </c>
      <c r="Y4919">
        <v>0.25533709999999998</v>
      </c>
      <c r="Z4919">
        <v>-5.9185979999999997E-3</v>
      </c>
      <c r="AA4919">
        <v>0.96683399999999997</v>
      </c>
      <c r="AB4919">
        <v>36</v>
      </c>
      <c r="AC4919">
        <v>25.921199999999999</v>
      </c>
      <c r="AD4919">
        <v>-1.16913</v>
      </c>
      <c r="AE4919">
        <v>-7.8173569999999897</v>
      </c>
      <c r="AF4919">
        <v>6.96364593574505</v>
      </c>
      <c r="AG4919">
        <v>-1.16913</v>
      </c>
      <c r="AH4919">
        <v>26.1113234575222</v>
      </c>
      <c r="AI4919">
        <v>92.477227911840302</v>
      </c>
      <c r="AJ4919">
        <v>75.067299688841601</v>
      </c>
      <c r="AK4919">
        <v>27.0492225836283</v>
      </c>
      <c r="AL4919">
        <v>79.0779924481986</v>
      </c>
      <c r="AM4919">
        <v>87.278441012590207</v>
      </c>
      <c r="AN4919">
        <v>0.99999998133914603</v>
      </c>
    </row>
    <row r="4920" spans="1:40" x14ac:dyDescent="0.25">
      <c r="A4920" t="str">
        <f>"20190303171113547"</f>
        <v>20190303171113547</v>
      </c>
      <c r="B4920" t="str">
        <f>"1551604273536111"</f>
        <v>1551604273536111</v>
      </c>
      <c r="C4920" t="s">
        <v>40</v>
      </c>
      <c r="D4920">
        <v>4.9146749999999999</v>
      </c>
      <c r="E4920">
        <v>0.58681989999999995</v>
      </c>
      <c r="F4920" t="s">
        <v>41</v>
      </c>
      <c r="G4920">
        <v>-304.14460000000003</v>
      </c>
      <c r="H4920">
        <v>-0.05</v>
      </c>
      <c r="I4920">
        <v>9.5553889999999999</v>
      </c>
      <c r="J4920">
        <v>-330.33440000000002</v>
      </c>
      <c r="K4920">
        <v>1.1191260000000001</v>
      </c>
      <c r="L4920">
        <v>17.42493</v>
      </c>
      <c r="M4920">
        <v>0.99938640000000001</v>
      </c>
      <c r="N4920">
        <v>-1.076804E-2</v>
      </c>
      <c r="O4920">
        <v>-3.3336240000000003E-2</v>
      </c>
      <c r="P4920">
        <v>0.98074110000000003</v>
      </c>
      <c r="Q4920">
        <v>0.1786594</v>
      </c>
      <c r="R4920">
        <v>-7.8917999999999905E-2</v>
      </c>
      <c r="S4920">
        <v>3.012146</v>
      </c>
      <c r="T4920">
        <v>-0.13323180000000001</v>
      </c>
      <c r="U4920">
        <v>-0.89779659999999994</v>
      </c>
      <c r="V4920">
        <v>4.688987E-2</v>
      </c>
      <c r="W4920">
        <v>0.18905730000000001</v>
      </c>
      <c r="X4920">
        <v>0.98084590000000005</v>
      </c>
      <c r="Y4920">
        <v>0.25326359999999998</v>
      </c>
      <c r="Z4920">
        <v>-5.7840239999999996E-3</v>
      </c>
      <c r="AA4920">
        <v>0.96738000000000002</v>
      </c>
      <c r="AB4920">
        <v>36</v>
      </c>
      <c r="AC4920">
        <v>26.189799999999899</v>
      </c>
      <c r="AD4920">
        <v>-1.1691260000000001</v>
      </c>
      <c r="AE4920">
        <v>-7.8695409999999999</v>
      </c>
      <c r="AF4920">
        <v>6.9792902642922199</v>
      </c>
      <c r="AG4920">
        <v>-1.1691260000000001</v>
      </c>
      <c r="AH4920">
        <v>26.389364758846799</v>
      </c>
      <c r="AI4920">
        <v>92.452498083239803</v>
      </c>
      <c r="AJ4920">
        <v>75.185958140570904</v>
      </c>
      <c r="AK4920">
        <v>27.321711523485899</v>
      </c>
      <c r="AL4920">
        <v>79.102225588225707</v>
      </c>
      <c r="AM4920">
        <v>87.263027927033704</v>
      </c>
      <c r="AN4920">
        <v>1.0000000010693499</v>
      </c>
    </row>
    <row r="4921" spans="1:40" x14ac:dyDescent="0.25">
      <c r="A4921" t="str">
        <f>"20190303171113558"</f>
        <v>20190303171113558</v>
      </c>
      <c r="B4921" t="str">
        <f>"1551604273545870"</f>
        <v>1551604273545870</v>
      </c>
      <c r="C4921" t="s">
        <v>40</v>
      </c>
      <c r="D4921">
        <v>4.931127</v>
      </c>
      <c r="E4921">
        <v>0.58691530000000003</v>
      </c>
      <c r="F4921" t="s">
        <v>41</v>
      </c>
      <c r="G4921">
        <v>-304.08769999999998</v>
      </c>
      <c r="H4921">
        <v>-0.05</v>
      </c>
      <c r="I4921">
        <v>9.5520320000000005</v>
      </c>
      <c r="J4921">
        <v>-330.15690000000001</v>
      </c>
      <c r="K4921">
        <v>1.119122</v>
      </c>
      <c r="L4921">
        <v>17.418399999999998</v>
      </c>
      <c r="M4921">
        <v>0.99936009999999997</v>
      </c>
      <c r="N4921">
        <v>-1.0768949999999999E-2</v>
      </c>
      <c r="O4921">
        <v>-3.4115300000000001E-2</v>
      </c>
      <c r="P4921">
        <v>0.9806665</v>
      </c>
      <c r="Q4921">
        <v>0.17854500000000001</v>
      </c>
      <c r="R4921">
        <v>-8.0095079999999999E-2</v>
      </c>
      <c r="S4921">
        <v>3.0106809999999999</v>
      </c>
      <c r="T4921">
        <v>-0.134107</v>
      </c>
      <c r="U4921">
        <v>-0.9030762</v>
      </c>
      <c r="V4921">
        <v>4.730322E-2</v>
      </c>
      <c r="W4921">
        <v>0.18894169999999999</v>
      </c>
      <c r="X4921">
        <v>0.98084830000000001</v>
      </c>
      <c r="Y4921">
        <v>0.25419150000000001</v>
      </c>
      <c r="Z4921">
        <v>-5.8115679999999996E-3</v>
      </c>
      <c r="AA4921">
        <v>0.96713640000000001</v>
      </c>
      <c r="AB4921">
        <v>36</v>
      </c>
      <c r="AC4921">
        <v>26.069199999999999</v>
      </c>
      <c r="AD4921">
        <v>-1.169122</v>
      </c>
      <c r="AE4921">
        <v>-7.8663679999999898</v>
      </c>
      <c r="AF4921">
        <v>6.9595493258520102</v>
      </c>
      <c r="AG4921">
        <v>-1.169122</v>
      </c>
      <c r="AH4921">
        <v>26.273969155973301</v>
      </c>
      <c r="AI4921">
        <v>92.462998207866605</v>
      </c>
      <c r="AJ4921">
        <v>75.163992937839893</v>
      </c>
      <c r="AK4921">
        <v>27.205213255530399</v>
      </c>
      <c r="AL4921">
        <v>79.108970246298497</v>
      </c>
      <c r="AM4921">
        <v>87.238944514581107</v>
      </c>
      <c r="AN4921">
        <v>0.99999997411707298</v>
      </c>
    </row>
    <row r="4922" spans="1:40" x14ac:dyDescent="0.25">
      <c r="A4922" t="str">
        <f>"20190303171113568"</f>
        <v>20190303171113568</v>
      </c>
      <c r="B4922" t="str">
        <f>"1551604273555630"</f>
        <v>1551604273555630</v>
      </c>
      <c r="C4922" t="s">
        <v>40</v>
      </c>
      <c r="D4922">
        <v>4.9608400000000001</v>
      </c>
      <c r="E4922">
        <v>0.58715660000000003</v>
      </c>
      <c r="F4922" t="s">
        <v>41</v>
      </c>
      <c r="G4922">
        <v>-303.94470000000001</v>
      </c>
      <c r="H4922">
        <v>-0.05</v>
      </c>
      <c r="I4922">
        <v>9.5095209999999994</v>
      </c>
      <c r="J4922">
        <v>-329.97859999999997</v>
      </c>
      <c r="K4922">
        <v>1.119116</v>
      </c>
      <c r="L4922">
        <v>17.41159</v>
      </c>
      <c r="M4922">
        <v>0.99933269999999996</v>
      </c>
      <c r="N4922">
        <v>-1.076998E-2</v>
      </c>
      <c r="O4922">
        <v>-3.4904299999999999E-2</v>
      </c>
      <c r="P4922">
        <v>0.98059339999999995</v>
      </c>
      <c r="Q4922">
        <v>0.178427799999999</v>
      </c>
      <c r="R4922">
        <v>-8.1240480000000004E-2</v>
      </c>
      <c r="S4922">
        <v>3.00943</v>
      </c>
      <c r="T4922">
        <v>-0.13422729999999999</v>
      </c>
      <c r="U4922">
        <v>-0.90802000000000005</v>
      </c>
      <c r="V4922">
        <v>4.767631E-2</v>
      </c>
      <c r="W4922">
        <v>0.18882409999999999</v>
      </c>
      <c r="X4922">
        <v>0.98085290000000003</v>
      </c>
      <c r="Y4922">
        <v>0.25499450000000001</v>
      </c>
      <c r="Z4922">
        <v>-5.812261E-3</v>
      </c>
      <c r="AA4922">
        <v>0.96692500000000003</v>
      </c>
      <c r="AB4922">
        <v>36</v>
      </c>
      <c r="AC4922">
        <v>26.0338999999999</v>
      </c>
      <c r="AD4922">
        <v>-1.169116</v>
      </c>
      <c r="AE4922">
        <v>-7.9020689999999902</v>
      </c>
      <c r="AF4922">
        <v>6.9756248211168099</v>
      </c>
      <c r="AG4922">
        <v>-1.169116</v>
      </c>
      <c r="AH4922">
        <v>26.245403231724001</v>
      </c>
      <c r="AI4922">
        <v>92.465113199492194</v>
      </c>
      <c r="AJ4922">
        <v>75.115774931334897</v>
      </c>
      <c r="AK4922">
        <v>27.1817469023282</v>
      </c>
      <c r="AL4922">
        <v>79.115831929589703</v>
      </c>
      <c r="AM4922">
        <v>87.2172146429142</v>
      </c>
      <c r="AN4922">
        <v>0.99999999135721795</v>
      </c>
    </row>
    <row r="4923" spans="1:40" x14ac:dyDescent="0.25">
      <c r="A4923" t="str">
        <f>"20190303171113581"</f>
        <v>20190303171113581</v>
      </c>
      <c r="B4923" t="str">
        <f>"1551604273565390"</f>
        <v>1551604273565390</v>
      </c>
      <c r="C4923" t="s">
        <v>40</v>
      </c>
      <c r="D4923">
        <v>4.9581169999999997</v>
      </c>
      <c r="E4923">
        <v>0.58730550000000004</v>
      </c>
      <c r="F4923" t="s">
        <v>41</v>
      </c>
      <c r="G4923">
        <v>-303.97969999999998</v>
      </c>
      <c r="H4923">
        <v>-0.05</v>
      </c>
      <c r="I4923">
        <v>9.5163569999999993</v>
      </c>
      <c r="J4923">
        <v>-329.80250000000001</v>
      </c>
      <c r="K4923">
        <v>1.1191040000000001</v>
      </c>
      <c r="L4923">
        <v>17.404820000000001</v>
      </c>
      <c r="M4923">
        <v>0.999305</v>
      </c>
      <c r="N4923">
        <v>-1.0771029999999999E-2</v>
      </c>
      <c r="O4923">
        <v>-3.5689159999999998E-2</v>
      </c>
      <c r="P4923">
        <v>0.98046730000000004</v>
      </c>
      <c r="Q4923">
        <v>0.17849599999999999</v>
      </c>
      <c r="R4923">
        <v>-8.2604300000000005E-2</v>
      </c>
      <c r="S4923">
        <v>3.0083009999999999</v>
      </c>
      <c r="T4923">
        <v>-0.1352767</v>
      </c>
      <c r="U4923">
        <v>-0.91354369999999996</v>
      </c>
      <c r="V4923">
        <v>4.8274980000000002E-2</v>
      </c>
      <c r="W4923">
        <v>0.18888920000000001</v>
      </c>
      <c r="X4923">
        <v>0.98081110000000005</v>
      </c>
      <c r="Y4923">
        <v>0.2559572</v>
      </c>
      <c r="Z4923">
        <v>-5.8450469999999999E-3</v>
      </c>
      <c r="AA4923">
        <v>0.96667049999999999</v>
      </c>
      <c r="AB4923">
        <v>36</v>
      </c>
      <c r="AC4923">
        <v>25.822800000000001</v>
      </c>
      <c r="AD4923">
        <v>-1.1691039999999999</v>
      </c>
      <c r="AE4923">
        <v>-7.8884629999999998</v>
      </c>
      <c r="AF4923">
        <v>6.9487621272338203</v>
      </c>
      <c r="AG4923">
        <v>-1.1691039999999999</v>
      </c>
      <c r="AH4923">
        <v>26.0390785771407</v>
      </c>
      <c r="AI4923">
        <v>92.483933151019102</v>
      </c>
      <c r="AJ4923">
        <v>75.058295741280702</v>
      </c>
      <c r="AK4923">
        <v>26.975650361209102</v>
      </c>
      <c r="AL4923">
        <v>79.112033813938595</v>
      </c>
      <c r="AM4923">
        <v>87.182207364366107</v>
      </c>
      <c r="AN4923">
        <v>1.0000000087269201</v>
      </c>
    </row>
    <row r="4924" spans="1:40" x14ac:dyDescent="0.25">
      <c r="A4924" t="str">
        <f>"20190303171113591"</f>
        <v>20190303171113591</v>
      </c>
      <c r="B4924" t="str">
        <f>"1551604273585887"</f>
        <v>1551604273585887</v>
      </c>
      <c r="C4924" t="s">
        <v>40</v>
      </c>
      <c r="D4924">
        <v>4.9129319999999996</v>
      </c>
      <c r="E4924">
        <v>0.58767860000000005</v>
      </c>
      <c r="F4924" t="s">
        <v>41</v>
      </c>
      <c r="G4924">
        <v>-303.79360000000003</v>
      </c>
      <c r="H4924">
        <v>-0.05</v>
      </c>
      <c r="I4924">
        <v>9.4560849999999999</v>
      </c>
      <c r="J4924">
        <v>-329.61470000000003</v>
      </c>
      <c r="K4924">
        <v>1.1190929999999999</v>
      </c>
      <c r="L4924">
        <v>17.397369999999999</v>
      </c>
      <c r="M4924">
        <v>0.99927440000000001</v>
      </c>
      <c r="N4924">
        <v>-1.0772199999999999E-2</v>
      </c>
      <c r="O4924">
        <v>-3.6536560000000003E-2</v>
      </c>
      <c r="P4924">
        <v>0.98042569999999996</v>
      </c>
      <c r="Q4924">
        <v>0.1781345</v>
      </c>
      <c r="R4924">
        <v>-8.3868330000000005E-2</v>
      </c>
      <c r="S4924">
        <v>3.006958</v>
      </c>
      <c r="T4924">
        <v>-0.13516339999999999</v>
      </c>
      <c r="U4924">
        <v>-0.91897580000000001</v>
      </c>
      <c r="V4924">
        <v>4.8710120000000003E-2</v>
      </c>
      <c r="W4924">
        <v>0.18852679999999999</v>
      </c>
      <c r="X4924">
        <v>0.98085929999999999</v>
      </c>
      <c r="Y4924">
        <v>0.2568551</v>
      </c>
      <c r="Z4924">
        <v>-5.8393309999999997E-3</v>
      </c>
      <c r="AA4924">
        <v>0.96643230000000002</v>
      </c>
      <c r="AB4924">
        <v>36</v>
      </c>
      <c r="AC4924">
        <v>25.821100000000001</v>
      </c>
      <c r="AD4924">
        <v>-1.1690929999999999</v>
      </c>
      <c r="AE4924">
        <v>-7.9412849999999997</v>
      </c>
      <c r="AF4924">
        <v>6.9794420423853802</v>
      </c>
      <c r="AG4924">
        <v>-1.1690929999999999</v>
      </c>
      <c r="AH4924">
        <v>26.045243417020401</v>
      </c>
      <c r="AI4924">
        <v>92.482632672590995</v>
      </c>
      <c r="AJ4924">
        <v>74.998686202694103</v>
      </c>
      <c r="AK4924">
        <v>26.989518230556001</v>
      </c>
      <c r="AL4924">
        <v>79.133177576071603</v>
      </c>
      <c r="AM4924">
        <v>87.156989377507898</v>
      </c>
      <c r="AN4924">
        <v>0.99999999825257202</v>
      </c>
    </row>
    <row r="4925" spans="1:40" x14ac:dyDescent="0.25">
      <c r="A4925" t="str">
        <f>"20190303171113603"</f>
        <v>20190303171113603</v>
      </c>
      <c r="B4925" t="str">
        <f>"1551604273595646"</f>
        <v>1551604273595646</v>
      </c>
      <c r="C4925" t="s">
        <v>40</v>
      </c>
      <c r="D4925">
        <v>4.9352539999999996</v>
      </c>
      <c r="E4925">
        <v>0.58772579999999996</v>
      </c>
      <c r="F4925" t="s">
        <v>41</v>
      </c>
      <c r="G4925">
        <v>-303.84050000000002</v>
      </c>
      <c r="H4925">
        <v>-0.05</v>
      </c>
      <c r="I4925">
        <v>9.4602660000000007</v>
      </c>
      <c r="J4925">
        <v>-329.42320000000001</v>
      </c>
      <c r="K4925">
        <v>1.119075</v>
      </c>
      <c r="L4925">
        <v>17.389620000000001</v>
      </c>
      <c r="M4925">
        <v>0.99924170000000001</v>
      </c>
      <c r="N4925">
        <v>-1.077347E-2</v>
      </c>
      <c r="O4925">
        <v>-3.7418180000000002E-2</v>
      </c>
      <c r="P4925">
        <v>0.98036460000000003</v>
      </c>
      <c r="Q4925">
        <v>0.17798839999999999</v>
      </c>
      <c r="R4925">
        <v>-8.4885929999999998E-2</v>
      </c>
      <c r="S4925">
        <v>3.005493</v>
      </c>
      <c r="T4925">
        <v>-0.13632659999999999</v>
      </c>
      <c r="U4925">
        <v>-0.9255371</v>
      </c>
      <c r="V4925">
        <v>4.8869629999999997E-2</v>
      </c>
      <c r="W4925">
        <v>0.1883793</v>
      </c>
      <c r="X4925">
        <v>0.98087970000000002</v>
      </c>
      <c r="Y4925">
        <v>0.25805699999999998</v>
      </c>
      <c r="Z4925">
        <v>-5.8788709999999999E-3</v>
      </c>
      <c r="AA4925">
        <v>0.96611179999999997</v>
      </c>
      <c r="AB4925">
        <v>36</v>
      </c>
      <c r="AC4925">
        <v>25.5826999999999</v>
      </c>
      <c r="AD4925">
        <v>-1.1690750000000001</v>
      </c>
      <c r="AE4925">
        <v>-7.9293539999999902</v>
      </c>
      <c r="AF4925">
        <v>6.9532391089017</v>
      </c>
      <c r="AG4925">
        <v>-1.1690750000000001</v>
      </c>
      <c r="AH4925">
        <v>25.812322241417601</v>
      </c>
      <c r="AI4925">
        <v>92.5040887527081</v>
      </c>
      <c r="AJ4925">
        <v>74.923714099316896</v>
      </c>
      <c r="AK4925">
        <v>26.757994131772399</v>
      </c>
      <c r="AL4925">
        <v>79.141782841190604</v>
      </c>
      <c r="AM4925">
        <v>87.1477540030412</v>
      </c>
      <c r="AN4925">
        <v>0.99999999363845804</v>
      </c>
    </row>
    <row r="4926" spans="1:40" x14ac:dyDescent="0.25">
      <c r="A4926" t="str">
        <f>"20190303171113614"</f>
        <v>20190303171113614</v>
      </c>
      <c r="B4926" t="str">
        <f>"1551604273605406"</f>
        <v>1551604273605406</v>
      </c>
      <c r="C4926" t="s">
        <v>40</v>
      </c>
      <c r="D4926">
        <v>4.9319119999999996</v>
      </c>
      <c r="E4926">
        <v>0.58782849999999998</v>
      </c>
      <c r="F4926" t="s">
        <v>41</v>
      </c>
      <c r="G4926">
        <v>-304.00220000000002</v>
      </c>
      <c r="H4926">
        <v>-0.05</v>
      </c>
      <c r="I4926">
        <v>9.5330809999999992</v>
      </c>
      <c r="J4926">
        <v>-329.2407</v>
      </c>
      <c r="K4926">
        <v>1.1190549999999999</v>
      </c>
      <c r="L4926">
        <v>17.382110000000001</v>
      </c>
      <c r="M4926">
        <v>0.99920940000000003</v>
      </c>
      <c r="N4926">
        <v>-1.077471E-2</v>
      </c>
      <c r="O4926">
        <v>-3.827113E-2</v>
      </c>
      <c r="P4926">
        <v>0.98034299999999996</v>
      </c>
      <c r="Q4926">
        <v>0.17770169999999999</v>
      </c>
      <c r="R4926">
        <v>-8.5732180000000005E-2</v>
      </c>
      <c r="S4926">
        <v>3.004791</v>
      </c>
      <c r="T4926">
        <v>-0.1381859</v>
      </c>
      <c r="U4926">
        <v>-0.92864990000000003</v>
      </c>
      <c r="V4926">
        <v>4.8885520000000002E-2</v>
      </c>
      <c r="W4926">
        <v>0.18809219999999999</v>
      </c>
      <c r="X4926">
        <v>0.98093399999999997</v>
      </c>
      <c r="Y4926">
        <v>0.25820330000000002</v>
      </c>
      <c r="Z4926">
        <v>-5.9098279999999998E-3</v>
      </c>
      <c r="AA4926">
        <v>0.96607259999999995</v>
      </c>
      <c r="AB4926">
        <v>36</v>
      </c>
      <c r="AC4926">
        <v>25.238499999999899</v>
      </c>
      <c r="AD4926">
        <v>-1.169055</v>
      </c>
      <c r="AE4926">
        <v>-7.8490289999999998</v>
      </c>
      <c r="AF4926">
        <v>6.8638879662049996</v>
      </c>
      <c r="AG4926">
        <v>-1.169055</v>
      </c>
      <c r="AH4926">
        <v>25.4705869900843</v>
      </c>
      <c r="AI4926">
        <v>92.537531179944807</v>
      </c>
      <c r="AJ4926">
        <v>74.918042346712099</v>
      </c>
      <c r="AK4926">
        <v>26.405121647610098</v>
      </c>
      <c r="AL4926">
        <v>79.158531839098302</v>
      </c>
      <c r="AM4926">
        <v>87.146985802635299</v>
      </c>
      <c r="AN4926">
        <v>0.99999999106125503</v>
      </c>
    </row>
    <row r="4927" spans="1:40" x14ac:dyDescent="0.25">
      <c r="A4927" t="str">
        <f>"20190303171113625"</f>
        <v>20190303171113625</v>
      </c>
      <c r="B4927" t="str">
        <f>"1551604273616142"</f>
        <v>1551604273616142</v>
      </c>
      <c r="C4927" t="s">
        <v>40</v>
      </c>
      <c r="D4927">
        <v>4.9123380000000001</v>
      </c>
      <c r="E4927">
        <v>0.58799419999999902</v>
      </c>
      <c r="F4927" t="s">
        <v>41</v>
      </c>
      <c r="G4927">
        <v>-303.97070000000002</v>
      </c>
      <c r="H4927">
        <v>-0.05</v>
      </c>
      <c r="I4927">
        <v>9.5408019999999993</v>
      </c>
      <c r="J4927">
        <v>-329.06110000000001</v>
      </c>
      <c r="K4927">
        <v>1.119024</v>
      </c>
      <c r="L4927">
        <v>17.374479999999998</v>
      </c>
      <c r="M4927">
        <v>0.99917520000000004</v>
      </c>
      <c r="N4927">
        <v>-1.0778640000000001E-2</v>
      </c>
      <c r="O4927">
        <v>-3.915018E-2</v>
      </c>
      <c r="P4927">
        <v>0.98028110000000002</v>
      </c>
      <c r="Q4927">
        <v>0.17762729999999999</v>
      </c>
      <c r="R4927">
        <v>-8.6589639999999996E-2</v>
      </c>
      <c r="S4927">
        <v>3.0038450000000001</v>
      </c>
      <c r="T4927">
        <v>-0.1389658</v>
      </c>
      <c r="U4927">
        <v>-0.93209839999999999</v>
      </c>
      <c r="V4927">
        <v>4.8894760000000002E-2</v>
      </c>
      <c r="W4927">
        <v>0.18801770000000001</v>
      </c>
      <c r="X4927">
        <v>0.98094789999999998</v>
      </c>
      <c r="Y4927">
        <v>0.25844850000000003</v>
      </c>
      <c r="Z4927">
        <v>-5.9108650000000004E-3</v>
      </c>
      <c r="AA4927">
        <v>0.9660069</v>
      </c>
      <c r="AB4927">
        <v>36</v>
      </c>
      <c r="AC4927">
        <v>25.090399999999899</v>
      </c>
      <c r="AD4927">
        <v>-1.1690240000000001</v>
      </c>
      <c r="AE4927">
        <v>-7.8336779999999901</v>
      </c>
      <c r="AF4927">
        <v>6.8318071871494697</v>
      </c>
      <c r="AG4927">
        <v>-1.1690240000000001</v>
      </c>
      <c r="AH4927">
        <v>25.327770289413301</v>
      </c>
      <c r="AI4927">
        <v>92.551591226751597</v>
      </c>
      <c r="AJ4927">
        <v>74.904533114952002</v>
      </c>
      <c r="AK4927">
        <v>26.259020438475002</v>
      </c>
      <c r="AL4927">
        <v>79.162878756788402</v>
      </c>
      <c r="AM4927">
        <v>87.146487804909398</v>
      </c>
      <c r="AN4927">
        <v>1.0000000677915699</v>
      </c>
    </row>
    <row r="4928" spans="1:40" x14ac:dyDescent="0.25">
      <c r="A4928" t="str">
        <f>"20190303171113638"</f>
        <v>20190303171113638</v>
      </c>
      <c r="B4928" t="str">
        <f>"1551604273625903"</f>
        <v>1551604273625903</v>
      </c>
      <c r="C4928" t="s">
        <v>40</v>
      </c>
      <c r="D4928">
        <v>4.9365069999999998</v>
      </c>
      <c r="E4928">
        <v>0.58803109999999903</v>
      </c>
      <c r="F4928" t="s">
        <v>41</v>
      </c>
      <c r="G4928">
        <v>-303.80099999999999</v>
      </c>
      <c r="H4928">
        <v>-0.05</v>
      </c>
      <c r="I4928">
        <v>9.4984129999999993</v>
      </c>
      <c r="J4928">
        <v>-328.86250000000001</v>
      </c>
      <c r="K4928">
        <v>1.1189849999999999</v>
      </c>
      <c r="L4928">
        <v>17.36591</v>
      </c>
      <c r="M4928">
        <v>0.99913600000000002</v>
      </c>
      <c r="N4928">
        <v>-1.0784180000000001E-2</v>
      </c>
      <c r="O4928">
        <v>-4.0141950000000003E-2</v>
      </c>
      <c r="P4928">
        <v>0.98022569999999998</v>
      </c>
      <c r="Q4928">
        <v>0.1775931</v>
      </c>
      <c r="R4928">
        <v>-8.7286859999999994E-2</v>
      </c>
      <c r="S4928">
        <v>3.0028380000000001</v>
      </c>
      <c r="T4928">
        <v>-0.13896939999999999</v>
      </c>
      <c r="U4928">
        <v>-0.93627930000000004</v>
      </c>
      <c r="V4928">
        <v>4.8637140000000002E-2</v>
      </c>
      <c r="W4928">
        <v>0.18798490000000001</v>
      </c>
      <c r="X4928">
        <v>0.98096689999999998</v>
      </c>
      <c r="Y4928">
        <v>0.25880769999999997</v>
      </c>
      <c r="Z4928">
        <v>-5.8885489999999999E-3</v>
      </c>
      <c r="AA4928">
        <v>0.96591090000000002</v>
      </c>
      <c r="AB4928">
        <v>36</v>
      </c>
      <c r="AC4928">
        <v>25.061499999999999</v>
      </c>
      <c r="AD4928">
        <v>-1.1689849999999999</v>
      </c>
      <c r="AE4928">
        <v>-7.8674969999999904</v>
      </c>
      <c r="AF4928">
        <v>6.8415292631877298</v>
      </c>
      <c r="AG4928">
        <v>-1.1689849999999999</v>
      </c>
      <c r="AH4928">
        <v>25.3070111780697</v>
      </c>
      <c r="AI4928">
        <v>92.553207857896297</v>
      </c>
      <c r="AJ4928">
        <v>74.872202284465402</v>
      </c>
      <c r="AK4928">
        <v>26.241529363896198</v>
      </c>
      <c r="AL4928">
        <v>79.164791175225403</v>
      </c>
      <c r="AM4928">
        <v>87.161552816822294</v>
      </c>
      <c r="AN4928">
        <v>0.99999997645549898</v>
      </c>
    </row>
    <row r="4929" spans="1:40" x14ac:dyDescent="0.25">
      <c r="A4929" t="str">
        <f>"20190303171113651"</f>
        <v>20190303171113651</v>
      </c>
      <c r="B4929" t="str">
        <f>"1551604273645422"</f>
        <v>1551604273645422</v>
      </c>
      <c r="C4929" t="s">
        <v>40</v>
      </c>
      <c r="D4929">
        <v>4.9307439999999998</v>
      </c>
      <c r="E4929">
        <v>0.58830229999999994</v>
      </c>
      <c r="F4929" t="s">
        <v>41</v>
      </c>
      <c r="G4929">
        <v>-303.51499999999999</v>
      </c>
      <c r="H4929">
        <v>-0.05</v>
      </c>
      <c r="I4929">
        <v>9.4344940000000008</v>
      </c>
      <c r="J4929">
        <v>-328.6508</v>
      </c>
      <c r="K4929">
        <v>1.1189279999999999</v>
      </c>
      <c r="L4929">
        <v>17.35641</v>
      </c>
      <c r="M4929">
        <v>0.99908960000000002</v>
      </c>
      <c r="N4929">
        <v>-1.079482E-2</v>
      </c>
      <c r="O4929">
        <v>-4.1276430000000003E-2</v>
      </c>
      <c r="P4929">
        <v>0.98010679999999994</v>
      </c>
      <c r="Q4929">
        <v>0.1778612</v>
      </c>
      <c r="R4929">
        <v>-8.8069969999999997E-2</v>
      </c>
      <c r="S4929">
        <v>3.0019529999999999</v>
      </c>
      <c r="T4929">
        <v>-0.13844489999999901</v>
      </c>
      <c r="U4929">
        <v>-0.93933109999999997</v>
      </c>
      <c r="V4929">
        <v>4.8340210000000002E-2</v>
      </c>
      <c r="W4929">
        <v>0.18825700000000001</v>
      </c>
      <c r="X4929">
        <v>0.98092939999999995</v>
      </c>
      <c r="Y4929">
        <v>0.25868910000000001</v>
      </c>
      <c r="Z4929">
        <v>-5.8336480000000003E-3</v>
      </c>
      <c r="AA4929">
        <v>0.965943</v>
      </c>
      <c r="AB4929">
        <v>36</v>
      </c>
      <c r="AC4929">
        <v>25.1358</v>
      </c>
      <c r="AD4929">
        <v>-1.168928</v>
      </c>
      <c r="AE4929">
        <v>-7.9219159999999897</v>
      </c>
      <c r="AF4929">
        <v>6.86408403137023</v>
      </c>
      <c r="AG4929">
        <v>-1.168928</v>
      </c>
      <c r="AH4929">
        <v>25.391431682463001</v>
      </c>
      <c r="AI4929">
        <v>92.544613051184001</v>
      </c>
      <c r="AJ4929">
        <v>74.872764952079095</v>
      </c>
      <c r="AK4929">
        <v>26.328821567705699</v>
      </c>
      <c r="AL4929">
        <v>79.148917632470798</v>
      </c>
      <c r="AM4929">
        <v>87.178745796405707</v>
      </c>
      <c r="AN4929">
        <v>0.99999998086810105</v>
      </c>
    </row>
    <row r="4930" spans="1:40" x14ac:dyDescent="0.25">
      <c r="A4930" t="str">
        <f>"20190303171113662"</f>
        <v>20190303171113662</v>
      </c>
      <c r="B4930" t="str">
        <f>"1551604273656159"</f>
        <v>1551604273656159</v>
      </c>
      <c r="C4930" t="s">
        <v>40</v>
      </c>
      <c r="D4930">
        <v>4.9559850000000001</v>
      </c>
      <c r="E4930">
        <v>0.58846999999999905</v>
      </c>
      <c r="F4930" t="s">
        <v>41</v>
      </c>
      <c r="G4930">
        <v>-303.12689999999998</v>
      </c>
      <c r="H4930">
        <v>-0.05</v>
      </c>
      <c r="I4930">
        <v>9.3227689999999992</v>
      </c>
      <c r="J4930">
        <v>-328.47320000000002</v>
      </c>
      <c r="K4930">
        <v>1.118868</v>
      </c>
      <c r="L4930">
        <v>17.348269999999999</v>
      </c>
      <c r="M4930">
        <v>0.99904780000000004</v>
      </c>
      <c r="N4930">
        <v>-1.080619E-2</v>
      </c>
      <c r="O4930">
        <v>-4.227202E-2</v>
      </c>
      <c r="P4930">
        <v>0.97986980000000001</v>
      </c>
      <c r="Q4930">
        <v>0.1786837</v>
      </c>
      <c r="R4930">
        <v>-8.9036550000000006E-2</v>
      </c>
      <c r="S4930">
        <v>3.0009459999999999</v>
      </c>
      <c r="T4930">
        <v>-0.13743540000000001</v>
      </c>
      <c r="U4930">
        <v>-0.94454959999999999</v>
      </c>
      <c r="V4930">
        <v>4.8369710000000003E-2</v>
      </c>
      <c r="W4930">
        <v>0.1890812</v>
      </c>
      <c r="X4930">
        <v>0.98076949999999996</v>
      </c>
      <c r="Y4930">
        <v>0.25935140000000001</v>
      </c>
      <c r="Z4930">
        <v>-5.7919130000000001E-3</v>
      </c>
      <c r="AA4930">
        <v>0.96576569999999995</v>
      </c>
      <c r="AB4930">
        <v>36</v>
      </c>
      <c r="AC4930">
        <v>25.346299999999999</v>
      </c>
      <c r="AD4930">
        <v>-1.168868</v>
      </c>
      <c r="AE4930">
        <v>-8.0255009999999896</v>
      </c>
      <c r="AF4930">
        <v>6.9334231646887003</v>
      </c>
      <c r="AG4930">
        <v>-1.168868</v>
      </c>
      <c r="AH4930">
        <v>25.613407241023999</v>
      </c>
      <c r="AI4930">
        <v>92.522228403527606</v>
      </c>
      <c r="AJ4930">
        <v>74.853312539434896</v>
      </c>
      <c r="AK4930">
        <v>26.560972114676201</v>
      </c>
      <c r="AL4930">
        <v>79.1008318341066</v>
      </c>
      <c r="AM4930">
        <v>87.176567388120404</v>
      </c>
      <c r="AN4930">
        <v>1.00000007058458</v>
      </c>
    </row>
    <row r="4931" spans="1:40" x14ac:dyDescent="0.25">
      <c r="A4931" t="str">
        <f>"20190303171113674"</f>
        <v>20190303171113674</v>
      </c>
      <c r="B4931" t="str">
        <f>"1551604273665919"</f>
        <v>1551604273665919</v>
      </c>
      <c r="C4931" t="s">
        <v>40</v>
      </c>
      <c r="D4931">
        <v>4.9474600000000004</v>
      </c>
      <c r="E4931">
        <v>0.58860859999999904</v>
      </c>
      <c r="F4931" t="s">
        <v>41</v>
      </c>
      <c r="G4931">
        <v>-302.3655</v>
      </c>
      <c r="H4931">
        <v>-0.05</v>
      </c>
      <c r="I4931">
        <v>9.0828699999999998</v>
      </c>
      <c r="J4931">
        <v>-328.26319999999998</v>
      </c>
      <c r="K4931">
        <v>1.118787</v>
      </c>
      <c r="L4931">
        <v>17.33841</v>
      </c>
      <c r="M4931">
        <v>0.99899490000000002</v>
      </c>
      <c r="N4931">
        <v>-1.082222E-2</v>
      </c>
      <c r="O4931">
        <v>-4.3498380000000003E-2</v>
      </c>
      <c r="P4931">
        <v>0.97965159999999996</v>
      </c>
      <c r="Q4931">
        <v>0.17919099999999999</v>
      </c>
      <c r="R4931">
        <v>-9.0407950000000001E-2</v>
      </c>
      <c r="S4931">
        <v>2.9998170000000002</v>
      </c>
      <c r="T4931">
        <v>-0.134304799999999</v>
      </c>
      <c r="U4931">
        <v>-0.94970699999999997</v>
      </c>
      <c r="V4931">
        <v>4.8585089999999997E-2</v>
      </c>
      <c r="W4931">
        <v>0.18959200000000001</v>
      </c>
      <c r="X4931">
        <v>0.98066010000000003</v>
      </c>
      <c r="Y4931">
        <v>0.25979099999999999</v>
      </c>
      <c r="Z4931">
        <v>-5.678064E-3</v>
      </c>
      <c r="AA4931">
        <v>0.96564819999999996</v>
      </c>
      <c r="AB4931">
        <v>36</v>
      </c>
      <c r="AC4931">
        <v>25.897699999999901</v>
      </c>
      <c r="AD4931">
        <v>-1.168787</v>
      </c>
      <c r="AE4931">
        <v>-8.2555399999999999</v>
      </c>
      <c r="AF4931">
        <v>7.1080091258733296</v>
      </c>
      <c r="AG4931">
        <v>-1.168787</v>
      </c>
      <c r="AH4931">
        <v>26.183896668035</v>
      </c>
      <c r="AI4931">
        <v>92.466693518715203</v>
      </c>
      <c r="AJ4931">
        <v>74.812223629138799</v>
      </c>
      <c r="AK4931">
        <v>27.156699017133899</v>
      </c>
      <c r="AL4931">
        <v>79.071024526928696</v>
      </c>
      <c r="AM4931">
        <v>87.163699865136806</v>
      </c>
      <c r="AN4931">
        <v>0.99999993458315695</v>
      </c>
    </row>
    <row r="4932" spans="1:40" x14ac:dyDescent="0.25">
      <c r="A4932" t="str">
        <f>"20190303171113694"</f>
        <v>20190303171113694</v>
      </c>
      <c r="B4932" t="str">
        <f>"1551604273685438"</f>
        <v>1551604273685438</v>
      </c>
      <c r="C4932" t="s">
        <v>40</v>
      </c>
      <c r="D4932">
        <v>4.9256520000000004</v>
      </c>
      <c r="E4932">
        <v>0.58875849999999996</v>
      </c>
      <c r="F4932" t="s">
        <v>41</v>
      </c>
      <c r="G4932">
        <v>-301.86470000000003</v>
      </c>
      <c r="H4932">
        <v>-0.05</v>
      </c>
      <c r="I4932">
        <v>8.9273380000000007</v>
      </c>
      <c r="J4932">
        <v>-327.95890000000003</v>
      </c>
      <c r="K4932">
        <v>1.11864599999999</v>
      </c>
      <c r="L4932">
        <v>17.323429999999998</v>
      </c>
      <c r="M4932">
        <v>0.99890749999999995</v>
      </c>
      <c r="N4932">
        <v>-1.0852280000000001E-2</v>
      </c>
      <c r="O4932">
        <v>-4.5452569999999998E-2</v>
      </c>
      <c r="P4932">
        <v>0.97924520000000004</v>
      </c>
      <c r="Q4932">
        <v>0.18034359999999999</v>
      </c>
      <c r="R4932">
        <v>-9.249404E-2</v>
      </c>
      <c r="S4932">
        <v>2.9984130000000002</v>
      </c>
      <c r="T4932">
        <v>-0.13275410000000001</v>
      </c>
      <c r="U4932">
        <v>-0.9553528</v>
      </c>
      <c r="V4932">
        <v>4.884351E-2</v>
      </c>
      <c r="W4932">
        <v>0.19075210000000001</v>
      </c>
      <c r="X4932">
        <v>0.98042229999999997</v>
      </c>
      <c r="Y4932">
        <v>0.25968999999999998</v>
      </c>
      <c r="Z4932">
        <v>-5.5746800000000003E-3</v>
      </c>
      <c r="AA4932">
        <v>0.96567599999999998</v>
      </c>
      <c r="AB4932">
        <v>36</v>
      </c>
      <c r="AC4932">
        <v>26.094200000000001</v>
      </c>
      <c r="AD4932">
        <v>-1.1686460000000001</v>
      </c>
      <c r="AE4932">
        <v>-8.3960919999999906</v>
      </c>
      <c r="AF4932">
        <v>7.1882300477164804</v>
      </c>
      <c r="AG4932">
        <v>-1.1686460000000001</v>
      </c>
      <c r="AH4932">
        <v>26.400889101219398</v>
      </c>
      <c r="AI4932">
        <v>92.445650085549005</v>
      </c>
      <c r="AJ4932">
        <v>74.769148921416203</v>
      </c>
      <c r="AK4932">
        <v>27.386918958274599</v>
      </c>
      <c r="AL4932">
        <v>79.0033205175625</v>
      </c>
      <c r="AM4932">
        <v>87.147948202121</v>
      </c>
      <c r="AN4932">
        <v>0.99999996923040901</v>
      </c>
    </row>
    <row r="4933" spans="1:40" x14ac:dyDescent="0.25">
      <c r="A4933" t="str">
        <f>"20190303171113708"</f>
        <v>20190303171113708</v>
      </c>
      <c r="B4933" t="str">
        <f>"1551604273696177"</f>
        <v>1551604273696177</v>
      </c>
      <c r="C4933" t="s">
        <v>40</v>
      </c>
      <c r="D4933">
        <v>4.9263539999999999</v>
      </c>
      <c r="E4933">
        <v>0.59150689999999995</v>
      </c>
      <c r="F4933" t="s">
        <v>41</v>
      </c>
      <c r="G4933">
        <v>-300.76900000000001</v>
      </c>
      <c r="H4933">
        <v>-0.05</v>
      </c>
      <c r="I4933">
        <v>8.5784149999999997</v>
      </c>
      <c r="J4933">
        <v>-327.72239999999999</v>
      </c>
      <c r="K4933">
        <v>1.118509</v>
      </c>
      <c r="L4933">
        <v>17.31119</v>
      </c>
      <c r="M4933">
        <v>0.99882959999999998</v>
      </c>
      <c r="N4933">
        <v>-1.088107E-2</v>
      </c>
      <c r="O4933">
        <v>-4.7131260000000001E-2</v>
      </c>
      <c r="P4933">
        <v>0.9790122</v>
      </c>
      <c r="Q4933">
        <v>0.18066070000000001</v>
      </c>
      <c r="R4933">
        <v>-9.4324329999999998E-2</v>
      </c>
      <c r="S4933">
        <v>2.9962770000000001</v>
      </c>
      <c r="T4933">
        <v>-0.1287826</v>
      </c>
      <c r="U4933">
        <v>-0.96368410000000004</v>
      </c>
      <c r="V4933">
        <v>4.9101180000000001E-2</v>
      </c>
      <c r="W4933">
        <v>0.19107830000000001</v>
      </c>
      <c r="X4933">
        <v>0.98034600000000005</v>
      </c>
      <c r="Y4933">
        <v>0.26071460000000002</v>
      </c>
      <c r="Z4933">
        <v>-5.4471249999999997E-3</v>
      </c>
      <c r="AA4933">
        <v>0.96540060000000005</v>
      </c>
      <c r="AB4933">
        <v>36</v>
      </c>
      <c r="AC4933">
        <v>26.953399999999899</v>
      </c>
      <c r="AD4933">
        <v>-1.168509</v>
      </c>
      <c r="AE4933">
        <v>-8.7327750000000002</v>
      </c>
      <c r="AF4933">
        <v>7.4399915801545102</v>
      </c>
      <c r="AG4933">
        <v>-1.168509</v>
      </c>
      <c r="AH4933">
        <v>27.288638315492602</v>
      </c>
      <c r="AI4933">
        <v>92.365682723560596</v>
      </c>
      <c r="AJ4933">
        <v>74.749501907219795</v>
      </c>
      <c r="AK4933">
        <v>28.308809037287698</v>
      </c>
      <c r="AL4933">
        <v>78.984281445556903</v>
      </c>
      <c r="AM4933">
        <v>87.132704699818902</v>
      </c>
      <c r="AN4933">
        <v>1.00000006116213</v>
      </c>
    </row>
    <row r="4934" spans="1:40" x14ac:dyDescent="0.25">
      <c r="A4934" t="str">
        <f>"20190303171113727"</f>
        <v>20190303171113727</v>
      </c>
      <c r="B4934" t="str">
        <f>"1551604273715694"</f>
        <v>1551604273715694</v>
      </c>
      <c r="C4934" t="s">
        <v>40</v>
      </c>
      <c r="D4934">
        <v>4.933821</v>
      </c>
      <c r="E4934">
        <v>0.59173229999999999</v>
      </c>
      <c r="F4934" t="s">
        <v>41</v>
      </c>
      <c r="G4934">
        <v>-301.64060000000001</v>
      </c>
      <c r="H4934">
        <v>-0.05</v>
      </c>
      <c r="I4934">
        <v>8.6754610000000003</v>
      </c>
      <c r="J4934">
        <v>-327.42450000000002</v>
      </c>
      <c r="K4934">
        <v>1.118312</v>
      </c>
      <c r="L4934">
        <v>17.295100000000001</v>
      </c>
      <c r="M4934">
        <v>0.99871799999999999</v>
      </c>
      <c r="N4934">
        <v>-1.092018E-2</v>
      </c>
      <c r="O4934">
        <v>-4.9427859999999997E-2</v>
      </c>
      <c r="P4934">
        <v>0.97865999999999997</v>
      </c>
      <c r="Q4934">
        <v>0.18117130000000001</v>
      </c>
      <c r="R4934">
        <v>-9.6962740000000006E-2</v>
      </c>
      <c r="S4934">
        <v>2.9935909999999999</v>
      </c>
      <c r="T4934">
        <v>-0.13411770000000001</v>
      </c>
      <c r="U4934">
        <v>-0.99118039999999996</v>
      </c>
      <c r="V4934">
        <v>4.959305E-2</v>
      </c>
      <c r="W4934">
        <v>0.19159970000000001</v>
      </c>
      <c r="X4934">
        <v>0.98021939999999996</v>
      </c>
      <c r="Y4934">
        <v>0.266731099999999</v>
      </c>
      <c r="Z4934">
        <v>-5.6879620000000004E-3</v>
      </c>
      <c r="AA4934">
        <v>0.96375420000000001</v>
      </c>
      <c r="AB4934">
        <v>36</v>
      </c>
      <c r="AC4934">
        <v>25.783899999999999</v>
      </c>
      <c r="AD4934">
        <v>-1.168312</v>
      </c>
      <c r="AE4934">
        <v>-8.6196389999999994</v>
      </c>
      <c r="AF4934">
        <v>7.3210627054134596</v>
      </c>
      <c r="AG4934">
        <v>-1.168312</v>
      </c>
      <c r="AH4934">
        <v>26.130200044008799</v>
      </c>
      <c r="AI4934">
        <v>92.465249004209696</v>
      </c>
      <c r="AJ4934">
        <v>74.348387213653297</v>
      </c>
      <c r="AK4934">
        <v>27.161558615179999</v>
      </c>
      <c r="AL4934">
        <v>78.953844333404007</v>
      </c>
      <c r="AM4934">
        <v>87.103656892953296</v>
      </c>
      <c r="AN4934">
        <v>0.99999999389237604</v>
      </c>
    </row>
    <row r="4935" spans="1:40" x14ac:dyDescent="0.25">
      <c r="A4935" t="str">
        <f>"20190303171113741"</f>
        <v>20190303171113741</v>
      </c>
      <c r="B4935" t="str">
        <f>"1551604273725457"</f>
        <v>1551604273725457</v>
      </c>
      <c r="C4935" t="s">
        <v>40</v>
      </c>
      <c r="D4935">
        <v>4.9216220000000002</v>
      </c>
      <c r="E4935">
        <v>0.59200249999999999</v>
      </c>
      <c r="F4935" t="s">
        <v>41</v>
      </c>
      <c r="G4935">
        <v>-300.6585</v>
      </c>
      <c r="H4935">
        <v>-0.05</v>
      </c>
      <c r="I4935">
        <v>8.3226009999999899</v>
      </c>
      <c r="J4935">
        <v>-327.20190000000002</v>
      </c>
      <c r="K4935">
        <v>1.1181540000000001</v>
      </c>
      <c r="L4935">
        <v>17.282589999999999</v>
      </c>
      <c r="M4935">
        <v>0.99862419999999996</v>
      </c>
      <c r="N4935">
        <v>-1.0951219999999999E-2</v>
      </c>
      <c r="O4935">
        <v>-5.1281420000000001E-2</v>
      </c>
      <c r="P4935">
        <v>0.9782573</v>
      </c>
      <c r="Q4935">
        <v>0.1821072</v>
      </c>
      <c r="R4935">
        <v>-9.9245169999999994E-2</v>
      </c>
      <c r="S4935">
        <v>2.9902950000000001</v>
      </c>
      <c r="T4935">
        <v>-0.13052420000000001</v>
      </c>
      <c r="U4935">
        <v>-1.0024109999999999</v>
      </c>
      <c r="V4935">
        <v>5.0152879999999997E-2</v>
      </c>
      <c r="W4935">
        <v>0.1925403</v>
      </c>
      <c r="X4935">
        <v>0.98000659999999895</v>
      </c>
      <c r="Y4935">
        <v>0.26852769999999998</v>
      </c>
      <c r="Z4935">
        <v>-5.5876279999999999E-3</v>
      </c>
      <c r="AA4935">
        <v>0.9632558</v>
      </c>
      <c r="AB4935">
        <v>36</v>
      </c>
      <c r="AC4935">
        <v>26.543399999999998</v>
      </c>
      <c r="AD4935">
        <v>-1.1681539999999999</v>
      </c>
      <c r="AE4935">
        <v>-8.9599890000000002</v>
      </c>
      <c r="AF4935">
        <v>7.5737650961859098</v>
      </c>
      <c r="AG4935">
        <v>-1.1681539999999999</v>
      </c>
      <c r="AH4935">
        <v>26.921172011642099</v>
      </c>
      <c r="AI4935">
        <v>92.391861522352897</v>
      </c>
      <c r="AJ4935">
        <v>74.287051929597098</v>
      </c>
      <c r="AK4935">
        <v>27.9906413642193</v>
      </c>
      <c r="AL4935">
        <v>78.8989296236971</v>
      </c>
      <c r="AM4935">
        <v>87.070383310246996</v>
      </c>
      <c r="AN4935">
        <v>1.00000000726997</v>
      </c>
    </row>
    <row r="4936" spans="1:40" x14ac:dyDescent="0.25">
      <c r="A4936" t="str">
        <f>"20190303171113752"</f>
        <v>20190303171113752</v>
      </c>
      <c r="B4936" t="str">
        <f>"1551604273745951"</f>
        <v>1551604273745951</v>
      </c>
      <c r="C4936" t="s">
        <v>40</v>
      </c>
      <c r="D4936">
        <v>4.9169119999999999</v>
      </c>
      <c r="E4936">
        <v>0.59236009999999995</v>
      </c>
      <c r="F4936" t="s">
        <v>41</v>
      </c>
      <c r="G4936">
        <v>-299.65179999999998</v>
      </c>
      <c r="H4936">
        <v>-0.05</v>
      </c>
      <c r="I4936">
        <v>7.9484859999999999</v>
      </c>
      <c r="J4936">
        <v>-326.99459999999999</v>
      </c>
      <c r="K4936">
        <v>1.118001</v>
      </c>
      <c r="L4936">
        <v>17.27045</v>
      </c>
      <c r="M4936">
        <v>0.99852730000000001</v>
      </c>
      <c r="N4936">
        <v>-1.0982260000000001E-2</v>
      </c>
      <c r="O4936">
        <v>-5.3129379999999997E-2</v>
      </c>
      <c r="P4936">
        <v>0.97786680000000004</v>
      </c>
      <c r="Q4936">
        <v>0.18296480000000001</v>
      </c>
      <c r="R4936">
        <v>-0.10149080000000001</v>
      </c>
      <c r="S4936">
        <v>2.9875790000000002</v>
      </c>
      <c r="T4936">
        <v>-0.1266767</v>
      </c>
      <c r="U4936">
        <v>-1.0122070000000001</v>
      </c>
      <c r="V4936">
        <v>5.067936E-2</v>
      </c>
      <c r="W4936">
        <v>0.19340399999999999</v>
      </c>
      <c r="X4936">
        <v>0.97980940000000005</v>
      </c>
      <c r="Y4936">
        <v>0.26985720000000002</v>
      </c>
      <c r="Z4936">
        <v>-5.4702099999999997E-3</v>
      </c>
      <c r="AA4936">
        <v>0.96288479999999999</v>
      </c>
      <c r="AB4936">
        <v>36</v>
      </c>
      <c r="AC4936">
        <v>27.3428</v>
      </c>
      <c r="AD4936">
        <v>-1.1680010000000001</v>
      </c>
      <c r="AE4936">
        <v>-9.3219639999999995</v>
      </c>
      <c r="AF4936">
        <v>7.8431813981997696</v>
      </c>
      <c r="AG4936">
        <v>-1.1680010000000001</v>
      </c>
      <c r="AH4936">
        <v>27.754106964676101</v>
      </c>
      <c r="AI4936">
        <v>92.319089872276606</v>
      </c>
      <c r="AJ4936">
        <v>74.219955120087107</v>
      </c>
      <c r="AK4936">
        <v>28.864687321842698</v>
      </c>
      <c r="AL4936">
        <v>78.848495026555497</v>
      </c>
      <c r="AM4936">
        <v>87.039089325718706</v>
      </c>
      <c r="AN4936">
        <v>0.99999998253718403</v>
      </c>
    </row>
    <row r="4937" spans="1:40" x14ac:dyDescent="0.25">
      <c r="A4937" t="str">
        <f>"20190303171113770"</f>
        <v>20190303171113770</v>
      </c>
      <c r="B4937" t="str">
        <f>"1551604273755711"</f>
        <v>1551604273755711</v>
      </c>
      <c r="C4937" t="s">
        <v>40</v>
      </c>
      <c r="D4937">
        <v>4.9354149999999999</v>
      </c>
      <c r="E4937">
        <v>0.59244160000000001</v>
      </c>
      <c r="F4937" t="s">
        <v>41</v>
      </c>
      <c r="G4937">
        <v>-299.0446</v>
      </c>
      <c r="H4937">
        <v>-0.05</v>
      </c>
      <c r="I4937">
        <v>7.6990049999999997</v>
      </c>
      <c r="J4937">
        <v>-326.72739999999999</v>
      </c>
      <c r="K4937">
        <v>1.117801</v>
      </c>
      <c r="L4937">
        <v>17.253969999999999</v>
      </c>
      <c r="M4937">
        <v>0.99838709999999997</v>
      </c>
      <c r="N4937">
        <v>-1.1026350000000001E-2</v>
      </c>
      <c r="O4937">
        <v>-5.5693430000000002E-2</v>
      </c>
      <c r="P4937">
        <v>0.97699950000000002</v>
      </c>
      <c r="Q4937">
        <v>0.1849171</v>
      </c>
      <c r="R4937">
        <v>-0.106195899999999</v>
      </c>
      <c r="S4937">
        <v>2.9851070000000002</v>
      </c>
      <c r="T4937">
        <v>-0.12474449999999999</v>
      </c>
      <c r="U4937">
        <v>-1.0222469999999999</v>
      </c>
      <c r="V4937">
        <v>5.3016559999999997E-2</v>
      </c>
      <c r="W4937">
        <v>0.1953521</v>
      </c>
      <c r="X4937">
        <v>0.97929909999999998</v>
      </c>
      <c r="Y4937">
        <v>0.27053519999999998</v>
      </c>
      <c r="Z4937">
        <v>-5.3702259999999996E-3</v>
      </c>
      <c r="AA4937">
        <v>0.96269510000000003</v>
      </c>
      <c r="AB4937">
        <v>36</v>
      </c>
      <c r="AC4937">
        <v>27.682799999999901</v>
      </c>
      <c r="AD4937">
        <v>-1.1678010000000001</v>
      </c>
      <c r="AE4937">
        <v>-9.5549649999999993</v>
      </c>
      <c r="AF4937">
        <v>7.9855911791830199</v>
      </c>
      <c r="AG4937">
        <v>-1.1678010000000001</v>
      </c>
      <c r="AH4937">
        <v>28.127283535674401</v>
      </c>
      <c r="AI4937">
        <v>92.287175845060005</v>
      </c>
      <c r="AJ4937">
        <v>74.150274233821307</v>
      </c>
      <c r="AK4937">
        <v>29.262219750949601</v>
      </c>
      <c r="AL4937">
        <v>78.734706553837597</v>
      </c>
      <c r="AM4937">
        <v>86.901189084769399</v>
      </c>
      <c r="AN4937">
        <v>0.99999996293472604</v>
      </c>
    </row>
    <row r="4938" spans="1:40" x14ac:dyDescent="0.25">
      <c r="A4938" t="str">
        <f>"20190303171113782"</f>
        <v>20190303171113782</v>
      </c>
      <c r="B4938" t="str">
        <f>"1551604273776207"</f>
        <v>1551604273776207</v>
      </c>
      <c r="C4938" t="s">
        <v>40</v>
      </c>
      <c r="D4938">
        <v>4.9048049999999996</v>
      </c>
      <c r="E4938">
        <v>0.59267590000000003</v>
      </c>
      <c r="F4938" t="s">
        <v>41</v>
      </c>
      <c r="G4938">
        <v>-297.5444</v>
      </c>
      <c r="H4938">
        <v>-0.05</v>
      </c>
      <c r="I4938">
        <v>7.0979159999999997</v>
      </c>
      <c r="J4938">
        <v>-326.53359999999998</v>
      </c>
      <c r="K4938">
        <v>1.1176539999999999</v>
      </c>
      <c r="L4938">
        <v>17.24155</v>
      </c>
      <c r="M4938">
        <v>0.99827509999999997</v>
      </c>
      <c r="N4938">
        <v>-1.1062890000000001E-2</v>
      </c>
      <c r="O4938">
        <v>-5.7660639999999999E-2</v>
      </c>
      <c r="P4938">
        <v>0.97658590000000001</v>
      </c>
      <c r="Q4938">
        <v>0.18538689999999999</v>
      </c>
      <c r="R4938">
        <v>-0.1091428</v>
      </c>
      <c r="S4938">
        <v>2.9804379999999999</v>
      </c>
      <c r="T4938">
        <v>-0.11926639999999999</v>
      </c>
      <c r="U4938">
        <v>-1.037231</v>
      </c>
      <c r="V4938">
        <v>5.4125769999999997E-2</v>
      </c>
      <c r="W4938">
        <v>0.19582859999999999</v>
      </c>
      <c r="X4938">
        <v>0.97914330000000005</v>
      </c>
      <c r="Y4938">
        <v>0.27343859999999998</v>
      </c>
      <c r="Z4938">
        <v>-5.2563559999999898E-3</v>
      </c>
      <c r="AA4938">
        <v>0.96187509999999998</v>
      </c>
      <c r="AB4938">
        <v>36</v>
      </c>
      <c r="AC4938">
        <v>28.989199999999901</v>
      </c>
      <c r="AD4938">
        <v>-1.167654</v>
      </c>
      <c r="AE4938">
        <v>-10.143634</v>
      </c>
      <c r="AF4938">
        <v>8.4429139706407792</v>
      </c>
      <c r="AG4938">
        <v>-1.167654</v>
      </c>
      <c r="AH4938">
        <v>29.483271529293901</v>
      </c>
      <c r="AI4938">
        <v>92.180404359843607</v>
      </c>
      <c r="AJ4938">
        <v>74.020253966112193</v>
      </c>
      <c r="AK4938">
        <v>30.690544345928899</v>
      </c>
      <c r="AL4938">
        <v>78.706868081226105</v>
      </c>
      <c r="AM4938">
        <v>86.835983895279895</v>
      </c>
      <c r="AN4938">
        <v>1.00000002074547</v>
      </c>
    </row>
    <row r="4939" spans="1:40" x14ac:dyDescent="0.25">
      <c r="A4939" t="str">
        <f>"20190303171113792"</f>
        <v>20190303171113792</v>
      </c>
      <c r="B4939" t="str">
        <f>"1551604273785966"</f>
        <v>1551604273785966</v>
      </c>
      <c r="C4939" t="s">
        <v>40</v>
      </c>
      <c r="D4939">
        <v>4.9028839999999896</v>
      </c>
      <c r="E4939">
        <v>0.59273369999999903</v>
      </c>
      <c r="F4939" t="s">
        <v>41</v>
      </c>
      <c r="G4939">
        <v>-297.5795</v>
      </c>
      <c r="H4939">
        <v>-0.05</v>
      </c>
      <c r="I4939">
        <v>7.0513759999999897</v>
      </c>
      <c r="J4939">
        <v>-326.34469999999999</v>
      </c>
      <c r="K4939">
        <v>1.117505</v>
      </c>
      <c r="L4939">
        <v>17.229029999999899</v>
      </c>
      <c r="M4939">
        <v>0.99815620000000005</v>
      </c>
      <c r="N4939">
        <v>-1.110353E-2</v>
      </c>
      <c r="O4939">
        <v>-5.9674940000000003E-2</v>
      </c>
      <c r="P4939">
        <v>0.97623280000000001</v>
      </c>
      <c r="Q4939">
        <v>0.18553130000000001</v>
      </c>
      <c r="R4939">
        <v>-0.11201750000000001</v>
      </c>
      <c r="S4939">
        <v>2.9775999999999998</v>
      </c>
      <c r="T4939">
        <v>-0.1200798</v>
      </c>
      <c r="U4939">
        <v>-1.0479430000000001</v>
      </c>
      <c r="V4939">
        <v>5.5111430000000003E-2</v>
      </c>
      <c r="W4939">
        <v>0.1959843</v>
      </c>
      <c r="X4939">
        <v>0.97905710000000001</v>
      </c>
      <c r="Y4939">
        <v>0.27486080000000002</v>
      </c>
      <c r="Z4939">
        <v>-5.2664309999999898E-3</v>
      </c>
      <c r="AA4939">
        <v>0.96146960000000004</v>
      </c>
      <c r="AB4939">
        <v>36</v>
      </c>
      <c r="AC4939">
        <v>28.7652</v>
      </c>
      <c r="AD4939">
        <v>-1.167505</v>
      </c>
      <c r="AE4939">
        <v>-10.177654</v>
      </c>
      <c r="AF4939">
        <v>8.4305038046455198</v>
      </c>
      <c r="AG4939">
        <v>-1.167505</v>
      </c>
      <c r="AH4939">
        <v>29.278453116475401</v>
      </c>
      <c r="AI4939">
        <v>92.194443952649607</v>
      </c>
      <c r="AJ4939">
        <v>73.936654666615894</v>
      </c>
      <c r="AK4939">
        <v>30.4903965080616</v>
      </c>
      <c r="AL4939">
        <v>78.697770155673595</v>
      </c>
      <c r="AM4939">
        <v>86.778202664010607</v>
      </c>
      <c r="AN4939">
        <v>0.99999996031177096</v>
      </c>
    </row>
    <row r="4940" spans="1:40" x14ac:dyDescent="0.25">
      <c r="A4940" t="str">
        <f>"20190303171113804"</f>
        <v>20190303171113804</v>
      </c>
      <c r="B4940" t="str">
        <f>"1551604273795726"</f>
        <v>1551604273795726</v>
      </c>
      <c r="C4940" t="s">
        <v>40</v>
      </c>
      <c r="D4940">
        <v>4.9055989999999996</v>
      </c>
      <c r="E4940">
        <v>0.59286700000000003</v>
      </c>
      <c r="F4940" t="s">
        <v>41</v>
      </c>
      <c r="G4940">
        <v>-297.50060000000002</v>
      </c>
      <c r="H4940">
        <v>-0.05</v>
      </c>
      <c r="I4940">
        <v>6.9771270000000003</v>
      </c>
      <c r="J4940">
        <v>-326.16269999999997</v>
      </c>
      <c r="K4940">
        <v>1.1173599999999999</v>
      </c>
      <c r="L4940">
        <v>17.216429999999999</v>
      </c>
      <c r="M4940">
        <v>0.99803059999999999</v>
      </c>
      <c r="N4940">
        <v>-1.1147260000000001E-2</v>
      </c>
      <c r="O4940">
        <v>-6.1729449999999998E-2</v>
      </c>
      <c r="P4940">
        <v>0.97592559999999995</v>
      </c>
      <c r="Q4940">
        <v>0.18531020000000001</v>
      </c>
      <c r="R4940">
        <v>-0.1150206</v>
      </c>
      <c r="S4940">
        <v>2.9746090000000001</v>
      </c>
      <c r="T4940">
        <v>-0.1204017</v>
      </c>
      <c r="U4940">
        <v>-1.0572509999999999</v>
      </c>
      <c r="V4940">
        <v>5.6178440000000003E-2</v>
      </c>
      <c r="W4940">
        <v>0.19577720000000001</v>
      </c>
      <c r="X4940">
        <v>0.97903790000000002</v>
      </c>
      <c r="Y4940">
        <v>0.2758563</v>
      </c>
      <c r="Z4940">
        <v>-5.2527340000000002E-3</v>
      </c>
      <c r="AA4940">
        <v>0.9611845</v>
      </c>
      <c r="AB4940">
        <v>36</v>
      </c>
      <c r="AC4940">
        <v>28.662099999999899</v>
      </c>
      <c r="AD4940">
        <v>-1.16736</v>
      </c>
      <c r="AE4940">
        <v>-10.239303</v>
      </c>
      <c r="AF4940">
        <v>8.4379549309233006</v>
      </c>
      <c r="AG4940">
        <v>-1.16736</v>
      </c>
      <c r="AH4940">
        <v>29.1965881974727</v>
      </c>
      <c r="AI4940">
        <v>92.199695985076502</v>
      </c>
      <c r="AJ4940">
        <v>73.880450854617905</v>
      </c>
      <c r="AK4940">
        <v>30.413854986809799</v>
      </c>
      <c r="AL4940">
        <v>78.709870627743896</v>
      </c>
      <c r="AM4940">
        <v>86.715896558550995</v>
      </c>
      <c r="AN4940">
        <v>0.99999996939854097</v>
      </c>
    </row>
    <row r="4941" spans="1:40" x14ac:dyDescent="0.25">
      <c r="A4941" t="str">
        <f>"20190303171113818"</f>
        <v>20190303171113818</v>
      </c>
      <c r="B4941" t="str">
        <f>"1551604273805487"</f>
        <v>1551604273805487</v>
      </c>
      <c r="C4941" t="s">
        <v>40</v>
      </c>
      <c r="D4941">
        <v>4.8937210000000002</v>
      </c>
      <c r="E4941">
        <v>0.59299729999999995</v>
      </c>
      <c r="F4941" t="s">
        <v>41</v>
      </c>
      <c r="G4941">
        <v>-297.57470000000001</v>
      </c>
      <c r="H4941">
        <v>-0.05</v>
      </c>
      <c r="I4941">
        <v>6.9446110000000001</v>
      </c>
      <c r="J4941">
        <v>-325.95330000000001</v>
      </c>
      <c r="K4941">
        <v>1.1171879999999901</v>
      </c>
      <c r="L4941">
        <v>17.201599999999999</v>
      </c>
      <c r="M4941">
        <v>0.99787689999999996</v>
      </c>
      <c r="N4941">
        <v>-1.119962E-2</v>
      </c>
      <c r="O4941">
        <v>-6.4159649999999999E-2</v>
      </c>
      <c r="P4941">
        <v>0.97573620000000005</v>
      </c>
      <c r="Q4941">
        <v>0.18450220000000001</v>
      </c>
      <c r="R4941">
        <v>-0.117891</v>
      </c>
      <c r="S4941">
        <v>2.9711910000000001</v>
      </c>
      <c r="T4941">
        <v>-0.1213254</v>
      </c>
      <c r="U4941">
        <v>-1.067566</v>
      </c>
      <c r="V4941">
        <v>5.6742500000000001E-2</v>
      </c>
      <c r="W4941">
        <v>0.1949939</v>
      </c>
      <c r="X4941">
        <v>0.97916170000000002</v>
      </c>
      <c r="Y4941">
        <v>0.2768196</v>
      </c>
      <c r="Z4941">
        <v>-5.2441730000000004E-3</v>
      </c>
      <c r="AA4941">
        <v>0.96090759999999997</v>
      </c>
      <c r="AB4941">
        <v>36</v>
      </c>
      <c r="AC4941">
        <v>28.378599999999999</v>
      </c>
      <c r="AD4941">
        <v>-1.1671879999999999</v>
      </c>
      <c r="AE4941">
        <v>-10.256989000000001</v>
      </c>
      <c r="AF4941">
        <v>8.4024069423603294</v>
      </c>
      <c r="AG4941">
        <v>-1.1671879999999999</v>
      </c>
      <c r="AH4941">
        <v>28.934957505137</v>
      </c>
      <c r="AI4941">
        <v>92.2184188889822</v>
      </c>
      <c r="AJ4941">
        <v>73.807259305177794</v>
      </c>
      <c r="AK4941">
        <v>30.152852867953499</v>
      </c>
      <c r="AL4941">
        <v>78.755632564888799</v>
      </c>
      <c r="AM4941">
        <v>86.683414206560499</v>
      </c>
      <c r="AN4941">
        <v>0.99999998354517405</v>
      </c>
    </row>
    <row r="4942" spans="1:40" x14ac:dyDescent="0.25">
      <c r="A4942" t="str">
        <f>"20190303171113830"</f>
        <v>20190303171113830</v>
      </c>
      <c r="B4942" t="str">
        <f>"1551604273815248"</f>
        <v>1551604273815248</v>
      </c>
      <c r="C4942" t="s">
        <v>40</v>
      </c>
      <c r="D4942">
        <v>4.9214539999999998</v>
      </c>
      <c r="E4942">
        <v>0.59302860000000002</v>
      </c>
      <c r="F4942" t="s">
        <v>41</v>
      </c>
      <c r="G4942">
        <v>-297.8929</v>
      </c>
      <c r="H4942">
        <v>-0.05</v>
      </c>
      <c r="I4942">
        <v>7.0125429999999902</v>
      </c>
      <c r="J4942">
        <v>-325.73599999999999</v>
      </c>
      <c r="K4942">
        <v>1.117008</v>
      </c>
      <c r="L4942">
        <v>17.185300000000002</v>
      </c>
      <c r="M4942">
        <v>0.997699</v>
      </c>
      <c r="N4942">
        <v>-1.126043E-2</v>
      </c>
      <c r="O4942">
        <v>-6.6858909999999994E-2</v>
      </c>
      <c r="P4942">
        <v>0.97538130000000001</v>
      </c>
      <c r="Q4942">
        <v>0.184223</v>
      </c>
      <c r="R4942">
        <v>-0.1212162</v>
      </c>
      <c r="S4942">
        <v>2.9677730000000002</v>
      </c>
      <c r="T4942">
        <v>-0.1234465</v>
      </c>
      <c r="U4942">
        <v>-1.077637</v>
      </c>
      <c r="V4942">
        <v>5.7515709999999998E-2</v>
      </c>
      <c r="W4942">
        <v>0.19474179999999999</v>
      </c>
      <c r="X4942">
        <v>0.97916669999999995</v>
      </c>
      <c r="Y4942">
        <v>0.27744920000000001</v>
      </c>
      <c r="Z4942">
        <v>-5.2483709999999999E-3</v>
      </c>
      <c r="AA4942">
        <v>0.96072599999999997</v>
      </c>
      <c r="AB4942">
        <v>36</v>
      </c>
      <c r="AC4942">
        <v>27.8431</v>
      </c>
      <c r="AD4942">
        <v>-1.167008</v>
      </c>
      <c r="AE4942">
        <v>-10.172757000000001</v>
      </c>
      <c r="AF4942">
        <v>8.2754888602537608</v>
      </c>
      <c r="AG4942">
        <v>-1.167008</v>
      </c>
      <c r="AH4942">
        <v>28.416931408126999</v>
      </c>
      <c r="AI4942">
        <v>92.257969579594999</v>
      </c>
      <c r="AJ4942">
        <v>73.763550914419397</v>
      </c>
      <c r="AK4942">
        <v>29.6203918644309</v>
      </c>
      <c r="AL4942">
        <v>78.770358492158294</v>
      </c>
      <c r="AM4942">
        <v>86.638340343168494</v>
      </c>
      <c r="AN4942">
        <v>0.99999992597646403</v>
      </c>
    </row>
    <row r="4943" spans="1:40" x14ac:dyDescent="0.25">
      <c r="A4943" t="str">
        <f>"20190303171113841"</f>
        <v>20190303171113841</v>
      </c>
      <c r="B4943" t="str">
        <f>"1551604273835742"</f>
        <v>1551604273835742</v>
      </c>
      <c r="C4943" t="s">
        <v>40</v>
      </c>
      <c r="D4943">
        <v>4.9098319999999998</v>
      </c>
      <c r="E4943">
        <v>0.59325410000000001</v>
      </c>
      <c r="F4943" t="s">
        <v>41</v>
      </c>
      <c r="G4943">
        <v>-297.8032</v>
      </c>
      <c r="H4943">
        <v>-0.05</v>
      </c>
      <c r="I4943">
        <v>6.9278409999999999</v>
      </c>
      <c r="J4943">
        <v>-325.55939999999998</v>
      </c>
      <c r="K4943">
        <v>1.1168610000000001</v>
      </c>
      <c r="L4943">
        <v>17.171659999999999</v>
      </c>
      <c r="M4943">
        <v>0.99754449999999995</v>
      </c>
      <c r="N4943">
        <v>-1.1311180000000001E-2</v>
      </c>
      <c r="O4943">
        <v>-6.9118020000000002E-2</v>
      </c>
      <c r="P4943">
        <v>0.97512339999999997</v>
      </c>
      <c r="Q4943">
        <v>0.18387029999999999</v>
      </c>
      <c r="R4943">
        <v>-0.1238001</v>
      </c>
      <c r="S4943">
        <v>2.9638369999999998</v>
      </c>
      <c r="T4943">
        <v>-0.1238266</v>
      </c>
      <c r="U4943">
        <v>-1.088379</v>
      </c>
      <c r="V4943">
        <v>5.7957410000000001E-2</v>
      </c>
      <c r="W4943">
        <v>0.1944149</v>
      </c>
      <c r="X4943">
        <v>0.97920569999999896</v>
      </c>
      <c r="Y4943">
        <v>0.27875250000000001</v>
      </c>
      <c r="Z4943">
        <v>-5.2386519999999999E-3</v>
      </c>
      <c r="AA4943">
        <v>0.96034870000000006</v>
      </c>
      <c r="AB4943">
        <v>36</v>
      </c>
      <c r="AC4943">
        <v>27.7561999999999</v>
      </c>
      <c r="AD4943">
        <v>-1.1668609999999999</v>
      </c>
      <c r="AE4943">
        <v>-10.243818999999901</v>
      </c>
      <c r="AF4943">
        <v>8.2878501487133995</v>
      </c>
      <c r="AG4943">
        <v>-1.1668609999999999</v>
      </c>
      <c r="AH4943">
        <v>28.353786648654498</v>
      </c>
      <c r="AI4943">
        <v>92.262049154221103</v>
      </c>
      <c r="AJ4943">
        <v>73.706287263622798</v>
      </c>
      <c r="AK4943">
        <v>29.563275224478499</v>
      </c>
      <c r="AL4943">
        <v>78.789454386968103</v>
      </c>
      <c r="AM4943">
        <v>86.612718492635906</v>
      </c>
      <c r="AN4943">
        <v>1.0000000088142</v>
      </c>
    </row>
    <row r="4944" spans="1:40" x14ac:dyDescent="0.25">
      <c r="A4944" t="str">
        <f>"20190303171113852"</f>
        <v>20190303171113852</v>
      </c>
      <c r="B4944" t="str">
        <f>"1551604273845503"</f>
        <v>1551604273845503</v>
      </c>
      <c r="C4944" t="s">
        <v>40</v>
      </c>
      <c r="D4944">
        <v>4.9208660000000002</v>
      </c>
      <c r="E4944">
        <v>0.59339109999999995</v>
      </c>
      <c r="F4944" t="s">
        <v>41</v>
      </c>
      <c r="G4944">
        <v>-297.83170000000001</v>
      </c>
      <c r="H4944">
        <v>-0.05</v>
      </c>
      <c r="I4944">
        <v>6.8839259999999998</v>
      </c>
      <c r="J4944">
        <v>-325.37599999999998</v>
      </c>
      <c r="K4944">
        <v>1.116708</v>
      </c>
      <c r="L4944">
        <v>17.15701</v>
      </c>
      <c r="M4944">
        <v>0.9973727</v>
      </c>
      <c r="N4944">
        <v>-1.1365709999999999E-2</v>
      </c>
      <c r="O4944">
        <v>-7.1543800000000005E-2</v>
      </c>
      <c r="P4944">
        <v>0.97473399999999999</v>
      </c>
      <c r="Q4944">
        <v>0.1838292</v>
      </c>
      <c r="R4944">
        <v>-0.12688940000000001</v>
      </c>
      <c r="S4944">
        <v>2.9605709999999998</v>
      </c>
      <c r="T4944">
        <v>-0.12458900000000001</v>
      </c>
      <c r="U4944">
        <v>-1.0984499999999999</v>
      </c>
      <c r="V4944">
        <v>5.8753779999999999E-2</v>
      </c>
      <c r="W4944">
        <v>0.1943976</v>
      </c>
      <c r="X4944">
        <v>0.97916170000000002</v>
      </c>
      <c r="Y4944">
        <v>0.27963130000000003</v>
      </c>
      <c r="Z4944">
        <v>-5.2216420000000003E-3</v>
      </c>
      <c r="AA4944">
        <v>0.96009330000000004</v>
      </c>
      <c r="AB4944">
        <v>36</v>
      </c>
      <c r="AC4944">
        <v>27.5442999999999</v>
      </c>
      <c r="AD4944">
        <v>-1.1667080000000001</v>
      </c>
      <c r="AE4944">
        <v>-10.2730839999999</v>
      </c>
      <c r="AF4944">
        <v>8.2629894874383005</v>
      </c>
      <c r="AG4944">
        <v>-1.1667080000000001</v>
      </c>
      <c r="AH4944">
        <v>28.1643697862213</v>
      </c>
      <c r="AI4944">
        <v>92.276283724762393</v>
      </c>
      <c r="AJ4944">
        <v>73.649129234144795</v>
      </c>
      <c r="AK4944">
        <v>29.3746477133223</v>
      </c>
      <c r="AL4944">
        <v>78.790465170761294</v>
      </c>
      <c r="AM4944">
        <v>86.566131868853702</v>
      </c>
      <c r="AN4944">
        <v>1.0000000341484601</v>
      </c>
    </row>
    <row r="4945" spans="1:40" x14ac:dyDescent="0.25">
      <c r="A4945" t="str">
        <f>"20190303171113865"</f>
        <v>20190303171113865</v>
      </c>
      <c r="B4945" t="str">
        <f>"1551604273856238"</f>
        <v>1551604273856238</v>
      </c>
      <c r="C4945" t="s">
        <v>40</v>
      </c>
      <c r="D4945">
        <v>4.8996909999999998</v>
      </c>
      <c r="E4945">
        <v>0.59354340000000005</v>
      </c>
      <c r="F4945" t="s">
        <v>41</v>
      </c>
      <c r="G4945">
        <v>-297.66660000000002</v>
      </c>
      <c r="H4945">
        <v>-0.05</v>
      </c>
      <c r="I4945">
        <v>6.7660520000000002</v>
      </c>
      <c r="J4945">
        <v>-325.17500000000001</v>
      </c>
      <c r="K4945">
        <v>1.1165449999999999</v>
      </c>
      <c r="L4945">
        <v>17.14029</v>
      </c>
      <c r="M4945">
        <v>0.99716959999999999</v>
      </c>
      <c r="N4945">
        <v>-1.143313E-2</v>
      </c>
      <c r="O4945">
        <v>-7.4311279999999993E-2</v>
      </c>
      <c r="P4945">
        <v>0.97420689999999999</v>
      </c>
      <c r="Q4945">
        <v>0.1843513</v>
      </c>
      <c r="R4945">
        <v>-0.1301368</v>
      </c>
      <c r="S4945">
        <v>2.9568789999999998</v>
      </c>
      <c r="T4945">
        <v>-0.1245</v>
      </c>
      <c r="U4945">
        <v>-1.1088260000000001</v>
      </c>
      <c r="V4945">
        <v>5.9394639999999999E-2</v>
      </c>
      <c r="W4945">
        <v>0.19495409999999999</v>
      </c>
      <c r="X4945">
        <v>0.9790124</v>
      </c>
      <c r="Y4945">
        <v>0.28031509999999998</v>
      </c>
      <c r="Z4945">
        <v>-5.1734559999999999E-3</v>
      </c>
      <c r="AA4945">
        <v>0.95989409999999997</v>
      </c>
      <c r="AB4945">
        <v>36</v>
      </c>
      <c r="AC4945">
        <v>27.508399999999899</v>
      </c>
      <c r="AD4945">
        <v>-1.1665449999999999</v>
      </c>
      <c r="AE4945">
        <v>-10.374238</v>
      </c>
      <c r="AF4945">
        <v>8.2881834613588108</v>
      </c>
      <c r="AG4945">
        <v>-1.1665449999999999</v>
      </c>
      <c r="AH4945">
        <v>28.158971201774101</v>
      </c>
      <c r="AI4945">
        <v>92.275817049847603</v>
      </c>
      <c r="AJ4945">
        <v>73.598974717847398</v>
      </c>
      <c r="AK4945">
        <v>29.376563302546302</v>
      </c>
      <c r="AL4945">
        <v>78.7579583352654</v>
      </c>
      <c r="AM4945">
        <v>86.528239790575498</v>
      </c>
      <c r="AN4945">
        <v>1.00000005186064</v>
      </c>
    </row>
    <row r="4946" spans="1:40" x14ac:dyDescent="0.25">
      <c r="A4946" t="str">
        <f>"20190303171113874"</f>
        <v>20190303171113874</v>
      </c>
      <c r="B4946" t="str">
        <f>"1551604273865999"</f>
        <v>1551604273865999</v>
      </c>
      <c r="C4946" t="s">
        <v>40</v>
      </c>
      <c r="D4946">
        <v>4.8790979999999999</v>
      </c>
      <c r="E4946">
        <v>0.59360950000000001</v>
      </c>
      <c r="F4946" t="s">
        <v>41</v>
      </c>
      <c r="G4946">
        <v>-297.27550000000002</v>
      </c>
      <c r="H4946">
        <v>-0.05</v>
      </c>
      <c r="I4946">
        <v>6.5605469999999997</v>
      </c>
      <c r="J4946">
        <v>-325.00490000000002</v>
      </c>
      <c r="K4946">
        <v>1.1164069999999999</v>
      </c>
      <c r="L4946">
        <v>17.12585</v>
      </c>
      <c r="M4946">
        <v>0.99698850000000006</v>
      </c>
      <c r="N4946">
        <v>-1.149244E-2</v>
      </c>
      <c r="O4946">
        <v>-7.6694810000000002E-2</v>
      </c>
      <c r="P4946">
        <v>0.97365690000000005</v>
      </c>
      <c r="Q4946">
        <v>0.18506249999999999</v>
      </c>
      <c r="R4946">
        <v>-0.13320750000000001</v>
      </c>
      <c r="S4946">
        <v>2.9531860000000001</v>
      </c>
      <c r="T4946">
        <v>-0.1234794</v>
      </c>
      <c r="U4946">
        <v>-1.1198729999999999</v>
      </c>
      <c r="V4946">
        <v>6.022947E-2</v>
      </c>
      <c r="W4946">
        <v>0.19569210000000001</v>
      </c>
      <c r="X4946">
        <v>0.97881410000000002</v>
      </c>
      <c r="Y4946">
        <v>0.28156059999999999</v>
      </c>
      <c r="Z4946">
        <v>-5.1302159999999999E-3</v>
      </c>
      <c r="AA4946">
        <v>0.95952969999999904</v>
      </c>
      <c r="AB4946">
        <v>36</v>
      </c>
      <c r="AC4946">
        <v>27.729399999999998</v>
      </c>
      <c r="AD4946">
        <v>-1.166407</v>
      </c>
      <c r="AE4946">
        <v>-10.565303</v>
      </c>
      <c r="AF4946">
        <v>8.3943688437066495</v>
      </c>
      <c r="AG4946">
        <v>-1.166407</v>
      </c>
      <c r="AH4946">
        <v>28.414170870278401</v>
      </c>
      <c r="AI4946">
        <v>92.254463429871507</v>
      </c>
      <c r="AJ4946">
        <v>73.541333639110704</v>
      </c>
      <c r="AK4946">
        <v>29.651155792299502</v>
      </c>
      <c r="AL4946">
        <v>78.714843191588997</v>
      </c>
      <c r="AM4946">
        <v>86.478852418472499</v>
      </c>
      <c r="AN4946">
        <v>1.0000000147088499</v>
      </c>
    </row>
    <row r="4947" spans="1:40" x14ac:dyDescent="0.25">
      <c r="A4947" t="str">
        <f>"20190303171113885"</f>
        <v>20190303171113885</v>
      </c>
      <c r="B4947" t="str">
        <f>"1551604273875759"</f>
        <v>1551604273875759</v>
      </c>
      <c r="C4947" t="s">
        <v>40</v>
      </c>
      <c r="D4947">
        <v>4.8907689999999997</v>
      </c>
      <c r="E4947">
        <v>0.5937095</v>
      </c>
      <c r="F4947" t="s">
        <v>41</v>
      </c>
      <c r="G4947">
        <v>-296.79390000000001</v>
      </c>
      <c r="H4947">
        <v>-0.05</v>
      </c>
      <c r="I4947">
        <v>6.3201749999999999</v>
      </c>
      <c r="J4947">
        <v>-324.8433</v>
      </c>
      <c r="K4947">
        <v>1.116287</v>
      </c>
      <c r="L4947">
        <v>17.111360000000001</v>
      </c>
      <c r="M4947">
        <v>0.99680190000000002</v>
      </c>
      <c r="N4947">
        <v>-1.156274E-2</v>
      </c>
      <c r="O4947">
        <v>-7.907177E-2</v>
      </c>
      <c r="P4947">
        <v>0.97326009999999996</v>
      </c>
      <c r="Q4947">
        <v>0.18492439999999999</v>
      </c>
      <c r="R4947">
        <v>-0.13626379999999999</v>
      </c>
      <c r="S4947">
        <v>2.9497680000000002</v>
      </c>
      <c r="T4947">
        <v>-0.1219606</v>
      </c>
      <c r="U4947">
        <v>-1.1298520000000001</v>
      </c>
      <c r="V4947">
        <v>6.1032259999999998E-2</v>
      </c>
      <c r="W4947">
        <v>0.19559480000000001</v>
      </c>
      <c r="X4947">
        <v>0.97878379999999998</v>
      </c>
      <c r="Y4947">
        <v>0.2824797</v>
      </c>
      <c r="Z4947">
        <v>-5.072249E-3</v>
      </c>
      <c r="AA4947">
        <v>0.95925990000000005</v>
      </c>
      <c r="AB4947">
        <v>36</v>
      </c>
      <c r="AC4947">
        <v>28.049399999999899</v>
      </c>
      <c r="AD4947">
        <v>-1.1662870000000001</v>
      </c>
      <c r="AE4947">
        <v>-10.791185</v>
      </c>
      <c r="AF4947">
        <v>8.5264878830270998</v>
      </c>
      <c r="AG4947">
        <v>-1.1662870000000001</v>
      </c>
      <c r="AH4947">
        <v>28.771569314091799</v>
      </c>
      <c r="AI4947">
        <v>92.225700227621999</v>
      </c>
      <c r="AJ4947">
        <v>73.492749005886296</v>
      </c>
      <c r="AK4947">
        <v>30.031057620093399</v>
      </c>
      <c r="AL4947">
        <v>78.7205277008526</v>
      </c>
      <c r="AM4947">
        <v>86.431929823505996</v>
      </c>
      <c r="AN4947">
        <v>0.99999999484509305</v>
      </c>
    </row>
    <row r="4948" spans="1:40" x14ac:dyDescent="0.25">
      <c r="A4948" t="str">
        <f>"20190303171113898"</f>
        <v>20190303171113898</v>
      </c>
      <c r="B4948" t="str">
        <f>"1551604273885519"</f>
        <v>1551604273885519</v>
      </c>
      <c r="C4948" t="s">
        <v>40</v>
      </c>
      <c r="D4948">
        <v>4.9188390000000002</v>
      </c>
      <c r="E4948">
        <v>0.59382330000000005</v>
      </c>
      <c r="F4948" t="s">
        <v>41</v>
      </c>
      <c r="G4948">
        <v>-296.74310000000003</v>
      </c>
      <c r="H4948">
        <v>-0.05</v>
      </c>
      <c r="I4948">
        <v>6.2389830000000002</v>
      </c>
      <c r="J4948">
        <v>-324.63959999999997</v>
      </c>
      <c r="K4948">
        <v>1.1161289999999999</v>
      </c>
      <c r="L4948">
        <v>17.0929</v>
      </c>
      <c r="M4948">
        <v>0.99655579999999999</v>
      </c>
      <c r="N4948">
        <v>-1.1655199999999999E-2</v>
      </c>
      <c r="O4948">
        <v>-8.2102399999999895E-2</v>
      </c>
      <c r="P4948">
        <v>0.97276490000000004</v>
      </c>
      <c r="Q4948">
        <v>0.18498690000000001</v>
      </c>
      <c r="R4948">
        <v>-0.13967249999999901</v>
      </c>
      <c r="S4948">
        <v>2.9461059999999999</v>
      </c>
      <c r="T4948">
        <v>-0.122277</v>
      </c>
      <c r="U4948">
        <v>-1.139893</v>
      </c>
      <c r="V4948">
        <v>6.1570159999999999E-2</v>
      </c>
      <c r="W4948">
        <v>0.1957169</v>
      </c>
      <c r="X4948">
        <v>0.97872570000000003</v>
      </c>
      <c r="Y4948">
        <v>0.28280670000000002</v>
      </c>
      <c r="Z4948">
        <v>-5.0241770000000003E-3</v>
      </c>
      <c r="AA4948">
        <v>0.95916380000000001</v>
      </c>
      <c r="AB4948">
        <v>36</v>
      </c>
      <c r="AC4948">
        <v>27.8964999999999</v>
      </c>
      <c r="AD4948">
        <v>-1.166129</v>
      </c>
      <c r="AE4948">
        <v>-10.853916999999999</v>
      </c>
      <c r="AF4948">
        <v>8.5138219543464899</v>
      </c>
      <c r="AG4948">
        <v>-1.166129</v>
      </c>
      <c r="AH4948">
        <v>28.650017930680601</v>
      </c>
      <c r="AI4948">
        <v>92.234334659778199</v>
      </c>
      <c r="AJ4948">
        <v>73.449821033027803</v>
      </c>
      <c r="AK4948">
        <v>29.911010490173499</v>
      </c>
      <c r="AL4948">
        <v>78.7133939859972</v>
      </c>
      <c r="AM4948">
        <v>86.400352296855303</v>
      </c>
      <c r="AN4948">
        <v>0.99999999269426199</v>
      </c>
    </row>
    <row r="4949" spans="1:40" x14ac:dyDescent="0.25">
      <c r="A4949" t="str">
        <f>"20190303171113911"</f>
        <v>20190303171113911</v>
      </c>
      <c r="B4949" t="str">
        <f>"1551604273906015"</f>
        <v>1551604273906015</v>
      </c>
      <c r="C4949" t="s">
        <v>40</v>
      </c>
      <c r="D4949">
        <v>4.8828060000000004</v>
      </c>
      <c r="E4949">
        <v>0.59399309999999905</v>
      </c>
      <c r="F4949" t="s">
        <v>41</v>
      </c>
      <c r="G4949">
        <v>-296.32569999999998</v>
      </c>
      <c r="H4949">
        <v>-0.05</v>
      </c>
      <c r="I4949">
        <v>6.0069730000000003</v>
      </c>
      <c r="J4949">
        <v>-324.42160000000001</v>
      </c>
      <c r="K4949">
        <v>1.115964</v>
      </c>
      <c r="L4949">
        <v>17.072050000000001</v>
      </c>
      <c r="M4949">
        <v>0.99626950000000003</v>
      </c>
      <c r="N4949">
        <v>-1.177567E-2</v>
      </c>
      <c r="O4949">
        <v>-8.5489040000000002E-2</v>
      </c>
      <c r="P4949">
        <v>0.9722906</v>
      </c>
      <c r="Q4949">
        <v>0.18476999999999999</v>
      </c>
      <c r="R4949">
        <v>-0.14321689999999901</v>
      </c>
      <c r="S4949">
        <v>2.9416500000000001</v>
      </c>
      <c r="T4949">
        <v>-0.121154</v>
      </c>
      <c r="U4949">
        <v>-1.151764</v>
      </c>
      <c r="V4949">
        <v>6.1893040000000003E-2</v>
      </c>
      <c r="W4949">
        <v>0.19558780000000001</v>
      </c>
      <c r="X4949">
        <v>0.97873120000000002</v>
      </c>
      <c r="Y4949">
        <v>0.28339969999999998</v>
      </c>
      <c r="Z4949">
        <v>-4.9530879999999996E-3</v>
      </c>
      <c r="AA4949">
        <v>0.95898910000000004</v>
      </c>
      <c r="AB4949">
        <v>36</v>
      </c>
      <c r="AC4949">
        <v>28.0959</v>
      </c>
      <c r="AD4949">
        <v>-1.165964</v>
      </c>
      <c r="AE4949">
        <v>-11.065077</v>
      </c>
      <c r="AF4949">
        <v>8.6096686427484102</v>
      </c>
      <c r="AG4949">
        <v>-1.165964</v>
      </c>
      <c r="AH4949">
        <v>28.895955707355998</v>
      </c>
      <c r="AI4949">
        <v>92.214547351248498</v>
      </c>
      <c r="AJ4949">
        <v>73.408358528267598</v>
      </c>
      <c r="AK4949">
        <v>30.173864890476001</v>
      </c>
      <c r="AL4949">
        <v>78.7209372878295</v>
      </c>
      <c r="AM4949">
        <v>86.381545691818999</v>
      </c>
      <c r="AN4949">
        <v>1.0000000488813501</v>
      </c>
    </row>
    <row r="4950" spans="1:40" x14ac:dyDescent="0.25">
      <c r="A4950" t="str">
        <f>"20190303171113926"</f>
        <v>20190303171113926</v>
      </c>
      <c r="B4950" t="str">
        <f>"1551604273915774"</f>
        <v>1551604273915774</v>
      </c>
      <c r="C4950" t="s">
        <v>40</v>
      </c>
      <c r="D4950">
        <v>4.8669640000000003</v>
      </c>
      <c r="E4950">
        <v>0.59403640000000002</v>
      </c>
      <c r="F4950" t="s">
        <v>41</v>
      </c>
      <c r="G4950">
        <v>-296.1216</v>
      </c>
      <c r="H4950">
        <v>-0.05</v>
      </c>
      <c r="I4950">
        <v>5.8458100000000002</v>
      </c>
      <c r="J4950">
        <v>-324.17720000000003</v>
      </c>
      <c r="K4950">
        <v>1.115783</v>
      </c>
      <c r="L4950">
        <v>17.047729999999898</v>
      </c>
      <c r="M4950">
        <v>0.99592409999999998</v>
      </c>
      <c r="N4950">
        <v>-1.1924519999999999E-2</v>
      </c>
      <c r="O4950">
        <v>-8.9403029999999994E-2</v>
      </c>
      <c r="P4950">
        <v>0.97163100000000002</v>
      </c>
      <c r="Q4950">
        <v>0.18443100000000001</v>
      </c>
      <c r="R4950">
        <v>-0.14804919999999999</v>
      </c>
      <c r="S4950">
        <v>2.9369200000000002</v>
      </c>
      <c r="T4950">
        <v>-0.1210015</v>
      </c>
      <c r="U4950">
        <v>-1.1650389999999999</v>
      </c>
      <c r="V4950">
        <v>6.3001890000000005E-2</v>
      </c>
      <c r="W4950">
        <v>0.1953521</v>
      </c>
      <c r="X4950">
        <v>0.97870749999999995</v>
      </c>
      <c r="Y4950">
        <v>0.28390700000000002</v>
      </c>
      <c r="Z4950">
        <v>-4.8919519999999998E-3</v>
      </c>
      <c r="AA4950">
        <v>0.95883940000000001</v>
      </c>
      <c r="AB4950">
        <v>36</v>
      </c>
      <c r="AC4950">
        <v>28.055599999999998</v>
      </c>
      <c r="AD4950">
        <v>-1.165783</v>
      </c>
      <c r="AE4950">
        <v>-11.2019199999999</v>
      </c>
      <c r="AF4950">
        <v>8.6357613159159907</v>
      </c>
      <c r="AG4950">
        <v>-1.165783</v>
      </c>
      <c r="AH4950">
        <v>28.9017523555585</v>
      </c>
      <c r="AI4950">
        <v>92.213249498933195</v>
      </c>
      <c r="AJ4950">
        <v>73.364004262500501</v>
      </c>
      <c r="AK4950">
        <v>30.1868632476213</v>
      </c>
      <c r="AL4950">
        <v>78.734707271726094</v>
      </c>
      <c r="AM4950">
        <v>86.316806898311299</v>
      </c>
      <c r="AN4950">
        <v>1.00000002583711</v>
      </c>
    </row>
    <row r="4951" spans="1:40" x14ac:dyDescent="0.25">
      <c r="A4951" t="str">
        <f>"20190303171113939"</f>
        <v>20190303171113939</v>
      </c>
      <c r="B4951" t="str">
        <f>"1551604273925536"</f>
        <v>1551604273925536</v>
      </c>
      <c r="C4951" t="s">
        <v>40</v>
      </c>
      <c r="D4951">
        <v>4.899305</v>
      </c>
      <c r="E4951">
        <v>0.59406759999999903</v>
      </c>
      <c r="F4951" t="s">
        <v>41</v>
      </c>
      <c r="G4951">
        <v>-295.79820000000001</v>
      </c>
      <c r="H4951">
        <v>-0.05</v>
      </c>
      <c r="I4951">
        <v>5.6067960000000001</v>
      </c>
      <c r="J4951">
        <v>-323.97579999999999</v>
      </c>
      <c r="K4951">
        <v>1.1156410000000001</v>
      </c>
      <c r="L4951">
        <v>17.027069999999998</v>
      </c>
      <c r="M4951">
        <v>0.99562090000000003</v>
      </c>
      <c r="N4951">
        <v>-1.205385E-2</v>
      </c>
      <c r="O4951">
        <v>-9.2703549999999996E-2</v>
      </c>
      <c r="P4951">
        <v>0.97101459999999995</v>
      </c>
      <c r="Q4951">
        <v>0.18450639999999999</v>
      </c>
      <c r="R4951">
        <v>-0.151948</v>
      </c>
      <c r="S4951">
        <v>2.9304199999999998</v>
      </c>
      <c r="T4951">
        <v>-0.12037929999999999</v>
      </c>
      <c r="U4951">
        <v>-1.1813959999999999</v>
      </c>
      <c r="V4951">
        <v>6.376859E-2</v>
      </c>
      <c r="W4951">
        <v>0.19551950000000001</v>
      </c>
      <c r="X4951">
        <v>0.97862439999999995</v>
      </c>
      <c r="Y4951">
        <v>0.28606949999999998</v>
      </c>
      <c r="Z4951">
        <v>-4.8807540000000002E-3</v>
      </c>
      <c r="AA4951">
        <v>0.95819639999999995</v>
      </c>
      <c r="AB4951">
        <v>36</v>
      </c>
      <c r="AC4951">
        <v>28.177599999999899</v>
      </c>
      <c r="AD4951">
        <v>-1.1656409999999999</v>
      </c>
      <c r="AE4951">
        <v>-11.420273999999999</v>
      </c>
      <c r="AF4951">
        <v>8.7458802522860193</v>
      </c>
      <c r="AG4951">
        <v>-1.1656409999999999</v>
      </c>
      <c r="AH4951">
        <v>29.072287840835902</v>
      </c>
      <c r="AI4951">
        <v>92.198781778938397</v>
      </c>
      <c r="AJ4951">
        <v>73.257021357178004</v>
      </c>
      <c r="AK4951">
        <v>30.3816895617841</v>
      </c>
      <c r="AL4951">
        <v>78.724927210905904</v>
      </c>
      <c r="AM4951">
        <v>86.271794341321495</v>
      </c>
      <c r="AN4951">
        <v>1.0000000121130901</v>
      </c>
    </row>
    <row r="4952" spans="1:40" x14ac:dyDescent="0.25">
      <c r="A4952" t="str">
        <f>"20190303171113949"</f>
        <v>20190303171113949</v>
      </c>
      <c r="B4952" t="str">
        <f>"1551604273935295"</f>
        <v>1551604273935295</v>
      </c>
      <c r="C4952" t="s">
        <v>40</v>
      </c>
      <c r="D4952">
        <v>4.9043979999999996</v>
      </c>
      <c r="E4952">
        <v>0.59414209999999901</v>
      </c>
      <c r="F4952" t="s">
        <v>41</v>
      </c>
      <c r="G4952">
        <v>-295.47710000000001</v>
      </c>
      <c r="H4952">
        <v>-0.05</v>
      </c>
      <c r="I4952">
        <v>5.3968350000000003</v>
      </c>
      <c r="J4952">
        <v>-323.80329999999998</v>
      </c>
      <c r="K4952">
        <v>1.115524</v>
      </c>
      <c r="L4952">
        <v>17.008510000000001</v>
      </c>
      <c r="M4952">
        <v>0.99534270000000002</v>
      </c>
      <c r="N4952">
        <v>-1.2169889999999999E-2</v>
      </c>
      <c r="O4952">
        <v>-9.5629800000000001E-2</v>
      </c>
      <c r="P4952">
        <v>0.97032870000000004</v>
      </c>
      <c r="Q4952">
        <v>0.1851653</v>
      </c>
      <c r="R4952">
        <v>-0.15548819999999999</v>
      </c>
      <c r="S4952">
        <v>2.9254760000000002</v>
      </c>
      <c r="T4952">
        <v>-0.119656399999999</v>
      </c>
      <c r="U4952">
        <v>-1.193878</v>
      </c>
      <c r="V4952">
        <v>6.4549280000000001E-2</v>
      </c>
      <c r="W4952">
        <v>0.1962593</v>
      </c>
      <c r="X4952">
        <v>0.97842510000000005</v>
      </c>
      <c r="Y4952">
        <v>0.28732489999999999</v>
      </c>
      <c r="Z4952">
        <v>-4.8524019999999996E-3</v>
      </c>
      <c r="AA4952">
        <v>0.95782089999999998</v>
      </c>
      <c r="AB4952">
        <v>36</v>
      </c>
      <c r="AC4952">
        <v>28.326199999999901</v>
      </c>
      <c r="AD4952">
        <v>-1.165524</v>
      </c>
      <c r="AE4952">
        <v>-11.611675</v>
      </c>
      <c r="AF4952">
        <v>8.8366129570155891</v>
      </c>
      <c r="AG4952">
        <v>-1.165524</v>
      </c>
      <c r="AH4952">
        <v>29.264447329029899</v>
      </c>
      <c r="AI4952">
        <v>92.183460693018304</v>
      </c>
      <c r="AJ4952">
        <v>73.197926900529097</v>
      </c>
      <c r="AK4952">
        <v>30.591699073772201</v>
      </c>
      <c r="AL4952">
        <v>78.681702207663704</v>
      </c>
      <c r="AM4952">
        <v>86.2255162332156</v>
      </c>
      <c r="AN4952">
        <v>0.99999999934750905</v>
      </c>
    </row>
    <row r="4953" spans="1:40" x14ac:dyDescent="0.25">
      <c r="A4953" t="str">
        <f>"20190303171113960"</f>
        <v>20190303171113960</v>
      </c>
      <c r="B4953" t="str">
        <f>"1551604273946031"</f>
        <v>1551604273946031</v>
      </c>
      <c r="C4953" t="s">
        <v>40</v>
      </c>
      <c r="D4953">
        <v>4.8937290000000004</v>
      </c>
      <c r="E4953">
        <v>0.59418009999999999</v>
      </c>
      <c r="F4953" t="s">
        <v>41</v>
      </c>
      <c r="G4953">
        <v>-294.86939999999998</v>
      </c>
      <c r="H4953">
        <v>-0.05</v>
      </c>
      <c r="I4953">
        <v>5.069763</v>
      </c>
      <c r="J4953">
        <v>-323.63549999999998</v>
      </c>
      <c r="K4953">
        <v>1.115408</v>
      </c>
      <c r="L4953">
        <v>16.990169999999999</v>
      </c>
      <c r="M4953">
        <v>0.99505949999999999</v>
      </c>
      <c r="N4953">
        <v>-1.2281739999999999E-2</v>
      </c>
      <c r="O4953">
        <v>-9.8517579999999993E-2</v>
      </c>
      <c r="P4953">
        <v>0.96953480000000003</v>
      </c>
      <c r="Q4953">
        <v>0.18611150000000001</v>
      </c>
      <c r="R4953">
        <v>-0.1592644</v>
      </c>
      <c r="S4953">
        <v>2.9210509999999998</v>
      </c>
      <c r="T4953">
        <v>-0.1176666</v>
      </c>
      <c r="U4953">
        <v>-1.205292</v>
      </c>
      <c r="V4953">
        <v>6.5616480000000005E-2</v>
      </c>
      <c r="W4953">
        <v>0.19727749999999999</v>
      </c>
      <c r="X4953">
        <v>0.9781493</v>
      </c>
      <c r="Y4953">
        <v>0.28826069999999998</v>
      </c>
      <c r="Z4953">
        <v>-4.7980599999999998E-3</v>
      </c>
      <c r="AA4953">
        <v>0.9575399</v>
      </c>
      <c r="AB4953">
        <v>36</v>
      </c>
      <c r="AC4953">
        <v>28.766099999999899</v>
      </c>
      <c r="AD4953">
        <v>-1.165408</v>
      </c>
      <c r="AE4953">
        <v>-11.920407000000001</v>
      </c>
      <c r="AF4953">
        <v>9.0155998949268206</v>
      </c>
      <c r="AG4953">
        <v>-1.165408</v>
      </c>
      <c r="AH4953">
        <v>29.7589132203613</v>
      </c>
      <c r="AI4953">
        <v>92.146408934065207</v>
      </c>
      <c r="AJ4953">
        <v>73.145573550554204</v>
      </c>
      <c r="AK4953">
        <v>31.116428672469201</v>
      </c>
      <c r="AL4953">
        <v>78.6222003168198</v>
      </c>
      <c r="AM4953">
        <v>86.162218602527702</v>
      </c>
      <c r="AN4953">
        <v>0.99999999377216497</v>
      </c>
    </row>
    <row r="4954" spans="1:40" x14ac:dyDescent="0.25">
      <c r="A4954" t="str">
        <f>"20190303171113971"</f>
        <v>20190303171113971</v>
      </c>
      <c r="B4954" t="str">
        <f>"1551604273965551"</f>
        <v>1551604273965551</v>
      </c>
      <c r="C4954" t="s">
        <v>40</v>
      </c>
      <c r="D4954">
        <v>4.8565519999999998</v>
      </c>
      <c r="E4954">
        <v>0.5942634</v>
      </c>
      <c r="F4954" t="s">
        <v>41</v>
      </c>
      <c r="G4954">
        <v>-294.12509999999997</v>
      </c>
      <c r="H4954">
        <v>-0.05</v>
      </c>
      <c r="I4954">
        <v>4.6784210000000002</v>
      </c>
      <c r="J4954">
        <v>-323.45530000000002</v>
      </c>
      <c r="K4954">
        <v>1.1152820000000001</v>
      </c>
      <c r="L4954">
        <v>16.9697</v>
      </c>
      <c r="M4954">
        <v>0.99473789999999995</v>
      </c>
      <c r="N4954">
        <v>-1.240051E-2</v>
      </c>
      <c r="O4954">
        <v>-0.10170079999999999</v>
      </c>
      <c r="P4954">
        <v>0.96882199999999996</v>
      </c>
      <c r="Q4954">
        <v>0.1863747</v>
      </c>
      <c r="R4954">
        <v>-0.163246</v>
      </c>
      <c r="S4954">
        <v>2.9165040000000002</v>
      </c>
      <c r="T4954">
        <v>-0.1151769</v>
      </c>
      <c r="U4954">
        <v>-1.216766</v>
      </c>
      <c r="V4954">
        <v>6.6585229999999995E-2</v>
      </c>
      <c r="W4954">
        <v>0.19762109999999999</v>
      </c>
      <c r="X4954">
        <v>0.97801450000000001</v>
      </c>
      <c r="Y4954">
        <v>0.28894360000000002</v>
      </c>
      <c r="Z4954">
        <v>-4.7281379999999998E-3</v>
      </c>
      <c r="AA4954">
        <v>0.95733449999999998</v>
      </c>
      <c r="AB4954">
        <v>36</v>
      </c>
      <c r="AC4954">
        <v>29.330200000000001</v>
      </c>
      <c r="AD4954">
        <v>-1.1652819999999999</v>
      </c>
      <c r="AE4954">
        <v>-12.291278999999999</v>
      </c>
      <c r="AF4954">
        <v>9.2320101313405303</v>
      </c>
      <c r="AG4954">
        <v>-1.1652819999999999</v>
      </c>
      <c r="AH4954">
        <v>30.387429241457699</v>
      </c>
      <c r="AI4954">
        <v>92.1013279669925</v>
      </c>
      <c r="AJ4954">
        <v>73.100684897401905</v>
      </c>
      <c r="AK4954">
        <v>31.780241489159501</v>
      </c>
      <c r="AL4954">
        <v>78.602118515877706</v>
      </c>
      <c r="AM4954">
        <v>86.105196263006206</v>
      </c>
      <c r="AN4954">
        <v>1.0000000271148</v>
      </c>
    </row>
    <row r="4955" spans="1:40" x14ac:dyDescent="0.25">
      <c r="A4955" t="str">
        <f>"20190303171113982"</f>
        <v>20190303171113982</v>
      </c>
      <c r="B4955" t="str">
        <f>"1551604273975310"</f>
        <v>1551604273975310</v>
      </c>
      <c r="C4955" t="s">
        <v>40</v>
      </c>
      <c r="D4955">
        <v>4.897913</v>
      </c>
      <c r="E4955">
        <v>0.59429730000000003</v>
      </c>
      <c r="F4955" t="s">
        <v>41</v>
      </c>
      <c r="G4955">
        <v>-293.91210000000001</v>
      </c>
      <c r="H4955">
        <v>-0.05</v>
      </c>
      <c r="I4955">
        <v>4.5003970000000004</v>
      </c>
      <c r="J4955">
        <v>-323.27100000000002</v>
      </c>
      <c r="K4955">
        <v>1.115157</v>
      </c>
      <c r="L4955">
        <v>16.948119999999999</v>
      </c>
      <c r="M4955">
        <v>0.99439040000000001</v>
      </c>
      <c r="N4955">
        <v>-1.2518619999999999E-2</v>
      </c>
      <c r="O4955">
        <v>-0.105028</v>
      </c>
      <c r="P4955">
        <v>0.96823820000000005</v>
      </c>
      <c r="Q4955">
        <v>0.1858438</v>
      </c>
      <c r="R4955">
        <v>-0.16726250000000001</v>
      </c>
      <c r="S4955">
        <v>2.9115600000000001</v>
      </c>
      <c r="T4955">
        <v>-0.1148417</v>
      </c>
      <c r="U4955">
        <v>-1.228882</v>
      </c>
      <c r="V4955">
        <v>6.7424509999999993E-2</v>
      </c>
      <c r="W4955">
        <v>0.19717229999999999</v>
      </c>
      <c r="X4955">
        <v>0.97804749999999996</v>
      </c>
      <c r="Y4955">
        <v>0.28970489999999999</v>
      </c>
      <c r="Z4955">
        <v>-4.6906750000000001E-3</v>
      </c>
      <c r="AA4955">
        <v>0.95710450000000002</v>
      </c>
      <c r="AB4955">
        <v>36</v>
      </c>
      <c r="AC4955">
        <v>29.358899999999899</v>
      </c>
      <c r="AD4955">
        <v>-1.165157</v>
      </c>
      <c r="AE4955">
        <v>-12.447723</v>
      </c>
      <c r="AF4955">
        <v>9.2827258908304202</v>
      </c>
      <c r="AG4955">
        <v>-1.165157</v>
      </c>
      <c r="AH4955">
        <v>30.463290418410399</v>
      </c>
      <c r="AI4955">
        <v>92.095345585788806</v>
      </c>
      <c r="AJ4955">
        <v>73.053055257736006</v>
      </c>
      <c r="AK4955">
        <v>31.867517222327798</v>
      </c>
      <c r="AL4955">
        <v>78.628348049189498</v>
      </c>
      <c r="AM4955">
        <v>86.056390427783796</v>
      </c>
      <c r="AN4955">
        <v>0.99999994634613798</v>
      </c>
    </row>
    <row r="4956" spans="1:40" x14ac:dyDescent="0.25">
      <c r="A4956" t="str">
        <f>"20190303171113993"</f>
        <v>20190303171113993</v>
      </c>
      <c r="B4956" t="str">
        <f>"1551604273986047"</f>
        <v>1551604273986047</v>
      </c>
      <c r="C4956" t="s">
        <v>40</v>
      </c>
      <c r="D4956">
        <v>4.8590770000000001</v>
      </c>
      <c r="E4956">
        <v>0.59430070000000002</v>
      </c>
      <c r="F4956" t="s">
        <v>41</v>
      </c>
      <c r="G4956">
        <v>-294.21789999999999</v>
      </c>
      <c r="H4956">
        <v>-0.05</v>
      </c>
      <c r="I4956">
        <v>4.5384060000000002</v>
      </c>
      <c r="J4956">
        <v>-323.08949999999999</v>
      </c>
      <c r="K4956">
        <v>1.1150249999999999</v>
      </c>
      <c r="L4956">
        <v>16.926300000000001</v>
      </c>
      <c r="M4956">
        <v>0.99403140000000001</v>
      </c>
      <c r="N4956">
        <v>-1.2631740000000001E-2</v>
      </c>
      <c r="O4956">
        <v>-0.10836229999999999</v>
      </c>
      <c r="P4956">
        <v>0.96764329999999998</v>
      </c>
      <c r="Q4956">
        <v>0.1854595</v>
      </c>
      <c r="R4956">
        <v>-0.1710902</v>
      </c>
      <c r="S4956">
        <v>2.9063720000000002</v>
      </c>
      <c r="T4956">
        <v>-0.1165582</v>
      </c>
      <c r="U4956">
        <v>-1.241425</v>
      </c>
      <c r="V4956">
        <v>6.8069770000000002E-2</v>
      </c>
      <c r="W4956">
        <v>0.1968666</v>
      </c>
      <c r="X4956">
        <v>0.97806439999999994</v>
      </c>
      <c r="Y4956">
        <v>0.2905993</v>
      </c>
      <c r="Z4956">
        <v>-4.6821129999999999E-3</v>
      </c>
      <c r="AA4956">
        <v>0.95683339999999995</v>
      </c>
      <c r="AB4956">
        <v>36</v>
      </c>
      <c r="AC4956">
        <v>28.871600000000001</v>
      </c>
      <c r="AD4956">
        <v>-1.165025</v>
      </c>
      <c r="AE4956">
        <v>-12.387893999999999</v>
      </c>
      <c r="AF4956">
        <v>9.1734791896462902</v>
      </c>
      <c r="AG4956">
        <v>-1.165025</v>
      </c>
      <c r="AH4956">
        <v>30.0027916434967</v>
      </c>
      <c r="AI4956">
        <v>92.126621375766703</v>
      </c>
      <c r="AJ4956">
        <v>72.998768323075495</v>
      </c>
      <c r="AK4956">
        <v>31.395501430883002</v>
      </c>
      <c r="AL4956">
        <v>78.646213711683998</v>
      </c>
      <c r="AM4956">
        <v>86.018839011180702</v>
      </c>
      <c r="AN4956">
        <v>0.99999996116538503</v>
      </c>
    </row>
    <row r="4957" spans="1:40" x14ac:dyDescent="0.25">
      <c r="A4957" t="str">
        <f>"20190303171114004"</f>
        <v>20190303171114004</v>
      </c>
      <c r="B4957" t="str">
        <f>"1551604273995807"</f>
        <v>1551604273995807</v>
      </c>
      <c r="C4957" t="s">
        <v>40</v>
      </c>
      <c r="D4957">
        <v>4.8457689999999998</v>
      </c>
      <c r="E4957">
        <v>0.59424449999999995</v>
      </c>
      <c r="F4957" t="s">
        <v>41</v>
      </c>
      <c r="G4957">
        <v>-294.28190000000001</v>
      </c>
      <c r="H4957">
        <v>-0.05</v>
      </c>
      <c r="I4957">
        <v>4.4788059999999996</v>
      </c>
      <c r="J4957">
        <v>-322.90820000000002</v>
      </c>
      <c r="K4957">
        <v>1.1148899999999999</v>
      </c>
      <c r="L4957">
        <v>16.90363</v>
      </c>
      <c r="M4957">
        <v>0.99364960000000002</v>
      </c>
      <c r="N4957">
        <v>-1.274044E-2</v>
      </c>
      <c r="O4957">
        <v>-0.111794699999999</v>
      </c>
      <c r="P4957">
        <v>0.96707920000000003</v>
      </c>
      <c r="Q4957">
        <v>0.18484780000000001</v>
      </c>
      <c r="R4957">
        <v>-0.17489689999999999</v>
      </c>
      <c r="S4957">
        <v>2.9011840000000002</v>
      </c>
      <c r="T4957">
        <v>-0.11732819999999999</v>
      </c>
      <c r="U4957">
        <v>-1.253571</v>
      </c>
      <c r="V4957">
        <v>6.8590460000000006E-2</v>
      </c>
      <c r="W4957">
        <v>0.1963318</v>
      </c>
      <c r="X4957">
        <v>0.97813559999999999</v>
      </c>
      <c r="Y4957">
        <v>0.2912903</v>
      </c>
      <c r="Z4957">
        <v>-4.651311E-3</v>
      </c>
      <c r="AA4957">
        <v>0.95662340000000001</v>
      </c>
      <c r="AB4957">
        <v>36</v>
      </c>
      <c r="AC4957">
        <v>28.626300000000001</v>
      </c>
      <c r="AD4957">
        <v>-1.16489</v>
      </c>
      <c r="AE4957">
        <v>-12.424823999999999</v>
      </c>
      <c r="AF4957">
        <v>9.1336685496115493</v>
      </c>
      <c r="AG4957">
        <v>-1.16489</v>
      </c>
      <c r="AH4957">
        <v>29.794447913645701</v>
      </c>
      <c r="AI4957">
        <v>92.140750376437495</v>
      </c>
      <c r="AJ4957">
        <v>72.9567617688068</v>
      </c>
      <c r="AK4957">
        <v>31.184771866493001</v>
      </c>
      <c r="AL4957">
        <v>78.677466304205097</v>
      </c>
      <c r="AM4957">
        <v>85.9887757871346</v>
      </c>
      <c r="AN4957">
        <v>1.0000000394408</v>
      </c>
    </row>
    <row r="4958" spans="1:40" x14ac:dyDescent="0.25">
      <c r="A4958" t="str">
        <f>"20190303171114015"</f>
        <v>20190303171114015</v>
      </c>
      <c r="B4958" t="str">
        <f>"1551604274005567"</f>
        <v>1551604274005567</v>
      </c>
      <c r="C4958" t="s">
        <v>40</v>
      </c>
      <c r="D4958">
        <v>4.866752</v>
      </c>
      <c r="E4958">
        <v>0.59421709999999905</v>
      </c>
      <c r="F4958" t="s">
        <v>41</v>
      </c>
      <c r="G4958">
        <v>-294.51190000000003</v>
      </c>
      <c r="H4958">
        <v>-0.05</v>
      </c>
      <c r="I4958">
        <v>4.4952239999999897</v>
      </c>
      <c r="J4958">
        <v>-322.73700000000002</v>
      </c>
      <c r="K4958">
        <v>1.11476</v>
      </c>
      <c r="L4958">
        <v>16.881900000000002</v>
      </c>
      <c r="M4958">
        <v>0.99327489999999996</v>
      </c>
      <c r="N4958">
        <v>-1.284107E-2</v>
      </c>
      <c r="O4958">
        <v>-0.11506619999999999</v>
      </c>
      <c r="P4958">
        <v>0.96661569999999997</v>
      </c>
      <c r="Q4958">
        <v>0.1840494</v>
      </c>
      <c r="R4958">
        <v>-0.17826989999999901</v>
      </c>
      <c r="S4958">
        <v>2.8959959999999998</v>
      </c>
      <c r="T4958">
        <v>-0.1188012</v>
      </c>
      <c r="U4958">
        <v>-1.2654719999999999</v>
      </c>
      <c r="V4958">
        <v>6.8819389999999994E-2</v>
      </c>
      <c r="W4958">
        <v>0.19560839999999999</v>
      </c>
      <c r="X4958">
        <v>0.97826440000000003</v>
      </c>
      <c r="Y4958">
        <v>0.29206459999999901</v>
      </c>
      <c r="Z4958">
        <v>-4.6312949999999997E-3</v>
      </c>
      <c r="AA4958">
        <v>0.95638730000000005</v>
      </c>
      <c r="AB4958">
        <v>36</v>
      </c>
      <c r="AC4958">
        <v>28.225100000000001</v>
      </c>
      <c r="AD4958">
        <v>-1.16476</v>
      </c>
      <c r="AE4958">
        <v>-12.386676</v>
      </c>
      <c r="AF4958">
        <v>9.0434518721238693</v>
      </c>
      <c r="AG4958">
        <v>-1.16476</v>
      </c>
      <c r="AH4958">
        <v>29.420986719135101</v>
      </c>
      <c r="AI4958">
        <v>92.1671558495798</v>
      </c>
      <c r="AJ4958">
        <v>72.913567241605804</v>
      </c>
      <c r="AK4958">
        <v>30.801544557839101</v>
      </c>
      <c r="AL4958">
        <v>78.719733136771893</v>
      </c>
      <c r="AM4958">
        <v>85.975959841753294</v>
      </c>
      <c r="AN4958">
        <v>0.99999999544894602</v>
      </c>
    </row>
    <row r="4959" spans="1:40" x14ac:dyDescent="0.25">
      <c r="A4959" t="str">
        <f>"20190303171114026"</f>
        <v>20190303171114026</v>
      </c>
      <c r="B4959" t="str">
        <f>"1551604274015328"</f>
        <v>1551604274015328</v>
      </c>
      <c r="C4959" t="s">
        <v>40</v>
      </c>
      <c r="D4959">
        <v>4.8484080000000001</v>
      </c>
      <c r="E4959">
        <v>0.59420059999999997</v>
      </c>
      <c r="F4959" t="s">
        <v>41</v>
      </c>
      <c r="G4959">
        <v>-294.93119999999999</v>
      </c>
      <c r="H4959">
        <v>-0.05</v>
      </c>
      <c r="I4959">
        <v>4.6113280000000003</v>
      </c>
      <c r="J4959">
        <v>-322.56950000000001</v>
      </c>
      <c r="K4959">
        <v>1.114627</v>
      </c>
      <c r="L4959">
        <v>16.859559999999998</v>
      </c>
      <c r="M4959">
        <v>0.99288299999999996</v>
      </c>
      <c r="N4959">
        <v>-1.293506E-2</v>
      </c>
      <c r="O4959">
        <v>-0.1183897</v>
      </c>
      <c r="P4959">
        <v>0.96597250000000001</v>
      </c>
      <c r="Q4959">
        <v>0.18361659999999999</v>
      </c>
      <c r="R4959">
        <v>-0.18216009999999999</v>
      </c>
      <c r="S4959">
        <v>2.8913570000000002</v>
      </c>
      <c r="T4959">
        <v>-0.121116</v>
      </c>
      <c r="U4959">
        <v>-1.2759400000000001</v>
      </c>
      <c r="V4959">
        <v>6.9535440000000004E-2</v>
      </c>
      <c r="W4959">
        <v>0.1952352</v>
      </c>
      <c r="X4959">
        <v>0.9782883</v>
      </c>
      <c r="Y4959">
        <v>0.29232129999999901</v>
      </c>
      <c r="Z4959">
        <v>-4.6000529999999998E-3</v>
      </c>
      <c r="AA4959">
        <v>0.95630910000000002</v>
      </c>
      <c r="AB4959">
        <v>36</v>
      </c>
      <c r="AC4959">
        <v>27.638300000000001</v>
      </c>
      <c r="AD4959">
        <v>-1.1646270000000001</v>
      </c>
      <c r="AE4959">
        <v>-12.248232</v>
      </c>
      <c r="AF4959">
        <v>8.8765405111871996</v>
      </c>
      <c r="AG4959">
        <v>-1.1646270000000001</v>
      </c>
      <c r="AH4959">
        <v>28.851259203814401</v>
      </c>
      <c r="AI4959">
        <v>92.209480170450703</v>
      </c>
      <c r="AJ4959">
        <v>72.898667959477294</v>
      </c>
      <c r="AK4959">
        <v>30.208351248314798</v>
      </c>
      <c r="AL4959">
        <v>78.741536118617802</v>
      </c>
      <c r="AM4959">
        <v>85.934329314014093</v>
      </c>
      <c r="AN4959">
        <v>0.99999997932596096</v>
      </c>
    </row>
    <row r="4960" spans="1:40" x14ac:dyDescent="0.25">
      <c r="A4960" t="str">
        <f>"20190303171114037"</f>
        <v>20190303171114037</v>
      </c>
      <c r="B4960" t="str">
        <f>"1551604274026063"</f>
        <v>1551604274026063</v>
      </c>
      <c r="C4960" t="s">
        <v>40</v>
      </c>
      <c r="D4960">
        <v>4.8576249999999996</v>
      </c>
      <c r="E4960">
        <v>0.59417559999999903</v>
      </c>
      <c r="F4960" t="s">
        <v>41</v>
      </c>
      <c r="G4960">
        <v>-295.19349999999997</v>
      </c>
      <c r="H4960">
        <v>-0.05</v>
      </c>
      <c r="I4960">
        <v>4.6472020000000001</v>
      </c>
      <c r="J4960">
        <v>-322.37639999999999</v>
      </c>
      <c r="K4960">
        <v>1.1144719999999999</v>
      </c>
      <c r="L4960">
        <v>16.833500000000001</v>
      </c>
      <c r="M4960">
        <v>0.99241330000000005</v>
      </c>
      <c r="N4960">
        <v>-1.3041199999999999E-2</v>
      </c>
      <c r="O4960">
        <v>-0.1222529</v>
      </c>
      <c r="P4960">
        <v>0.96511780000000003</v>
      </c>
      <c r="Q4960">
        <v>0.18347459999999999</v>
      </c>
      <c r="R4960">
        <v>-0.18677450000000001</v>
      </c>
      <c r="S4960">
        <v>2.8862299999999999</v>
      </c>
      <c r="T4960">
        <v>-0.1227854</v>
      </c>
      <c r="U4960">
        <v>-1.2875369999999999</v>
      </c>
      <c r="V4960">
        <v>7.0477129999999999E-2</v>
      </c>
      <c r="W4960">
        <v>0.1951562</v>
      </c>
      <c r="X4960">
        <v>0.97823669999999996</v>
      </c>
      <c r="Y4960">
        <v>0.292431099999999</v>
      </c>
      <c r="Z4960">
        <v>-4.5439240000000004E-3</v>
      </c>
      <c r="AA4960">
        <v>0.95627580000000001</v>
      </c>
      <c r="AB4960">
        <v>36</v>
      </c>
      <c r="AC4960">
        <v>27.1829</v>
      </c>
      <c r="AD4960">
        <v>-1.164472</v>
      </c>
      <c r="AE4960">
        <v>-12.186297999999899</v>
      </c>
      <c r="AF4960">
        <v>8.7580192816352191</v>
      </c>
      <c r="AG4960">
        <v>-1.164472</v>
      </c>
      <c r="AH4960">
        <v>28.425467856989201</v>
      </c>
      <c r="AI4960">
        <v>92.241968209965506</v>
      </c>
      <c r="AJ4960">
        <v>72.875690503060397</v>
      </c>
      <c r="AK4960">
        <v>29.766862778348099</v>
      </c>
      <c r="AL4960">
        <v>78.746151550456602</v>
      </c>
      <c r="AM4960">
        <v>85.879241390273194</v>
      </c>
      <c r="AN4960">
        <v>1.0000000047391799</v>
      </c>
    </row>
    <row r="4961" spans="1:40" x14ac:dyDescent="0.25">
      <c r="A4961" t="str">
        <f>"20190303171114048"</f>
        <v>20190303171114048</v>
      </c>
      <c r="B4961" t="str">
        <f>"1551604274035823"</f>
        <v>1551604274035823</v>
      </c>
      <c r="C4961" t="s">
        <v>40</v>
      </c>
      <c r="D4961">
        <v>4.8482229999999999</v>
      </c>
      <c r="E4961">
        <v>0.59415580000000001</v>
      </c>
      <c r="F4961" t="s">
        <v>41</v>
      </c>
      <c r="G4961">
        <v>-295.28829999999999</v>
      </c>
      <c r="H4961">
        <v>-0.05</v>
      </c>
      <c r="I4961">
        <v>4.5962519999999998</v>
      </c>
      <c r="J4961">
        <v>-322.19709999999998</v>
      </c>
      <c r="K4961">
        <v>1.1143209999999999</v>
      </c>
      <c r="L4961">
        <v>16.80817</v>
      </c>
      <c r="M4961">
        <v>0.99194700000000002</v>
      </c>
      <c r="N4961">
        <v>-1.3135330000000001E-2</v>
      </c>
      <c r="O4961">
        <v>-0.1259702</v>
      </c>
      <c r="P4961">
        <v>0.9641189</v>
      </c>
      <c r="Q4961">
        <v>0.1837848</v>
      </c>
      <c r="R4961">
        <v>-0.1915665</v>
      </c>
      <c r="S4961">
        <v>2.880188</v>
      </c>
      <c r="T4961">
        <v>-0.12381449999999999</v>
      </c>
      <c r="U4961">
        <v>-1.3011469999999901</v>
      </c>
      <c r="V4961">
        <v>7.1759740000000002E-2</v>
      </c>
      <c r="W4961">
        <v>0.19551070000000001</v>
      </c>
      <c r="X4961">
        <v>0.97807259999999996</v>
      </c>
      <c r="Y4961">
        <v>0.29335020000000001</v>
      </c>
      <c r="Z4961">
        <v>-4.5029889999999998E-3</v>
      </c>
      <c r="AA4961">
        <v>0.95599440000000002</v>
      </c>
      <c r="AB4961">
        <v>36</v>
      </c>
      <c r="AC4961">
        <v>26.9087999999999</v>
      </c>
      <c r="AD4961">
        <v>-1.1643209999999999</v>
      </c>
      <c r="AE4961">
        <v>-12.211917999999899</v>
      </c>
      <c r="AF4961">
        <v>8.7110979669806898</v>
      </c>
      <c r="AG4961">
        <v>-1.1643209999999999</v>
      </c>
      <c r="AH4961">
        <v>28.189115716329599</v>
      </c>
      <c r="AI4961">
        <v>92.259869299155596</v>
      </c>
      <c r="AJ4961">
        <v>72.827624185329398</v>
      </c>
      <c r="AK4961">
        <v>29.5273621586825</v>
      </c>
      <c r="AL4961">
        <v>78.725440654924896</v>
      </c>
      <c r="AM4961">
        <v>85.803811901531503</v>
      </c>
      <c r="AN4961">
        <v>0.99999995248505702</v>
      </c>
    </row>
    <row r="4962" spans="1:40" x14ac:dyDescent="0.25">
      <c r="A4962" t="str">
        <f>"20190303171114060"</f>
        <v>20190303171114060</v>
      </c>
      <c r="B4962" t="str">
        <f>"1551604274045583"</f>
        <v>1551604274045583</v>
      </c>
      <c r="C4962" t="s">
        <v>40</v>
      </c>
      <c r="D4962">
        <v>4.876652</v>
      </c>
      <c r="E4962">
        <v>0.59412200000000004</v>
      </c>
      <c r="F4962" t="s">
        <v>41</v>
      </c>
      <c r="G4962">
        <v>-295.06009999999998</v>
      </c>
      <c r="H4962">
        <v>-0.05</v>
      </c>
      <c r="I4962">
        <v>4.3890379999999896</v>
      </c>
      <c r="J4962">
        <v>-322.02589999999998</v>
      </c>
      <c r="K4962">
        <v>1.1141799999999999</v>
      </c>
      <c r="L4962">
        <v>16.7836</v>
      </c>
      <c r="M4962">
        <v>0.99148329999999996</v>
      </c>
      <c r="N4962">
        <v>-1.322283E-2</v>
      </c>
      <c r="O4962">
        <v>-0.12955990000000001</v>
      </c>
      <c r="P4962">
        <v>0.96311760000000002</v>
      </c>
      <c r="Q4962">
        <v>0.18437029999999999</v>
      </c>
      <c r="R4962">
        <v>-0.19599030000000001</v>
      </c>
      <c r="S4962">
        <v>2.8738709999999998</v>
      </c>
      <c r="T4962">
        <v>-0.1233045</v>
      </c>
      <c r="U4962">
        <v>-1.3152159999999999</v>
      </c>
      <c r="V4962">
        <v>7.2805099999999998E-2</v>
      </c>
      <c r="W4962">
        <v>0.1961387</v>
      </c>
      <c r="X4962">
        <v>0.97786960000000001</v>
      </c>
      <c r="Y4962">
        <v>0.29455500000000001</v>
      </c>
      <c r="Z4962">
        <v>-4.4605519999999996E-3</v>
      </c>
      <c r="AA4962">
        <v>0.95562409999999998</v>
      </c>
      <c r="AB4962">
        <v>36</v>
      </c>
      <c r="AC4962">
        <v>26.965800000000002</v>
      </c>
      <c r="AD4962">
        <v>-1.16418</v>
      </c>
      <c r="AE4962">
        <v>-12.394561999999899</v>
      </c>
      <c r="AF4962">
        <v>8.7825706693661605</v>
      </c>
      <c r="AG4962">
        <v>-1.16418</v>
      </c>
      <c r="AH4962">
        <v>28.300911696230099</v>
      </c>
      <c r="AI4962">
        <v>92.249850324866898</v>
      </c>
      <c r="AJ4962">
        <v>72.759410182392003</v>
      </c>
      <c r="AK4962">
        <v>29.655192892183798</v>
      </c>
      <c r="AL4962">
        <v>78.688748628404198</v>
      </c>
      <c r="AM4962">
        <v>85.742026554894494</v>
      </c>
      <c r="AN4962">
        <v>0.99999996341392905</v>
      </c>
    </row>
    <row r="4963" spans="1:40" x14ac:dyDescent="0.25">
      <c r="A4963" t="str">
        <f>"20190303171114071"</f>
        <v>20190303171114071</v>
      </c>
      <c r="B4963" t="str">
        <f>"1551604274066079"</f>
        <v>1551604274066079</v>
      </c>
      <c r="C4963" t="s">
        <v>40</v>
      </c>
      <c r="D4963">
        <v>4.8274650000000001</v>
      </c>
      <c r="E4963">
        <v>0.59401419999999905</v>
      </c>
      <c r="F4963" t="s">
        <v>41</v>
      </c>
      <c r="G4963">
        <v>-294.70479999999998</v>
      </c>
      <c r="H4963">
        <v>-0.05</v>
      </c>
      <c r="I4963">
        <v>4.1358180000000004</v>
      </c>
      <c r="J4963">
        <v>-321.827</v>
      </c>
      <c r="K4963">
        <v>1.1140190000000001</v>
      </c>
      <c r="L4963">
        <v>16.753969999999999</v>
      </c>
      <c r="M4963">
        <v>0.99091300000000004</v>
      </c>
      <c r="N4963">
        <v>-1.332034E-2</v>
      </c>
      <c r="O4963">
        <v>-0.1338434</v>
      </c>
      <c r="P4963">
        <v>0.96202580000000004</v>
      </c>
      <c r="Q4963">
        <v>0.18478249999999999</v>
      </c>
      <c r="R4963">
        <v>-0.20090240000000001</v>
      </c>
      <c r="S4963">
        <v>2.8681030000000001</v>
      </c>
      <c r="T4963">
        <v>-0.1222124</v>
      </c>
      <c r="U4963">
        <v>-1.327728</v>
      </c>
      <c r="V4963">
        <v>7.3669559999999995E-2</v>
      </c>
      <c r="W4963">
        <v>0.19660150000000001</v>
      </c>
      <c r="X4963">
        <v>0.97771189999999997</v>
      </c>
      <c r="Y4963">
        <v>0.294595</v>
      </c>
      <c r="Z4963">
        <v>-4.3690350000000003E-3</v>
      </c>
      <c r="AA4963">
        <v>0.95561220000000002</v>
      </c>
      <c r="AB4963">
        <v>36</v>
      </c>
      <c r="AC4963">
        <v>27.122199999999999</v>
      </c>
      <c r="AD4963">
        <v>-1.1640189999999999</v>
      </c>
      <c r="AE4963">
        <v>-12.618152</v>
      </c>
      <c r="AF4963">
        <v>8.8607336432913204</v>
      </c>
      <c r="AG4963">
        <v>-1.1640189999999999</v>
      </c>
      <c r="AH4963">
        <v>28.5239400164138</v>
      </c>
      <c r="AI4963">
        <v>92.231770104907795</v>
      </c>
      <c r="AJ4963">
        <v>72.7430112635287</v>
      </c>
      <c r="AK4963">
        <v>29.891180889849199</v>
      </c>
      <c r="AL4963">
        <v>78.661705530814601</v>
      </c>
      <c r="AM4963">
        <v>85.690965956005996</v>
      </c>
      <c r="AN4963">
        <v>0.99999995663722496</v>
      </c>
    </row>
    <row r="4964" spans="1:40" x14ac:dyDescent="0.25">
      <c r="A4964" t="str">
        <f>"20190303171114083"</f>
        <v>20190303171114083</v>
      </c>
      <c r="B4964" t="str">
        <f>"1551604274075839"</f>
        <v>1551604274075839</v>
      </c>
      <c r="C4964" t="s">
        <v>40</v>
      </c>
      <c r="D4964">
        <v>4.8507809999999996</v>
      </c>
      <c r="E4964">
        <v>0.59396930000000003</v>
      </c>
      <c r="F4964" t="s">
        <v>41</v>
      </c>
      <c r="G4964">
        <v>-294.40480000000002</v>
      </c>
      <c r="H4964">
        <v>-0.05</v>
      </c>
      <c r="I4964">
        <v>3.895813</v>
      </c>
      <c r="J4964">
        <v>-321.64210000000003</v>
      </c>
      <c r="K4964">
        <v>1.1138699999999999</v>
      </c>
      <c r="L4964">
        <v>16.725519999999999</v>
      </c>
      <c r="M4964">
        <v>0.99035249999999997</v>
      </c>
      <c r="N4964">
        <v>-1.340677E-2</v>
      </c>
      <c r="O4964">
        <v>-0.1379213</v>
      </c>
      <c r="P4964">
        <v>0.96094159999999995</v>
      </c>
      <c r="Q4964">
        <v>0.18493860000000001</v>
      </c>
      <c r="R4964">
        <v>-0.20588580000000001</v>
      </c>
      <c r="S4964">
        <v>2.861542</v>
      </c>
      <c r="T4964">
        <v>-0.12146709999999999</v>
      </c>
      <c r="U4964">
        <v>-1.341766</v>
      </c>
      <c r="V4964">
        <v>7.4796260000000003E-2</v>
      </c>
      <c r="W4964">
        <v>0.1967951</v>
      </c>
      <c r="X4964">
        <v>0.97758750000000005</v>
      </c>
      <c r="Y4964">
        <v>0.29534829999999901</v>
      </c>
      <c r="Z4964">
        <v>-4.3041959999999997E-3</v>
      </c>
      <c r="AA4964">
        <v>0.95538000000000001</v>
      </c>
      <c r="AB4964">
        <v>36</v>
      </c>
      <c r="AC4964">
        <v>27.237300000000001</v>
      </c>
      <c r="AD4964">
        <v>-1.16387</v>
      </c>
      <c r="AE4964">
        <v>-12.829707000000001</v>
      </c>
      <c r="AF4964">
        <v>8.9367777736940095</v>
      </c>
      <c r="AG4964">
        <v>-1.16387</v>
      </c>
      <c r="AH4964">
        <v>28.703706553859899</v>
      </c>
      <c r="AI4964">
        <v>92.2170812307495</v>
      </c>
      <c r="AJ4964">
        <v>72.706243696962105</v>
      </c>
      <c r="AK4964">
        <v>30.085268160403601</v>
      </c>
      <c r="AL4964">
        <v>78.650393190893197</v>
      </c>
      <c r="AM4964">
        <v>85.624763109415397</v>
      </c>
      <c r="AN4964">
        <v>1.0000000560251201</v>
      </c>
    </row>
    <row r="4965" spans="1:40" x14ac:dyDescent="0.25">
      <c r="A4965" t="str">
        <f>"20190303171114094"</f>
        <v>20190303171114094</v>
      </c>
      <c r="B4965" t="str">
        <f>"1551604274085600"</f>
        <v>1551604274085600</v>
      </c>
      <c r="C4965" t="s">
        <v>40</v>
      </c>
      <c r="D4965">
        <v>4.8343059999999998</v>
      </c>
      <c r="E4965">
        <v>0.59392539999999905</v>
      </c>
      <c r="F4965" t="s">
        <v>41</v>
      </c>
      <c r="G4965">
        <v>-294.13589999999999</v>
      </c>
      <c r="H4965">
        <v>-0.05</v>
      </c>
      <c r="I4965">
        <v>3.6527250000000002</v>
      </c>
      <c r="J4965">
        <v>-321.47050000000002</v>
      </c>
      <c r="K4965">
        <v>1.113729</v>
      </c>
      <c r="L4965">
        <v>16.698609999999999</v>
      </c>
      <c r="M4965">
        <v>0.9898093</v>
      </c>
      <c r="N4965">
        <v>-1.348419E-2</v>
      </c>
      <c r="O4965">
        <v>-0.14175860000000001</v>
      </c>
      <c r="P4965">
        <v>0.95996360000000003</v>
      </c>
      <c r="Q4965">
        <v>0.18504870000000001</v>
      </c>
      <c r="R4965">
        <v>-0.21030190000000001</v>
      </c>
      <c r="S4965">
        <v>2.8545229999999999</v>
      </c>
      <c r="T4965">
        <v>-0.12078319999999999</v>
      </c>
      <c r="U4965">
        <v>-1.3566590000000001</v>
      </c>
      <c r="V4965">
        <v>7.557846E-2</v>
      </c>
      <c r="W4965">
        <v>0.19694139999999999</v>
      </c>
      <c r="X4965">
        <v>0.97749779999999997</v>
      </c>
      <c r="Y4965">
        <v>0.29662329999999998</v>
      </c>
      <c r="Z4965">
        <v>-4.2597720000000002E-3</v>
      </c>
      <c r="AA4965">
        <v>0.95498510000000003</v>
      </c>
      <c r="AB4965">
        <v>36</v>
      </c>
      <c r="AC4965">
        <v>27.334599999999998</v>
      </c>
      <c r="AD4965">
        <v>-1.163729</v>
      </c>
      <c r="AE4965">
        <v>-13.045885</v>
      </c>
      <c r="AF4965">
        <v>9.0255226400058</v>
      </c>
      <c r="AG4965">
        <v>-1.163729</v>
      </c>
      <c r="AH4965">
        <v>28.8654268835507</v>
      </c>
      <c r="AI4965">
        <v>92.203572659559299</v>
      </c>
      <c r="AJ4965">
        <v>72.636795391413699</v>
      </c>
      <c r="AK4965">
        <v>30.2659411431449</v>
      </c>
      <c r="AL4965">
        <v>78.641842670047893</v>
      </c>
      <c r="AM4965">
        <v>85.5787843906988</v>
      </c>
      <c r="AN4965">
        <v>0.99999998382738498</v>
      </c>
    </row>
    <row r="4966" spans="1:40" x14ac:dyDescent="0.25">
      <c r="A4966" t="str">
        <f>"20190303171114106"</f>
        <v>20190303171114106</v>
      </c>
      <c r="B4966" t="str">
        <f>"1551604274095361"</f>
        <v>1551604274095361</v>
      </c>
      <c r="C4966" t="s">
        <v>40</v>
      </c>
      <c r="D4966">
        <v>4.8355220000000001</v>
      </c>
      <c r="E4966">
        <v>0.59387559999999995</v>
      </c>
      <c r="F4966" t="s">
        <v>41</v>
      </c>
      <c r="G4966">
        <v>-293.89210000000003</v>
      </c>
      <c r="H4966">
        <v>-0.05</v>
      </c>
      <c r="I4966">
        <v>3.4327549999999998</v>
      </c>
      <c r="J4966">
        <v>-321.29079999999999</v>
      </c>
      <c r="K4966">
        <v>1.113578</v>
      </c>
      <c r="L4966">
        <v>16.669250000000002</v>
      </c>
      <c r="M4966">
        <v>0.9892048</v>
      </c>
      <c r="N4966">
        <v>-1.3561119999999999E-2</v>
      </c>
      <c r="O4966">
        <v>-0.14591179999999901</v>
      </c>
      <c r="P4966">
        <v>0.95891099999999996</v>
      </c>
      <c r="Q4966">
        <v>0.18466959999999999</v>
      </c>
      <c r="R4966">
        <v>-0.2153764</v>
      </c>
      <c r="S4966">
        <v>2.8481450000000001</v>
      </c>
      <c r="T4966">
        <v>-0.1201835</v>
      </c>
      <c r="U4966">
        <v>-1.370026</v>
      </c>
      <c r="V4966">
        <v>7.6705309999999999E-2</v>
      </c>
      <c r="W4966">
        <v>0.19658990000000001</v>
      </c>
      <c r="X4966">
        <v>0.97748080000000004</v>
      </c>
      <c r="Y4966">
        <v>0.29709200000000002</v>
      </c>
      <c r="Z4966">
        <v>-4.187156E-3</v>
      </c>
      <c r="AA4966">
        <v>0.95483969999999996</v>
      </c>
      <c r="AB4966">
        <v>36</v>
      </c>
      <c r="AC4966">
        <v>27.398699999999899</v>
      </c>
      <c r="AD4966">
        <v>-1.163578</v>
      </c>
      <c r="AE4966">
        <v>-13.236495</v>
      </c>
      <c r="AF4966">
        <v>9.0833635092981204</v>
      </c>
      <c r="AG4966">
        <v>-1.163578</v>
      </c>
      <c r="AH4966">
        <v>28.9945541308138</v>
      </c>
      <c r="AI4966">
        <v>92.193108034437898</v>
      </c>
      <c r="AJ4966">
        <v>72.605360453086206</v>
      </c>
      <c r="AK4966">
        <v>30.406341043421001</v>
      </c>
      <c r="AL4966">
        <v>78.662383933130201</v>
      </c>
      <c r="AM4966">
        <v>85.513055009415496</v>
      </c>
      <c r="AN4966">
        <v>1.0000000038664201</v>
      </c>
    </row>
    <row r="4967" spans="1:40" x14ac:dyDescent="0.25">
      <c r="A4967" t="str">
        <f>"20190303171114120"</f>
        <v>20190303171114120</v>
      </c>
      <c r="B4967" t="str">
        <f>"1551604274106096"</f>
        <v>1551604274106096</v>
      </c>
      <c r="C4967" t="s">
        <v>40</v>
      </c>
      <c r="D4967">
        <v>4.8586269999999896</v>
      </c>
      <c r="E4967">
        <v>0.59387559999999995</v>
      </c>
      <c r="F4967" t="s">
        <v>41</v>
      </c>
      <c r="G4967">
        <v>-294.03190000000001</v>
      </c>
      <c r="H4967">
        <v>-0.05</v>
      </c>
      <c r="I4967">
        <v>3.3796080000000002</v>
      </c>
      <c r="J4967">
        <v>-321.04759999999999</v>
      </c>
      <c r="K4967">
        <v>1.1133420000000001</v>
      </c>
      <c r="L4967">
        <v>16.628599999999999</v>
      </c>
      <c r="M4967">
        <v>0.98832880000000001</v>
      </c>
      <c r="N4967">
        <v>-1.348983E-2</v>
      </c>
      <c r="O4967">
        <v>-0.15173829999999999</v>
      </c>
      <c r="P4967">
        <v>0.95746609999999999</v>
      </c>
      <c r="Q4967">
        <v>0.18445510000000001</v>
      </c>
      <c r="R4967">
        <v>-0.22188959999999999</v>
      </c>
      <c r="S4967">
        <v>2.8407900000000001</v>
      </c>
      <c r="T4967">
        <v>-0.1212622</v>
      </c>
      <c r="U4967">
        <v>-1.384979</v>
      </c>
      <c r="V4967">
        <v>7.766903E-2</v>
      </c>
      <c r="W4967">
        <v>0.1962546</v>
      </c>
      <c r="X4967">
        <v>0.97747209999999995</v>
      </c>
      <c r="Y4967">
        <v>0.29650009999999999</v>
      </c>
      <c r="Z4967">
        <v>-3.999491E-3</v>
      </c>
      <c r="AA4967">
        <v>0.9550244</v>
      </c>
      <c r="AB4967">
        <v>36</v>
      </c>
      <c r="AC4967">
        <v>27.015699999999899</v>
      </c>
      <c r="AD4967">
        <v>-1.1633420000000001</v>
      </c>
      <c r="AE4967">
        <v>-13.2489919999999</v>
      </c>
      <c r="AF4967">
        <v>8.98243424426453</v>
      </c>
      <c r="AG4967">
        <v>-1.1633420000000001</v>
      </c>
      <c r="AH4967">
        <v>28.6705256016762</v>
      </c>
      <c r="AI4967">
        <v>92.217407277368693</v>
      </c>
      <c r="AJ4967">
        <v>72.604301635865895</v>
      </c>
      <c r="AK4967">
        <v>30.0672001995176</v>
      </c>
      <c r="AL4967">
        <v>78.681977147339296</v>
      </c>
      <c r="AM4967">
        <v>85.456875625059894</v>
      </c>
      <c r="AN4967">
        <v>1.0000000262603499</v>
      </c>
    </row>
    <row r="4968" spans="1:40" x14ac:dyDescent="0.25">
      <c r="A4968" t="str">
        <f>"20190303171114139"</f>
        <v>20190303171114139</v>
      </c>
      <c r="B4968" t="str">
        <f>"1551604274125617"</f>
        <v>1551604274125617</v>
      </c>
      <c r="C4968" t="s">
        <v>40</v>
      </c>
      <c r="D4968">
        <v>4.8865160000000003</v>
      </c>
      <c r="E4968">
        <v>0.61904209999999904</v>
      </c>
      <c r="F4968" t="s">
        <v>41</v>
      </c>
      <c r="G4968">
        <v>-293.93020000000001</v>
      </c>
      <c r="H4968">
        <v>-0.05</v>
      </c>
      <c r="I4968">
        <v>3.1742710000000001</v>
      </c>
      <c r="J4968">
        <v>-320.7611</v>
      </c>
      <c r="K4968">
        <v>1.1129880000000001</v>
      </c>
      <c r="L4968">
        <v>16.57883</v>
      </c>
      <c r="M4968">
        <v>0.98717730000000004</v>
      </c>
      <c r="N4968">
        <v>-1.2954719999999999E-2</v>
      </c>
      <c r="O4968">
        <v>-0.15910160000000001</v>
      </c>
      <c r="P4968">
        <v>0.95511599999999997</v>
      </c>
      <c r="Q4968">
        <v>0.184424</v>
      </c>
      <c r="R4968">
        <v>-0.23182179999999999</v>
      </c>
      <c r="S4968">
        <v>2.8311769999999998</v>
      </c>
      <c r="T4968">
        <v>-0.12145830000000001</v>
      </c>
      <c r="U4968">
        <v>-1.4046940000000001</v>
      </c>
      <c r="V4968">
        <v>8.0610379999999995E-2</v>
      </c>
      <c r="W4968">
        <v>0.19561210000000001</v>
      </c>
      <c r="X4968">
        <v>0.97736270000000003</v>
      </c>
      <c r="Y4968">
        <v>0.29601729999999998</v>
      </c>
      <c r="Z4968">
        <v>-3.6282459999999999E-3</v>
      </c>
      <c r="AA4968">
        <v>0.95517560000000001</v>
      </c>
      <c r="AB4968">
        <v>36</v>
      </c>
      <c r="AC4968">
        <v>26.8308999999999</v>
      </c>
      <c r="AD4968">
        <v>-1.1629879999999999</v>
      </c>
      <c r="AE4968">
        <v>-13.404559000000001</v>
      </c>
      <c r="AF4968">
        <v>8.9511305132397805</v>
      </c>
      <c r="AG4968">
        <v>-1.1629879999999999</v>
      </c>
      <c r="AH4968">
        <v>28.578972439336098</v>
      </c>
      <c r="AI4968">
        <v>92.2238855268983</v>
      </c>
      <c r="AJ4968">
        <v>72.609085373255297</v>
      </c>
      <c r="AK4968">
        <v>29.970534600529401</v>
      </c>
      <c r="AL4968">
        <v>78.719516871965794</v>
      </c>
      <c r="AM4968">
        <v>85.285062241054106</v>
      </c>
      <c r="AN4968">
        <v>0.99999998719072203</v>
      </c>
    </row>
    <row r="4969" spans="1:40" x14ac:dyDescent="0.25">
      <c r="A4969" t="str">
        <f>"20190303171114151"</f>
        <v>20190303171114151</v>
      </c>
      <c r="B4969" t="str">
        <f>"1551604274135376"</f>
        <v>1551604274135376</v>
      </c>
      <c r="C4969" t="s">
        <v>40</v>
      </c>
      <c r="D4969">
        <v>4.843032</v>
      </c>
      <c r="E4969">
        <v>0.62679259999999903</v>
      </c>
      <c r="F4969" t="s">
        <v>42</v>
      </c>
      <c r="G4969">
        <v>-291.82350000000002</v>
      </c>
      <c r="H4969" s="1">
        <v>-5.6876850000000004E-6</v>
      </c>
      <c r="I4969">
        <v>-0.45911879999999999</v>
      </c>
      <c r="J4969">
        <v>-320.541</v>
      </c>
      <c r="K4969">
        <v>1.112654</v>
      </c>
      <c r="L4969">
        <v>16.539000000000001</v>
      </c>
      <c r="M4969">
        <v>0.98623340000000004</v>
      </c>
      <c r="N4969">
        <v>-1.2775399999999999E-2</v>
      </c>
      <c r="O4969">
        <v>-0.1648655</v>
      </c>
      <c r="P4969">
        <v>0.95339719999999994</v>
      </c>
      <c r="Q4969">
        <v>0.18423</v>
      </c>
      <c r="R4969">
        <v>-0.2389415</v>
      </c>
      <c r="S4969">
        <v>2.7662049999999998</v>
      </c>
      <c r="T4969">
        <v>-0.1063933</v>
      </c>
      <c r="U4969">
        <v>-1.6286929999999999</v>
      </c>
      <c r="V4969">
        <v>8.2280919999999994E-2</v>
      </c>
      <c r="W4969">
        <v>0.1951707</v>
      </c>
      <c r="X4969">
        <v>0.97731170000000001</v>
      </c>
      <c r="Y4969">
        <v>0.35810829999999999</v>
      </c>
      <c r="Z4969">
        <v>-5.0302569999999998E-3</v>
      </c>
      <c r="AA4969">
        <v>0.93366649999999995</v>
      </c>
      <c r="AB4969">
        <v>36</v>
      </c>
      <c r="AC4969">
        <v>28.717499999999902</v>
      </c>
      <c r="AD4969">
        <v>-1.1126596876849999</v>
      </c>
      <c r="AE4969">
        <v>-16.9981188</v>
      </c>
      <c r="AF4969">
        <v>12.0172089158622</v>
      </c>
      <c r="AG4969">
        <v>-1.1126596876849999</v>
      </c>
      <c r="AH4969">
        <v>31.092533483807301</v>
      </c>
      <c r="AI4969">
        <v>91.911770158240202</v>
      </c>
      <c r="AJ4969">
        <v>68.868571545655797</v>
      </c>
      <c r="AK4969">
        <v>33.3526154918884</v>
      </c>
      <c r="AL4969">
        <v>78.745303910947101</v>
      </c>
      <c r="AM4969">
        <v>85.1875558920988</v>
      </c>
      <c r="AN4969">
        <v>0.99999995544571196</v>
      </c>
    </row>
    <row r="4970" spans="1:40" x14ac:dyDescent="0.25">
      <c r="A4970" t="str">
        <f>"20190303171114163"</f>
        <v>20190303171114163</v>
      </c>
      <c r="B4970" t="str">
        <f>"1551604274155873"</f>
        <v>1551604274155873</v>
      </c>
      <c r="C4970" t="s">
        <v>40</v>
      </c>
      <c r="D4970">
        <v>5.0006870000000001</v>
      </c>
      <c r="E4970">
        <v>0.63399899999999998</v>
      </c>
      <c r="F4970" t="s">
        <v>42</v>
      </c>
      <c r="G4970">
        <v>-289.95780000000002</v>
      </c>
      <c r="H4970">
        <v>4.3308239999999998E-2</v>
      </c>
      <c r="I4970">
        <v>-2.5572370000000002</v>
      </c>
      <c r="J4970">
        <v>-320.35829999999999</v>
      </c>
      <c r="K4970">
        <v>1.1123730000000001</v>
      </c>
      <c r="L4970">
        <v>16.504939999999898</v>
      </c>
      <c r="M4970">
        <v>0.98541380000000001</v>
      </c>
      <c r="N4970">
        <v>-1.2847819999999999E-2</v>
      </c>
      <c r="O4970">
        <v>-0.16969039999999999</v>
      </c>
      <c r="P4970">
        <v>0.95181700000000002</v>
      </c>
      <c r="Q4970">
        <v>0.18451719999999999</v>
      </c>
      <c r="R4970">
        <v>-0.24494479999999999</v>
      </c>
      <c r="S4970">
        <v>2.736847</v>
      </c>
      <c r="T4970">
        <v>-9.5694180000000004E-2</v>
      </c>
      <c r="U4970">
        <v>-1.708893</v>
      </c>
      <c r="V4970">
        <v>8.3754460000000003E-2</v>
      </c>
      <c r="W4970">
        <v>0.1954658</v>
      </c>
      <c r="X4970">
        <v>0.97712759999999999</v>
      </c>
      <c r="Y4970">
        <v>0.37779000000000001</v>
      </c>
      <c r="Z4970">
        <v>-5.3653290000000003E-3</v>
      </c>
      <c r="AA4970">
        <v>0.92587580000000003</v>
      </c>
      <c r="AB4970">
        <v>36</v>
      </c>
      <c r="AC4970">
        <v>30.400499999999901</v>
      </c>
      <c r="AD4970">
        <v>-1.0690647600000001</v>
      </c>
      <c r="AE4970">
        <v>-19.062176999999998</v>
      </c>
      <c r="AF4970">
        <v>13.614497316448</v>
      </c>
      <c r="AG4970">
        <v>-1.0690647600000001</v>
      </c>
      <c r="AH4970">
        <v>33.1650372532931</v>
      </c>
      <c r="AI4970">
        <v>91.708047982659295</v>
      </c>
      <c r="AJ4970">
        <v>67.681481031807806</v>
      </c>
      <c r="AK4970">
        <v>35.866657673289801</v>
      </c>
      <c r="AL4970">
        <v>78.7280645910228</v>
      </c>
      <c r="AM4970">
        <v>85.1008687954604</v>
      </c>
      <c r="AN4970">
        <v>1.0000000176106401</v>
      </c>
    </row>
    <row r="4971" spans="1:40" x14ac:dyDescent="0.25">
      <c r="A4971" t="str">
        <f>"20190303171114175"</f>
        <v>20190303171114175</v>
      </c>
      <c r="B4971" t="str">
        <f>"1551604274165632"</f>
        <v>1551604274165632</v>
      </c>
      <c r="C4971" t="s">
        <v>40</v>
      </c>
      <c r="D4971">
        <v>5.0772309999999896</v>
      </c>
      <c r="E4971">
        <v>0.63581009999999905</v>
      </c>
      <c r="F4971" t="s">
        <v>42</v>
      </c>
      <c r="G4971">
        <v>-291.76260000000002</v>
      </c>
      <c r="H4971" s="1">
        <v>-4.8499129999999997E-6</v>
      </c>
      <c r="I4971">
        <v>-2.269466</v>
      </c>
      <c r="J4971">
        <v>-320.16430000000003</v>
      </c>
      <c r="K4971">
        <v>1.1120760000000001</v>
      </c>
      <c r="L4971">
        <v>16.468229999999998</v>
      </c>
      <c r="M4971">
        <v>0.98451080000000002</v>
      </c>
      <c r="N4971">
        <v>-1.3058230000000001E-2</v>
      </c>
      <c r="O4971">
        <v>-0.17483670000000001</v>
      </c>
      <c r="P4971">
        <v>0.95024779999999998</v>
      </c>
      <c r="Q4971">
        <v>0.18437990000000001</v>
      </c>
      <c r="R4971">
        <v>-0.25106390000000001</v>
      </c>
      <c r="S4971">
        <v>2.7138059999999999</v>
      </c>
      <c r="T4971">
        <v>-0.10556749999999999</v>
      </c>
      <c r="U4971">
        <v>-1.781738</v>
      </c>
      <c r="V4971">
        <v>8.5017419999999996E-2</v>
      </c>
      <c r="W4971">
        <v>0.19547419999999999</v>
      </c>
      <c r="X4971">
        <v>0.97701680000000002</v>
      </c>
      <c r="Y4971">
        <v>0.39395180000000002</v>
      </c>
      <c r="Z4971">
        <v>-5.8100890000000001E-3</v>
      </c>
      <c r="AA4971">
        <v>0.9191127</v>
      </c>
      <c r="AB4971">
        <v>36</v>
      </c>
      <c r="AC4971">
        <v>28.401700000000002</v>
      </c>
      <c r="AD4971">
        <v>-1.1120808499129999</v>
      </c>
      <c r="AE4971">
        <v>-18.737696</v>
      </c>
      <c r="AF4971">
        <v>13.468567605172501</v>
      </c>
      <c r="AG4971">
        <v>-1.1120808499129999</v>
      </c>
      <c r="AH4971">
        <v>31.207146792040199</v>
      </c>
      <c r="AI4971">
        <v>91.873953909951297</v>
      </c>
      <c r="AJ4971">
        <v>66.655648478462396</v>
      </c>
      <c r="AK4971">
        <v>34.0077204183372</v>
      </c>
      <c r="AL4971">
        <v>78.727573364828103</v>
      </c>
      <c r="AM4971">
        <v>85.026799826150096</v>
      </c>
      <c r="AN4971">
        <v>0.99999997602566704</v>
      </c>
    </row>
    <row r="4972" spans="1:40" x14ac:dyDescent="0.25">
      <c r="A4972" t="str">
        <f>"20190303171114187"</f>
        <v>20190303171114187</v>
      </c>
      <c r="B4972" t="str">
        <f>"1551604274175393"</f>
        <v>1551604274175393</v>
      </c>
      <c r="C4972" t="s">
        <v>40</v>
      </c>
      <c r="D4972">
        <v>5.0022729999999997</v>
      </c>
      <c r="E4972">
        <v>0.63759960000000004</v>
      </c>
      <c r="F4972" t="s">
        <v>42</v>
      </c>
      <c r="G4972">
        <v>-291.58339999999998</v>
      </c>
      <c r="H4972" s="1">
        <v>-4.716689E-6</v>
      </c>
      <c r="I4972">
        <v>-2.7405080000000002</v>
      </c>
      <c r="J4972">
        <v>-319.98759999999999</v>
      </c>
      <c r="K4972">
        <v>1.1116649999999999</v>
      </c>
      <c r="L4972">
        <v>16.43338</v>
      </c>
      <c r="M4972">
        <v>0.98362620000000001</v>
      </c>
      <c r="N4972">
        <v>-1.3397279999999999E-2</v>
      </c>
      <c r="O4972">
        <v>-0.17972249999999901</v>
      </c>
      <c r="P4972">
        <v>0.94874789999999998</v>
      </c>
      <c r="Q4972">
        <v>0.18427569999999999</v>
      </c>
      <c r="R4972">
        <v>-0.25674910000000001</v>
      </c>
      <c r="S4972">
        <v>2.698334</v>
      </c>
      <c r="T4972">
        <v>-0.10499219999999999</v>
      </c>
      <c r="U4972">
        <v>-1.813507</v>
      </c>
      <c r="V4972">
        <v>8.6119520000000005E-2</v>
      </c>
      <c r="W4972">
        <v>0.19563649999999999</v>
      </c>
      <c r="X4972">
        <v>0.97688779999999997</v>
      </c>
      <c r="Y4972">
        <v>0.39928550000000002</v>
      </c>
      <c r="Z4972">
        <v>-5.9674480000000002E-3</v>
      </c>
      <c r="AA4972">
        <v>0.91680720000000004</v>
      </c>
      <c r="AB4972">
        <v>36</v>
      </c>
      <c r="AC4972">
        <v>28.404199999999999</v>
      </c>
      <c r="AD4972">
        <v>-1.1116697166889999</v>
      </c>
      <c r="AE4972">
        <v>-19.173888000000002</v>
      </c>
      <c r="AF4972">
        <v>13.7418382636359</v>
      </c>
      <c r="AG4972">
        <v>-1.1116697166889999</v>
      </c>
      <c r="AH4972">
        <v>31.354915346683299</v>
      </c>
      <c r="AI4972">
        <v>91.859892293852099</v>
      </c>
      <c r="AJ4972">
        <v>66.333726136820005</v>
      </c>
      <c r="AK4972">
        <v>34.252075044011697</v>
      </c>
      <c r="AL4972">
        <v>78.718091375930101</v>
      </c>
      <c r="AM4972">
        <v>84.961998935725106</v>
      </c>
      <c r="AN4972">
        <v>0.99999999282305996</v>
      </c>
    </row>
    <row r="4973" spans="1:40" x14ac:dyDescent="0.25">
      <c r="A4973" t="str">
        <f>"20190303171114198"</f>
        <v>20190303171114198</v>
      </c>
      <c r="B4973" t="str">
        <f>"1551604274186128"</f>
        <v>1551604274186128</v>
      </c>
      <c r="C4973" t="s">
        <v>40</v>
      </c>
      <c r="D4973">
        <v>5.0303230000000001</v>
      </c>
      <c r="E4973">
        <v>0.63958939999999997</v>
      </c>
      <c r="F4973" t="s">
        <v>42</v>
      </c>
      <c r="G4973">
        <v>-292.12169999999998</v>
      </c>
      <c r="H4973" s="1">
        <v>-4.5858899999999997E-6</v>
      </c>
      <c r="I4973">
        <v>-2.7081360000000001</v>
      </c>
      <c r="J4973">
        <v>-319.79919999999998</v>
      </c>
      <c r="K4973">
        <v>1.111178</v>
      </c>
      <c r="L4973">
        <v>16.395810000000001</v>
      </c>
      <c r="M4973">
        <v>0.98265400000000003</v>
      </c>
      <c r="N4973">
        <v>-1.3802450000000001E-2</v>
      </c>
      <c r="O4973">
        <v>-0.18493409999999999</v>
      </c>
      <c r="P4973">
        <v>0.9471927</v>
      </c>
      <c r="Q4973">
        <v>0.183892</v>
      </c>
      <c r="R4973">
        <v>-0.26269749999999997</v>
      </c>
      <c r="S4973">
        <v>2.6839599999999999</v>
      </c>
      <c r="T4973">
        <v>-0.1070729</v>
      </c>
      <c r="U4973">
        <v>-1.843658</v>
      </c>
      <c r="V4973">
        <v>8.7174500000000002E-2</v>
      </c>
      <c r="W4973">
        <v>0.1955771</v>
      </c>
      <c r="X4973">
        <v>0.97680610000000001</v>
      </c>
      <c r="Y4973">
        <v>0.40370919999999999</v>
      </c>
      <c r="Z4973">
        <v>-6.1450589999999996E-3</v>
      </c>
      <c r="AA4973">
        <v>0.91486670000000003</v>
      </c>
      <c r="AB4973">
        <v>36</v>
      </c>
      <c r="AC4973">
        <v>27.677499999999998</v>
      </c>
      <c r="AD4973">
        <v>-1.11118258589</v>
      </c>
      <c r="AE4973">
        <v>-19.103946000000001</v>
      </c>
      <c r="AF4973">
        <v>13.6404646980388</v>
      </c>
      <c r="AG4973">
        <v>-1.11118258589</v>
      </c>
      <c r="AH4973">
        <v>30.6997893538101</v>
      </c>
      <c r="AI4973">
        <v>91.894485980827</v>
      </c>
      <c r="AJ4973">
        <v>66.043567749472203</v>
      </c>
      <c r="AK4973">
        <v>33.612111958131102</v>
      </c>
      <c r="AL4973">
        <v>78.721561595802697</v>
      </c>
      <c r="AM4973">
        <v>84.900181674113398</v>
      </c>
      <c r="AN4973">
        <v>0.99999997624593395</v>
      </c>
    </row>
    <row r="4974" spans="1:40" x14ac:dyDescent="0.25">
      <c r="A4974" t="str">
        <f>"20190303171114209"</f>
        <v>20190303171114209</v>
      </c>
      <c r="B4974" t="str">
        <f>"1551604274195888"</f>
        <v>1551604274195888</v>
      </c>
      <c r="C4974" t="s">
        <v>40</v>
      </c>
      <c r="D4974">
        <v>4.9819139999999997</v>
      </c>
      <c r="E4974">
        <v>0.64112740000000001</v>
      </c>
      <c r="F4974" t="s">
        <v>42</v>
      </c>
      <c r="G4974">
        <v>-292.56950000000001</v>
      </c>
      <c r="H4974" s="1">
        <v>-4.4713540000000001E-6</v>
      </c>
      <c r="I4974">
        <v>-2.752294</v>
      </c>
      <c r="J4974">
        <v>-319.62009999999998</v>
      </c>
      <c r="K4974">
        <v>1.1105609999999999</v>
      </c>
      <c r="L4974">
        <v>16.358799999999999</v>
      </c>
      <c r="M4974">
        <v>0.98170500000000005</v>
      </c>
      <c r="N4974">
        <v>-1.433795E-2</v>
      </c>
      <c r="O4974">
        <v>-0.18986819999999999</v>
      </c>
      <c r="P4974">
        <v>0.94570860000000001</v>
      </c>
      <c r="Q4974">
        <v>0.18310860000000001</v>
      </c>
      <c r="R4974">
        <v>-0.26852690000000001</v>
      </c>
      <c r="S4974">
        <v>2.667999</v>
      </c>
      <c r="T4974">
        <v>-0.10887529999999999</v>
      </c>
      <c r="U4974">
        <v>-1.87616</v>
      </c>
      <c r="V4974">
        <v>8.8389629999999997E-2</v>
      </c>
      <c r="W4974">
        <v>0.19523199999999999</v>
      </c>
      <c r="X4974">
        <v>0.97676600000000002</v>
      </c>
      <c r="Y4974">
        <v>0.40913830000000001</v>
      </c>
      <c r="Z4974">
        <v>-6.4082979999999998E-3</v>
      </c>
      <c r="AA4974">
        <v>0.91244990000000004</v>
      </c>
      <c r="AB4974">
        <v>36</v>
      </c>
      <c r="AC4974">
        <v>27.0505999999999</v>
      </c>
      <c r="AD4974">
        <v>-1.1105654713540001</v>
      </c>
      <c r="AE4974">
        <v>-19.111094000000001</v>
      </c>
      <c r="AF4974">
        <v>13.6115032445121</v>
      </c>
      <c r="AG4974">
        <v>-1.1105654713540001</v>
      </c>
      <c r="AH4974">
        <v>30.153495588405399</v>
      </c>
      <c r="AI4974">
        <v>91.922625122189402</v>
      </c>
      <c r="AJ4974">
        <v>65.705243630054596</v>
      </c>
      <c r="AK4974">
        <v>33.101958740254503</v>
      </c>
      <c r="AL4974">
        <v>78.7417237503808</v>
      </c>
      <c r="AM4974">
        <v>84.829266602006697</v>
      </c>
      <c r="AN4974">
        <v>1.00000003963576</v>
      </c>
    </row>
    <row r="4975" spans="1:40" x14ac:dyDescent="0.25">
      <c r="A4975" t="str">
        <f>"20190303171114221"</f>
        <v>20190303171114221</v>
      </c>
      <c r="B4975" t="str">
        <f>"1551604274205648"</f>
        <v>1551604274205648</v>
      </c>
      <c r="C4975" t="s">
        <v>40</v>
      </c>
      <c r="D4975">
        <v>5.0128649999999997</v>
      </c>
      <c r="E4975">
        <v>0.64236380000000004</v>
      </c>
      <c r="F4975" t="s">
        <v>42</v>
      </c>
      <c r="G4975">
        <v>-293.09359999999998</v>
      </c>
      <c r="H4975" s="1">
        <v>-4.4080120000000003E-6</v>
      </c>
      <c r="I4975">
        <v>-2.6896369999999998</v>
      </c>
      <c r="J4975">
        <v>-319.44940000000003</v>
      </c>
      <c r="K4975">
        <v>1.1099159999999999</v>
      </c>
      <c r="L4975">
        <v>16.322849999999999</v>
      </c>
      <c r="M4975">
        <v>0.9807863</v>
      </c>
      <c r="N4975">
        <v>-1.4909189999999999E-2</v>
      </c>
      <c r="O4975">
        <v>-0.19451460000000001</v>
      </c>
      <c r="P4975">
        <v>0.94422309999999998</v>
      </c>
      <c r="Q4975">
        <v>0.1821199</v>
      </c>
      <c r="R4975">
        <v>-0.27436359999999999</v>
      </c>
      <c r="S4975">
        <v>2.652863</v>
      </c>
      <c r="T4975">
        <v>-0.1110656</v>
      </c>
      <c r="U4975">
        <v>-1.9049990000000001</v>
      </c>
      <c r="V4975">
        <v>8.9891399999999996E-2</v>
      </c>
      <c r="W4975">
        <v>0.19470860000000001</v>
      </c>
      <c r="X4975">
        <v>0.97673339999999997</v>
      </c>
      <c r="Y4975">
        <v>0.41381600000000002</v>
      </c>
      <c r="Z4975">
        <v>-6.6801059999999999E-3</v>
      </c>
      <c r="AA4975">
        <v>0.91033600000000003</v>
      </c>
      <c r="AB4975">
        <v>36</v>
      </c>
      <c r="AC4975">
        <v>26.355799999999999</v>
      </c>
      <c r="AD4975">
        <v>-1.109920408012</v>
      </c>
      <c r="AE4975">
        <v>-19.012487</v>
      </c>
      <c r="AF4975">
        <v>13.506347087327301</v>
      </c>
      <c r="AG4975">
        <v>-1.109920408012</v>
      </c>
      <c r="AH4975">
        <v>29.516468312547801</v>
      </c>
      <c r="AI4975">
        <v>91.958386865317095</v>
      </c>
      <c r="AJ4975">
        <v>65.411791646298795</v>
      </c>
      <c r="AK4975">
        <v>32.4788429073622</v>
      </c>
      <c r="AL4975">
        <v>78.772298889921203</v>
      </c>
      <c r="AM4975">
        <v>84.741727913904597</v>
      </c>
      <c r="AN4975">
        <v>1.0000000186917299</v>
      </c>
    </row>
    <row r="4976" spans="1:40" x14ac:dyDescent="0.25">
      <c r="A4976" t="str">
        <f>"20190303171114233"</f>
        <v>20190303171114233</v>
      </c>
      <c r="B4976" t="str">
        <f>"1551604274225169"</f>
        <v>1551604274225169</v>
      </c>
      <c r="C4976" t="s">
        <v>40</v>
      </c>
      <c r="D4976">
        <v>5.0036899999999997</v>
      </c>
      <c r="E4976">
        <v>0.6431095</v>
      </c>
      <c r="F4976" t="s">
        <v>42</v>
      </c>
      <c r="G4976">
        <v>-293.95639999999997</v>
      </c>
      <c r="H4976" s="1">
        <v>-4.4211129999999996E-6</v>
      </c>
      <c r="I4976">
        <v>-2.3381539999999998</v>
      </c>
      <c r="J4976">
        <v>-319.23349999999999</v>
      </c>
      <c r="K4976">
        <v>1.1089880000000001</v>
      </c>
      <c r="L4976">
        <v>16.276119999999999</v>
      </c>
      <c r="M4976">
        <v>0.97961100000000001</v>
      </c>
      <c r="N4976">
        <v>-1.5756360000000001E-2</v>
      </c>
      <c r="O4976">
        <v>-0.20028489999999999</v>
      </c>
      <c r="P4976">
        <v>0.94236759999999997</v>
      </c>
      <c r="Q4976">
        <v>0.18074460000000001</v>
      </c>
      <c r="R4976">
        <v>-0.28155819999999998</v>
      </c>
      <c r="S4976">
        <v>2.6382140000000001</v>
      </c>
      <c r="T4976">
        <v>-0.11486300000000001</v>
      </c>
      <c r="U4976">
        <v>-1.9311830000000001</v>
      </c>
      <c r="V4976">
        <v>9.1715489999999997E-2</v>
      </c>
      <c r="W4976">
        <v>0.19403690000000001</v>
      </c>
      <c r="X4976">
        <v>0.97669740000000005</v>
      </c>
      <c r="Y4976">
        <v>0.41672680000000001</v>
      </c>
      <c r="Z4976">
        <v>-7.0042780000000001E-3</v>
      </c>
      <c r="AA4976">
        <v>0.90900479999999995</v>
      </c>
      <c r="AB4976">
        <v>36</v>
      </c>
      <c r="AC4976">
        <v>25.277100000000001</v>
      </c>
      <c r="AD4976">
        <v>-1.10899242111299</v>
      </c>
      <c r="AE4976">
        <v>-18.614273999999899</v>
      </c>
      <c r="AF4976">
        <v>13.1573402873315</v>
      </c>
      <c r="AG4976">
        <v>-1.10899242111299</v>
      </c>
      <c r="AH4976">
        <v>28.457903055421799</v>
      </c>
      <c r="AI4976">
        <v>92.025818467831698</v>
      </c>
      <c r="AJ4976">
        <v>65.186822960315993</v>
      </c>
      <c r="AK4976">
        <v>31.371925569504199</v>
      </c>
      <c r="AL4976">
        <v>78.811531742900598</v>
      </c>
      <c r="AM4976">
        <v>84.635446006496593</v>
      </c>
      <c r="AN4976">
        <v>0.99999993041715196</v>
      </c>
    </row>
    <row r="4977" spans="1:40" x14ac:dyDescent="0.25">
      <c r="A4977" t="str">
        <f>"20190303171114244"</f>
        <v>20190303171114244</v>
      </c>
      <c r="B4977" t="str">
        <f>"1551604274235905"</f>
        <v>1551604274235905</v>
      </c>
      <c r="C4977" t="s">
        <v>40</v>
      </c>
      <c r="D4977">
        <v>4.8223699999999896</v>
      </c>
      <c r="E4977">
        <v>0.64368519999999996</v>
      </c>
      <c r="F4977" t="s">
        <v>42</v>
      </c>
      <c r="G4977">
        <v>-294.9631</v>
      </c>
      <c r="H4977" s="1">
        <v>-4.4773859999999997E-6</v>
      </c>
      <c r="I4977">
        <v>-1.8413459999999999</v>
      </c>
      <c r="J4977">
        <v>-319.06729999999999</v>
      </c>
      <c r="K4977">
        <v>1.108182</v>
      </c>
      <c r="L4977">
        <v>16.238800000000001</v>
      </c>
      <c r="M4977">
        <v>0.97869139999999999</v>
      </c>
      <c r="N4977">
        <v>-1.6476850000000001E-2</v>
      </c>
      <c r="O4977">
        <v>-0.20467469999999999</v>
      </c>
      <c r="P4977">
        <v>0.94069190000000003</v>
      </c>
      <c r="Q4977">
        <v>0.17980309999999999</v>
      </c>
      <c r="R4977">
        <v>-0.28769719999999999</v>
      </c>
      <c r="S4977">
        <v>2.6217039999999998</v>
      </c>
      <c r="T4977">
        <v>-0.1197941</v>
      </c>
      <c r="U4977">
        <v>-1.9570620000000001</v>
      </c>
      <c r="V4977">
        <v>9.3811740000000005E-2</v>
      </c>
      <c r="W4977">
        <v>0.1936823</v>
      </c>
      <c r="X4977">
        <v>0.97656880000000001</v>
      </c>
      <c r="Y4977">
        <v>0.42112250000000001</v>
      </c>
      <c r="Z4977">
        <v>-7.3560149999999996E-3</v>
      </c>
      <c r="AA4977">
        <v>0.90697399999999995</v>
      </c>
      <c r="AB4977">
        <v>36</v>
      </c>
      <c r="AC4977">
        <v>24.104199999999899</v>
      </c>
      <c r="AD4977">
        <v>-1.108186477386</v>
      </c>
      <c r="AE4977">
        <v>-18.080145999999999</v>
      </c>
      <c r="AF4977">
        <v>12.745854944348901</v>
      </c>
      <c r="AG4977">
        <v>-1.108186477386</v>
      </c>
      <c r="AH4977">
        <v>27.2579555126214</v>
      </c>
      <c r="AI4977">
        <v>92.1091443410278</v>
      </c>
      <c r="AJ4977">
        <v>64.939149129633705</v>
      </c>
      <c r="AK4977">
        <v>30.111144685300399</v>
      </c>
      <c r="AL4977">
        <v>78.832243046674506</v>
      </c>
      <c r="AM4977">
        <v>84.512855498355407</v>
      </c>
      <c r="AN4977">
        <v>1.0000000485142699</v>
      </c>
    </row>
    <row r="4978" spans="1:40" x14ac:dyDescent="0.25">
      <c r="A4978" t="str">
        <f>"20190303171114255"</f>
        <v>20190303171114255</v>
      </c>
      <c r="B4978" t="str">
        <f>"1551604274245664"</f>
        <v>1551604274245664</v>
      </c>
      <c r="C4978" t="s">
        <v>40</v>
      </c>
      <c r="D4978">
        <v>4.847601</v>
      </c>
      <c r="E4978">
        <v>0.64411960000000001</v>
      </c>
      <c r="F4978" t="s">
        <v>42</v>
      </c>
      <c r="G4978">
        <v>-294.96080000000001</v>
      </c>
      <c r="H4978" s="1">
        <v>-4.3770310000000004E-6</v>
      </c>
      <c r="I4978">
        <v>-2.0544980000000002</v>
      </c>
      <c r="J4978">
        <v>-318.89400000000001</v>
      </c>
      <c r="K4978">
        <v>1.107316</v>
      </c>
      <c r="L4978">
        <v>16.19952</v>
      </c>
      <c r="M4978">
        <v>0.97771350000000001</v>
      </c>
      <c r="N4978">
        <v>-1.7245079999999999E-2</v>
      </c>
      <c r="O4978">
        <v>-0.2092347</v>
      </c>
      <c r="P4978">
        <v>0.93907039999999997</v>
      </c>
      <c r="Q4978">
        <v>0.1783949</v>
      </c>
      <c r="R4978">
        <v>-0.29380689999999998</v>
      </c>
      <c r="S4978">
        <v>2.606995</v>
      </c>
      <c r="T4978">
        <v>-0.11984499999999999</v>
      </c>
      <c r="U4978">
        <v>-1.9783329999999999</v>
      </c>
      <c r="V4978">
        <v>9.5690789999999998E-2</v>
      </c>
      <c r="W4978">
        <v>0.19290850000000001</v>
      </c>
      <c r="X4978">
        <v>0.97653959999999995</v>
      </c>
      <c r="Y4978">
        <v>0.42403999999999997</v>
      </c>
      <c r="Z4978">
        <v>-7.6687109999999999E-3</v>
      </c>
      <c r="AA4978">
        <v>0.90561100000000005</v>
      </c>
      <c r="AB4978">
        <v>36</v>
      </c>
      <c r="AC4978">
        <v>23.933199999999999</v>
      </c>
      <c r="AD4978">
        <v>-1.1073203770310001</v>
      </c>
      <c r="AE4978">
        <v>-18.254017999999999</v>
      </c>
      <c r="AF4978">
        <v>12.824096298459599</v>
      </c>
      <c r="AG4978">
        <v>-1.1073203770310001</v>
      </c>
      <c r="AH4978">
        <v>27.1864385683126</v>
      </c>
      <c r="AI4978">
        <v>92.109702016692694</v>
      </c>
      <c r="AJ4978">
        <v>64.746311632306799</v>
      </c>
      <c r="AK4978">
        <v>30.079661672269399</v>
      </c>
      <c r="AL4978">
        <v>78.877430225402307</v>
      </c>
      <c r="AM4978">
        <v>84.403472593043105</v>
      </c>
      <c r="AN4978">
        <v>1.00000000351561</v>
      </c>
    </row>
    <row r="4979" spans="1:40" x14ac:dyDescent="0.25">
      <c r="A4979" t="str">
        <f>"20190303171114266"</f>
        <v>20190303171114266</v>
      </c>
      <c r="B4979" t="str">
        <f>"1551604274255424"</f>
        <v>1551604274255424</v>
      </c>
      <c r="C4979" t="s">
        <v>40</v>
      </c>
      <c r="D4979">
        <v>4.8537330000000001</v>
      </c>
      <c r="E4979">
        <v>0.64454290000000003</v>
      </c>
      <c r="F4979" t="s">
        <v>42</v>
      </c>
      <c r="G4979">
        <v>-295.3297</v>
      </c>
      <c r="H4979" s="1">
        <v>-4.3556679999999996E-6</v>
      </c>
      <c r="I4979">
        <v>-1.96126</v>
      </c>
      <c r="J4979">
        <v>-318.72710000000001</v>
      </c>
      <c r="K4979">
        <v>1.1064719999999999</v>
      </c>
      <c r="L4979">
        <v>16.16019</v>
      </c>
      <c r="M4979">
        <v>0.97663180000000005</v>
      </c>
      <c r="N4979">
        <v>-1.78981E-2</v>
      </c>
      <c r="O4979">
        <v>-0.21417310000000001</v>
      </c>
      <c r="P4979">
        <v>0.93711820000000001</v>
      </c>
      <c r="Q4979">
        <v>0.17769939999999901</v>
      </c>
      <c r="R4979">
        <v>-0.30038740000000003</v>
      </c>
      <c r="S4979">
        <v>2.592651</v>
      </c>
      <c r="T4979">
        <v>-0.1218328</v>
      </c>
      <c r="U4979">
        <v>-1.998138</v>
      </c>
      <c r="V4979">
        <v>9.7675300000000007E-2</v>
      </c>
      <c r="W4979">
        <v>0.1927537</v>
      </c>
      <c r="X4979">
        <v>0.97637370000000001</v>
      </c>
      <c r="Y4979">
        <v>0.4262051</v>
      </c>
      <c r="Z4979">
        <v>-7.9117570000000002E-3</v>
      </c>
      <c r="AA4979">
        <v>0.90459199999999995</v>
      </c>
      <c r="AB4979">
        <v>36</v>
      </c>
      <c r="AC4979">
        <v>23.397400000000001</v>
      </c>
      <c r="AD4979">
        <v>-1.106476355668</v>
      </c>
      <c r="AE4979">
        <v>-18.121449999999999</v>
      </c>
      <c r="AF4979">
        <v>12.671209663179001</v>
      </c>
      <c r="AG4979">
        <v>-1.106476355668</v>
      </c>
      <c r="AH4979">
        <v>26.698731567717999</v>
      </c>
      <c r="AI4979">
        <v>92.144173334554495</v>
      </c>
      <c r="AJ4979">
        <v>64.610998680643505</v>
      </c>
      <c r="AK4979">
        <v>29.5737402365503</v>
      </c>
      <c r="AL4979">
        <v>78.886469527682905</v>
      </c>
      <c r="AM4979">
        <v>84.287203092036506</v>
      </c>
      <c r="AN4979">
        <v>1.0000000275727301</v>
      </c>
    </row>
    <row r="4980" spans="1:40" x14ac:dyDescent="0.25">
      <c r="A4980" t="str">
        <f>"20190303171114277"</f>
        <v>20190303171114277</v>
      </c>
      <c r="B4980" t="str">
        <f>"1551604274266161"</f>
        <v>1551604274266161</v>
      </c>
      <c r="C4980" t="s">
        <v>40</v>
      </c>
      <c r="D4980">
        <v>4.8697670000000004</v>
      </c>
      <c r="E4980">
        <v>0.6447908</v>
      </c>
      <c r="F4980" t="s">
        <v>42</v>
      </c>
      <c r="G4980">
        <v>-295.39170000000001</v>
      </c>
      <c r="H4980" s="1">
        <v>-4.2682650000000004E-6</v>
      </c>
      <c r="I4980">
        <v>-2.122903</v>
      </c>
      <c r="J4980">
        <v>-318.54289999999997</v>
      </c>
      <c r="K4980">
        <v>1.1055269999999999</v>
      </c>
      <c r="L4980">
        <v>16.11636</v>
      </c>
      <c r="M4980">
        <v>0.97538349999999996</v>
      </c>
      <c r="N4980">
        <v>-1.8605409999999999E-2</v>
      </c>
      <c r="O4980">
        <v>-0.21972900000000001</v>
      </c>
      <c r="P4980">
        <v>0.93501590000000001</v>
      </c>
      <c r="Q4980">
        <v>0.17663409999999999</v>
      </c>
      <c r="R4980">
        <v>-0.30748340000000002</v>
      </c>
      <c r="S4980">
        <v>2.5772089999999999</v>
      </c>
      <c r="T4980">
        <v>-0.1222018</v>
      </c>
      <c r="U4980">
        <v>-2.0192260000000002</v>
      </c>
      <c r="V4980">
        <v>9.9569320000000003E-2</v>
      </c>
      <c r="W4980">
        <v>0.19228110000000001</v>
      </c>
      <c r="X4980">
        <v>0.97627560000000002</v>
      </c>
      <c r="Y4980">
        <v>0.4282589</v>
      </c>
      <c r="Z4980">
        <v>-8.1642030000000001E-3</v>
      </c>
      <c r="AA4980">
        <v>0.90361919999999996</v>
      </c>
      <c r="AB4980">
        <v>36</v>
      </c>
      <c r="AC4980">
        <v>23.1511999999999</v>
      </c>
      <c r="AD4980">
        <v>-1.105531268265</v>
      </c>
      <c r="AE4980">
        <v>-18.239263000000001</v>
      </c>
      <c r="AF4980">
        <v>12.687633977274301</v>
      </c>
      <c r="AG4980">
        <v>-1.105531268265</v>
      </c>
      <c r="AH4980">
        <v>26.556232240258499</v>
      </c>
      <c r="AI4980">
        <v>92.151186433049801</v>
      </c>
      <c r="AJ4980">
        <v>64.463169250129596</v>
      </c>
      <c r="AK4980">
        <v>29.452193910215598</v>
      </c>
      <c r="AL4980">
        <v>78.914064054493295</v>
      </c>
      <c r="AM4980">
        <v>84.1765992786287</v>
      </c>
      <c r="AN4980">
        <v>1.00000005902891</v>
      </c>
    </row>
    <row r="4981" spans="1:40" x14ac:dyDescent="0.25">
      <c r="A4981" t="str">
        <f>"20190303171114290"</f>
        <v>20190303171114290</v>
      </c>
      <c r="B4981" t="str">
        <f>"1551604274275921"</f>
        <v>1551604274275921</v>
      </c>
      <c r="C4981" t="s">
        <v>40</v>
      </c>
      <c r="D4981">
        <v>4.8917510000000002</v>
      </c>
      <c r="E4981">
        <v>0.6449783</v>
      </c>
      <c r="F4981" t="s">
        <v>42</v>
      </c>
      <c r="G4981">
        <v>-295.6694</v>
      </c>
      <c r="H4981" s="1">
        <v>-4.2262999999999997E-6</v>
      </c>
      <c r="I4981">
        <v>-2.1074630000000001</v>
      </c>
      <c r="J4981">
        <v>-318.3442</v>
      </c>
      <c r="K4981">
        <v>1.104395</v>
      </c>
      <c r="L4981">
        <v>16.06738</v>
      </c>
      <c r="M4981">
        <v>0.97388209999999997</v>
      </c>
      <c r="N4981">
        <v>-1.934162E-2</v>
      </c>
      <c r="O4981">
        <v>-0.22622919999999999</v>
      </c>
      <c r="P4981">
        <v>0.93268280000000003</v>
      </c>
      <c r="Q4981">
        <v>0.17584669999999999</v>
      </c>
      <c r="R4981">
        <v>-0.3149303</v>
      </c>
      <c r="S4981">
        <v>2.560883</v>
      </c>
      <c r="T4981">
        <v>-0.1237737</v>
      </c>
      <c r="U4981">
        <v>-2.040314</v>
      </c>
      <c r="V4981">
        <v>0.10091609999999999</v>
      </c>
      <c r="W4981">
        <v>0.1921243</v>
      </c>
      <c r="X4981">
        <v>0.97616809999999998</v>
      </c>
      <c r="Y4981">
        <v>0.4295716</v>
      </c>
      <c r="Z4981">
        <v>-8.3911090000000008E-3</v>
      </c>
      <c r="AA4981">
        <v>0.90299390000000002</v>
      </c>
      <c r="AB4981">
        <v>36</v>
      </c>
      <c r="AC4981">
        <v>22.674800000000001</v>
      </c>
      <c r="AD4981">
        <v>-1.1043992263</v>
      </c>
      <c r="AE4981">
        <v>-18.174842999999999</v>
      </c>
      <c r="AF4981">
        <v>12.554670645792701</v>
      </c>
      <c r="AG4981">
        <v>-1.1043992263</v>
      </c>
      <c r="AH4981">
        <v>26.161376064267898</v>
      </c>
      <c r="AI4981">
        <v>92.179583372318405</v>
      </c>
      <c r="AJ4981">
        <v>64.363960293188697</v>
      </c>
      <c r="AK4981">
        <v>29.038888584989401</v>
      </c>
      <c r="AL4981">
        <v>78.923217862159106</v>
      </c>
      <c r="AM4981">
        <v>84.097738597711796</v>
      </c>
      <c r="AN4981">
        <v>0.99999998267365398</v>
      </c>
    </row>
    <row r="4982" spans="1:40" x14ac:dyDescent="0.25">
      <c r="A4982" t="str">
        <f>"20190303171114305"</f>
        <v>20190303171114305</v>
      </c>
      <c r="B4982" t="str">
        <f>"1551604274295441"</f>
        <v>1551604274295441</v>
      </c>
      <c r="C4982" t="s">
        <v>40</v>
      </c>
      <c r="D4982">
        <v>4.8753449999999896</v>
      </c>
      <c r="E4982">
        <v>0.64522959999999996</v>
      </c>
      <c r="F4982" t="s">
        <v>42</v>
      </c>
      <c r="G4982">
        <v>-295.80549999999999</v>
      </c>
      <c r="H4982" s="1">
        <v>-4.1557470000000001E-6</v>
      </c>
      <c r="I4982">
        <v>-2.2056770000000001</v>
      </c>
      <c r="J4982">
        <v>-318.11070000000001</v>
      </c>
      <c r="K4982">
        <v>1.102894</v>
      </c>
      <c r="L4982">
        <v>16.008329999999901</v>
      </c>
      <c r="M4982">
        <v>0.97202759999999999</v>
      </c>
      <c r="N4982">
        <v>-2.0178040000000001E-2</v>
      </c>
      <c r="O4982">
        <v>-0.23399900000000001</v>
      </c>
      <c r="P4982">
        <v>0.92957190000000001</v>
      </c>
      <c r="Q4982">
        <v>0.17407300000000001</v>
      </c>
      <c r="R4982">
        <v>-0.32495410000000002</v>
      </c>
      <c r="S4982">
        <v>2.5436709999999998</v>
      </c>
      <c r="T4982">
        <v>-0.12464</v>
      </c>
      <c r="U4982">
        <v>-2.0622560000000001</v>
      </c>
      <c r="V4982">
        <v>0.1036966</v>
      </c>
      <c r="W4982">
        <v>0.1910086</v>
      </c>
      <c r="X4982">
        <v>0.97609570000000001</v>
      </c>
      <c r="Y4982">
        <v>0.43003229999999998</v>
      </c>
      <c r="Z4982">
        <v>-8.6150150000000002E-3</v>
      </c>
      <c r="AA4982">
        <v>0.90277240000000003</v>
      </c>
      <c r="AB4982">
        <v>36</v>
      </c>
      <c r="AC4982">
        <v>22.305199999999999</v>
      </c>
      <c r="AD4982">
        <v>-1.1028981557469999</v>
      </c>
      <c r="AE4982">
        <v>-18.214006999999999</v>
      </c>
      <c r="AF4982">
        <v>12.469373145600001</v>
      </c>
      <c r="AG4982">
        <v>-1.1028981557469999</v>
      </c>
      <c r="AH4982">
        <v>25.9106021711649</v>
      </c>
      <c r="AI4982">
        <v>92.196510445786203</v>
      </c>
      <c r="AJ4982">
        <v>64.301001074181599</v>
      </c>
      <c r="AK4982">
        <v>28.776048301643801</v>
      </c>
      <c r="AL4982">
        <v>78.988349691297003</v>
      </c>
      <c r="AM4982">
        <v>83.935865099577896</v>
      </c>
      <c r="AN4982">
        <v>1.0000000428419999</v>
      </c>
    </row>
    <row r="4983" spans="1:40" x14ac:dyDescent="0.25">
      <c r="A4983" t="str">
        <f>"20190303171114318"</f>
        <v>20190303171114318</v>
      </c>
      <c r="B4983" t="str">
        <f>"1551604274306177"</f>
        <v>1551604274306177</v>
      </c>
      <c r="C4983" t="s">
        <v>40</v>
      </c>
      <c r="D4983">
        <v>4.885567</v>
      </c>
      <c r="E4983">
        <v>0.64526669999999997</v>
      </c>
      <c r="F4983" t="s">
        <v>42</v>
      </c>
      <c r="G4983">
        <v>-296.31790000000001</v>
      </c>
      <c r="H4983" s="1">
        <v>-4.1250240000000001E-6</v>
      </c>
      <c r="I4983">
        <v>-2.07836</v>
      </c>
      <c r="J4983">
        <v>-317.89949999999999</v>
      </c>
      <c r="K4983">
        <v>1.1013850000000001</v>
      </c>
      <c r="L4983">
        <v>15.953580000000001</v>
      </c>
      <c r="M4983">
        <v>0.97027269999999999</v>
      </c>
      <c r="N4983">
        <v>-2.0903459999999999E-2</v>
      </c>
      <c r="O4983">
        <v>-0.2411103</v>
      </c>
      <c r="P4983">
        <v>0.92691970000000001</v>
      </c>
      <c r="Q4983">
        <v>0.1727455</v>
      </c>
      <c r="R4983">
        <v>-0.33313579999999998</v>
      </c>
      <c r="S4983">
        <v>2.5200499999999999</v>
      </c>
      <c r="T4983">
        <v>-0.12753589999999901</v>
      </c>
      <c r="U4983">
        <v>-2.0914920000000001</v>
      </c>
      <c r="V4983">
        <v>0.1052616</v>
      </c>
      <c r="W4983">
        <v>0.1902517</v>
      </c>
      <c r="X4983">
        <v>0.9760759</v>
      </c>
      <c r="Y4983">
        <v>0.43374800000000002</v>
      </c>
      <c r="Z4983">
        <v>-8.9059610000000004E-3</v>
      </c>
      <c r="AA4983">
        <v>0.90099019999999996</v>
      </c>
      <c r="AB4983">
        <v>36</v>
      </c>
      <c r="AC4983">
        <v>21.581599999999899</v>
      </c>
      <c r="AD4983">
        <v>-1.101389125024</v>
      </c>
      <c r="AE4983">
        <v>-18.031939999999999</v>
      </c>
      <c r="AF4983">
        <v>12.2762095583406</v>
      </c>
      <c r="AG4983">
        <v>-1.101389125024</v>
      </c>
      <c r="AH4983">
        <v>25.254513492426401</v>
      </c>
      <c r="AI4983">
        <v>92.246162473283206</v>
      </c>
      <c r="AJ4983">
        <v>64.075630774974798</v>
      </c>
      <c r="AK4983">
        <v>28.101758501278201</v>
      </c>
      <c r="AL4983">
        <v>79.032525830323905</v>
      </c>
      <c r="AM4983">
        <v>83.844917955129404</v>
      </c>
      <c r="AN4983">
        <v>0.99999993817412802</v>
      </c>
    </row>
    <row r="4984" spans="1:40" x14ac:dyDescent="0.25">
      <c r="A4984" t="str">
        <f>"20190303171114333"</f>
        <v>20190303171114333</v>
      </c>
      <c r="B4984" t="str">
        <f>"1551604274315936"</f>
        <v>1551604274315936</v>
      </c>
      <c r="C4984" t="s">
        <v>40</v>
      </c>
      <c r="D4984">
        <v>4.9046329999999996</v>
      </c>
      <c r="E4984">
        <v>0.64527819999999902</v>
      </c>
      <c r="F4984" t="s">
        <v>42</v>
      </c>
      <c r="G4984">
        <v>-296.76080000000002</v>
      </c>
      <c r="H4984" s="1">
        <v>-4.1249589999999998E-6</v>
      </c>
      <c r="I4984">
        <v>-1.912312</v>
      </c>
      <c r="J4984">
        <v>-317.6635</v>
      </c>
      <c r="K4984">
        <v>1.099429</v>
      </c>
      <c r="L4984">
        <v>15.890079999999999</v>
      </c>
      <c r="M4984">
        <v>0.96823650000000006</v>
      </c>
      <c r="N4984">
        <v>-2.1649399999999999E-2</v>
      </c>
      <c r="O4984">
        <v>-0.24909709999999999</v>
      </c>
      <c r="P4984">
        <v>0.92371990000000004</v>
      </c>
      <c r="Q4984">
        <v>0.17162040000000001</v>
      </c>
      <c r="R4984">
        <v>-0.34247309999999997</v>
      </c>
      <c r="S4984">
        <v>2.501099</v>
      </c>
      <c r="T4984">
        <v>-0.1303145</v>
      </c>
      <c r="U4984">
        <v>-2.113861</v>
      </c>
      <c r="V4984">
        <v>0.1072762</v>
      </c>
      <c r="W4984">
        <v>0.18965389999999999</v>
      </c>
      <c r="X4984">
        <v>0.97597299999999998</v>
      </c>
      <c r="Y4984">
        <v>0.43436209999999997</v>
      </c>
      <c r="Z4984">
        <v>-9.0827900000000003E-3</v>
      </c>
      <c r="AA4984">
        <v>0.90069249999999901</v>
      </c>
      <c r="AB4984">
        <v>36</v>
      </c>
      <c r="AC4984">
        <v>20.9026999999999</v>
      </c>
      <c r="AD4984">
        <v>-1.0994331249589999</v>
      </c>
      <c r="AE4984">
        <v>-17.802391999999902</v>
      </c>
      <c r="AF4984">
        <v>12.013680843756401</v>
      </c>
      <c r="AG4984">
        <v>-1.0994331249589999</v>
      </c>
      <c r="AH4984">
        <v>24.6395575549166</v>
      </c>
      <c r="AI4984">
        <v>92.296744328645502</v>
      </c>
      <c r="AJ4984">
        <v>64.0072032379001</v>
      </c>
      <c r="AK4984">
        <v>27.434377651296298</v>
      </c>
      <c r="AL4984">
        <v>79.067413558275007</v>
      </c>
      <c r="AM4984">
        <v>83.727390053272799</v>
      </c>
      <c r="AN4984">
        <v>1.00000004080032</v>
      </c>
    </row>
    <row r="4985" spans="1:40" x14ac:dyDescent="0.25">
      <c r="A4985" t="str">
        <f>"20190303171114347"</f>
        <v>20190303171114347</v>
      </c>
      <c r="B4985" t="str">
        <f>"1551604274335457"</f>
        <v>1551604274335457</v>
      </c>
      <c r="C4985" t="s">
        <v>40</v>
      </c>
      <c r="D4985">
        <v>4.8743429999999996</v>
      </c>
      <c r="E4985">
        <v>0.64536269999999996</v>
      </c>
      <c r="F4985" t="s">
        <v>42</v>
      </c>
      <c r="G4985">
        <v>-297.10860000000002</v>
      </c>
      <c r="H4985" s="1">
        <v>-4.0954260000000001E-6</v>
      </c>
      <c r="I4985">
        <v>-1.8442769999999999</v>
      </c>
      <c r="J4985">
        <v>-317.45729999999998</v>
      </c>
      <c r="K4985">
        <v>1.097545</v>
      </c>
      <c r="L4985">
        <v>15.832579999999901</v>
      </c>
      <c r="M4985">
        <v>0.96640090000000001</v>
      </c>
      <c r="N4985">
        <v>-2.2213750000000001E-2</v>
      </c>
      <c r="O4985">
        <v>-0.25607819999999998</v>
      </c>
      <c r="P4985">
        <v>0.92087110000000005</v>
      </c>
      <c r="Q4985">
        <v>0.17077390000000001</v>
      </c>
      <c r="R4985">
        <v>-0.35047529999999999</v>
      </c>
      <c r="S4985">
        <v>2.4793090000000002</v>
      </c>
      <c r="T4985">
        <v>-0.13261249999999999</v>
      </c>
      <c r="U4985">
        <v>-2.1390989999999999</v>
      </c>
      <c r="V4985">
        <v>0.10892</v>
      </c>
      <c r="W4985">
        <v>0.1891641</v>
      </c>
      <c r="X4985">
        <v>0.97588589999999997</v>
      </c>
      <c r="Y4985">
        <v>0.43700519999999998</v>
      </c>
      <c r="Z4985">
        <v>-9.2689959999999998E-3</v>
      </c>
      <c r="AA4985">
        <v>0.89941119999999997</v>
      </c>
      <c r="AB4985">
        <v>36</v>
      </c>
      <c r="AC4985">
        <v>20.348699999999901</v>
      </c>
      <c r="AD4985">
        <v>-1.0975490954260001</v>
      </c>
      <c r="AE4985">
        <v>-17.676856999999998</v>
      </c>
      <c r="AF4985">
        <v>11.855344801608799</v>
      </c>
      <c r="AG4985">
        <v>-1.0975490954260001</v>
      </c>
      <c r="AH4985">
        <v>24.157574697541399</v>
      </c>
      <c r="AI4985">
        <v>92.335583452512196</v>
      </c>
      <c r="AJ4985">
        <v>63.860475643090602</v>
      </c>
      <c r="AK4985">
        <v>26.9321783309334</v>
      </c>
      <c r="AL4985">
        <v>79.095993461736398</v>
      </c>
      <c r="AM4985">
        <v>83.631494444934503</v>
      </c>
      <c r="AN4985">
        <v>0.99999995647380902</v>
      </c>
    </row>
    <row r="4986" spans="1:40" x14ac:dyDescent="0.25">
      <c r="A4986" t="str">
        <f>"20190303171114361"</f>
        <v>20190303171114361</v>
      </c>
      <c r="B4986" t="str">
        <f>"1551604274355953"</f>
        <v>1551604274355953</v>
      </c>
      <c r="C4986" t="s">
        <v>40</v>
      </c>
      <c r="D4986">
        <v>4.891076</v>
      </c>
      <c r="E4986">
        <v>0.64528960000000002</v>
      </c>
      <c r="F4986" t="s">
        <v>42</v>
      </c>
      <c r="G4986">
        <v>-297.11259999999999</v>
      </c>
      <c r="H4986" s="1">
        <v>-4.0018829999999999E-6</v>
      </c>
      <c r="I4986">
        <v>-2.0406439999999999</v>
      </c>
      <c r="J4986">
        <v>-317.22750000000002</v>
      </c>
      <c r="K4986">
        <v>1.0953269999999999</v>
      </c>
      <c r="L4986">
        <v>15.76675</v>
      </c>
      <c r="M4986">
        <v>0.96430249999999995</v>
      </c>
      <c r="N4986">
        <v>-2.2791800000000001E-2</v>
      </c>
      <c r="O4986">
        <v>-0.2638202</v>
      </c>
      <c r="P4986">
        <v>0.91711120000000002</v>
      </c>
      <c r="Q4986">
        <v>0.1696858</v>
      </c>
      <c r="R4986">
        <v>-0.36071300000000001</v>
      </c>
      <c r="S4986">
        <v>2.4599000000000002</v>
      </c>
      <c r="T4986">
        <v>-0.13270589999999999</v>
      </c>
      <c r="U4986">
        <v>-2.1610719999999999</v>
      </c>
      <c r="V4986">
        <v>0.1122162</v>
      </c>
      <c r="W4986">
        <v>0.18835730000000001</v>
      </c>
      <c r="X4986">
        <v>0.97566850000000005</v>
      </c>
      <c r="Y4986">
        <v>0.43783240000000001</v>
      </c>
      <c r="Z4986">
        <v>-9.4067400000000002E-3</v>
      </c>
      <c r="AA4986">
        <v>0.89900740000000001</v>
      </c>
      <c r="AB4986">
        <v>36</v>
      </c>
      <c r="AC4986">
        <v>20.114899999999999</v>
      </c>
      <c r="AD4986">
        <v>-1.095331001883</v>
      </c>
      <c r="AE4986">
        <v>-17.807393999999999</v>
      </c>
      <c r="AF4986">
        <v>11.8483849363401</v>
      </c>
      <c r="AG4986">
        <v>-1.095331001883</v>
      </c>
      <c r="AH4986">
        <v>24.061062476732602</v>
      </c>
      <c r="AI4986">
        <v>92.3386540468194</v>
      </c>
      <c r="AJ4986">
        <v>63.782989418772701</v>
      </c>
      <c r="AK4986">
        <v>26.842479451656601</v>
      </c>
      <c r="AL4986">
        <v>79.143066229193707</v>
      </c>
      <c r="AM4986">
        <v>83.438973495328398</v>
      </c>
      <c r="AN4986">
        <v>0.99999998494899001</v>
      </c>
    </row>
    <row r="4987" spans="1:40" x14ac:dyDescent="0.25">
      <c r="A4987" t="str">
        <f>"20190303171114373"</f>
        <v>20190303171114373</v>
      </c>
      <c r="B4987" t="str">
        <f>"1551604274365713"</f>
        <v>1551604274365713</v>
      </c>
      <c r="C4987" t="s">
        <v>40</v>
      </c>
      <c r="D4987">
        <v>4.9444319999999999</v>
      </c>
      <c r="E4987">
        <v>0.64518699999999995</v>
      </c>
      <c r="F4987" t="s">
        <v>42</v>
      </c>
      <c r="G4987">
        <v>-297.46730000000002</v>
      </c>
      <c r="H4987" s="1">
        <v>-3.9681689999999998E-6</v>
      </c>
      <c r="I4987">
        <v>-1.9788600000000001</v>
      </c>
      <c r="J4987">
        <v>-317.04430000000002</v>
      </c>
      <c r="K4987">
        <v>1.0934759999999999</v>
      </c>
      <c r="L4987">
        <v>15.71265</v>
      </c>
      <c r="M4987">
        <v>0.96260009999999996</v>
      </c>
      <c r="N4987">
        <v>-2.3219420000000001E-2</v>
      </c>
      <c r="O4987">
        <v>-0.26993020000000001</v>
      </c>
      <c r="P4987">
        <v>0.91450889999999996</v>
      </c>
      <c r="Q4987">
        <v>0.169012</v>
      </c>
      <c r="R4987">
        <v>-0.3675715</v>
      </c>
      <c r="S4987">
        <v>2.4357600000000001</v>
      </c>
      <c r="T4987">
        <v>-0.13501749999999901</v>
      </c>
      <c r="U4987">
        <v>-2.1874389999999999</v>
      </c>
      <c r="V4987">
        <v>0.113554</v>
      </c>
      <c r="W4987">
        <v>0.18790860000000001</v>
      </c>
      <c r="X4987">
        <v>0.97560020000000003</v>
      </c>
      <c r="Y4987">
        <v>0.44191469999999999</v>
      </c>
      <c r="Z4987">
        <v>-9.5988470000000006E-3</v>
      </c>
      <c r="AA4987">
        <v>0.89700569999999902</v>
      </c>
      <c r="AB4987">
        <v>36</v>
      </c>
      <c r="AC4987">
        <v>19.577000000000002</v>
      </c>
      <c r="AD4987">
        <v>-1.0934799681689999</v>
      </c>
      <c r="AE4987">
        <v>-17.691510000000001</v>
      </c>
      <c r="AF4987">
        <v>11.7284490950407</v>
      </c>
      <c r="AG4987">
        <v>-1.0934799681689999</v>
      </c>
      <c r="AH4987">
        <v>23.586154545121801</v>
      </c>
      <c r="AI4987">
        <v>92.377098924363196</v>
      </c>
      <c r="AJ4987">
        <v>63.560682887458299</v>
      </c>
      <c r="AK4987">
        <v>26.363969785336199</v>
      </c>
      <c r="AL4987">
        <v>79.169241890443203</v>
      </c>
      <c r="AM4987">
        <v>83.360988861201903</v>
      </c>
      <c r="AN4987">
        <v>0.99999995155499799</v>
      </c>
    </row>
    <row r="4988" spans="1:40" x14ac:dyDescent="0.25">
      <c r="A4988" t="str">
        <f>"20190303171114384"</f>
        <v>20190303171114384</v>
      </c>
      <c r="B4988" t="str">
        <f>"1551604274375473"</f>
        <v>1551604274375473</v>
      </c>
      <c r="C4988" t="s">
        <v>40</v>
      </c>
      <c r="D4988">
        <v>4.9442370000000002</v>
      </c>
      <c r="E4988">
        <v>0.64505849999999998</v>
      </c>
      <c r="F4988" t="s">
        <v>42</v>
      </c>
      <c r="G4988">
        <v>-297.63080000000002</v>
      </c>
      <c r="H4988" s="1">
        <v>-3.9380390000000003E-6</v>
      </c>
      <c r="I4988">
        <v>-1.9812639999999999</v>
      </c>
      <c r="J4988">
        <v>-316.8673</v>
      </c>
      <c r="K4988">
        <v>1.091661</v>
      </c>
      <c r="L4988">
        <v>15.658569999999999</v>
      </c>
      <c r="M4988">
        <v>0.96092429999999995</v>
      </c>
      <c r="N4988">
        <v>-2.359294E-2</v>
      </c>
      <c r="O4988">
        <v>-0.2758042</v>
      </c>
      <c r="P4988">
        <v>0.91204689999999999</v>
      </c>
      <c r="Q4988">
        <v>0.1687804</v>
      </c>
      <c r="R4988">
        <v>-0.37374269999999998</v>
      </c>
      <c r="S4988">
        <v>2.4193730000000002</v>
      </c>
      <c r="T4988">
        <v>-0.13627339999999999</v>
      </c>
      <c r="U4988">
        <v>-2.2050779999999999</v>
      </c>
      <c r="V4988">
        <v>0.1144221</v>
      </c>
      <c r="W4988">
        <v>0.1878725</v>
      </c>
      <c r="X4988">
        <v>0.97550579999999998</v>
      </c>
      <c r="Y4988">
        <v>0.4430173</v>
      </c>
      <c r="Z4988">
        <v>-9.6754059999999992E-3</v>
      </c>
      <c r="AA4988">
        <v>0.89646079999999995</v>
      </c>
      <c r="AB4988">
        <v>36</v>
      </c>
      <c r="AC4988">
        <v>19.2364999999999</v>
      </c>
      <c r="AD4988">
        <v>-1.091664938039</v>
      </c>
      <c r="AE4988">
        <v>-17.639834</v>
      </c>
      <c r="AF4988">
        <v>11.6279370074396</v>
      </c>
      <c r="AG4988">
        <v>-1.091664938039</v>
      </c>
      <c r="AH4988">
        <v>23.3156713847345</v>
      </c>
      <c r="AI4988">
        <v>92.399262160736995</v>
      </c>
      <c r="AJ4988">
        <v>63.4937572347092</v>
      </c>
      <c r="AK4988">
        <v>26.077215792849799</v>
      </c>
      <c r="AL4988">
        <v>79.171348628587197</v>
      </c>
      <c r="AM4988">
        <v>83.310051582657707</v>
      </c>
      <c r="AN4988">
        <v>1.00000002952914</v>
      </c>
    </row>
    <row r="4989" spans="1:40" x14ac:dyDescent="0.25">
      <c r="A4989" t="str">
        <f>"20190303171114397"</f>
        <v>20190303171114397</v>
      </c>
      <c r="B4989" t="str">
        <f>"1551604274386210"</f>
        <v>1551604274386210</v>
      </c>
      <c r="C4989" t="s">
        <v>40</v>
      </c>
      <c r="D4989">
        <v>4.9550400000000003</v>
      </c>
      <c r="E4989">
        <v>0.64497009999999999</v>
      </c>
      <c r="F4989" t="s">
        <v>42</v>
      </c>
      <c r="G4989">
        <v>-297.5265</v>
      </c>
      <c r="H4989" s="1">
        <v>-3.8485609999999999E-6</v>
      </c>
      <c r="I4989">
        <v>-2.209686</v>
      </c>
      <c r="J4989">
        <v>-316.68529999999998</v>
      </c>
      <c r="K4989">
        <v>1.08978</v>
      </c>
      <c r="L4989">
        <v>15.60223</v>
      </c>
      <c r="M4989">
        <v>0.95916659999999998</v>
      </c>
      <c r="N4989">
        <v>-2.3955669999999998E-2</v>
      </c>
      <c r="O4989">
        <v>-0.2818254</v>
      </c>
      <c r="P4989">
        <v>0.90955839999999999</v>
      </c>
      <c r="Q4989">
        <v>0.168219799999999</v>
      </c>
      <c r="R4989">
        <v>-0.3800074</v>
      </c>
      <c r="S4989">
        <v>2.4042050000000001</v>
      </c>
      <c r="T4989">
        <v>-0.1357023</v>
      </c>
      <c r="U4989">
        <v>-2.2211609999999999</v>
      </c>
      <c r="V4989">
        <v>0.1152212</v>
      </c>
      <c r="W4989">
        <v>0.18749740000000001</v>
      </c>
      <c r="X4989">
        <v>0.97548389999999996</v>
      </c>
      <c r="Y4989">
        <v>0.443444</v>
      </c>
      <c r="Z4989">
        <v>-9.7495059999999998E-3</v>
      </c>
      <c r="AA4989">
        <v>0.89624910000000002</v>
      </c>
      <c r="AB4989">
        <v>36</v>
      </c>
      <c r="AC4989">
        <v>19.1587999999999</v>
      </c>
      <c r="AD4989">
        <v>-1.0897838485609901</v>
      </c>
      <c r="AE4989">
        <v>-17.811916</v>
      </c>
      <c r="AF4989">
        <v>11.6682627961327</v>
      </c>
      <c r="AG4989">
        <v>-1.0897838485609901</v>
      </c>
      <c r="AH4989">
        <v>23.362502513869298</v>
      </c>
      <c r="AI4989">
        <v>92.389644294380005</v>
      </c>
      <c r="AJ4989">
        <v>63.460437512456203</v>
      </c>
      <c r="AK4989">
        <v>26.1369950305453</v>
      </c>
      <c r="AL4989">
        <v>79.193228997645093</v>
      </c>
      <c r="AM4989">
        <v>83.2636084249622</v>
      </c>
      <c r="AN4989">
        <v>1.0000000195476999</v>
      </c>
    </row>
    <row r="4990" spans="1:40" x14ac:dyDescent="0.25">
      <c r="A4990" t="str">
        <f>"20190303171114408"</f>
        <v>20190303171114408</v>
      </c>
      <c r="B4990" t="str">
        <f>"1551604274395969"</f>
        <v>1551604274395969</v>
      </c>
      <c r="C4990" t="s">
        <v>40</v>
      </c>
      <c r="D4990">
        <v>4.9691340000000004</v>
      </c>
      <c r="E4990">
        <v>0.6448699</v>
      </c>
      <c r="F4990" t="s">
        <v>42</v>
      </c>
      <c r="G4990">
        <v>-297.54809999999998</v>
      </c>
      <c r="H4990" s="1">
        <v>-3.791061E-6</v>
      </c>
      <c r="I4990">
        <v>-2.3232159999999999</v>
      </c>
      <c r="J4990">
        <v>-316.50170000000003</v>
      </c>
      <c r="K4990">
        <v>1.0878989999999999</v>
      </c>
      <c r="L4990">
        <v>15.54279</v>
      </c>
      <c r="M4990">
        <v>0.95733950000000001</v>
      </c>
      <c r="N4990">
        <v>-2.42372E-2</v>
      </c>
      <c r="O4990">
        <v>-0.28794750000000002</v>
      </c>
      <c r="P4990">
        <v>0.90672339999999996</v>
      </c>
      <c r="Q4990">
        <v>0.1681646</v>
      </c>
      <c r="R4990">
        <v>-0.38674740000000002</v>
      </c>
      <c r="S4990">
        <v>2.3886720000000001</v>
      </c>
      <c r="T4990">
        <v>-0.13602510000000001</v>
      </c>
      <c r="U4990">
        <v>-2.2374269999999998</v>
      </c>
      <c r="V4990">
        <v>0.1164502</v>
      </c>
      <c r="W4990">
        <v>0.1875433</v>
      </c>
      <c r="X4990">
        <v>0.97532909999999995</v>
      </c>
      <c r="Y4990">
        <v>0.44386880000000001</v>
      </c>
      <c r="Z4990">
        <v>-9.7680289999999993E-3</v>
      </c>
      <c r="AA4990">
        <v>0.89603849999999996</v>
      </c>
      <c r="AB4990">
        <v>36</v>
      </c>
      <c r="AC4990">
        <v>18.953600000000002</v>
      </c>
      <c r="AD4990">
        <v>-1.087902791061</v>
      </c>
      <c r="AE4990">
        <v>-17.866005999999999</v>
      </c>
      <c r="AF4990">
        <v>11.629325577346499</v>
      </c>
      <c r="AG4990">
        <v>-1.087902791061</v>
      </c>
      <c r="AH4990">
        <v>23.255774007212899</v>
      </c>
      <c r="AI4990">
        <v>92.395868285302001</v>
      </c>
      <c r="AJ4990">
        <v>63.432113495598401</v>
      </c>
      <c r="AK4990">
        <v>26.024138228600101</v>
      </c>
      <c r="AL4990">
        <v>79.190551367877504</v>
      </c>
      <c r="AM4990">
        <v>83.191355601710896</v>
      </c>
      <c r="AN4990">
        <v>0.99999999588086996</v>
      </c>
    </row>
    <row r="4991" spans="1:40" x14ac:dyDescent="0.25">
      <c r="A4991" t="str">
        <f>"20190303171114420"</f>
        <v>20190303171114420</v>
      </c>
      <c r="B4991" t="str">
        <f>"1551604274405729"</f>
        <v>1551604274405729</v>
      </c>
      <c r="C4991" t="s">
        <v>40</v>
      </c>
      <c r="D4991">
        <v>4.9705579999999996</v>
      </c>
      <c r="E4991">
        <v>0.6447562</v>
      </c>
      <c r="F4991" t="s">
        <v>42</v>
      </c>
      <c r="G4991">
        <v>-297.40989999999999</v>
      </c>
      <c r="H4991" s="1">
        <v>-3.6826749999999999E-6</v>
      </c>
      <c r="I4991">
        <v>-2.6043850000000002</v>
      </c>
      <c r="J4991">
        <v>-316.33</v>
      </c>
      <c r="K4991">
        <v>1.0861670000000001</v>
      </c>
      <c r="L4991">
        <v>15.486359999999999</v>
      </c>
      <c r="M4991">
        <v>0.95558379999999998</v>
      </c>
      <c r="N4991">
        <v>-2.4466979999999999E-2</v>
      </c>
      <c r="O4991">
        <v>-0.29370239999999997</v>
      </c>
      <c r="P4991">
        <v>0.90406030000000004</v>
      </c>
      <c r="Q4991">
        <v>0.16792599999999999</v>
      </c>
      <c r="R4991">
        <v>-0.39303450000000001</v>
      </c>
      <c r="S4991">
        <v>2.3720089999999998</v>
      </c>
      <c r="T4991">
        <v>-0.13516310000000001</v>
      </c>
      <c r="U4991">
        <v>-2.2546390000000001</v>
      </c>
      <c r="V4991">
        <v>0.11752940000000001</v>
      </c>
      <c r="W4991">
        <v>0.1873765</v>
      </c>
      <c r="X4991">
        <v>0.97523170000000003</v>
      </c>
      <c r="Y4991">
        <v>0.44503399999999999</v>
      </c>
      <c r="Z4991">
        <v>-9.8217129999999993E-3</v>
      </c>
      <c r="AA4991">
        <v>0.89545980000000003</v>
      </c>
      <c r="AB4991">
        <v>36</v>
      </c>
      <c r="AC4991">
        <v>18.920099999999898</v>
      </c>
      <c r="AD4991">
        <v>-1.0861706826749999</v>
      </c>
      <c r="AE4991">
        <v>-18.090744999999998</v>
      </c>
      <c r="AF4991">
        <v>11.7136888472936</v>
      </c>
      <c r="AG4991">
        <v>-1.0861706826749999</v>
      </c>
      <c r="AH4991">
        <v>23.359821880787099</v>
      </c>
      <c r="AI4991">
        <v>92.380098087796199</v>
      </c>
      <c r="AJ4991">
        <v>63.368708183975201</v>
      </c>
      <c r="AK4991">
        <v>26.154761544797399</v>
      </c>
      <c r="AL4991">
        <v>79.200280727394698</v>
      </c>
      <c r="AM4991">
        <v>83.128177453622698</v>
      </c>
      <c r="AN4991">
        <v>0.99999999065074996</v>
      </c>
    </row>
    <row r="4992" spans="1:40" x14ac:dyDescent="0.25">
      <c r="A4992" t="str">
        <f>"20190303171114431"</f>
        <v>20190303171114431</v>
      </c>
      <c r="B4992" t="str">
        <f>"1551604274415489"</f>
        <v>1551604274415489</v>
      </c>
      <c r="C4992" t="s">
        <v>40</v>
      </c>
      <c r="D4992">
        <v>4.958958</v>
      </c>
      <c r="E4992">
        <v>0.64460090000000003</v>
      </c>
      <c r="F4992" t="s">
        <v>42</v>
      </c>
      <c r="G4992">
        <v>-297.45389999999998</v>
      </c>
      <c r="H4992" s="1">
        <v>-3.6294660000000001E-6</v>
      </c>
      <c r="I4992">
        <v>-2.7004280000000001</v>
      </c>
      <c r="J4992">
        <v>-316.15730000000002</v>
      </c>
      <c r="K4992">
        <v>1.0844849999999999</v>
      </c>
      <c r="L4992">
        <v>15.4278</v>
      </c>
      <c r="M4992">
        <v>0.9537544</v>
      </c>
      <c r="N4992">
        <v>-2.4629459999999999E-2</v>
      </c>
      <c r="O4992">
        <v>-0.29957660000000003</v>
      </c>
      <c r="P4992">
        <v>0.90112449999999999</v>
      </c>
      <c r="Q4992">
        <v>0.16770160000000001</v>
      </c>
      <c r="R4992">
        <v>-0.39981369999999999</v>
      </c>
      <c r="S4992">
        <v>2.3564759999999998</v>
      </c>
      <c r="T4992">
        <v>-0.1355962</v>
      </c>
      <c r="U4992">
        <v>-2.270416</v>
      </c>
      <c r="V4992">
        <v>0.11899659999999999</v>
      </c>
      <c r="W4992">
        <v>0.1871582</v>
      </c>
      <c r="X4992">
        <v>0.97509570000000001</v>
      </c>
      <c r="Y4992">
        <v>0.44557639999999998</v>
      </c>
      <c r="Z4992">
        <v>-9.7897020000000008E-3</v>
      </c>
      <c r="AA4992">
        <v>0.89519040000000005</v>
      </c>
      <c r="AB4992">
        <v>35</v>
      </c>
      <c r="AC4992">
        <v>18.703399999999998</v>
      </c>
      <c r="AD4992">
        <v>-1.0844886294660001</v>
      </c>
      <c r="AE4992">
        <v>-18.128228</v>
      </c>
      <c r="AF4992">
        <v>11.6700908171967</v>
      </c>
      <c r="AG4992">
        <v>-1.0844886294660001</v>
      </c>
      <c r="AH4992">
        <v>23.2360210346842</v>
      </c>
      <c r="AI4992">
        <v>92.388302566290605</v>
      </c>
      <c r="AJ4992">
        <v>63.332304560077297</v>
      </c>
      <c r="AK4992">
        <v>26.024600069805999</v>
      </c>
      <c r="AL4992">
        <v>79.213013793793905</v>
      </c>
      <c r="AM4992">
        <v>83.042266554573601</v>
      </c>
      <c r="AN4992">
        <v>1.00000000339864</v>
      </c>
    </row>
    <row r="4993" spans="1:40" x14ac:dyDescent="0.25">
      <c r="A4993" t="str">
        <f>"20190303171114442"</f>
        <v>20190303171114442</v>
      </c>
      <c r="B4993" t="str">
        <f>"1551604274435985"</f>
        <v>1551604274435985</v>
      </c>
      <c r="C4993" t="s">
        <v>40</v>
      </c>
      <c r="D4993">
        <v>4.970351</v>
      </c>
      <c r="E4993">
        <v>0.64430459999999901</v>
      </c>
      <c r="F4993" t="s">
        <v>42</v>
      </c>
      <c r="G4993">
        <v>-297.63010000000003</v>
      </c>
      <c r="H4993" s="1">
        <v>-3.6101739999999999E-6</v>
      </c>
      <c r="I4993">
        <v>-2.6751369999999999</v>
      </c>
      <c r="J4993">
        <v>-315.98340000000002</v>
      </c>
      <c r="K4993">
        <v>1.082867</v>
      </c>
      <c r="L4993">
        <v>15.367459999999999</v>
      </c>
      <c r="M4993">
        <v>0.95184270000000004</v>
      </c>
      <c r="N4993">
        <v>-2.473763E-2</v>
      </c>
      <c r="O4993">
        <v>-0.30558730000000001</v>
      </c>
      <c r="P4993">
        <v>0.89784179999999902</v>
      </c>
      <c r="Q4993">
        <v>0.1678876</v>
      </c>
      <c r="R4993">
        <v>-0.40705580000000002</v>
      </c>
      <c r="S4993">
        <v>2.3401489999999998</v>
      </c>
      <c r="T4993">
        <v>-0.136980399999999</v>
      </c>
      <c r="U4993">
        <v>-2.2865600000000001</v>
      </c>
      <c r="V4993">
        <v>0.12084780000000001</v>
      </c>
      <c r="W4993">
        <v>0.18729409999999999</v>
      </c>
      <c r="X4993">
        <v>0.97484190000000004</v>
      </c>
      <c r="Y4993">
        <v>0.44619969999999998</v>
      </c>
      <c r="Z4993">
        <v>-9.704687E-3</v>
      </c>
      <c r="AA4993">
        <v>0.89488080000000003</v>
      </c>
      <c r="AB4993">
        <v>35</v>
      </c>
      <c r="AC4993">
        <v>18.353299999999901</v>
      </c>
      <c r="AD4993">
        <v>-1.082870610174</v>
      </c>
      <c r="AE4993">
        <v>-18.042597000000001</v>
      </c>
      <c r="AF4993">
        <v>11.548274806295</v>
      </c>
      <c r="AG4993">
        <v>-1.082870610174</v>
      </c>
      <c r="AH4993">
        <v>22.949450359717499</v>
      </c>
      <c r="AI4993">
        <v>92.413554496732104</v>
      </c>
      <c r="AJ4993">
        <v>63.288237555364901</v>
      </c>
      <c r="AK4993">
        <v>25.7140531922376</v>
      </c>
      <c r="AL4993">
        <v>79.205087095323506</v>
      </c>
      <c r="AM4993">
        <v>82.933291667514396</v>
      </c>
      <c r="AN4993">
        <v>1.0000000003276299</v>
      </c>
    </row>
    <row r="4994" spans="1:40" x14ac:dyDescent="0.25">
      <c r="A4994" t="str">
        <f>"20190303171114453"</f>
        <v>20190303171114453</v>
      </c>
      <c r="B4994" t="str">
        <f>"1551604274445745"</f>
        <v>1551604274445745</v>
      </c>
      <c r="C4994" t="s">
        <v>40</v>
      </c>
      <c r="D4994">
        <v>5.0019359999999997</v>
      </c>
      <c r="E4994">
        <v>0.64413710000000002</v>
      </c>
      <c r="F4994" t="s">
        <v>42</v>
      </c>
      <c r="G4994">
        <v>-297.63630000000001</v>
      </c>
      <c r="H4994" s="1">
        <v>-3.5395289999999999E-6</v>
      </c>
      <c r="I4994">
        <v>-2.8222450000000001</v>
      </c>
      <c r="J4994">
        <v>-315.80329999999998</v>
      </c>
      <c r="K4994">
        <v>1.0812459999999999</v>
      </c>
      <c r="L4994">
        <v>15.30377</v>
      </c>
      <c r="M4994">
        <v>0.94979170000000002</v>
      </c>
      <c r="N4994">
        <v>-2.4801440000000001E-2</v>
      </c>
      <c r="O4994">
        <v>-0.31189850000000002</v>
      </c>
      <c r="P4994">
        <v>0.8942985</v>
      </c>
      <c r="Q4994">
        <v>0.1680661</v>
      </c>
      <c r="R4994">
        <v>-0.41470940000000001</v>
      </c>
      <c r="S4994">
        <v>2.3229060000000001</v>
      </c>
      <c r="T4994">
        <v>-0.1371011</v>
      </c>
      <c r="U4994">
        <v>-2.3029790000000001</v>
      </c>
      <c r="V4994">
        <v>0.1228321</v>
      </c>
      <c r="W4994">
        <v>0.18738540000000001</v>
      </c>
      <c r="X4994">
        <v>0.97457629999999995</v>
      </c>
      <c r="Y4994">
        <v>0.44676749999999998</v>
      </c>
      <c r="Z4994">
        <v>-9.6158200000000006E-3</v>
      </c>
      <c r="AA4994">
        <v>0.89459840000000002</v>
      </c>
      <c r="AB4994">
        <v>35</v>
      </c>
      <c r="AC4994">
        <v>18.166999999999899</v>
      </c>
      <c r="AD4994">
        <v>-1.0812495395289901</v>
      </c>
      <c r="AE4994">
        <v>-18.126014999999999</v>
      </c>
      <c r="AF4994">
        <v>11.532759633276299</v>
      </c>
      <c r="AG4994">
        <v>-1.0812495395289901</v>
      </c>
      <c r="AH4994">
        <v>22.874784680369601</v>
      </c>
      <c r="AI4994">
        <v>92.416867276906601</v>
      </c>
      <c r="AJ4994">
        <v>63.244170155224197</v>
      </c>
      <c r="AK4994">
        <v>25.640386492775999</v>
      </c>
      <c r="AL4994">
        <v>79.199761578737096</v>
      </c>
      <c r="AM4994">
        <v>82.816522669067098</v>
      </c>
      <c r="AN4994">
        <v>0.99999998872262896</v>
      </c>
    </row>
    <row r="4995" spans="1:40" x14ac:dyDescent="0.25">
      <c r="A4995" t="str">
        <f>"20190303171114465"</f>
        <v>20190303171114465</v>
      </c>
      <c r="B4995" t="str">
        <f>"1551604274455505"</f>
        <v>1551604274455505</v>
      </c>
      <c r="C4995" t="s">
        <v>40</v>
      </c>
      <c r="D4995">
        <v>4.9923539999999997</v>
      </c>
      <c r="E4995">
        <v>0.64394750000000001</v>
      </c>
      <c r="F4995" t="s">
        <v>42</v>
      </c>
      <c r="G4995">
        <v>-297.63690000000003</v>
      </c>
      <c r="H4995" s="1">
        <v>-3.455255E-6</v>
      </c>
      <c r="I4995">
        <v>-3.0003030000000002</v>
      </c>
      <c r="J4995">
        <v>-315.63729999999998</v>
      </c>
      <c r="K4995">
        <v>1.0798700000000001</v>
      </c>
      <c r="L4995">
        <v>15.24295</v>
      </c>
      <c r="M4995">
        <v>0.94779880000000005</v>
      </c>
      <c r="N4995">
        <v>-2.4791230000000001E-2</v>
      </c>
      <c r="O4995">
        <v>-0.31790400000000002</v>
      </c>
      <c r="P4995">
        <v>0.89108369999999903</v>
      </c>
      <c r="Q4995">
        <v>0.167934</v>
      </c>
      <c r="R4995">
        <v>-0.421626</v>
      </c>
      <c r="S4995">
        <v>2.3038940000000001</v>
      </c>
      <c r="T4995">
        <v>-0.13712559999999999</v>
      </c>
      <c r="U4995">
        <v>-2.3213499999999998</v>
      </c>
      <c r="V4995">
        <v>0.1242557</v>
      </c>
      <c r="W4995">
        <v>0.18714990000000001</v>
      </c>
      <c r="X4995">
        <v>0.97444109999999995</v>
      </c>
      <c r="Y4995">
        <v>0.44833339999999999</v>
      </c>
      <c r="Z4995">
        <v>-9.5334329999999991E-3</v>
      </c>
      <c r="AA4995">
        <v>0.89381559999999904</v>
      </c>
      <c r="AB4995">
        <v>35</v>
      </c>
      <c r="AC4995">
        <v>18.0003999999999</v>
      </c>
      <c r="AD4995">
        <v>-1.079873455255</v>
      </c>
      <c r="AE4995">
        <v>-18.243252999999999</v>
      </c>
      <c r="AF4995">
        <v>11.551581610756299</v>
      </c>
      <c r="AG4995">
        <v>-1.079873455255</v>
      </c>
      <c r="AH4995">
        <v>22.8268610503358</v>
      </c>
      <c r="AI4995">
        <v>92.417026495887598</v>
      </c>
      <c r="AJ4995">
        <v>63.158211804731799</v>
      </c>
      <c r="AK4995">
        <v>25.606068612746299</v>
      </c>
      <c r="AL4995">
        <v>79.213497982505601</v>
      </c>
      <c r="AM4995">
        <v>82.7331549415902</v>
      </c>
      <c r="AN4995">
        <v>1.00000001071085</v>
      </c>
    </row>
    <row r="4996" spans="1:40" x14ac:dyDescent="0.25">
      <c r="A4996" t="str">
        <f>"20190303171114477"</f>
        <v>20190303171114477</v>
      </c>
      <c r="B4996" t="str">
        <f>"1551604274465265"</f>
        <v>1551604274465265</v>
      </c>
      <c r="C4996" t="s">
        <v>40</v>
      </c>
      <c r="D4996">
        <v>4.9887430000000004</v>
      </c>
      <c r="E4996">
        <v>0.64376199999999995</v>
      </c>
      <c r="F4996" t="s">
        <v>42</v>
      </c>
      <c r="G4996">
        <v>-297.7242</v>
      </c>
      <c r="H4996" s="1">
        <v>-3.4071949999999998E-6</v>
      </c>
      <c r="I4996">
        <v>-3.0692219999999999</v>
      </c>
      <c r="J4996">
        <v>-315.46050000000002</v>
      </c>
      <c r="K4996">
        <v>1.0784400000000001</v>
      </c>
      <c r="L4996">
        <v>15.177519999999999</v>
      </c>
      <c r="M4996">
        <v>0.94561280000000003</v>
      </c>
      <c r="N4996">
        <v>-2.475865E-2</v>
      </c>
      <c r="O4996">
        <v>-0.32435079999999999</v>
      </c>
      <c r="P4996">
        <v>0.88764889999999996</v>
      </c>
      <c r="Q4996">
        <v>0.1680246</v>
      </c>
      <c r="R4996">
        <v>-0.42877470000000001</v>
      </c>
      <c r="S4996">
        <v>2.2866520000000001</v>
      </c>
      <c r="T4996">
        <v>-0.137848</v>
      </c>
      <c r="U4996">
        <v>-2.3375849999999998</v>
      </c>
      <c r="V4996">
        <v>0.1255048</v>
      </c>
      <c r="W4996">
        <v>0.18712780000000001</v>
      </c>
      <c r="X4996">
        <v>0.97428519999999996</v>
      </c>
      <c r="Y4996">
        <v>0.4487159</v>
      </c>
      <c r="Z4996">
        <v>-9.3620549999999993E-3</v>
      </c>
      <c r="AA4996">
        <v>0.89362540000000001</v>
      </c>
      <c r="AB4996">
        <v>35</v>
      </c>
      <c r="AC4996">
        <v>17.7363</v>
      </c>
      <c r="AD4996">
        <v>-1.078443407195</v>
      </c>
      <c r="AE4996">
        <v>-18.246742000000001</v>
      </c>
      <c r="AF4996">
        <v>11.48446872055</v>
      </c>
      <c r="AG4996">
        <v>-1.078443407195</v>
      </c>
      <c r="AH4996">
        <v>22.656281273422302</v>
      </c>
      <c r="AI4996">
        <v>92.431151527853501</v>
      </c>
      <c r="AJ4996">
        <v>63.119550332836504</v>
      </c>
      <c r="AK4996">
        <v>25.423672888004202</v>
      </c>
      <c r="AL4996">
        <v>79.214786434204598</v>
      </c>
      <c r="AM4996">
        <v>82.659734819758995</v>
      </c>
      <c r="AN4996">
        <v>0.99999995964745902</v>
      </c>
    </row>
    <row r="4997" spans="1:40" x14ac:dyDescent="0.25">
      <c r="A4997" t="str">
        <f>"20190303171114490"</f>
        <v>20190303171114490</v>
      </c>
      <c r="B4997" t="str">
        <f>"1551604274476001"</f>
        <v>1551604274476001</v>
      </c>
      <c r="C4997" t="s">
        <v>40</v>
      </c>
      <c r="D4997">
        <v>4.9884110000000002</v>
      </c>
      <c r="E4997">
        <v>0.64357310000000001</v>
      </c>
      <c r="F4997" t="s">
        <v>42</v>
      </c>
      <c r="G4997">
        <v>-297.68709999999999</v>
      </c>
      <c r="H4997" s="1">
        <v>-3.318319E-6</v>
      </c>
      <c r="I4997">
        <v>-3.2711269999999999</v>
      </c>
      <c r="J4997">
        <v>-315.26310000000001</v>
      </c>
      <c r="K4997">
        <v>1.0769930000000001</v>
      </c>
      <c r="L4997">
        <v>15.1017799999999</v>
      </c>
      <c r="M4997">
        <v>0.94302269999999999</v>
      </c>
      <c r="N4997">
        <v>-2.4648759999999999E-2</v>
      </c>
      <c r="O4997">
        <v>-0.33181430000000001</v>
      </c>
      <c r="P4997">
        <v>0.88384479999999999</v>
      </c>
      <c r="Q4997">
        <v>0.16761699999999999</v>
      </c>
      <c r="R4997">
        <v>-0.43671890000000002</v>
      </c>
      <c r="S4997">
        <v>2.268402</v>
      </c>
      <c r="T4997">
        <v>-0.1376407</v>
      </c>
      <c r="U4997">
        <v>-2.354584</v>
      </c>
      <c r="V4997">
        <v>0.12649779999999999</v>
      </c>
      <c r="W4997">
        <v>0.18657180000000001</v>
      </c>
      <c r="X4997">
        <v>0.9742634</v>
      </c>
      <c r="Y4997">
        <v>0.44847399999999998</v>
      </c>
      <c r="Z4997">
        <v>-9.1272100000000002E-3</v>
      </c>
      <c r="AA4997">
        <v>0.89374929999999997</v>
      </c>
      <c r="AB4997">
        <v>35</v>
      </c>
      <c r="AC4997">
        <v>17.576000000000001</v>
      </c>
      <c r="AD4997">
        <v>-1.0769963183189999</v>
      </c>
      <c r="AE4997">
        <v>-18.372907000000001</v>
      </c>
      <c r="AF4997">
        <v>11.4770007406097</v>
      </c>
      <c r="AG4997">
        <v>-1.0769963183189999</v>
      </c>
      <c r="AH4997">
        <v>22.6372332236215</v>
      </c>
      <c r="AI4997">
        <v>92.429839153776499</v>
      </c>
      <c r="AJ4997">
        <v>63.1151457118495</v>
      </c>
      <c r="AK4997">
        <v>25.4032634732284</v>
      </c>
      <c r="AL4997">
        <v>79.247213896325505</v>
      </c>
      <c r="AM4997">
        <v>82.602135406431898</v>
      </c>
      <c r="AN4997">
        <v>0.999999951269818</v>
      </c>
    </row>
    <row r="4998" spans="1:40" x14ac:dyDescent="0.25">
      <c r="A4998" t="str">
        <f>"20190303171114502"</f>
        <v>20190303171114502</v>
      </c>
      <c r="B4998" t="str">
        <f>"1551604274495244"</f>
        <v>1551604274495244</v>
      </c>
      <c r="C4998" t="s">
        <v>40</v>
      </c>
      <c r="D4998">
        <v>4.9615999999999998</v>
      </c>
      <c r="E4998">
        <v>0.64333359999999995</v>
      </c>
      <c r="F4998" t="s">
        <v>42</v>
      </c>
      <c r="G4998">
        <v>-297.77249999999998</v>
      </c>
      <c r="H4998" s="1">
        <v>-3.2567679999999999E-6</v>
      </c>
      <c r="I4998">
        <v>-3.3692980000000001</v>
      </c>
      <c r="J4998">
        <v>-315.09230000000002</v>
      </c>
      <c r="K4998">
        <v>1.0758030000000001</v>
      </c>
      <c r="L4998">
        <v>15.03506</v>
      </c>
      <c r="M4998">
        <v>0.94069190000000003</v>
      </c>
      <c r="N4998">
        <v>-2.4526820000000001E-2</v>
      </c>
      <c r="O4998">
        <v>-0.33837440000000002</v>
      </c>
      <c r="P4998">
        <v>0.88052489999999894</v>
      </c>
      <c r="Q4998">
        <v>0.16715539999999901</v>
      </c>
      <c r="R4998">
        <v>-0.4435481</v>
      </c>
      <c r="S4998">
        <v>2.247681</v>
      </c>
      <c r="T4998">
        <v>-0.1384031</v>
      </c>
      <c r="U4998">
        <v>-2.373688</v>
      </c>
      <c r="V4998">
        <v>0.1271862</v>
      </c>
      <c r="W4998">
        <v>0.185974</v>
      </c>
      <c r="X4998">
        <v>0.97428809999999999</v>
      </c>
      <c r="Y4998">
        <v>0.44995059999999898</v>
      </c>
      <c r="Z4998">
        <v>-8.9346900000000003E-3</v>
      </c>
      <c r="AA4998">
        <v>0.89300879999999905</v>
      </c>
      <c r="AB4998">
        <v>35</v>
      </c>
      <c r="AC4998">
        <v>17.319800000000001</v>
      </c>
      <c r="AD4998">
        <v>-1.075806256768</v>
      </c>
      <c r="AE4998">
        <v>-18.404357999999998</v>
      </c>
      <c r="AF4998">
        <v>11.4349785297361</v>
      </c>
      <c r="AG4998">
        <v>-1.075806256768</v>
      </c>
      <c r="AH4998">
        <v>22.486188866037399</v>
      </c>
      <c r="AI4998">
        <v>92.441927896004401</v>
      </c>
      <c r="AJ4998">
        <v>63.045142244516001</v>
      </c>
      <c r="AK4998">
        <v>25.2496491618544</v>
      </c>
      <c r="AL4998">
        <v>79.282075772491694</v>
      </c>
      <c r="AM4998">
        <v>82.562512289514899</v>
      </c>
      <c r="AN4998">
        <v>0.99999997997402401</v>
      </c>
    </row>
    <row r="4999" spans="1:40" x14ac:dyDescent="0.25">
      <c r="A4999" t="str">
        <f>"20190303171114522"</f>
        <v>20190303171114522</v>
      </c>
      <c r="B4999" t="str">
        <f>"1551604274515740"</f>
        <v>1551604274515740</v>
      </c>
      <c r="C4999" t="s">
        <v>40</v>
      </c>
      <c r="D4999">
        <v>5.0691769999999998</v>
      </c>
      <c r="E4999">
        <v>0.64286460000000001</v>
      </c>
      <c r="F4999" t="s">
        <v>42</v>
      </c>
      <c r="G4999">
        <v>-297.8329</v>
      </c>
      <c r="H4999" s="1">
        <v>-3.2027159999999999E-6</v>
      </c>
      <c r="I4999">
        <v>-3.4609899999999998</v>
      </c>
      <c r="J4999">
        <v>-314.84730000000002</v>
      </c>
      <c r="K4999">
        <v>1.0741989999999999</v>
      </c>
      <c r="L4999">
        <v>14.93689</v>
      </c>
      <c r="M4999">
        <v>0.93718310000000005</v>
      </c>
      <c r="N4999">
        <v>-2.4304470000000002E-2</v>
      </c>
      <c r="O4999">
        <v>-0.34799039999999998</v>
      </c>
      <c r="P4999">
        <v>0.87501229999999997</v>
      </c>
      <c r="Q4999">
        <v>0.1666725</v>
      </c>
      <c r="R4999">
        <v>-0.45450430000000003</v>
      </c>
      <c r="S4999">
        <v>2.2297359999999999</v>
      </c>
      <c r="T4999">
        <v>-0.13898289999999999</v>
      </c>
      <c r="U4999">
        <v>-2.3894959999999998</v>
      </c>
      <c r="V4999">
        <v>0.12926379999999901</v>
      </c>
      <c r="W4999">
        <v>0.18521770000000001</v>
      </c>
      <c r="X4999">
        <v>0.97415879999999999</v>
      </c>
      <c r="Y4999">
        <v>0.44734360000000001</v>
      </c>
      <c r="Z4999">
        <v>-8.4606379999999995E-3</v>
      </c>
      <c r="AA4999">
        <v>0.89432219999999996</v>
      </c>
      <c r="AB4999">
        <v>35</v>
      </c>
      <c r="AC4999">
        <v>17.014399999999998</v>
      </c>
      <c r="AD4999">
        <v>-1.0742022027160001</v>
      </c>
      <c r="AE4999">
        <v>-18.397879999999901</v>
      </c>
      <c r="AF4999">
        <v>11.303907410979701</v>
      </c>
      <c r="AG4999">
        <v>-1.0742022027160001</v>
      </c>
      <c r="AH4999">
        <v>22.313493626123002</v>
      </c>
      <c r="AI4999">
        <v>92.4590599711522</v>
      </c>
      <c r="AJ4999">
        <v>63.133448072897998</v>
      </c>
      <c r="AK4999">
        <v>25.0364580348609</v>
      </c>
      <c r="AL4999">
        <v>79.326175464635</v>
      </c>
      <c r="AM4999">
        <v>82.441421863280894</v>
      </c>
      <c r="AN4999">
        <v>1.0000000470005801</v>
      </c>
    </row>
    <row r="5000" spans="1:40" x14ac:dyDescent="0.25">
      <c r="A5000" t="str">
        <f>"20190303171114540"</f>
        <v>20190303171114540</v>
      </c>
      <c r="B5000" t="str">
        <f>"1551604274535258"</f>
        <v>1551604274535258</v>
      </c>
      <c r="C5000" t="s">
        <v>40</v>
      </c>
      <c r="D5000">
        <v>4.9932619999999996</v>
      </c>
      <c r="E5000">
        <v>0.64248839999999996</v>
      </c>
      <c r="F5000" t="s">
        <v>42</v>
      </c>
      <c r="G5000">
        <v>-298.14589999999998</v>
      </c>
      <c r="H5000" s="1">
        <v>-3.1908680000000002E-6</v>
      </c>
      <c r="I5000">
        <v>-3.368598</v>
      </c>
      <c r="J5000">
        <v>-314.5453</v>
      </c>
      <c r="K5000">
        <v>1.072387</v>
      </c>
      <c r="L5000">
        <v>14.81146</v>
      </c>
      <c r="M5000">
        <v>0.93256910000000004</v>
      </c>
      <c r="N5000">
        <v>-2.395506E-2</v>
      </c>
      <c r="O5000">
        <v>-0.36019570000000001</v>
      </c>
      <c r="P5000">
        <v>0.86837019999999998</v>
      </c>
      <c r="Q5000">
        <v>0.1668818</v>
      </c>
      <c r="R5000">
        <v>-0.46699449999999998</v>
      </c>
      <c r="S5000">
        <v>2.2019039999999999</v>
      </c>
      <c r="T5000">
        <v>-0.14162249999999901</v>
      </c>
      <c r="U5000">
        <v>-2.4133909999999998</v>
      </c>
      <c r="V5000">
        <v>0.13042110000000001</v>
      </c>
      <c r="W5000">
        <v>0.18509970000000001</v>
      </c>
      <c r="X5000">
        <v>0.97402690000000003</v>
      </c>
      <c r="Y5000">
        <v>0.44570369999999998</v>
      </c>
      <c r="Z5000">
        <v>-7.7863350000000001E-3</v>
      </c>
      <c r="AA5000">
        <v>0.89514669999999896</v>
      </c>
      <c r="AB5000">
        <v>35</v>
      </c>
      <c r="AC5000">
        <v>16.3994</v>
      </c>
      <c r="AD5000">
        <v>-1.072390190868</v>
      </c>
      <c r="AE5000">
        <v>-18.180057999999999</v>
      </c>
      <c r="AF5000">
        <v>11.029179620652201</v>
      </c>
      <c r="AG5000">
        <v>-1.072390190868</v>
      </c>
      <c r="AH5000">
        <v>21.806388663835602</v>
      </c>
      <c r="AI5000">
        <v>92.512760218288093</v>
      </c>
      <c r="AJ5000">
        <v>63.1707425402575</v>
      </c>
      <c r="AK5000">
        <v>24.460404951356299</v>
      </c>
      <c r="AL5000">
        <v>79.333054628088604</v>
      </c>
      <c r="AM5000">
        <v>82.373522190755907</v>
      </c>
      <c r="AN5000">
        <v>0.99999998209445395</v>
      </c>
    </row>
    <row r="5001" spans="1:40" x14ac:dyDescent="0.25">
      <c r="A5001" t="str">
        <f>"20190303171114554"</f>
        <v>20190303171114554</v>
      </c>
      <c r="B5001" t="str">
        <f>"1551604274545995"</f>
        <v>1551604274545995</v>
      </c>
      <c r="C5001" t="s">
        <v>40</v>
      </c>
      <c r="D5001">
        <v>4.9625360000000001</v>
      </c>
      <c r="E5001">
        <v>0.64228059999999998</v>
      </c>
      <c r="F5001" t="s">
        <v>42</v>
      </c>
      <c r="G5001">
        <v>-298.17649999999998</v>
      </c>
      <c r="H5001" s="1">
        <v>-3.071048E-6</v>
      </c>
      <c r="I5001">
        <v>-3.610589</v>
      </c>
      <c r="J5001">
        <v>-314.3091</v>
      </c>
      <c r="K5001">
        <v>1.071069</v>
      </c>
      <c r="L5001">
        <v>14.71017</v>
      </c>
      <c r="M5001">
        <v>0.92874809999999997</v>
      </c>
      <c r="N5001">
        <v>-2.3639420000000001E-2</v>
      </c>
      <c r="O5001">
        <v>-0.36995709999999998</v>
      </c>
      <c r="P5001">
        <v>0.86191249999999997</v>
      </c>
      <c r="Q5001">
        <v>0.1673335</v>
      </c>
      <c r="R5001">
        <v>-0.47865069999999998</v>
      </c>
      <c r="S5001">
        <v>2.1691889999999998</v>
      </c>
      <c r="T5001">
        <v>-0.14211270000000001</v>
      </c>
      <c r="U5001">
        <v>-2.441284</v>
      </c>
      <c r="V5001">
        <v>0.1332875</v>
      </c>
      <c r="W5001">
        <v>0.18517739999999999</v>
      </c>
      <c r="X5001">
        <v>0.97362409999999999</v>
      </c>
      <c r="Y5001">
        <v>0.4480962</v>
      </c>
      <c r="Z5001">
        <v>-7.4136269999999999E-3</v>
      </c>
      <c r="AA5001">
        <v>0.89395460000000004</v>
      </c>
      <c r="AB5001">
        <v>35</v>
      </c>
      <c r="AC5001">
        <v>16.1326</v>
      </c>
      <c r="AD5001">
        <v>-1.071072071048</v>
      </c>
      <c r="AE5001">
        <v>-18.320758999999999</v>
      </c>
      <c r="AF5001">
        <v>11.0288557517084</v>
      </c>
      <c r="AG5001">
        <v>-1.071072071048</v>
      </c>
      <c r="AH5001">
        <v>21.7252744888191</v>
      </c>
      <c r="AI5001">
        <v>92.517134151211494</v>
      </c>
      <c r="AJ5001">
        <v>63.085330438123897</v>
      </c>
      <c r="AK5001">
        <v>24.387915166899901</v>
      </c>
      <c r="AL5001">
        <v>79.3285252451644</v>
      </c>
      <c r="AM5001">
        <v>82.204760491075007</v>
      </c>
      <c r="AN5001">
        <v>1.0000000576139001</v>
      </c>
    </row>
    <row r="5002" spans="1:40" x14ac:dyDescent="0.25">
      <c r="A5002" t="str">
        <f>"20190303171114568"</f>
        <v>20190303171114568</v>
      </c>
      <c r="B5002" t="str">
        <f>"1551604274555756"</f>
        <v>1551604274555756</v>
      </c>
      <c r="C5002" t="s">
        <v>40</v>
      </c>
      <c r="D5002">
        <v>4.9867489999999997</v>
      </c>
      <c r="E5002">
        <v>0.64209150000000004</v>
      </c>
      <c r="F5002" t="s">
        <v>42</v>
      </c>
      <c r="G5002">
        <v>-298.43029999999999</v>
      </c>
      <c r="H5002" s="1">
        <v>-3.0261769999999999E-6</v>
      </c>
      <c r="I5002">
        <v>-3.610268</v>
      </c>
      <c r="J5002">
        <v>-314.11329999999998</v>
      </c>
      <c r="K5002">
        <v>1.070047</v>
      </c>
      <c r="L5002">
        <v>14.623469999999999</v>
      </c>
      <c r="M5002">
        <v>0.92540940000000005</v>
      </c>
      <c r="N5002">
        <v>-2.3361940000000001E-2</v>
      </c>
      <c r="O5002">
        <v>-0.37824839999999998</v>
      </c>
      <c r="P5002">
        <v>0.85690809999999995</v>
      </c>
      <c r="Q5002">
        <v>0.16766139999999999</v>
      </c>
      <c r="R5002">
        <v>-0.4874405</v>
      </c>
      <c r="S5002">
        <v>2.138458</v>
      </c>
      <c r="T5002">
        <v>-0.1442454</v>
      </c>
      <c r="U5002">
        <v>-2.467285</v>
      </c>
      <c r="V5002">
        <v>0.13449050000000001</v>
      </c>
      <c r="W5002">
        <v>0.1852365</v>
      </c>
      <c r="X5002">
        <v>0.97344730000000002</v>
      </c>
      <c r="Y5002">
        <v>0.45111279999999998</v>
      </c>
      <c r="Z5002">
        <v>-7.0359749999999999E-3</v>
      </c>
      <c r="AA5002">
        <v>0.89243919999999999</v>
      </c>
      <c r="AB5002">
        <v>35</v>
      </c>
      <c r="AC5002">
        <v>15.6829999999999</v>
      </c>
      <c r="AD5002">
        <v>-1.0700500261769901</v>
      </c>
      <c r="AE5002">
        <v>-18.233737999999999</v>
      </c>
      <c r="AF5002">
        <v>10.9229666575739</v>
      </c>
      <c r="AG5002">
        <v>-1.0700500261769901</v>
      </c>
      <c r="AH5002">
        <v>21.373611242243399</v>
      </c>
      <c r="AI5002">
        <v>92.552550366399899</v>
      </c>
      <c r="AJ5002">
        <v>62.930732922453998</v>
      </c>
      <c r="AK5002">
        <v>24.026807220176899</v>
      </c>
      <c r="AL5002">
        <v>79.325078296281305</v>
      </c>
      <c r="AM5002">
        <v>82.133869805171699</v>
      </c>
      <c r="AN5002">
        <v>0.999999950699893</v>
      </c>
    </row>
    <row r="5003" spans="1:40" x14ac:dyDescent="0.25">
      <c r="A5003" t="str">
        <f>"20190303171114581"</f>
        <v>20190303171114581</v>
      </c>
      <c r="B5003" t="str">
        <f>"1551604274575275"</f>
        <v>1551604274575275</v>
      </c>
      <c r="C5003" t="s">
        <v>40</v>
      </c>
      <c r="D5003">
        <v>4.9736669999999998</v>
      </c>
      <c r="E5003">
        <v>0.63088140000000004</v>
      </c>
      <c r="F5003" t="s">
        <v>42</v>
      </c>
      <c r="G5003">
        <v>-298.42</v>
      </c>
      <c r="H5003" s="1">
        <v>-2.9203170000000001E-6</v>
      </c>
      <c r="I5003">
        <v>-3.8380969999999999</v>
      </c>
      <c r="J5003">
        <v>-313.93939999999998</v>
      </c>
      <c r="K5003">
        <v>1.069164</v>
      </c>
      <c r="L5003">
        <v>14.545229999999901</v>
      </c>
      <c r="M5003">
        <v>0.92233730000000003</v>
      </c>
      <c r="N5003">
        <v>-2.3113979999999999E-2</v>
      </c>
      <c r="O5003">
        <v>-0.38569369999999997</v>
      </c>
      <c r="P5003">
        <v>0.85245199999999999</v>
      </c>
      <c r="Q5003">
        <v>0.16798759999999999</v>
      </c>
      <c r="R5003">
        <v>-0.49508170000000001</v>
      </c>
      <c r="S5003">
        <v>2.1143190000000001</v>
      </c>
      <c r="T5003">
        <v>-0.14416470000000001</v>
      </c>
      <c r="U5003">
        <v>-2.4872740000000002</v>
      </c>
      <c r="V5003">
        <v>0.1353106</v>
      </c>
      <c r="W5003">
        <v>0.18533340000000001</v>
      </c>
      <c r="X5003">
        <v>0.97331520000000005</v>
      </c>
      <c r="Y5003">
        <v>0.45249410000000001</v>
      </c>
      <c r="Z5003">
        <v>-6.734856E-3</v>
      </c>
      <c r="AA5003">
        <v>0.89174200000000003</v>
      </c>
      <c r="AB5003">
        <v>35</v>
      </c>
      <c r="AC5003">
        <v>15.5193999999999</v>
      </c>
      <c r="AD5003">
        <v>-1.069166920317</v>
      </c>
      <c r="AE5003">
        <v>-18.383327000000001</v>
      </c>
      <c r="AF5003">
        <v>10.9511965851573</v>
      </c>
      <c r="AG5003">
        <v>-1.069166920317</v>
      </c>
      <c r="AH5003">
        <v>21.367973713562002</v>
      </c>
      <c r="AI5003">
        <v>92.549614605478695</v>
      </c>
      <c r="AJ5003">
        <v>62.864626660682198</v>
      </c>
      <c r="AK5003">
        <v>24.0346026631134</v>
      </c>
      <c r="AL5003">
        <v>79.319428533772097</v>
      </c>
      <c r="AM5003">
        <v>82.085448950697597</v>
      </c>
      <c r="AN5003">
        <v>0.99999995308947898</v>
      </c>
    </row>
    <row r="5004" spans="1:40" x14ac:dyDescent="0.25">
      <c r="A5004" t="str">
        <f>"20190303171114595"</f>
        <v>20190303171114595</v>
      </c>
      <c r="B5004" t="str">
        <f>"1551604274586011"</f>
        <v>1551604274586011</v>
      </c>
      <c r="C5004" t="s">
        <v>40</v>
      </c>
      <c r="D5004">
        <v>5.0322899999999997</v>
      </c>
      <c r="E5004">
        <v>0.63025310000000001</v>
      </c>
      <c r="F5004" t="s">
        <v>42</v>
      </c>
      <c r="G5004">
        <v>-297.93790000000001</v>
      </c>
      <c r="H5004" s="1">
        <v>-3.100961E-6</v>
      </c>
      <c r="I5004">
        <v>-3.6368580000000001</v>
      </c>
      <c r="J5004">
        <v>-313.71690000000001</v>
      </c>
      <c r="K5004">
        <v>1.068087</v>
      </c>
      <c r="L5004">
        <v>14.44281</v>
      </c>
      <c r="M5004">
        <v>0.91823319999999997</v>
      </c>
      <c r="N5004">
        <v>-2.279426E-2</v>
      </c>
      <c r="O5004">
        <v>-0.39538380000000001</v>
      </c>
      <c r="P5004">
        <v>0.84643159999999895</v>
      </c>
      <c r="Q5004">
        <v>0.16808999999999999</v>
      </c>
      <c r="R5004">
        <v>-0.50527159999999904</v>
      </c>
      <c r="S5004">
        <v>2.1371150000000001</v>
      </c>
      <c r="T5004">
        <v>-0.1427947</v>
      </c>
      <c r="U5004">
        <v>-2.4283450000000002</v>
      </c>
      <c r="V5004">
        <v>0.13665720000000001</v>
      </c>
      <c r="W5004">
        <v>0.18512770000000001</v>
      </c>
      <c r="X5004">
        <v>0.97316619999999998</v>
      </c>
      <c r="Y5004">
        <v>0.42768050000000002</v>
      </c>
      <c r="Z5004">
        <v>-5.3760379999999997E-3</v>
      </c>
      <c r="AA5004">
        <v>0.903914</v>
      </c>
      <c r="AB5004">
        <v>35</v>
      </c>
      <c r="AC5004">
        <v>15.7789999999999</v>
      </c>
      <c r="AD5004">
        <v>-1.068090100961</v>
      </c>
      <c r="AE5004">
        <v>-18.079668000000002</v>
      </c>
      <c r="AF5004">
        <v>10.3447888314212</v>
      </c>
      <c r="AG5004">
        <v>-1.068090100961</v>
      </c>
      <c r="AH5004">
        <v>21.600039570118899</v>
      </c>
      <c r="AI5004">
        <v>92.553566757655403</v>
      </c>
      <c r="AJ5004">
        <v>64.409096300627496</v>
      </c>
      <c r="AK5004">
        <v>23.973259725393401</v>
      </c>
      <c r="AL5004">
        <v>79.331421831124104</v>
      </c>
      <c r="AM5004">
        <v>82.006488972745302</v>
      </c>
      <c r="AN5004">
        <v>0.99999995422078403</v>
      </c>
    </row>
    <row r="5005" spans="1:40" x14ac:dyDescent="0.25">
      <c r="A5005" t="str">
        <f>"20190303171114617"</f>
        <v>20190303171114617</v>
      </c>
      <c r="B5005" t="str">
        <f>"1551604274605295"</f>
        <v>1551604274605295</v>
      </c>
      <c r="C5005" t="s">
        <v>40</v>
      </c>
      <c r="D5005">
        <v>5.0372529999999998</v>
      </c>
      <c r="E5005">
        <v>0.62932969999999999</v>
      </c>
      <c r="F5005" t="s">
        <v>42</v>
      </c>
      <c r="G5005">
        <v>-297.60570000000001</v>
      </c>
      <c r="H5005" s="1">
        <v>-2.8632570000000001E-6</v>
      </c>
      <c r="I5005">
        <v>-4.2643779999999998</v>
      </c>
      <c r="J5005">
        <v>-313.40480000000002</v>
      </c>
      <c r="K5005">
        <v>1.0666370000000001</v>
      </c>
      <c r="L5005">
        <v>14.293760000000001</v>
      </c>
      <c r="M5005">
        <v>0.91211620000000004</v>
      </c>
      <c r="N5005">
        <v>-2.2345150000000001E-2</v>
      </c>
      <c r="O5005">
        <v>-0.40932239999999998</v>
      </c>
      <c r="P5005">
        <v>0.83782590000000001</v>
      </c>
      <c r="Q5005">
        <v>0.16805400000000001</v>
      </c>
      <c r="R5005">
        <v>-0.51942840000000001</v>
      </c>
      <c r="S5005">
        <v>2.1097410000000001</v>
      </c>
      <c r="T5005">
        <v>-0.13986470000000001</v>
      </c>
      <c r="U5005">
        <v>-2.4496769999999999</v>
      </c>
      <c r="V5005">
        <v>0.1380825</v>
      </c>
      <c r="W5005">
        <v>0.18466569999999999</v>
      </c>
      <c r="X5005">
        <v>0.97305280000000005</v>
      </c>
      <c r="Y5005">
        <v>0.4236317</v>
      </c>
      <c r="Z5005">
        <v>-4.7495999999999997E-3</v>
      </c>
      <c r="AA5005">
        <v>0.90582209999999996</v>
      </c>
      <c r="AB5005">
        <v>35</v>
      </c>
      <c r="AC5005">
        <v>15.799099999999999</v>
      </c>
      <c r="AD5005">
        <v>-1.066639863257</v>
      </c>
      <c r="AE5005">
        <v>-18.558138</v>
      </c>
      <c r="AF5005">
        <v>10.4428634484541</v>
      </c>
      <c r="AG5005">
        <v>-1.066639863257</v>
      </c>
      <c r="AH5005">
        <v>21.9702919694308</v>
      </c>
      <c r="AI5005">
        <v>92.510696771423298</v>
      </c>
      <c r="AJ5005">
        <v>64.577442871520304</v>
      </c>
      <c r="AK5005">
        <v>24.3492268218722</v>
      </c>
      <c r="AL5005">
        <v>79.358357117386603</v>
      </c>
      <c r="AM5005">
        <v>81.923284193211103</v>
      </c>
      <c r="AN5005">
        <v>0.999999974575289</v>
      </c>
    </row>
    <row r="5006" spans="1:40" x14ac:dyDescent="0.25">
      <c r="A5006" t="str">
        <f>"20190303171114631"</f>
        <v>20190303171114631</v>
      </c>
      <c r="B5006" t="str">
        <f>"1551604274625791"</f>
        <v>1551604274625791</v>
      </c>
      <c r="C5006" t="s">
        <v>40</v>
      </c>
      <c r="D5006">
        <v>5.0113390000000004</v>
      </c>
      <c r="E5006">
        <v>0.62875209999999904</v>
      </c>
      <c r="F5006" t="s">
        <v>42</v>
      </c>
      <c r="G5006">
        <v>-297.68090000000001</v>
      </c>
      <c r="H5006" s="1">
        <v>-2.7326809999999998E-6</v>
      </c>
      <c r="I5006">
        <v>-4.5123689999999996</v>
      </c>
      <c r="J5006">
        <v>-313.21120000000002</v>
      </c>
      <c r="K5006">
        <v>1.0657650000000001</v>
      </c>
      <c r="L5006">
        <v>14.19824</v>
      </c>
      <c r="M5006">
        <v>0.90811980000000003</v>
      </c>
      <c r="N5006">
        <v>-2.206729E-2</v>
      </c>
      <c r="O5006">
        <v>-0.41812860000000002</v>
      </c>
      <c r="P5006">
        <v>0.83228979999999997</v>
      </c>
      <c r="Q5006">
        <v>0.16799330000000001</v>
      </c>
      <c r="R5006">
        <v>-0.52827239999999998</v>
      </c>
      <c r="S5006">
        <v>2.0722960000000001</v>
      </c>
      <c r="T5006">
        <v>-0.1405756</v>
      </c>
      <c r="U5006">
        <v>-2.4785159999999999</v>
      </c>
      <c r="V5006">
        <v>0.1389195</v>
      </c>
      <c r="W5006">
        <v>0.18432870000000001</v>
      </c>
      <c r="X5006">
        <v>0.97299749999999996</v>
      </c>
      <c r="Y5006">
        <v>0.428095</v>
      </c>
      <c r="Z5006">
        <v>-4.4349799999999998E-3</v>
      </c>
      <c r="AA5006">
        <v>0.9037229</v>
      </c>
      <c r="AB5006">
        <v>35</v>
      </c>
      <c r="AC5006">
        <v>15.5303</v>
      </c>
      <c r="AD5006">
        <v>-1.065767732681</v>
      </c>
      <c r="AE5006">
        <v>-18.710608999999899</v>
      </c>
      <c r="AF5006">
        <v>10.480235702950999</v>
      </c>
      <c r="AG5006">
        <v>-1.065767732681</v>
      </c>
      <c r="AH5006">
        <v>21.890102203321799</v>
      </c>
      <c r="AI5006">
        <v>92.514457073128497</v>
      </c>
      <c r="AJ5006">
        <v>64.416487315152807</v>
      </c>
      <c r="AK5006">
        <v>24.292957327614701</v>
      </c>
      <c r="AL5006">
        <v>79.378002428049498</v>
      </c>
      <c r="AM5006">
        <v>81.874522593395298</v>
      </c>
      <c r="AN5006">
        <v>0.99999991606509098</v>
      </c>
    </row>
    <row r="5007" spans="1:40" x14ac:dyDescent="0.25">
      <c r="A5007" t="str">
        <f>"20190303171114645"</f>
        <v>20190303171114645</v>
      </c>
      <c r="B5007" t="str">
        <f>"1551604274635552"</f>
        <v>1551604274635552</v>
      </c>
      <c r="C5007" t="s">
        <v>40</v>
      </c>
      <c r="D5007">
        <v>5.0353159999999999</v>
      </c>
      <c r="E5007">
        <v>0.62860469999999902</v>
      </c>
      <c r="F5007" t="s">
        <v>42</v>
      </c>
      <c r="G5007">
        <v>-297.9307</v>
      </c>
      <c r="H5007" s="1">
        <v>-2.732351E-6</v>
      </c>
      <c r="I5007">
        <v>-4.419333</v>
      </c>
      <c r="J5007">
        <v>-313.01960000000003</v>
      </c>
      <c r="K5007">
        <v>1.064927</v>
      </c>
      <c r="L5007">
        <v>14.1015</v>
      </c>
      <c r="M5007">
        <v>0.90402899999999997</v>
      </c>
      <c r="N5007">
        <v>-2.1793420000000001E-2</v>
      </c>
      <c r="O5007">
        <v>-0.42691560000000001</v>
      </c>
      <c r="P5007">
        <v>0.82667279999999999</v>
      </c>
      <c r="Q5007">
        <v>0.16859859999999999</v>
      </c>
      <c r="R5007">
        <v>-0.53683059999999905</v>
      </c>
      <c r="S5007">
        <v>2.0488590000000002</v>
      </c>
      <c r="T5007">
        <v>-0.142901799999999</v>
      </c>
      <c r="U5007">
        <v>-2.4963069999999998</v>
      </c>
      <c r="V5007">
        <v>0.13956070000000001</v>
      </c>
      <c r="W5007">
        <v>0.18466099999999999</v>
      </c>
      <c r="X5007">
        <v>0.97284280000000001</v>
      </c>
      <c r="Y5007">
        <v>0.42755959999999898</v>
      </c>
      <c r="Z5007">
        <v>-3.8302869999999999E-3</v>
      </c>
      <c r="AA5007">
        <v>0.90397910000000004</v>
      </c>
      <c r="AB5007">
        <v>35</v>
      </c>
      <c r="AC5007">
        <v>15.088900000000001</v>
      </c>
      <c r="AD5007">
        <v>-1.0649297323510001</v>
      </c>
      <c r="AE5007">
        <v>-18.520833</v>
      </c>
      <c r="AF5007">
        <v>10.2836934551386</v>
      </c>
      <c r="AG5007">
        <v>-1.0649297323510001</v>
      </c>
      <c r="AH5007">
        <v>21.510006960426001</v>
      </c>
      <c r="AI5007">
        <v>92.557494486962696</v>
      </c>
      <c r="AJ5007">
        <v>64.448058875220397</v>
      </c>
      <c r="AK5007">
        <v>23.8656411154547</v>
      </c>
      <c r="AL5007">
        <v>79.3586313258769</v>
      </c>
      <c r="AM5007">
        <v>81.836242215845999</v>
      </c>
      <c r="AN5007">
        <v>0.99999999370866499</v>
      </c>
    </row>
    <row r="5008" spans="1:40" x14ac:dyDescent="0.25">
      <c r="A5008" t="str">
        <f>"20190303171114660"</f>
        <v>20190303171114660</v>
      </c>
      <c r="B5008" t="str">
        <f>"1551604274656047"</f>
        <v>1551604274656047</v>
      </c>
      <c r="C5008" t="s">
        <v>40</v>
      </c>
      <c r="D5008">
        <v>5.0406019999999998</v>
      </c>
      <c r="E5008">
        <v>0.6279884</v>
      </c>
      <c r="F5008" t="s">
        <v>42</v>
      </c>
      <c r="G5008">
        <v>-298.06389999999999</v>
      </c>
      <c r="H5008" s="1">
        <v>-2.679021E-6</v>
      </c>
      <c r="I5008">
        <v>-4.4821790000000004</v>
      </c>
      <c r="J5008">
        <v>-312.79520000000002</v>
      </c>
      <c r="K5008">
        <v>1.0639799999999999</v>
      </c>
      <c r="L5008">
        <v>13.98563</v>
      </c>
      <c r="M5008">
        <v>0.89906559999999902</v>
      </c>
      <c r="N5008">
        <v>-2.147346E-2</v>
      </c>
      <c r="O5008">
        <v>-0.43728709999999998</v>
      </c>
      <c r="P5008">
        <v>0.8198723</v>
      </c>
      <c r="Q5008">
        <v>0.16914779999999999</v>
      </c>
      <c r="R5008">
        <v>-0.546991</v>
      </c>
      <c r="S5008">
        <v>2.024689</v>
      </c>
      <c r="T5008">
        <v>-0.14416899999999999</v>
      </c>
      <c r="U5008">
        <v>-2.5158390000000002</v>
      </c>
      <c r="V5008">
        <v>0.14041409999999999</v>
      </c>
      <c r="W5008">
        <v>0.18487890000000001</v>
      </c>
      <c r="X5008">
        <v>0.97267859999999995</v>
      </c>
      <c r="Y5008">
        <v>0.42586990000000002</v>
      </c>
      <c r="Z5008">
        <v>-3.1682849999999999E-3</v>
      </c>
      <c r="AA5008">
        <v>0.90477879999999999</v>
      </c>
      <c r="AB5008">
        <v>35</v>
      </c>
      <c r="AC5008">
        <v>14.731299999999999</v>
      </c>
      <c r="AD5008">
        <v>-1.0639826790210001</v>
      </c>
      <c r="AE5008">
        <v>-18.467808999999999</v>
      </c>
      <c r="AF5008">
        <v>10.1437308924987</v>
      </c>
      <c r="AG5008">
        <v>-1.0639826790210001</v>
      </c>
      <c r="AH5008">
        <v>21.281885369487298</v>
      </c>
      <c r="AI5008">
        <v>92.584032009117195</v>
      </c>
      <c r="AJ5008">
        <v>64.5158104411924</v>
      </c>
      <c r="AK5008">
        <v>23.599702973569102</v>
      </c>
      <c r="AL5008">
        <v>79.345927836907705</v>
      </c>
      <c r="AM5008">
        <v>81.785633099959199</v>
      </c>
      <c r="AN5008">
        <v>0.99999999302098996</v>
      </c>
    </row>
    <row r="5009" spans="1:40" x14ac:dyDescent="0.25">
      <c r="A5009" t="str">
        <f>"20190303171114673"</f>
        <v>20190303171114673</v>
      </c>
      <c r="B5009" t="str">
        <f>"1551604274665808"</f>
        <v>1551604274665808</v>
      </c>
      <c r="C5009" t="s">
        <v>40</v>
      </c>
      <c r="D5009">
        <v>5.0259799999999997</v>
      </c>
      <c r="E5009">
        <v>0.62814709999999996</v>
      </c>
      <c r="F5009" t="s">
        <v>42</v>
      </c>
      <c r="G5009">
        <v>-298.59800000000001</v>
      </c>
      <c r="H5009" s="1">
        <v>-2.7946229999999999E-6</v>
      </c>
      <c r="I5009">
        <v>-4.0371889999999997</v>
      </c>
      <c r="J5009">
        <v>-312.60520000000002</v>
      </c>
      <c r="K5009">
        <v>1.0632029999999999</v>
      </c>
      <c r="L5009">
        <v>13.885009999999999</v>
      </c>
      <c r="M5009">
        <v>0.89471139999999905</v>
      </c>
      <c r="N5009">
        <v>-2.1202749999999999E-2</v>
      </c>
      <c r="O5009">
        <v>-0.44614120000000002</v>
      </c>
      <c r="P5009">
        <v>0.81339839999999997</v>
      </c>
      <c r="Q5009">
        <v>0.16969979999999901</v>
      </c>
      <c r="R5009">
        <v>-0.55640419999999902</v>
      </c>
      <c r="S5009">
        <v>1.9978940000000001</v>
      </c>
      <c r="T5009">
        <v>-0.14972869999999999</v>
      </c>
      <c r="U5009">
        <v>-2.5362550000000001</v>
      </c>
      <c r="V5009">
        <v>0.14208280000000001</v>
      </c>
      <c r="W5009">
        <v>0.1851053</v>
      </c>
      <c r="X5009">
        <v>0.97239319999999896</v>
      </c>
      <c r="Y5009">
        <v>0.42636649999999998</v>
      </c>
      <c r="Z5009">
        <v>-2.315531E-3</v>
      </c>
      <c r="AA5009">
        <v>0.90454749999999995</v>
      </c>
      <c r="AB5009">
        <v>35</v>
      </c>
      <c r="AC5009">
        <v>14.007199999999999</v>
      </c>
      <c r="AD5009">
        <v>-1.063205794623</v>
      </c>
      <c r="AE5009">
        <v>-17.922198999999999</v>
      </c>
      <c r="AF5009">
        <v>9.7668688834190895</v>
      </c>
      <c r="AG5009">
        <v>-1.063205794623</v>
      </c>
      <c r="AH5009">
        <v>20.488087157720301</v>
      </c>
      <c r="AI5009">
        <v>92.681972414232405</v>
      </c>
      <c r="AJ5009">
        <v>64.512411722432503</v>
      </c>
      <c r="AK5009">
        <v>22.7218804180016</v>
      </c>
      <c r="AL5009">
        <v>79.332728482265907</v>
      </c>
      <c r="AM5009">
        <v>81.686962991835799</v>
      </c>
      <c r="AN5009">
        <v>1.00000001477508</v>
      </c>
    </row>
    <row r="5010" spans="1:40" x14ac:dyDescent="0.25">
      <c r="A5010" t="str">
        <f>"20190303171114688"</f>
        <v>20190303171114688</v>
      </c>
      <c r="B5010" t="str">
        <f>"1551604274675567"</f>
        <v>1551604274675567</v>
      </c>
      <c r="C5010" t="s">
        <v>40</v>
      </c>
      <c r="D5010">
        <v>5.0534739999999996</v>
      </c>
      <c r="E5010">
        <v>0.62814709999999996</v>
      </c>
      <c r="F5010" t="s">
        <v>42</v>
      </c>
      <c r="G5010">
        <v>-298.55950000000001</v>
      </c>
      <c r="H5010" s="1">
        <v>-2.6388279999999898E-6</v>
      </c>
      <c r="I5010">
        <v>-4.3812160000000002</v>
      </c>
      <c r="J5010">
        <v>-312.41800000000001</v>
      </c>
      <c r="K5010">
        <v>1.062486</v>
      </c>
      <c r="L5010">
        <v>13.78299</v>
      </c>
      <c r="M5010">
        <v>0.89027109999999998</v>
      </c>
      <c r="N5010">
        <v>-2.0939719999999998E-2</v>
      </c>
      <c r="O5010">
        <v>-0.45494980000000002</v>
      </c>
      <c r="P5010">
        <v>0.80737449999999999</v>
      </c>
      <c r="Q5010">
        <v>0.169873</v>
      </c>
      <c r="R5010">
        <v>-0.56505729999999998</v>
      </c>
      <c r="S5010">
        <v>1.968323</v>
      </c>
      <c r="T5010">
        <v>-0.14899499999999999</v>
      </c>
      <c r="U5010">
        <v>-2.5597840000000001</v>
      </c>
      <c r="V5010">
        <v>0.14288600000000001</v>
      </c>
      <c r="W5010">
        <v>0.1849895</v>
      </c>
      <c r="X5010">
        <v>0.97229750000000004</v>
      </c>
      <c r="Y5010">
        <v>0.42803669999999999</v>
      </c>
      <c r="Z5010">
        <v>-1.9719109999999998E-3</v>
      </c>
      <c r="AA5010">
        <v>0.90375919999999998</v>
      </c>
      <c r="AB5010">
        <v>35</v>
      </c>
      <c r="AC5010">
        <v>13.8584999999999</v>
      </c>
      <c r="AD5010">
        <v>-1.0624886388279999</v>
      </c>
      <c r="AE5010">
        <v>-18.164206</v>
      </c>
      <c r="AF5010">
        <v>9.8470120980709197</v>
      </c>
      <c r="AG5010">
        <v>-1.0624886388279999</v>
      </c>
      <c r="AH5010">
        <v>20.5616704906808</v>
      </c>
      <c r="AI5010">
        <v>92.668315888709799</v>
      </c>
      <c r="AJ5010">
        <v>64.410175929021506</v>
      </c>
      <c r="AK5010">
        <v>22.822682198517501</v>
      </c>
      <c r="AL5010">
        <v>79.339479518830899</v>
      </c>
      <c r="AM5010">
        <v>81.639820119123002</v>
      </c>
      <c r="AN5010">
        <v>0.99999997630624904</v>
      </c>
    </row>
    <row r="5011" spans="1:40" x14ac:dyDescent="0.25">
      <c r="A5011" t="str">
        <f>"20190303171114708"</f>
        <v>20190303171114708</v>
      </c>
      <c r="B5011" t="str">
        <f>"1551604274695488"</f>
        <v>1551604274695488</v>
      </c>
      <c r="C5011" t="s">
        <v>40</v>
      </c>
      <c r="D5011">
        <v>5.228618</v>
      </c>
      <c r="E5011">
        <v>0.65146919999999897</v>
      </c>
      <c r="F5011" t="s">
        <v>42</v>
      </c>
      <c r="G5011">
        <v>-298.5496</v>
      </c>
      <c r="H5011" s="1">
        <v>-2.5101910000000001E-6</v>
      </c>
      <c r="I5011">
        <v>-4.657076</v>
      </c>
      <c r="J5011">
        <v>-312.14260000000002</v>
      </c>
      <c r="K5011">
        <v>1.0614859999999999</v>
      </c>
      <c r="L5011">
        <v>13.629</v>
      </c>
      <c r="M5011">
        <v>0.88348979999999999</v>
      </c>
      <c r="N5011">
        <v>-2.0560439999999999E-2</v>
      </c>
      <c r="O5011">
        <v>-0.467999</v>
      </c>
      <c r="P5011">
        <v>0.79831149999999995</v>
      </c>
      <c r="Q5011">
        <v>0.16969419999999999</v>
      </c>
      <c r="R5011">
        <v>-0.57784340000000001</v>
      </c>
      <c r="S5011">
        <v>1.940887</v>
      </c>
      <c r="T5011">
        <v>-0.1486953</v>
      </c>
      <c r="U5011">
        <v>-2.5806879999999999</v>
      </c>
      <c r="V5011">
        <v>0.14404029999999901</v>
      </c>
      <c r="W5011">
        <v>0.1843902</v>
      </c>
      <c r="X5011">
        <v>0.97224100000000002</v>
      </c>
      <c r="Y5011">
        <v>0.42441479999999998</v>
      </c>
      <c r="Z5011">
        <v>-1.189241E-3</v>
      </c>
      <c r="AA5011">
        <v>0.90546709999999997</v>
      </c>
      <c r="AB5011">
        <v>35</v>
      </c>
      <c r="AC5011">
        <v>13.593</v>
      </c>
      <c r="AD5011">
        <v>-1.0614885101909901</v>
      </c>
      <c r="AE5011">
        <v>-18.286076000000001</v>
      </c>
      <c r="AF5011">
        <v>9.7749065476071397</v>
      </c>
      <c r="AG5011">
        <v>-1.0614885101909901</v>
      </c>
      <c r="AH5011">
        <v>20.526939033463499</v>
      </c>
      <c r="AI5011">
        <v>92.673115411739303</v>
      </c>
      <c r="AJ5011">
        <v>64.536259776771104</v>
      </c>
      <c r="AK5011">
        <v>22.760289584169399</v>
      </c>
      <c r="AL5011">
        <v>79.374417734498394</v>
      </c>
      <c r="AM5011">
        <v>81.572765928600106</v>
      </c>
      <c r="AN5011">
        <v>0.99999995798056396</v>
      </c>
    </row>
    <row r="5012" spans="1:40" x14ac:dyDescent="0.25">
      <c r="A5012" t="str">
        <f>"20190303171114722"</f>
        <v>20190303171114722</v>
      </c>
      <c r="B5012" t="str">
        <f>"1551604274715984"</f>
        <v>1551604274715984</v>
      </c>
      <c r="C5012" t="s">
        <v>40</v>
      </c>
      <c r="D5012">
        <v>5.1971049999999996</v>
      </c>
      <c r="E5012">
        <v>0.65624740000000004</v>
      </c>
      <c r="F5012" t="s">
        <v>42</v>
      </c>
      <c r="G5012">
        <v>-293.08800000000002</v>
      </c>
      <c r="H5012" s="1">
        <v>-3.3719330000000001E-6</v>
      </c>
      <c r="I5012">
        <v>-15.847619999999999</v>
      </c>
      <c r="J5012">
        <v>-311.94779999999997</v>
      </c>
      <c r="K5012">
        <v>1.060827</v>
      </c>
      <c r="L5012">
        <v>13.51694</v>
      </c>
      <c r="M5012">
        <v>0.87850260000000002</v>
      </c>
      <c r="N5012">
        <v>-2.030067E-2</v>
      </c>
      <c r="O5012">
        <v>-0.47730650000000002</v>
      </c>
      <c r="P5012">
        <v>0.79176780000000002</v>
      </c>
      <c r="Q5012">
        <v>0.16966729999999899</v>
      </c>
      <c r="R5012">
        <v>-0.58678560000000002</v>
      </c>
      <c r="S5012">
        <v>1.7827759999999999</v>
      </c>
      <c r="T5012">
        <v>-9.9314449999999999E-2</v>
      </c>
      <c r="U5012">
        <v>-2.7578740000000002</v>
      </c>
      <c r="V5012">
        <v>0.14470459999999999</v>
      </c>
      <c r="W5012">
        <v>0.18407660000000001</v>
      </c>
      <c r="X5012">
        <v>0.9722018</v>
      </c>
      <c r="Y5012">
        <v>0.47841519999999998</v>
      </c>
      <c r="Z5012">
        <v>-6.5715829999999998E-3</v>
      </c>
      <c r="AA5012">
        <v>0.87810919999999903</v>
      </c>
      <c r="AB5012">
        <v>35</v>
      </c>
      <c r="AC5012">
        <v>18.8598</v>
      </c>
      <c r="AD5012">
        <v>-1.0608303719329999</v>
      </c>
      <c r="AE5012">
        <v>-29.364559999999901</v>
      </c>
      <c r="AF5012">
        <v>16.782888573488599</v>
      </c>
      <c r="AG5012">
        <v>-1.0608303719329999</v>
      </c>
      <c r="AH5012">
        <v>30.562337681393402</v>
      </c>
      <c r="AI5012">
        <v>91.742679483416097</v>
      </c>
      <c r="AJ5012">
        <v>61.2272141462294</v>
      </c>
      <c r="AK5012">
        <v>34.8833369174979</v>
      </c>
      <c r="AL5012">
        <v>79.392698828374904</v>
      </c>
      <c r="AM5012">
        <v>81.534125854495599</v>
      </c>
      <c r="AN5012">
        <v>0.99999997792597894</v>
      </c>
    </row>
    <row r="5013" spans="1:40" x14ac:dyDescent="0.25">
      <c r="A5013" t="str">
        <f>"20190303171114738"</f>
        <v>20190303171114738</v>
      </c>
      <c r="B5013" t="str">
        <f>"1551604274725744"</f>
        <v>1551604274725744</v>
      </c>
      <c r="C5013" t="s">
        <v>40</v>
      </c>
      <c r="D5013">
        <v>5.1903319999999997</v>
      </c>
      <c r="E5013">
        <v>0.65704739999999995</v>
      </c>
      <c r="F5013" t="s">
        <v>42</v>
      </c>
      <c r="G5013">
        <v>-290.39100000000002</v>
      </c>
      <c r="H5013" s="1">
        <v>-5.562296E-6</v>
      </c>
      <c r="I5013">
        <v>-21.519860000000001</v>
      </c>
      <c r="J5013">
        <v>-311.73419999999999</v>
      </c>
      <c r="K5013">
        <v>1.0601510000000001</v>
      </c>
      <c r="L5013">
        <v>13.391080000000001</v>
      </c>
      <c r="M5013">
        <v>0.87285020000000002</v>
      </c>
      <c r="N5013">
        <v>-2.0025310000000001E-2</v>
      </c>
      <c r="O5013">
        <v>-0.48757729999999999</v>
      </c>
      <c r="P5013">
        <v>0.78453909999999905</v>
      </c>
      <c r="Q5013">
        <v>0.16987910000000001</v>
      </c>
      <c r="R5013">
        <v>-0.59635530000000003</v>
      </c>
      <c r="S5013">
        <v>1.72699</v>
      </c>
      <c r="T5013">
        <v>-8.4986809999999996E-2</v>
      </c>
      <c r="U5013">
        <v>-2.806915</v>
      </c>
      <c r="V5013">
        <v>0.14514279999999999</v>
      </c>
      <c r="W5013">
        <v>0.18399219999999999</v>
      </c>
      <c r="X5013">
        <v>0.97215249999999997</v>
      </c>
      <c r="Y5013">
        <v>0.4877186</v>
      </c>
      <c r="Z5013">
        <v>-7.6086740000000002E-3</v>
      </c>
      <c r="AA5013">
        <v>0.87296779999999996</v>
      </c>
      <c r="AB5013">
        <v>35</v>
      </c>
      <c r="AC5013">
        <v>21.3432</v>
      </c>
      <c r="AD5013">
        <v>-1.0601565622960001</v>
      </c>
      <c r="AE5013">
        <v>-34.910939999999997</v>
      </c>
      <c r="AF5013">
        <v>20.056121213068899</v>
      </c>
      <c r="AG5013">
        <v>-1.0601565622960001</v>
      </c>
      <c r="AH5013">
        <v>35.634426013895997</v>
      </c>
      <c r="AI5013">
        <v>91.4851468155791</v>
      </c>
      <c r="AJ5013">
        <v>60.627888828698197</v>
      </c>
      <c r="AK5013">
        <v>40.904574895599602</v>
      </c>
      <c r="AL5013">
        <v>79.397619103060507</v>
      </c>
      <c r="AM5013">
        <v>81.508438015588396</v>
      </c>
      <c r="AN5013">
        <v>1.0000000226544601</v>
      </c>
    </row>
    <row r="5014" spans="1:40" x14ac:dyDescent="0.25">
      <c r="A5014" t="str">
        <f>"20190303171114754"</f>
        <v>20190303171114754</v>
      </c>
      <c r="B5014" t="str">
        <f>"1551604274745265"</f>
        <v>1551604274745265</v>
      </c>
      <c r="C5014" t="s">
        <v>40</v>
      </c>
      <c r="D5014">
        <v>5.2065320000000002</v>
      </c>
      <c r="E5014">
        <v>0.65763059999999995</v>
      </c>
      <c r="F5014" t="s">
        <v>42</v>
      </c>
      <c r="G5014">
        <v>-290.0505</v>
      </c>
      <c r="H5014" s="1">
        <v>-5.1589179999999999E-6</v>
      </c>
      <c r="I5014">
        <v>-22.971430000000002</v>
      </c>
      <c r="J5014">
        <v>-311.52269999999999</v>
      </c>
      <c r="K5014">
        <v>1.059547</v>
      </c>
      <c r="L5014">
        <v>13.26257</v>
      </c>
      <c r="M5014">
        <v>0.86703799999999998</v>
      </c>
      <c r="N5014">
        <v>-1.9766929999999999E-2</v>
      </c>
      <c r="O5014">
        <v>-0.49784990000000001</v>
      </c>
      <c r="P5014">
        <v>0.77652080000000001</v>
      </c>
      <c r="Q5014">
        <v>0.16967479999999999</v>
      </c>
      <c r="R5014">
        <v>-0.60681619999999903</v>
      </c>
      <c r="S5014">
        <v>1.688904</v>
      </c>
      <c r="T5014">
        <v>-8.2573770000000005E-2</v>
      </c>
      <c r="U5014">
        <v>-2.832214</v>
      </c>
      <c r="V5014">
        <v>0.1466751</v>
      </c>
      <c r="W5014">
        <v>0.1834635</v>
      </c>
      <c r="X5014">
        <v>0.97202239999999995</v>
      </c>
      <c r="Y5014">
        <v>0.48952059999999997</v>
      </c>
      <c r="Z5014">
        <v>-7.53893599999999E-3</v>
      </c>
      <c r="AA5014">
        <v>0.87195909999999999</v>
      </c>
      <c r="AB5014">
        <v>35</v>
      </c>
      <c r="AC5014">
        <v>21.472199999999901</v>
      </c>
      <c r="AD5014">
        <v>-1.0595521589179999</v>
      </c>
      <c r="AE5014">
        <v>-36.234000000000002</v>
      </c>
      <c r="AF5014">
        <v>20.717260202192801</v>
      </c>
      <c r="AG5014">
        <v>-1.0595521589179999</v>
      </c>
      <c r="AH5014">
        <v>36.6402795651709</v>
      </c>
      <c r="AI5014">
        <v>91.441970388441106</v>
      </c>
      <c r="AJ5014">
        <v>60.515179533768702</v>
      </c>
      <c r="AK5014">
        <v>42.105078169701898</v>
      </c>
      <c r="AL5014">
        <v>79.4284356600091</v>
      </c>
      <c r="AM5014">
        <v>81.418987085297701</v>
      </c>
      <c r="AN5014">
        <v>0.99999999344700896</v>
      </c>
    </row>
    <row r="5015" spans="1:40" x14ac:dyDescent="0.25">
      <c r="A5015" t="str">
        <f>"20190303171114775"</f>
        <v>20190303171114775</v>
      </c>
      <c r="B5015" t="str">
        <f>"1551604274765761"</f>
        <v>1551604274765761</v>
      </c>
      <c r="C5015" t="s">
        <v>40</v>
      </c>
      <c r="D5015">
        <v>5.1909109999999998</v>
      </c>
      <c r="E5015">
        <v>0.65773800000000004</v>
      </c>
      <c r="F5015" t="s">
        <v>42</v>
      </c>
      <c r="G5015">
        <v>-289.95780000000002</v>
      </c>
      <c r="H5015">
        <v>2.100701E-2</v>
      </c>
      <c r="I5015">
        <v>-24.135020000000001</v>
      </c>
      <c r="J5015">
        <v>-311.23809999999997</v>
      </c>
      <c r="K5015">
        <v>1.0588150000000001</v>
      </c>
      <c r="L5015">
        <v>13.0845</v>
      </c>
      <c r="M5015">
        <v>0.85889889999999902</v>
      </c>
      <c r="N5015">
        <v>-1.9439399999999999E-2</v>
      </c>
      <c r="O5015">
        <v>-0.51177609999999996</v>
      </c>
      <c r="P5015">
        <v>0.76579710000000001</v>
      </c>
      <c r="Q5015">
        <v>0.1703007</v>
      </c>
      <c r="R5015">
        <v>-0.62012299999999998</v>
      </c>
      <c r="S5015">
        <v>1.6477360000000001</v>
      </c>
      <c r="T5015">
        <v>-7.9352969999999995E-2</v>
      </c>
      <c r="U5015">
        <v>-2.8574830000000002</v>
      </c>
      <c r="V5015">
        <v>0.14787069999999999</v>
      </c>
      <c r="W5015">
        <v>0.18370400000000001</v>
      </c>
      <c r="X5015">
        <v>0.97179579999999999</v>
      </c>
      <c r="Y5015">
        <v>0.48823820000000001</v>
      </c>
      <c r="Z5015">
        <v>-7.3817980000000002E-3</v>
      </c>
      <c r="AA5015">
        <v>0.87267919999999999</v>
      </c>
      <c r="AB5015">
        <v>35</v>
      </c>
      <c r="AC5015">
        <v>21.280299999999901</v>
      </c>
      <c r="AD5015">
        <v>-1.0378079899999999</v>
      </c>
      <c r="AE5015">
        <v>-37.219520000000003</v>
      </c>
      <c r="AF5015">
        <v>21.068694486538401</v>
      </c>
      <c r="AG5015">
        <v>-1.0378079899999999</v>
      </c>
      <c r="AH5015">
        <v>37.310879789748398</v>
      </c>
      <c r="AI5015">
        <v>91.387456549342403</v>
      </c>
      <c r="AJ5015">
        <v>60.547466943792401</v>
      </c>
      <c r="AK5015">
        <v>42.861039225341401</v>
      </c>
      <c r="AL5015">
        <v>79.414417743403803</v>
      </c>
      <c r="AM5015">
        <v>81.348107610385398</v>
      </c>
      <c r="AN5015">
        <v>0.999999990216065</v>
      </c>
    </row>
    <row r="5016" spans="1:40" x14ac:dyDescent="0.25">
      <c r="A5016" t="str">
        <f>"20190303171114789"</f>
        <v>20190303171114789</v>
      </c>
      <c r="B5016" t="str">
        <f>"1551604274775521"</f>
        <v>1551604274775521</v>
      </c>
      <c r="C5016" t="s">
        <v>40</v>
      </c>
      <c r="D5016">
        <v>5.1735480000000003</v>
      </c>
      <c r="E5016">
        <v>0.6576748</v>
      </c>
      <c r="F5016" t="s">
        <v>42</v>
      </c>
      <c r="G5016">
        <v>-289.93779999999998</v>
      </c>
      <c r="H5016">
        <v>6.9964979999999996E-2</v>
      </c>
      <c r="I5016">
        <v>-25.42277</v>
      </c>
      <c r="J5016">
        <v>-311.05520000000001</v>
      </c>
      <c r="K5016">
        <v>1.058395</v>
      </c>
      <c r="L5016">
        <v>12.96616</v>
      </c>
      <c r="M5016">
        <v>0.8534465</v>
      </c>
      <c r="N5016">
        <v>-1.9244879999999999E-2</v>
      </c>
      <c r="O5016">
        <v>-0.52082490000000004</v>
      </c>
      <c r="P5016">
        <v>0.75907639999999998</v>
      </c>
      <c r="Q5016">
        <v>0.17077879999999901</v>
      </c>
      <c r="R5016">
        <v>-0.62820200000000004</v>
      </c>
      <c r="S5016">
        <v>1.596619</v>
      </c>
      <c r="T5016">
        <v>-7.412183E-2</v>
      </c>
      <c r="U5016">
        <v>-2.8864139999999998</v>
      </c>
      <c r="V5016">
        <v>0.147981</v>
      </c>
      <c r="W5016">
        <v>0.1839749</v>
      </c>
      <c r="X5016">
        <v>0.97172780000000003</v>
      </c>
      <c r="Y5016">
        <v>0.49455939999999998</v>
      </c>
      <c r="Z5016">
        <v>-7.7446779999999996E-3</v>
      </c>
      <c r="AA5016">
        <v>0.86910929999999997</v>
      </c>
      <c r="AB5016">
        <v>35</v>
      </c>
      <c r="AC5016">
        <v>21.1174</v>
      </c>
      <c r="AD5016">
        <v>-0.98843002000000002</v>
      </c>
      <c r="AE5016">
        <v>-38.388930000000002</v>
      </c>
      <c r="AF5016">
        <v>21.757389871015199</v>
      </c>
      <c r="AG5016">
        <v>-0.98843002000000002</v>
      </c>
      <c r="AH5016">
        <v>38.004184219456903</v>
      </c>
      <c r="AI5016">
        <v>91.293017073508807</v>
      </c>
      <c r="AJ5016">
        <v>60.208869054146497</v>
      </c>
      <c r="AK5016">
        <v>43.802728523349003</v>
      </c>
      <c r="AL5016">
        <v>79.398627599915002</v>
      </c>
      <c r="AM5016">
        <v>81.341155031794599</v>
      </c>
      <c r="AN5016">
        <v>1.00000002874192</v>
      </c>
    </row>
    <row r="5017" spans="1:40" x14ac:dyDescent="0.25">
      <c r="A5017" t="str">
        <f>"20190303171114803"</f>
        <v>20190303171114803</v>
      </c>
      <c r="B5017" t="str">
        <f>"1551604274796016"</f>
        <v>1551604274796016</v>
      </c>
      <c r="C5017" t="s">
        <v>40</v>
      </c>
      <c r="D5017">
        <v>5.1742140000000001</v>
      </c>
      <c r="E5017">
        <v>0.6572751</v>
      </c>
      <c r="F5017" t="s">
        <v>42</v>
      </c>
      <c r="G5017">
        <v>-289.3433</v>
      </c>
      <c r="H5017">
        <v>7.9986290000000002E-2</v>
      </c>
      <c r="I5017">
        <v>-27.306100000000001</v>
      </c>
      <c r="J5017">
        <v>-310.8587</v>
      </c>
      <c r="K5017">
        <v>1.0579700000000001</v>
      </c>
      <c r="L5017">
        <v>12.83633</v>
      </c>
      <c r="M5017">
        <v>0.84741180000000005</v>
      </c>
      <c r="N5017">
        <v>-1.904608E-2</v>
      </c>
      <c r="O5017">
        <v>-0.53059469999999997</v>
      </c>
      <c r="P5017">
        <v>0.7516062</v>
      </c>
      <c r="Q5017">
        <v>0.17145279999999999</v>
      </c>
      <c r="R5017">
        <v>-0.63693979999999994</v>
      </c>
      <c r="S5017">
        <v>1.565277</v>
      </c>
      <c r="T5017">
        <v>-7.0536489999999993E-2</v>
      </c>
      <c r="U5017">
        <v>-2.9033509999999998</v>
      </c>
      <c r="V5017">
        <v>0.14817710000000001</v>
      </c>
      <c r="W5017">
        <v>0.18443280000000001</v>
      </c>
      <c r="X5017">
        <v>0.97161109999999995</v>
      </c>
      <c r="Y5017">
        <v>0.49397869999999999</v>
      </c>
      <c r="Z5017">
        <v>-7.8167110000000005E-3</v>
      </c>
      <c r="AA5017">
        <v>0.86943890000000001</v>
      </c>
      <c r="AB5017">
        <v>34</v>
      </c>
      <c r="AC5017">
        <v>21.5154</v>
      </c>
      <c r="AD5017">
        <v>-0.97798370999999995</v>
      </c>
      <c r="AE5017">
        <v>-40.142429999999997</v>
      </c>
      <c r="AF5017">
        <v>22.594891015443601</v>
      </c>
      <c r="AG5017">
        <v>-0.97798370999999995</v>
      </c>
      <c r="AH5017">
        <v>39.520709019583499</v>
      </c>
      <c r="AI5017">
        <v>91.230691030029803</v>
      </c>
      <c r="AJ5017">
        <v>60.242411281531801</v>
      </c>
      <c r="AK5017">
        <v>45.534294696935802</v>
      </c>
      <c r="AL5017">
        <v>79.371935010373605</v>
      </c>
      <c r="AM5017">
        <v>81.328829299386797</v>
      </c>
      <c r="AN5017">
        <v>1.0000000201617201</v>
      </c>
    </row>
    <row r="5018" spans="1:40" x14ac:dyDescent="0.25">
      <c r="A5018" t="str">
        <f>"20190303171114819"</f>
        <v>20190303171114819</v>
      </c>
      <c r="B5018" t="str">
        <f>"1551604274805776"</f>
        <v>1551604274805776</v>
      </c>
      <c r="C5018" t="s">
        <v>40</v>
      </c>
      <c r="D5018">
        <v>5.2171159999999999</v>
      </c>
      <c r="E5018">
        <v>0.65691860000000002</v>
      </c>
      <c r="F5018" t="s">
        <v>42</v>
      </c>
      <c r="G5018">
        <v>-288.70940000000002</v>
      </c>
      <c r="H5018">
        <v>7.9985710000000002E-2</v>
      </c>
      <c r="I5018">
        <v>-29.331569999999999</v>
      </c>
      <c r="J5018">
        <v>-310.6687</v>
      </c>
      <c r="K5018">
        <v>1.0575889999999999</v>
      </c>
      <c r="L5018">
        <v>12.708069999999999</v>
      </c>
      <c r="M5018">
        <v>0.84139589999999997</v>
      </c>
      <c r="N5018">
        <v>-1.8864680000000002E-2</v>
      </c>
      <c r="O5018">
        <v>-0.54008979999999995</v>
      </c>
      <c r="P5018">
        <v>0.74418839999999997</v>
      </c>
      <c r="Q5018">
        <v>0.171740899999999</v>
      </c>
      <c r="R5018">
        <v>-0.64551409999999998</v>
      </c>
      <c r="S5018">
        <v>1.533234</v>
      </c>
      <c r="T5018">
        <v>-6.7698720000000004E-2</v>
      </c>
      <c r="U5018">
        <v>-2.9189759999999998</v>
      </c>
      <c r="V5018">
        <v>0.1484509</v>
      </c>
      <c r="W5018">
        <v>0.18451909999999999</v>
      </c>
      <c r="X5018">
        <v>0.97155290000000005</v>
      </c>
      <c r="Y5018">
        <v>0.49360860000000001</v>
      </c>
      <c r="Z5018">
        <v>-7.8550909999999998E-3</v>
      </c>
      <c r="AA5018">
        <v>0.86964869999999905</v>
      </c>
      <c r="AB5018">
        <v>34</v>
      </c>
      <c r="AC5018">
        <v>21.959299999999899</v>
      </c>
      <c r="AD5018">
        <v>-0.97760329000000001</v>
      </c>
      <c r="AE5018">
        <v>-42.039639999999999</v>
      </c>
      <c r="AF5018">
        <v>23.506185920417501</v>
      </c>
      <c r="AG5018">
        <v>-0.97760329000000001</v>
      </c>
      <c r="AH5018">
        <v>41.1714854274761</v>
      </c>
      <c r="AI5018">
        <v>91.181302548817101</v>
      </c>
      <c r="AJ5018">
        <v>60.276500564207701</v>
      </c>
      <c r="AK5018">
        <v>47.419275585174503</v>
      </c>
      <c r="AL5018">
        <v>79.366903850835001</v>
      </c>
      <c r="AM5018">
        <v>81.3125385585343</v>
      </c>
      <c r="AN5018">
        <v>1.00000000273701</v>
      </c>
    </row>
    <row r="5019" spans="1:40" x14ac:dyDescent="0.25">
      <c r="A5019" t="str">
        <f>"20190303171114832"</f>
        <v>20190303171114832</v>
      </c>
      <c r="B5019" t="str">
        <f>"1551604274815538"</f>
        <v>1551604274815538</v>
      </c>
      <c r="C5019" t="s">
        <v>40</v>
      </c>
      <c r="D5019">
        <v>5.1546900000000004</v>
      </c>
      <c r="E5019">
        <v>0.65658870000000003</v>
      </c>
      <c r="F5019" t="s">
        <v>42</v>
      </c>
      <c r="G5019">
        <v>-288.815</v>
      </c>
      <c r="H5019">
        <v>7.9985509999999996E-2</v>
      </c>
      <c r="I5019">
        <v>-29.995460000000001</v>
      </c>
      <c r="J5019">
        <v>-310.48919999999998</v>
      </c>
      <c r="K5019">
        <v>1.0572569999999999</v>
      </c>
      <c r="L5019">
        <v>12.583399999999999</v>
      </c>
      <c r="M5019">
        <v>0.83551759999999997</v>
      </c>
      <c r="N5019">
        <v>-1.8707430000000001E-2</v>
      </c>
      <c r="O5019">
        <v>-0.549145199999999</v>
      </c>
      <c r="P5019">
        <v>0.73658679999999999</v>
      </c>
      <c r="Q5019">
        <v>0.17185420000000001</v>
      </c>
      <c r="R5019">
        <v>-0.65414569999999905</v>
      </c>
      <c r="S5019">
        <v>1.501587</v>
      </c>
      <c r="T5019">
        <v>-6.7172170000000003E-2</v>
      </c>
      <c r="U5019">
        <v>-2.9342039999999998</v>
      </c>
      <c r="V5019">
        <v>0.1493187</v>
      </c>
      <c r="W5019">
        <v>0.1844295</v>
      </c>
      <c r="X5019">
        <v>0.97143690000000005</v>
      </c>
      <c r="Y5019">
        <v>0.49348239999999999</v>
      </c>
      <c r="Z5019">
        <v>-7.7055019999999899E-3</v>
      </c>
      <c r="AA5019">
        <v>0.86972169999999904</v>
      </c>
      <c r="AB5019">
        <v>34</v>
      </c>
      <c r="AC5019">
        <v>21.6741999999999</v>
      </c>
      <c r="AD5019">
        <v>-0.97727149000000002</v>
      </c>
      <c r="AE5019">
        <v>-42.578859999999999</v>
      </c>
      <c r="AF5019">
        <v>23.667344538994001</v>
      </c>
      <c r="AG5019">
        <v>-0.97727149000000002</v>
      </c>
      <c r="AH5019">
        <v>41.4810576764933</v>
      </c>
      <c r="AI5019">
        <v>91.172280714602493</v>
      </c>
      <c r="AJ5019">
        <v>60.292739669267498</v>
      </c>
      <c r="AK5019">
        <v>47.7679432575151</v>
      </c>
      <c r="AL5019">
        <v>79.372126983381705</v>
      </c>
      <c r="AM5019">
        <v>81.261508455525203</v>
      </c>
      <c r="AN5019">
        <v>0.99999998266077395</v>
      </c>
    </row>
    <row r="5020" spans="1:40" x14ac:dyDescent="0.25">
      <c r="A5020" t="str">
        <f>"20190303171114845"</f>
        <v>20190303171114845</v>
      </c>
      <c r="B5020" t="str">
        <f>"1551604274836032"</f>
        <v>1551604274836032</v>
      </c>
      <c r="C5020" t="s">
        <v>40</v>
      </c>
      <c r="D5020">
        <v>5.1686719999999999</v>
      </c>
      <c r="E5020">
        <v>0.65573429999999999</v>
      </c>
      <c r="F5020" t="s">
        <v>42</v>
      </c>
      <c r="G5020">
        <v>-289.4907</v>
      </c>
      <c r="H5020">
        <v>7.9985619999999993E-2</v>
      </c>
      <c r="I5020">
        <v>-29.54824</v>
      </c>
      <c r="J5020">
        <v>-310.31790000000001</v>
      </c>
      <c r="K5020">
        <v>1.05697</v>
      </c>
      <c r="L5020">
        <v>12.4617</v>
      </c>
      <c r="M5020">
        <v>0.82973999999999903</v>
      </c>
      <c r="N5020">
        <v>-1.856729E-2</v>
      </c>
      <c r="O5020">
        <v>-0.55784109999999998</v>
      </c>
      <c r="P5020">
        <v>0.72966299999999995</v>
      </c>
      <c r="Q5020">
        <v>0.1716472</v>
      </c>
      <c r="R5020">
        <v>-0.66191359999999999</v>
      </c>
      <c r="S5020">
        <v>1.4698180000000001</v>
      </c>
      <c r="T5020">
        <v>-6.8405510000000003E-2</v>
      </c>
      <c r="U5020">
        <v>-2.9490660000000002</v>
      </c>
      <c r="V5020">
        <v>0.14944549999999901</v>
      </c>
      <c r="W5020">
        <v>0.18406819999999999</v>
      </c>
      <c r="X5020">
        <v>0.97148590000000001</v>
      </c>
      <c r="Y5020">
        <v>0.49365059999999999</v>
      </c>
      <c r="Z5020">
        <v>-7.3967829999999997E-3</v>
      </c>
      <c r="AA5020">
        <v>0.86962879999999998</v>
      </c>
      <c r="AB5020">
        <v>34</v>
      </c>
      <c r="AC5020">
        <v>20.827200000000001</v>
      </c>
      <c r="AD5020">
        <v>-0.97698437999999999</v>
      </c>
      <c r="AE5020">
        <v>-42.00994</v>
      </c>
      <c r="AF5020">
        <v>23.232981053097799</v>
      </c>
      <c r="AG5020">
        <v>-0.97698437999999999</v>
      </c>
      <c r="AH5020">
        <v>40.705382389860702</v>
      </c>
      <c r="AI5020">
        <v>91.194158653600397</v>
      </c>
      <c r="AJ5020">
        <v>60.284028511406902</v>
      </c>
      <c r="AK5020">
        <v>46.8791431512687</v>
      </c>
      <c r="AL5020">
        <v>79.393188253194197</v>
      </c>
      <c r="AM5020">
        <v>81.254636798636</v>
      </c>
      <c r="AN5020">
        <v>0.99999995681014897</v>
      </c>
    </row>
    <row r="5021" spans="1:40" x14ac:dyDescent="0.25">
      <c r="A5021" t="str">
        <f>"20190303171114860"</f>
        <v>20190303171114860</v>
      </c>
      <c r="B5021" t="str">
        <f>"1551604274845793"</f>
        <v>1551604274845793</v>
      </c>
      <c r="C5021" t="s">
        <v>40</v>
      </c>
      <c r="D5021">
        <v>5.1558830000000002</v>
      </c>
      <c r="E5021">
        <v>0.655174699999999</v>
      </c>
      <c r="F5021" t="s">
        <v>42</v>
      </c>
      <c r="G5021">
        <v>-289.94630000000001</v>
      </c>
      <c r="H5021">
        <v>6.1480399999999998E-2</v>
      </c>
      <c r="I5021">
        <v>-29.31183</v>
      </c>
      <c r="J5021">
        <v>-310.1318</v>
      </c>
      <c r="K5021">
        <v>1.0566770000000001</v>
      </c>
      <c r="L5021">
        <v>12.3269</v>
      </c>
      <c r="M5021">
        <v>0.82328889999999999</v>
      </c>
      <c r="N5021">
        <v>-1.8423450000000001E-2</v>
      </c>
      <c r="O5021">
        <v>-0.56732340000000003</v>
      </c>
      <c r="P5021">
        <v>0.72194190000000003</v>
      </c>
      <c r="Q5021">
        <v>0.17176179999999999</v>
      </c>
      <c r="R5021">
        <v>-0.67029680000000003</v>
      </c>
      <c r="S5021">
        <v>1.443298</v>
      </c>
      <c r="T5021">
        <v>-7.0528980000000005E-2</v>
      </c>
      <c r="U5021">
        <v>-2.9595950000000002</v>
      </c>
      <c r="V5021">
        <v>0.14955689999999999</v>
      </c>
      <c r="W5021">
        <v>0.18402270000000001</v>
      </c>
      <c r="X5021">
        <v>0.97147740000000005</v>
      </c>
      <c r="Y5021">
        <v>0.49117959999999999</v>
      </c>
      <c r="Z5021">
        <v>-6.9155769999999896E-3</v>
      </c>
      <c r="AA5021">
        <v>0.87103090000000005</v>
      </c>
      <c r="AB5021">
        <v>34</v>
      </c>
      <c r="AC5021">
        <v>20.185499999999902</v>
      </c>
      <c r="AD5021">
        <v>-0.99519659999999999</v>
      </c>
      <c r="AE5021">
        <v>-41.638729999999903</v>
      </c>
      <c r="AF5021">
        <v>22.822318154338301</v>
      </c>
      <c r="AG5021">
        <v>-0.99519659999999999</v>
      </c>
      <c r="AH5021">
        <v>40.229349749468902</v>
      </c>
      <c r="AI5021">
        <v>91.232630317027898</v>
      </c>
      <c r="AJ5021">
        <v>60.433533766080998</v>
      </c>
      <c r="AK5021">
        <v>46.262827447915299</v>
      </c>
      <c r="AL5021">
        <v>79.395840762240496</v>
      </c>
      <c r="AM5021">
        <v>81.248143312581007</v>
      </c>
      <c r="AN5021">
        <v>0.99999997958182896</v>
      </c>
    </row>
    <row r="5022" spans="1:40" x14ac:dyDescent="0.25">
      <c r="A5022" t="str">
        <f>"20190303171114874"</f>
        <v>20190303171114874</v>
      </c>
      <c r="B5022" t="str">
        <f>"1551604274865313"</f>
        <v>1551604274865313</v>
      </c>
      <c r="C5022" t="s">
        <v>40</v>
      </c>
      <c r="D5022">
        <v>5.1424709999999996</v>
      </c>
      <c r="E5022">
        <v>0.65467790000000003</v>
      </c>
      <c r="F5022" t="s">
        <v>42</v>
      </c>
      <c r="G5022">
        <v>-289.95650000000001</v>
      </c>
      <c r="H5022">
        <v>5.1260609999999998E-2</v>
      </c>
      <c r="I5022">
        <v>-30.15128</v>
      </c>
      <c r="J5022">
        <v>-309.95249999999999</v>
      </c>
      <c r="K5022">
        <v>1.056424</v>
      </c>
      <c r="L5022">
        <v>12.193849999999999</v>
      </c>
      <c r="M5022">
        <v>0.81687730000000003</v>
      </c>
      <c r="N5022">
        <v>-1.8294749999999999E-2</v>
      </c>
      <c r="O5022">
        <v>-0.57652139999999996</v>
      </c>
      <c r="P5022">
        <v>0.71446089999999995</v>
      </c>
      <c r="Q5022">
        <v>0.1721654</v>
      </c>
      <c r="R5022">
        <v>-0.67816319999999997</v>
      </c>
      <c r="S5022">
        <v>1.4119870000000001</v>
      </c>
      <c r="T5022">
        <v>-7.0364830000000003E-2</v>
      </c>
      <c r="U5022">
        <v>-2.9728699999999999</v>
      </c>
      <c r="V5022">
        <v>0.14938779999999999</v>
      </c>
      <c r="W5022">
        <v>0.1842917</v>
      </c>
      <c r="X5022">
        <v>0.97145239999999999</v>
      </c>
      <c r="Y5022">
        <v>0.49040289999999997</v>
      </c>
      <c r="Z5022">
        <v>-6.7178869999999996E-3</v>
      </c>
      <c r="AA5022">
        <v>0.87146999999999997</v>
      </c>
      <c r="AB5022">
        <v>34</v>
      </c>
      <c r="AC5022">
        <v>19.995999999999899</v>
      </c>
      <c r="AD5022">
        <v>-1.0051633900000001</v>
      </c>
      <c r="AE5022">
        <v>-42.345129999999997</v>
      </c>
      <c r="AF5022">
        <v>23.055889852347502</v>
      </c>
      <c r="AG5022">
        <v>-1.0051633900000001</v>
      </c>
      <c r="AH5022">
        <v>40.735202007465602</v>
      </c>
      <c r="AI5022">
        <v>91.230207088397407</v>
      </c>
      <c r="AJ5022">
        <v>60.490388723453201</v>
      </c>
      <c r="AK5022">
        <v>46.818170542143299</v>
      </c>
      <c r="AL5022">
        <v>79.380159747095902</v>
      </c>
      <c r="AM5022">
        <v>81.2576643532595</v>
      </c>
      <c r="AN5022">
        <v>0.99999995547174403</v>
      </c>
    </row>
    <row r="5023" spans="1:40" x14ac:dyDescent="0.25">
      <c r="A5023" t="str">
        <f>"20190303171114897"</f>
        <v>20190303171114897</v>
      </c>
      <c r="B5023" t="str">
        <f>"1551604274885808"</f>
        <v>1551604274885808</v>
      </c>
      <c r="C5023" t="s">
        <v>40</v>
      </c>
      <c r="D5023">
        <v>5.1328880000000003</v>
      </c>
      <c r="E5023">
        <v>0.64458139999999997</v>
      </c>
      <c r="F5023" t="s">
        <v>42</v>
      </c>
      <c r="G5023">
        <v>-289.7636</v>
      </c>
      <c r="H5023">
        <v>7.9986500000000002E-2</v>
      </c>
      <c r="I5023">
        <v>-31.47044</v>
      </c>
      <c r="J5023">
        <v>-309.68060000000003</v>
      </c>
      <c r="K5023">
        <v>1.056071</v>
      </c>
      <c r="L5023">
        <v>11.98584</v>
      </c>
      <c r="M5023">
        <v>0.80677339999999997</v>
      </c>
      <c r="N5023">
        <v>-1.8118889999999999E-2</v>
      </c>
      <c r="O5023">
        <v>-0.59058330000000003</v>
      </c>
      <c r="P5023">
        <v>0.70249300000000003</v>
      </c>
      <c r="Q5023">
        <v>0.17314789999999999</v>
      </c>
      <c r="R5023">
        <v>-0.690307</v>
      </c>
      <c r="S5023">
        <v>1.380676</v>
      </c>
      <c r="T5023">
        <v>-6.6776630000000003E-2</v>
      </c>
      <c r="U5023">
        <v>-2.9861149999999999</v>
      </c>
      <c r="V5023">
        <v>0.14941689999999999</v>
      </c>
      <c r="W5023">
        <v>0.1850753</v>
      </c>
      <c r="X5023">
        <v>0.97129900000000002</v>
      </c>
      <c r="Y5023">
        <v>0.48431210000000002</v>
      </c>
      <c r="Z5023">
        <v>-6.7231529999999999E-3</v>
      </c>
      <c r="AA5023">
        <v>0.87486949999999997</v>
      </c>
      <c r="AB5023">
        <v>34</v>
      </c>
      <c r="AC5023">
        <v>19.917000000000002</v>
      </c>
      <c r="AD5023">
        <v>-0.97608449999999902</v>
      </c>
      <c r="AE5023">
        <v>-43.45628</v>
      </c>
      <c r="AF5023">
        <v>23.290834686057298</v>
      </c>
      <c r="AG5023">
        <v>-0.97608449999999902</v>
      </c>
      <c r="AH5023">
        <v>41.722510580968603</v>
      </c>
      <c r="AI5023">
        <v>91.170239461432402</v>
      </c>
      <c r="AJ5023">
        <v>60.828353412008099</v>
      </c>
      <c r="AK5023">
        <v>47.793133507894503</v>
      </c>
      <c r="AL5023">
        <v>79.334477547803104</v>
      </c>
      <c r="AM5023">
        <v>81.254628086984596</v>
      </c>
      <c r="AN5023">
        <v>1.0000000120383501</v>
      </c>
    </row>
    <row r="5024" spans="1:40" x14ac:dyDescent="0.25">
      <c r="A5024" t="str">
        <f>"20190303171114915"</f>
        <v>20190303171114915</v>
      </c>
      <c r="B5024" t="str">
        <f>"1551604274905328"</f>
        <v>1551604274905328</v>
      </c>
      <c r="C5024" t="s">
        <v>40</v>
      </c>
      <c r="D5024">
        <v>5.1400489999999897</v>
      </c>
      <c r="E5024">
        <v>0.64345889999999994</v>
      </c>
      <c r="F5024" t="s">
        <v>42</v>
      </c>
      <c r="G5024">
        <v>-289.95780000000002</v>
      </c>
      <c r="H5024">
        <v>2.9710130000000001E-2</v>
      </c>
      <c r="I5024">
        <v>-30.04609</v>
      </c>
      <c r="J5024">
        <v>-309.45600000000002</v>
      </c>
      <c r="K5024">
        <v>1.055801</v>
      </c>
      <c r="L5024">
        <v>11.80786</v>
      </c>
      <c r="M5024">
        <v>0.79805439999999905</v>
      </c>
      <c r="N5024">
        <v>-1.799067E-2</v>
      </c>
      <c r="O5024">
        <v>-0.6023172</v>
      </c>
      <c r="P5024">
        <v>0.69219269999999999</v>
      </c>
      <c r="Q5024">
        <v>0.1737562</v>
      </c>
      <c r="R5024">
        <v>-0.70048459999999901</v>
      </c>
      <c r="S5024">
        <v>1.3859250000000001</v>
      </c>
      <c r="T5024">
        <v>-7.2122339999999993E-2</v>
      </c>
      <c r="U5024">
        <v>-2.9535830000000001</v>
      </c>
      <c r="V5024">
        <v>0.1495282</v>
      </c>
      <c r="W5024">
        <v>0.18553120000000001</v>
      </c>
      <c r="X5024">
        <v>0.97119489999999997</v>
      </c>
      <c r="Y5024">
        <v>0.46648010000000001</v>
      </c>
      <c r="Z5024">
        <v>-5.4460089999999999E-3</v>
      </c>
      <c r="AA5024">
        <v>0.88451489999999999</v>
      </c>
      <c r="AB5024">
        <v>34</v>
      </c>
      <c r="AC5024">
        <v>19.498199999999901</v>
      </c>
      <c r="AD5024">
        <v>-1.02609087</v>
      </c>
      <c r="AE5024">
        <v>-41.853949999999998</v>
      </c>
      <c r="AF5024">
        <v>21.650435927449099</v>
      </c>
      <c r="AG5024">
        <v>-1.02609087</v>
      </c>
      <c r="AH5024">
        <v>40.7564398825483</v>
      </c>
      <c r="AI5024">
        <v>91.273692417640902</v>
      </c>
      <c r="AJ5024">
        <v>62.022085521717898</v>
      </c>
      <c r="AK5024">
        <v>46.1614734407584</v>
      </c>
      <c r="AL5024">
        <v>79.307896147177203</v>
      </c>
      <c r="AM5024">
        <v>81.247290960629201</v>
      </c>
      <c r="AN5024">
        <v>1.0000000212773399</v>
      </c>
    </row>
    <row r="5025" spans="1:40" x14ac:dyDescent="0.25">
      <c r="A5025" t="str">
        <f>"20190303171114938"</f>
        <v>20190303171114938</v>
      </c>
      <c r="B5025" t="str">
        <f>"1551604274925824"</f>
        <v>1551604274925824</v>
      </c>
      <c r="C5025" t="s">
        <v>40</v>
      </c>
      <c r="D5025">
        <v>4.9509410000000003</v>
      </c>
      <c r="E5025">
        <v>0.64295630000000004</v>
      </c>
      <c r="F5025" t="s">
        <v>42</v>
      </c>
      <c r="G5025">
        <v>-290.49880000000002</v>
      </c>
      <c r="H5025" s="1">
        <v>-2.6932389999999999E-6</v>
      </c>
      <c r="I5025">
        <v>-29.866440000000001</v>
      </c>
      <c r="J5025">
        <v>-309.18619999999999</v>
      </c>
      <c r="K5025">
        <v>1.0555159999999999</v>
      </c>
      <c r="L5025">
        <v>11.587009999999999</v>
      </c>
      <c r="M5025">
        <v>0.78713440000000001</v>
      </c>
      <c r="N5025">
        <v>-1.785424E-2</v>
      </c>
      <c r="O5025">
        <v>-0.61652299999999904</v>
      </c>
      <c r="P5025">
        <v>0.67936869999999905</v>
      </c>
      <c r="Q5025">
        <v>0.1744347</v>
      </c>
      <c r="R5025">
        <v>-0.71276289999999998</v>
      </c>
      <c r="S5025">
        <v>1.3498840000000001</v>
      </c>
      <c r="T5025">
        <v>-7.5180529999999995E-2</v>
      </c>
      <c r="U5025">
        <v>-2.9674990000000001</v>
      </c>
      <c r="V5025">
        <v>0.14967139999999901</v>
      </c>
      <c r="W5025">
        <v>0.18604419999999999</v>
      </c>
      <c r="X5025">
        <v>0.97107469999999996</v>
      </c>
      <c r="Y5025">
        <v>0.4610747</v>
      </c>
      <c r="Z5025">
        <v>-4.6616210000000003E-3</v>
      </c>
      <c r="AA5025">
        <v>0.8873491</v>
      </c>
      <c r="AB5025">
        <v>34</v>
      </c>
      <c r="AC5025">
        <v>18.687399999999901</v>
      </c>
      <c r="AD5025">
        <v>-1.0555186932389999</v>
      </c>
      <c r="AE5025">
        <v>-41.453449999999997</v>
      </c>
      <c r="AF5025">
        <v>21.100220576103698</v>
      </c>
      <c r="AG5025">
        <v>-1.0555186932389999</v>
      </c>
      <c r="AH5025">
        <v>40.251232125225499</v>
      </c>
      <c r="AI5025">
        <v>91.330486283248007</v>
      </c>
      <c r="AJ5025">
        <v>62.335885816770201</v>
      </c>
      <c r="AK5025">
        <v>45.458718808065797</v>
      </c>
      <c r="AL5025">
        <v>79.277982630227001</v>
      </c>
      <c r="AM5025">
        <v>81.237971054017706</v>
      </c>
      <c r="AN5025">
        <v>1.0000000226558401</v>
      </c>
    </row>
    <row r="5026" spans="1:40" x14ac:dyDescent="0.25">
      <c r="A5026" t="str">
        <f>"20190303171114954"</f>
        <v>20190303171114954</v>
      </c>
      <c r="B5026" t="str">
        <f>"1551604274945344"</f>
        <v>1551604274945344</v>
      </c>
      <c r="C5026" t="s">
        <v>40</v>
      </c>
      <c r="D5026">
        <v>4.9091690000000003</v>
      </c>
      <c r="E5026">
        <v>0.64266140000000005</v>
      </c>
      <c r="F5026" t="s">
        <v>42</v>
      </c>
      <c r="G5026">
        <v>-289.95780000000002</v>
      </c>
      <c r="H5026">
        <v>1.6952680000000001E-2</v>
      </c>
      <c r="I5026">
        <v>-32.646450000000002</v>
      </c>
      <c r="J5026">
        <v>-308.99119999999999</v>
      </c>
      <c r="K5026">
        <v>1.0553250000000001</v>
      </c>
      <c r="L5026">
        <v>11.422090000000001</v>
      </c>
      <c r="M5026">
        <v>0.77891569999999899</v>
      </c>
      <c r="N5026">
        <v>-1.776697E-2</v>
      </c>
      <c r="O5026">
        <v>-0.62687680000000001</v>
      </c>
      <c r="P5026">
        <v>0.67023580000000005</v>
      </c>
      <c r="Q5026">
        <v>0.17495369999999999</v>
      </c>
      <c r="R5026">
        <v>-0.72123190000000004</v>
      </c>
      <c r="S5026">
        <v>1.2989200000000001</v>
      </c>
      <c r="T5026">
        <v>-7.0157170000000005E-2</v>
      </c>
      <c r="U5026">
        <v>-2.9880680000000002</v>
      </c>
      <c r="V5026">
        <v>0.14914369999999999</v>
      </c>
      <c r="W5026">
        <v>0.18648000000000001</v>
      </c>
      <c r="X5026">
        <v>0.9710723</v>
      </c>
      <c r="Y5026">
        <v>0.4643061</v>
      </c>
      <c r="Z5026">
        <v>-5.1804019999999998E-3</v>
      </c>
      <c r="AA5026">
        <v>0.88565969999999905</v>
      </c>
      <c r="AB5026">
        <v>34</v>
      </c>
      <c r="AC5026">
        <v>19.033399999999901</v>
      </c>
      <c r="AD5026">
        <v>-1.0383723199999999</v>
      </c>
      <c r="AE5026">
        <v>-44.068539999999999</v>
      </c>
      <c r="AF5026">
        <v>22.387142515777398</v>
      </c>
      <c r="AG5026">
        <v>-1.0383723199999999</v>
      </c>
      <c r="AH5026">
        <v>42.4378069852172</v>
      </c>
      <c r="AI5026">
        <v>91.239769612074497</v>
      </c>
      <c r="AJ5026">
        <v>62.187086395281398</v>
      </c>
      <c r="AK5026">
        <v>47.9919767128968</v>
      </c>
      <c r="AL5026">
        <v>79.252568383773905</v>
      </c>
      <c r="AM5026">
        <v>81.268365389156301</v>
      </c>
      <c r="AN5026">
        <v>1.00000002273848</v>
      </c>
    </row>
    <row r="5027" spans="1:40" x14ac:dyDescent="0.25">
      <c r="A5027" t="str">
        <f>"20190303171114975"</f>
        <v>20190303171114975</v>
      </c>
      <c r="B5027" t="str">
        <f>"1551604274965840"</f>
        <v>1551604274965840</v>
      </c>
      <c r="C5027" t="s">
        <v>40</v>
      </c>
      <c r="D5027">
        <v>4.9652849999999997</v>
      </c>
      <c r="E5027">
        <v>0.64209369999999999</v>
      </c>
      <c r="F5027" t="s">
        <v>42</v>
      </c>
      <c r="G5027">
        <v>-288.2047</v>
      </c>
      <c r="H5027">
        <v>7.9986119999999994E-2</v>
      </c>
      <c r="I5027">
        <v>-38.036740000000002</v>
      </c>
      <c r="J5027">
        <v>-308.73919999999998</v>
      </c>
      <c r="K5027">
        <v>1.055104</v>
      </c>
      <c r="L5027">
        <v>11.20261</v>
      </c>
      <c r="M5027">
        <v>0.76788650000000003</v>
      </c>
      <c r="N5027">
        <v>-1.7666169999999998E-2</v>
      </c>
      <c r="O5027">
        <v>-0.64034239999999998</v>
      </c>
      <c r="P5027">
        <v>0.65840759999999998</v>
      </c>
      <c r="Q5027">
        <v>0.17501439999999999</v>
      </c>
      <c r="R5027">
        <v>-0.73203099999999999</v>
      </c>
      <c r="S5027">
        <v>1.2615050000000001</v>
      </c>
      <c r="T5027">
        <v>-5.9191939999999998E-2</v>
      </c>
      <c r="U5027">
        <v>-3.0015869999999998</v>
      </c>
      <c r="V5027">
        <v>0.1480619</v>
      </c>
      <c r="W5027">
        <v>0.18646399999999999</v>
      </c>
      <c r="X5027">
        <v>0.97124089999999996</v>
      </c>
      <c r="Y5027">
        <v>0.4597118</v>
      </c>
      <c r="Z5027">
        <v>-6.3764370000000004E-3</v>
      </c>
      <c r="AA5027">
        <v>0.88804530000000004</v>
      </c>
      <c r="AB5027">
        <v>34</v>
      </c>
      <c r="AC5027">
        <v>20.534499999999898</v>
      </c>
      <c r="AD5027">
        <v>-0.97511787999999999</v>
      </c>
      <c r="AE5027">
        <v>-49.239350000000002</v>
      </c>
      <c r="AF5027">
        <v>24.656730991321201</v>
      </c>
      <c r="AG5027">
        <v>-0.97511787999999999</v>
      </c>
      <c r="AH5027">
        <v>47.289788943260298</v>
      </c>
      <c r="AI5027">
        <v>91.047478946784807</v>
      </c>
      <c r="AJ5027">
        <v>62.462620893106497</v>
      </c>
      <c r="AK5027">
        <v>53.340691562412097</v>
      </c>
      <c r="AL5027">
        <v>79.253501427513996</v>
      </c>
      <c r="AM5027">
        <v>81.332215896138706</v>
      </c>
      <c r="AN5027">
        <v>1.0000000176802</v>
      </c>
    </row>
    <row r="5028" spans="1:40" x14ac:dyDescent="0.25">
      <c r="A5028" t="str">
        <f>"20190303171114999"</f>
        <v>20190303171114999</v>
      </c>
      <c r="B5028" t="str">
        <f>"1551604274985361"</f>
        <v>1551604274985361</v>
      </c>
      <c r="C5028" t="s">
        <v>40</v>
      </c>
      <c r="D5028">
        <v>4.9286699999999897</v>
      </c>
      <c r="E5028">
        <v>0.64108480000000001</v>
      </c>
      <c r="F5028" t="s">
        <v>68</v>
      </c>
      <c r="G5028">
        <v>-287.1046</v>
      </c>
      <c r="H5028">
        <v>7.9989019999999994E-2</v>
      </c>
      <c r="I5028">
        <v>-42.600810000000003</v>
      </c>
      <c r="J5028">
        <v>-308.4794</v>
      </c>
      <c r="K5028">
        <v>1.0549010000000001</v>
      </c>
      <c r="L5028">
        <v>10.96777</v>
      </c>
      <c r="M5028">
        <v>0.75598369999999904</v>
      </c>
      <c r="N5028">
        <v>-1.7576809999999998E-2</v>
      </c>
      <c r="O5028">
        <v>-0.65435449999999995</v>
      </c>
      <c r="P5028">
        <v>0.64516790000000002</v>
      </c>
      <c r="Q5028">
        <v>0.17555950000000001</v>
      </c>
      <c r="R5028">
        <v>-0.74359770000000003</v>
      </c>
      <c r="S5028">
        <v>1.214081</v>
      </c>
      <c r="T5028">
        <v>-5.4721119999999998E-2</v>
      </c>
      <c r="U5028">
        <v>-3.0193180000000002</v>
      </c>
      <c r="V5028">
        <v>0.147582399999999</v>
      </c>
      <c r="W5028">
        <v>0.1869161</v>
      </c>
      <c r="X5028">
        <v>0.9712269</v>
      </c>
      <c r="Y5028">
        <v>0.45719910000000002</v>
      </c>
      <c r="Z5028">
        <v>-6.7931579999999997E-3</v>
      </c>
      <c r="AA5028">
        <v>0.88933839999999997</v>
      </c>
      <c r="AB5028">
        <v>34</v>
      </c>
      <c r="AC5028">
        <v>21.3748</v>
      </c>
      <c r="AD5028">
        <v>-0.97491198000000001</v>
      </c>
      <c r="AE5028">
        <v>-53.568579999999997</v>
      </c>
      <c r="AF5028">
        <v>26.506797701276799</v>
      </c>
      <c r="AG5028">
        <v>-0.97491198000000001</v>
      </c>
      <c r="AH5028">
        <v>51.205121047937702</v>
      </c>
      <c r="AI5028">
        <v>90.968676151099203</v>
      </c>
      <c r="AJ5028">
        <v>62.631244736678298</v>
      </c>
      <c r="AK5028">
        <v>57.667366848843699</v>
      </c>
      <c r="AL5028">
        <v>79.227133622067498</v>
      </c>
      <c r="AM5028">
        <v>81.359739641302994</v>
      </c>
      <c r="AN5028">
        <v>0.99999994225628797</v>
      </c>
    </row>
    <row r="5029" spans="1:40" x14ac:dyDescent="0.25">
      <c r="A5029" t="str">
        <f>"20190303171115021"</f>
        <v>20190303171115021</v>
      </c>
      <c r="B5029" t="str">
        <f>"1551604275005857"</f>
        <v>1551604275005857</v>
      </c>
      <c r="C5029" t="s">
        <v>40</v>
      </c>
      <c r="D5029">
        <v>5.1676339999999996</v>
      </c>
      <c r="E5029">
        <v>0.64101759999999997</v>
      </c>
      <c r="F5029" t="s">
        <v>68</v>
      </c>
      <c r="G5029">
        <v>-286.27910000000003</v>
      </c>
      <c r="H5029">
        <v>7.9987580000000003E-2</v>
      </c>
      <c r="I5029">
        <v>-46.892890000000001</v>
      </c>
      <c r="J5029">
        <v>-308.22149999999999</v>
      </c>
      <c r="K5029">
        <v>1.054724</v>
      </c>
      <c r="L5029">
        <v>10.7254</v>
      </c>
      <c r="M5029">
        <v>0.74359549999999996</v>
      </c>
      <c r="N5029">
        <v>-1.750231E-2</v>
      </c>
      <c r="O5029">
        <v>-0.66840080000000002</v>
      </c>
      <c r="P5029">
        <v>0.63097769999999898</v>
      </c>
      <c r="Q5029">
        <v>0.176258</v>
      </c>
      <c r="R5029">
        <v>-0.7555134</v>
      </c>
      <c r="S5029">
        <v>1.164825</v>
      </c>
      <c r="T5029">
        <v>-5.1152709999999997E-2</v>
      </c>
      <c r="U5029">
        <v>-3.0358890000000001</v>
      </c>
      <c r="V5029">
        <v>0.14771229999999999</v>
      </c>
      <c r="W5029">
        <v>0.18751000000000001</v>
      </c>
      <c r="X5029">
        <v>0.97109270000000003</v>
      </c>
      <c r="Y5029">
        <v>0.45473859999999999</v>
      </c>
      <c r="Z5029">
        <v>-7.1308099999999996E-3</v>
      </c>
      <c r="AA5029">
        <v>0.89059639999999995</v>
      </c>
      <c r="AB5029">
        <v>34</v>
      </c>
      <c r="AC5029">
        <v>21.9423999999999</v>
      </c>
      <c r="AD5029">
        <v>-0.97473642000000005</v>
      </c>
      <c r="AE5029">
        <v>-57.618290000000002</v>
      </c>
      <c r="AF5029">
        <v>28.175654920112802</v>
      </c>
      <c r="AG5029">
        <v>-0.97473642000000005</v>
      </c>
      <c r="AH5029">
        <v>54.823071968913297</v>
      </c>
      <c r="AI5029">
        <v>90.905970422322895</v>
      </c>
      <c r="AJ5029">
        <v>62.799650253333901</v>
      </c>
      <c r="AK5029">
        <v>61.647277809927701</v>
      </c>
      <c r="AL5029">
        <v>79.192493579209</v>
      </c>
      <c r="AM5029">
        <v>81.351072521790698</v>
      </c>
      <c r="AN5029">
        <v>0.999999977832289</v>
      </c>
    </row>
    <row r="5030" spans="1:40" x14ac:dyDescent="0.25">
      <c r="A5030" t="str">
        <f>"20190303171115043"</f>
        <v>20190303171115043</v>
      </c>
      <c r="B5030" t="str">
        <f>"1551604275036113"</f>
        <v>1551604275036113</v>
      </c>
      <c r="C5030" t="s">
        <v>40</v>
      </c>
      <c r="D5030">
        <v>5.0948669999999998</v>
      </c>
      <c r="E5030">
        <v>0.6646495</v>
      </c>
      <c r="F5030" t="s">
        <v>68</v>
      </c>
      <c r="G5030">
        <v>-284.0061</v>
      </c>
      <c r="H5030" s="1">
        <v>-5.0386130000000001E-6</v>
      </c>
      <c r="I5030">
        <v>-56.100110000000001</v>
      </c>
      <c r="J5030">
        <v>-307.96480000000003</v>
      </c>
      <c r="K5030">
        <v>1.0545629999999999</v>
      </c>
      <c r="L5030">
        <v>10.475009999999999</v>
      </c>
      <c r="M5030">
        <v>0.73068889999999997</v>
      </c>
      <c r="N5030">
        <v>-1.7440299999999999E-2</v>
      </c>
      <c r="O5030">
        <v>-0.68248790000000004</v>
      </c>
      <c r="P5030">
        <v>0.6165891</v>
      </c>
      <c r="Q5030">
        <v>0.17649889999999999</v>
      </c>
      <c r="R5030">
        <v>-0.76724609999999904</v>
      </c>
      <c r="S5030">
        <v>1.1077269999999999</v>
      </c>
      <c r="T5030">
        <v>-4.8248289999999999E-2</v>
      </c>
      <c r="U5030">
        <v>-3.056915</v>
      </c>
      <c r="V5030">
        <v>0.1475051</v>
      </c>
      <c r="W5030">
        <v>0.18767490000000001</v>
      </c>
      <c r="X5030">
        <v>0.97109230000000002</v>
      </c>
      <c r="Y5030">
        <v>0.45439350000000001</v>
      </c>
      <c r="Z5030">
        <v>-7.4465059999999899E-3</v>
      </c>
      <c r="AA5030">
        <v>0.89076999999999995</v>
      </c>
      <c r="AB5030">
        <v>34</v>
      </c>
      <c r="AC5030">
        <v>23.9587</v>
      </c>
      <c r="AD5030">
        <v>-1.0545680386130001</v>
      </c>
      <c r="AE5030">
        <v>-66.575119999999998</v>
      </c>
      <c r="AF5030">
        <v>32.291914682203299</v>
      </c>
      <c r="AG5030">
        <v>-1.0545680386130001</v>
      </c>
      <c r="AH5030">
        <v>62.938657979778299</v>
      </c>
      <c r="AI5030">
        <v>90.854091846453201</v>
      </c>
      <c r="AJ5030">
        <v>62.839017633001099</v>
      </c>
      <c r="AK5030">
        <v>70.747116802639198</v>
      </c>
      <c r="AL5030">
        <v>79.182874314670201</v>
      </c>
      <c r="AM5030">
        <v>81.363018017864107</v>
      </c>
      <c r="AN5030">
        <v>0.99999993886765304</v>
      </c>
    </row>
    <row r="5031" spans="1:40" x14ac:dyDescent="0.25">
      <c r="A5031" t="str">
        <f>"20190303171115064"</f>
        <v>20190303171115064</v>
      </c>
      <c r="B5031" t="str">
        <f>"1551604275055633"</f>
        <v>1551604275055633</v>
      </c>
      <c r="C5031" t="s">
        <v>40</v>
      </c>
      <c r="D5031">
        <v>5.1054659999999998</v>
      </c>
      <c r="E5031">
        <v>0.66627979999999998</v>
      </c>
      <c r="F5031" t="s">
        <v>70</v>
      </c>
      <c r="G5031">
        <v>-277.17500000000001</v>
      </c>
      <c r="H5031">
        <v>0.2206631</v>
      </c>
      <c r="I5031">
        <v>-98.750640000000004</v>
      </c>
      <c r="J5031">
        <v>-307.74180000000001</v>
      </c>
      <c r="K5031">
        <v>1.0544370000000001</v>
      </c>
      <c r="L5031">
        <v>10.24957</v>
      </c>
      <c r="M5031">
        <v>0.71897730000000004</v>
      </c>
      <c r="N5031">
        <v>-1.7394090000000001E-2</v>
      </c>
      <c r="O5031">
        <v>-0.694816199999999</v>
      </c>
      <c r="P5031">
        <v>0.60438329999999996</v>
      </c>
      <c r="Q5031">
        <v>0.17594029999999899</v>
      </c>
      <c r="R5031">
        <v>-0.77702399999999905</v>
      </c>
      <c r="S5031">
        <v>0.89993289999999904</v>
      </c>
      <c r="T5031">
        <v>-2.4372939999999999E-2</v>
      </c>
      <c r="U5031">
        <v>-3.1924739999999998</v>
      </c>
      <c r="V5031">
        <v>0.14643229999999999</v>
      </c>
      <c r="W5031">
        <v>0.1870983</v>
      </c>
      <c r="X5031">
        <v>0.9713659</v>
      </c>
      <c r="Y5031">
        <v>0.50347500000000001</v>
      </c>
      <c r="Z5031">
        <v>-1.178801E-2</v>
      </c>
      <c r="AA5031">
        <v>0.86392950000000002</v>
      </c>
      <c r="AB5031">
        <v>34</v>
      </c>
      <c r="AC5031">
        <v>30.566800000000001</v>
      </c>
      <c r="AD5031">
        <v>-0.83377389999999996</v>
      </c>
      <c r="AE5031">
        <v>-109.00021</v>
      </c>
      <c r="AF5031">
        <v>57.135900707276797</v>
      </c>
      <c r="AG5031">
        <v>-0.83377389999999996</v>
      </c>
      <c r="AH5031">
        <v>97.721408339947999</v>
      </c>
      <c r="AI5031">
        <v>90.422008280629697</v>
      </c>
      <c r="AJ5031">
        <v>59.6859631508107</v>
      </c>
      <c r="AK5031">
        <v>113.201943342378</v>
      </c>
      <c r="AL5031">
        <v>79.216506965300596</v>
      </c>
      <c r="AM5031">
        <v>81.427276761926194</v>
      </c>
      <c r="AN5031">
        <v>0.99999995201449299</v>
      </c>
    </row>
    <row r="5032" spans="1:40" x14ac:dyDescent="0.25">
      <c r="A5032" t="str">
        <f>"20190303171115085"</f>
        <v>20190303171115085</v>
      </c>
      <c r="B5032" t="str">
        <f>"1551604275076128"</f>
        <v>1551604275076128</v>
      </c>
      <c r="C5032" t="s">
        <v>40</v>
      </c>
      <c r="D5032">
        <v>5.1201919999999896</v>
      </c>
      <c r="E5032">
        <v>0.66646149999999904</v>
      </c>
      <c r="F5032" t="s">
        <v>70</v>
      </c>
      <c r="G5032">
        <v>-277.17500000000001</v>
      </c>
      <c r="H5032">
        <v>0.35661320000000002</v>
      </c>
      <c r="I5032">
        <v>-107.0682</v>
      </c>
      <c r="J5032">
        <v>-307.50990000000002</v>
      </c>
      <c r="K5032">
        <v>1.054319</v>
      </c>
      <c r="L5032">
        <v>10.006679999999999</v>
      </c>
      <c r="M5032">
        <v>0.70627430000000002</v>
      </c>
      <c r="N5032">
        <v>-1.7352900000000001E-2</v>
      </c>
      <c r="O5032">
        <v>-0.70772579999999996</v>
      </c>
      <c r="P5032">
        <v>0.59020699999999904</v>
      </c>
      <c r="Q5032">
        <v>0.17613139999999999</v>
      </c>
      <c r="R5032">
        <v>-0.78780349999999999</v>
      </c>
      <c r="S5032">
        <v>0.8373718</v>
      </c>
      <c r="T5032">
        <v>-1.9116399999999999E-2</v>
      </c>
      <c r="U5032">
        <v>-3.2138979999999999</v>
      </c>
      <c r="V5032">
        <v>0.1464386</v>
      </c>
      <c r="W5032">
        <v>0.18722849999999999</v>
      </c>
      <c r="X5032">
        <v>0.97133990000000003</v>
      </c>
      <c r="Y5032">
        <v>0.50501200000000002</v>
      </c>
      <c r="Z5032">
        <v>-1.263447E-2</v>
      </c>
      <c r="AA5032">
        <v>0.8630198</v>
      </c>
      <c r="AB5032">
        <v>34</v>
      </c>
      <c r="AC5032">
        <v>30.334900000000001</v>
      </c>
      <c r="AD5032">
        <v>-0.69770580000000004</v>
      </c>
      <c r="AE5032">
        <v>-117.07487999999999</v>
      </c>
      <c r="AF5032">
        <v>61.225359355058899</v>
      </c>
      <c r="AG5032">
        <v>-0.69770580000000004</v>
      </c>
      <c r="AH5032">
        <v>104.293890131217</v>
      </c>
      <c r="AI5032">
        <v>90.330545252552497</v>
      </c>
      <c r="AJ5032">
        <v>59.585086076856399</v>
      </c>
      <c r="AK5032">
        <v>120.939021577991</v>
      </c>
      <c r="AL5032">
        <v>79.208913250998293</v>
      </c>
      <c r="AM5032">
        <v>81.426687348327704</v>
      </c>
      <c r="AN5032">
        <v>0.99999998805710999</v>
      </c>
    </row>
    <row r="5033" spans="1:40" x14ac:dyDescent="0.25">
      <c r="A5033" t="str">
        <f>"20190303171115109"</f>
        <v>20190303171115109</v>
      </c>
      <c r="B5033" t="str">
        <f>"1551604275095649"</f>
        <v>1551604275095649</v>
      </c>
      <c r="C5033" t="s">
        <v>40</v>
      </c>
      <c r="D5033">
        <v>5.1288049999999998</v>
      </c>
      <c r="E5033">
        <v>0.66604259999999904</v>
      </c>
      <c r="F5033" t="s">
        <v>101</v>
      </c>
      <c r="G5033">
        <v>-285.72899999999998</v>
      </c>
      <c r="H5033">
        <v>0.54620740000000001</v>
      </c>
      <c r="I5033">
        <v>-80.464519999999993</v>
      </c>
      <c r="J5033">
        <v>-307.27199999999999</v>
      </c>
      <c r="K5033">
        <v>1.0542119999999999</v>
      </c>
      <c r="L5033">
        <v>9.7481380000000009</v>
      </c>
      <c r="M5033">
        <v>0.69265959999999904</v>
      </c>
      <c r="N5033">
        <v>-1.7317160000000002E-2</v>
      </c>
      <c r="O5033">
        <v>-0.72105680000000005</v>
      </c>
      <c r="P5033">
        <v>0.57430579999999998</v>
      </c>
      <c r="Q5033">
        <v>0.17686950000000001</v>
      </c>
      <c r="R5033">
        <v>-0.79930619999999997</v>
      </c>
      <c r="S5033">
        <v>0.77752690000000002</v>
      </c>
      <c r="T5033">
        <v>-1.813793E-2</v>
      </c>
      <c r="U5033">
        <v>-3.2296140000000002</v>
      </c>
      <c r="V5033">
        <v>0.14733179999999901</v>
      </c>
      <c r="W5033">
        <v>0.1878725</v>
      </c>
      <c r="X5033">
        <v>0.97108050000000001</v>
      </c>
      <c r="Y5033">
        <v>0.50464149999999997</v>
      </c>
      <c r="Z5033">
        <v>-1.2825400000000001E-2</v>
      </c>
      <c r="AA5033">
        <v>0.86323369999999999</v>
      </c>
      <c r="AB5033">
        <v>34</v>
      </c>
      <c r="AC5033">
        <v>21.5429999999999</v>
      </c>
      <c r="AD5033">
        <v>-0.50800460000000003</v>
      </c>
      <c r="AE5033">
        <v>-90.212658000000005</v>
      </c>
      <c r="AF5033">
        <v>46.958567344544797</v>
      </c>
      <c r="AG5033">
        <v>-0.50800460000000003</v>
      </c>
      <c r="AH5033">
        <v>79.980005946801697</v>
      </c>
      <c r="AI5033">
        <v>90.313825715357893</v>
      </c>
      <c r="AJ5033">
        <v>59.5815764622592</v>
      </c>
      <c r="AK5033">
        <v>92.747865026512699</v>
      </c>
      <c r="AL5033">
        <v>79.171348705135898</v>
      </c>
      <c r="AM5033">
        <v>81.372909374135602</v>
      </c>
      <c r="AN5033">
        <v>1.0000000365138599</v>
      </c>
    </row>
    <row r="5034" spans="1:40" x14ac:dyDescent="0.25">
      <c r="A5034" t="str">
        <f>"20190303171115133"</f>
        <v>20190303171115133</v>
      </c>
      <c r="B5034" t="str">
        <f>"1551604275125905"</f>
        <v>1551604275125905</v>
      </c>
      <c r="C5034" t="s">
        <v>40</v>
      </c>
      <c r="D5034">
        <v>5.161473</v>
      </c>
      <c r="E5034">
        <v>0.66508009999999995</v>
      </c>
      <c r="F5034" t="s">
        <v>101</v>
      </c>
      <c r="G5034">
        <v>-287.3349</v>
      </c>
      <c r="H5034">
        <v>0.52693369999999995</v>
      </c>
      <c r="I5034">
        <v>-80.464519999999993</v>
      </c>
      <c r="J5034">
        <v>-307.03030000000001</v>
      </c>
      <c r="K5034">
        <v>1.0541160000000001</v>
      </c>
      <c r="L5034">
        <v>9.4751279999999998</v>
      </c>
      <c r="M5034">
        <v>0.67819030000000002</v>
      </c>
      <c r="N5034">
        <v>-1.7286320000000001E-2</v>
      </c>
      <c r="O5034">
        <v>-0.73468319999999998</v>
      </c>
      <c r="P5034">
        <v>0.55686530000000001</v>
      </c>
      <c r="Q5034">
        <v>0.1775881</v>
      </c>
      <c r="R5034">
        <v>-0.81139619999999901</v>
      </c>
      <c r="S5034">
        <v>0.71661379999999997</v>
      </c>
      <c r="T5034">
        <v>-1.8951889999999999E-2</v>
      </c>
      <c r="U5034">
        <v>-3.2425839999999999</v>
      </c>
      <c r="V5034">
        <v>0.1490041</v>
      </c>
      <c r="W5034">
        <v>0.1884692</v>
      </c>
      <c r="X5034">
        <v>0.97070959999999995</v>
      </c>
      <c r="Y5034">
        <v>0.50366219999999995</v>
      </c>
      <c r="Z5034">
        <v>-1.272387E-2</v>
      </c>
      <c r="AA5034">
        <v>0.86380699999999999</v>
      </c>
      <c r="AB5034">
        <v>34</v>
      </c>
      <c r="AC5034">
        <v>19.695399999999999</v>
      </c>
      <c r="AD5034">
        <v>-0.52718229999999999</v>
      </c>
      <c r="AE5034">
        <v>-89.939647999999906</v>
      </c>
      <c r="AF5034">
        <v>46.531737714195103</v>
      </c>
      <c r="AG5034">
        <v>-0.52718229999999999</v>
      </c>
      <c r="AH5034">
        <v>79.443631801424004</v>
      </c>
      <c r="AI5034">
        <v>90.328073080349199</v>
      </c>
      <c r="AJ5034">
        <v>59.641633412744397</v>
      </c>
      <c r="AK5034">
        <v>92.069382368300396</v>
      </c>
      <c r="AL5034">
        <v>79.136538011420399</v>
      </c>
      <c r="AM5034">
        <v>81.273203156822902</v>
      </c>
      <c r="AN5034">
        <v>0.99999999434880404</v>
      </c>
    </row>
    <row r="5035" spans="1:40" x14ac:dyDescent="0.25">
      <c r="A5035" t="str">
        <f>"20190303171115155"</f>
        <v>20190303171115155</v>
      </c>
      <c r="B5035" t="str">
        <f>"1551604275145425"</f>
        <v>1551604275145425</v>
      </c>
      <c r="C5035" t="s">
        <v>40</v>
      </c>
      <c r="D5035">
        <v>5.1402099999999997</v>
      </c>
      <c r="E5035">
        <v>0.66412879999999996</v>
      </c>
      <c r="F5035" t="s">
        <v>101</v>
      </c>
      <c r="G5035">
        <v>-286.74970000000002</v>
      </c>
      <c r="H5035">
        <v>0.38131710000000002</v>
      </c>
      <c r="I5035">
        <v>-91.564989999999995</v>
      </c>
      <c r="J5035">
        <v>-306.81130000000002</v>
      </c>
      <c r="K5035">
        <v>1.0540389999999999</v>
      </c>
      <c r="L5035">
        <v>9.2179260000000003</v>
      </c>
      <c r="M5035">
        <v>0.66448169999999995</v>
      </c>
      <c r="N5035">
        <v>-1.726196E-2</v>
      </c>
      <c r="O5035">
        <v>-0.74710540000000003</v>
      </c>
      <c r="P5035">
        <v>0.54093910000000001</v>
      </c>
      <c r="Q5035">
        <v>0.177842</v>
      </c>
      <c r="R5035">
        <v>-0.82204500000000003</v>
      </c>
      <c r="S5035">
        <v>0.65310669999999904</v>
      </c>
      <c r="T5035">
        <v>-2.1666049999999999E-2</v>
      </c>
      <c r="U5035">
        <v>-3.2538450000000001</v>
      </c>
      <c r="V5035">
        <v>0.14996579999999901</v>
      </c>
      <c r="W5035">
        <v>0.18864239999999999</v>
      </c>
      <c r="X5035">
        <v>0.97052780000000005</v>
      </c>
      <c r="Y5035">
        <v>0.50444549999999999</v>
      </c>
      <c r="Z5035">
        <v>-1.230148E-2</v>
      </c>
      <c r="AA5035">
        <v>0.86335589999999995</v>
      </c>
      <c r="AB5035">
        <v>34</v>
      </c>
      <c r="AC5035">
        <v>20.061599999999999</v>
      </c>
      <c r="AD5035">
        <v>-0.67272189999999998</v>
      </c>
      <c r="AE5035">
        <v>-100.782916</v>
      </c>
      <c r="AF5035">
        <v>51.985781885666903</v>
      </c>
      <c r="AG5035">
        <v>-0.67272189999999998</v>
      </c>
      <c r="AH5035">
        <v>88.635418329420801</v>
      </c>
      <c r="AI5035">
        <v>90.375098698488401</v>
      </c>
      <c r="AJ5035">
        <v>59.607843579730698</v>
      </c>
      <c r="AK5035">
        <v>102.758023800822</v>
      </c>
      <c r="AL5035">
        <v>79.126432675152799</v>
      </c>
      <c r="AM5035">
        <v>81.216134679386002</v>
      </c>
      <c r="AN5035">
        <v>0.99999995341011805</v>
      </c>
    </row>
    <row r="5036" spans="1:40" x14ac:dyDescent="0.25">
      <c r="A5036" t="str">
        <f>"20190303171115175"</f>
        <v>20190303171115175</v>
      </c>
      <c r="B5036" t="str">
        <f>"1551604275165921"</f>
        <v>1551604275165921</v>
      </c>
      <c r="C5036" t="s">
        <v>40</v>
      </c>
      <c r="D5036">
        <v>5.171481</v>
      </c>
      <c r="E5036">
        <v>0.65043640000000003</v>
      </c>
      <c r="F5036" t="s">
        <v>101</v>
      </c>
      <c r="G5036">
        <v>-288.41000000000003</v>
      </c>
      <c r="H5036">
        <v>0.36928080000000002</v>
      </c>
      <c r="I5036">
        <v>-91.564989999999995</v>
      </c>
      <c r="J5036">
        <v>-306.60739999999998</v>
      </c>
      <c r="K5036">
        <v>1.053974</v>
      </c>
      <c r="L5036">
        <v>8.96936</v>
      </c>
      <c r="M5036">
        <v>0.65117250000000004</v>
      </c>
      <c r="N5036">
        <v>-1.724169E-2</v>
      </c>
      <c r="O5036">
        <v>-0.75873389999999996</v>
      </c>
      <c r="P5036">
        <v>0.52598789999999995</v>
      </c>
      <c r="Q5036">
        <v>0.1781305</v>
      </c>
      <c r="R5036">
        <v>-0.83162879999999995</v>
      </c>
      <c r="S5036">
        <v>0.59564209999999995</v>
      </c>
      <c r="T5036">
        <v>-2.2164819999999998E-2</v>
      </c>
      <c r="U5036">
        <v>-3.2622990000000001</v>
      </c>
      <c r="V5036">
        <v>0.15034589999999901</v>
      </c>
      <c r="W5036">
        <v>0.1888822</v>
      </c>
      <c r="X5036">
        <v>0.97042240000000002</v>
      </c>
      <c r="Y5036">
        <v>0.50428390000000001</v>
      </c>
      <c r="Z5036">
        <v>-1.222958E-2</v>
      </c>
      <c r="AA5036">
        <v>0.86345139999999998</v>
      </c>
      <c r="AB5036">
        <v>34</v>
      </c>
      <c r="AC5036">
        <v>18.197399999999899</v>
      </c>
      <c r="AD5036">
        <v>-0.684693199999999</v>
      </c>
      <c r="AE5036">
        <v>-100.53435</v>
      </c>
      <c r="AF5036">
        <v>51.663578705816903</v>
      </c>
      <c r="AG5036">
        <v>-0.684693199999999</v>
      </c>
      <c r="AH5036">
        <v>88.137608236184604</v>
      </c>
      <c r="AI5036">
        <v>90.383987196508102</v>
      </c>
      <c r="AJ5036">
        <v>59.622468226055098</v>
      </c>
      <c r="AK5036">
        <v>102.165709291647</v>
      </c>
      <c r="AL5036">
        <v>79.112442192793694</v>
      </c>
      <c r="AM5036">
        <v>81.193278363127007</v>
      </c>
      <c r="AN5036">
        <v>1.0000000047727</v>
      </c>
    </row>
    <row r="5037" spans="1:40" x14ac:dyDescent="0.25">
      <c r="A5037" t="str">
        <f>"20190303171115200"</f>
        <v>20190303171115200</v>
      </c>
      <c r="B5037" t="str">
        <f>"1551604275185441"</f>
        <v>1551604275185441</v>
      </c>
      <c r="C5037" t="s">
        <v>40</v>
      </c>
      <c r="D5037">
        <v>5.1664409999999998</v>
      </c>
      <c r="E5037">
        <v>0.64891529999999997</v>
      </c>
      <c r="F5037" t="s">
        <v>68</v>
      </c>
      <c r="G5037">
        <v>-294.6062</v>
      </c>
      <c r="H5037" s="1">
        <v>-8.9720160000000003E-6</v>
      </c>
      <c r="I5037">
        <v>-52.10284</v>
      </c>
      <c r="J5037">
        <v>-306.3922</v>
      </c>
      <c r="K5037">
        <v>1.05392</v>
      </c>
      <c r="L5037">
        <v>8.6961979999999901</v>
      </c>
      <c r="M5037">
        <v>0.63648739999999904</v>
      </c>
      <c r="N5037">
        <v>-1.7222299999999999E-2</v>
      </c>
      <c r="O5037">
        <v>-0.77109499999999997</v>
      </c>
      <c r="P5037">
        <v>0.50951239999999998</v>
      </c>
      <c r="Q5037">
        <v>0.1788904</v>
      </c>
      <c r="R5037">
        <v>-0.84166249999999998</v>
      </c>
      <c r="S5037">
        <v>0.63259889999999996</v>
      </c>
      <c r="T5037">
        <v>-5.5556540000000001E-2</v>
      </c>
      <c r="U5037">
        <v>-3.2191770000000002</v>
      </c>
      <c r="V5037">
        <v>0.15076629999999999</v>
      </c>
      <c r="W5037">
        <v>0.18959200000000001</v>
      </c>
      <c r="X5037">
        <v>0.97021869999999999</v>
      </c>
      <c r="Y5037">
        <v>0.47577560000000002</v>
      </c>
      <c r="Z5037">
        <v>-5.7282969999999898E-3</v>
      </c>
      <c r="AA5037">
        <v>0.87954809999999894</v>
      </c>
      <c r="AB5037">
        <v>33</v>
      </c>
      <c r="AC5037">
        <v>11.786</v>
      </c>
      <c r="AD5037">
        <v>-1.0539289720160001</v>
      </c>
      <c r="AE5037">
        <v>-60.799038000000003</v>
      </c>
      <c r="AF5037">
        <v>29.605509513639301</v>
      </c>
      <c r="AG5037">
        <v>-1.0539289720160001</v>
      </c>
      <c r="AH5037">
        <v>54.375785569406098</v>
      </c>
      <c r="AI5037">
        <v>90.975237961700003</v>
      </c>
      <c r="AJ5037">
        <v>61.433419400130802</v>
      </c>
      <c r="AK5037">
        <v>61.921910630489101</v>
      </c>
      <c r="AL5037">
        <v>79.071024860730901</v>
      </c>
      <c r="AM5037">
        <v>81.167215617972005</v>
      </c>
      <c r="AN5037">
        <v>0.999999964754689</v>
      </c>
    </row>
    <row r="5038" spans="1:40" x14ac:dyDescent="0.25">
      <c r="A5038" t="str">
        <f>"20190303171115233"</f>
        <v>20190303171115233</v>
      </c>
      <c r="B5038" t="str">
        <f>"1551604275225457"</f>
        <v>1551604275225457</v>
      </c>
      <c r="C5038" t="s">
        <v>40</v>
      </c>
      <c r="D5038">
        <v>5.0010139999999996</v>
      </c>
      <c r="E5038">
        <v>0.64062699999999995</v>
      </c>
      <c r="F5038" t="s">
        <v>68</v>
      </c>
      <c r="G5038">
        <v>-295.75009999999997</v>
      </c>
      <c r="H5038" s="1">
        <v>-8.7622500000000007E-6</v>
      </c>
      <c r="I5038">
        <v>-50.398049999999998</v>
      </c>
      <c r="J5038">
        <v>-306.07960000000003</v>
      </c>
      <c r="K5038">
        <v>1.053847</v>
      </c>
      <c r="L5038">
        <v>8.2796629999999993</v>
      </c>
      <c r="M5038">
        <v>0.61397579999999996</v>
      </c>
      <c r="N5038">
        <v>-1.7197170000000001E-2</v>
      </c>
      <c r="O5038">
        <v>-0.78913769999999905</v>
      </c>
      <c r="P5038">
        <v>0.48593540000000002</v>
      </c>
      <c r="Q5038">
        <v>0.17900729999999901</v>
      </c>
      <c r="R5038">
        <v>-0.85546669999999903</v>
      </c>
      <c r="S5038">
        <v>0.58077999999999996</v>
      </c>
      <c r="T5038">
        <v>-5.751705E-2</v>
      </c>
      <c r="U5038">
        <v>-3.225006</v>
      </c>
      <c r="V5038">
        <v>0.149728799999999</v>
      </c>
      <c r="W5038">
        <v>0.189717</v>
      </c>
      <c r="X5038">
        <v>0.97035499999999997</v>
      </c>
      <c r="Y5038">
        <v>0.46430840000000001</v>
      </c>
      <c r="Z5038">
        <v>-4.9760680000000002E-3</v>
      </c>
      <c r="AA5038">
        <v>0.88565959999999999</v>
      </c>
      <c r="AB5038">
        <v>33</v>
      </c>
      <c r="AC5038">
        <v>10.329499999999999</v>
      </c>
      <c r="AD5038">
        <v>-1.05385576225</v>
      </c>
      <c r="AE5038">
        <v>-58.677712999999997</v>
      </c>
      <c r="AF5038">
        <v>27.870696244492599</v>
      </c>
      <c r="AG5038">
        <v>-1.05385576225</v>
      </c>
      <c r="AH5038">
        <v>52.638167540902302</v>
      </c>
      <c r="AI5038">
        <v>91.013664141111093</v>
      </c>
      <c r="AJ5038">
        <v>62.099811967951098</v>
      </c>
      <c r="AK5038">
        <v>59.570655554429699</v>
      </c>
      <c r="AL5038">
        <v>79.063731333086693</v>
      </c>
      <c r="AM5038">
        <v>81.2282628642254</v>
      </c>
      <c r="AN5038">
        <v>1.0000000398317099</v>
      </c>
    </row>
    <row r="5039" spans="1:40" x14ac:dyDescent="0.25">
      <c r="A5039" t="str">
        <f>"20190303171115254"</f>
        <v>20190303171115254</v>
      </c>
      <c r="B5039" t="str">
        <f>"1551604275245953"</f>
        <v>1551604275245953</v>
      </c>
      <c r="C5039" t="s">
        <v>40</v>
      </c>
      <c r="D5039">
        <v>4.9746180000000004</v>
      </c>
      <c r="E5039">
        <v>0.64051930000000001</v>
      </c>
      <c r="F5039" t="s">
        <v>68</v>
      </c>
      <c r="G5039">
        <v>-294.82440000000003</v>
      </c>
      <c r="H5039" s="1">
        <v>-8.3049510000000002E-6</v>
      </c>
      <c r="I5039">
        <v>-57.61721</v>
      </c>
      <c r="J5039">
        <v>-305.88959999999997</v>
      </c>
      <c r="K5039">
        <v>1.0538110000000001</v>
      </c>
      <c r="L5039">
        <v>8.0138549999999995</v>
      </c>
      <c r="M5039">
        <v>0.59953719999999999</v>
      </c>
      <c r="N5039">
        <v>-1.7183279999999999E-2</v>
      </c>
      <c r="O5039">
        <v>-0.80016259999999995</v>
      </c>
      <c r="P5039">
        <v>0.47164460000000002</v>
      </c>
      <c r="Q5039">
        <v>0.17849770000000001</v>
      </c>
      <c r="R5039">
        <v>-0.86353349999999995</v>
      </c>
      <c r="S5039">
        <v>0.5476685</v>
      </c>
      <c r="T5039">
        <v>-5.1279659999999998E-2</v>
      </c>
      <c r="U5039">
        <v>-3.2064819999999998</v>
      </c>
      <c r="V5039">
        <v>0.14827860000000001</v>
      </c>
      <c r="W5039">
        <v>0.189253</v>
      </c>
      <c r="X5039">
        <v>0.97066819999999998</v>
      </c>
      <c r="Y5039">
        <v>0.45618999999999998</v>
      </c>
      <c r="Z5039">
        <v>-5.9064670000000003E-3</v>
      </c>
      <c r="AA5039">
        <v>0.88986279999999995</v>
      </c>
      <c r="AB5039">
        <v>33</v>
      </c>
      <c r="AC5039">
        <v>11.0651999999999</v>
      </c>
      <c r="AD5039">
        <v>-1.0538193049510001</v>
      </c>
      <c r="AE5039">
        <v>-65.631065000000007</v>
      </c>
      <c r="AF5039">
        <v>30.491160131904799</v>
      </c>
      <c r="AG5039">
        <v>-1.0538193049510001</v>
      </c>
      <c r="AH5039">
        <v>59.143421126598099</v>
      </c>
      <c r="AI5039">
        <v>90.907330656302307</v>
      </c>
      <c r="AJ5039">
        <v>62.726807881585501</v>
      </c>
      <c r="AK5039">
        <v>66.548971771734202</v>
      </c>
      <c r="AL5039">
        <v>79.090806625250295</v>
      </c>
      <c r="AM5039">
        <v>81.314679670785097</v>
      </c>
      <c r="AN5039">
        <v>0.99999999785909999</v>
      </c>
    </row>
    <row r="5040" spans="1:40" x14ac:dyDescent="0.25">
      <c r="A5040" t="str">
        <f>"20190303171115276"</f>
        <v>20190303171115276</v>
      </c>
      <c r="B5040" t="str">
        <f>"1551604275265473"</f>
        <v>1551604275265473</v>
      </c>
      <c r="C5040" t="s">
        <v>40</v>
      </c>
      <c r="D5040">
        <v>4.9631740000000004</v>
      </c>
      <c r="E5040">
        <v>0.63975289999999996</v>
      </c>
      <c r="F5040" t="s">
        <v>41</v>
      </c>
      <c r="G5040">
        <v>-289.69139999999999</v>
      </c>
      <c r="H5040">
        <v>-0.05</v>
      </c>
      <c r="I5040">
        <v>-97.70908</v>
      </c>
      <c r="J5040">
        <v>-305.70170000000002</v>
      </c>
      <c r="K5040">
        <v>1.0537780000000001</v>
      </c>
      <c r="L5040">
        <v>7.7405399999999904</v>
      </c>
      <c r="M5040">
        <v>0.58464179999999999</v>
      </c>
      <c r="N5040">
        <v>-1.7170589999999999E-2</v>
      </c>
      <c r="O5040">
        <v>-0.81111009999999995</v>
      </c>
      <c r="P5040">
        <v>0.45579720000000001</v>
      </c>
      <c r="Q5040">
        <v>0.1786064</v>
      </c>
      <c r="R5040">
        <v>-0.87198019999999998</v>
      </c>
      <c r="S5040">
        <v>0.49215700000000001</v>
      </c>
      <c r="T5040">
        <v>-3.353751E-2</v>
      </c>
      <c r="U5040">
        <v>-3.2122190000000002</v>
      </c>
      <c r="V5040">
        <v>0.14805499999999999</v>
      </c>
      <c r="W5040">
        <v>0.18935370000000001</v>
      </c>
      <c r="X5040">
        <v>0.97068270000000001</v>
      </c>
      <c r="Y5040">
        <v>0.45501829999999999</v>
      </c>
      <c r="Z5040">
        <v>-9.4276150000000003E-3</v>
      </c>
      <c r="AA5040">
        <v>0.89043220000000001</v>
      </c>
      <c r="AB5040">
        <v>33</v>
      </c>
      <c r="AC5040">
        <v>16.010300000000001</v>
      </c>
      <c r="AD5040">
        <v>-1.1037779999999999</v>
      </c>
      <c r="AE5040">
        <v>-105.44962</v>
      </c>
      <c r="AF5040">
        <v>48.666091885236803</v>
      </c>
      <c r="AG5040">
        <v>-1.1037779999999999</v>
      </c>
      <c r="AH5040">
        <v>94.895349224739803</v>
      </c>
      <c r="AI5040">
        <v>90.592981974604797</v>
      </c>
      <c r="AJ5040">
        <v>62.849452915324299</v>
      </c>
      <c r="AK5040">
        <v>106.652398612225</v>
      </c>
      <c r="AL5040">
        <v>79.0849307788788</v>
      </c>
      <c r="AM5040">
        <v>81.327705195383501</v>
      </c>
      <c r="AN5040">
        <v>1.0000000054039899</v>
      </c>
    </row>
    <row r="5041" spans="1:40" x14ac:dyDescent="0.25">
      <c r="A5041" t="str">
        <f>"20190303171115300"</f>
        <v>20190303171115300</v>
      </c>
      <c r="B5041" t="str">
        <f>"1551604275285969"</f>
        <v>1551604275285969</v>
      </c>
      <c r="C5041" t="s">
        <v>40</v>
      </c>
      <c r="D5041">
        <v>5.0600610000000001</v>
      </c>
      <c r="E5041">
        <v>0.63877620000000002</v>
      </c>
      <c r="F5041" t="s">
        <v>101</v>
      </c>
      <c r="G5041">
        <v>-292.15750000000003</v>
      </c>
      <c r="H5041">
        <v>7.031155E-2</v>
      </c>
      <c r="I5041">
        <v>-91.564989999999995</v>
      </c>
      <c r="J5041">
        <v>-305.50729999999999</v>
      </c>
      <c r="K5041">
        <v>1.0537589999999999</v>
      </c>
      <c r="L5041">
        <v>7.4448550000000004</v>
      </c>
      <c r="M5041">
        <v>0.56848969999999999</v>
      </c>
      <c r="N5041">
        <v>-1.7158449999999999E-2</v>
      </c>
      <c r="O5041">
        <v>-0.8225114</v>
      </c>
      <c r="P5041">
        <v>0.43860660000000001</v>
      </c>
      <c r="Q5041">
        <v>0.17892149999999901</v>
      </c>
      <c r="R5041">
        <v>-0.88068809999999997</v>
      </c>
      <c r="S5041">
        <v>0.43884279999999998</v>
      </c>
      <c r="T5041">
        <v>-3.1864759999999999E-2</v>
      </c>
      <c r="U5041">
        <v>-3.21759</v>
      </c>
      <c r="V5041">
        <v>0.14788099999999901</v>
      </c>
      <c r="W5041">
        <v>0.18966089999999999</v>
      </c>
      <c r="X5041">
        <v>0.97064919999999999</v>
      </c>
      <c r="Y5041">
        <v>0.45208559999999998</v>
      </c>
      <c r="Z5041">
        <v>-9.7086399999999993E-3</v>
      </c>
      <c r="AA5041">
        <v>0.89192169999999904</v>
      </c>
      <c r="AB5041">
        <v>33</v>
      </c>
      <c r="AC5041">
        <v>13.349799999999901</v>
      </c>
      <c r="AD5041">
        <v>-0.98344745</v>
      </c>
      <c r="AE5041">
        <v>-99.009844999999999</v>
      </c>
      <c r="AF5041">
        <v>45.307995861908502</v>
      </c>
      <c r="AG5041">
        <v>-0.98344745</v>
      </c>
      <c r="AH5041">
        <v>89.030433118599205</v>
      </c>
      <c r="AI5041">
        <v>90.564041670895904</v>
      </c>
      <c r="AJ5041">
        <v>63.028248042772603</v>
      </c>
      <c r="AK5041">
        <v>99.900949340809504</v>
      </c>
      <c r="AL5041">
        <v>79.067004160953303</v>
      </c>
      <c r="AM5041">
        <v>81.337448103012306</v>
      </c>
      <c r="AN5041">
        <v>0.99999995830522403</v>
      </c>
    </row>
    <row r="5042" spans="1:40" x14ac:dyDescent="0.25">
      <c r="A5042" t="str">
        <f>"20190303171115322"</f>
        <v>20190303171115322</v>
      </c>
      <c r="B5042" t="str">
        <f>"1551604275316225"</f>
        <v>1551604275316225</v>
      </c>
      <c r="C5042" t="s">
        <v>40</v>
      </c>
      <c r="D5042">
        <v>5.00258</v>
      </c>
      <c r="E5042">
        <v>0.63632259999999996</v>
      </c>
      <c r="F5042" t="s">
        <v>68</v>
      </c>
      <c r="G5042">
        <v>-295.82299999999998</v>
      </c>
      <c r="H5042">
        <v>7.9986570000000007E-2</v>
      </c>
      <c r="I5042">
        <v>-73.885890000000003</v>
      </c>
      <c r="J5042">
        <v>-305.33</v>
      </c>
      <c r="K5042">
        <v>1.053749</v>
      </c>
      <c r="L5042">
        <v>7.1636660000000001</v>
      </c>
      <c r="M5042">
        <v>0.55307830000000002</v>
      </c>
      <c r="N5042">
        <v>-1.7148130000000001E-2</v>
      </c>
      <c r="O5042">
        <v>-0.83295300000000005</v>
      </c>
      <c r="P5042">
        <v>0.423402</v>
      </c>
      <c r="Q5042">
        <v>0.17787329999999901</v>
      </c>
      <c r="R5042">
        <v>-0.88830880000000001</v>
      </c>
      <c r="S5042">
        <v>0.38378909999999999</v>
      </c>
      <c r="T5042">
        <v>-3.8590670000000001E-2</v>
      </c>
      <c r="U5042">
        <v>-3.2231450000000001</v>
      </c>
      <c r="V5042">
        <v>0.14656830000000001</v>
      </c>
      <c r="W5042">
        <v>0.18866069999999999</v>
      </c>
      <c r="X5042">
        <v>0.9710432</v>
      </c>
      <c r="Y5042">
        <v>0.45066329999999999</v>
      </c>
      <c r="Z5042">
        <v>-8.2072559999999996E-3</v>
      </c>
      <c r="AA5042">
        <v>0.89265629999999996</v>
      </c>
      <c r="AB5042">
        <v>33</v>
      </c>
      <c r="AC5042">
        <v>9.5069999999999997</v>
      </c>
      <c r="AD5042">
        <v>-0.97376242999999996</v>
      </c>
      <c r="AE5042">
        <v>-81.049555999999995</v>
      </c>
      <c r="AF5042">
        <v>36.908032257855297</v>
      </c>
      <c r="AG5042">
        <v>-0.97376242999999996</v>
      </c>
      <c r="AH5042">
        <v>72.768913074695902</v>
      </c>
      <c r="AI5042">
        <v>90.683752409065406</v>
      </c>
      <c r="AJ5042">
        <v>63.106102228071997</v>
      </c>
      <c r="AK5042">
        <v>81.599422598996497</v>
      </c>
      <c r="AL5042">
        <v>79.125365628053999</v>
      </c>
      <c r="AM5042">
        <v>81.416624192170801</v>
      </c>
      <c r="AN5042">
        <v>1.00000001127781</v>
      </c>
    </row>
    <row r="5043" spans="1:40" x14ac:dyDescent="0.25">
      <c r="A5043" t="str">
        <f>"20190303171115347"</f>
        <v>20190303171115347</v>
      </c>
      <c r="B5043" t="str">
        <f>"1551604275335744"</f>
        <v>1551604275335744</v>
      </c>
      <c r="C5043" t="s">
        <v>40</v>
      </c>
      <c r="D5043">
        <v>5.0111339999999904</v>
      </c>
      <c r="E5043">
        <v>0.62584899999999999</v>
      </c>
      <c r="F5043" t="s">
        <v>68</v>
      </c>
      <c r="G5043">
        <v>-297.20569999999998</v>
      </c>
      <c r="H5043" s="1">
        <v>-1.3807329999999999E-5</v>
      </c>
      <c r="I5043">
        <v>-68.576709999999906</v>
      </c>
      <c r="J5043">
        <v>-305.13560000000001</v>
      </c>
      <c r="K5043">
        <v>1.053739</v>
      </c>
      <c r="L5043">
        <v>6.8411869999999997</v>
      </c>
      <c r="M5043">
        <v>0.53534979999999999</v>
      </c>
      <c r="N5043">
        <v>-1.7137449999999999E-2</v>
      </c>
      <c r="O5043">
        <v>-0.84445680000000001</v>
      </c>
      <c r="P5043">
        <v>0.40609820000000002</v>
      </c>
      <c r="Q5043">
        <v>0.17792349999999901</v>
      </c>
      <c r="R5043">
        <v>-0.8963411</v>
      </c>
      <c r="S5043">
        <v>0.34555049999999998</v>
      </c>
      <c r="T5043">
        <v>-4.4819709999999999E-2</v>
      </c>
      <c r="U5043">
        <v>-3.2214659999999999</v>
      </c>
      <c r="V5043">
        <v>0.14486559999999901</v>
      </c>
      <c r="W5043">
        <v>0.188774</v>
      </c>
      <c r="X5043">
        <v>0.97127660000000005</v>
      </c>
      <c r="Y5043">
        <v>0.44217420000000002</v>
      </c>
      <c r="Z5043">
        <v>-6.6575999999999996E-3</v>
      </c>
      <c r="AA5043">
        <v>0.89690449999999999</v>
      </c>
      <c r="AB5043">
        <v>33</v>
      </c>
      <c r="AC5043">
        <v>7.9299000000000301</v>
      </c>
      <c r="AD5043">
        <v>-1.05375280733</v>
      </c>
      <c r="AE5043">
        <v>-75.417896999999996</v>
      </c>
      <c r="AF5043">
        <v>33.676935626117597</v>
      </c>
      <c r="AG5043">
        <v>-1.05375280733</v>
      </c>
      <c r="AH5043">
        <v>67.929274704156498</v>
      </c>
      <c r="AI5043">
        <v>90.796260741648595</v>
      </c>
      <c r="AJ5043">
        <v>63.629409957221199</v>
      </c>
      <c r="AK5043">
        <v>75.826332826910402</v>
      </c>
      <c r="AL5043">
        <v>79.118754555881495</v>
      </c>
      <c r="AM5043">
        <v>81.516887656460696</v>
      </c>
      <c r="AN5043">
        <v>0.99999994942345805</v>
      </c>
    </row>
    <row r="5044" spans="1:40" x14ac:dyDescent="0.25">
      <c r="A5044" t="str">
        <f>"20190303171115369"</f>
        <v>20190303171115369</v>
      </c>
      <c r="B5044" t="str">
        <f>"1551604275356240"</f>
        <v>1551604275356240</v>
      </c>
      <c r="C5044" t="s">
        <v>40</v>
      </c>
      <c r="D5044">
        <v>5.0334219999999998</v>
      </c>
      <c r="E5044">
        <v>0.62374079999999998</v>
      </c>
      <c r="F5044" t="s">
        <v>68</v>
      </c>
      <c r="G5044">
        <v>-297.15609999999998</v>
      </c>
      <c r="H5044" s="1">
        <v>-1.2872E-5</v>
      </c>
      <c r="I5044">
        <v>-64.270870000000002</v>
      </c>
      <c r="J5044">
        <v>-304.96260000000001</v>
      </c>
      <c r="K5044">
        <v>1.053736</v>
      </c>
      <c r="L5044">
        <v>6.5408939999999998</v>
      </c>
      <c r="M5044">
        <v>0.51879039999999998</v>
      </c>
      <c r="N5044">
        <v>-1.712849E-2</v>
      </c>
      <c r="O5044">
        <v>-0.85472999999999899</v>
      </c>
      <c r="P5044">
        <v>0.38800069999999998</v>
      </c>
      <c r="Q5044">
        <v>0.17950849999999999</v>
      </c>
      <c r="R5044">
        <v>-0.90400930000000002</v>
      </c>
      <c r="S5044">
        <v>0.35839840000000001</v>
      </c>
      <c r="T5044">
        <v>-4.7328830000000002E-2</v>
      </c>
      <c r="U5044">
        <v>-3.1939700000000002</v>
      </c>
      <c r="V5044">
        <v>0.14536099999999999</v>
      </c>
      <c r="W5044">
        <v>0.19032560000000001</v>
      </c>
      <c r="X5044">
        <v>0.97089979999999998</v>
      </c>
      <c r="Y5044">
        <v>0.420184</v>
      </c>
      <c r="Z5044">
        <v>-5.6967049999999998E-3</v>
      </c>
      <c r="AA5044">
        <v>0.90742109999999998</v>
      </c>
      <c r="AB5044">
        <v>33</v>
      </c>
      <c r="AC5044">
        <v>7.8065000000000202</v>
      </c>
      <c r="AD5044">
        <v>-1.0537488719999999</v>
      </c>
      <c r="AE5044">
        <v>-70.811763999999997</v>
      </c>
      <c r="AF5044">
        <v>30.061844123779199</v>
      </c>
      <c r="AG5044">
        <v>-1.0537488719999999</v>
      </c>
      <c r="AH5044">
        <v>64.570216401552003</v>
      </c>
      <c r="AI5044">
        <v>90.847606876576805</v>
      </c>
      <c r="AJ5044">
        <v>65.034807101673906</v>
      </c>
      <c r="AK5044">
        <v>71.232981861992101</v>
      </c>
      <c r="AL5044">
        <v>79.028213974989001</v>
      </c>
      <c r="AM5044">
        <v>81.485047084576394</v>
      </c>
      <c r="AN5044">
        <v>1.0000000379881899</v>
      </c>
    </row>
    <row r="5045" spans="1:40" x14ac:dyDescent="0.25">
      <c r="A5045" t="str">
        <f>"20190303171115392"</f>
        <v>20190303171115392</v>
      </c>
      <c r="B5045" t="str">
        <f>"1551604275385521"</f>
        <v>1551604275385521</v>
      </c>
      <c r="C5045" t="s">
        <v>40</v>
      </c>
      <c r="D5045">
        <v>5.0165290000000002</v>
      </c>
      <c r="E5045">
        <v>0.62082380000000004</v>
      </c>
      <c r="F5045" t="s">
        <v>68</v>
      </c>
      <c r="G5045">
        <v>-298.50839999999999</v>
      </c>
      <c r="H5045" s="1">
        <v>-6.7803250000000002E-6</v>
      </c>
      <c r="I5045">
        <v>-59.470660000000002</v>
      </c>
      <c r="J5045">
        <v>-304.80189999999999</v>
      </c>
      <c r="K5045">
        <v>1.0537379999999901</v>
      </c>
      <c r="L5045">
        <v>6.2490540000000001</v>
      </c>
      <c r="M5045">
        <v>0.50265379999999904</v>
      </c>
      <c r="N5045">
        <v>-1.7120549999999998E-2</v>
      </c>
      <c r="O5045">
        <v>-0.86431829999999998</v>
      </c>
      <c r="P5045">
        <v>0.36954999999999999</v>
      </c>
      <c r="Q5045">
        <v>0.18044289999999999</v>
      </c>
      <c r="R5045">
        <v>-0.91152270000000002</v>
      </c>
      <c r="S5045">
        <v>0.3123474</v>
      </c>
      <c r="T5045">
        <v>-5.099559E-2</v>
      </c>
      <c r="U5045">
        <v>-3.1946110000000001</v>
      </c>
      <c r="V5045">
        <v>0.1468119</v>
      </c>
      <c r="W5045">
        <v>0.19118830000000001</v>
      </c>
      <c r="X5045">
        <v>0.97051189999999998</v>
      </c>
      <c r="Y5045">
        <v>0.41609869999999999</v>
      </c>
      <c r="Z5045">
        <v>-4.6844069999999998E-3</v>
      </c>
      <c r="AA5045">
        <v>0.90930739999999999</v>
      </c>
      <c r="AB5045">
        <v>33</v>
      </c>
      <c r="AC5045">
        <v>6.2934999999999901</v>
      </c>
      <c r="AD5045">
        <v>-1.05374478032499</v>
      </c>
      <c r="AE5045">
        <v>-65.719713999999996</v>
      </c>
      <c r="AF5045">
        <v>27.5916917324503</v>
      </c>
      <c r="AG5045">
        <v>-1.05374478032499</v>
      </c>
      <c r="AH5045">
        <v>59.959716393833503</v>
      </c>
      <c r="AI5045">
        <v>90.914647726134106</v>
      </c>
      <c r="AJ5045">
        <v>65.289508201122302</v>
      </c>
      <c r="AK5045">
        <v>66.0119642242948</v>
      </c>
      <c r="AL5045">
        <v>78.9778601205836</v>
      </c>
      <c r="AM5045">
        <v>81.397935207712493</v>
      </c>
      <c r="AN5045">
        <v>1.00000002404005</v>
      </c>
    </row>
    <row r="5046" spans="1:40" x14ac:dyDescent="0.25">
      <c r="A5046" t="str">
        <f>"20190303171115410"</f>
        <v>20190303171115410</v>
      </c>
      <c r="B5046" t="str">
        <f>"1551604275406017"</f>
        <v>1551604275406017</v>
      </c>
      <c r="C5046" t="s">
        <v>40</v>
      </c>
      <c r="D5046">
        <v>4.9878239999999998</v>
      </c>
      <c r="E5046">
        <v>0.61940220000000001</v>
      </c>
      <c r="F5046" t="s">
        <v>68</v>
      </c>
      <c r="G5046">
        <v>-300.08229999999998</v>
      </c>
      <c r="H5046" s="1">
        <v>-5.1374409999999998E-6</v>
      </c>
      <c r="I5046">
        <v>-49.217860000000002</v>
      </c>
      <c r="J5046">
        <v>-304.66629999999998</v>
      </c>
      <c r="K5046">
        <v>1.053736</v>
      </c>
      <c r="L5046">
        <v>5.9917910000000001</v>
      </c>
      <c r="M5046">
        <v>0.48839739999999998</v>
      </c>
      <c r="N5046">
        <v>-1.71142E-2</v>
      </c>
      <c r="O5046">
        <v>-0.87245349999999999</v>
      </c>
      <c r="P5046">
        <v>0.35403679999999998</v>
      </c>
      <c r="Q5046">
        <v>0.17935299999999901</v>
      </c>
      <c r="R5046">
        <v>-0.91787269999999999</v>
      </c>
      <c r="S5046">
        <v>0.271698</v>
      </c>
      <c r="T5046">
        <v>-6.0661199999999998E-2</v>
      </c>
      <c r="U5046">
        <v>-3.193085</v>
      </c>
      <c r="V5046">
        <v>0.1473979</v>
      </c>
      <c r="W5046">
        <v>0.1900714</v>
      </c>
      <c r="X5046">
        <v>0.97064240000000002</v>
      </c>
      <c r="Y5046">
        <v>0.4125934</v>
      </c>
      <c r="Z5046">
        <v>-2.2201439999999999E-3</v>
      </c>
      <c r="AA5046">
        <v>0.91091259999999996</v>
      </c>
      <c r="AB5046">
        <v>33</v>
      </c>
      <c r="AC5046">
        <v>4.5839999999999996</v>
      </c>
      <c r="AD5046">
        <v>-1.053741137441</v>
      </c>
      <c r="AE5046">
        <v>-55.209651000000001</v>
      </c>
      <c r="AF5046">
        <v>22.959980120781101</v>
      </c>
      <c r="AG5046">
        <v>-1.053741137441</v>
      </c>
      <c r="AH5046">
        <v>50.395817249060698</v>
      </c>
      <c r="AI5046">
        <v>91.090070083229094</v>
      </c>
      <c r="AJ5046">
        <v>65.506323668854193</v>
      </c>
      <c r="AK5046">
        <v>55.389615035059798</v>
      </c>
      <c r="AL5046">
        <v>79.043048655074301</v>
      </c>
      <c r="AM5046">
        <v>81.365260269142695</v>
      </c>
      <c r="AN5046">
        <v>0.99999997335006396</v>
      </c>
    </row>
    <row r="5047" spans="1:40" x14ac:dyDescent="0.25">
      <c r="A5047" t="str">
        <f>"20190303171115434"</f>
        <v>20190303171115434</v>
      </c>
      <c r="B5047" t="str">
        <f>"1551604275425537"</f>
        <v>1551604275425537</v>
      </c>
      <c r="C5047" t="s">
        <v>40</v>
      </c>
      <c r="D5047">
        <v>5.0116139999999998</v>
      </c>
      <c r="E5047">
        <v>0.61129979999999995</v>
      </c>
      <c r="F5047" t="s">
        <v>68</v>
      </c>
      <c r="G5047">
        <v>-301.03129999999999</v>
      </c>
      <c r="H5047" s="1">
        <v>-3.0502960000000001E-6</v>
      </c>
      <c r="I5047">
        <v>-44.949869999999997</v>
      </c>
      <c r="J5047">
        <v>-304.5104</v>
      </c>
      <c r="K5047">
        <v>1.053742</v>
      </c>
      <c r="L5047">
        <v>5.6831050000000003</v>
      </c>
      <c r="M5047">
        <v>0.47124749999999999</v>
      </c>
      <c r="N5047">
        <v>-1.710716E-2</v>
      </c>
      <c r="O5047">
        <v>-0.88183519999999904</v>
      </c>
      <c r="P5047">
        <v>0.33575969999999999</v>
      </c>
      <c r="Q5047">
        <v>0.17778829999999901</v>
      </c>
      <c r="R5047">
        <v>-0.92501719999999998</v>
      </c>
      <c r="S5047">
        <v>0.22787479999999999</v>
      </c>
      <c r="T5047">
        <v>-6.6057210000000005E-2</v>
      </c>
      <c r="U5047">
        <v>-3.193451</v>
      </c>
      <c r="V5047">
        <v>0.14774960000000001</v>
      </c>
      <c r="W5047">
        <v>0.1884912</v>
      </c>
      <c r="X5047">
        <v>0.97089709999999996</v>
      </c>
      <c r="Y5047">
        <v>0.40720519999999999</v>
      </c>
      <c r="Z5047">
        <v>-6.7914059999999896E-4</v>
      </c>
      <c r="AA5047">
        <v>0.9133365</v>
      </c>
      <c r="AB5047">
        <v>33</v>
      </c>
      <c r="AC5047">
        <v>3.4791000000000101</v>
      </c>
      <c r="AD5047">
        <v>-1.053745050296</v>
      </c>
      <c r="AE5047">
        <v>-50.632975000000002</v>
      </c>
      <c r="AF5047">
        <v>20.786750597793102</v>
      </c>
      <c r="AG5047">
        <v>-1.053745050296</v>
      </c>
      <c r="AH5047">
        <v>46.276278714338702</v>
      </c>
      <c r="AI5047">
        <v>91.1899443338867</v>
      </c>
      <c r="AJ5047">
        <v>65.810954416656799</v>
      </c>
      <c r="AK5047">
        <v>50.7414362300973</v>
      </c>
      <c r="AL5047">
        <v>79.135254867544901</v>
      </c>
      <c r="AM5047">
        <v>81.347205054539799</v>
      </c>
      <c r="AN5047">
        <v>1.0000000277829999</v>
      </c>
    </row>
    <row r="5048" spans="1:40" x14ac:dyDescent="0.25">
      <c r="A5048" t="str">
        <f>"20190303171115455"</f>
        <v>20190303171115455</v>
      </c>
      <c r="B5048" t="str">
        <f>"1551604275446033"</f>
        <v>1551604275446033</v>
      </c>
      <c r="C5048" t="s">
        <v>40</v>
      </c>
      <c r="D5048">
        <v>5.0418880000000001</v>
      </c>
      <c r="E5048">
        <v>0.61023039999999995</v>
      </c>
      <c r="F5048" t="s">
        <v>68</v>
      </c>
      <c r="G5048">
        <v>-301.22370000000001</v>
      </c>
      <c r="H5048" s="1">
        <v>-5.4493280000000004E-7</v>
      </c>
      <c r="I5048">
        <v>-40.932639999999999</v>
      </c>
      <c r="J5048">
        <v>-304.37009999999998</v>
      </c>
      <c r="K5048">
        <v>1.0537510000000001</v>
      </c>
      <c r="L5048">
        <v>5.3915410000000001</v>
      </c>
      <c r="M5048">
        <v>0.45501160000000002</v>
      </c>
      <c r="N5048">
        <v>-1.7100830000000001E-2</v>
      </c>
      <c r="O5048">
        <v>-0.89032129999999998</v>
      </c>
      <c r="P5048">
        <v>0.3186927</v>
      </c>
      <c r="Q5048">
        <v>0.17732979999999901</v>
      </c>
      <c r="R5048">
        <v>-0.93112249999999996</v>
      </c>
      <c r="S5048">
        <v>0.22390750000000001</v>
      </c>
      <c r="T5048">
        <v>-7.1786760000000005E-2</v>
      </c>
      <c r="U5048">
        <v>-3.1757200000000001</v>
      </c>
      <c r="V5048">
        <v>0.14782999999999999</v>
      </c>
      <c r="W5048">
        <v>0.18802849999999999</v>
      </c>
      <c r="X5048">
        <v>0.97097460000000002</v>
      </c>
      <c r="Y5048">
        <v>0.39118199999999997</v>
      </c>
      <c r="Z5048">
        <v>1.171977E-3</v>
      </c>
      <c r="AA5048">
        <v>0.92031260000000004</v>
      </c>
      <c r="AB5048">
        <v>33</v>
      </c>
      <c r="AC5048">
        <v>3.1463999999999701</v>
      </c>
      <c r="AD5048">
        <v>-1.0537515449328001</v>
      </c>
      <c r="AE5048">
        <v>-46.324181000000003</v>
      </c>
      <c r="AF5048">
        <v>18.269995430284801</v>
      </c>
      <c r="AG5048">
        <v>-1.0537515449328001</v>
      </c>
      <c r="AH5048">
        <v>42.659322254534999</v>
      </c>
      <c r="AI5048">
        <v>91.300776410769501</v>
      </c>
      <c r="AJ5048">
        <v>66.815675465023702</v>
      </c>
      <c r="AK5048">
        <v>46.418971343162497</v>
      </c>
      <c r="AL5048">
        <v>79.162248527976999</v>
      </c>
      <c r="AM5048">
        <v>81.343248377880698</v>
      </c>
      <c r="AN5048">
        <v>1.0000000497787001</v>
      </c>
    </row>
    <row r="5049" spans="1:40" x14ac:dyDescent="0.25">
      <c r="A5049" t="str">
        <f>"20190303171115478"</f>
        <v>20190303171115478</v>
      </c>
      <c r="B5049" t="str">
        <f>"1551604275465553"</f>
        <v>1551604275465553</v>
      </c>
      <c r="C5049" t="s">
        <v>40</v>
      </c>
      <c r="D5049">
        <v>5.0548029999999997</v>
      </c>
      <c r="E5049">
        <v>0.60832759999999997</v>
      </c>
      <c r="F5049" t="s">
        <v>42</v>
      </c>
      <c r="G5049">
        <v>-302.20940000000002</v>
      </c>
      <c r="H5049" s="1">
        <v>-3.3825100000000001E-6</v>
      </c>
      <c r="I5049">
        <v>-33.896459999999998</v>
      </c>
      <c r="J5049">
        <v>-304.23059999999998</v>
      </c>
      <c r="K5049">
        <v>1.0537749999999999</v>
      </c>
      <c r="L5049">
        <v>5.0864560000000001</v>
      </c>
      <c r="M5049">
        <v>0.4379883</v>
      </c>
      <c r="N5049">
        <v>-1.7094600000000001E-2</v>
      </c>
      <c r="O5049">
        <v>-0.89881819999999901</v>
      </c>
      <c r="P5049">
        <v>0.30022459999999901</v>
      </c>
      <c r="Q5049">
        <v>0.17812239999999999</v>
      </c>
      <c r="R5049">
        <v>-0.93709019999999998</v>
      </c>
      <c r="S5049">
        <v>0.17480470000000001</v>
      </c>
      <c r="T5049">
        <v>-8.5246440000000007E-2</v>
      </c>
      <c r="U5049">
        <v>-3.1783139999999999</v>
      </c>
      <c r="V5049">
        <v>0.14850920000000001</v>
      </c>
      <c r="W5049">
        <v>0.1887885</v>
      </c>
      <c r="X5049">
        <v>0.97072340000000001</v>
      </c>
      <c r="Y5049">
        <v>0.38786789999999999</v>
      </c>
      <c r="Z5049">
        <v>4.8226989999999997E-3</v>
      </c>
      <c r="AA5049">
        <v>0.92170240000000003</v>
      </c>
      <c r="AB5049">
        <v>33</v>
      </c>
      <c r="AC5049">
        <v>2.0211999999999599</v>
      </c>
      <c r="AD5049">
        <v>-1.05377838251</v>
      </c>
      <c r="AE5049">
        <v>-38.982916000000003</v>
      </c>
      <c r="AF5049">
        <v>15.248486058076301</v>
      </c>
      <c r="AG5049">
        <v>-1.05377838251</v>
      </c>
      <c r="AH5049">
        <v>35.902899463319002</v>
      </c>
      <c r="AI5049">
        <v>91.547481243808406</v>
      </c>
      <c r="AJ5049">
        <v>66.988359247588605</v>
      </c>
      <c r="AK5049">
        <v>39.021083606378603</v>
      </c>
      <c r="AL5049">
        <v>79.117909109710894</v>
      </c>
      <c r="AM5049">
        <v>81.301865952211003</v>
      </c>
      <c r="AN5049">
        <v>0.99999999976222498</v>
      </c>
    </row>
    <row r="5050" spans="1:40" x14ac:dyDescent="0.25">
      <c r="A5050" t="str">
        <f>"20190303171115502"</f>
        <v>20190303171115502</v>
      </c>
      <c r="B5050" t="str">
        <f>"1551604275495809"</f>
        <v>1551604275495809</v>
      </c>
      <c r="C5050" t="s">
        <v>40</v>
      </c>
      <c r="D5050">
        <v>5.0744680000000004</v>
      </c>
      <c r="E5050">
        <v>0.59742589999999995</v>
      </c>
      <c r="F5050" t="s">
        <v>42</v>
      </c>
      <c r="G5050">
        <v>-302.6925</v>
      </c>
      <c r="H5050" s="1">
        <v>-3.8749580000000003E-6</v>
      </c>
      <c r="I5050">
        <v>-33.029919999999997</v>
      </c>
      <c r="J5050">
        <v>-304.0872</v>
      </c>
      <c r="K5050">
        <v>1.0538019999999999</v>
      </c>
      <c r="L5050">
        <v>4.7546080000000002</v>
      </c>
      <c r="M5050">
        <v>0.41943449999999999</v>
      </c>
      <c r="N5050">
        <v>-1.7087979999999999E-2</v>
      </c>
      <c r="O5050">
        <v>-0.90762489999999996</v>
      </c>
      <c r="P5050">
        <v>0.28124159999999998</v>
      </c>
      <c r="Q5050">
        <v>0.17886469999999999</v>
      </c>
      <c r="R5050">
        <v>-0.94282060000000001</v>
      </c>
      <c r="S5050">
        <v>0.12820429999999999</v>
      </c>
      <c r="T5050">
        <v>-8.7833399999999895E-2</v>
      </c>
      <c r="U5050">
        <v>-3.1770320000000001</v>
      </c>
      <c r="V5050">
        <v>0.14813309999999999</v>
      </c>
      <c r="W5050">
        <v>0.1895461</v>
      </c>
      <c r="X5050">
        <v>0.97063319999999997</v>
      </c>
      <c r="Y5050">
        <v>0.38239679999999998</v>
      </c>
      <c r="Z5050">
        <v>5.830109E-3</v>
      </c>
      <c r="AA5050">
        <v>0.92397980000000002</v>
      </c>
      <c r="AB5050">
        <v>33</v>
      </c>
      <c r="AC5050">
        <v>1.3947000000000001</v>
      </c>
      <c r="AD5050">
        <v>-1.0538058749579999</v>
      </c>
      <c r="AE5050">
        <v>-37.784528000000002</v>
      </c>
      <c r="AF5050">
        <v>14.573077574606501</v>
      </c>
      <c r="AG5050">
        <v>-1.0538058749579999</v>
      </c>
      <c r="AH5050">
        <v>34.857176102445898</v>
      </c>
      <c r="AI5050">
        <v>91.597710987005598</v>
      </c>
      <c r="AJ5050">
        <v>67.311185499723507</v>
      </c>
      <c r="AK5050">
        <v>37.795605864366301</v>
      </c>
      <c r="AL5050">
        <v>79.073703408098993</v>
      </c>
      <c r="AM5050">
        <v>81.322764345700705</v>
      </c>
      <c r="AN5050">
        <v>0.99999997414152897</v>
      </c>
    </row>
    <row r="5051" spans="1:40" x14ac:dyDescent="0.25">
      <c r="A5051" t="str">
        <f>"20190303171115524"</f>
        <v>20190303171115524</v>
      </c>
      <c r="B5051" t="str">
        <f>"1551604275515329"</f>
        <v>1551604275515329</v>
      </c>
      <c r="C5051" t="s">
        <v>40</v>
      </c>
      <c r="D5051">
        <v>5.0652699999999999</v>
      </c>
      <c r="E5051">
        <v>0.59510430000000003</v>
      </c>
      <c r="F5051" t="s">
        <v>42</v>
      </c>
      <c r="G5051">
        <v>-302.73289999999997</v>
      </c>
      <c r="H5051" s="1">
        <v>-3.603099E-6</v>
      </c>
      <c r="I5051">
        <v>-23.706990000000001</v>
      </c>
      <c r="J5051">
        <v>-303.96080000000001</v>
      </c>
      <c r="K5051">
        <v>1.053822</v>
      </c>
      <c r="L5051">
        <v>4.4458919999999997</v>
      </c>
      <c r="M5051">
        <v>0.4021324</v>
      </c>
      <c r="N5051">
        <v>-1.7081619999999999E-2</v>
      </c>
      <c r="O5051">
        <v>-0.91542230000000002</v>
      </c>
      <c r="P5051">
        <v>0.264936</v>
      </c>
      <c r="Q5051">
        <v>0.17831959999999999</v>
      </c>
      <c r="R5051">
        <v>-0.94763459999999999</v>
      </c>
      <c r="S5051">
        <v>0.15032960000000001</v>
      </c>
      <c r="T5051">
        <v>-0.1169748</v>
      </c>
      <c r="U5051">
        <v>-3.1593019999999998</v>
      </c>
      <c r="V5051">
        <v>0.14645830000000001</v>
      </c>
      <c r="W5051">
        <v>0.18907650000000001</v>
      </c>
      <c r="X5051">
        <v>0.97097889999999998</v>
      </c>
      <c r="Y5051">
        <v>0.35804570000000002</v>
      </c>
      <c r="Z5051">
        <v>1.418084E-2</v>
      </c>
      <c r="AA5051">
        <v>0.93359639999999999</v>
      </c>
      <c r="AB5051">
        <v>33</v>
      </c>
      <c r="AC5051">
        <v>1.22790000000003</v>
      </c>
      <c r="AD5051">
        <v>-1.0538256030990001</v>
      </c>
      <c r="AE5051">
        <v>-28.152882000000002</v>
      </c>
      <c r="AF5051">
        <v>10.1843827656622</v>
      </c>
      <c r="AG5051">
        <v>-1.0538256030990001</v>
      </c>
      <c r="AH5051">
        <v>26.232697247324499</v>
      </c>
      <c r="AI5051">
        <v>92.144667019407294</v>
      </c>
      <c r="AJ5051">
        <v>68.782174989534695</v>
      </c>
      <c r="AK5051">
        <v>28.160017854913601</v>
      </c>
      <c r="AL5051">
        <v>79.101105185990207</v>
      </c>
      <c r="AM5051">
        <v>81.422410663134997</v>
      </c>
      <c r="AN5051">
        <v>0.999999990368174</v>
      </c>
    </row>
    <row r="5052" spans="1:40" x14ac:dyDescent="0.25">
      <c r="A5052" t="str">
        <f>"20190303171115548"</f>
        <v>20190303171115548</v>
      </c>
      <c r="B5052" t="str">
        <f>"1551604275535825"</f>
        <v>1551604275535825</v>
      </c>
      <c r="C5052" t="s">
        <v>40</v>
      </c>
      <c r="D5052">
        <v>5.1051070000000003</v>
      </c>
      <c r="E5052">
        <v>0.58853129999999998</v>
      </c>
      <c r="F5052" t="s">
        <v>42</v>
      </c>
      <c r="G5052">
        <v>-302.99369999999999</v>
      </c>
      <c r="H5052" s="1">
        <v>-4.0952670000000001E-6</v>
      </c>
      <c r="I5052">
        <v>-22.53952</v>
      </c>
      <c r="J5052">
        <v>-303.83479999999997</v>
      </c>
      <c r="K5052">
        <v>1.053836</v>
      </c>
      <c r="L5052">
        <v>4.1202389999999998</v>
      </c>
      <c r="M5052">
        <v>0.3838471</v>
      </c>
      <c r="N5052">
        <v>-1.7074519999999999E-2</v>
      </c>
      <c r="O5052">
        <v>-0.92323900000000003</v>
      </c>
      <c r="P5052">
        <v>0.2470116</v>
      </c>
      <c r="Q5052">
        <v>0.1772881</v>
      </c>
      <c r="R5052">
        <v>-0.95265670000000002</v>
      </c>
      <c r="S5052">
        <v>0.1131592</v>
      </c>
      <c r="T5052">
        <v>-0.1232998</v>
      </c>
      <c r="U5052">
        <v>-3.157349</v>
      </c>
      <c r="V5052">
        <v>0.14548159999999999</v>
      </c>
      <c r="W5052">
        <v>0.18809219999999999</v>
      </c>
      <c r="X5052">
        <v>0.97131690000000004</v>
      </c>
      <c r="Y5052">
        <v>0.35040710000000003</v>
      </c>
      <c r="Z5052">
        <v>1.6355740000000001E-2</v>
      </c>
      <c r="AA5052">
        <v>0.93645469999999997</v>
      </c>
      <c r="AB5052">
        <v>33</v>
      </c>
      <c r="AC5052">
        <v>0.84109999999998297</v>
      </c>
      <c r="AD5052">
        <v>-1.053840095267</v>
      </c>
      <c r="AE5052">
        <v>-26.659759000000001</v>
      </c>
      <c r="AF5052">
        <v>9.4433706631505707</v>
      </c>
      <c r="AG5052">
        <v>-1.053840095267</v>
      </c>
      <c r="AH5052">
        <v>24.900943392478698</v>
      </c>
      <c r="AI5052">
        <v>92.266083845393794</v>
      </c>
      <c r="AJ5052">
        <v>69.231395863969993</v>
      </c>
      <c r="AK5052">
        <v>26.652294652871301</v>
      </c>
      <c r="AL5052">
        <v>79.158532441186097</v>
      </c>
      <c r="AM5052">
        <v>81.481692024089099</v>
      </c>
      <c r="AN5052">
        <v>1.0000000459325</v>
      </c>
    </row>
    <row r="5053" spans="1:40" x14ac:dyDescent="0.25">
      <c r="A5053" t="str">
        <f>"20190303171115574"</f>
        <v>20190303171115574</v>
      </c>
      <c r="B5053" t="str">
        <f>"1551604275566081"</f>
        <v>1551604275566081</v>
      </c>
      <c r="C5053" t="s">
        <v>40</v>
      </c>
      <c r="D5053">
        <v>5.1399030000000003</v>
      </c>
      <c r="E5053">
        <v>0.58328959999999996</v>
      </c>
      <c r="F5053" t="s">
        <v>42</v>
      </c>
      <c r="G5053">
        <v>-303.07769999999999</v>
      </c>
      <c r="H5053" s="1">
        <v>-1.6592740000000001E-6</v>
      </c>
      <c r="I5053">
        <v>-18.45196</v>
      </c>
      <c r="J5053">
        <v>-303.70209999999997</v>
      </c>
      <c r="K5053">
        <v>1.053874</v>
      </c>
      <c r="L5053">
        <v>3.755341</v>
      </c>
      <c r="M5053">
        <v>0.36332500000000001</v>
      </c>
      <c r="N5053">
        <v>-1.7065279999999999E-2</v>
      </c>
      <c r="O5053">
        <v>-0.93150639999999996</v>
      </c>
      <c r="P5053">
        <v>0.22587740000000001</v>
      </c>
      <c r="Q5053">
        <v>0.1774849</v>
      </c>
      <c r="R5053">
        <v>-0.95785120000000001</v>
      </c>
      <c r="S5053">
        <v>0.1056213</v>
      </c>
      <c r="T5053">
        <v>-0.14702089999999901</v>
      </c>
      <c r="U5053">
        <v>-3.1490480000000001</v>
      </c>
      <c r="V5053">
        <v>0.145453799999999</v>
      </c>
      <c r="W5053">
        <v>0.18829270000000001</v>
      </c>
      <c r="X5053">
        <v>0.97128219999999998</v>
      </c>
      <c r="Y5053">
        <v>0.33175640000000001</v>
      </c>
      <c r="Z5053">
        <v>2.3588629999999999E-2</v>
      </c>
      <c r="AA5053">
        <v>0.94307010000000002</v>
      </c>
      <c r="AB5053">
        <v>33</v>
      </c>
      <c r="AC5053">
        <v>0.62439999999997997</v>
      </c>
      <c r="AD5053">
        <v>-1.053875659274</v>
      </c>
      <c r="AE5053">
        <v>-22.207301000000001</v>
      </c>
      <c r="AF5053">
        <v>7.4711113747289097</v>
      </c>
      <c r="AG5053">
        <v>-1.053875659274</v>
      </c>
      <c r="AH5053">
        <v>20.869181958612099</v>
      </c>
      <c r="AI5053">
        <v>92.722036320212098</v>
      </c>
      <c r="AJ5053">
        <v>70.302768321381507</v>
      </c>
      <c r="AK5053">
        <v>22.191235087314801</v>
      </c>
      <c r="AL5053">
        <v>79.146835471127105</v>
      </c>
      <c r="AM5053">
        <v>81.482996104188203</v>
      </c>
      <c r="AN5053">
        <v>1.00000003042228</v>
      </c>
    </row>
    <row r="5054" spans="1:40" x14ac:dyDescent="0.25">
      <c r="A5054" t="str">
        <f>"20190303171115601"</f>
        <v>20190303171115601</v>
      </c>
      <c r="B5054" t="str">
        <f>"1551604275595361"</f>
        <v>1551604275595361</v>
      </c>
      <c r="C5054" t="s">
        <v>40</v>
      </c>
      <c r="D5054">
        <v>5.105175</v>
      </c>
      <c r="E5054">
        <v>0.58105119999999999</v>
      </c>
      <c r="F5054" t="s">
        <v>42</v>
      </c>
      <c r="G5054">
        <v>-303.17250000000001</v>
      </c>
      <c r="H5054" s="1">
        <v>-2.1712690000000001E-6</v>
      </c>
      <c r="I5054">
        <v>-17.317270000000001</v>
      </c>
      <c r="J5054">
        <v>-303.57670000000002</v>
      </c>
      <c r="K5054">
        <v>1.053928</v>
      </c>
      <c r="L5054">
        <v>3.3831790000000002</v>
      </c>
      <c r="M5054">
        <v>0.3423892</v>
      </c>
      <c r="N5054">
        <v>-1.7052149999999999E-2</v>
      </c>
      <c r="O5054">
        <v>-0.93940349999999995</v>
      </c>
      <c r="P5054">
        <v>0.2050119</v>
      </c>
      <c r="Q5054">
        <v>0.1775127</v>
      </c>
      <c r="R5054">
        <v>-0.96252780000000004</v>
      </c>
      <c r="S5054">
        <v>7.8979489999999999E-2</v>
      </c>
      <c r="T5054">
        <v>-0.15716240000000001</v>
      </c>
      <c r="U5054">
        <v>-3.1425169999999998</v>
      </c>
      <c r="V5054">
        <v>0.14479690000000001</v>
      </c>
      <c r="W5054">
        <v>0.1883531</v>
      </c>
      <c r="X5054">
        <v>0.97136860000000003</v>
      </c>
      <c r="Y5054">
        <v>0.31853720000000002</v>
      </c>
      <c r="Z5054">
        <v>2.7157819999999999E-2</v>
      </c>
      <c r="AA5054">
        <v>0.94752130000000001</v>
      </c>
      <c r="AB5054">
        <v>32</v>
      </c>
      <c r="AC5054">
        <v>0.404200000000003</v>
      </c>
      <c r="AD5054">
        <v>-1.0539301712689999</v>
      </c>
      <c r="AE5054">
        <v>-20.700448999999999</v>
      </c>
      <c r="AF5054">
        <v>6.6915394606267604</v>
      </c>
      <c r="AG5054">
        <v>-1.0539301712689999</v>
      </c>
      <c r="AH5054">
        <v>19.5366919760455</v>
      </c>
      <c r="AI5054">
        <v>92.921589374361204</v>
      </c>
      <c r="AJ5054">
        <v>71.093084052766002</v>
      </c>
      <c r="AK5054">
        <v>20.677761061727999</v>
      </c>
      <c r="AL5054">
        <v>79.143311365456796</v>
      </c>
      <c r="AM5054">
        <v>81.521643533612902</v>
      </c>
      <c r="AN5054">
        <v>0.99999999479759005</v>
      </c>
    </row>
    <row r="5055" spans="1:40" x14ac:dyDescent="0.25">
      <c r="A5055" t="str">
        <f>"20190303171115624"</f>
        <v>20190303171115624</v>
      </c>
      <c r="B5055" t="str">
        <f>"1551604275615857"</f>
        <v>1551604275615857</v>
      </c>
      <c r="C5055" t="s">
        <v>40</v>
      </c>
      <c r="D5055">
        <v>5.1325560000000001</v>
      </c>
      <c r="E5055">
        <v>0.57451949999999996</v>
      </c>
      <c r="F5055" t="s">
        <v>42</v>
      </c>
      <c r="G5055">
        <v>-303.38650000000001</v>
      </c>
      <c r="H5055" s="1">
        <v>-2.2066779999999998E-6</v>
      </c>
      <c r="I5055">
        <v>-17.367450000000002</v>
      </c>
      <c r="J5055">
        <v>-303.47160000000002</v>
      </c>
      <c r="K5055">
        <v>1.053982</v>
      </c>
      <c r="L5055">
        <v>3.0476380000000001</v>
      </c>
      <c r="M5055">
        <v>0.32353359999999998</v>
      </c>
      <c r="N5055">
        <v>-1.7035140000000001E-2</v>
      </c>
      <c r="O5055">
        <v>-0.94606349999999995</v>
      </c>
      <c r="P5055">
        <v>0.1879354</v>
      </c>
      <c r="Q5055">
        <v>0.1758855</v>
      </c>
      <c r="R5055">
        <v>-0.96630490000000002</v>
      </c>
      <c r="S5055">
        <v>2.8778080000000001E-2</v>
      </c>
      <c r="T5055">
        <v>-0.1594853</v>
      </c>
      <c r="U5055">
        <v>-3.1400760000000001</v>
      </c>
      <c r="V5055">
        <v>0.14256750000000001</v>
      </c>
      <c r="W5055">
        <v>0.186829</v>
      </c>
      <c r="X5055">
        <v>0.97199250000000004</v>
      </c>
      <c r="Y5055">
        <v>0.31470300000000001</v>
      </c>
      <c r="Z5055">
        <v>2.835151E-2</v>
      </c>
      <c r="AA5055">
        <v>0.94876669999999996</v>
      </c>
      <c r="AB5055">
        <v>32</v>
      </c>
      <c r="AC5055">
        <v>8.5100000000011194E-2</v>
      </c>
      <c r="AD5055">
        <v>-1.0539842066779901</v>
      </c>
      <c r="AE5055">
        <v>-20.415088000000001</v>
      </c>
      <c r="AF5055">
        <v>6.5080563144223804</v>
      </c>
      <c r="AG5055">
        <v>-1.0539842066779901</v>
      </c>
      <c r="AH5055">
        <v>19.292883375501201</v>
      </c>
      <c r="AI5055">
        <v>92.963263428466902</v>
      </c>
      <c r="AJ5055">
        <v>71.359238042179797</v>
      </c>
      <c r="AK5055">
        <v>20.3882571261084</v>
      </c>
      <c r="AL5055">
        <v>79.232214132619305</v>
      </c>
      <c r="AM5055">
        <v>81.655612149965506</v>
      </c>
      <c r="AN5055">
        <v>0.99999999367674997</v>
      </c>
    </row>
    <row r="5056" spans="1:40" x14ac:dyDescent="0.25">
      <c r="A5056" t="str">
        <f>"20190303171115647"</f>
        <v>20190303171115647</v>
      </c>
      <c r="B5056" t="str">
        <f>"1551604275635377"</f>
        <v>1551604275635377</v>
      </c>
      <c r="C5056" t="s">
        <v>40</v>
      </c>
      <c r="D5056">
        <v>5.1673249999999999</v>
      </c>
      <c r="E5056">
        <v>0.57293680000000002</v>
      </c>
      <c r="F5056" t="s">
        <v>42</v>
      </c>
      <c r="G5056">
        <v>-303.32580000000002</v>
      </c>
      <c r="H5056" s="1">
        <v>-2.8949119999999999E-6</v>
      </c>
      <c r="I5056">
        <v>-15.725540000000001</v>
      </c>
      <c r="J5056">
        <v>-303.37810000000002</v>
      </c>
      <c r="K5056">
        <v>1.054047</v>
      </c>
      <c r="L5056">
        <v>2.727722</v>
      </c>
      <c r="M5056">
        <v>0.30557699999999999</v>
      </c>
      <c r="N5056">
        <v>-1.7013940000000002E-2</v>
      </c>
      <c r="O5056">
        <v>-0.95201550000000001</v>
      </c>
      <c r="P5056">
        <v>0.17127819999999999</v>
      </c>
      <c r="Q5056">
        <v>0.17493619999999999</v>
      </c>
      <c r="R5056">
        <v>-0.96956799999999999</v>
      </c>
      <c r="S5056">
        <v>2.4322509999999999E-2</v>
      </c>
      <c r="T5056">
        <v>-0.1758345</v>
      </c>
      <c r="U5056">
        <v>-3.1318969999999999</v>
      </c>
      <c r="V5056">
        <v>0.1408838</v>
      </c>
      <c r="W5056">
        <v>0.18595519999999999</v>
      </c>
      <c r="X5056">
        <v>0.97240550000000003</v>
      </c>
      <c r="Y5056">
        <v>0.29802220000000001</v>
      </c>
      <c r="Z5056">
        <v>3.3787020000000001E-2</v>
      </c>
      <c r="AA5056">
        <v>0.95396080000000005</v>
      </c>
      <c r="AB5056">
        <v>32</v>
      </c>
      <c r="AC5056">
        <v>5.23000000000024E-2</v>
      </c>
      <c r="AD5056">
        <v>-1.0540498949120001</v>
      </c>
      <c r="AE5056">
        <v>-18.453261999999999</v>
      </c>
      <c r="AF5056">
        <v>5.5717316518196798</v>
      </c>
      <c r="AG5056">
        <v>-1.0540498949120001</v>
      </c>
      <c r="AH5056">
        <v>17.529124488271101</v>
      </c>
      <c r="AI5056">
        <v>93.279811086521207</v>
      </c>
      <c r="AJ5056">
        <v>72.366846231224301</v>
      </c>
      <c r="AK5056">
        <v>18.423501841565301</v>
      </c>
      <c r="AL5056">
        <v>79.283172479109496</v>
      </c>
      <c r="AM5056">
        <v>81.756249201445598</v>
      </c>
      <c r="AN5056">
        <v>1.0000000189698599</v>
      </c>
    </row>
    <row r="5057" spans="1:40" x14ac:dyDescent="0.25">
      <c r="A5057" t="str">
        <f>"20190303171115680"</f>
        <v>20190303171115680</v>
      </c>
      <c r="B5057" t="str">
        <f>"1551604275665633"</f>
        <v>1551604275665633</v>
      </c>
      <c r="C5057" t="s">
        <v>40</v>
      </c>
      <c r="D5057">
        <v>5.1668399999999997</v>
      </c>
      <c r="E5057">
        <v>0.56568240000000003</v>
      </c>
      <c r="F5057" t="s">
        <v>42</v>
      </c>
      <c r="G5057">
        <v>-303.48239999999998</v>
      </c>
      <c r="H5057" s="1">
        <v>-3.0869620000000001E-6</v>
      </c>
      <c r="I5057">
        <v>-15.37499</v>
      </c>
      <c r="J5057">
        <v>-303.25299999999999</v>
      </c>
      <c r="K5057">
        <v>1.0541769999999999</v>
      </c>
      <c r="L5057">
        <v>2.2603759999999999</v>
      </c>
      <c r="M5057">
        <v>0.27943659999999998</v>
      </c>
      <c r="N5057">
        <v>-1.6975029999999999E-2</v>
      </c>
      <c r="O5057">
        <v>-0.96001420000000004</v>
      </c>
      <c r="P5057">
        <v>0.14703429999999901</v>
      </c>
      <c r="Q5057">
        <v>0.1754986</v>
      </c>
      <c r="R5057">
        <v>-0.97343809999999997</v>
      </c>
      <c r="S5057">
        <v>-1.8035889999999999E-2</v>
      </c>
      <c r="T5057">
        <v>-0.18226039999999999</v>
      </c>
      <c r="U5057">
        <v>-3.1302189999999999</v>
      </c>
      <c r="V5057">
        <v>0.1384909</v>
      </c>
      <c r="W5057">
        <v>0.18662100000000001</v>
      </c>
      <c r="X5057">
        <v>0.97262170000000003</v>
      </c>
      <c r="Y5057">
        <v>0.2848059</v>
      </c>
      <c r="Z5057">
        <v>3.6481970000000002E-2</v>
      </c>
      <c r="AA5057">
        <v>0.95789069999999998</v>
      </c>
      <c r="AB5057">
        <v>32</v>
      </c>
      <c r="AC5057">
        <v>-0.22939999999999799</v>
      </c>
      <c r="AD5057">
        <v>-1.0541800869619999</v>
      </c>
      <c r="AE5057">
        <v>-17.635365999999902</v>
      </c>
      <c r="AF5057">
        <v>5.1306055533867498</v>
      </c>
      <c r="AG5057">
        <v>-1.0541800869619999</v>
      </c>
      <c r="AH5057">
        <v>16.8084772628183</v>
      </c>
      <c r="AI5057">
        <v>93.432771906576804</v>
      </c>
      <c r="AJ5057">
        <v>73.025758085342304</v>
      </c>
      <c r="AK5057">
        <v>17.605661501200998</v>
      </c>
      <c r="AL5057">
        <v>79.244345613985701</v>
      </c>
      <c r="AM5057">
        <v>81.896170007048099</v>
      </c>
      <c r="AN5057">
        <v>1.00000004916734</v>
      </c>
    </row>
    <row r="5058" spans="1:40" x14ac:dyDescent="0.25">
      <c r="A5058" t="str">
        <f>"20190303171115706"</f>
        <v>20190303171115706</v>
      </c>
      <c r="B5058" t="str">
        <f>"1551604275695435"</f>
        <v>1551604275695435</v>
      </c>
      <c r="C5058" t="s">
        <v>40</v>
      </c>
      <c r="D5058">
        <v>5.2293919999999998</v>
      </c>
      <c r="E5058">
        <v>0.56317919999999999</v>
      </c>
      <c r="F5058" t="s">
        <v>42</v>
      </c>
      <c r="G5058">
        <v>-303.43900000000002</v>
      </c>
      <c r="H5058" s="1">
        <v>-3.5465950000000001E-6</v>
      </c>
      <c r="I5058">
        <v>-14.276630000000001</v>
      </c>
      <c r="J5058">
        <v>-303.16109999999998</v>
      </c>
      <c r="K5058">
        <v>1.0543089999999999</v>
      </c>
      <c r="L5058">
        <v>1.8776550000000001</v>
      </c>
      <c r="M5058">
        <v>0.25818079999999999</v>
      </c>
      <c r="N5058">
        <v>-1.6931410000000001E-2</v>
      </c>
      <c r="O5058">
        <v>-0.96594820000000003</v>
      </c>
      <c r="P5058">
        <v>0.12833349999999999</v>
      </c>
      <c r="Q5058">
        <v>0.1750273</v>
      </c>
      <c r="R5058">
        <v>-0.97616389999999997</v>
      </c>
      <c r="S5058">
        <v>-3.5125730000000001E-2</v>
      </c>
      <c r="T5058">
        <v>-0.19908400000000001</v>
      </c>
      <c r="U5058">
        <v>-3.1230470000000001</v>
      </c>
      <c r="V5058">
        <v>0.13561679999999901</v>
      </c>
      <c r="W5058">
        <v>0.18627150000000001</v>
      </c>
      <c r="X5058">
        <v>0.97309349999999994</v>
      </c>
      <c r="Y5058">
        <v>0.2688604</v>
      </c>
      <c r="Z5058">
        <v>4.2278059999999999E-2</v>
      </c>
      <c r="AA5058">
        <v>0.96225079999999996</v>
      </c>
      <c r="AB5058">
        <v>32</v>
      </c>
      <c r="AC5058">
        <v>-0.277900000000045</v>
      </c>
      <c r="AD5058">
        <v>-1.0543125465949901</v>
      </c>
      <c r="AE5058">
        <v>-16.154284999999899</v>
      </c>
      <c r="AF5058">
        <v>4.4209740609952997</v>
      </c>
      <c r="AG5058">
        <v>-1.0543125465949901</v>
      </c>
      <c r="AH5058">
        <v>15.468810902705499</v>
      </c>
      <c r="AI5058">
        <v>93.749426806891194</v>
      </c>
      <c r="AJ5058">
        <v>74.050105198002498</v>
      </c>
      <c r="AK5058">
        <v>16.122676494228902</v>
      </c>
      <c r="AL5058">
        <v>79.264727070799495</v>
      </c>
      <c r="AM5058">
        <v>82.065982316630993</v>
      </c>
      <c r="AN5058">
        <v>0.99999997394836904</v>
      </c>
    </row>
    <row r="5059" spans="1:40" x14ac:dyDescent="0.25">
      <c r="A5059" t="str">
        <f>"20190303171115729"</f>
        <v>20190303171115729</v>
      </c>
      <c r="B5059" t="str">
        <f>"1551604275715916"</f>
        <v>1551604275715916</v>
      </c>
      <c r="C5059" t="s">
        <v>40</v>
      </c>
      <c r="D5059">
        <v>5.1856619999999998</v>
      </c>
      <c r="E5059">
        <v>0.55305559999999998</v>
      </c>
      <c r="F5059" t="s">
        <v>42</v>
      </c>
      <c r="G5059">
        <v>-303.55970000000002</v>
      </c>
      <c r="H5059" s="1">
        <v>-3.436765E-6</v>
      </c>
      <c r="I5059">
        <v>-14.607519999999999</v>
      </c>
      <c r="J5059">
        <v>-303.08969999999999</v>
      </c>
      <c r="K5059">
        <v>1.0544420000000001</v>
      </c>
      <c r="L5059">
        <v>1.5523070000000001</v>
      </c>
      <c r="M5059">
        <v>0.2402223</v>
      </c>
      <c r="N5059">
        <v>-1.6888239999999999E-2</v>
      </c>
      <c r="O5059">
        <v>-0.97057099999999996</v>
      </c>
      <c r="P5059">
        <v>0.1139516</v>
      </c>
      <c r="Q5059">
        <v>0.1741704</v>
      </c>
      <c r="R5059">
        <v>-0.97809999999999997</v>
      </c>
      <c r="S5059">
        <v>-7.5408939999999994E-2</v>
      </c>
      <c r="T5059">
        <v>-0.1994716</v>
      </c>
      <c r="U5059">
        <v>-3.1189269999999998</v>
      </c>
      <c r="V5059">
        <v>0.13182650000000001</v>
      </c>
      <c r="W5059">
        <v>0.18557199999999999</v>
      </c>
      <c r="X5059">
        <v>0.97374780000000005</v>
      </c>
      <c r="Y5059">
        <v>0.26343559999999999</v>
      </c>
      <c r="Z5059">
        <v>4.2971450000000001E-2</v>
      </c>
      <c r="AA5059">
        <v>0.9637194</v>
      </c>
      <c r="AB5059">
        <v>32</v>
      </c>
      <c r="AC5059">
        <v>-0.47000000000002701</v>
      </c>
      <c r="AD5059">
        <v>-1.054445436765</v>
      </c>
      <c r="AE5059">
        <v>-16.159827</v>
      </c>
      <c r="AF5059">
        <v>4.3203586520629997</v>
      </c>
      <c r="AG5059">
        <v>-1.054445436765</v>
      </c>
      <c r="AH5059">
        <v>15.507604882589099</v>
      </c>
      <c r="AI5059">
        <v>93.747572974323802</v>
      </c>
      <c r="AJ5059">
        <v>74.432369000372702</v>
      </c>
      <c r="AK5059">
        <v>16.1326737788896</v>
      </c>
      <c r="AL5059">
        <v>79.305516781750001</v>
      </c>
      <c r="AM5059">
        <v>82.290140401534799</v>
      </c>
      <c r="AN5059">
        <v>0.99999998564554504</v>
      </c>
    </row>
    <row r="5060" spans="1:40" x14ac:dyDescent="0.25">
      <c r="A5060" t="str">
        <f>"20190303171115753"</f>
        <v>20190303171115753</v>
      </c>
      <c r="B5060" t="str">
        <f>"1551604275746172"</f>
        <v>1551604275746172</v>
      </c>
      <c r="C5060" t="s">
        <v>40</v>
      </c>
      <c r="D5060">
        <v>5.2401839999999904</v>
      </c>
      <c r="E5060">
        <v>0.5505641</v>
      </c>
      <c r="F5060" t="s">
        <v>42</v>
      </c>
      <c r="G5060">
        <v>-303.28960000000001</v>
      </c>
      <c r="H5060" s="1">
        <v>-3.8655800000000002E-6</v>
      </c>
      <c r="I5060">
        <v>-13.368740000000001</v>
      </c>
      <c r="J5060">
        <v>-303.01979999999998</v>
      </c>
      <c r="K5060">
        <v>1.0546139999999999</v>
      </c>
      <c r="L5060">
        <v>1.2027890000000001</v>
      </c>
      <c r="M5060">
        <v>0.22109780000000001</v>
      </c>
      <c r="N5060">
        <v>-1.683612E-2</v>
      </c>
      <c r="O5060">
        <v>-0.97510629999999998</v>
      </c>
      <c r="P5060">
        <v>9.6684199999999998E-2</v>
      </c>
      <c r="Q5060">
        <v>0.17507919999999999</v>
      </c>
      <c r="R5060">
        <v>-0.97979579999999999</v>
      </c>
      <c r="S5060">
        <v>-4.1687009999999997E-2</v>
      </c>
      <c r="T5060">
        <v>-0.21986159999999999</v>
      </c>
      <c r="U5060">
        <v>-3.1111759999999999</v>
      </c>
      <c r="V5060">
        <v>0.12977819999999901</v>
      </c>
      <c r="W5060">
        <v>0.18656149999999999</v>
      </c>
      <c r="X5060">
        <v>0.97383390000000003</v>
      </c>
      <c r="Y5060">
        <v>0.23397660000000001</v>
      </c>
      <c r="Z5060">
        <v>5.0065310000000002E-2</v>
      </c>
      <c r="AA5060">
        <v>0.97095229999999999</v>
      </c>
      <c r="AB5060">
        <v>32</v>
      </c>
      <c r="AC5060">
        <v>-0.26980000000003201</v>
      </c>
      <c r="AD5060">
        <v>-1.05461786558</v>
      </c>
      <c r="AE5060">
        <v>-14.5715289999999</v>
      </c>
      <c r="AF5060">
        <v>3.4671553615630102</v>
      </c>
      <c r="AG5060">
        <v>-1.05461786558</v>
      </c>
      <c r="AH5060">
        <v>14.077428609633699</v>
      </c>
      <c r="AI5060">
        <v>94.160467612868899</v>
      </c>
      <c r="AJ5060">
        <v>76.163896160901999</v>
      </c>
      <c r="AK5060">
        <v>14.5364156999911</v>
      </c>
      <c r="AL5060">
        <v>79.247815333483501</v>
      </c>
      <c r="AM5060">
        <v>82.409190464230093</v>
      </c>
      <c r="AN5060">
        <v>1.0000000196333401</v>
      </c>
    </row>
    <row r="5061" spans="1:40" x14ac:dyDescent="0.25">
      <c r="A5061" t="str">
        <f>"20190303171115777"</f>
        <v>20190303171115777</v>
      </c>
      <c r="B5061" t="str">
        <f>"1551604275765693"</f>
        <v>1551604275765693</v>
      </c>
      <c r="C5061" t="s">
        <v>40</v>
      </c>
      <c r="D5061">
        <v>5.191713</v>
      </c>
      <c r="E5061">
        <v>0.55019399999999996</v>
      </c>
      <c r="F5061" t="s">
        <v>42</v>
      </c>
      <c r="G5061">
        <v>-303.5598</v>
      </c>
      <c r="H5061" s="1">
        <v>-1.2313519999999999E-6</v>
      </c>
      <c r="I5061">
        <v>-19.748439999999999</v>
      </c>
      <c r="J5061">
        <v>-302.9581</v>
      </c>
      <c r="K5061">
        <v>1.0552239999999999</v>
      </c>
      <c r="L5061">
        <v>0.86312869999999997</v>
      </c>
      <c r="M5061">
        <v>0.20241629999999999</v>
      </c>
      <c r="N5061">
        <v>-1.7126189999999999E-2</v>
      </c>
      <c r="O5061">
        <v>-0.97914979999999996</v>
      </c>
      <c r="P5061">
        <v>7.8842690000000007E-2</v>
      </c>
      <c r="Q5061">
        <v>0.17674010000000001</v>
      </c>
      <c r="R5061">
        <v>-0.98109480000000004</v>
      </c>
      <c r="S5061">
        <v>-7.9833979999999999E-2</v>
      </c>
      <c r="T5061">
        <v>-0.1559227</v>
      </c>
      <c r="U5061">
        <v>-3.0975950000000001</v>
      </c>
      <c r="V5061">
        <v>0.12866839999999999</v>
      </c>
      <c r="W5061">
        <v>0.1886912</v>
      </c>
      <c r="X5061">
        <v>0.97357079999999996</v>
      </c>
      <c r="Y5061">
        <v>0.22746130000000001</v>
      </c>
      <c r="Z5061">
        <v>3.0887149999999999E-2</v>
      </c>
      <c r="AA5061">
        <v>0.97329710000000003</v>
      </c>
      <c r="AB5061">
        <v>32</v>
      </c>
      <c r="AC5061">
        <v>-0.60169999999999302</v>
      </c>
      <c r="AD5061">
        <v>-1.0552252313520001</v>
      </c>
      <c r="AE5061">
        <v>-20.611568699999999</v>
      </c>
      <c r="AF5061">
        <v>4.7495323678593699</v>
      </c>
      <c r="AG5061">
        <v>-1.0552252313520001</v>
      </c>
      <c r="AH5061">
        <v>20.0105588740117</v>
      </c>
      <c r="AI5061">
        <v>92.937155590798497</v>
      </c>
      <c r="AJ5061">
        <v>76.647846235915296</v>
      </c>
      <c r="AK5061">
        <v>20.593543270950502</v>
      </c>
      <c r="AL5061">
        <v>79.123586180220002</v>
      </c>
      <c r="AM5061">
        <v>82.471345319134201</v>
      </c>
      <c r="AN5061">
        <v>1.00000001436432</v>
      </c>
    </row>
    <row r="5062" spans="1:40" x14ac:dyDescent="0.25">
      <c r="A5062" t="str">
        <f>"20190303171115814"</f>
        <v>20190303171115814</v>
      </c>
      <c r="B5062" t="str">
        <f>"1551604275805708"</f>
        <v>1551604275805708</v>
      </c>
      <c r="C5062" t="s">
        <v>40</v>
      </c>
      <c r="D5062">
        <v>5.1782380000000003</v>
      </c>
      <c r="E5062">
        <v>0.54087799999999997</v>
      </c>
      <c r="F5062" t="s">
        <v>42</v>
      </c>
      <c r="G5062">
        <v>-303.91890000000001</v>
      </c>
      <c r="H5062" s="1">
        <v>-4.5182490000000001E-6</v>
      </c>
      <c r="I5062">
        <v>-21.778870000000001</v>
      </c>
      <c r="J5062">
        <v>-302.87360000000001</v>
      </c>
      <c r="K5062">
        <v>1.05681</v>
      </c>
      <c r="L5062">
        <v>0.33660889999999999</v>
      </c>
      <c r="M5062">
        <v>0.1763729</v>
      </c>
      <c r="N5062">
        <v>-1.812267E-2</v>
      </c>
      <c r="O5062">
        <v>-0.9841567</v>
      </c>
      <c r="P5062">
        <v>5.580649E-2</v>
      </c>
      <c r="Q5062">
        <v>0.17559910000000001</v>
      </c>
      <c r="R5062">
        <v>-0.9828789</v>
      </c>
      <c r="S5062">
        <v>-0.13131709999999999</v>
      </c>
      <c r="T5062">
        <v>-0.1442109</v>
      </c>
      <c r="U5062">
        <v>-3.0943299999999998</v>
      </c>
      <c r="V5062">
        <v>0.1253891</v>
      </c>
      <c r="W5062">
        <v>0.1888541</v>
      </c>
      <c r="X5062">
        <v>0.97396700000000003</v>
      </c>
      <c r="Y5062">
        <v>0.2178322</v>
      </c>
      <c r="Z5062">
        <v>2.6700310000000001E-2</v>
      </c>
      <c r="AA5062">
        <v>0.97562090000000001</v>
      </c>
      <c r="AB5062">
        <v>32</v>
      </c>
      <c r="AC5062">
        <v>-1.0452999999999899</v>
      </c>
      <c r="AD5062">
        <v>-1.0568145182490001</v>
      </c>
      <c r="AE5062">
        <v>-22.115478899999999</v>
      </c>
      <c r="AF5062">
        <v>4.9189118247507899</v>
      </c>
      <c r="AG5062">
        <v>-1.0568145182490001</v>
      </c>
      <c r="AH5062">
        <v>21.535209833902702</v>
      </c>
      <c r="AI5062">
        <v>92.739036712852396</v>
      </c>
      <c r="AJ5062">
        <v>77.133650765905003</v>
      </c>
      <c r="AK5062">
        <v>22.115103731519699</v>
      </c>
      <c r="AL5062">
        <v>79.114081739209595</v>
      </c>
      <c r="AM5062">
        <v>82.664058123759702</v>
      </c>
      <c r="AN5062">
        <v>1.0000000072873101</v>
      </c>
    </row>
    <row r="5063" spans="1:40" x14ac:dyDescent="0.25">
      <c r="A5063" t="str">
        <f>"20190303171115843"</f>
        <v>20190303171115843</v>
      </c>
      <c r="B5063" t="str">
        <f>"1551604275835964"</f>
        <v>1551604275835964</v>
      </c>
      <c r="C5063" t="s">
        <v>40</v>
      </c>
      <c r="D5063">
        <v>5.1722580000000002</v>
      </c>
      <c r="E5063">
        <v>0.538767</v>
      </c>
      <c r="F5063" t="s">
        <v>42</v>
      </c>
      <c r="G5063">
        <v>-303.80149999999998</v>
      </c>
      <c r="H5063" s="1">
        <v>-4.46116999999999E-6</v>
      </c>
      <c r="I5063">
        <v>-21.885359999999999</v>
      </c>
      <c r="J5063">
        <v>-302.81819999999999</v>
      </c>
      <c r="K5063">
        <v>1.0574159999999999</v>
      </c>
      <c r="L5063">
        <v>-7.5439450000000005E-2</v>
      </c>
      <c r="M5063">
        <v>0.1559759</v>
      </c>
      <c r="N5063">
        <v>-1.636191E-2</v>
      </c>
      <c r="O5063">
        <v>-0.98762550000000005</v>
      </c>
      <c r="P5063">
        <v>3.7693730000000002E-2</v>
      </c>
      <c r="Q5063">
        <v>0.176314</v>
      </c>
      <c r="R5063">
        <v>-0.98361220000000005</v>
      </c>
      <c r="S5063">
        <v>-0.12884519999999999</v>
      </c>
      <c r="T5063">
        <v>-0.1467513</v>
      </c>
      <c r="U5063">
        <v>-3.085785</v>
      </c>
      <c r="V5063">
        <v>0.1232246</v>
      </c>
      <c r="W5063">
        <v>0.18786410000000001</v>
      </c>
      <c r="X5063">
        <v>0.97443460000000004</v>
      </c>
      <c r="Y5063">
        <v>0.1969446</v>
      </c>
      <c r="Z5063">
        <v>2.9741989999999999E-2</v>
      </c>
      <c r="AA5063">
        <v>0.97996340000000004</v>
      </c>
      <c r="AB5063">
        <v>31</v>
      </c>
      <c r="AC5063">
        <v>-0.98329999999998496</v>
      </c>
      <c r="AD5063">
        <v>-1.05742046117</v>
      </c>
      <c r="AE5063">
        <v>-21.809920550000001</v>
      </c>
      <c r="AF5063">
        <v>4.3633031253043502</v>
      </c>
      <c r="AG5063">
        <v>-1.05742046117</v>
      </c>
      <c r="AH5063">
        <v>21.339462682197698</v>
      </c>
      <c r="AI5063">
        <v>92.779406583100695</v>
      </c>
      <c r="AJ5063">
        <v>78.443959111824995</v>
      </c>
      <c r="AK5063">
        <v>21.806632471794</v>
      </c>
      <c r="AL5063">
        <v>79.171838379119194</v>
      </c>
      <c r="AM5063">
        <v>82.792772487129099</v>
      </c>
      <c r="AN5063">
        <v>1.00000000589556</v>
      </c>
    </row>
    <row r="5064" spans="1:40" x14ac:dyDescent="0.25">
      <c r="A5064" t="str">
        <f>"20190303171115865"</f>
        <v>20190303171115865</v>
      </c>
      <c r="B5064" t="str">
        <f>"1551604275855484"</f>
        <v>1551604275855484</v>
      </c>
      <c r="C5064" t="s">
        <v>40</v>
      </c>
      <c r="D5064">
        <v>5.1649690000000001</v>
      </c>
      <c r="E5064">
        <v>0.53723290000000001</v>
      </c>
      <c r="F5064" t="s">
        <v>42</v>
      </c>
      <c r="G5064">
        <v>-304.03820000000002</v>
      </c>
      <c r="H5064" s="1">
        <v>-4.4141340000000003E-6</v>
      </c>
      <c r="I5064">
        <v>-22.146989999999999</v>
      </c>
      <c r="J5064">
        <v>-302.78269999999998</v>
      </c>
      <c r="K5064">
        <v>1.05826</v>
      </c>
      <c r="L5064">
        <v>-0.39044190000000001</v>
      </c>
      <c r="M5064">
        <v>0.14079510000000001</v>
      </c>
      <c r="N5064">
        <v>-1.445135E-2</v>
      </c>
      <c r="O5064">
        <v>-0.98993359999999997</v>
      </c>
      <c r="P5064">
        <v>2.3188520000000001E-2</v>
      </c>
      <c r="Q5064">
        <v>0.1798313</v>
      </c>
      <c r="R5064">
        <v>-0.98342450000000003</v>
      </c>
      <c r="S5064">
        <v>-0.17041020000000001</v>
      </c>
      <c r="T5064">
        <v>-0.14770159999999999</v>
      </c>
      <c r="U5064">
        <v>-3.0829770000000001</v>
      </c>
      <c r="V5064">
        <v>0.1226603</v>
      </c>
      <c r="W5064">
        <v>0.1894932</v>
      </c>
      <c r="X5064">
        <v>0.97419029999999995</v>
      </c>
      <c r="Y5064">
        <v>0.19511719999999999</v>
      </c>
      <c r="Z5064">
        <v>3.2146380000000002E-2</v>
      </c>
      <c r="AA5064">
        <v>0.98025300000000004</v>
      </c>
      <c r="AB5064">
        <v>32</v>
      </c>
      <c r="AC5064">
        <v>-1.25550000000004</v>
      </c>
      <c r="AD5064">
        <v>-1.0582644141339901</v>
      </c>
      <c r="AE5064">
        <v>-21.7565481</v>
      </c>
      <c r="AF5064">
        <v>4.2963939672025901</v>
      </c>
      <c r="AG5064">
        <v>-1.0582644141339901</v>
      </c>
      <c r="AH5064">
        <v>21.3127359833748</v>
      </c>
      <c r="AI5064">
        <v>92.786667785738004</v>
      </c>
      <c r="AJ5064">
        <v>78.602602511433503</v>
      </c>
      <c r="AK5064">
        <v>21.767214791715499</v>
      </c>
      <c r="AL5064">
        <v>79.076790378326393</v>
      </c>
      <c r="AM5064">
        <v>82.823652434454004</v>
      </c>
      <c r="AN5064">
        <v>0.999999981328209</v>
      </c>
    </row>
    <row r="5065" spans="1:40" x14ac:dyDescent="0.25">
      <c r="A5065" t="str">
        <f>"20190303171115887"</f>
        <v>20190303171115887</v>
      </c>
      <c r="B5065" t="str">
        <f>"1551604275875980"</f>
        <v>1551604275875980</v>
      </c>
      <c r="C5065" t="s">
        <v>40</v>
      </c>
      <c r="D5065">
        <v>5.3712900000000001</v>
      </c>
      <c r="E5065">
        <v>0.5359815</v>
      </c>
      <c r="F5065" t="s">
        <v>42</v>
      </c>
      <c r="G5065">
        <v>-304.29759999999999</v>
      </c>
      <c r="H5065" s="1">
        <v>-4.0070339999999996E-6</v>
      </c>
      <c r="I5065">
        <v>-23.478490000000001</v>
      </c>
      <c r="J5065">
        <v>-302.75229999999999</v>
      </c>
      <c r="K5065">
        <v>1.059825</v>
      </c>
      <c r="L5065">
        <v>-0.71029659999999994</v>
      </c>
      <c r="M5065">
        <v>0.12563009999999999</v>
      </c>
      <c r="N5065">
        <v>-1.259394E-2</v>
      </c>
      <c r="O5065">
        <v>-0.99199740000000003</v>
      </c>
      <c r="P5065">
        <v>8.3783969999999992E-3</v>
      </c>
      <c r="Q5065">
        <v>0.18307029999999999</v>
      </c>
      <c r="R5065">
        <v>-0.98306450000000001</v>
      </c>
      <c r="S5065">
        <v>-0.202179</v>
      </c>
      <c r="T5065">
        <v>-0.141227399999999</v>
      </c>
      <c r="U5065">
        <v>-3.0811459999999999</v>
      </c>
      <c r="V5065">
        <v>0.1222973</v>
      </c>
      <c r="W5065">
        <v>0.19098889999999999</v>
      </c>
      <c r="X5065">
        <v>0.97394380000000003</v>
      </c>
      <c r="Y5065">
        <v>0.19022359999999999</v>
      </c>
      <c r="Z5065">
        <v>3.214057E-2</v>
      </c>
      <c r="AA5065">
        <v>0.98121449999999999</v>
      </c>
      <c r="AB5065">
        <v>32</v>
      </c>
      <c r="AC5065">
        <v>-1.5452999999999899</v>
      </c>
      <c r="AD5065">
        <v>-1.059829007034</v>
      </c>
      <c r="AE5065">
        <v>-22.768193399999902</v>
      </c>
      <c r="AF5065">
        <v>4.3841956067473697</v>
      </c>
      <c r="AG5065">
        <v>-1.059829007034</v>
      </c>
      <c r="AH5065">
        <v>22.345428698475001</v>
      </c>
      <c r="AI5065">
        <v>92.664736577708695</v>
      </c>
      <c r="AJ5065">
        <v>78.899514110303997</v>
      </c>
      <c r="AK5065">
        <v>22.7961091496115</v>
      </c>
      <c r="AL5065">
        <v>78.989498636353801</v>
      </c>
      <c r="AM5065">
        <v>82.842877418217995</v>
      </c>
      <c r="AN5065">
        <v>0.99999995753446902</v>
      </c>
    </row>
    <row r="5066" spans="1:40" x14ac:dyDescent="0.25">
      <c r="A5066" t="str">
        <f>"20190303171115910"</f>
        <v>20190303171115910</v>
      </c>
      <c r="B5066" t="str">
        <f>"1551604275895500"</f>
        <v>1551604275895500</v>
      </c>
      <c r="C5066" t="s">
        <v>40</v>
      </c>
      <c r="D5066">
        <v>5.1558760000000001</v>
      </c>
      <c r="E5066">
        <v>0.53462449999999995</v>
      </c>
      <c r="F5066" t="s">
        <v>42</v>
      </c>
      <c r="G5066">
        <v>-304.59010000000001</v>
      </c>
      <c r="H5066" s="1">
        <v>-3.6344689999999999E-6</v>
      </c>
      <c r="I5066">
        <v>-24.725729999999999</v>
      </c>
      <c r="J5066">
        <v>-302.72629999999998</v>
      </c>
      <c r="K5066">
        <v>1.0619670000000001</v>
      </c>
      <c r="L5066">
        <v>-1.0410159999999999</v>
      </c>
      <c r="M5066">
        <v>0.1098684</v>
      </c>
      <c r="N5066">
        <v>-1.071312E-2</v>
      </c>
      <c r="O5066">
        <v>-0.99388840000000001</v>
      </c>
      <c r="P5066">
        <v>-5.8025999999999998E-3</v>
      </c>
      <c r="Q5066">
        <v>0.1840453</v>
      </c>
      <c r="R5066">
        <v>-0.98290080000000002</v>
      </c>
      <c r="S5066">
        <v>-0.23562620000000001</v>
      </c>
      <c r="T5066">
        <v>-0.13588020000000001</v>
      </c>
      <c r="U5066">
        <v>-3.0790099999999998</v>
      </c>
      <c r="V5066">
        <v>0.12057759999999999</v>
      </c>
      <c r="W5066">
        <v>0.19034480000000001</v>
      </c>
      <c r="X5066">
        <v>0.97428429999999999</v>
      </c>
      <c r="Y5066">
        <v>0.1853001</v>
      </c>
      <c r="Z5066">
        <v>3.2492119999999999E-2</v>
      </c>
      <c r="AA5066">
        <v>0.98214469999999998</v>
      </c>
      <c r="AB5066">
        <v>32</v>
      </c>
      <c r="AC5066">
        <v>-1.8638000000000201</v>
      </c>
      <c r="AD5066">
        <v>-1.0619706344689901</v>
      </c>
      <c r="AE5066">
        <v>-23.684714</v>
      </c>
      <c r="AF5066">
        <v>4.44598318670264</v>
      </c>
      <c r="AG5066">
        <v>-1.0619706344689901</v>
      </c>
      <c r="AH5066">
        <v>23.2899944202792</v>
      </c>
      <c r="AI5066">
        <v>92.564502900921994</v>
      </c>
      <c r="AJ5066">
        <v>79.192453784627304</v>
      </c>
      <c r="AK5066">
        <v>23.734329318975</v>
      </c>
      <c r="AL5066">
        <v>79.027092976627699</v>
      </c>
      <c r="AM5066">
        <v>82.944937895373002</v>
      </c>
      <c r="AN5066">
        <v>0.99999999886764501</v>
      </c>
    </row>
    <row r="5067" spans="1:40" x14ac:dyDescent="0.25">
      <c r="A5067" t="str">
        <f>"20190303171115932"</f>
        <v>20190303171115932</v>
      </c>
      <c r="B5067" t="str">
        <f>"1551604275925756"</f>
        <v>1551604275925756</v>
      </c>
      <c r="C5067" t="s">
        <v>40</v>
      </c>
      <c r="D5067">
        <v>5.1816019999999998</v>
      </c>
      <c r="E5067">
        <v>0.53321669999999999</v>
      </c>
      <c r="F5067" t="s">
        <v>42</v>
      </c>
      <c r="G5067">
        <v>-304.7808</v>
      </c>
      <c r="H5067" s="1">
        <v>-3.6940780000000002E-6</v>
      </c>
      <c r="I5067">
        <v>-24.64997</v>
      </c>
      <c r="J5067">
        <v>-302.70650000000001</v>
      </c>
      <c r="K5067">
        <v>1.0642130000000001</v>
      </c>
      <c r="L5067">
        <v>-1.3487849999999999</v>
      </c>
      <c r="M5067">
        <v>9.5225130000000005E-2</v>
      </c>
      <c r="N5067">
        <v>-9.016207E-3</v>
      </c>
      <c r="O5067">
        <v>-0.99541489999999999</v>
      </c>
      <c r="P5067">
        <v>-1.7957830000000001E-2</v>
      </c>
      <c r="Q5067">
        <v>0.18328439999999999</v>
      </c>
      <c r="R5067">
        <v>-0.98289599999999999</v>
      </c>
      <c r="S5067">
        <v>-0.26773069999999999</v>
      </c>
      <c r="T5067">
        <v>-0.13838789999999901</v>
      </c>
      <c r="U5067">
        <v>-3.0765380000000002</v>
      </c>
      <c r="V5067">
        <v>0.11790050000000001</v>
      </c>
      <c r="W5067">
        <v>0.1882083</v>
      </c>
      <c r="X5067">
        <v>0.97502670000000002</v>
      </c>
      <c r="Y5067">
        <v>0.1810737</v>
      </c>
      <c r="Z5067">
        <v>3.5128510000000002E-2</v>
      </c>
      <c r="AA5067">
        <v>0.98284199999999999</v>
      </c>
      <c r="AB5067">
        <v>32</v>
      </c>
      <c r="AC5067">
        <v>-2.0742999999999898</v>
      </c>
      <c r="AD5067">
        <v>-1.06421669407799</v>
      </c>
      <c r="AE5067">
        <v>-23.301185</v>
      </c>
      <c r="AF5067">
        <v>4.2749744740802003</v>
      </c>
      <c r="AG5067">
        <v>-1.06421669407799</v>
      </c>
      <c r="AH5067">
        <v>22.9502600006074</v>
      </c>
      <c r="AI5067">
        <v>92.610104692824507</v>
      </c>
      <c r="AJ5067">
        <v>79.448368938342298</v>
      </c>
      <c r="AK5067">
        <v>23.369261820208798</v>
      </c>
      <c r="AL5067">
        <v>79.151758701396801</v>
      </c>
      <c r="AM5067">
        <v>83.105252697868906</v>
      </c>
      <c r="AN5067">
        <v>0.999999978901014</v>
      </c>
    </row>
    <row r="5068" spans="1:40" x14ac:dyDescent="0.25">
      <c r="A5068" t="str">
        <f>"20190303171115955"</f>
        <v>20190303171115955</v>
      </c>
      <c r="B5068" t="str">
        <f>"1551604275946252"</f>
        <v>1551604275946252</v>
      </c>
      <c r="C5068" t="s">
        <v>40</v>
      </c>
      <c r="D5068">
        <v>5.1602030000000001</v>
      </c>
      <c r="E5068">
        <v>0.52041329999999997</v>
      </c>
      <c r="F5068" t="s">
        <v>42</v>
      </c>
      <c r="G5068">
        <v>-304.90969999999999</v>
      </c>
      <c r="H5068" s="1">
        <v>-3.8169480000000003E-6</v>
      </c>
      <c r="I5068">
        <v>-24.356110000000001</v>
      </c>
      <c r="J5068">
        <v>-302.68939999999998</v>
      </c>
      <c r="K5068">
        <v>1.0668930000000001</v>
      </c>
      <c r="L5068">
        <v>-1.674194</v>
      </c>
      <c r="M5068">
        <v>7.9188469999999997E-2</v>
      </c>
      <c r="N5068">
        <v>-7.5190980000000001E-3</v>
      </c>
      <c r="O5068">
        <v>-0.99683140000000003</v>
      </c>
      <c r="P5068">
        <v>-3.2430279999999999E-2</v>
      </c>
      <c r="Q5068">
        <v>0.18398619999999999</v>
      </c>
      <c r="R5068">
        <v>-0.98239359999999998</v>
      </c>
      <c r="S5068">
        <v>-0.2943115</v>
      </c>
      <c r="T5068">
        <v>-0.1421589</v>
      </c>
      <c r="U5068">
        <v>-3.073334</v>
      </c>
      <c r="V5068">
        <v>0.1160947</v>
      </c>
      <c r="W5068">
        <v>0.1877625</v>
      </c>
      <c r="X5068">
        <v>0.97532929999999995</v>
      </c>
      <c r="Y5068">
        <v>0.17375289999999999</v>
      </c>
      <c r="Z5068">
        <v>3.7992030000000003E-2</v>
      </c>
      <c r="AA5068">
        <v>0.98405620000000005</v>
      </c>
      <c r="AB5068">
        <v>32</v>
      </c>
      <c r="AC5068">
        <v>-2.2202999999999999</v>
      </c>
      <c r="AD5068">
        <v>-1.066896816948</v>
      </c>
      <c r="AE5068">
        <v>-22.681916000000001</v>
      </c>
      <c r="AF5068">
        <v>4.0007562423692598</v>
      </c>
      <c r="AG5068">
        <v>-1.066896816948</v>
      </c>
      <c r="AH5068">
        <v>22.385797264187499</v>
      </c>
      <c r="AI5068">
        <v>92.686128939336101</v>
      </c>
      <c r="AJ5068">
        <v>79.867162048839205</v>
      </c>
      <c r="AK5068">
        <v>22.765505451936999</v>
      </c>
      <c r="AL5068">
        <v>79.177764919332702</v>
      </c>
      <c r="AM5068">
        <v>83.211948214061294</v>
      </c>
      <c r="AN5068">
        <v>0.99999998960641401</v>
      </c>
    </row>
    <row r="5069" spans="1:40" x14ac:dyDescent="0.25">
      <c r="A5069" t="str">
        <f>"20190303171115979"</f>
        <v>20190303171115979</v>
      </c>
      <c r="B5069" t="str">
        <f>"1551604275965772"</f>
        <v>1551604275965772</v>
      </c>
      <c r="C5069" t="s">
        <v>40</v>
      </c>
      <c r="D5069">
        <v>5.1893050000000001</v>
      </c>
      <c r="E5069">
        <v>0.51872700000000005</v>
      </c>
      <c r="F5069" t="s">
        <v>42</v>
      </c>
      <c r="G5069">
        <v>-304.42450000000002</v>
      </c>
      <c r="H5069" s="1">
        <v>-3.76756999999999E-6</v>
      </c>
      <c r="I5069">
        <v>-24.248280000000001</v>
      </c>
      <c r="J5069">
        <v>-302.6748</v>
      </c>
      <c r="K5069">
        <v>1.070228</v>
      </c>
      <c r="L5069">
        <v>-2.02597</v>
      </c>
      <c r="M5069">
        <v>6.1605069999999998E-2</v>
      </c>
      <c r="N5069">
        <v>-7.0237479999999998E-3</v>
      </c>
      <c r="O5069">
        <v>-0.99807599999999996</v>
      </c>
      <c r="P5069">
        <v>-4.9901279999999999E-2</v>
      </c>
      <c r="Q5069">
        <v>0.18556210000000001</v>
      </c>
      <c r="R5069">
        <v>-0.98136500000000004</v>
      </c>
      <c r="S5069">
        <v>-0.2362061</v>
      </c>
      <c r="T5069">
        <v>-0.1452447</v>
      </c>
      <c r="U5069">
        <v>-3.0731809999999999</v>
      </c>
      <c r="V5069">
        <v>0.11581130000000001</v>
      </c>
      <c r="W5069">
        <v>0.1891294</v>
      </c>
      <c r="X5069">
        <v>0.97509880000000004</v>
      </c>
      <c r="Y5069">
        <v>0.13782710000000001</v>
      </c>
      <c r="Z5069">
        <v>3.974689E-2</v>
      </c>
      <c r="AA5069">
        <v>0.9896585</v>
      </c>
      <c r="AB5069">
        <v>32</v>
      </c>
      <c r="AC5069">
        <v>-1.74970000000001</v>
      </c>
      <c r="AD5069">
        <v>-1.0702317675699999</v>
      </c>
      <c r="AE5069">
        <v>-22.22231</v>
      </c>
      <c r="AF5069">
        <v>3.1082521568678998</v>
      </c>
      <c r="AG5069">
        <v>-1.0702317675699999</v>
      </c>
      <c r="AH5069">
        <v>22.0215436522594</v>
      </c>
      <c r="AI5069">
        <v>92.755080469771102</v>
      </c>
      <c r="AJ5069">
        <v>81.966002658336294</v>
      </c>
      <c r="AK5069">
        <v>22.265556636548599</v>
      </c>
      <c r="AL5069">
        <v>79.0980178646128</v>
      </c>
      <c r="AM5069">
        <v>83.226778685892398</v>
      </c>
      <c r="AN5069">
        <v>0.99999992845674202</v>
      </c>
    </row>
    <row r="5070" spans="1:40" x14ac:dyDescent="0.25">
      <c r="A5070" t="str">
        <f>"20190303171116006"</f>
        <v>20190303171116006</v>
      </c>
      <c r="B5070" t="str">
        <f>"1551604275996028"</f>
        <v>1551604275996028</v>
      </c>
      <c r="C5070" t="s">
        <v>40</v>
      </c>
      <c r="D5070">
        <v>5.3902349999999997</v>
      </c>
      <c r="E5070">
        <v>0.51573959999999996</v>
      </c>
      <c r="F5070" t="s">
        <v>42</v>
      </c>
      <c r="G5070">
        <v>-304.74869999999999</v>
      </c>
      <c r="H5070" s="1">
        <v>-3.4802289999999999E-6</v>
      </c>
      <c r="I5070">
        <v>-25.24363</v>
      </c>
      <c r="J5070">
        <v>-302.66390000000001</v>
      </c>
      <c r="K5070">
        <v>1.0737219999999901</v>
      </c>
      <c r="L5070">
        <v>-2.4194640000000001</v>
      </c>
      <c r="M5070">
        <v>4.3515980000000003E-2</v>
      </c>
      <c r="N5070">
        <v>-7.2222509999999998E-3</v>
      </c>
      <c r="O5070">
        <v>-0.99902659999999999</v>
      </c>
      <c r="P5070">
        <v>-6.6701699999999906E-2</v>
      </c>
      <c r="Q5070">
        <v>0.1864159</v>
      </c>
      <c r="R5070">
        <v>-0.98020430000000003</v>
      </c>
      <c r="S5070">
        <v>-0.27420040000000001</v>
      </c>
      <c r="T5070">
        <v>-0.14150389999999999</v>
      </c>
      <c r="U5070">
        <v>-3.0697939999999999</v>
      </c>
      <c r="V5070">
        <v>0.1147454</v>
      </c>
      <c r="W5070">
        <v>0.19028020000000001</v>
      </c>
      <c r="X5070">
        <v>0.97500100000000001</v>
      </c>
      <c r="Y5070">
        <v>0.1321368</v>
      </c>
      <c r="Z5070">
        <v>3.8458760000000002E-2</v>
      </c>
      <c r="AA5070">
        <v>0.99048510000000001</v>
      </c>
      <c r="AB5070">
        <v>31</v>
      </c>
      <c r="AC5070">
        <v>-2.0847999999999698</v>
      </c>
      <c r="AD5070">
        <v>-1.0737254802289999</v>
      </c>
      <c r="AE5070">
        <v>-22.824166000000002</v>
      </c>
      <c r="AF5070">
        <v>3.0693304490242399</v>
      </c>
      <c r="AG5070">
        <v>-1.0737254802289999</v>
      </c>
      <c r="AH5070">
        <v>22.6620817934208</v>
      </c>
      <c r="AI5070">
        <v>92.688128807774902</v>
      </c>
      <c r="AJ5070">
        <v>82.286849158274293</v>
      </c>
      <c r="AK5070">
        <v>22.8941832574105</v>
      </c>
      <c r="AL5070">
        <v>79.030863265570005</v>
      </c>
      <c r="AM5070">
        <v>83.287879476852197</v>
      </c>
      <c r="AN5070">
        <v>1.0000000056670999</v>
      </c>
    </row>
    <row r="5071" spans="1:40" x14ac:dyDescent="0.25">
      <c r="A5071" t="str">
        <f>"20190303171116036"</f>
        <v>20190303171116036</v>
      </c>
      <c r="B5071" t="str">
        <f>"1551604276026284"</f>
        <v>1551604276026284</v>
      </c>
      <c r="C5071" t="s">
        <v>40</v>
      </c>
      <c r="D5071">
        <v>5.322279</v>
      </c>
      <c r="E5071">
        <v>0.50444509999999998</v>
      </c>
      <c r="F5071" t="s">
        <v>42</v>
      </c>
      <c r="G5071">
        <v>-304.79759999999999</v>
      </c>
      <c r="H5071" s="1">
        <v>-3.8627579999999998E-6</v>
      </c>
      <c r="I5071">
        <v>-24.163060000000002</v>
      </c>
      <c r="J5071">
        <v>-302.6592</v>
      </c>
      <c r="K5071">
        <v>1.077469</v>
      </c>
      <c r="L5071">
        <v>-2.8301090000000002</v>
      </c>
      <c r="M5071">
        <v>2.6224839999999999E-2</v>
      </c>
      <c r="N5071">
        <v>-7.1957050000000002E-3</v>
      </c>
      <c r="O5071">
        <v>-0.99963040000000003</v>
      </c>
      <c r="P5071">
        <v>-7.6511949999999995E-2</v>
      </c>
      <c r="Q5071">
        <v>0.1831139</v>
      </c>
      <c r="R5071">
        <v>-0.98011000000000004</v>
      </c>
      <c r="S5071">
        <v>-0.30114750000000001</v>
      </c>
      <c r="T5071">
        <v>-0.1515465</v>
      </c>
      <c r="U5071">
        <v>-3.0689090000000001</v>
      </c>
      <c r="V5071">
        <v>0.1074971</v>
      </c>
      <c r="W5071">
        <v>0.18719530000000001</v>
      </c>
      <c r="X5071">
        <v>0.97642320000000005</v>
      </c>
      <c r="Y5071">
        <v>0.1236155</v>
      </c>
      <c r="Z5071">
        <v>4.1791679999999998E-2</v>
      </c>
      <c r="AA5071">
        <v>0.99144980000000005</v>
      </c>
      <c r="AB5071">
        <v>31</v>
      </c>
      <c r="AC5071">
        <v>-2.1383999999999901</v>
      </c>
      <c r="AD5071">
        <v>-1.0774728627579999</v>
      </c>
      <c r="AE5071">
        <v>-21.332951000000001</v>
      </c>
      <c r="AF5071">
        <v>2.6903373023256401</v>
      </c>
      <c r="AG5071">
        <v>-1.0774728627579999</v>
      </c>
      <c r="AH5071">
        <v>21.2159494111174</v>
      </c>
      <c r="AI5071">
        <v>92.884267017562706</v>
      </c>
      <c r="AJ5071">
        <v>82.773048749713396</v>
      </c>
      <c r="AK5071">
        <v>21.412972049329301</v>
      </c>
      <c r="AL5071">
        <v>79.210849687776005</v>
      </c>
      <c r="AM5071">
        <v>83.717451796915995</v>
      </c>
      <c r="AN5071">
        <v>0.99999998617437003</v>
      </c>
    </row>
    <row r="5072" spans="1:40" x14ac:dyDescent="0.25">
      <c r="A5072" t="str">
        <f>"20190303171116065"</f>
        <v>20190303171116065</v>
      </c>
      <c r="B5072" t="str">
        <f>"1551604276055564"</f>
        <v>1551604276055564</v>
      </c>
      <c r="C5072" t="s">
        <v>40</v>
      </c>
      <c r="D5072">
        <v>5.3784510000000001</v>
      </c>
      <c r="E5072">
        <v>0.50271739999999998</v>
      </c>
      <c r="F5072" t="s">
        <v>42</v>
      </c>
      <c r="G5072">
        <v>-304.64609999999999</v>
      </c>
      <c r="H5072" s="1">
        <v>-2.483592E-6</v>
      </c>
      <c r="I5072">
        <v>-27.503209999999999</v>
      </c>
      <c r="J5072">
        <v>-302.66219999999998</v>
      </c>
      <c r="K5072">
        <v>1.081717</v>
      </c>
      <c r="L5072">
        <v>-3.2422490000000002</v>
      </c>
      <c r="M5072">
        <v>9.8989750000000008E-3</v>
      </c>
      <c r="N5072">
        <v>-7.1152680000000001E-3</v>
      </c>
      <c r="O5072">
        <v>-0.99992570000000003</v>
      </c>
      <c r="P5072">
        <v>-9.0879589999999996E-2</v>
      </c>
      <c r="Q5072">
        <v>0.18490619999999999</v>
      </c>
      <c r="R5072">
        <v>-0.97854540000000001</v>
      </c>
      <c r="S5072">
        <v>-0.24694820000000001</v>
      </c>
      <c r="T5072">
        <v>-0.13391889999999901</v>
      </c>
      <c r="U5072">
        <v>-3.0666199999999999</v>
      </c>
      <c r="V5072">
        <v>0.1057263</v>
      </c>
      <c r="W5072">
        <v>0.18906110000000001</v>
      </c>
      <c r="X5072">
        <v>0.97625709999999999</v>
      </c>
      <c r="Y5072">
        <v>9.0062069999999994E-2</v>
      </c>
      <c r="Z5072">
        <v>3.6353780000000002E-2</v>
      </c>
      <c r="AA5072">
        <v>0.9952725</v>
      </c>
      <c r="AB5072">
        <v>31</v>
      </c>
      <c r="AC5072">
        <v>-1.9839</v>
      </c>
      <c r="AD5072">
        <v>-1.0817194835920001</v>
      </c>
      <c r="AE5072">
        <v>-24.260961000000002</v>
      </c>
      <c r="AF5072">
        <v>2.2195843225379099</v>
      </c>
      <c r="AG5072">
        <v>-1.0817194835920001</v>
      </c>
      <c r="AH5072">
        <v>24.192358569857301</v>
      </c>
      <c r="AI5072">
        <v>92.549482929777298</v>
      </c>
      <c r="AJ5072">
        <v>84.757940768744206</v>
      </c>
      <c r="AK5072">
        <v>24.318036203167999</v>
      </c>
      <c r="AL5072">
        <v>79.102004269434204</v>
      </c>
      <c r="AM5072">
        <v>83.819093514515004</v>
      </c>
      <c r="AN5072">
        <v>1.0000000376726501</v>
      </c>
    </row>
    <row r="5073" spans="1:40" x14ac:dyDescent="0.25">
      <c r="A5073" t="str">
        <f>"20190303171116088"</f>
        <v>20190303171116088</v>
      </c>
      <c r="B5073" t="str">
        <f>"1551604276076060"</f>
        <v>1551604276076060</v>
      </c>
      <c r="C5073" t="s">
        <v>40</v>
      </c>
      <c r="D5073">
        <v>5.3188950000000004</v>
      </c>
      <c r="E5073">
        <v>0.50160709999999997</v>
      </c>
      <c r="F5073" t="s">
        <v>42</v>
      </c>
      <c r="G5073">
        <v>-305.03129999999999</v>
      </c>
      <c r="H5073" s="1">
        <v>-1.728766E-6</v>
      </c>
      <c r="I5073">
        <v>-29.501609999999999</v>
      </c>
      <c r="J5073">
        <v>-302.66919999999999</v>
      </c>
      <c r="K5073">
        <v>1.0853250000000001</v>
      </c>
      <c r="L5073">
        <v>-3.580444</v>
      </c>
      <c r="M5073">
        <v>-2.766732E-3</v>
      </c>
      <c r="N5073">
        <v>-7.2169109999999899E-3</v>
      </c>
      <c r="O5073">
        <v>-0.99997009999999997</v>
      </c>
      <c r="P5073">
        <v>-0.1043309</v>
      </c>
      <c r="Q5073">
        <v>0.1883909</v>
      </c>
      <c r="R5073">
        <v>-0.97653679999999998</v>
      </c>
      <c r="S5073">
        <v>-0.27642820000000001</v>
      </c>
      <c r="T5073">
        <v>-0.12621579999999999</v>
      </c>
      <c r="U5073">
        <v>-3.063965</v>
      </c>
      <c r="V5073">
        <v>0.1066821</v>
      </c>
      <c r="W5073">
        <v>0.1927237</v>
      </c>
      <c r="X5073">
        <v>0.97543659999999999</v>
      </c>
      <c r="Y5073">
        <v>8.7031810000000001E-2</v>
      </c>
      <c r="Z5073">
        <v>3.3786299999999998E-2</v>
      </c>
      <c r="AA5073">
        <v>0.99563239999999997</v>
      </c>
      <c r="AB5073">
        <v>31</v>
      </c>
      <c r="AC5073">
        <v>-2.3620999999999901</v>
      </c>
      <c r="AD5073">
        <v>-1.085326728766</v>
      </c>
      <c r="AE5073">
        <v>-25.921165999999999</v>
      </c>
      <c r="AF5073">
        <v>2.2863968498423501</v>
      </c>
      <c r="AG5073">
        <v>-1.085326728766</v>
      </c>
      <c r="AH5073">
        <v>25.882600610988298</v>
      </c>
      <c r="AI5073">
        <v>92.391855349018499</v>
      </c>
      <c r="AJ5073">
        <v>84.9517544704035</v>
      </c>
      <c r="AK5073">
        <v>26.0060485089734</v>
      </c>
      <c r="AL5073">
        <v>78.888221248201802</v>
      </c>
      <c r="AM5073">
        <v>83.758450061722996</v>
      </c>
      <c r="AN5073">
        <v>1.0000000278108201</v>
      </c>
    </row>
    <row r="5074" spans="1:40" x14ac:dyDescent="0.25">
      <c r="A5074" t="str">
        <f>"20190303171116110"</f>
        <v>20190303171116110</v>
      </c>
      <c r="B5074" t="str">
        <f>"1551604276096360"</f>
        <v>1551604276096360</v>
      </c>
      <c r="C5074" t="s">
        <v>40</v>
      </c>
      <c r="D5074">
        <v>5.0880400000000003</v>
      </c>
      <c r="E5074">
        <v>0.5007585</v>
      </c>
      <c r="F5074" t="s">
        <v>42</v>
      </c>
      <c r="G5074">
        <v>-305.54820000000001</v>
      </c>
      <c r="H5074" s="1">
        <v>-4.6063640000000003E-6</v>
      </c>
      <c r="I5074">
        <v>-32.369190000000003</v>
      </c>
      <c r="J5074">
        <v>-302.67869999999999</v>
      </c>
      <c r="K5074">
        <v>1.08847</v>
      </c>
      <c r="L5074">
        <v>-3.8785400000000001</v>
      </c>
      <c r="M5074">
        <v>-1.332123E-2</v>
      </c>
      <c r="N5074">
        <v>-7.4652009999999899E-3</v>
      </c>
      <c r="O5074">
        <v>-0.99988350000000004</v>
      </c>
      <c r="P5074">
        <v>-0.11470279999999999</v>
      </c>
      <c r="Q5074">
        <v>0.18837509999999999</v>
      </c>
      <c r="R5074">
        <v>-0.97537600000000002</v>
      </c>
      <c r="S5074">
        <v>-0.30618289999999998</v>
      </c>
      <c r="T5074">
        <v>-0.1154234</v>
      </c>
      <c r="U5074">
        <v>-3.0616460000000001</v>
      </c>
      <c r="V5074">
        <v>0.1065622</v>
      </c>
      <c r="W5074">
        <v>0.1930568</v>
      </c>
      <c r="X5074">
        <v>0.97538380000000002</v>
      </c>
      <c r="Y5074">
        <v>8.6185940000000003E-2</v>
      </c>
      <c r="Z5074">
        <v>3.004853E-2</v>
      </c>
      <c r="AA5074">
        <v>0.99582579999999998</v>
      </c>
      <c r="AB5074">
        <v>31</v>
      </c>
      <c r="AC5074">
        <v>-2.8695000000000102</v>
      </c>
      <c r="AD5074">
        <v>-1.0884746063640001</v>
      </c>
      <c r="AE5074">
        <v>-28.490649999999999</v>
      </c>
      <c r="AF5074">
        <v>2.4861120580804101</v>
      </c>
      <c r="AG5074">
        <v>-1.0884746063640001</v>
      </c>
      <c r="AH5074">
        <v>28.4851888965797</v>
      </c>
      <c r="AI5074">
        <v>92.180039513125394</v>
      </c>
      <c r="AJ5074">
        <v>85.012015111460101</v>
      </c>
      <c r="AK5074">
        <v>28.614183836130199</v>
      </c>
      <c r="AL5074">
        <v>78.868770368419106</v>
      </c>
      <c r="AM5074">
        <v>83.765074829896605</v>
      </c>
      <c r="AN5074">
        <v>0.99999999389876004</v>
      </c>
    </row>
    <row r="5075" spans="1:40" x14ac:dyDescent="0.25">
      <c r="A5075" t="str">
        <f>"20190303171116131"</f>
        <v>20190303171116131</v>
      </c>
      <c r="B5075" t="str">
        <f>"1551604276115860"</f>
        <v>1551604276115860</v>
      </c>
      <c r="C5075" t="s">
        <v>40</v>
      </c>
      <c r="D5075">
        <v>5.1629750000000003</v>
      </c>
      <c r="E5075">
        <v>0.50066659999999996</v>
      </c>
      <c r="F5075" t="s">
        <v>42</v>
      </c>
      <c r="G5075">
        <v>-305.75420000000003</v>
      </c>
      <c r="H5075" s="1">
        <v>-4.6608180000000004E-6</v>
      </c>
      <c r="I5075">
        <v>-32.316549999999999</v>
      </c>
      <c r="J5075">
        <v>-302.69189999999998</v>
      </c>
      <c r="K5075">
        <v>1.0916699999999999</v>
      </c>
      <c r="L5075">
        <v>-4.1922300000000003</v>
      </c>
      <c r="M5075">
        <v>-2.3758709999999999E-2</v>
      </c>
      <c r="N5075">
        <v>-7.8412900000000008E-3</v>
      </c>
      <c r="O5075">
        <v>-0.99968699999999999</v>
      </c>
      <c r="P5075">
        <v>-0.12226239999999999</v>
      </c>
      <c r="Q5075">
        <v>0.18365909999999999</v>
      </c>
      <c r="R5075">
        <v>-0.97535720000000004</v>
      </c>
      <c r="S5075">
        <v>-0.33087159999999999</v>
      </c>
      <c r="T5075">
        <v>-0.11710139999999999</v>
      </c>
      <c r="U5075">
        <v>-3.0594480000000002</v>
      </c>
      <c r="V5075">
        <v>0.103589899999999</v>
      </c>
      <c r="W5075">
        <v>0.18890470000000001</v>
      </c>
      <c r="X5075">
        <v>0.97651639999999995</v>
      </c>
      <c r="Y5075">
        <v>8.3804320000000002E-2</v>
      </c>
      <c r="Z5075">
        <v>3.02264E-2</v>
      </c>
      <c r="AA5075">
        <v>0.99602369999999996</v>
      </c>
      <c r="AB5075">
        <v>31</v>
      </c>
      <c r="AC5075">
        <v>-3.0623000000000502</v>
      </c>
      <c r="AD5075">
        <v>-1.0916746608179999</v>
      </c>
      <c r="AE5075">
        <v>-28.124320000000001</v>
      </c>
      <c r="AF5075">
        <v>2.3896591641684601</v>
      </c>
      <c r="AG5075">
        <v>-1.0916746608179999</v>
      </c>
      <c r="AH5075">
        <v>28.1472270717002</v>
      </c>
      <c r="AI5075">
        <v>92.213118409074895</v>
      </c>
      <c r="AJ5075">
        <v>85.147307285079606</v>
      </c>
      <c r="AK5075">
        <v>28.2695705010143</v>
      </c>
      <c r="AL5075">
        <v>79.111130082182598</v>
      </c>
      <c r="AM5075">
        <v>83.944648919548996</v>
      </c>
      <c r="AN5075">
        <v>1.00000006626652</v>
      </c>
    </row>
    <row r="5076" spans="1:40" x14ac:dyDescent="0.25">
      <c r="A5076" t="str">
        <f>"20190303171116171"</f>
        <v>20190303171116171</v>
      </c>
      <c r="B5076" t="str">
        <f>"1551604276165637"</f>
        <v>1551604276165637</v>
      </c>
      <c r="C5076" t="s">
        <v>40</v>
      </c>
      <c r="D5076">
        <v>5.2145419999999998</v>
      </c>
      <c r="E5076">
        <v>0.49117640000000001</v>
      </c>
      <c r="F5076" t="s">
        <v>42</v>
      </c>
      <c r="G5076">
        <v>-305.58580000000001</v>
      </c>
      <c r="H5076" s="1">
        <v>-2.0138600000000001E-6</v>
      </c>
      <c r="I5076">
        <v>-29.180969999999999</v>
      </c>
      <c r="J5076">
        <v>-302.72320000000002</v>
      </c>
      <c r="K5076">
        <v>1.0969979999999999</v>
      </c>
      <c r="L5076">
        <v>-4.7577509999999998</v>
      </c>
      <c r="M5076">
        <v>-4.0747190000000003E-2</v>
      </c>
      <c r="N5076">
        <v>-8.6489229999999993E-3</v>
      </c>
      <c r="O5076">
        <v>-0.99913220000000003</v>
      </c>
      <c r="P5076">
        <v>-0.137074</v>
      </c>
      <c r="Q5076">
        <v>0.17980070000000001</v>
      </c>
      <c r="R5076">
        <v>-0.97410620000000003</v>
      </c>
      <c r="S5076">
        <v>-0.35397339999999999</v>
      </c>
      <c r="T5076">
        <v>-0.1335315</v>
      </c>
      <c r="U5076">
        <v>-3.0565799999999999</v>
      </c>
      <c r="V5076">
        <v>0.1012924</v>
      </c>
      <c r="W5076">
        <v>0.18612529999999999</v>
      </c>
      <c r="X5076">
        <v>0.97729069999999996</v>
      </c>
      <c r="Y5076">
        <v>7.437821E-2</v>
      </c>
      <c r="Z5076">
        <v>3.4763450000000001E-2</v>
      </c>
      <c r="AA5076">
        <v>0.99662399999999995</v>
      </c>
      <c r="AB5076">
        <v>31</v>
      </c>
      <c r="AC5076">
        <v>-2.86259999999998</v>
      </c>
      <c r="AD5076">
        <v>-1.09700001386</v>
      </c>
      <c r="AE5076">
        <v>-24.423219</v>
      </c>
      <c r="AF5076">
        <v>1.8613035367049</v>
      </c>
      <c r="AG5076">
        <v>-1.09700001386</v>
      </c>
      <c r="AH5076">
        <v>24.470880694724901</v>
      </c>
      <c r="AI5076">
        <v>92.559399013477304</v>
      </c>
      <c r="AJ5076">
        <v>85.650345099186893</v>
      </c>
      <c r="AK5076">
        <v>24.566071355868399</v>
      </c>
      <c r="AL5076">
        <v>79.273252496005099</v>
      </c>
      <c r="AM5076">
        <v>84.082642875386597</v>
      </c>
      <c r="AN5076">
        <v>0.99999994495216804</v>
      </c>
    </row>
    <row r="5077" spans="1:40" x14ac:dyDescent="0.25">
      <c r="A5077" t="str">
        <f>"20190303171116204"</f>
        <v>20190303171116204</v>
      </c>
      <c r="B5077" t="str">
        <f>"1551604276195893"</f>
        <v>1551604276195893</v>
      </c>
      <c r="C5077" t="s">
        <v>40</v>
      </c>
      <c r="D5077">
        <v>5.1702219999999999</v>
      </c>
      <c r="E5077">
        <v>0.48991499999999999</v>
      </c>
      <c r="F5077" t="s">
        <v>42</v>
      </c>
      <c r="G5077">
        <v>-305.04419999999999</v>
      </c>
      <c r="H5077" s="1">
        <v>-2.9219349999999998E-6</v>
      </c>
      <c r="I5077">
        <v>-26.728339999999999</v>
      </c>
      <c r="J5077">
        <v>-302.75540000000001</v>
      </c>
      <c r="K5077">
        <v>1.100913</v>
      </c>
      <c r="L5077">
        <v>-5.225098</v>
      </c>
      <c r="M5077">
        <v>-5.3171049999999997E-2</v>
      </c>
      <c r="N5077">
        <v>-9.3338469999999993E-3</v>
      </c>
      <c r="O5077">
        <v>-0.99854180000000003</v>
      </c>
      <c r="P5077">
        <v>-0.1507271</v>
      </c>
      <c r="Q5077">
        <v>0.1806662</v>
      </c>
      <c r="R5077">
        <v>-0.97192639999999997</v>
      </c>
      <c r="S5077">
        <v>-0.32351679999999999</v>
      </c>
      <c r="T5077">
        <v>-0.15290889999999999</v>
      </c>
      <c r="U5077">
        <v>-3.0624389999999999</v>
      </c>
      <c r="V5077">
        <v>0.1025142</v>
      </c>
      <c r="W5077">
        <v>0.18782950000000001</v>
      </c>
      <c r="X5077">
        <v>0.97683719999999996</v>
      </c>
      <c r="Y5077">
        <v>5.1928269999999999E-2</v>
      </c>
      <c r="Z5077">
        <v>4.0293059999999999E-2</v>
      </c>
      <c r="AA5077">
        <v>0.99783759999999999</v>
      </c>
      <c r="AB5077">
        <v>31</v>
      </c>
      <c r="AC5077">
        <v>-2.2887999999999802</v>
      </c>
      <c r="AD5077">
        <v>-1.100915921935</v>
      </c>
      <c r="AE5077">
        <v>-21.503242</v>
      </c>
      <c r="AF5077">
        <v>1.13920961975327</v>
      </c>
      <c r="AG5077">
        <v>-1.100915921935</v>
      </c>
      <c r="AH5077">
        <v>21.538699664578701</v>
      </c>
      <c r="AI5077">
        <v>92.921957915280203</v>
      </c>
      <c r="AJ5077">
        <v>86.972373431756296</v>
      </c>
      <c r="AK5077">
        <v>21.5968839804688</v>
      </c>
      <c r="AL5077">
        <v>79.173856665432794</v>
      </c>
      <c r="AM5077">
        <v>84.0090228097216</v>
      </c>
      <c r="AN5077">
        <v>0.99999999878786405</v>
      </c>
    </row>
    <row r="5078" spans="1:40" x14ac:dyDescent="0.25">
      <c r="A5078" t="str">
        <f>"20190303171116228"</f>
        <v>20190303171116228</v>
      </c>
      <c r="B5078" t="str">
        <f>"1551604276215413"</f>
        <v>1551604276215413</v>
      </c>
      <c r="C5078" t="s">
        <v>40</v>
      </c>
      <c r="D5078">
        <v>5.2475930000000002</v>
      </c>
      <c r="E5078">
        <v>0.4893517</v>
      </c>
      <c r="F5078" t="s">
        <v>42</v>
      </c>
      <c r="G5078">
        <v>-305.34969999999998</v>
      </c>
      <c r="H5078" s="1">
        <v>-2.5910580000000002E-6</v>
      </c>
      <c r="I5078">
        <v>-27.689109999999999</v>
      </c>
      <c r="J5078">
        <v>-302.78140000000002</v>
      </c>
      <c r="K5078">
        <v>1.103413</v>
      </c>
      <c r="L5078">
        <v>-5.5592350000000001</v>
      </c>
      <c r="M5078">
        <v>-6.1166470000000001E-2</v>
      </c>
      <c r="N5078">
        <v>-9.8003480000000004E-3</v>
      </c>
      <c r="O5078">
        <v>-0.99807959999999996</v>
      </c>
      <c r="P5078">
        <v>-0.15823280000000001</v>
      </c>
      <c r="Q5078">
        <v>0.17886009999999999</v>
      </c>
      <c r="R5078">
        <v>-0.97106760000000003</v>
      </c>
      <c r="S5078">
        <v>-0.35336299999999998</v>
      </c>
      <c r="T5078">
        <v>-0.14995069999999999</v>
      </c>
      <c r="U5078">
        <v>-3.059723</v>
      </c>
      <c r="V5078">
        <v>0.1019161</v>
      </c>
      <c r="W5078">
        <v>0.18663920000000001</v>
      </c>
      <c r="X5078">
        <v>0.97712790000000005</v>
      </c>
      <c r="Y5078">
        <v>5.364356E-2</v>
      </c>
      <c r="Z5078">
        <v>3.8858999999999998E-2</v>
      </c>
      <c r="AA5078">
        <v>0.99780369999999996</v>
      </c>
      <c r="AB5078">
        <v>31</v>
      </c>
      <c r="AC5078">
        <v>-2.5682999999999598</v>
      </c>
      <c r="AD5078">
        <v>-1.1034155910579999</v>
      </c>
      <c r="AE5078">
        <v>-22.129874999999998</v>
      </c>
      <c r="AF5078">
        <v>1.2068589290968299</v>
      </c>
      <c r="AG5078">
        <v>-1.1034155910579999</v>
      </c>
      <c r="AH5078">
        <v>22.191099630457799</v>
      </c>
      <c r="AI5078">
        <v>92.842399597977703</v>
      </c>
      <c r="AJ5078">
        <v>86.887046074834601</v>
      </c>
      <c r="AK5078">
        <v>22.251268216671001</v>
      </c>
      <c r="AL5078">
        <v>79.2432837302499</v>
      </c>
      <c r="AM5078">
        <v>84.045483324505696</v>
      </c>
      <c r="AN5078">
        <v>1.00000000768713</v>
      </c>
    </row>
    <row r="5079" spans="1:40" x14ac:dyDescent="0.25">
      <c r="A5079" t="str">
        <f>"20190303171116273"</f>
        <v>20190303171116273</v>
      </c>
      <c r="B5079" t="str">
        <f>"1551604276266165"</f>
        <v>1551604276266165</v>
      </c>
      <c r="C5079" t="s">
        <v>40</v>
      </c>
      <c r="D5079">
        <v>5.2817220000000002</v>
      </c>
      <c r="E5079">
        <v>0.4806454</v>
      </c>
      <c r="F5079" t="s">
        <v>42</v>
      </c>
      <c r="G5079">
        <v>-305.42259999999999</v>
      </c>
      <c r="H5079" s="1">
        <v>-2.7932370000000002E-6</v>
      </c>
      <c r="I5079">
        <v>-27.26305</v>
      </c>
      <c r="J5079">
        <v>-302.8365</v>
      </c>
      <c r="K5079">
        <v>1.107531</v>
      </c>
      <c r="L5079">
        <v>-6.1947939999999999</v>
      </c>
      <c r="M5079">
        <v>-7.4328309999999995E-2</v>
      </c>
      <c r="N5079">
        <v>-1.059244E-2</v>
      </c>
      <c r="O5079">
        <v>-0.99717769999999994</v>
      </c>
      <c r="P5079">
        <v>-0.1667025</v>
      </c>
      <c r="Q5079">
        <v>0.17097579999999901</v>
      </c>
      <c r="R5079">
        <v>-0.97107060000000001</v>
      </c>
      <c r="S5079">
        <v>-0.37207030000000002</v>
      </c>
      <c r="T5079">
        <v>-0.15543750000000001</v>
      </c>
      <c r="U5079">
        <v>-3.057404</v>
      </c>
      <c r="V5079">
        <v>9.6783960000000002E-2</v>
      </c>
      <c r="W5079">
        <v>0.1799154</v>
      </c>
      <c r="X5079">
        <v>0.97890929999999998</v>
      </c>
      <c r="Y5079">
        <v>4.6570260000000002E-2</v>
      </c>
      <c r="Z5079">
        <v>3.9817060000000001E-2</v>
      </c>
      <c r="AA5079">
        <v>0.99812109999999998</v>
      </c>
      <c r="AB5079">
        <v>31</v>
      </c>
      <c r="AC5079">
        <v>-2.5860999999999801</v>
      </c>
      <c r="AD5079">
        <v>-1.107533793237</v>
      </c>
      <c r="AE5079">
        <v>-21.068256000000002</v>
      </c>
      <c r="AF5079">
        <v>1.01014000951268</v>
      </c>
      <c r="AG5079">
        <v>-1.107533793237</v>
      </c>
      <c r="AH5079">
        <v>21.144636700048501</v>
      </c>
      <c r="AI5079">
        <v>92.994943098715595</v>
      </c>
      <c r="AJ5079">
        <v>87.264895557900203</v>
      </c>
      <c r="AK5079">
        <v>21.1977044775848</v>
      </c>
      <c r="AL5079">
        <v>79.635168408234904</v>
      </c>
      <c r="AM5079">
        <v>84.353563722631307</v>
      </c>
      <c r="AN5079">
        <v>1.00000005184846</v>
      </c>
    </row>
    <row r="5080" spans="1:40" x14ac:dyDescent="0.25">
      <c r="A5080" t="str">
        <f>"20190303171116305"</f>
        <v>20190303171116305</v>
      </c>
      <c r="B5080" t="str">
        <f>"1551604276295445"</f>
        <v>1551604276295445</v>
      </c>
      <c r="C5080" t="s">
        <v>40</v>
      </c>
      <c r="D5080">
        <v>5.251055</v>
      </c>
      <c r="E5080">
        <v>0.47901749999999998</v>
      </c>
      <c r="F5080" t="s">
        <v>42</v>
      </c>
      <c r="G5080">
        <v>-305.13029999999998</v>
      </c>
      <c r="H5080" s="1">
        <v>-2.6516449999999999E-6</v>
      </c>
      <c r="I5080">
        <v>-27.41178</v>
      </c>
      <c r="J5080">
        <v>-302.87729999999999</v>
      </c>
      <c r="K5080">
        <v>1.109999</v>
      </c>
      <c r="L5080">
        <v>-6.6281739999999996</v>
      </c>
      <c r="M5080">
        <v>-8.1605179999999999E-2</v>
      </c>
      <c r="N5080">
        <v>-1.10486E-2</v>
      </c>
      <c r="O5080">
        <v>-0.99660349999999998</v>
      </c>
      <c r="P5080">
        <v>-0.1747456</v>
      </c>
      <c r="Q5080">
        <v>0.17231740000000001</v>
      </c>
      <c r="R5080">
        <v>-0.96941790000000005</v>
      </c>
      <c r="S5080">
        <v>-0.33090209999999998</v>
      </c>
      <c r="T5080">
        <v>-0.15976949999999901</v>
      </c>
      <c r="U5080">
        <v>-3.0606990000000001</v>
      </c>
      <c r="V5080">
        <v>9.7404320000000003E-2</v>
      </c>
      <c r="W5080">
        <v>0.18189720000000001</v>
      </c>
      <c r="X5080">
        <v>0.97848139999999995</v>
      </c>
      <c r="Y5080">
        <v>2.589253E-2</v>
      </c>
      <c r="Z5080">
        <v>4.0721830000000001E-2</v>
      </c>
      <c r="AA5080">
        <v>0.99883500000000003</v>
      </c>
      <c r="AB5080">
        <v>31</v>
      </c>
      <c r="AC5080">
        <v>-2.2529999999999801</v>
      </c>
      <c r="AD5080">
        <v>-1.110001651645</v>
      </c>
      <c r="AE5080">
        <v>-20.783605999999999</v>
      </c>
      <c r="AF5080">
        <v>0.54778696127715099</v>
      </c>
      <c r="AG5080">
        <v>-1.110001651645</v>
      </c>
      <c r="AH5080">
        <v>20.8393951740786</v>
      </c>
      <c r="AI5080">
        <v>93.047903630913098</v>
      </c>
      <c r="AJ5080">
        <v>88.4942626747833</v>
      </c>
      <c r="AK5080">
        <v>20.876124291712099</v>
      </c>
      <c r="AL5080">
        <v>79.519714348113396</v>
      </c>
      <c r="AM5080">
        <v>84.315138950509706</v>
      </c>
      <c r="AN5080">
        <v>1.00000002153423</v>
      </c>
    </row>
    <row r="5081" spans="1:40" x14ac:dyDescent="0.25">
      <c r="A5081" t="str">
        <f>"20190303171116329"</f>
        <v>20190303171116329</v>
      </c>
      <c r="B5081" t="str">
        <f>"1551604276316000"</f>
        <v>1551604276316000</v>
      </c>
      <c r="C5081" t="s">
        <v>40</v>
      </c>
      <c r="D5081">
        <v>5.2937379999999896</v>
      </c>
      <c r="E5081">
        <v>0.47850860000000001</v>
      </c>
      <c r="F5081" t="s">
        <v>42</v>
      </c>
      <c r="G5081">
        <v>-305.20999999999998</v>
      </c>
      <c r="H5081" s="1">
        <v>-2.5361429999999999E-6</v>
      </c>
      <c r="I5081">
        <v>-27.730429999999998</v>
      </c>
      <c r="J5081">
        <v>-302.91230000000002</v>
      </c>
      <c r="K5081">
        <v>1.1117589999999999</v>
      </c>
      <c r="L5081">
        <v>-6.9839779999999996</v>
      </c>
      <c r="M5081">
        <v>-8.6704329999999996E-2</v>
      </c>
      <c r="N5081">
        <v>-1.138022E-2</v>
      </c>
      <c r="O5081">
        <v>-0.99616930000000004</v>
      </c>
      <c r="P5081">
        <v>-0.17691009999999999</v>
      </c>
      <c r="Q5081">
        <v>0.16964179999999901</v>
      </c>
      <c r="R5081">
        <v>-0.9694971</v>
      </c>
      <c r="S5081">
        <v>-0.338501</v>
      </c>
      <c r="T5081">
        <v>-0.161078</v>
      </c>
      <c r="U5081">
        <v>-3.0622560000000001</v>
      </c>
      <c r="V5081">
        <v>9.4197119999999995E-2</v>
      </c>
      <c r="W5081">
        <v>0.17975350000000001</v>
      </c>
      <c r="X5081">
        <v>0.97919129999999999</v>
      </c>
      <c r="Y5081">
        <v>2.3171710000000002E-2</v>
      </c>
      <c r="Z5081">
        <v>4.0753530000000003E-2</v>
      </c>
      <c r="AA5081">
        <v>0.99890049999999997</v>
      </c>
      <c r="AB5081">
        <v>31</v>
      </c>
      <c r="AC5081">
        <v>-2.2976999999999599</v>
      </c>
      <c r="AD5081">
        <v>-1.111761536143</v>
      </c>
      <c r="AE5081">
        <v>-20.746452000000001</v>
      </c>
      <c r="AF5081">
        <v>0.48873612889596801</v>
      </c>
      <c r="AG5081">
        <v>-1.111761536143</v>
      </c>
      <c r="AH5081">
        <v>20.808514725191301</v>
      </c>
      <c r="AI5081">
        <v>93.057461053055505</v>
      </c>
      <c r="AJ5081">
        <v>88.654523385176901</v>
      </c>
      <c r="AK5081">
        <v>20.8439238576963</v>
      </c>
      <c r="AL5081">
        <v>79.6445978943066</v>
      </c>
      <c r="AM5081">
        <v>84.505118051367603</v>
      </c>
      <c r="AN5081">
        <v>1.00000001008711</v>
      </c>
    </row>
    <row r="5082" spans="1:40" x14ac:dyDescent="0.25">
      <c r="A5082" t="str">
        <f>"20190303171116355"</f>
        <v>20190303171116355</v>
      </c>
      <c r="B5082" t="str">
        <f>"1551604276346256"</f>
        <v>1551604276346256</v>
      </c>
      <c r="C5082" t="s">
        <v>40</v>
      </c>
      <c r="D5082">
        <v>5.2958530000000001</v>
      </c>
      <c r="E5082">
        <v>0.4775665</v>
      </c>
      <c r="F5082" t="s">
        <v>42</v>
      </c>
      <c r="G5082">
        <v>-305.19659999999999</v>
      </c>
      <c r="H5082" s="1">
        <v>-2.6592220000000001E-6</v>
      </c>
      <c r="I5082">
        <v>-27.43525</v>
      </c>
      <c r="J5082">
        <v>-302.94740000000002</v>
      </c>
      <c r="K5082">
        <v>1.1132409999999999</v>
      </c>
      <c r="L5082">
        <v>-7.3311770000000003</v>
      </c>
      <c r="M5082">
        <v>-9.1003749999999994E-2</v>
      </c>
      <c r="N5082">
        <v>-1.166937E-2</v>
      </c>
      <c r="O5082">
        <v>-0.9957821</v>
      </c>
      <c r="P5082">
        <v>-0.17647289999999999</v>
      </c>
      <c r="Q5082">
        <v>0.1663975</v>
      </c>
      <c r="R5082">
        <v>-0.97013850000000001</v>
      </c>
      <c r="S5082">
        <v>-0.34191890000000003</v>
      </c>
      <c r="T5082">
        <v>-0.16640750000000001</v>
      </c>
      <c r="U5082">
        <v>-3.0611269999999999</v>
      </c>
      <c r="V5082">
        <v>8.9170689999999997E-2</v>
      </c>
      <c r="W5082">
        <v>0.17699000000000001</v>
      </c>
      <c r="X5082">
        <v>0.98016479999999995</v>
      </c>
      <c r="Y5082">
        <v>1.9991749999999999E-2</v>
      </c>
      <c r="Z5082">
        <v>4.2175259999999999E-2</v>
      </c>
      <c r="AA5082">
        <v>0.99891019999999997</v>
      </c>
      <c r="AB5082">
        <v>31</v>
      </c>
      <c r="AC5082">
        <v>-2.2491999999999699</v>
      </c>
      <c r="AD5082">
        <v>-1.1132436592220001</v>
      </c>
      <c r="AE5082">
        <v>-20.104073</v>
      </c>
      <c r="AF5082">
        <v>0.40895655197818798</v>
      </c>
      <c r="AG5082">
        <v>-1.1132436592220001</v>
      </c>
      <c r="AH5082">
        <v>20.164275278314602</v>
      </c>
      <c r="AI5082">
        <v>93.159369807681102</v>
      </c>
      <c r="AJ5082">
        <v>88.838129701142506</v>
      </c>
      <c r="AK5082">
        <v>20.199122614753701</v>
      </c>
      <c r="AL5082">
        <v>79.805514862051396</v>
      </c>
      <c r="AM5082">
        <v>84.801814315460305</v>
      </c>
      <c r="AN5082">
        <v>0.99999995360705696</v>
      </c>
    </row>
    <row r="5083" spans="1:40" x14ac:dyDescent="0.25">
      <c r="A5083" t="str">
        <f>"20190303171116381"</f>
        <v>20190303171116381</v>
      </c>
      <c r="B5083" t="str">
        <f>"1551604276375536"</f>
        <v>1551604276375536</v>
      </c>
      <c r="C5083" t="s">
        <v>40</v>
      </c>
      <c r="D5083">
        <v>5.2919199999999904</v>
      </c>
      <c r="E5083">
        <v>0.47669850000000002</v>
      </c>
      <c r="F5083" t="s">
        <v>42</v>
      </c>
      <c r="G5083">
        <v>-305.05130000000003</v>
      </c>
      <c r="H5083" s="1">
        <v>-2.9751390000000001E-6</v>
      </c>
      <c r="I5083">
        <v>-26.608689999999999</v>
      </c>
      <c r="J5083">
        <v>-302.98349999999999</v>
      </c>
      <c r="K5083">
        <v>1.1145320000000001</v>
      </c>
      <c r="L5083">
        <v>-7.6799929999999996</v>
      </c>
      <c r="M5083">
        <v>-9.4537560000000007E-2</v>
      </c>
      <c r="N5083">
        <v>-1.192144E-2</v>
      </c>
      <c r="O5083">
        <v>-0.99544999999999995</v>
      </c>
      <c r="P5083">
        <v>-0.17578489999999999</v>
      </c>
      <c r="Q5083">
        <v>0.1647662</v>
      </c>
      <c r="R5083">
        <v>-0.97054229999999997</v>
      </c>
      <c r="S5083">
        <v>-0.33416750000000001</v>
      </c>
      <c r="T5083">
        <v>-0.17681910000000001</v>
      </c>
      <c r="U5083">
        <v>-3.06189</v>
      </c>
      <c r="V5083">
        <v>8.4703619999999993E-2</v>
      </c>
      <c r="W5083">
        <v>0.17577200000000001</v>
      </c>
      <c r="X5083">
        <v>0.98078010000000004</v>
      </c>
      <c r="Y5083">
        <v>1.3903860000000001E-2</v>
      </c>
      <c r="Z5083">
        <v>4.5249659999999997E-2</v>
      </c>
      <c r="AA5083">
        <v>0.99887899999999996</v>
      </c>
      <c r="AB5083">
        <v>31</v>
      </c>
      <c r="AC5083">
        <v>-2.0678000000000298</v>
      </c>
      <c r="AD5083">
        <v>-1.1145349751389999</v>
      </c>
      <c r="AE5083">
        <v>-18.928697</v>
      </c>
      <c r="AF5083">
        <v>0.26801952109813898</v>
      </c>
      <c r="AG5083">
        <v>-1.1145349751389999</v>
      </c>
      <c r="AH5083">
        <v>18.9744002646088</v>
      </c>
      <c r="AI5083">
        <v>93.361292629264</v>
      </c>
      <c r="AJ5083">
        <v>89.190732462276102</v>
      </c>
      <c r="AK5083">
        <v>19.008994925457898</v>
      </c>
      <c r="AL5083">
        <v>79.876413673029703</v>
      </c>
      <c r="AM5083">
        <v>85.0639826110298</v>
      </c>
      <c r="AN5083">
        <v>1.0000000518905501</v>
      </c>
    </row>
    <row r="5084" spans="1:40" x14ac:dyDescent="0.25">
      <c r="A5084" t="str">
        <f>"20190303171116405"</f>
        <v>20190303171116405</v>
      </c>
      <c r="B5084" t="str">
        <f>"1551604276396032"</f>
        <v>1551604276396032</v>
      </c>
      <c r="C5084" t="s">
        <v>40</v>
      </c>
      <c r="D5084">
        <v>5.2720449999999897</v>
      </c>
      <c r="E5084">
        <v>0.47613359999999899</v>
      </c>
      <c r="F5084" t="s">
        <v>42</v>
      </c>
      <c r="G5084">
        <v>-304.94889999999998</v>
      </c>
      <c r="H5084" s="1">
        <v>-3.1335620000000002E-6</v>
      </c>
      <c r="I5084">
        <v>-26.17595</v>
      </c>
      <c r="J5084">
        <v>-303.0204</v>
      </c>
      <c r="K5084">
        <v>1.115667</v>
      </c>
      <c r="L5084">
        <v>-8.0302729999999993</v>
      </c>
      <c r="M5084">
        <v>-9.7428109999999998E-2</v>
      </c>
      <c r="N5084">
        <v>-1.214253E-2</v>
      </c>
      <c r="O5084">
        <v>-0.99516859999999996</v>
      </c>
      <c r="P5084">
        <v>-0.1743603</v>
      </c>
      <c r="Q5084">
        <v>0.1651513</v>
      </c>
      <c r="R5084">
        <v>-0.97073379999999998</v>
      </c>
      <c r="S5084">
        <v>-0.32553100000000001</v>
      </c>
      <c r="T5084">
        <v>-0.18459819999999999</v>
      </c>
      <c r="U5084">
        <v>-3.0634459999999999</v>
      </c>
      <c r="V5084">
        <v>8.0185530000000005E-2</v>
      </c>
      <c r="W5084">
        <v>0.17651929999999999</v>
      </c>
      <c r="X5084">
        <v>0.98102560000000005</v>
      </c>
      <c r="Y5084">
        <v>8.1521089999999994E-3</v>
      </c>
      <c r="Z5084">
        <v>4.7490579999999998E-2</v>
      </c>
      <c r="AA5084">
        <v>0.99883840000000002</v>
      </c>
      <c r="AB5084">
        <v>31</v>
      </c>
      <c r="AC5084">
        <v>-1.9284999999999799</v>
      </c>
      <c r="AD5084">
        <v>-1.1156701335619901</v>
      </c>
      <c r="AE5084">
        <v>-18.145676999999999</v>
      </c>
      <c r="AF5084">
        <v>0.15073132350385501</v>
      </c>
      <c r="AG5084">
        <v>-1.1156701335619901</v>
      </c>
      <c r="AH5084">
        <v>18.179285896646402</v>
      </c>
      <c r="AI5084">
        <v>93.511740254079896</v>
      </c>
      <c r="AJ5084">
        <v>89.524949944196607</v>
      </c>
      <c r="AK5084">
        <v>18.214111987434698</v>
      </c>
      <c r="AL5084">
        <v>79.832915940087005</v>
      </c>
      <c r="AM5084">
        <v>85.327235075145097</v>
      </c>
      <c r="AN5084">
        <v>1.0000000051746101</v>
      </c>
    </row>
    <row r="5085" spans="1:40" x14ac:dyDescent="0.25">
      <c r="A5085" t="str">
        <f>"20190303171116438"</f>
        <v>20190303171116438</v>
      </c>
      <c r="B5085" t="str">
        <f>"1551604276425821"</f>
        <v>1551604276425821</v>
      </c>
      <c r="C5085" t="s">
        <v>40</v>
      </c>
      <c r="D5085">
        <v>5.2816409999999996</v>
      </c>
      <c r="E5085">
        <v>0.47547719999999999</v>
      </c>
      <c r="F5085" t="s">
        <v>42</v>
      </c>
      <c r="G5085">
        <v>-304.94709999999998</v>
      </c>
      <c r="H5085" s="1">
        <v>-2.8949259999999999E-6</v>
      </c>
      <c r="I5085">
        <v>-26.731100000000001</v>
      </c>
      <c r="J5085">
        <v>-303.06880000000001</v>
      </c>
      <c r="K5085">
        <v>1.1169209999999901</v>
      </c>
      <c r="L5085">
        <v>-8.4840090000000004</v>
      </c>
      <c r="M5085">
        <v>-0.100481</v>
      </c>
      <c r="N5085">
        <v>-1.239179E-2</v>
      </c>
      <c r="O5085">
        <v>-0.99486169999999996</v>
      </c>
      <c r="P5085">
        <v>-0.17301659999999999</v>
      </c>
      <c r="Q5085">
        <v>0.16522300000000001</v>
      </c>
      <c r="R5085">
        <v>-0.97096139999999997</v>
      </c>
      <c r="S5085">
        <v>-0.31576539999999997</v>
      </c>
      <c r="T5085">
        <v>-0.18284549999999999</v>
      </c>
      <c r="U5085">
        <v>-3.0648499999999999</v>
      </c>
      <c r="V5085">
        <v>7.5548840000000006E-2</v>
      </c>
      <c r="W5085">
        <v>0.176982</v>
      </c>
      <c r="X5085">
        <v>0.98131020000000002</v>
      </c>
      <c r="Y5085">
        <v>1.894225E-3</v>
      </c>
      <c r="Z5085">
        <v>4.6635929999999999E-2</v>
      </c>
      <c r="AA5085">
        <v>0.99891010000000002</v>
      </c>
      <c r="AB5085">
        <v>31</v>
      </c>
      <c r="AC5085">
        <v>-1.8782999999999599</v>
      </c>
      <c r="AD5085">
        <v>-1.1169238949260001</v>
      </c>
      <c r="AE5085">
        <v>-18.247091000000001</v>
      </c>
      <c r="AF5085">
        <v>3.5035589289622103E-2</v>
      </c>
      <c r="AG5085">
        <v>-1.1169238949260001</v>
      </c>
      <c r="AH5085">
        <v>18.275718390174301</v>
      </c>
      <c r="AI5085">
        <v>93.4972858285157</v>
      </c>
      <c r="AJ5085">
        <v>89.890160873730196</v>
      </c>
      <c r="AK5085">
        <v>18.309850604429499</v>
      </c>
      <c r="AL5085">
        <v>79.805980873858303</v>
      </c>
      <c r="AM5085">
        <v>85.597612379247096</v>
      </c>
      <c r="AN5085">
        <v>0.99999998208669205</v>
      </c>
    </row>
    <row r="5086" spans="1:40" x14ac:dyDescent="0.25">
      <c r="A5086" t="str">
        <f>"20190303171116462"</f>
        <v>20190303171116462</v>
      </c>
      <c r="B5086" t="str">
        <f>"1551604276456077"</f>
        <v>1551604276456077</v>
      </c>
      <c r="C5086" t="s">
        <v>40</v>
      </c>
      <c r="D5086">
        <v>5.3196389999999996</v>
      </c>
      <c r="E5086">
        <v>0.47507739999999998</v>
      </c>
      <c r="F5086" t="s">
        <v>42</v>
      </c>
      <c r="G5086">
        <v>-304.93369999999999</v>
      </c>
      <c r="H5086" s="1">
        <v>-2.765774E-6</v>
      </c>
      <c r="I5086">
        <v>-27.023779999999999</v>
      </c>
      <c r="J5086">
        <v>-303.10649999999998</v>
      </c>
      <c r="K5086">
        <v>1.1176999999999999</v>
      </c>
      <c r="L5086">
        <v>-8.8330690000000001</v>
      </c>
      <c r="M5086">
        <v>-0.102241</v>
      </c>
      <c r="N5086">
        <v>-1.255362E-2</v>
      </c>
      <c r="O5086">
        <v>-0.99468049999999997</v>
      </c>
      <c r="P5086">
        <v>-0.17337330000000001</v>
      </c>
      <c r="Q5086">
        <v>0.16381960000000001</v>
      </c>
      <c r="R5086">
        <v>-0.97113629999999995</v>
      </c>
      <c r="S5086">
        <v>-0.30841059999999998</v>
      </c>
      <c r="T5086">
        <v>-0.1847221</v>
      </c>
      <c r="U5086">
        <v>-3.0661930000000002</v>
      </c>
      <c r="V5086">
        <v>7.3963000000000001E-2</v>
      </c>
      <c r="W5086">
        <v>0.17582410000000001</v>
      </c>
      <c r="X5086">
        <v>0.98163909999999999</v>
      </c>
      <c r="Y5086">
        <v>-2.2913769999999998E-3</v>
      </c>
      <c r="Z5086">
        <v>4.7043109999999999E-2</v>
      </c>
      <c r="AA5086">
        <v>0.99889019999999995</v>
      </c>
      <c r="AB5086">
        <v>31</v>
      </c>
      <c r="AC5086">
        <v>-1.8271999999999999</v>
      </c>
      <c r="AD5086">
        <v>-1.117702765774</v>
      </c>
      <c r="AE5086">
        <v>-18.190711</v>
      </c>
      <c r="AF5086">
        <v>-4.2201875350891899E-2</v>
      </c>
      <c r="AG5086">
        <v>-1.117702765774</v>
      </c>
      <c r="AH5086">
        <v>18.214122674873899</v>
      </c>
      <c r="AI5086">
        <v>93.5115212144146</v>
      </c>
      <c r="AJ5086">
        <v>90.132753306946796</v>
      </c>
      <c r="AK5086">
        <v>18.248432954263698</v>
      </c>
      <c r="AL5086">
        <v>79.873380613619204</v>
      </c>
      <c r="AM5086">
        <v>85.691109331597303</v>
      </c>
      <c r="AN5086">
        <v>0.99999998107930899</v>
      </c>
    </row>
    <row r="5087" spans="1:40" x14ac:dyDescent="0.25">
      <c r="A5087" t="str">
        <f>"20190303171116488"</f>
        <v>20190303171116488</v>
      </c>
      <c r="B5087" t="str">
        <f>"1551604276475597"</f>
        <v>1551604276475597</v>
      </c>
      <c r="C5087" t="s">
        <v>40</v>
      </c>
      <c r="D5087">
        <v>5.2866629999999999</v>
      </c>
      <c r="E5087">
        <v>0.46996589999999999</v>
      </c>
      <c r="F5087" t="s">
        <v>42</v>
      </c>
      <c r="G5087">
        <v>-304.91329999999999</v>
      </c>
      <c r="H5087" s="1">
        <v>-2.8377980000000001E-6</v>
      </c>
      <c r="I5087">
        <v>-26.843260000000001</v>
      </c>
      <c r="J5087">
        <v>-303.14420000000001</v>
      </c>
      <c r="K5087">
        <v>1.118366</v>
      </c>
      <c r="L5087">
        <v>-9.1809689999999993</v>
      </c>
      <c r="M5087">
        <v>-0.10361140000000001</v>
      </c>
      <c r="N5087">
        <v>-1.269524E-2</v>
      </c>
      <c r="O5087">
        <v>-0.99453709999999995</v>
      </c>
      <c r="P5087">
        <v>-0.17263339999999999</v>
      </c>
      <c r="Q5087">
        <v>0.1620385</v>
      </c>
      <c r="R5087">
        <v>-0.97156679999999995</v>
      </c>
      <c r="S5087">
        <v>-0.30761719999999998</v>
      </c>
      <c r="T5087">
        <v>-0.19029570000000001</v>
      </c>
      <c r="U5087">
        <v>-3.0663450000000001</v>
      </c>
      <c r="V5087">
        <v>7.1664110000000003E-2</v>
      </c>
      <c r="W5087">
        <v>0.1742612</v>
      </c>
      <c r="X5087">
        <v>0.98208819999999997</v>
      </c>
      <c r="Y5087">
        <v>-3.9372460000000001E-3</v>
      </c>
      <c r="Z5087">
        <v>4.8677819999999997E-2</v>
      </c>
      <c r="AA5087">
        <v>0.99880679999999999</v>
      </c>
      <c r="AB5087">
        <v>31</v>
      </c>
      <c r="AC5087">
        <v>-1.7690999999999799</v>
      </c>
      <c r="AD5087">
        <v>-1.1183688377979999</v>
      </c>
      <c r="AE5087">
        <v>-17.6622909999999</v>
      </c>
      <c r="AF5087">
        <v>-7.0305701895980899E-2</v>
      </c>
      <c r="AG5087">
        <v>-1.1183688377979999</v>
      </c>
      <c r="AH5087">
        <v>17.680345410592</v>
      </c>
      <c r="AI5087">
        <v>93.619389240451198</v>
      </c>
      <c r="AJ5087">
        <v>90.227834845358899</v>
      </c>
      <c r="AK5087">
        <v>17.715820770907499</v>
      </c>
      <c r="AL5087">
        <v>79.964332321064703</v>
      </c>
      <c r="AM5087">
        <v>85.826458062460702</v>
      </c>
      <c r="AN5087">
        <v>0.99999997153338505</v>
      </c>
    </row>
    <row r="5088" spans="1:40" x14ac:dyDescent="0.25">
      <c r="A5088" t="str">
        <f>"20190303171116509"</f>
        <v>20190303171116509</v>
      </c>
      <c r="B5088" t="str">
        <f>"1551604276496093"</f>
        <v>1551604276496093</v>
      </c>
      <c r="C5088" t="s">
        <v>40</v>
      </c>
      <c r="D5088">
        <v>5.3077439999999996</v>
      </c>
      <c r="E5088">
        <v>0.47009000000000001</v>
      </c>
      <c r="F5088" t="s">
        <v>42</v>
      </c>
      <c r="G5088">
        <v>-304.89870000000002</v>
      </c>
      <c r="H5088" s="1">
        <v>-1.7070389999999999E-6</v>
      </c>
      <c r="I5088">
        <v>-29.470020000000002</v>
      </c>
      <c r="J5088">
        <v>-303.17599999999999</v>
      </c>
      <c r="K5088">
        <v>1.1188990000000001</v>
      </c>
      <c r="L5088">
        <v>-9.4750669999999992</v>
      </c>
      <c r="M5088">
        <v>-0.1044283</v>
      </c>
      <c r="N5088">
        <v>-1.2800890000000001E-2</v>
      </c>
      <c r="O5088">
        <v>-0.99445019999999995</v>
      </c>
      <c r="P5088">
        <v>-0.1717003</v>
      </c>
      <c r="Q5088">
        <v>0.16153879999999901</v>
      </c>
      <c r="R5088">
        <v>-0.97181519999999999</v>
      </c>
      <c r="S5088">
        <v>-0.26538089999999998</v>
      </c>
      <c r="T5088">
        <v>-0.16916010000000001</v>
      </c>
      <c r="U5088">
        <v>-3.068848</v>
      </c>
      <c r="V5088">
        <v>6.9769449999999997E-2</v>
      </c>
      <c r="W5088">
        <v>0.1739269</v>
      </c>
      <c r="X5088">
        <v>0.98228389999999999</v>
      </c>
      <c r="Y5088">
        <v>-1.843299E-2</v>
      </c>
      <c r="Z5088">
        <v>4.1753279999999997E-2</v>
      </c>
      <c r="AA5088">
        <v>0.99895789999999995</v>
      </c>
      <c r="AB5088">
        <v>31</v>
      </c>
      <c r="AC5088">
        <v>-1.7227000000000301</v>
      </c>
      <c r="AD5088">
        <v>-1.118900707039</v>
      </c>
      <c r="AE5088">
        <v>-19.994952999999999</v>
      </c>
      <c r="AF5088">
        <v>-0.37376844361410999</v>
      </c>
      <c r="AG5088">
        <v>-1.118900707039</v>
      </c>
      <c r="AH5088">
        <v>20.0033468834107</v>
      </c>
      <c r="AI5088">
        <v>93.200984294328194</v>
      </c>
      <c r="AJ5088">
        <v>91.070463990863104</v>
      </c>
      <c r="AK5088">
        <v>20.038101910603</v>
      </c>
      <c r="AL5088">
        <v>79.983783639424701</v>
      </c>
      <c r="AM5088">
        <v>85.937230655231801</v>
      </c>
      <c r="AN5088">
        <v>1.0000000014480599</v>
      </c>
    </row>
    <row r="5089" spans="1:40" x14ac:dyDescent="0.25">
      <c r="A5089" t="str">
        <f>"20190303171116535"</f>
        <v>20190303171116535</v>
      </c>
      <c r="B5089" t="str">
        <f>"1551604276525373"</f>
        <v>1551604276525373</v>
      </c>
      <c r="C5089" t="s">
        <v>40</v>
      </c>
      <c r="D5089">
        <v>5.4159449999999998</v>
      </c>
      <c r="E5089">
        <v>0.45201530000000001</v>
      </c>
      <c r="F5089" t="s">
        <v>42</v>
      </c>
      <c r="G5089">
        <v>-304.90839999999997</v>
      </c>
      <c r="H5089" s="1">
        <v>-1.5862219999999999E-6</v>
      </c>
      <c r="I5089">
        <v>-29.757680000000001</v>
      </c>
      <c r="J5089">
        <v>-303.21409999999997</v>
      </c>
      <c r="K5089">
        <v>1.119497</v>
      </c>
      <c r="L5089">
        <v>-9.8280940000000001</v>
      </c>
      <c r="M5089">
        <v>-0.10501290000000001</v>
      </c>
      <c r="N5089">
        <v>-1.291408E-2</v>
      </c>
      <c r="O5089">
        <v>-0.99438709999999997</v>
      </c>
      <c r="P5089">
        <v>-0.17034070000000001</v>
      </c>
      <c r="Q5089">
        <v>0.16139410000000001</v>
      </c>
      <c r="R5089">
        <v>-0.97207840000000001</v>
      </c>
      <c r="S5089">
        <v>-0.2621155</v>
      </c>
      <c r="T5089">
        <v>-0.16929459999999999</v>
      </c>
      <c r="U5089">
        <v>-3.068848</v>
      </c>
      <c r="V5089">
        <v>6.7650279999999993E-2</v>
      </c>
      <c r="W5089">
        <v>0.17396349999999999</v>
      </c>
      <c r="X5089">
        <v>0.98242560000000001</v>
      </c>
      <c r="Y5089">
        <v>-2.0075010000000001E-2</v>
      </c>
      <c r="Z5089">
        <v>4.168003E-2</v>
      </c>
      <c r="AA5089">
        <v>0.99892930000000002</v>
      </c>
      <c r="AB5089">
        <v>31</v>
      </c>
      <c r="AC5089">
        <v>-1.6942999999999899</v>
      </c>
      <c r="AD5089">
        <v>-1.1194985862219999</v>
      </c>
      <c r="AE5089">
        <v>-19.929585999999901</v>
      </c>
      <c r="AF5089">
        <v>-0.406833053876344</v>
      </c>
      <c r="AG5089">
        <v>-1.1194985862219999</v>
      </c>
      <c r="AH5089">
        <v>19.9348617464209</v>
      </c>
      <c r="AI5089">
        <v>93.213562862497696</v>
      </c>
      <c r="AJ5089">
        <v>91.169136859132905</v>
      </c>
      <c r="AK5089">
        <v>19.970415695903601</v>
      </c>
      <c r="AL5089">
        <v>79.981653727237997</v>
      </c>
      <c r="AM5089">
        <v>86.0608045831639</v>
      </c>
      <c r="AN5089">
        <v>0.99999995962584298</v>
      </c>
    </row>
    <row r="5090" spans="1:40" x14ac:dyDescent="0.25">
      <c r="A5090" t="str">
        <f>"20190303171116555"</f>
        <v>20190303171116555</v>
      </c>
      <c r="B5090" t="str">
        <f>"1551604276545869"</f>
        <v>1551604276545869</v>
      </c>
      <c r="C5090" t="s">
        <v>40</v>
      </c>
      <c r="D5090">
        <v>5.4123289999999997</v>
      </c>
      <c r="E5090">
        <v>0.443911</v>
      </c>
      <c r="F5090" t="s">
        <v>42</v>
      </c>
      <c r="G5090">
        <v>-304.06200000000001</v>
      </c>
      <c r="H5090" s="1">
        <v>-4.3164239999999997E-6</v>
      </c>
      <c r="I5090">
        <v>-32.446480000000001</v>
      </c>
      <c r="J5090">
        <v>-303.24360000000001</v>
      </c>
      <c r="K5090">
        <v>1.1199170000000001</v>
      </c>
      <c r="L5090">
        <v>-10.10327</v>
      </c>
      <c r="M5090">
        <v>-0.105143</v>
      </c>
      <c r="N5090">
        <v>-1.2992160000000001E-2</v>
      </c>
      <c r="O5090">
        <v>-0.99437220000000004</v>
      </c>
      <c r="P5090">
        <v>-0.16961370000000001</v>
      </c>
      <c r="Q5090">
        <v>0.16167970000000001</v>
      </c>
      <c r="R5090">
        <v>-0.97215799999999997</v>
      </c>
      <c r="S5090">
        <v>-0.1158752</v>
      </c>
      <c r="T5090">
        <v>-0.15300329999999901</v>
      </c>
      <c r="U5090">
        <v>-3.091278</v>
      </c>
      <c r="V5090">
        <v>6.6665569999999993E-2</v>
      </c>
      <c r="W5090">
        <v>0.174375799999999</v>
      </c>
      <c r="X5090">
        <v>0.98241979999999995</v>
      </c>
      <c r="Y5090">
        <v>-6.7824170000000003E-2</v>
      </c>
      <c r="Z5090">
        <v>3.5995159999999998E-2</v>
      </c>
      <c r="AA5090">
        <v>0.99704780000000004</v>
      </c>
      <c r="AB5090">
        <v>31</v>
      </c>
      <c r="AC5090">
        <v>-0.81839999999999602</v>
      </c>
      <c r="AD5090">
        <v>-1.1199213164240001</v>
      </c>
      <c r="AE5090">
        <v>-22.343209999999999</v>
      </c>
      <c r="AF5090">
        <v>-1.5317244822889999</v>
      </c>
      <c r="AG5090">
        <v>-1.1199213164240001</v>
      </c>
      <c r="AH5090">
        <v>22.249575127270901</v>
      </c>
      <c r="AI5090">
        <v>92.874730093190493</v>
      </c>
      <c r="AJ5090">
        <v>93.938191943297198</v>
      </c>
      <c r="AK5090">
        <v>22.330338040179701</v>
      </c>
      <c r="AL5090">
        <v>79.957663816555893</v>
      </c>
      <c r="AM5090">
        <v>86.117943620094493</v>
      </c>
      <c r="AN5090">
        <v>0.99999994064054998</v>
      </c>
    </row>
    <row r="5091" spans="1:40" x14ac:dyDescent="0.25">
      <c r="A5091" t="str">
        <f>"20190303171116583"</f>
        <v>20190303171116583</v>
      </c>
      <c r="B5091" t="str">
        <f>"1551604276576125"</f>
        <v>1551604276576125</v>
      </c>
      <c r="C5091" t="s">
        <v>40</v>
      </c>
      <c r="D5091">
        <v>5.407254</v>
      </c>
      <c r="E5091">
        <v>0.44003629999999999</v>
      </c>
      <c r="F5091" t="s">
        <v>42</v>
      </c>
      <c r="G5091">
        <v>-303.6764</v>
      </c>
      <c r="H5091" s="1">
        <v>-2.5692240000000001E-6</v>
      </c>
      <c r="I5091">
        <v>-36.702129999999997</v>
      </c>
      <c r="J5091">
        <v>-303.28289999999998</v>
      </c>
      <c r="K5091">
        <v>1.1204510000000001</v>
      </c>
      <c r="L5091">
        <v>-10.474880000000001</v>
      </c>
      <c r="M5091">
        <v>-0.1048534</v>
      </c>
      <c r="N5091">
        <v>-1.308516E-2</v>
      </c>
      <c r="O5091">
        <v>-0.99440189999999995</v>
      </c>
      <c r="P5091">
        <v>-0.16927919999999999</v>
      </c>
      <c r="Q5091">
        <v>0.1617962</v>
      </c>
      <c r="R5091">
        <v>-0.97219710000000004</v>
      </c>
      <c r="S5091">
        <v>-5.0415040000000001E-2</v>
      </c>
      <c r="T5091">
        <v>-0.1304727</v>
      </c>
      <c r="U5091">
        <v>-3.0988159999999998</v>
      </c>
      <c r="V5091">
        <v>6.6452349999999993E-2</v>
      </c>
      <c r="W5091">
        <v>0.17464579999999999</v>
      </c>
      <c r="X5091">
        <v>0.98238639999999999</v>
      </c>
      <c r="Y5091">
        <v>-8.8645639999999998E-2</v>
      </c>
      <c r="Z5091">
        <v>2.8567559999999999E-2</v>
      </c>
      <c r="AA5091">
        <v>0.99565349999999997</v>
      </c>
      <c r="AB5091">
        <v>31</v>
      </c>
      <c r="AC5091">
        <v>-0.393500000000017</v>
      </c>
      <c r="AD5091">
        <v>-1.1204535692240001</v>
      </c>
      <c r="AE5091">
        <v>-26.227250000000002</v>
      </c>
      <c r="AF5091">
        <v>-2.3546240292531899</v>
      </c>
      <c r="AG5091">
        <v>-1.1204535692240001</v>
      </c>
      <c r="AH5091">
        <v>26.076335125426599</v>
      </c>
      <c r="AI5091">
        <v>92.450426525318207</v>
      </c>
      <c r="AJ5091">
        <v>95.159664270669694</v>
      </c>
      <c r="AK5091">
        <v>26.206390901714801</v>
      </c>
      <c r="AL5091">
        <v>79.941954032812106</v>
      </c>
      <c r="AM5091">
        <v>86.130190857304399</v>
      </c>
      <c r="AN5091">
        <v>1.0000000545915499</v>
      </c>
    </row>
    <row r="5092" spans="1:40" x14ac:dyDescent="0.25">
      <c r="A5092" t="str">
        <f>"20190303171116607"</f>
        <v>20190303171116607</v>
      </c>
      <c r="B5092" t="str">
        <f>"1551604276595645"</f>
        <v>1551604276595645</v>
      </c>
      <c r="C5092" t="s">
        <v>40</v>
      </c>
      <c r="D5092">
        <v>5.4331319999999996</v>
      </c>
      <c r="E5092">
        <v>0.43907590000000002</v>
      </c>
      <c r="F5092" t="s">
        <v>42</v>
      </c>
      <c r="G5092">
        <v>-303.45519999999999</v>
      </c>
      <c r="H5092" s="1">
        <v>-9.8404800000000008E-7</v>
      </c>
      <c r="I5092">
        <v>-40.260039999999996</v>
      </c>
      <c r="J5092">
        <v>-303.31670000000003</v>
      </c>
      <c r="K5092">
        <v>1.12087</v>
      </c>
      <c r="L5092">
        <v>-10.79959</v>
      </c>
      <c r="M5092">
        <v>-0.1042317</v>
      </c>
      <c r="N5092">
        <v>-1.315706E-2</v>
      </c>
      <c r="O5092">
        <v>-0.99446599999999996</v>
      </c>
      <c r="P5092">
        <v>-0.16848840000000001</v>
      </c>
      <c r="Q5092">
        <v>0.16249359999999999</v>
      </c>
      <c r="R5092">
        <v>-0.97221789999999997</v>
      </c>
      <c r="S5092">
        <v>-1.794434E-2</v>
      </c>
      <c r="T5092">
        <v>-0.11669350000000001</v>
      </c>
      <c r="U5092">
        <v>-3.1020810000000001</v>
      </c>
      <c r="V5092">
        <v>6.6148979999999996E-2</v>
      </c>
      <c r="W5092">
        <v>0.17546120000000001</v>
      </c>
      <c r="X5092">
        <v>0.98226150000000001</v>
      </c>
      <c r="Y5092">
        <v>-9.8454559999999997E-2</v>
      </c>
      <c r="Z5092">
        <v>2.4045489999999999E-2</v>
      </c>
      <c r="AA5092">
        <v>0.99485100000000004</v>
      </c>
      <c r="AB5092">
        <v>31</v>
      </c>
      <c r="AC5092">
        <v>-0.13849999999996401</v>
      </c>
      <c r="AD5092">
        <v>-1.120870984048</v>
      </c>
      <c r="AE5092">
        <v>-29.460450000000002</v>
      </c>
      <c r="AF5092">
        <v>-2.9289934077754598</v>
      </c>
      <c r="AG5092">
        <v>-1.120870984048</v>
      </c>
      <c r="AH5092">
        <v>29.272017965886199</v>
      </c>
      <c r="AI5092">
        <v>92.181987470591693</v>
      </c>
      <c r="AJ5092">
        <v>95.714065217544501</v>
      </c>
      <c r="AK5092">
        <v>29.439537869009399</v>
      </c>
      <c r="AL5092">
        <v>79.894501663328398</v>
      </c>
      <c r="AM5092">
        <v>86.147315745307793</v>
      </c>
      <c r="AN5092">
        <v>0.99999998732136497</v>
      </c>
    </row>
    <row r="5093" spans="1:40" x14ac:dyDescent="0.25">
      <c r="A5093" t="str">
        <f>"20190303171116631"</f>
        <v>20190303171116631</v>
      </c>
      <c r="B5093" t="str">
        <f>"1551604276625901"</f>
        <v>1551604276625901</v>
      </c>
      <c r="C5093" t="s">
        <v>40</v>
      </c>
      <c r="D5093">
        <v>5.4302840000000003</v>
      </c>
      <c r="E5093">
        <v>0.43809110000000001</v>
      </c>
      <c r="F5093" t="s">
        <v>68</v>
      </c>
      <c r="G5093">
        <v>-303.3913</v>
      </c>
      <c r="H5093" s="1">
        <v>-1.3949819999999999E-6</v>
      </c>
      <c r="I5093">
        <v>-41.648139999999998</v>
      </c>
      <c r="J5093">
        <v>-303.34980000000002</v>
      </c>
      <c r="K5093">
        <v>1.1212089999999999</v>
      </c>
      <c r="L5093">
        <v>-11.12189</v>
      </c>
      <c r="M5093">
        <v>-0.10331750000000001</v>
      </c>
      <c r="N5093">
        <v>-1.321987E-2</v>
      </c>
      <c r="O5093">
        <v>-0.99456069999999996</v>
      </c>
      <c r="P5093">
        <v>-0.16698080000000001</v>
      </c>
      <c r="Q5093">
        <v>0.16119849999999999</v>
      </c>
      <c r="R5093">
        <v>-0.97269360000000005</v>
      </c>
      <c r="S5093">
        <v>-7.5073240000000001E-3</v>
      </c>
      <c r="T5093">
        <v>-0.1127563</v>
      </c>
      <c r="U5093">
        <v>-3.1032709999999999</v>
      </c>
      <c r="V5093">
        <v>6.5394339999999995E-2</v>
      </c>
      <c r="W5093">
        <v>0.17427300000000001</v>
      </c>
      <c r="X5093">
        <v>0.98252360000000005</v>
      </c>
      <c r="Y5093">
        <v>-0.1008874</v>
      </c>
      <c r="Z5093">
        <v>2.2713899999999999E-2</v>
      </c>
      <c r="AA5093">
        <v>0.99463860000000004</v>
      </c>
      <c r="AB5093">
        <v>31</v>
      </c>
      <c r="AC5093">
        <v>-4.1499999999984903E-2</v>
      </c>
      <c r="AD5093">
        <v>-1.121210394982</v>
      </c>
      <c r="AE5093">
        <v>-30.526250000000001</v>
      </c>
      <c r="AF5093">
        <v>-3.1086994137249602</v>
      </c>
      <c r="AG5093">
        <v>-1.121210394982</v>
      </c>
      <c r="AH5093">
        <v>30.3262345558744</v>
      </c>
      <c r="AI5093">
        <v>92.106326400382699</v>
      </c>
      <c r="AJ5093">
        <v>95.852865797938193</v>
      </c>
      <c r="AK5093">
        <v>30.505763834603801</v>
      </c>
      <c r="AL5093">
        <v>79.963646636061199</v>
      </c>
      <c r="AM5093">
        <v>86.192150843943693</v>
      </c>
      <c r="AN5093">
        <v>1.00000006139499</v>
      </c>
    </row>
    <row r="5094" spans="1:40" x14ac:dyDescent="0.25">
      <c r="A5094" t="str">
        <f>"20190303171116654"</f>
        <v>20190303171116654</v>
      </c>
      <c r="B5094" t="str">
        <f>"1551604276645420"</f>
        <v>1551604276645420</v>
      </c>
      <c r="C5094" t="s">
        <v>40</v>
      </c>
      <c r="D5094">
        <v>5.4162129999999999</v>
      </c>
      <c r="E5094">
        <v>0.43767489999999998</v>
      </c>
      <c r="F5094" t="s">
        <v>68</v>
      </c>
      <c r="G5094">
        <v>-303.30309999999997</v>
      </c>
      <c r="H5094" s="1">
        <v>-1.183039E-6</v>
      </c>
      <c r="I5094">
        <v>-41.154710000000001</v>
      </c>
      <c r="J5094">
        <v>-303.38260000000002</v>
      </c>
      <c r="K5094">
        <v>1.1215200000000001</v>
      </c>
      <c r="L5094">
        <v>-11.447939999999999</v>
      </c>
      <c r="M5094">
        <v>-0.10209169999999999</v>
      </c>
      <c r="N5094">
        <v>-1.327587E-2</v>
      </c>
      <c r="O5094">
        <v>-0.99468650000000003</v>
      </c>
      <c r="P5094">
        <v>-0.16526930000000001</v>
      </c>
      <c r="Q5094">
        <v>0.15882660000000001</v>
      </c>
      <c r="R5094">
        <v>-0.97337569999999995</v>
      </c>
      <c r="S5094">
        <v>4.8217770000000002E-3</v>
      </c>
      <c r="T5094">
        <v>-0.1158904</v>
      </c>
      <c r="U5094">
        <v>-3.1042480000000001</v>
      </c>
      <c r="V5094">
        <v>6.4734970000000003E-2</v>
      </c>
      <c r="W5094">
        <v>0.1720004</v>
      </c>
      <c r="X5094">
        <v>0.98296760000000005</v>
      </c>
      <c r="Y5094">
        <v>-0.1036103</v>
      </c>
      <c r="Z5094">
        <v>2.3643109999999998E-2</v>
      </c>
      <c r="AA5094">
        <v>0.99433689999999997</v>
      </c>
      <c r="AB5094">
        <v>31</v>
      </c>
      <c r="AC5094">
        <v>7.9500000000052695E-2</v>
      </c>
      <c r="AD5094">
        <v>-1.1215211830389999</v>
      </c>
      <c r="AE5094">
        <v>-29.706769999999899</v>
      </c>
      <c r="AF5094">
        <v>-3.10773678722042</v>
      </c>
      <c r="AG5094">
        <v>-1.1215211830389999</v>
      </c>
      <c r="AH5094">
        <v>29.501359707934299</v>
      </c>
      <c r="AI5094">
        <v>92.165134521916698</v>
      </c>
      <c r="AJ5094">
        <v>96.013482481078199</v>
      </c>
      <c r="AK5094">
        <v>29.685788895018</v>
      </c>
      <c r="AL5094">
        <v>80.095853333314693</v>
      </c>
      <c r="AM5094">
        <v>86.232131844559603</v>
      </c>
      <c r="AN5094">
        <v>1.00000002829541</v>
      </c>
    </row>
    <row r="5095" spans="1:40" x14ac:dyDescent="0.25">
      <c r="A5095" t="str">
        <f>"20190303171116675"</f>
        <v>20190303171116675</v>
      </c>
      <c r="B5095" t="str">
        <f>"1551604276665917"</f>
        <v>1551604276665917</v>
      </c>
      <c r="C5095" t="s">
        <v>40</v>
      </c>
      <c r="D5095">
        <v>5.419778</v>
      </c>
      <c r="E5095">
        <v>0.43738050000000001</v>
      </c>
      <c r="F5095" t="s">
        <v>42</v>
      </c>
      <c r="G5095">
        <v>-303.26220000000001</v>
      </c>
      <c r="H5095" s="1">
        <v>-1.1110560000000001E-6</v>
      </c>
      <c r="I5095">
        <v>-39.84431</v>
      </c>
      <c r="J5095">
        <v>-303.41140000000001</v>
      </c>
      <c r="K5095">
        <v>1.1217699999999999</v>
      </c>
      <c r="L5095">
        <v>-11.740449999999999</v>
      </c>
      <c r="M5095">
        <v>-0.1007412</v>
      </c>
      <c r="N5095">
        <v>-1.3321039999999999E-2</v>
      </c>
      <c r="O5095">
        <v>-0.99482380000000004</v>
      </c>
      <c r="P5095">
        <v>-0.1645847</v>
      </c>
      <c r="Q5095">
        <v>0.15639520000000001</v>
      </c>
      <c r="R5095">
        <v>-0.97388580000000002</v>
      </c>
      <c r="S5095">
        <v>1.3153079999999999E-2</v>
      </c>
      <c r="T5095">
        <v>-0.1226053</v>
      </c>
      <c r="U5095">
        <v>-3.1043090000000002</v>
      </c>
      <c r="V5095">
        <v>6.5254850000000003E-2</v>
      </c>
      <c r="W5095">
        <v>0.16965359999999999</v>
      </c>
      <c r="X5095">
        <v>0.98334100000000002</v>
      </c>
      <c r="Y5095">
        <v>-0.10492600000000001</v>
      </c>
      <c r="Z5095">
        <v>2.5737220000000002E-2</v>
      </c>
      <c r="AA5095">
        <v>0.99414689999999994</v>
      </c>
      <c r="AB5095">
        <v>31</v>
      </c>
      <c r="AC5095">
        <v>0.14920000000000699</v>
      </c>
      <c r="AD5095">
        <v>-1.121771111056</v>
      </c>
      <c r="AE5095">
        <v>-28.103859999999901</v>
      </c>
      <c r="AF5095">
        <v>-2.9751677816468201</v>
      </c>
      <c r="AG5095">
        <v>-1.121771111056</v>
      </c>
      <c r="AH5095">
        <v>27.901377117146499</v>
      </c>
      <c r="AI5095">
        <v>92.289364461220501</v>
      </c>
      <c r="AJ5095">
        <v>96.086540151100195</v>
      </c>
      <c r="AK5095">
        <v>28.081966433776898</v>
      </c>
      <c r="AL5095">
        <v>80.232321058204306</v>
      </c>
      <c r="AM5095">
        <v>86.203398684790201</v>
      </c>
      <c r="AN5095">
        <v>1.00000003086124</v>
      </c>
    </row>
    <row r="5096" spans="1:40" x14ac:dyDescent="0.25">
      <c r="A5096" t="str">
        <f>"20190303171116700"</f>
        <v>20190303171116700</v>
      </c>
      <c r="B5096" t="str">
        <f>"1551604276696174"</f>
        <v>1551604276696174</v>
      </c>
      <c r="C5096" t="s">
        <v>40</v>
      </c>
      <c r="D5096">
        <v>5.4300699999999997</v>
      </c>
      <c r="E5096">
        <v>0.43715080000000001</v>
      </c>
      <c r="F5096" t="s">
        <v>42</v>
      </c>
      <c r="G5096">
        <v>-303.25389999999999</v>
      </c>
      <c r="H5096" s="1">
        <v>-1.5551759999999999E-6</v>
      </c>
      <c r="I5096">
        <v>-38.80386</v>
      </c>
      <c r="J5096">
        <v>-303.44240000000002</v>
      </c>
      <c r="K5096">
        <v>1.1220429999999999</v>
      </c>
      <c r="L5096">
        <v>-12.06439</v>
      </c>
      <c r="M5096">
        <v>-9.8999509999999999E-2</v>
      </c>
      <c r="N5096">
        <v>-1.336569E-2</v>
      </c>
      <c r="O5096">
        <v>-0.9949981</v>
      </c>
      <c r="P5096">
        <v>-0.16432149999999901</v>
      </c>
      <c r="Q5096">
        <v>0.15572939999999999</v>
      </c>
      <c r="R5096">
        <v>-0.97403700000000004</v>
      </c>
      <c r="S5096">
        <v>1.8066410000000001E-2</v>
      </c>
      <c r="T5096">
        <v>-0.12866649999999999</v>
      </c>
      <c r="U5096">
        <v>-3.1041560000000001</v>
      </c>
      <c r="V5096">
        <v>6.6611249999999997E-2</v>
      </c>
      <c r="W5096">
        <v>0.16907179999999999</v>
      </c>
      <c r="X5096">
        <v>0.98335019999999995</v>
      </c>
      <c r="Y5096">
        <v>-0.10475710000000001</v>
      </c>
      <c r="Z5096">
        <v>2.763299E-2</v>
      </c>
      <c r="AA5096">
        <v>0.99411389999999999</v>
      </c>
      <c r="AB5096">
        <v>31</v>
      </c>
      <c r="AC5096">
        <v>0.188500000000033</v>
      </c>
      <c r="AD5096">
        <v>-1.1220445551760001</v>
      </c>
      <c r="AE5096">
        <v>-26.739470000000001</v>
      </c>
      <c r="AF5096">
        <v>-2.8300208174961399</v>
      </c>
      <c r="AG5096">
        <v>-1.1220445551760001</v>
      </c>
      <c r="AH5096">
        <v>26.542690838620398</v>
      </c>
      <c r="AI5096">
        <v>92.407008133896696</v>
      </c>
      <c r="AJ5096">
        <v>96.085967914759706</v>
      </c>
      <c r="AK5096">
        <v>26.716707109332301</v>
      </c>
      <c r="AL5096">
        <v>80.266143801915206</v>
      </c>
      <c r="AM5096">
        <v>86.1247559605807</v>
      </c>
      <c r="AN5096">
        <v>0.99999997401092</v>
      </c>
    </row>
    <row r="5097" spans="1:40" x14ac:dyDescent="0.25">
      <c r="A5097" t="str">
        <f>"20190303171116720"</f>
        <v>20190303171116720</v>
      </c>
      <c r="B5097" t="str">
        <f>"1551604276705934"</f>
        <v>1551604276705934</v>
      </c>
      <c r="C5097" t="s">
        <v>40</v>
      </c>
      <c r="D5097">
        <v>5.4540790000000001</v>
      </c>
      <c r="E5097">
        <v>0.437168</v>
      </c>
      <c r="F5097" t="s">
        <v>42</v>
      </c>
      <c r="G5097">
        <v>-303.26209999999998</v>
      </c>
      <c r="H5097" s="1">
        <v>-1.4184639999999999E-6</v>
      </c>
      <c r="I5097">
        <v>-39.127609999999997</v>
      </c>
      <c r="J5097">
        <v>-303.46980000000002</v>
      </c>
      <c r="K5097">
        <v>1.1222669999999999</v>
      </c>
      <c r="L5097">
        <v>-12.35684</v>
      </c>
      <c r="M5097">
        <v>-9.7252790000000006E-2</v>
      </c>
      <c r="N5097">
        <v>-1.340147E-2</v>
      </c>
      <c r="O5097">
        <v>-0.99516950000000004</v>
      </c>
      <c r="P5097">
        <v>-0.16240679999999999</v>
      </c>
      <c r="Q5097">
        <v>0.15743570000000001</v>
      </c>
      <c r="R5097">
        <v>-0.97408320000000004</v>
      </c>
      <c r="S5097">
        <v>2.0690920000000002E-2</v>
      </c>
      <c r="T5097">
        <v>-0.12869359999999999</v>
      </c>
      <c r="U5097">
        <v>-3.104034</v>
      </c>
      <c r="V5097">
        <v>6.6352049999999996E-2</v>
      </c>
      <c r="W5097">
        <v>0.17083770000000001</v>
      </c>
      <c r="X5097">
        <v>0.98306249999999995</v>
      </c>
      <c r="Y5097">
        <v>-0.103852399999999</v>
      </c>
      <c r="Z5097">
        <v>2.7619500000000002E-2</v>
      </c>
      <c r="AA5097">
        <v>0.99420920000000002</v>
      </c>
      <c r="AB5097">
        <v>31</v>
      </c>
      <c r="AC5097">
        <v>0.20770000000004499</v>
      </c>
      <c r="AD5097">
        <v>-1.1222684184639999</v>
      </c>
      <c r="AE5097">
        <v>-26.770769999999999</v>
      </c>
      <c r="AF5097">
        <v>-2.8055509246556798</v>
      </c>
      <c r="AG5097">
        <v>-1.1222684184639999</v>
      </c>
      <c r="AH5097">
        <v>26.576941156653501</v>
      </c>
      <c r="AI5097">
        <v>92.404655469883707</v>
      </c>
      <c r="AJ5097">
        <v>96.026016640347905</v>
      </c>
      <c r="AK5097">
        <v>26.748166360297301</v>
      </c>
      <c r="AL5097">
        <v>80.163471701160802</v>
      </c>
      <c r="AM5097">
        <v>86.138663464748603</v>
      </c>
      <c r="AN5097">
        <v>0.99999999659337102</v>
      </c>
    </row>
    <row r="5098" spans="1:40" x14ac:dyDescent="0.25">
      <c r="A5098" t="str">
        <f>"20190303171116743"</f>
        <v>20190303171116743</v>
      </c>
      <c r="B5098" t="str">
        <f>"1551604276736189"</f>
        <v>1551604276736189</v>
      </c>
      <c r="C5098" t="s">
        <v>40</v>
      </c>
      <c r="D5098">
        <v>5.4500539999999997</v>
      </c>
      <c r="E5098">
        <v>0.4369808</v>
      </c>
      <c r="F5098" t="s">
        <v>42</v>
      </c>
      <c r="G5098">
        <v>-303.24</v>
      </c>
      <c r="H5098" s="1">
        <v>-9.2784889999999997E-7</v>
      </c>
      <c r="I5098">
        <v>-40.257579999999997</v>
      </c>
      <c r="J5098">
        <v>-303.49689999999998</v>
      </c>
      <c r="K5098">
        <v>1.1224540000000001</v>
      </c>
      <c r="L5098">
        <v>-12.653409999999999</v>
      </c>
      <c r="M5098">
        <v>-9.5356869999999996E-2</v>
      </c>
      <c r="N5098">
        <v>-1.343312E-2</v>
      </c>
      <c r="O5098">
        <v>-0.99535269999999998</v>
      </c>
      <c r="P5098">
        <v>-0.15860550000000001</v>
      </c>
      <c r="Q5098">
        <v>0.15826870000000001</v>
      </c>
      <c r="R5098">
        <v>-0.97457459999999996</v>
      </c>
      <c r="S5098">
        <v>2.5573729999999999E-2</v>
      </c>
      <c r="T5098">
        <v>-0.1248653</v>
      </c>
      <c r="U5098">
        <v>-3.104279</v>
      </c>
      <c r="V5098">
        <v>6.4336989999999997E-2</v>
      </c>
      <c r="W5098">
        <v>0.1717176</v>
      </c>
      <c r="X5098">
        <v>0.98304309999999995</v>
      </c>
      <c r="Y5098">
        <v>-0.10352219999999999</v>
      </c>
      <c r="Z5098">
        <v>2.637658E-2</v>
      </c>
      <c r="AA5098">
        <v>0.99427739999999998</v>
      </c>
      <c r="AB5098">
        <v>31</v>
      </c>
      <c r="AC5098">
        <v>0.25689999999997298</v>
      </c>
      <c r="AD5098">
        <v>-1.1224549278489</v>
      </c>
      <c r="AE5098">
        <v>-27.60417</v>
      </c>
      <c r="AF5098">
        <v>-2.8834462183352199</v>
      </c>
      <c r="AG5098">
        <v>-1.1224549278489</v>
      </c>
      <c r="AH5098">
        <v>27.408545419611599</v>
      </c>
      <c r="AI5098">
        <v>92.332252187923004</v>
      </c>
      <c r="AJ5098">
        <v>96.005565932568601</v>
      </c>
      <c r="AK5098">
        <v>27.582649060197198</v>
      </c>
      <c r="AL5098">
        <v>80.112300611845299</v>
      </c>
      <c r="AM5098">
        <v>86.255516755713501</v>
      </c>
      <c r="AN5098">
        <v>0.99999995944481401</v>
      </c>
    </row>
    <row r="5099" spans="1:40" x14ac:dyDescent="0.25">
      <c r="A5099" t="str">
        <f>"20190303171116765"</f>
        <v>20190303171116765</v>
      </c>
      <c r="B5099" t="str">
        <f>"1551604276755709"</f>
        <v>1551604276755709</v>
      </c>
      <c r="C5099" t="s">
        <v>40</v>
      </c>
      <c r="D5099">
        <v>5.4403269999999999</v>
      </c>
      <c r="E5099">
        <v>0.43681130000000001</v>
      </c>
      <c r="F5099" t="s">
        <v>68</v>
      </c>
      <c r="G5099">
        <v>-303.1524</v>
      </c>
      <c r="H5099" s="1">
        <v>-1.0856620000000001E-6</v>
      </c>
      <c r="I5099">
        <v>-41.004739999999998</v>
      </c>
      <c r="J5099">
        <v>-303.52480000000003</v>
      </c>
      <c r="K5099">
        <v>1.1225889999999901</v>
      </c>
      <c r="L5099">
        <v>-12.96841</v>
      </c>
      <c r="M5099">
        <v>-9.3245679999999997E-2</v>
      </c>
      <c r="N5099">
        <v>-1.346194E-2</v>
      </c>
      <c r="O5099">
        <v>-0.99555210000000005</v>
      </c>
      <c r="P5099">
        <v>-0.1542192</v>
      </c>
      <c r="Q5099">
        <v>0.15944349999999999</v>
      </c>
      <c r="R5099">
        <v>-0.97508700000000004</v>
      </c>
      <c r="S5099">
        <v>3.771973E-2</v>
      </c>
      <c r="T5099">
        <v>-0.1229049</v>
      </c>
      <c r="U5099">
        <v>-3.1043699999999999</v>
      </c>
      <c r="V5099">
        <v>6.196484E-2</v>
      </c>
      <c r="W5099">
        <v>0.1729271</v>
      </c>
      <c r="X5099">
        <v>0.98298350000000001</v>
      </c>
      <c r="Y5099">
        <v>-0.10530200000000001</v>
      </c>
      <c r="Z5099">
        <v>2.572735E-2</v>
      </c>
      <c r="AA5099">
        <v>0.99410739999999997</v>
      </c>
      <c r="AB5099">
        <v>31</v>
      </c>
      <c r="AC5099">
        <v>0.37240000000002699</v>
      </c>
      <c r="AD5099">
        <v>-1.1225900856619999</v>
      </c>
      <c r="AE5099">
        <v>-28.03633</v>
      </c>
      <c r="AF5099">
        <v>-2.9805031889474898</v>
      </c>
      <c r="AG5099">
        <v>-1.1225900856619999</v>
      </c>
      <c r="AH5099">
        <v>27.834811165958001</v>
      </c>
      <c r="AI5099">
        <v>92.2963988923741</v>
      </c>
      <c r="AJ5099">
        <v>96.111844488216803</v>
      </c>
      <c r="AK5099">
        <v>28.016429472798499</v>
      </c>
      <c r="AL5099">
        <v>80.041949271369901</v>
      </c>
      <c r="AM5099">
        <v>86.392988980721597</v>
      </c>
      <c r="AN5099">
        <v>0.99999999229144199</v>
      </c>
    </row>
    <row r="5100" spans="1:40" x14ac:dyDescent="0.25">
      <c r="A5100" t="str">
        <f>"20190303171116788"</f>
        <v>20190303171116788</v>
      </c>
      <c r="B5100" t="str">
        <f>"1551604276776205"</f>
        <v>1551604276776205</v>
      </c>
      <c r="C5100" t="s">
        <v>40</v>
      </c>
      <c r="D5100">
        <v>5.4506639999999997</v>
      </c>
      <c r="E5100">
        <v>0.43676130000000002</v>
      </c>
      <c r="F5100" t="s">
        <v>68</v>
      </c>
      <c r="G5100">
        <v>-303.01940000000002</v>
      </c>
      <c r="H5100" s="1">
        <v>-1.7911460000000001E-6</v>
      </c>
      <c r="I5100">
        <v>-42.533389999999997</v>
      </c>
      <c r="J5100">
        <v>-303.55180000000001</v>
      </c>
      <c r="K5100">
        <v>1.122681</v>
      </c>
      <c r="L5100">
        <v>-13.27896</v>
      </c>
      <c r="M5100">
        <v>-9.1107919999999995E-2</v>
      </c>
      <c r="N5100">
        <v>-1.3486410000000001E-2</v>
      </c>
      <c r="O5100">
        <v>-0.99574980000000002</v>
      </c>
      <c r="P5100">
        <v>-0.15122650000000001</v>
      </c>
      <c r="Q5100">
        <v>0.1601446</v>
      </c>
      <c r="R5100">
        <v>-0.97544070000000005</v>
      </c>
      <c r="S5100">
        <v>5.3070069999999997E-2</v>
      </c>
      <c r="T5100">
        <v>-0.1178715</v>
      </c>
      <c r="U5100">
        <v>-3.1043090000000002</v>
      </c>
      <c r="V5100">
        <v>6.1039639999999999E-2</v>
      </c>
      <c r="W5100">
        <v>0.17365639999999999</v>
      </c>
      <c r="X5100">
        <v>0.98291280000000003</v>
      </c>
      <c r="Y5100">
        <v>-0.1080822</v>
      </c>
      <c r="Z5100">
        <v>2.4101669999999999E-2</v>
      </c>
      <c r="AA5100">
        <v>0.99384980000000001</v>
      </c>
      <c r="AB5100">
        <v>31</v>
      </c>
      <c r="AC5100">
        <v>0.53239999999999499</v>
      </c>
      <c r="AD5100">
        <v>-1.122682791146</v>
      </c>
      <c r="AE5100">
        <v>-29.254429999999999</v>
      </c>
      <c r="AF5100">
        <v>-3.1910397125396002</v>
      </c>
      <c r="AG5100">
        <v>-1.122682791146</v>
      </c>
      <c r="AH5100">
        <v>29.0414722895738</v>
      </c>
      <c r="AI5100">
        <v>92.2006017479588</v>
      </c>
      <c r="AJ5100">
        <v>96.270432468070197</v>
      </c>
      <c r="AK5100">
        <v>29.237822488048302</v>
      </c>
      <c r="AL5100">
        <v>79.999521401384499</v>
      </c>
      <c r="AM5100">
        <v>86.446451479588006</v>
      </c>
      <c r="AN5100">
        <v>0.99999997765806403</v>
      </c>
    </row>
    <row r="5101" spans="1:40" x14ac:dyDescent="0.25">
      <c r="A5101" t="str">
        <f>"20190303171116819"</f>
        <v>20190303171116819</v>
      </c>
      <c r="B5101" t="str">
        <f>"1551604276805484"</f>
        <v>1551604276805484</v>
      </c>
      <c r="C5101" t="s">
        <v>40</v>
      </c>
      <c r="D5101">
        <v>5.4688410000000003</v>
      </c>
      <c r="E5101">
        <v>0.43675969999999997</v>
      </c>
      <c r="F5101" t="s">
        <v>68</v>
      </c>
      <c r="G5101">
        <v>-302.94119999999998</v>
      </c>
      <c r="H5101" s="1">
        <v>-2.3591859999999998E-6</v>
      </c>
      <c r="I5101">
        <v>-43.444200000000002</v>
      </c>
      <c r="J5101">
        <v>-303.58629999999999</v>
      </c>
      <c r="K5101">
        <v>1.12276</v>
      </c>
      <c r="L5101">
        <v>-13.69107</v>
      </c>
      <c r="M5101">
        <v>-8.8243349999999998E-2</v>
      </c>
      <c r="N5101">
        <v>-1.351392E-2</v>
      </c>
      <c r="O5101">
        <v>-0.99600739999999999</v>
      </c>
      <c r="P5101">
        <v>-0.14795139999999901</v>
      </c>
      <c r="Q5101">
        <v>0.16345509999999999</v>
      </c>
      <c r="R5101">
        <v>-0.97539379999999998</v>
      </c>
      <c r="S5101">
        <v>6.283569E-2</v>
      </c>
      <c r="T5101">
        <v>-0.1155332</v>
      </c>
      <c r="U5101">
        <v>-3.1042480000000001</v>
      </c>
      <c r="V5101">
        <v>6.058434E-2</v>
      </c>
      <c r="W5101">
        <v>0.17699100000000001</v>
      </c>
      <c r="X5101">
        <v>0.9823461</v>
      </c>
      <c r="Y5101">
        <v>-0.10834920000000001</v>
      </c>
      <c r="Z5101">
        <v>2.334106E-2</v>
      </c>
      <c r="AA5101">
        <v>0.99383880000000002</v>
      </c>
      <c r="AB5101">
        <v>31</v>
      </c>
      <c r="AC5101">
        <v>0.645100000000013</v>
      </c>
      <c r="AD5101">
        <v>-1.1227623591860001</v>
      </c>
      <c r="AE5101">
        <v>-29.753129999999999</v>
      </c>
      <c r="AF5101">
        <v>-3.2636929563949</v>
      </c>
      <c r="AG5101">
        <v>-1.1227623591860001</v>
      </c>
      <c r="AH5101">
        <v>29.538066778366801</v>
      </c>
      <c r="AI5101">
        <v>92.163649748257896</v>
      </c>
      <c r="AJ5101">
        <v>96.305097539067205</v>
      </c>
      <c r="AK5101">
        <v>29.739026144648498</v>
      </c>
      <c r="AL5101">
        <v>79.805457828529896</v>
      </c>
      <c r="AM5101">
        <v>86.4708609502879</v>
      </c>
      <c r="AN5101">
        <v>1.0000000682597201</v>
      </c>
    </row>
    <row r="5102" spans="1:40" x14ac:dyDescent="0.25">
      <c r="A5102" t="str">
        <f>"20190303171116849"</f>
        <v>20190303171116849</v>
      </c>
      <c r="B5102" t="str">
        <f>"1551604276835741"</f>
        <v>1551604276835741</v>
      </c>
      <c r="C5102" t="s">
        <v>40</v>
      </c>
      <c r="D5102">
        <v>5.4354649999999998</v>
      </c>
      <c r="E5102">
        <v>0.4367412</v>
      </c>
      <c r="F5102" t="s">
        <v>68</v>
      </c>
      <c r="G5102">
        <v>-302.8143</v>
      </c>
      <c r="H5102" s="1">
        <v>-4.0769449999999996E-6</v>
      </c>
      <c r="I5102">
        <v>-46.825339999999997</v>
      </c>
      <c r="J5102">
        <v>-303.61930000000001</v>
      </c>
      <c r="K5102">
        <v>1.1227990000000001</v>
      </c>
      <c r="L5102">
        <v>-14.098599999999999</v>
      </c>
      <c r="M5102">
        <v>-8.543299E-2</v>
      </c>
      <c r="N5102">
        <v>-1.3536080000000001E-2</v>
      </c>
      <c r="O5102">
        <v>-0.99625189999999997</v>
      </c>
      <c r="P5102">
        <v>-0.14537429999999901</v>
      </c>
      <c r="Q5102">
        <v>0.16566939999999999</v>
      </c>
      <c r="R5102">
        <v>-0.97540769999999999</v>
      </c>
      <c r="S5102">
        <v>7.2326660000000001E-2</v>
      </c>
      <c r="T5102">
        <v>-0.1051893</v>
      </c>
      <c r="U5102">
        <v>-3.104279</v>
      </c>
      <c r="V5102">
        <v>6.0778100000000002E-2</v>
      </c>
      <c r="W5102">
        <v>0.17922489999999999</v>
      </c>
      <c r="X5102">
        <v>0.98192889999999999</v>
      </c>
      <c r="Y5102">
        <v>-0.1085855</v>
      </c>
      <c r="Z5102">
        <v>2.003048E-2</v>
      </c>
      <c r="AA5102">
        <v>0.99388529999999997</v>
      </c>
      <c r="AB5102">
        <v>31</v>
      </c>
      <c r="AC5102">
        <v>0.80500000000000604</v>
      </c>
      <c r="AD5102">
        <v>-1.1228030769449999</v>
      </c>
      <c r="AE5102">
        <v>-32.726739999999999</v>
      </c>
      <c r="AF5102">
        <v>-3.59402806783724</v>
      </c>
      <c r="AG5102">
        <v>-1.1228030769449999</v>
      </c>
      <c r="AH5102">
        <v>32.500054874718401</v>
      </c>
      <c r="AI5102">
        <v>91.966672806477106</v>
      </c>
      <c r="AJ5102">
        <v>96.310430236757497</v>
      </c>
      <c r="AK5102">
        <v>32.717446284233503</v>
      </c>
      <c r="AL5102">
        <v>79.675383827021093</v>
      </c>
      <c r="AM5102">
        <v>86.458102360822096</v>
      </c>
      <c r="AN5102">
        <v>0.99999995343741299</v>
      </c>
    </row>
    <row r="5103" spans="1:40" x14ac:dyDescent="0.25">
      <c r="A5103" t="str">
        <f>"20190303171116867"</f>
        <v>20190303171116867</v>
      </c>
      <c r="B5103" t="str">
        <f>"1551604276856237"</f>
        <v>1551604276856237</v>
      </c>
      <c r="C5103" t="s">
        <v>40</v>
      </c>
      <c r="D5103">
        <v>5.4470720000000004</v>
      </c>
      <c r="E5103">
        <v>0.43677329999999998</v>
      </c>
      <c r="F5103" t="s">
        <v>68</v>
      </c>
      <c r="G5103">
        <v>-302.68669999999997</v>
      </c>
      <c r="H5103" s="1">
        <v>-5.5245030000000001E-6</v>
      </c>
      <c r="I5103">
        <v>-49.680819999999997</v>
      </c>
      <c r="J5103">
        <v>-303.6397</v>
      </c>
      <c r="K5103">
        <v>1.1228129999999901</v>
      </c>
      <c r="L5103">
        <v>-14.358180000000001</v>
      </c>
      <c r="M5103">
        <v>-8.3665379999999998E-2</v>
      </c>
      <c r="N5103">
        <v>-1.354811E-2</v>
      </c>
      <c r="O5103">
        <v>-0.99640220000000002</v>
      </c>
      <c r="P5103">
        <v>-0.14429790000000001</v>
      </c>
      <c r="Q5103">
        <v>0.1680845</v>
      </c>
      <c r="R5103">
        <v>-0.97515459999999998</v>
      </c>
      <c r="S5103">
        <v>8.1359860000000006E-2</v>
      </c>
      <c r="T5103">
        <v>-9.7960000000000005E-2</v>
      </c>
      <c r="U5103">
        <v>-3.1044010000000002</v>
      </c>
      <c r="V5103">
        <v>6.146248E-2</v>
      </c>
      <c r="W5103">
        <v>0.18164830000000001</v>
      </c>
      <c r="X5103">
        <v>0.98144089999999995</v>
      </c>
      <c r="Y5103">
        <v>-0.10971359999999999</v>
      </c>
      <c r="Z5103">
        <v>1.7713889999999999E-2</v>
      </c>
      <c r="AA5103">
        <v>0.99380539999999995</v>
      </c>
      <c r="AB5103">
        <v>31</v>
      </c>
      <c r="AC5103">
        <v>0.95300000000003104</v>
      </c>
      <c r="AD5103">
        <v>-1.12281852450299</v>
      </c>
      <c r="AE5103">
        <v>-35.32264</v>
      </c>
      <c r="AF5103">
        <v>-3.9012711153908901</v>
      </c>
      <c r="AG5103">
        <v>-1.12281852450299</v>
      </c>
      <c r="AH5103">
        <v>35.0836081401497</v>
      </c>
      <c r="AI5103">
        <v>91.821851306079594</v>
      </c>
      <c r="AJ5103">
        <v>96.345180426118901</v>
      </c>
      <c r="AK5103">
        <v>35.317703745944797</v>
      </c>
      <c r="AL5103">
        <v>79.534216545559104</v>
      </c>
      <c r="AM5103">
        <v>86.416546483498195</v>
      </c>
      <c r="AN5103">
        <v>0.99999999076672497</v>
      </c>
    </row>
    <row r="5104" spans="1:40" x14ac:dyDescent="0.25">
      <c r="A5104" t="str">
        <f>"20190303171116890"</f>
        <v>20190303171116890</v>
      </c>
      <c r="B5104" t="str">
        <f>"1551604276885517"</f>
        <v>1551604276885517</v>
      </c>
      <c r="C5104" t="s">
        <v>40</v>
      </c>
      <c r="D5104">
        <v>5.4874559999999999</v>
      </c>
      <c r="E5104">
        <v>0.43696030000000002</v>
      </c>
      <c r="F5104" t="s">
        <v>68</v>
      </c>
      <c r="G5104">
        <v>-302.59249999999997</v>
      </c>
      <c r="H5104" s="1">
        <v>-6.7957290000000002E-6</v>
      </c>
      <c r="I5104">
        <v>-52.638930000000002</v>
      </c>
      <c r="J5104">
        <v>-303.66230000000002</v>
      </c>
      <c r="K5104">
        <v>1.1228119999999999</v>
      </c>
      <c r="L5104">
        <v>-14.65286</v>
      </c>
      <c r="M5104">
        <v>-8.1684870000000007E-2</v>
      </c>
      <c r="N5104">
        <v>-1.3559939999999999E-2</v>
      </c>
      <c r="O5104">
        <v>-0.99656610000000001</v>
      </c>
      <c r="P5104">
        <v>-0.1437194</v>
      </c>
      <c r="Q5104">
        <v>0.16901429999999901</v>
      </c>
      <c r="R5104">
        <v>-0.97507920000000003</v>
      </c>
      <c r="S5104">
        <v>8.4930420000000006E-2</v>
      </c>
      <c r="T5104">
        <v>-9.1064690000000004E-2</v>
      </c>
      <c r="U5104">
        <v>-3.1047060000000002</v>
      </c>
      <c r="V5104">
        <v>6.2846230000000003E-2</v>
      </c>
      <c r="W5104">
        <v>0.18259110000000001</v>
      </c>
      <c r="X5104">
        <v>0.98117829999999995</v>
      </c>
      <c r="Y5104">
        <v>-0.10888050000000001</v>
      </c>
      <c r="Z5104">
        <v>1.550699E-2</v>
      </c>
      <c r="AA5104">
        <v>0.99393390000000004</v>
      </c>
      <c r="AB5104">
        <v>30</v>
      </c>
      <c r="AC5104">
        <v>1.0698000000000401</v>
      </c>
      <c r="AD5104">
        <v>-1.1228187957289999</v>
      </c>
      <c r="AE5104">
        <v>-37.986069999999998</v>
      </c>
      <c r="AF5104">
        <v>-4.1657595425700196</v>
      </c>
      <c r="AG5104">
        <v>-1.1228187957289999</v>
      </c>
      <c r="AH5104">
        <v>37.738763725188598</v>
      </c>
      <c r="AI5104">
        <v>91.693901715580395</v>
      </c>
      <c r="AJ5104">
        <v>96.2990418953774</v>
      </c>
      <c r="AK5104">
        <v>37.984583216354601</v>
      </c>
      <c r="AL5104">
        <v>79.479279509135793</v>
      </c>
      <c r="AM5104">
        <v>86.335108982537804</v>
      </c>
      <c r="AN5104">
        <v>1.00000000740765</v>
      </c>
    </row>
    <row r="5105" spans="1:40" x14ac:dyDescent="0.25">
      <c r="A5105" t="str">
        <f>"20190303171116909"</f>
        <v>20190303171116909</v>
      </c>
      <c r="B5105" t="str">
        <f>"1551604276896253"</f>
        <v>1551604276896253</v>
      </c>
      <c r="C5105" t="s">
        <v>40</v>
      </c>
      <c r="D5105">
        <v>5.4642289999999996</v>
      </c>
      <c r="E5105">
        <v>0.43703229999999998</v>
      </c>
      <c r="F5105" t="s">
        <v>68</v>
      </c>
      <c r="G5105">
        <v>-302.5806</v>
      </c>
      <c r="H5105" s="1">
        <v>-7.2519570000000001E-6</v>
      </c>
      <c r="I5105">
        <v>-53.760750000000002</v>
      </c>
      <c r="J5105">
        <v>-303.6825</v>
      </c>
      <c r="K5105">
        <v>1.1228039999999999</v>
      </c>
      <c r="L5105">
        <v>-14.9225799999999</v>
      </c>
      <c r="M5105">
        <v>-7.9893919999999993E-2</v>
      </c>
      <c r="N5105">
        <v>-1.35692E-2</v>
      </c>
      <c r="O5105">
        <v>-0.99671100000000001</v>
      </c>
      <c r="P5105">
        <v>-0.14195079999999999</v>
      </c>
      <c r="Q5105">
        <v>0.16862679999999999</v>
      </c>
      <c r="R5105">
        <v>-0.97540499999999997</v>
      </c>
      <c r="S5105">
        <v>8.5876460000000002E-2</v>
      </c>
      <c r="T5105">
        <v>-8.9141250000000005E-2</v>
      </c>
      <c r="U5105">
        <v>-3.104797</v>
      </c>
      <c r="V5105">
        <v>6.2830819999999996E-2</v>
      </c>
      <c r="W5105">
        <v>0.1822114</v>
      </c>
      <c r="X5105">
        <v>0.98124990000000001</v>
      </c>
      <c r="Y5105">
        <v>-0.10739700000000001</v>
      </c>
      <c r="Z5105">
        <v>1.4891629999999999E-2</v>
      </c>
      <c r="AA5105">
        <v>0.99410469999999895</v>
      </c>
      <c r="AB5105">
        <v>30</v>
      </c>
      <c r="AC5105">
        <v>1.1019000000000001</v>
      </c>
      <c r="AD5105">
        <v>-1.1228112519569999</v>
      </c>
      <c r="AE5105">
        <v>-38.838169999999998</v>
      </c>
      <c r="AF5105">
        <v>-4.19809047458119</v>
      </c>
      <c r="AG5105">
        <v>-1.1228112519569999</v>
      </c>
      <c r="AH5105">
        <v>38.593722464942203</v>
      </c>
      <c r="AI5105">
        <v>91.656675271917194</v>
      </c>
      <c r="AJ5105">
        <v>96.208026631920703</v>
      </c>
      <c r="AK5105">
        <v>38.837611698471797</v>
      </c>
      <c r="AL5105">
        <v>79.501406211224193</v>
      </c>
      <c r="AM5105">
        <v>86.336271798403601</v>
      </c>
      <c r="AN5105">
        <v>1.00000003624092</v>
      </c>
    </row>
    <row r="5106" spans="1:40" x14ac:dyDescent="0.25">
      <c r="A5106" t="str">
        <f>"20190303171116933"</f>
        <v>20190303171116933</v>
      </c>
      <c r="B5106" t="str">
        <f>"1551604276925532"</f>
        <v>1551604276925532</v>
      </c>
      <c r="C5106" t="s">
        <v>40</v>
      </c>
      <c r="D5106">
        <v>5.452134</v>
      </c>
      <c r="E5106">
        <v>0.43716509999999997</v>
      </c>
      <c r="F5106" t="s">
        <v>68</v>
      </c>
      <c r="G5106">
        <v>-302.53859999999997</v>
      </c>
      <c r="H5106" s="1">
        <v>-7.1418239999999998E-6</v>
      </c>
      <c r="I5106">
        <v>-53.49635</v>
      </c>
      <c r="J5106">
        <v>-303.7054</v>
      </c>
      <c r="K5106">
        <v>1.1227910000000001</v>
      </c>
      <c r="L5106">
        <v>-15.236479999999901</v>
      </c>
      <c r="M5106">
        <v>-7.7828149999999999E-2</v>
      </c>
      <c r="N5106">
        <v>-1.357847E-2</v>
      </c>
      <c r="O5106">
        <v>-0.9968745</v>
      </c>
      <c r="P5106">
        <v>-0.13952699999999901</v>
      </c>
      <c r="Q5106">
        <v>0.16692109999999999</v>
      </c>
      <c r="R5106">
        <v>-0.97604840000000004</v>
      </c>
      <c r="S5106">
        <v>9.2071529999999999E-2</v>
      </c>
      <c r="T5106">
        <v>-9.0371370000000006E-2</v>
      </c>
      <c r="U5106">
        <v>-3.1046749999999999</v>
      </c>
      <c r="V5106">
        <v>6.2415900000000003E-2</v>
      </c>
      <c r="W5106">
        <v>0.18051519999999999</v>
      </c>
      <c r="X5106">
        <v>0.98158979999999996</v>
      </c>
      <c r="Y5106">
        <v>-0.1073192</v>
      </c>
      <c r="Z5106">
        <v>1.5281950000000001E-2</v>
      </c>
      <c r="AA5106">
        <v>0.99410719999999997</v>
      </c>
      <c r="AB5106">
        <v>30</v>
      </c>
      <c r="AC5106">
        <v>1.16680000000002</v>
      </c>
      <c r="AD5106">
        <v>-1.1227981418240001</v>
      </c>
      <c r="AE5106">
        <v>-38.259869999999999</v>
      </c>
      <c r="AF5106">
        <v>-4.1376689490361001</v>
      </c>
      <c r="AG5106">
        <v>-1.1227981418240001</v>
      </c>
      <c r="AH5106">
        <v>38.020266561521701</v>
      </c>
      <c r="AI5106">
        <v>91.681619573197295</v>
      </c>
      <c r="AJ5106">
        <v>96.210941298346398</v>
      </c>
      <c r="AK5106">
        <v>38.2612290629596</v>
      </c>
      <c r="AL5106">
        <v>79.600229913598298</v>
      </c>
      <c r="AM5106">
        <v>86.361657868083398</v>
      </c>
      <c r="AN5106">
        <v>1.00000000873394</v>
      </c>
    </row>
    <row r="5107" spans="1:40" x14ac:dyDescent="0.25">
      <c r="A5107" t="str">
        <f>"20190303171116957"</f>
        <v>20190303171116957</v>
      </c>
      <c r="B5107" t="str">
        <f>"1551604276946029"</f>
        <v>1551604276946029</v>
      </c>
      <c r="C5107" t="s">
        <v>40</v>
      </c>
      <c r="D5107">
        <v>5.4695689999999999</v>
      </c>
      <c r="E5107">
        <v>0.43729190000000001</v>
      </c>
      <c r="F5107" t="s">
        <v>68</v>
      </c>
      <c r="G5107">
        <v>-302.57350000000002</v>
      </c>
      <c r="H5107" s="1">
        <v>-6.0841830000000003E-6</v>
      </c>
      <c r="I5107">
        <v>-50.894660000000002</v>
      </c>
      <c r="J5107">
        <v>-303.72840000000002</v>
      </c>
      <c r="K5107">
        <v>1.122781</v>
      </c>
      <c r="L5107">
        <v>-15.56073</v>
      </c>
      <c r="M5107">
        <v>-7.5708639999999994E-2</v>
      </c>
      <c r="N5107">
        <v>-1.358669E-2</v>
      </c>
      <c r="O5107">
        <v>-0.99703739999999996</v>
      </c>
      <c r="P5107">
        <v>-0.1363084</v>
      </c>
      <c r="Q5107">
        <v>0.16509209999999999</v>
      </c>
      <c r="R5107">
        <v>-0.97681379999999995</v>
      </c>
      <c r="S5107">
        <v>9.8541260000000006E-2</v>
      </c>
      <c r="T5107">
        <v>-9.7751619999999997E-2</v>
      </c>
      <c r="U5107">
        <v>-3.1044309999999999</v>
      </c>
      <c r="V5107">
        <v>6.1253340000000003E-2</v>
      </c>
      <c r="W5107">
        <v>0.17869380000000001</v>
      </c>
      <c r="X5107">
        <v>0.98199619999999999</v>
      </c>
      <c r="Y5107">
        <v>-0.1072747</v>
      </c>
      <c r="Z5107">
        <v>1.763876E-2</v>
      </c>
      <c r="AA5107">
        <v>0.99407290000000004</v>
      </c>
      <c r="AB5107">
        <v>30</v>
      </c>
      <c r="AC5107">
        <v>1.15489999999999</v>
      </c>
      <c r="AD5107">
        <v>-1.1227870841830001</v>
      </c>
      <c r="AE5107">
        <v>-35.333929999999903</v>
      </c>
      <c r="AF5107">
        <v>-3.8230593790913301</v>
      </c>
      <c r="AG5107">
        <v>-1.1227870841830001</v>
      </c>
      <c r="AH5107">
        <v>35.1096443754059</v>
      </c>
      <c r="AI5107">
        <v>91.820907239601297</v>
      </c>
      <c r="AJ5107">
        <v>96.214404901207701</v>
      </c>
      <c r="AK5107">
        <v>35.335018919196003</v>
      </c>
      <c r="AL5107">
        <v>79.706313316376693</v>
      </c>
      <c r="AM5107">
        <v>86.430722658495498</v>
      </c>
      <c r="AN5107">
        <v>0.999999991317017</v>
      </c>
    </row>
    <row r="5108" spans="1:40" x14ac:dyDescent="0.25">
      <c r="A5108" t="str">
        <f>"20190303171116979"</f>
        <v>20190303171116979</v>
      </c>
      <c r="B5108" t="str">
        <f>"1551604276966525"</f>
        <v>1551604276966525</v>
      </c>
      <c r="C5108" t="s">
        <v>40</v>
      </c>
      <c r="D5108">
        <v>5.4648180000000002</v>
      </c>
      <c r="E5108">
        <v>0.4374362</v>
      </c>
      <c r="F5108" t="s">
        <v>68</v>
      </c>
      <c r="G5108">
        <v>-302.59089999999998</v>
      </c>
      <c r="H5108" s="1">
        <v>-4.9110180000000001E-6</v>
      </c>
      <c r="I5108">
        <v>-48.487729999999999</v>
      </c>
      <c r="J5108">
        <v>-303.74829999999997</v>
      </c>
      <c r="K5108">
        <v>1.1227739999999999</v>
      </c>
      <c r="L5108">
        <v>-15.84976</v>
      </c>
      <c r="M5108">
        <v>-7.3829149999999996E-2</v>
      </c>
      <c r="N5108">
        <v>-1.35929E-2</v>
      </c>
      <c r="O5108">
        <v>-0.99717860000000003</v>
      </c>
      <c r="P5108">
        <v>-0.1330896</v>
      </c>
      <c r="Q5108">
        <v>0.16506750000000001</v>
      </c>
      <c r="R5108">
        <v>-0.97726210000000002</v>
      </c>
      <c r="S5108">
        <v>0.1072388</v>
      </c>
      <c r="T5108">
        <v>-0.1058463</v>
      </c>
      <c r="U5108">
        <v>-3.1040649999999999</v>
      </c>
      <c r="V5108">
        <v>5.9869270000000002E-2</v>
      </c>
      <c r="W5108">
        <v>0.17866940000000001</v>
      </c>
      <c r="X5108">
        <v>0.98208600000000001</v>
      </c>
      <c r="Y5108">
        <v>-0.10818270000000001</v>
      </c>
      <c r="Z5108">
        <v>2.0224289999999999E-2</v>
      </c>
      <c r="AA5108">
        <v>0.99392530000000001</v>
      </c>
      <c r="AB5108">
        <v>30</v>
      </c>
      <c r="AC5108">
        <v>1.15739999999999</v>
      </c>
      <c r="AD5108">
        <v>-1.122778911018</v>
      </c>
      <c r="AE5108">
        <v>-32.637970000000003</v>
      </c>
      <c r="AF5108">
        <v>-3.5598885937607401</v>
      </c>
      <c r="AG5108">
        <v>-1.122778911018</v>
      </c>
      <c r="AH5108">
        <v>32.425099100340802</v>
      </c>
      <c r="AI5108">
        <v>91.971344060967894</v>
      </c>
      <c r="AJ5108">
        <v>96.265299892707802</v>
      </c>
      <c r="AK5108">
        <v>32.639247708088099</v>
      </c>
      <c r="AL5108">
        <v>79.707734266078205</v>
      </c>
      <c r="AM5108">
        <v>86.511490160396093</v>
      </c>
      <c r="AN5108">
        <v>0.99999999769134595</v>
      </c>
    </row>
    <row r="5109" spans="1:40" x14ac:dyDescent="0.25">
      <c r="A5109" t="str">
        <f>"20190303171117005"</f>
        <v>20190303171117005</v>
      </c>
      <c r="B5109" t="str">
        <f>"1551604276995805"</f>
        <v>1551604276995805</v>
      </c>
      <c r="C5109" t="s">
        <v>40</v>
      </c>
      <c r="D5109">
        <v>5.4321190000000001</v>
      </c>
      <c r="E5109">
        <v>0.43766290000000002</v>
      </c>
      <c r="F5109" t="s">
        <v>68</v>
      </c>
      <c r="G5109">
        <v>-302.54289999999997</v>
      </c>
      <c r="H5109" s="1">
        <v>-4.7342390000000004E-6</v>
      </c>
      <c r="I5109">
        <v>-48.146259999999998</v>
      </c>
      <c r="J5109">
        <v>-303.77249999999998</v>
      </c>
      <c r="K5109">
        <v>1.1227750000000001</v>
      </c>
      <c r="L5109">
        <v>-16.212520000000001</v>
      </c>
      <c r="M5109">
        <v>-7.1476100000000001E-2</v>
      </c>
      <c r="N5109">
        <v>-1.359933E-2</v>
      </c>
      <c r="O5109">
        <v>-0.99734970000000001</v>
      </c>
      <c r="P5109">
        <v>-0.1288841</v>
      </c>
      <c r="Q5109">
        <v>0.1664118</v>
      </c>
      <c r="R5109">
        <v>-0.9775973</v>
      </c>
      <c r="S5109">
        <v>0.11584469999999999</v>
      </c>
      <c r="T5109">
        <v>-0.1079035</v>
      </c>
      <c r="U5109">
        <v>-3.1038209999999999</v>
      </c>
      <c r="V5109">
        <v>5.7971010000000003E-2</v>
      </c>
      <c r="W5109">
        <v>0.18000959999999999</v>
      </c>
      <c r="X5109">
        <v>0.98195509999999997</v>
      </c>
      <c r="Y5109">
        <v>-0.1085909</v>
      </c>
      <c r="Z5109">
        <v>2.0883180000000001E-2</v>
      </c>
      <c r="AA5109">
        <v>0.99386719999999895</v>
      </c>
      <c r="AB5109">
        <v>30</v>
      </c>
      <c r="AC5109">
        <v>1.2296</v>
      </c>
      <c r="AD5109">
        <v>-1.122779734239</v>
      </c>
      <c r="AE5109">
        <v>-31.93374</v>
      </c>
      <c r="AF5109">
        <v>-3.50483827150105</v>
      </c>
      <c r="AG5109">
        <v>-1.122779734239</v>
      </c>
      <c r="AH5109">
        <v>31.7249927845493</v>
      </c>
      <c r="AI5109">
        <v>92.014663028941598</v>
      </c>
      <c r="AJ5109">
        <v>96.304222362356001</v>
      </c>
      <c r="AK5109">
        <v>31.937747146921598</v>
      </c>
      <c r="AL5109">
        <v>79.629680562678104</v>
      </c>
      <c r="AM5109">
        <v>86.621389847410398</v>
      </c>
      <c r="AN5109">
        <v>0.99999995625429405</v>
      </c>
    </row>
    <row r="5110" spans="1:40" x14ac:dyDescent="0.25">
      <c r="A5110" t="str">
        <f>"20190303171117030"</f>
        <v>20190303171117030</v>
      </c>
      <c r="B5110" t="str">
        <f>"1551604277026063"</f>
        <v>1551604277026063</v>
      </c>
      <c r="C5110" t="s">
        <v>40</v>
      </c>
      <c r="D5110">
        <v>5.4464750000000004</v>
      </c>
      <c r="E5110">
        <v>0.44341920000000001</v>
      </c>
      <c r="F5110" t="s">
        <v>68</v>
      </c>
      <c r="G5110">
        <v>-302.40800000000002</v>
      </c>
      <c r="H5110" s="1">
        <v>-5.3018330000000001E-6</v>
      </c>
      <c r="I5110">
        <v>-49.275570000000002</v>
      </c>
      <c r="J5110">
        <v>-303.79430000000002</v>
      </c>
      <c r="K5110">
        <v>1.1227860000000001</v>
      </c>
      <c r="L5110">
        <v>-16.550719999999998</v>
      </c>
      <c r="M5110">
        <v>-6.9282640000000006E-2</v>
      </c>
      <c r="N5110">
        <v>-1.360425E-2</v>
      </c>
      <c r="O5110">
        <v>-0.99750450000000002</v>
      </c>
      <c r="P5110">
        <v>-0.1252057</v>
      </c>
      <c r="Q5110">
        <v>0.16782639999999999</v>
      </c>
      <c r="R5110">
        <v>-0.97783350000000002</v>
      </c>
      <c r="S5110">
        <v>0.12808230000000001</v>
      </c>
      <c r="T5110">
        <v>-0.1053936</v>
      </c>
      <c r="U5110">
        <v>-3.103577</v>
      </c>
      <c r="V5110">
        <v>5.644619E-2</v>
      </c>
      <c r="W5110">
        <v>0.18142079999999999</v>
      </c>
      <c r="X5110">
        <v>0.98178430000000005</v>
      </c>
      <c r="Y5110">
        <v>-0.110321</v>
      </c>
      <c r="Z5110">
        <v>2.0079900000000001E-2</v>
      </c>
      <c r="AA5110">
        <v>0.99369320000000005</v>
      </c>
      <c r="AB5110">
        <v>30</v>
      </c>
      <c r="AC5110">
        <v>1.3863000000000001</v>
      </c>
      <c r="AD5110">
        <v>-1.122791301833</v>
      </c>
      <c r="AE5110">
        <v>-32.724850000000004</v>
      </c>
      <c r="AF5110">
        <v>-3.64615710920972</v>
      </c>
      <c r="AG5110">
        <v>-1.122791301833</v>
      </c>
      <c r="AH5110">
        <v>32.511940730686803</v>
      </c>
      <c r="AI5110">
        <v>91.965596078723706</v>
      </c>
      <c r="AJ5110">
        <v>96.3988837890588</v>
      </c>
      <c r="AK5110">
        <v>32.735018131172701</v>
      </c>
      <c r="AL5110">
        <v>79.547472150870703</v>
      </c>
      <c r="AM5110">
        <v>86.709489001464704</v>
      </c>
      <c r="AN5110">
        <v>1.0000000453823199</v>
      </c>
    </row>
    <row r="5111" spans="1:40" x14ac:dyDescent="0.25">
      <c r="A5111" t="str">
        <f>"20190303171117053"</f>
        <v>20190303171117053</v>
      </c>
      <c r="B5111" t="str">
        <f>"1551604277045581"</f>
        <v>1551604277045581</v>
      </c>
      <c r="C5111" t="s">
        <v>40</v>
      </c>
      <c r="D5111">
        <v>5.4455200000000001</v>
      </c>
      <c r="E5111">
        <v>0.44383410000000001</v>
      </c>
      <c r="F5111" t="s">
        <v>68</v>
      </c>
      <c r="G5111">
        <v>-303.02609999999999</v>
      </c>
      <c r="H5111" s="1">
        <v>-1.214049E-6</v>
      </c>
      <c r="I5111">
        <v>-41.428890000000003</v>
      </c>
      <c r="J5111">
        <v>-303.81360000000001</v>
      </c>
      <c r="K5111">
        <v>1.122797</v>
      </c>
      <c r="L5111">
        <v>-16.859649999999998</v>
      </c>
      <c r="M5111">
        <v>-6.7276790000000003E-2</v>
      </c>
      <c r="N5111">
        <v>-1.3607930000000001E-2</v>
      </c>
      <c r="O5111">
        <v>-0.99764169999999996</v>
      </c>
      <c r="P5111">
        <v>-0.1212198</v>
      </c>
      <c r="Q5111">
        <v>0.16931289999999999</v>
      </c>
      <c r="R5111">
        <v>-0.97807940000000004</v>
      </c>
      <c r="S5111">
        <v>9.5855709999999997E-2</v>
      </c>
      <c r="T5111">
        <v>-0.14010320000000001</v>
      </c>
      <c r="U5111">
        <v>-3.1043400000000001</v>
      </c>
      <c r="V5111">
        <v>5.442756E-2</v>
      </c>
      <c r="W5111">
        <v>0.18290010000000001</v>
      </c>
      <c r="X5111">
        <v>0.98162380000000005</v>
      </c>
      <c r="Y5111">
        <v>-9.7989889999999996E-2</v>
      </c>
      <c r="Z5111">
        <v>3.1200720000000001E-2</v>
      </c>
      <c r="AA5111">
        <v>0.99469819999999998</v>
      </c>
      <c r="AB5111">
        <v>30</v>
      </c>
      <c r="AC5111">
        <v>0.78750000000002196</v>
      </c>
      <c r="AD5111">
        <v>-1.122798214049</v>
      </c>
      <c r="AE5111">
        <v>-24.569240000000001</v>
      </c>
      <c r="AF5111">
        <v>-2.43373042270813</v>
      </c>
      <c r="AG5111">
        <v>-1.122798214049</v>
      </c>
      <c r="AH5111">
        <v>24.409653489983</v>
      </c>
      <c r="AI5111">
        <v>92.620666536195202</v>
      </c>
      <c r="AJ5111">
        <v>95.693778539540602</v>
      </c>
      <c r="AK5111">
        <v>24.556361764335598</v>
      </c>
      <c r="AL5111">
        <v>79.461272272743301</v>
      </c>
      <c r="AM5111">
        <v>86.826401676775006</v>
      </c>
      <c r="AN5111">
        <v>1.0000000452969999</v>
      </c>
    </row>
    <row r="5112" spans="1:40" x14ac:dyDescent="0.25">
      <c r="A5112" t="str">
        <f>"20190303171117073"</f>
        <v>20190303171117073</v>
      </c>
      <c r="B5112" t="str">
        <f>"1551604277066077"</f>
        <v>1551604277066077</v>
      </c>
      <c r="C5112" t="s">
        <v>40</v>
      </c>
      <c r="D5112">
        <v>5.4424169999999998</v>
      </c>
      <c r="E5112">
        <v>0.44417309999999999</v>
      </c>
      <c r="F5112" t="s">
        <v>68</v>
      </c>
      <c r="G5112">
        <v>-302.9615</v>
      </c>
      <c r="H5112" s="1">
        <v>-1.529112E-6</v>
      </c>
      <c r="I5112">
        <v>-42.133830000000003</v>
      </c>
      <c r="J5112">
        <v>-303.83019999999999</v>
      </c>
      <c r="K5112">
        <v>1.1228070000000001</v>
      </c>
      <c r="L5112">
        <v>-17.13513</v>
      </c>
      <c r="M5112">
        <v>-6.5485370000000001E-2</v>
      </c>
      <c r="N5112">
        <v>-1.3610560000000001E-2</v>
      </c>
      <c r="O5112">
        <v>-0.99776069999999994</v>
      </c>
      <c r="P5112">
        <v>-0.11813460000000001</v>
      </c>
      <c r="Q5112">
        <v>0.17051359999999999</v>
      </c>
      <c r="R5112">
        <v>-0.97824820000000001</v>
      </c>
      <c r="S5112">
        <v>0.1046448</v>
      </c>
      <c r="T5112">
        <v>-0.1378973</v>
      </c>
      <c r="U5112">
        <v>-3.1040649999999999</v>
      </c>
      <c r="V5112">
        <v>5.3101580000000002E-2</v>
      </c>
      <c r="W5112">
        <v>0.1840958</v>
      </c>
      <c r="X5112">
        <v>0.98147280000000003</v>
      </c>
      <c r="Y5112">
        <v>-9.9019969999999999E-2</v>
      </c>
      <c r="Z5112">
        <v>3.0500180000000002E-2</v>
      </c>
      <c r="AA5112">
        <v>0.99461790000000005</v>
      </c>
      <c r="AB5112">
        <v>30</v>
      </c>
      <c r="AC5112">
        <v>0.86869999999998904</v>
      </c>
      <c r="AD5112">
        <v>-1.12280852911199</v>
      </c>
      <c r="AE5112">
        <v>-24.998699999999999</v>
      </c>
      <c r="AF5112">
        <v>-2.4990005644904101</v>
      </c>
      <c r="AG5112">
        <v>-1.12280852911199</v>
      </c>
      <c r="AH5112">
        <v>24.838092512911299</v>
      </c>
      <c r="AI5112">
        <v>92.575315395698894</v>
      </c>
      <c r="AJ5112">
        <v>95.7452869466115</v>
      </c>
      <c r="AK5112">
        <v>24.988728308865799</v>
      </c>
      <c r="AL5112">
        <v>79.3915793146205</v>
      </c>
      <c r="AM5112">
        <v>86.903090012481698</v>
      </c>
      <c r="AN5112">
        <v>0.99999994925798696</v>
      </c>
    </row>
    <row r="5113" spans="1:40" x14ac:dyDescent="0.25">
      <c r="A5113" t="str">
        <f>"20190303171117095"</f>
        <v>20190303171117095</v>
      </c>
      <c r="B5113" t="str">
        <f>"1551604277085597"</f>
        <v>1551604277085597</v>
      </c>
      <c r="C5113" t="s">
        <v>40</v>
      </c>
      <c r="D5113">
        <v>5.4122629999999896</v>
      </c>
      <c r="E5113">
        <v>0.44483010000000001</v>
      </c>
      <c r="F5113" t="s">
        <v>68</v>
      </c>
      <c r="G5113">
        <v>-302.93150000000003</v>
      </c>
      <c r="H5113" s="1">
        <v>-1.572354E-6</v>
      </c>
      <c r="I5113">
        <v>-42.208440000000003</v>
      </c>
      <c r="J5113">
        <v>-303.84699999999998</v>
      </c>
      <c r="K5113">
        <v>1.1228049999999901</v>
      </c>
      <c r="L5113">
        <v>-17.422270000000001</v>
      </c>
      <c r="M5113">
        <v>-6.361667E-2</v>
      </c>
      <c r="N5113">
        <v>-1.361278E-2</v>
      </c>
      <c r="O5113">
        <v>-0.99788169999999998</v>
      </c>
      <c r="P5113">
        <v>-0.1160973</v>
      </c>
      <c r="Q5113">
        <v>0.17347479999999901</v>
      </c>
      <c r="R5113">
        <v>-0.97797129999999999</v>
      </c>
      <c r="S5113">
        <v>0.11126709999999999</v>
      </c>
      <c r="T5113">
        <v>-0.1390169</v>
      </c>
      <c r="U5113">
        <v>-3.1043699999999999</v>
      </c>
      <c r="V5113">
        <v>5.2918569999999998E-2</v>
      </c>
      <c r="W5113">
        <v>0.187051</v>
      </c>
      <c r="X5113">
        <v>0.98092380000000001</v>
      </c>
      <c r="Y5113">
        <v>-9.9271540000000005E-2</v>
      </c>
      <c r="Z5113">
        <v>3.0856680000000001E-2</v>
      </c>
      <c r="AA5113">
        <v>0.99458179999999996</v>
      </c>
      <c r="AB5113">
        <v>30</v>
      </c>
      <c r="AC5113">
        <v>0.91549999999995102</v>
      </c>
      <c r="AD5113">
        <v>-1.12280657235399</v>
      </c>
      <c r="AE5113">
        <v>-24.786169999999998</v>
      </c>
      <c r="AF5113">
        <v>-2.4855112444010001</v>
      </c>
      <c r="AG5113">
        <v>-1.12280657235399</v>
      </c>
      <c r="AH5113">
        <v>24.6272397470523</v>
      </c>
      <c r="AI5113">
        <v>92.597248907136006</v>
      </c>
      <c r="AJ5113">
        <v>95.763078464367993</v>
      </c>
      <c r="AK5113">
        <v>24.777800513842202</v>
      </c>
      <c r="AL5113">
        <v>79.219266027851205</v>
      </c>
      <c r="AM5113">
        <v>86.912018611993204</v>
      </c>
      <c r="AN5113">
        <v>0.99999997652914197</v>
      </c>
    </row>
    <row r="5114" spans="1:40" x14ac:dyDescent="0.25">
      <c r="A5114" t="str">
        <f>"20190303171117116"</f>
        <v>20190303171117116</v>
      </c>
      <c r="B5114" t="str">
        <f>"1551604277106093"</f>
        <v>1551604277106093</v>
      </c>
      <c r="C5114" t="s">
        <v>40</v>
      </c>
      <c r="D5114">
        <v>5.4143589999999904</v>
      </c>
      <c r="E5114">
        <v>0.4453126</v>
      </c>
      <c r="F5114" t="s">
        <v>68</v>
      </c>
      <c r="G5114">
        <v>-302.8922</v>
      </c>
      <c r="H5114" s="1">
        <v>-2.4858590000000001E-6</v>
      </c>
      <c r="I5114">
        <v>-43.654220000000002</v>
      </c>
      <c r="J5114">
        <v>-303.86309999999997</v>
      </c>
      <c r="K5114">
        <v>1.1228180000000001</v>
      </c>
      <c r="L5114">
        <v>-17.706019999999999</v>
      </c>
      <c r="M5114">
        <v>-6.1768440000000001E-2</v>
      </c>
      <c r="N5114">
        <v>-1.3614569999999999E-2</v>
      </c>
      <c r="O5114">
        <v>-0.99799780000000005</v>
      </c>
      <c r="P5114">
        <v>-0.11466079999999999</v>
      </c>
      <c r="Q5114">
        <v>0.1756231</v>
      </c>
      <c r="R5114">
        <v>-0.97775769999999995</v>
      </c>
      <c r="S5114">
        <v>0.1130066</v>
      </c>
      <c r="T5114">
        <v>-0.13288440000000001</v>
      </c>
      <c r="U5114">
        <v>-3.1045530000000001</v>
      </c>
      <c r="V5114">
        <v>5.3312070000000003E-2</v>
      </c>
      <c r="W5114">
        <v>0.1891969</v>
      </c>
      <c r="X5114">
        <v>0.98049090000000005</v>
      </c>
      <c r="Y5114">
        <v>-9.7986989999999996E-2</v>
      </c>
      <c r="Z5114">
        <v>2.890305E-2</v>
      </c>
      <c r="AA5114">
        <v>0.99476790000000004</v>
      </c>
      <c r="AB5114">
        <v>30</v>
      </c>
      <c r="AC5114">
        <v>0.97089999999997201</v>
      </c>
      <c r="AD5114">
        <v>-1.1228204858589901</v>
      </c>
      <c r="AE5114">
        <v>-25.9482</v>
      </c>
      <c r="AF5114">
        <v>-2.5671737436445299</v>
      </c>
      <c r="AG5114">
        <v>-1.1228204858589901</v>
      </c>
      <c r="AH5114">
        <v>25.790443030597601</v>
      </c>
      <c r="AI5114">
        <v>92.480628571318505</v>
      </c>
      <c r="AJ5114">
        <v>95.684481542328001</v>
      </c>
      <c r="AK5114">
        <v>25.942206124152602</v>
      </c>
      <c r="AL5114">
        <v>79.094080349858004</v>
      </c>
      <c r="AM5114">
        <v>86.887730658778807</v>
      </c>
      <c r="AN5114">
        <v>1.00000002438005</v>
      </c>
    </row>
    <row r="5115" spans="1:40" x14ac:dyDescent="0.25">
      <c r="A5115" t="str">
        <f>"20190303171117140"</f>
        <v>20190303171117140</v>
      </c>
      <c r="B5115" t="str">
        <f>"1551604277125613"</f>
        <v>1551604277125613</v>
      </c>
      <c r="C5115" t="s">
        <v>40</v>
      </c>
      <c r="D5115">
        <v>5.4173920000000004</v>
      </c>
      <c r="E5115">
        <v>0.44885520000000001</v>
      </c>
      <c r="F5115" t="s">
        <v>68</v>
      </c>
      <c r="G5115">
        <v>-302.86110000000002</v>
      </c>
      <c r="H5115" s="1">
        <v>-3.2126470000000002E-6</v>
      </c>
      <c r="I5115">
        <v>-44.804450000000003</v>
      </c>
      <c r="J5115">
        <v>-303.88060000000002</v>
      </c>
      <c r="K5115">
        <v>1.1228180000000001</v>
      </c>
      <c r="L5115">
        <v>-18.025359999999999</v>
      </c>
      <c r="M5115">
        <v>-5.9687999999999998E-2</v>
      </c>
      <c r="N5115">
        <v>-1.361598E-2</v>
      </c>
      <c r="O5115">
        <v>-0.99812440000000002</v>
      </c>
      <c r="P5115">
        <v>-0.11250499999999999</v>
      </c>
      <c r="Q5115">
        <v>0.1759587</v>
      </c>
      <c r="R5115">
        <v>-0.97794769999999998</v>
      </c>
      <c r="S5115">
        <v>0.1148071</v>
      </c>
      <c r="T5115">
        <v>-0.12864829999999999</v>
      </c>
      <c r="U5115">
        <v>-3.1048279999999999</v>
      </c>
      <c r="V5115">
        <v>5.319757E-2</v>
      </c>
      <c r="W5115">
        <v>0.18953210000000001</v>
      </c>
      <c r="X5115">
        <v>0.98043230000000003</v>
      </c>
      <c r="Y5115">
        <v>-9.6488249999999998E-2</v>
      </c>
      <c r="Z5115">
        <v>2.7554849999999999E-2</v>
      </c>
      <c r="AA5115">
        <v>0.99495259999999996</v>
      </c>
      <c r="AB5115">
        <v>30</v>
      </c>
      <c r="AC5115">
        <v>1.0194999999999901</v>
      </c>
      <c r="AD5115">
        <v>-1.1228212126469901</v>
      </c>
      <c r="AE5115">
        <v>-26.77909</v>
      </c>
      <c r="AF5115">
        <v>-2.6116354702568998</v>
      </c>
      <c r="AG5115">
        <v>-1.1228212126469901</v>
      </c>
      <c r="AH5115">
        <v>26.623740736564599</v>
      </c>
      <c r="AI5115">
        <v>92.403420864432505</v>
      </c>
      <c r="AJ5115">
        <v>95.602461661519996</v>
      </c>
      <c r="AK5115">
        <v>26.775080543536799</v>
      </c>
      <c r="AL5115">
        <v>79.074520053506305</v>
      </c>
      <c r="AM5115">
        <v>86.894216621645697</v>
      </c>
      <c r="AN5115">
        <v>0.99999994663380098</v>
      </c>
    </row>
    <row r="5116" spans="1:40" x14ac:dyDescent="0.25">
      <c r="A5116" t="str">
        <f>"20190303171117161"</f>
        <v>20190303171117161</v>
      </c>
      <c r="B5116" t="str">
        <f>"1551604277155869"</f>
        <v>1551604277155869</v>
      </c>
      <c r="C5116" t="s">
        <v>40</v>
      </c>
      <c r="D5116">
        <v>5.4153250000000002</v>
      </c>
      <c r="E5116">
        <v>0.44835269999999999</v>
      </c>
      <c r="F5116" t="s">
        <v>68</v>
      </c>
      <c r="G5116">
        <v>-303.14909999999998</v>
      </c>
      <c r="H5116" s="1">
        <v>-1.552708E-6</v>
      </c>
      <c r="I5116">
        <v>-42.129860000000001</v>
      </c>
      <c r="J5116">
        <v>-303.89519999999999</v>
      </c>
      <c r="K5116">
        <v>1.122816</v>
      </c>
      <c r="L5116">
        <v>-18.302309999999999</v>
      </c>
      <c r="M5116">
        <v>-5.7883289999999997E-2</v>
      </c>
      <c r="N5116">
        <v>-1.361683E-2</v>
      </c>
      <c r="O5116">
        <v>-0.99823079999999997</v>
      </c>
      <c r="P5116">
        <v>-0.1101395</v>
      </c>
      <c r="Q5116">
        <v>0.1748198</v>
      </c>
      <c r="R5116">
        <v>-0.97842119999999999</v>
      </c>
      <c r="S5116">
        <v>9.4207760000000001E-2</v>
      </c>
      <c r="T5116">
        <v>-0.1446114</v>
      </c>
      <c r="U5116">
        <v>-3.104492</v>
      </c>
      <c r="V5116">
        <v>5.2591029999999997E-2</v>
      </c>
      <c r="W5116">
        <v>0.18839520000000001</v>
      </c>
      <c r="X5116">
        <v>0.98068420000000001</v>
      </c>
      <c r="Y5116">
        <v>-8.8090349999999998E-2</v>
      </c>
      <c r="Z5116">
        <v>3.2694399999999998E-2</v>
      </c>
      <c r="AA5116">
        <v>0.99557580000000001</v>
      </c>
      <c r="AB5116">
        <v>30</v>
      </c>
      <c r="AC5116">
        <v>0.74610000000001198</v>
      </c>
      <c r="AD5116">
        <v>-1.122817552708</v>
      </c>
      <c r="AE5116">
        <v>-23.827549999999999</v>
      </c>
      <c r="AF5116">
        <v>-2.1194914489351802</v>
      </c>
      <c r="AG5116">
        <v>-1.122817552708</v>
      </c>
      <c r="AH5116">
        <v>23.6918443177087</v>
      </c>
      <c r="AI5116">
        <v>92.7025873216202</v>
      </c>
      <c r="AJ5116">
        <v>95.112117677630295</v>
      </c>
      <c r="AK5116">
        <v>23.812947117761901</v>
      </c>
      <c r="AL5116">
        <v>79.140855672572101</v>
      </c>
      <c r="AM5116">
        <v>86.930346695249696</v>
      </c>
      <c r="AN5116">
        <v>1.0000000339745601</v>
      </c>
    </row>
    <row r="5117" spans="1:40" x14ac:dyDescent="0.25">
      <c r="A5117" t="str">
        <f>"20190303171117182"</f>
        <v>20190303171117182</v>
      </c>
      <c r="B5117" t="str">
        <f>"1551604277175391"</f>
        <v>1551604277175391</v>
      </c>
      <c r="C5117" t="s">
        <v>40</v>
      </c>
      <c r="D5117">
        <v>5.4167540000000001</v>
      </c>
      <c r="E5117">
        <v>0.44856829999999998</v>
      </c>
      <c r="F5117" t="s">
        <v>42</v>
      </c>
      <c r="G5117">
        <v>-303.16019999999997</v>
      </c>
      <c r="H5117" s="1">
        <v>-9.8698880000000007E-7</v>
      </c>
      <c r="I5117">
        <v>-40.070259999999998</v>
      </c>
      <c r="J5117">
        <v>-303.90969999999999</v>
      </c>
      <c r="K5117">
        <v>1.1228129999999901</v>
      </c>
      <c r="L5117">
        <v>-18.587769999999999</v>
      </c>
      <c r="M5117">
        <v>-5.6022820000000001E-2</v>
      </c>
      <c r="N5117">
        <v>-1.361739E-2</v>
      </c>
      <c r="O5117">
        <v>-0.99833669999999997</v>
      </c>
      <c r="P5117">
        <v>-0.1073259</v>
      </c>
      <c r="Q5117">
        <v>0.17418699999999901</v>
      </c>
      <c r="R5117">
        <v>-0.97884669999999896</v>
      </c>
      <c r="S5117">
        <v>0.10488889999999999</v>
      </c>
      <c r="T5117">
        <v>-0.1602421</v>
      </c>
      <c r="U5117">
        <v>-3.106598</v>
      </c>
      <c r="V5117">
        <v>5.1593630000000001E-2</v>
      </c>
      <c r="W5117">
        <v>0.18776109999999999</v>
      </c>
      <c r="X5117">
        <v>0.98085869999999997</v>
      </c>
      <c r="Y5117">
        <v>-8.9623240000000007E-2</v>
      </c>
      <c r="Z5117">
        <v>3.7656189999999999E-2</v>
      </c>
      <c r="AA5117">
        <v>0.99526360000000003</v>
      </c>
      <c r="AB5117">
        <v>30</v>
      </c>
      <c r="AC5117">
        <v>0.74950000000001105</v>
      </c>
      <c r="AD5117">
        <v>-1.1228139869888001</v>
      </c>
      <c r="AE5117">
        <v>-21.482489999999899</v>
      </c>
      <c r="AF5117">
        <v>-1.9466325457189999</v>
      </c>
      <c r="AG5117">
        <v>-1.1228139869888001</v>
      </c>
      <c r="AH5117">
        <v>21.348503649706601</v>
      </c>
      <c r="AI5117">
        <v>92.998253437182797</v>
      </c>
      <c r="AJ5117">
        <v>95.210025493701096</v>
      </c>
      <c r="AK5117">
        <v>21.466455170776701</v>
      </c>
      <c r="AL5117">
        <v>79.177846276388706</v>
      </c>
      <c r="AM5117">
        <v>86.988989906139594</v>
      </c>
      <c r="AN5117">
        <v>0.99999996134773705</v>
      </c>
    </row>
    <row r="5118" spans="1:40" x14ac:dyDescent="0.25">
      <c r="A5118" t="str">
        <f>"20190303171117205"</f>
        <v>20190303171117205</v>
      </c>
      <c r="B5118" t="str">
        <f>"1551604277196861"</f>
        <v>1551604277196861</v>
      </c>
      <c r="C5118" t="s">
        <v>40</v>
      </c>
      <c r="D5118">
        <v>5.3556330000000001</v>
      </c>
      <c r="E5118">
        <v>0.44901740000000001</v>
      </c>
      <c r="F5118" t="s">
        <v>42</v>
      </c>
      <c r="G5118">
        <v>-303.14460000000003</v>
      </c>
      <c r="H5118" s="1">
        <v>-1.133861E-6</v>
      </c>
      <c r="I5118">
        <v>-39.71819</v>
      </c>
      <c r="J5118">
        <v>-303.9248</v>
      </c>
      <c r="K5118">
        <v>1.1228089999999999</v>
      </c>
      <c r="L5118">
        <v>-18.895630000000001</v>
      </c>
      <c r="M5118">
        <v>-5.4016349999999998E-2</v>
      </c>
      <c r="N5118">
        <v>-1.361768E-2</v>
      </c>
      <c r="O5118">
        <v>-0.99844730000000004</v>
      </c>
      <c r="P5118">
        <v>-0.1069025</v>
      </c>
      <c r="Q5118">
        <v>0.17525859999999999</v>
      </c>
      <c r="R5118">
        <v>-0.9787015</v>
      </c>
      <c r="S5118">
        <v>0.1124878</v>
      </c>
      <c r="T5118">
        <v>-0.1650732</v>
      </c>
      <c r="U5118">
        <v>-3.1065369999999999</v>
      </c>
      <c r="V5118">
        <v>5.3151780000000003E-2</v>
      </c>
      <c r="W5118">
        <v>0.18883440000000001</v>
      </c>
      <c r="X5118">
        <v>0.98056949999999998</v>
      </c>
      <c r="Y5118">
        <v>-9.005051E-2</v>
      </c>
      <c r="Z5118">
        <v>3.9204500000000003E-2</v>
      </c>
      <c r="AA5118">
        <v>0.99516530000000003</v>
      </c>
      <c r="AB5118">
        <v>30</v>
      </c>
      <c r="AC5118">
        <v>0.78019999999997902</v>
      </c>
      <c r="AD5118">
        <v>-1.1228101338609999</v>
      </c>
      <c r="AE5118">
        <v>-20.822559999999999</v>
      </c>
      <c r="AF5118">
        <v>-1.8984113996576599</v>
      </c>
      <c r="AG5118">
        <v>-1.1228101338609999</v>
      </c>
      <c r="AH5118">
        <v>20.6899319786801</v>
      </c>
      <c r="AI5118">
        <v>93.093336220873994</v>
      </c>
      <c r="AJ5118">
        <v>95.242513354824496</v>
      </c>
      <c r="AK5118">
        <v>20.807161116343099</v>
      </c>
      <c r="AL5118">
        <v>79.115231544462503</v>
      </c>
      <c r="AM5118">
        <v>86.897318044467696</v>
      </c>
      <c r="AN5118">
        <v>1.00000004333538</v>
      </c>
    </row>
    <row r="5119" spans="1:40" x14ac:dyDescent="0.25">
      <c r="A5119" t="str">
        <f>"20190303171117233"</f>
        <v>20190303171117233</v>
      </c>
      <c r="B5119" t="str">
        <f>"1551604277226141"</f>
        <v>1551604277226141</v>
      </c>
      <c r="C5119" t="s">
        <v>40</v>
      </c>
      <c r="D5119">
        <v>5.4088469999999997</v>
      </c>
      <c r="E5119">
        <v>0.44981539999999998</v>
      </c>
      <c r="F5119" t="s">
        <v>42</v>
      </c>
      <c r="G5119">
        <v>-303.16140000000001</v>
      </c>
      <c r="H5119" s="1">
        <v>-9.5159110000000003E-7</v>
      </c>
      <c r="I5119">
        <v>-40.153489999999998</v>
      </c>
      <c r="J5119">
        <v>-303.94240000000002</v>
      </c>
      <c r="K5119">
        <v>1.1228100000000001</v>
      </c>
      <c r="L5119">
        <v>-19.27121</v>
      </c>
      <c r="M5119">
        <v>-5.1567590000000003E-2</v>
      </c>
      <c r="N5119">
        <v>-1.3617509999999999E-2</v>
      </c>
      <c r="O5119">
        <v>-0.99857700000000005</v>
      </c>
      <c r="P5119">
        <v>-0.1047931</v>
      </c>
      <c r="Q5119">
        <v>0.17519609999999999</v>
      </c>
      <c r="R5119">
        <v>-0.97894110000000001</v>
      </c>
      <c r="S5119">
        <v>0.1115723</v>
      </c>
      <c r="T5119">
        <v>-0.16410060000000001</v>
      </c>
      <c r="U5119">
        <v>-3.1068730000000002</v>
      </c>
      <c r="V5119">
        <v>5.3445159999999999E-2</v>
      </c>
      <c r="W5119">
        <v>0.1887722</v>
      </c>
      <c r="X5119">
        <v>0.98056549999999998</v>
      </c>
      <c r="Y5119">
        <v>-8.7312870000000001E-2</v>
      </c>
      <c r="Z5119">
        <v>3.8906160000000002E-2</v>
      </c>
      <c r="AA5119">
        <v>0.99542090000000005</v>
      </c>
      <c r="AB5119">
        <v>30</v>
      </c>
      <c r="AC5119">
        <v>0.78100000000000502</v>
      </c>
      <c r="AD5119">
        <v>-1.1228109515911</v>
      </c>
      <c r="AE5119">
        <v>-20.882280000000002</v>
      </c>
      <c r="AF5119">
        <v>-1.85156352992663</v>
      </c>
      <c r="AG5119">
        <v>-1.1228109515911</v>
      </c>
      <c r="AH5119">
        <v>20.754294972335</v>
      </c>
      <c r="AI5119">
        <v>93.084466195081802</v>
      </c>
      <c r="AJ5119">
        <v>95.098061020693706</v>
      </c>
      <c r="AK5119">
        <v>20.866953580651401</v>
      </c>
      <c r="AL5119">
        <v>79.118860289981995</v>
      </c>
      <c r="AM5119">
        <v>86.880213316788897</v>
      </c>
      <c r="AN5119">
        <v>1.0000000142052501</v>
      </c>
    </row>
    <row r="5120" spans="1:40" x14ac:dyDescent="0.25">
      <c r="A5120" t="str">
        <f>"20190303171117265"</f>
        <v>20190303171117265</v>
      </c>
      <c r="B5120" t="str">
        <f>"1551604277255422"</f>
        <v>1551604277255422</v>
      </c>
      <c r="C5120" t="s">
        <v>40</v>
      </c>
      <c r="D5120">
        <v>5.4292030000000002</v>
      </c>
      <c r="E5120">
        <v>0.45024979999999998</v>
      </c>
      <c r="F5120" t="s">
        <v>42</v>
      </c>
      <c r="G5120">
        <v>-303.19850000000002</v>
      </c>
      <c r="H5120" s="1">
        <v>-1.123535E-6</v>
      </c>
      <c r="I5120">
        <v>-39.775680000000001</v>
      </c>
      <c r="J5120">
        <v>-303.96069999999997</v>
      </c>
      <c r="K5120">
        <v>1.122795</v>
      </c>
      <c r="L5120">
        <v>-19.686160000000001</v>
      </c>
      <c r="M5120">
        <v>-4.8861479999999999E-2</v>
      </c>
      <c r="N5120">
        <v>-1.361715E-2</v>
      </c>
      <c r="O5120">
        <v>-0.99871299999999996</v>
      </c>
      <c r="P5120">
        <v>-9.9965449999999997E-2</v>
      </c>
      <c r="Q5120">
        <v>0.1719512</v>
      </c>
      <c r="R5120">
        <v>-0.98002049999999996</v>
      </c>
      <c r="S5120">
        <v>0.1127319</v>
      </c>
      <c r="T5120">
        <v>-0.170140299999999</v>
      </c>
      <c r="U5120">
        <v>-3.107056</v>
      </c>
      <c r="V5120">
        <v>5.1248299999999997E-2</v>
      </c>
      <c r="W5120">
        <v>0.18552840000000001</v>
      </c>
      <c r="X5120">
        <v>0.9813016</v>
      </c>
      <c r="Y5120">
        <v>-8.4979269999999996E-2</v>
      </c>
      <c r="Z5120">
        <v>4.084877E-2</v>
      </c>
      <c r="AA5120">
        <v>0.99554500000000001</v>
      </c>
      <c r="AB5120">
        <v>30</v>
      </c>
      <c r="AC5120">
        <v>0.76219999999995003</v>
      </c>
      <c r="AD5120">
        <v>-1.1227961235349999</v>
      </c>
      <c r="AE5120">
        <v>-20.08952</v>
      </c>
      <c r="AF5120">
        <v>-1.73756412934329</v>
      </c>
      <c r="AG5120">
        <v>-1.1227961235349999</v>
      </c>
      <c r="AH5120">
        <v>19.965997073531501</v>
      </c>
      <c r="AI5120">
        <v>93.206567633387493</v>
      </c>
      <c r="AJ5120">
        <v>94.973700948420202</v>
      </c>
      <c r="AK5120">
        <v>20.072888167348399</v>
      </c>
      <c r="AL5120">
        <v>79.308059210052804</v>
      </c>
      <c r="AM5120">
        <v>87.010454148226898</v>
      </c>
      <c r="AN5120">
        <v>1.0000000028110001</v>
      </c>
    </row>
    <row r="5121" spans="1:40" x14ac:dyDescent="0.25">
      <c r="A5121" t="str">
        <f>"20190303171117292"</f>
        <v>20190303171117292</v>
      </c>
      <c r="B5121" t="str">
        <f>"1551604277285678"</f>
        <v>1551604277285678</v>
      </c>
      <c r="C5121" t="s">
        <v>40</v>
      </c>
      <c r="D5121">
        <v>5.4328770000000004</v>
      </c>
      <c r="E5121">
        <v>0.45056950000000001</v>
      </c>
      <c r="F5121" t="s">
        <v>42</v>
      </c>
      <c r="G5121">
        <v>-303.19490000000002</v>
      </c>
      <c r="H5121" s="1">
        <v>-1.5343939999999999E-6</v>
      </c>
      <c r="I5121">
        <v>-38.815770000000001</v>
      </c>
      <c r="J5121">
        <v>-303.97570000000002</v>
      </c>
      <c r="K5121">
        <v>1.1227940000000001</v>
      </c>
      <c r="L5121">
        <v>-20.045470000000002</v>
      </c>
      <c r="M5121">
        <v>-4.6517799999999998E-2</v>
      </c>
      <c r="N5121">
        <v>-1.3616690000000001E-2</v>
      </c>
      <c r="O5121">
        <v>-0.99882490000000002</v>
      </c>
      <c r="P5121">
        <v>-9.6540749999999995E-2</v>
      </c>
      <c r="Q5121">
        <v>0.17141329999999999</v>
      </c>
      <c r="R5121">
        <v>-0.9804581</v>
      </c>
      <c r="S5121">
        <v>0.1243286</v>
      </c>
      <c r="T5121">
        <v>-0.1822945</v>
      </c>
      <c r="U5121">
        <v>-3.1058349999999999</v>
      </c>
      <c r="V5121">
        <v>5.0118790000000003E-2</v>
      </c>
      <c r="W5121">
        <v>0.18498719999999999</v>
      </c>
      <c r="X5121">
        <v>0.9814621</v>
      </c>
      <c r="Y5121">
        <v>-8.6357429999999999E-2</v>
      </c>
      <c r="Z5121">
        <v>4.475407E-2</v>
      </c>
      <c r="AA5121">
        <v>0.99525850000000005</v>
      </c>
      <c r="AB5121">
        <v>30</v>
      </c>
      <c r="AC5121">
        <v>0.78079999999999905</v>
      </c>
      <c r="AD5121">
        <v>-1.1227955343939999</v>
      </c>
      <c r="AE5121">
        <v>-18.770299999999999</v>
      </c>
      <c r="AF5121">
        <v>-1.6473042733788299</v>
      </c>
      <c r="AG5121">
        <v>-1.1227955343939999</v>
      </c>
      <c r="AH5121">
        <v>18.647045474189401</v>
      </c>
      <c r="AI5121">
        <v>93.432457856722607</v>
      </c>
      <c r="AJ5121">
        <v>95.048477888468994</v>
      </c>
      <c r="AK5121">
        <v>18.753308670675501</v>
      </c>
      <c r="AL5121">
        <v>79.339613928424697</v>
      </c>
      <c r="AM5121">
        <v>87.076705281303006</v>
      </c>
      <c r="AN5121">
        <v>1.0000000055056499</v>
      </c>
    </row>
    <row r="5122" spans="1:40" x14ac:dyDescent="0.25">
      <c r="A5122" t="str">
        <f>"20190303171117314"</f>
        <v>20190303171117314</v>
      </c>
      <c r="B5122" t="str">
        <f>"1551604277306174"</f>
        <v>1551604277306174</v>
      </c>
      <c r="C5122" t="s">
        <v>40</v>
      </c>
      <c r="D5122">
        <v>5.4751940000000001</v>
      </c>
      <c r="E5122">
        <v>0.45080809999999999</v>
      </c>
      <c r="F5122" t="s">
        <v>42</v>
      </c>
      <c r="G5122">
        <v>-303.16489999999999</v>
      </c>
      <c r="H5122" s="1">
        <v>-1.4815060000000001E-6</v>
      </c>
      <c r="I5122">
        <v>-38.92042</v>
      </c>
      <c r="J5122">
        <v>-303.98820000000001</v>
      </c>
      <c r="K5122">
        <v>1.12279</v>
      </c>
      <c r="L5122">
        <v>-20.361789999999999</v>
      </c>
      <c r="M5122">
        <v>-4.4453989999999999E-2</v>
      </c>
      <c r="N5122">
        <v>-1.361602E-2</v>
      </c>
      <c r="O5122">
        <v>-0.99891870000000005</v>
      </c>
      <c r="P5122">
        <v>-9.346873E-2</v>
      </c>
      <c r="Q5122">
        <v>0.17227529999999999</v>
      </c>
      <c r="R5122">
        <v>-0.98060449999999999</v>
      </c>
      <c r="S5122">
        <v>0.13339229999999899</v>
      </c>
      <c r="T5122">
        <v>-0.1847174</v>
      </c>
      <c r="U5122">
        <v>-3.1052249999999999</v>
      </c>
      <c r="V5122">
        <v>4.9074079999999999E-2</v>
      </c>
      <c r="W5122">
        <v>0.1858428</v>
      </c>
      <c r="X5122">
        <v>0.98135320000000004</v>
      </c>
      <c r="Y5122">
        <v>-8.7204429999999999E-2</v>
      </c>
      <c r="Z5122">
        <v>4.5542199999999998E-2</v>
      </c>
      <c r="AA5122">
        <v>0.9951489</v>
      </c>
      <c r="AB5122">
        <v>30</v>
      </c>
      <c r="AC5122">
        <v>0.82330000000001702</v>
      </c>
      <c r="AD5122">
        <v>-1.1227914815060001</v>
      </c>
      <c r="AE5122">
        <v>-18.558629999999901</v>
      </c>
      <c r="AF5122">
        <v>-1.64157085263292</v>
      </c>
      <c r="AG5122">
        <v>-1.1227914815060001</v>
      </c>
      <c r="AH5122">
        <v>18.436329427701899</v>
      </c>
      <c r="AI5122">
        <v>93.471367936964199</v>
      </c>
      <c r="AJ5122">
        <v>95.088198149407702</v>
      </c>
      <c r="AK5122">
        <v>18.543291464621401</v>
      </c>
      <c r="AL5122">
        <v>79.289726106161297</v>
      </c>
      <c r="AM5122">
        <v>87.137220880492094</v>
      </c>
      <c r="AN5122">
        <v>0.99999995739496195</v>
      </c>
    </row>
    <row r="5123" spans="1:40" x14ac:dyDescent="0.25">
      <c r="A5123" t="str">
        <f>"20190303171117340"</f>
        <v>20190303171117340</v>
      </c>
      <c r="B5123" t="str">
        <f>"1551604277326669"</f>
        <v>1551604277326669</v>
      </c>
      <c r="C5123" t="s">
        <v>40</v>
      </c>
      <c r="D5123">
        <v>5.4463660000000003</v>
      </c>
      <c r="E5123">
        <v>0.45092860000000001</v>
      </c>
      <c r="F5123" t="s">
        <v>42</v>
      </c>
      <c r="G5123">
        <v>-303.11619999999999</v>
      </c>
      <c r="H5123" s="1">
        <v>-1.224291E-6</v>
      </c>
      <c r="I5123">
        <v>-39.489780000000003</v>
      </c>
      <c r="J5123">
        <v>-304.00029999999998</v>
      </c>
      <c r="K5123">
        <v>1.1227959999999999</v>
      </c>
      <c r="L5123">
        <v>-20.685179999999999</v>
      </c>
      <c r="M5123">
        <v>-4.2343909999999998E-2</v>
      </c>
      <c r="N5123">
        <v>-1.3615199999999999E-2</v>
      </c>
      <c r="O5123">
        <v>-0.99901039999999997</v>
      </c>
      <c r="P5123">
        <v>-9.0475659999999999E-2</v>
      </c>
      <c r="Q5123">
        <v>0.17367579999999999</v>
      </c>
      <c r="R5123">
        <v>-0.9806378</v>
      </c>
      <c r="S5123">
        <v>0.14154050000000001</v>
      </c>
      <c r="T5123">
        <v>-0.18225160000000001</v>
      </c>
      <c r="U5123">
        <v>-3.1048580000000001</v>
      </c>
      <c r="V5123">
        <v>4.815618E-2</v>
      </c>
      <c r="W5123">
        <v>0.1872356</v>
      </c>
      <c r="X5123">
        <v>0.9811339</v>
      </c>
      <c r="Y5123">
        <v>-8.7713570000000005E-2</v>
      </c>
      <c r="Z5123">
        <v>4.4765630000000001E-2</v>
      </c>
      <c r="AA5123">
        <v>0.99513940000000001</v>
      </c>
      <c r="AB5123">
        <v>30</v>
      </c>
      <c r="AC5123">
        <v>0.88409999999998901</v>
      </c>
      <c r="AD5123">
        <v>-1.12279722429099</v>
      </c>
      <c r="AE5123">
        <v>-18.804600000000001</v>
      </c>
      <c r="AF5123">
        <v>-1.6736871986333</v>
      </c>
      <c r="AG5123">
        <v>-1.12279722429099</v>
      </c>
      <c r="AH5123">
        <v>18.683827980867999</v>
      </c>
      <c r="AI5123">
        <v>93.425348234960595</v>
      </c>
      <c r="AJ5123">
        <v>95.118862028589007</v>
      </c>
      <c r="AK5123">
        <v>18.7922146237321</v>
      </c>
      <c r="AL5123">
        <v>79.208498806373797</v>
      </c>
      <c r="AM5123">
        <v>87.190053855184502</v>
      </c>
      <c r="AN5123">
        <v>0.99999995865437996</v>
      </c>
    </row>
    <row r="5124" spans="1:40" x14ac:dyDescent="0.25">
      <c r="A5124" t="str">
        <f>"20190303171117363"</f>
        <v>20190303171117363</v>
      </c>
      <c r="B5124" t="str">
        <f>"1551604277355949"</f>
        <v>1551604277355949</v>
      </c>
      <c r="C5124" t="s">
        <v>40</v>
      </c>
      <c r="D5124">
        <v>5.4815449999999997</v>
      </c>
      <c r="E5124">
        <v>0.45123220000000003</v>
      </c>
      <c r="F5124" t="s">
        <v>42</v>
      </c>
      <c r="G5124">
        <v>-303.06689999999998</v>
      </c>
      <c r="H5124" s="1">
        <v>-9.2050310000000004E-7</v>
      </c>
      <c r="I5124">
        <v>-40.167340000000003</v>
      </c>
      <c r="J5124">
        <v>-304.01139999999998</v>
      </c>
      <c r="K5124">
        <v>1.1228070000000001</v>
      </c>
      <c r="L5124">
        <v>-21.00177</v>
      </c>
      <c r="M5124">
        <v>-4.0278189999999998E-2</v>
      </c>
      <c r="N5124">
        <v>-1.3614319999999999E-2</v>
      </c>
      <c r="O5124">
        <v>-0.99909590000000004</v>
      </c>
      <c r="P5124">
        <v>-8.8175450000000002E-2</v>
      </c>
      <c r="Q5124">
        <v>0.1749888</v>
      </c>
      <c r="R5124">
        <v>-0.98061430000000005</v>
      </c>
      <c r="S5124">
        <v>0.14874270000000001</v>
      </c>
      <c r="T5124">
        <v>-0.17892720000000001</v>
      </c>
      <c r="U5124">
        <v>-3.1046450000000001</v>
      </c>
      <c r="V5124">
        <v>4.7888720000000003E-2</v>
      </c>
      <c r="W5124">
        <v>0.18854370000000001</v>
      </c>
      <c r="X5124">
        <v>0.98089649999999995</v>
      </c>
      <c r="Y5124">
        <v>-8.7963239999999998E-2</v>
      </c>
      <c r="Z5124">
        <v>4.371208E-2</v>
      </c>
      <c r="AA5124">
        <v>0.99516420000000005</v>
      </c>
      <c r="AB5124">
        <v>30</v>
      </c>
      <c r="AC5124">
        <v>0.944500000000005</v>
      </c>
      <c r="AD5124">
        <v>-1.1228079205031001</v>
      </c>
      <c r="AE5124">
        <v>-19.165569999999999</v>
      </c>
      <c r="AF5124">
        <v>-1.70990485760917</v>
      </c>
      <c r="AG5124">
        <v>-1.1228079205031001</v>
      </c>
      <c r="AH5124">
        <v>19.046754952845301</v>
      </c>
      <c r="AI5124">
        <v>93.360204729860399</v>
      </c>
      <c r="AJ5124">
        <v>95.129923907597998</v>
      </c>
      <c r="AK5124">
        <v>19.1562873877523</v>
      </c>
      <c r="AL5124">
        <v>79.132191614593197</v>
      </c>
      <c r="AM5124">
        <v>87.204960295348599</v>
      </c>
      <c r="AN5124">
        <v>1.0000000000125799</v>
      </c>
    </row>
    <row r="5125" spans="1:40" x14ac:dyDescent="0.25">
      <c r="A5125" t="str">
        <f>"20190303171117399"</f>
        <v>20190303171117399</v>
      </c>
      <c r="B5125" t="str">
        <f>"1551604277395965"</f>
        <v>1551604277395965</v>
      </c>
      <c r="C5125" t="s">
        <v>40</v>
      </c>
      <c r="D5125">
        <v>5.4949500000000002</v>
      </c>
      <c r="E5125">
        <v>0.45053870000000001</v>
      </c>
      <c r="F5125" t="s">
        <v>68</v>
      </c>
      <c r="G5125">
        <v>-303.03660000000002</v>
      </c>
      <c r="H5125" s="1">
        <v>-9.7310030000000008E-7</v>
      </c>
      <c r="I5125">
        <v>-40.790689999999998</v>
      </c>
      <c r="J5125">
        <v>-304.02699999999999</v>
      </c>
      <c r="K5125">
        <v>1.122814</v>
      </c>
      <c r="L5125">
        <v>-21.47702</v>
      </c>
      <c r="M5125">
        <v>-3.7176389999999997E-2</v>
      </c>
      <c r="N5125">
        <v>-1.3612859999999999E-2</v>
      </c>
      <c r="O5125">
        <v>-0.9992162</v>
      </c>
      <c r="P5125">
        <v>-8.5569309999999996E-2</v>
      </c>
      <c r="Q5125">
        <v>0.17604149999999999</v>
      </c>
      <c r="R5125">
        <v>-0.98065690000000005</v>
      </c>
      <c r="S5125">
        <v>0.15292359999999999</v>
      </c>
      <c r="T5125">
        <v>-0.17614639999999901</v>
      </c>
      <c r="U5125">
        <v>-3.104492</v>
      </c>
      <c r="V5125">
        <v>4.83332E-2</v>
      </c>
      <c r="W5125">
        <v>0.18959300000000001</v>
      </c>
      <c r="X5125">
        <v>0.9806724</v>
      </c>
      <c r="Y5125">
        <v>-8.6213419999999999E-2</v>
      </c>
      <c r="Z5125">
        <v>4.2841070000000002E-2</v>
      </c>
      <c r="AA5125">
        <v>0.99535510000000005</v>
      </c>
      <c r="AB5125">
        <v>30</v>
      </c>
      <c r="AC5125">
        <v>0.99039999999996498</v>
      </c>
      <c r="AD5125">
        <v>-1.1228149731003001</v>
      </c>
      <c r="AE5125">
        <v>-19.313669999999998</v>
      </c>
      <c r="AF5125">
        <v>-1.7020566791365599</v>
      </c>
      <c r="AG5125">
        <v>-1.1228149731003001</v>
      </c>
      <c r="AH5125">
        <v>19.198776245612901</v>
      </c>
      <c r="AI5125">
        <v>93.334008461516007</v>
      </c>
      <c r="AJ5125">
        <v>95.066279727753795</v>
      </c>
      <c r="AK5125">
        <v>19.306753215699501</v>
      </c>
      <c r="AL5125">
        <v>79.070966675200296</v>
      </c>
      <c r="AM5125">
        <v>87.178416205769693</v>
      </c>
      <c r="AN5125">
        <v>0.99999997999649903</v>
      </c>
    </row>
    <row r="5126" spans="1:40" x14ac:dyDescent="0.25">
      <c r="A5126" t="str">
        <f>"20190303171117431"</f>
        <v>20190303171117431</v>
      </c>
      <c r="B5126" t="str">
        <f>"1551604277426221"</f>
        <v>1551604277426221</v>
      </c>
      <c r="C5126" t="s">
        <v>40</v>
      </c>
      <c r="D5126">
        <v>5.4708310000000004</v>
      </c>
      <c r="E5126">
        <v>0.41568690000000003</v>
      </c>
      <c r="F5126" t="s">
        <v>68</v>
      </c>
      <c r="G5126">
        <v>-302.92169999999999</v>
      </c>
      <c r="H5126" s="1">
        <v>-1.382703E-6</v>
      </c>
      <c r="I5126">
        <v>-41.912210000000002</v>
      </c>
      <c r="J5126">
        <v>-304.0394</v>
      </c>
      <c r="K5126">
        <v>1.1228119999999999</v>
      </c>
      <c r="L5126">
        <v>-21.89404</v>
      </c>
      <c r="M5126">
        <v>-3.4453780000000003E-2</v>
      </c>
      <c r="N5126">
        <v>-1.361129E-2</v>
      </c>
      <c r="O5126">
        <v>-0.99931389999999998</v>
      </c>
      <c r="P5126">
        <v>-8.3767610000000006E-2</v>
      </c>
      <c r="Q5126">
        <v>0.17693410000000001</v>
      </c>
      <c r="R5126">
        <v>-0.98065170000000002</v>
      </c>
      <c r="S5126">
        <v>0.16790769999999999</v>
      </c>
      <c r="T5126">
        <v>-0.17057349999999999</v>
      </c>
      <c r="U5126">
        <v>-3.1044309999999999</v>
      </c>
      <c r="V5126">
        <v>4.9209719999999998E-2</v>
      </c>
      <c r="W5126">
        <v>0.19048380000000001</v>
      </c>
      <c r="X5126">
        <v>0.9804562</v>
      </c>
      <c r="Y5126">
        <v>-8.829534E-2</v>
      </c>
      <c r="Z5126">
        <v>4.1058030000000002E-2</v>
      </c>
      <c r="AA5126">
        <v>0.99524780000000002</v>
      </c>
      <c r="AB5126">
        <v>30</v>
      </c>
      <c r="AC5126">
        <v>1.1177000000000099</v>
      </c>
      <c r="AD5126">
        <v>-1.122813382703</v>
      </c>
      <c r="AE5126">
        <v>-20.018169999999898</v>
      </c>
      <c r="AF5126">
        <v>-1.8011526901355099</v>
      </c>
      <c r="AG5126">
        <v>-1.122813382703</v>
      </c>
      <c r="AH5126">
        <v>19.905341620884599</v>
      </c>
      <c r="AI5126">
        <v>93.215389793624794</v>
      </c>
      <c r="AJ5126">
        <v>95.170379509992699</v>
      </c>
      <c r="AK5126">
        <v>20.018178886943701</v>
      </c>
      <c r="AL5126">
        <v>79.018980640356304</v>
      </c>
      <c r="AM5126">
        <v>87.126699492352898</v>
      </c>
      <c r="AN5126">
        <v>1.0000000173616701</v>
      </c>
    </row>
    <row r="5127" spans="1:40" x14ac:dyDescent="0.25">
      <c r="A5127" t="str">
        <f>"20190303171117456"</f>
        <v>20190303171117456</v>
      </c>
      <c r="B5127" t="str">
        <f>"1551604277445741"</f>
        <v>1551604277445741</v>
      </c>
      <c r="C5127" t="s">
        <v>40</v>
      </c>
      <c r="D5127">
        <v>5.49716</v>
      </c>
      <c r="E5127">
        <v>0.4144409</v>
      </c>
      <c r="F5127" t="s">
        <v>101</v>
      </c>
      <c r="G5127">
        <v>-294.01920000000001</v>
      </c>
      <c r="H5127">
        <v>0.32883639999999997</v>
      </c>
      <c r="I5127">
        <v>-91.564989999999995</v>
      </c>
      <c r="J5127">
        <v>-304.04880000000003</v>
      </c>
      <c r="K5127">
        <v>1.1228089999999999</v>
      </c>
      <c r="L5127">
        <v>-22.23734</v>
      </c>
      <c r="M5127">
        <v>-3.2208670000000002E-2</v>
      </c>
      <c r="N5127">
        <v>-1.360983E-2</v>
      </c>
      <c r="O5127">
        <v>-0.99938850000000001</v>
      </c>
      <c r="P5127">
        <v>-8.3022360000000003E-2</v>
      </c>
      <c r="Q5127">
        <v>0.17714009999999999</v>
      </c>
      <c r="R5127">
        <v>-0.98067800000000005</v>
      </c>
      <c r="S5127">
        <v>0.44638060000000002</v>
      </c>
      <c r="T5127">
        <v>-3.5369400000000002E-2</v>
      </c>
      <c r="U5127">
        <v>-3.1036990000000002</v>
      </c>
      <c r="V5127">
        <v>5.0672420000000003E-2</v>
      </c>
      <c r="W5127">
        <v>0.1906921</v>
      </c>
      <c r="X5127">
        <v>0.98034120000000002</v>
      </c>
      <c r="Y5127">
        <v>-0.17413729999999999</v>
      </c>
      <c r="Z5127">
        <v>-2.400016E-3</v>
      </c>
      <c r="AA5127">
        <v>0.98471839999999999</v>
      </c>
      <c r="AB5127">
        <v>30</v>
      </c>
      <c r="AC5127">
        <v>10.0296</v>
      </c>
      <c r="AD5127">
        <v>-0.79397259999999903</v>
      </c>
      <c r="AE5127">
        <v>-69.327650000000006</v>
      </c>
      <c r="AF5127">
        <v>-12.255979043661799</v>
      </c>
      <c r="AG5127">
        <v>-0.79397259999999903</v>
      </c>
      <c r="AH5127">
        <v>68.959744534786793</v>
      </c>
      <c r="AI5127">
        <v>90.649472889780199</v>
      </c>
      <c r="AJ5127">
        <v>100.077754005071</v>
      </c>
      <c r="AK5127">
        <v>70.044884046668898</v>
      </c>
      <c r="AL5127">
        <v>79.006823110127399</v>
      </c>
      <c r="AM5127">
        <v>87.041097183481796</v>
      </c>
      <c r="AN5127">
        <v>1.00000001978425</v>
      </c>
    </row>
    <row r="5128" spans="1:40" x14ac:dyDescent="0.25">
      <c r="A5128" t="str">
        <f>"20190303171117480"</f>
        <v>20190303171117480</v>
      </c>
      <c r="B5128" t="str">
        <f>"1551604277475997"</f>
        <v>1551604277475997</v>
      </c>
      <c r="C5128" t="s">
        <v>40</v>
      </c>
      <c r="D5128">
        <v>5.5149980000000003</v>
      </c>
      <c r="E5128">
        <v>0.4138636</v>
      </c>
      <c r="F5128" t="s">
        <v>101</v>
      </c>
      <c r="G5128">
        <v>-293.7946</v>
      </c>
      <c r="H5128">
        <v>0.40278429999999998</v>
      </c>
      <c r="I5128">
        <v>-91.564989999999995</v>
      </c>
      <c r="J5128">
        <v>-304.05630000000002</v>
      </c>
      <c r="K5128">
        <v>1.1228070000000001</v>
      </c>
      <c r="L5128">
        <v>-22.537870000000002</v>
      </c>
      <c r="M5128">
        <v>-3.0224560000000001E-2</v>
      </c>
      <c r="N5128">
        <v>-1.3608729999999999E-2</v>
      </c>
      <c r="O5128">
        <v>-0.99945070000000003</v>
      </c>
      <c r="P5128">
        <v>-8.2387370000000001E-2</v>
      </c>
      <c r="Q5128">
        <v>0.176229</v>
      </c>
      <c r="R5128">
        <v>-0.98089559999999998</v>
      </c>
      <c r="S5128">
        <v>0.45907589999999998</v>
      </c>
      <c r="T5128">
        <v>-3.2234789999999999E-2</v>
      </c>
      <c r="U5128">
        <v>-3.10379</v>
      </c>
      <c r="V5128">
        <v>5.198299E-2</v>
      </c>
      <c r="W5128">
        <v>0.18978680000000001</v>
      </c>
      <c r="X5128">
        <v>0.98044819999999999</v>
      </c>
      <c r="Y5128">
        <v>-0.17612220000000001</v>
      </c>
      <c r="Z5128">
        <v>-3.3981770000000001E-3</v>
      </c>
      <c r="AA5128">
        <v>0.98436239999999997</v>
      </c>
      <c r="AB5128">
        <v>30</v>
      </c>
      <c r="AC5128">
        <v>10.261699999999999</v>
      </c>
      <c r="AD5128">
        <v>-0.72002269999999902</v>
      </c>
      <c r="AE5128">
        <v>-69.027119999999996</v>
      </c>
      <c r="AF5128">
        <v>-12.3422041440562</v>
      </c>
      <c r="AG5128">
        <v>-0.72002269999999902</v>
      </c>
      <c r="AH5128">
        <v>68.678082962594402</v>
      </c>
      <c r="AI5128">
        <v>90.591198216676105</v>
      </c>
      <c r="AJ5128">
        <v>100.18793180988099</v>
      </c>
      <c r="AK5128">
        <v>69.781999937226502</v>
      </c>
      <c r="AL5128">
        <v>79.059657276448206</v>
      </c>
      <c r="AM5128">
        <v>86.965041309236994</v>
      </c>
      <c r="AN5128">
        <v>0.99999996679340897</v>
      </c>
    </row>
    <row r="5129" spans="1:40" x14ac:dyDescent="0.25">
      <c r="A5129" t="str">
        <f>"20190303171117502"</f>
        <v>20190303171117502</v>
      </c>
      <c r="B5129" t="str">
        <f>"1551604277495519"</f>
        <v>1551604277495519</v>
      </c>
      <c r="C5129" t="s">
        <v>40</v>
      </c>
      <c r="D5129">
        <v>5.4863030000000004</v>
      </c>
      <c r="E5129">
        <v>0.41371289999999999</v>
      </c>
      <c r="F5129" t="s">
        <v>101</v>
      </c>
      <c r="G5129">
        <v>-293.68439999999998</v>
      </c>
      <c r="H5129">
        <v>0.410408</v>
      </c>
      <c r="I5129">
        <v>-91.564989999999995</v>
      </c>
      <c r="J5129">
        <v>-304.0634</v>
      </c>
      <c r="K5129">
        <v>1.1228199999999999</v>
      </c>
      <c r="L5129">
        <v>-22.846620000000001</v>
      </c>
      <c r="M5129">
        <v>-2.8146239999999999E-2</v>
      </c>
      <c r="N5129">
        <v>-1.3607899999999999E-2</v>
      </c>
      <c r="O5129">
        <v>-0.99951120000000004</v>
      </c>
      <c r="P5129">
        <v>-8.1471959999999996E-2</v>
      </c>
      <c r="Q5129">
        <v>0.17439869999999999</v>
      </c>
      <c r="R5129">
        <v>-0.98129920000000004</v>
      </c>
      <c r="S5129">
        <v>0.46630859999999902</v>
      </c>
      <c r="T5129">
        <v>-3.2027840000000002E-2</v>
      </c>
      <c r="U5129">
        <v>-3.1033629999999999</v>
      </c>
      <c r="V5129">
        <v>5.309825E-2</v>
      </c>
      <c r="W5129">
        <v>0.18796669999999999</v>
      </c>
      <c r="X5129">
        <v>0.98073909999999997</v>
      </c>
      <c r="Y5129">
        <v>-0.1763392</v>
      </c>
      <c r="Z5129">
        <v>-3.461071E-3</v>
      </c>
      <c r="AA5129">
        <v>0.98432339999999996</v>
      </c>
      <c r="AB5129">
        <v>30</v>
      </c>
      <c r="AC5129">
        <v>10.379</v>
      </c>
      <c r="AD5129">
        <v>-0.71241200000000005</v>
      </c>
      <c r="AE5129">
        <v>-68.718369999999993</v>
      </c>
      <c r="AF5129">
        <v>-12.307936740014499</v>
      </c>
      <c r="AG5129">
        <v>-0.71241200000000005</v>
      </c>
      <c r="AH5129">
        <v>68.391796349541295</v>
      </c>
      <c r="AI5129">
        <v>90.587372350225294</v>
      </c>
      <c r="AJ5129">
        <v>100.201874766141</v>
      </c>
      <c r="AK5129">
        <v>69.494105113822897</v>
      </c>
      <c r="AL5129">
        <v>79.165853618511093</v>
      </c>
      <c r="AM5129">
        <v>86.900971673712505</v>
      </c>
      <c r="AN5129">
        <v>1.00000004336538</v>
      </c>
    </row>
    <row r="5130" spans="1:40" x14ac:dyDescent="0.25">
      <c r="A5130" t="str">
        <f>"20190303171117532"</f>
        <v>20190303171117532</v>
      </c>
      <c r="B5130" t="str">
        <f>"1551604277525774"</f>
        <v>1551604277525774</v>
      </c>
      <c r="C5130" t="s">
        <v>40</v>
      </c>
      <c r="D5130">
        <v>5.5051290000000002</v>
      </c>
      <c r="E5130">
        <v>0.41353400000000001</v>
      </c>
      <c r="F5130" t="s">
        <v>101</v>
      </c>
      <c r="G5130">
        <v>-293.63560000000001</v>
      </c>
      <c r="H5130">
        <v>0.29793930000000002</v>
      </c>
      <c r="I5130">
        <v>-91.564989999999995</v>
      </c>
      <c r="J5130">
        <v>-304.07159999999999</v>
      </c>
      <c r="K5130">
        <v>1.1228530000000001</v>
      </c>
      <c r="L5130">
        <v>-23.25027</v>
      </c>
      <c r="M5130">
        <v>-2.5361930000000001E-2</v>
      </c>
      <c r="N5130">
        <v>-1.360721E-2</v>
      </c>
      <c r="O5130">
        <v>-0.99958570000000002</v>
      </c>
      <c r="P5130">
        <v>-7.8640520000000005E-2</v>
      </c>
      <c r="Q5130">
        <v>0.17534659999999999</v>
      </c>
      <c r="R5130">
        <v>-0.98136089999999998</v>
      </c>
      <c r="S5130">
        <v>0.47085569999999999</v>
      </c>
      <c r="T5130">
        <v>-3.724599E-2</v>
      </c>
      <c r="U5130">
        <v>-3.1029049999999998</v>
      </c>
      <c r="V5130">
        <v>5.2981899999999998E-2</v>
      </c>
      <c r="W5130">
        <v>0.18891640000000001</v>
      </c>
      <c r="X5130">
        <v>0.98056290000000002</v>
      </c>
      <c r="Y5130">
        <v>-0.17502770000000001</v>
      </c>
      <c r="Z5130">
        <v>-1.796859E-3</v>
      </c>
      <c r="AA5130">
        <v>0.98456189999999999</v>
      </c>
      <c r="AB5130">
        <v>30</v>
      </c>
      <c r="AC5130">
        <v>10.4359999999999</v>
      </c>
      <c r="AD5130">
        <v>-0.82491369999999997</v>
      </c>
      <c r="AE5130">
        <v>-68.314719999999994</v>
      </c>
      <c r="AF5130">
        <v>-12.163662942392801</v>
      </c>
      <c r="AG5130">
        <v>-0.82491369999999997</v>
      </c>
      <c r="AH5130">
        <v>68.018348216479794</v>
      </c>
      <c r="AI5130">
        <v>90.683988539093704</v>
      </c>
      <c r="AJ5130">
        <v>100.138980681932</v>
      </c>
      <c r="AK5130">
        <v>69.102321761912506</v>
      </c>
      <c r="AL5130">
        <v>79.110447188802397</v>
      </c>
      <c r="AM5130">
        <v>86.907194560267399</v>
      </c>
      <c r="AN5130">
        <v>1.00000004438648</v>
      </c>
    </row>
    <row r="5131" spans="1:40" x14ac:dyDescent="0.25">
      <c r="A5131" t="str">
        <f>"20190303171117560"</f>
        <v>20190303171117560</v>
      </c>
      <c r="B5131" t="str">
        <f>"1551604277556029"</f>
        <v>1551604277556029</v>
      </c>
      <c r="C5131" t="s">
        <v>40</v>
      </c>
      <c r="D5131">
        <v>5.5005569999999997</v>
      </c>
      <c r="E5131">
        <v>0.41351139999999997</v>
      </c>
      <c r="F5131" t="s">
        <v>101</v>
      </c>
      <c r="G5131">
        <v>-293.44580000000002</v>
      </c>
      <c r="H5131">
        <v>0.34459299999999998</v>
      </c>
      <c r="I5131">
        <v>-91.564989999999995</v>
      </c>
      <c r="J5131">
        <v>-304.0779</v>
      </c>
      <c r="K5131">
        <v>1.1229199999999999</v>
      </c>
      <c r="L5131">
        <v>-23.613949999999999</v>
      </c>
      <c r="M5131">
        <v>-2.273008E-2</v>
      </c>
      <c r="N5131">
        <v>-1.360712E-2</v>
      </c>
      <c r="O5131">
        <v>-0.99964920000000002</v>
      </c>
      <c r="P5131">
        <v>-7.6007210000000006E-2</v>
      </c>
      <c r="Q5131">
        <v>0.17577989999999999</v>
      </c>
      <c r="R5131">
        <v>-0.98149109999999995</v>
      </c>
      <c r="S5131">
        <v>0.48248289999999999</v>
      </c>
      <c r="T5131">
        <v>-3.5337809999999997E-2</v>
      </c>
      <c r="U5131">
        <v>-3.1019589999999999</v>
      </c>
      <c r="V5131">
        <v>5.2904119999999999E-2</v>
      </c>
      <c r="W5131">
        <v>0.18935650000000001</v>
      </c>
      <c r="X5131">
        <v>0.98048219999999997</v>
      </c>
      <c r="Y5131">
        <v>-0.17608560000000001</v>
      </c>
      <c r="Z5131">
        <v>-2.4007899999999999E-3</v>
      </c>
      <c r="AA5131">
        <v>0.98437189999999997</v>
      </c>
      <c r="AB5131">
        <v>30</v>
      </c>
      <c r="AC5131">
        <v>10.6320999999999</v>
      </c>
      <c r="AD5131">
        <v>-0.77832699999999999</v>
      </c>
      <c r="AE5131">
        <v>-67.951040000000006</v>
      </c>
      <c r="AF5131">
        <v>-12.172469033708801</v>
      </c>
      <c r="AG5131">
        <v>-0.77832699999999999</v>
      </c>
      <c r="AH5131">
        <v>67.683122209148394</v>
      </c>
      <c r="AI5131">
        <v>90.648445584882495</v>
      </c>
      <c r="AJ5131">
        <v>100.195369647112</v>
      </c>
      <c r="AK5131">
        <v>68.773394763338899</v>
      </c>
      <c r="AL5131">
        <v>79.084767746859399</v>
      </c>
      <c r="AM5131">
        <v>86.911472460620701</v>
      </c>
      <c r="AN5131">
        <v>1.00000003726103</v>
      </c>
    </row>
    <row r="5132" spans="1:40" x14ac:dyDescent="0.25">
      <c r="A5132" t="str">
        <f>"20190303171117583"</f>
        <v>20190303171117583</v>
      </c>
      <c r="B5132" t="str">
        <f>"1551604277575550"</f>
        <v>1551604277575550</v>
      </c>
      <c r="C5132" t="s">
        <v>40</v>
      </c>
      <c r="D5132">
        <v>5.5012369999999997</v>
      </c>
      <c r="E5132">
        <v>0.41357290000000002</v>
      </c>
      <c r="F5132" t="s">
        <v>101</v>
      </c>
      <c r="G5132">
        <v>-293.28579999999999</v>
      </c>
      <c r="H5132">
        <v>0.4333611</v>
      </c>
      <c r="I5132">
        <v>-91.564989999999995</v>
      </c>
      <c r="J5132">
        <v>-304.0822</v>
      </c>
      <c r="K5132">
        <v>1.1229929999999999</v>
      </c>
      <c r="L5132">
        <v>-23.902190000000001</v>
      </c>
      <c r="M5132">
        <v>-2.052617E-2</v>
      </c>
      <c r="N5132">
        <v>-1.360783E-2</v>
      </c>
      <c r="O5132">
        <v>-0.99969680000000005</v>
      </c>
      <c r="P5132">
        <v>-7.4071999999999999E-2</v>
      </c>
      <c r="Q5132">
        <v>0.1753555</v>
      </c>
      <c r="R5132">
        <v>-0.9817148</v>
      </c>
      <c r="S5132">
        <v>0.49240109999999898</v>
      </c>
      <c r="T5132">
        <v>-3.1461240000000001E-2</v>
      </c>
      <c r="U5132">
        <v>-3.1003419999999999</v>
      </c>
      <c r="V5132">
        <v>5.310148E-2</v>
      </c>
      <c r="W5132">
        <v>0.18894349999999999</v>
      </c>
      <c r="X5132">
        <v>0.98055119999999896</v>
      </c>
      <c r="Y5132">
        <v>-0.17706720000000001</v>
      </c>
      <c r="Z5132">
        <v>-3.629031E-3</v>
      </c>
      <c r="AA5132">
        <v>0.98419210000000001</v>
      </c>
      <c r="AB5132">
        <v>30</v>
      </c>
      <c r="AC5132">
        <v>10.7964</v>
      </c>
      <c r="AD5132">
        <v>-0.68963189999999996</v>
      </c>
      <c r="AE5132">
        <v>-67.662800000000004</v>
      </c>
      <c r="AF5132">
        <v>-12.1818775190679</v>
      </c>
      <c r="AG5132">
        <v>-0.68963189999999996</v>
      </c>
      <c r="AH5132">
        <v>67.420082891602604</v>
      </c>
      <c r="AI5132">
        <v>90.576713313011396</v>
      </c>
      <c r="AJ5132">
        <v>100.242050777445</v>
      </c>
      <c r="AK5132">
        <v>68.515263329842298</v>
      </c>
      <c r="AL5132">
        <v>79.1088658889459</v>
      </c>
      <c r="AM5132">
        <v>86.900190790171706</v>
      </c>
      <c r="AN5132">
        <v>1.0000000345959299</v>
      </c>
    </row>
    <row r="5133" spans="1:40" x14ac:dyDescent="0.25">
      <c r="A5133" t="str">
        <f>"20190303171117608"</f>
        <v>20190303171117608</v>
      </c>
      <c r="B5133" t="str">
        <f>"1551604277596046"</f>
        <v>1551604277596046</v>
      </c>
      <c r="C5133" t="s">
        <v>40</v>
      </c>
      <c r="D5133">
        <v>5.4641000000000002</v>
      </c>
      <c r="E5133">
        <v>0.41370000000000001</v>
      </c>
      <c r="F5133" t="s">
        <v>101</v>
      </c>
      <c r="G5133">
        <v>-293.17899999999997</v>
      </c>
      <c r="H5133">
        <v>0.44311329999999999</v>
      </c>
      <c r="I5133">
        <v>-91.564989999999995</v>
      </c>
      <c r="J5133">
        <v>-304.08609999999999</v>
      </c>
      <c r="K5133">
        <v>1.1230850000000001</v>
      </c>
      <c r="L5133">
        <v>-24.238340000000001</v>
      </c>
      <c r="M5133">
        <v>-1.7827869999999999E-2</v>
      </c>
      <c r="N5133">
        <v>-1.360917E-2</v>
      </c>
      <c r="O5133">
        <v>-0.99974850000000004</v>
      </c>
      <c r="P5133">
        <v>-7.0355849999999998E-2</v>
      </c>
      <c r="Q5133">
        <v>0.17468599999999901</v>
      </c>
      <c r="R5133">
        <v>-0.98210750000000002</v>
      </c>
      <c r="S5133">
        <v>0.49938959999999999</v>
      </c>
      <c r="T5133">
        <v>-3.1139489999999999E-2</v>
      </c>
      <c r="U5133">
        <v>-3.0991209999999998</v>
      </c>
      <c r="V5133">
        <v>5.1993280000000003E-2</v>
      </c>
      <c r="W5133">
        <v>0.1882847</v>
      </c>
      <c r="X5133">
        <v>0.98073730000000003</v>
      </c>
      <c r="Y5133">
        <v>-0.17663489999999901</v>
      </c>
      <c r="Z5133">
        <v>-3.7267559999999999E-3</v>
      </c>
      <c r="AA5133">
        <v>0.98426939999999996</v>
      </c>
      <c r="AB5133">
        <v>30</v>
      </c>
      <c r="AC5133">
        <v>10.9070999999999</v>
      </c>
      <c r="AD5133">
        <v>-0.67997169999999996</v>
      </c>
      <c r="AE5133">
        <v>-67.326650000000001</v>
      </c>
      <c r="AF5133">
        <v>-12.1045649803538</v>
      </c>
      <c r="AG5133">
        <v>-0.67997169999999996</v>
      </c>
      <c r="AH5133">
        <v>67.114808739143299</v>
      </c>
      <c r="AI5133">
        <v>90.571254634085705</v>
      </c>
      <c r="AJ5133">
        <v>100.22373506355601</v>
      </c>
      <c r="AK5133">
        <v>68.2010293688313</v>
      </c>
      <c r="AL5133">
        <v>79.147302295989604</v>
      </c>
      <c r="AM5133">
        <v>86.965334808266803</v>
      </c>
      <c r="AN5133">
        <v>1.00000004051526</v>
      </c>
    </row>
    <row r="5134" spans="1:40" x14ac:dyDescent="0.25">
      <c r="A5134" t="str">
        <f>"20190303171117633"</f>
        <v>20190303171117633</v>
      </c>
      <c r="B5134" t="str">
        <f>"1551604277626034"</f>
        <v>1551604277626034</v>
      </c>
      <c r="C5134" t="s">
        <v>40</v>
      </c>
      <c r="D5134">
        <v>5.498596</v>
      </c>
      <c r="E5134">
        <v>0.4138522</v>
      </c>
      <c r="F5134" t="s">
        <v>101</v>
      </c>
      <c r="G5134">
        <v>-293.00049999999999</v>
      </c>
      <c r="H5134">
        <v>0.38104440000000001</v>
      </c>
      <c r="I5134">
        <v>-91.564989999999995</v>
      </c>
      <c r="J5134">
        <v>-304.08909999999997</v>
      </c>
      <c r="K5134">
        <v>1.123176</v>
      </c>
      <c r="L5134">
        <v>-24.570920000000001</v>
      </c>
      <c r="M5134">
        <v>-1.50099E-2</v>
      </c>
      <c r="N5134">
        <v>-1.361065E-2</v>
      </c>
      <c r="O5134">
        <v>-0.99979479999999998</v>
      </c>
      <c r="P5134">
        <v>-6.7002450000000005E-2</v>
      </c>
      <c r="Q5134">
        <v>0.1754647</v>
      </c>
      <c r="R5134">
        <v>-0.98220339999999995</v>
      </c>
      <c r="S5134">
        <v>0.50997919999999997</v>
      </c>
      <c r="T5134">
        <v>-3.4135819999999997E-2</v>
      </c>
      <c r="U5134">
        <v>-3.0972599999999999</v>
      </c>
      <c r="V5134">
        <v>5.1362289999999998E-2</v>
      </c>
      <c r="W5134">
        <v>0.18907280000000001</v>
      </c>
      <c r="X5134">
        <v>0.98061889999999996</v>
      </c>
      <c r="Y5134">
        <v>-0.177231</v>
      </c>
      <c r="Z5134">
        <v>-2.7691159999999999E-3</v>
      </c>
      <c r="AA5134">
        <v>0.98416539999999997</v>
      </c>
      <c r="AB5134">
        <v>30</v>
      </c>
      <c r="AC5134">
        <v>11.0885999999999</v>
      </c>
      <c r="AD5134">
        <v>-0.742131599999999</v>
      </c>
      <c r="AE5134">
        <v>-66.994069999999994</v>
      </c>
      <c r="AF5134">
        <v>-12.0915737111194</v>
      </c>
      <c r="AG5134">
        <v>-0.742131599999999</v>
      </c>
      <c r="AH5134">
        <v>66.812087147517104</v>
      </c>
      <c r="AI5134">
        <v>90.626228631486498</v>
      </c>
      <c r="AJ5134">
        <v>100.25828749647999</v>
      </c>
      <c r="AK5134">
        <v>67.901486751989196</v>
      </c>
      <c r="AL5134">
        <v>79.101321376887299</v>
      </c>
      <c r="AM5134">
        <v>87.001734579673794</v>
      </c>
      <c r="AN5134">
        <v>1.0000000177855399</v>
      </c>
    </row>
    <row r="5135" spans="1:40" x14ac:dyDescent="0.25">
      <c r="A5135" t="str">
        <f>"20190303171117667"</f>
        <v>20190303171117667</v>
      </c>
      <c r="B5135" t="str">
        <f>"1551604277656291"</f>
        <v>1551604277656291</v>
      </c>
      <c r="C5135" t="s">
        <v>40</v>
      </c>
      <c r="D5135">
        <v>5.5010260000000004</v>
      </c>
      <c r="E5135">
        <v>0.41406159999999997</v>
      </c>
      <c r="F5135" t="s">
        <v>101</v>
      </c>
      <c r="G5135">
        <v>-292.83980000000003</v>
      </c>
      <c r="H5135">
        <v>0.43483919999999998</v>
      </c>
      <c r="I5135">
        <v>-91.564989999999995</v>
      </c>
      <c r="J5135">
        <v>-304.09109999999998</v>
      </c>
      <c r="K5135">
        <v>1.12331</v>
      </c>
      <c r="L5135">
        <v>-25.00592</v>
      </c>
      <c r="M5135">
        <v>-1.107928E-2</v>
      </c>
      <c r="N5135">
        <v>-1.361329E-2</v>
      </c>
      <c r="O5135">
        <v>-0.99984600000000001</v>
      </c>
      <c r="P5135">
        <v>-6.5277409999999994E-2</v>
      </c>
      <c r="Q5135">
        <v>0.1799991</v>
      </c>
      <c r="R5135">
        <v>-0.9814986</v>
      </c>
      <c r="S5135">
        <v>0.5197754</v>
      </c>
      <c r="T5135">
        <v>-3.1804319999999997E-2</v>
      </c>
      <c r="U5135">
        <v>-3.0954899999999999</v>
      </c>
      <c r="V5135">
        <v>5.3429499999999998E-2</v>
      </c>
      <c r="W5135">
        <v>0.19362289999999999</v>
      </c>
      <c r="X5135">
        <v>0.97962000000000005</v>
      </c>
      <c r="Y5135">
        <v>-0.17648339999999901</v>
      </c>
      <c r="Z5135">
        <v>-3.5046539999999998E-3</v>
      </c>
      <c r="AA5135">
        <v>0.98429739999999999</v>
      </c>
      <c r="AB5135">
        <v>30</v>
      </c>
      <c r="AC5135">
        <v>11.251299999999899</v>
      </c>
      <c r="AD5135">
        <v>-0.68847080000000005</v>
      </c>
      <c r="AE5135">
        <v>-66.559069999999906</v>
      </c>
      <c r="AF5135">
        <v>-11.986857294332401</v>
      </c>
      <c r="AG5135">
        <v>-0.68847080000000005</v>
      </c>
      <c r="AH5135">
        <v>66.4234067702792</v>
      </c>
      <c r="AI5135">
        <v>90.584403728039106</v>
      </c>
      <c r="AJ5135">
        <v>100.229575200786</v>
      </c>
      <c r="AK5135">
        <v>67.499834865035893</v>
      </c>
      <c r="AL5135">
        <v>78.835710875570399</v>
      </c>
      <c r="AM5135">
        <v>86.878121349535206</v>
      </c>
      <c r="AN5135">
        <v>0.99999994163732797</v>
      </c>
    </row>
    <row r="5136" spans="1:40" x14ac:dyDescent="0.25">
      <c r="A5136" t="str">
        <f>"20190303171117698"</f>
        <v>20190303171117698</v>
      </c>
      <c r="B5136" t="str">
        <f>"1551604277685571"</f>
        <v>1551604277685571</v>
      </c>
      <c r="C5136" t="s">
        <v>40</v>
      </c>
      <c r="D5136">
        <v>5.509347</v>
      </c>
      <c r="E5136">
        <v>0.41434379999999998</v>
      </c>
      <c r="F5136" t="s">
        <v>101</v>
      </c>
      <c r="G5136">
        <v>-292.77370000000002</v>
      </c>
      <c r="H5136">
        <v>0.81497759999999997</v>
      </c>
      <c r="I5136">
        <v>-91.564989999999995</v>
      </c>
      <c r="J5136">
        <v>-304.09140000000002</v>
      </c>
      <c r="K5136">
        <v>1.1234189999999999</v>
      </c>
      <c r="L5136">
        <v>-25.40756</v>
      </c>
      <c r="M5136">
        <v>-7.2736060000000002E-3</v>
      </c>
      <c r="N5136">
        <v>-1.3615520000000001E-2</v>
      </c>
      <c r="O5136">
        <v>-0.99988100000000002</v>
      </c>
      <c r="P5136">
        <v>-6.2518320000000002E-2</v>
      </c>
      <c r="Q5136">
        <v>0.17958929999999901</v>
      </c>
      <c r="R5136">
        <v>-0.98175330000000005</v>
      </c>
      <c r="S5136">
        <v>0.52612300000000001</v>
      </c>
      <c r="T5136">
        <v>-1.433301E-2</v>
      </c>
      <c r="U5136">
        <v>-3.0941770000000002</v>
      </c>
      <c r="V5136">
        <v>5.436262E-2</v>
      </c>
      <c r="W5136">
        <v>0.19323319999999999</v>
      </c>
      <c r="X5136">
        <v>0.97964569999999995</v>
      </c>
      <c r="Y5136">
        <v>-0.17476900000000001</v>
      </c>
      <c r="Z5136">
        <v>-9.0605370000000005E-3</v>
      </c>
      <c r="AA5136">
        <v>0.98456779999999999</v>
      </c>
      <c r="AB5136">
        <v>29</v>
      </c>
      <c r="AC5136">
        <v>11.3177</v>
      </c>
      <c r="AD5136">
        <v>-0.30844139999999998</v>
      </c>
      <c r="AE5136">
        <v>-66.157430000000005</v>
      </c>
      <c r="AF5136">
        <v>-11.7983990107794</v>
      </c>
      <c r="AG5136">
        <v>-0.30844139999999998</v>
      </c>
      <c r="AH5136">
        <v>66.071956169846004</v>
      </c>
      <c r="AI5136">
        <v>90.263304955975499</v>
      </c>
      <c r="AJ5136">
        <v>100.124533337231</v>
      </c>
      <c r="AK5136">
        <v>67.117812445168795</v>
      </c>
      <c r="AL5136">
        <v>78.858469844639004</v>
      </c>
      <c r="AM5136">
        <v>86.823793109143097</v>
      </c>
      <c r="AN5136">
        <v>1.0000000307819901</v>
      </c>
    </row>
    <row r="5137" spans="1:40" x14ac:dyDescent="0.25">
      <c r="A5137" t="str">
        <f>"20190303171117721"</f>
        <v>20190303171117721</v>
      </c>
      <c r="B5137" t="str">
        <f>"1551604277715598"</f>
        <v>1551604277715598</v>
      </c>
      <c r="C5137" t="s">
        <v>40</v>
      </c>
      <c r="D5137">
        <v>5.5250019999999997</v>
      </c>
      <c r="E5137">
        <v>0.41461239999999999</v>
      </c>
      <c r="F5137" t="s">
        <v>101</v>
      </c>
      <c r="G5137">
        <v>-292.69779999999997</v>
      </c>
      <c r="H5137">
        <v>0.78882410000000003</v>
      </c>
      <c r="I5137">
        <v>-91.564989999999995</v>
      </c>
      <c r="J5137">
        <v>-304.09030000000001</v>
      </c>
      <c r="K5137">
        <v>1.1234729999999999</v>
      </c>
      <c r="L5137">
        <v>-25.72513</v>
      </c>
      <c r="M5137">
        <v>-4.1743930000000002E-3</v>
      </c>
      <c r="N5137">
        <v>-1.36164999999999E-2</v>
      </c>
      <c r="O5137">
        <v>-0.99989870000000003</v>
      </c>
      <c r="P5137">
        <v>-5.9711699999999999E-2</v>
      </c>
      <c r="Q5137">
        <v>0.17786749999999901</v>
      </c>
      <c r="R5137">
        <v>-0.98224120000000004</v>
      </c>
      <c r="S5137">
        <v>0.53259279999999998</v>
      </c>
      <c r="T5137">
        <v>-1.5640020000000001E-2</v>
      </c>
      <c r="U5137">
        <v>-3.0925289999999999</v>
      </c>
      <c r="V5137">
        <v>5.4582970000000001E-2</v>
      </c>
      <c r="W5137">
        <v>0.1915248</v>
      </c>
      <c r="X5137">
        <v>0.97996879999999997</v>
      </c>
      <c r="Y5137">
        <v>-0.17380519999999999</v>
      </c>
      <c r="Z5137">
        <v>-8.6395799999999991E-3</v>
      </c>
      <c r="AA5137">
        <v>0.98474220000000001</v>
      </c>
      <c r="AB5137">
        <v>29</v>
      </c>
      <c r="AC5137">
        <v>11.3925</v>
      </c>
      <c r="AD5137">
        <v>-0.33464889999999903</v>
      </c>
      <c r="AE5137">
        <v>-65.839860000000002</v>
      </c>
      <c r="AF5137">
        <v>-11.6669749714535</v>
      </c>
      <c r="AG5137">
        <v>-0.33464889999999903</v>
      </c>
      <c r="AH5137">
        <v>65.790074819379498</v>
      </c>
      <c r="AI5137">
        <v>90.286961947936206</v>
      </c>
      <c r="AJ5137">
        <v>100.05608176915899</v>
      </c>
      <c r="AK5137">
        <v>66.817394738274203</v>
      </c>
      <c r="AL5137">
        <v>78.958216264119201</v>
      </c>
      <c r="AM5137">
        <v>86.811994668933096</v>
      </c>
      <c r="AN5137">
        <v>0.99999994930124902</v>
      </c>
    </row>
    <row r="5138" spans="1:40" x14ac:dyDescent="0.25">
      <c r="A5138" t="str">
        <f>"20190303171117743"</f>
        <v>20190303171117743</v>
      </c>
      <c r="B5138" t="str">
        <f>"1551604277736093"</f>
        <v>1551604277736093</v>
      </c>
      <c r="C5138" t="s">
        <v>40</v>
      </c>
      <c r="D5138">
        <v>5.5307469999999999</v>
      </c>
      <c r="E5138">
        <v>0.41478480000000001</v>
      </c>
      <c r="F5138" t="s">
        <v>101</v>
      </c>
      <c r="G5138">
        <v>-292.6207</v>
      </c>
      <c r="H5138">
        <v>0.66014669999999998</v>
      </c>
      <c r="I5138">
        <v>-91.564989999999995</v>
      </c>
      <c r="J5138">
        <v>-304.08839999999998</v>
      </c>
      <c r="K5138">
        <v>1.123494</v>
      </c>
      <c r="L5138">
        <v>-26.024809999999999</v>
      </c>
      <c r="M5138">
        <v>-1.213991E-3</v>
      </c>
      <c r="N5138">
        <v>-1.361678E-2</v>
      </c>
      <c r="O5138">
        <v>-0.99990659999999998</v>
      </c>
      <c r="P5138">
        <v>-5.852541E-2</v>
      </c>
      <c r="Q5138">
        <v>0.1776026</v>
      </c>
      <c r="R5138">
        <v>-0.98236080000000003</v>
      </c>
      <c r="S5138">
        <v>0.53845209999999999</v>
      </c>
      <c r="T5138">
        <v>-2.175069E-2</v>
      </c>
      <c r="U5138">
        <v>-3.0909119999999999</v>
      </c>
      <c r="V5138">
        <v>5.6292460000000002E-2</v>
      </c>
      <c r="W5138">
        <v>0.191273</v>
      </c>
      <c r="X5138">
        <v>0.9799213</v>
      </c>
      <c r="Y5138">
        <v>-0.17278840000000001</v>
      </c>
      <c r="Z5138">
        <v>-6.686829E-3</v>
      </c>
      <c r="AA5138">
        <v>0.98493620000000004</v>
      </c>
      <c r="AB5138">
        <v>29</v>
      </c>
      <c r="AC5138">
        <v>11.467699999999899</v>
      </c>
      <c r="AD5138">
        <v>-0.46334730000000002</v>
      </c>
      <c r="AE5138">
        <v>-65.540180000000007</v>
      </c>
      <c r="AF5138">
        <v>-11.5467041469074</v>
      </c>
      <c r="AG5138">
        <v>-0.46334730000000002</v>
      </c>
      <c r="AH5138">
        <v>65.523031148275905</v>
      </c>
      <c r="AI5138">
        <v>90.399013328725999</v>
      </c>
      <c r="AJ5138">
        <v>99.994254987203902</v>
      </c>
      <c r="AK5138">
        <v>66.534266947450206</v>
      </c>
      <c r="AL5138">
        <v>78.972915408354098</v>
      </c>
      <c r="AM5138">
        <v>86.712205869288198</v>
      </c>
      <c r="AN5138">
        <v>0.99999997788776995</v>
      </c>
    </row>
    <row r="5139" spans="1:40" x14ac:dyDescent="0.25">
      <c r="A5139" t="str">
        <f>"20190303171117766"</f>
        <v>20190303171117766</v>
      </c>
      <c r="B5139" t="str">
        <f>"1551604277755614"</f>
        <v>1551604277755614</v>
      </c>
      <c r="C5139" t="s">
        <v>40</v>
      </c>
      <c r="D5139">
        <v>5.5144640000000003</v>
      </c>
      <c r="E5139">
        <v>0.41498620000000003</v>
      </c>
      <c r="F5139" t="s">
        <v>101</v>
      </c>
      <c r="G5139">
        <v>-292.6223</v>
      </c>
      <c r="H5139">
        <v>0.64361569999999901</v>
      </c>
      <c r="I5139">
        <v>-91.564989999999995</v>
      </c>
      <c r="J5139">
        <v>-304.08580000000001</v>
      </c>
      <c r="K5139">
        <v>1.12351</v>
      </c>
      <c r="L5139">
        <v>-26.311340000000001</v>
      </c>
      <c r="M5139">
        <v>1.6322379999999901E-3</v>
      </c>
      <c r="N5139">
        <v>-1.3616670000000001E-2</v>
      </c>
      <c r="O5139">
        <v>-0.99990599999999996</v>
      </c>
      <c r="P5139">
        <v>-5.7613440000000002E-2</v>
      </c>
      <c r="Q5139">
        <v>0.17895440000000001</v>
      </c>
      <c r="R5139">
        <v>-0.98216919999999996</v>
      </c>
      <c r="S5139">
        <v>0.54061890000000001</v>
      </c>
      <c r="T5139">
        <v>-2.2625329999999999E-2</v>
      </c>
      <c r="U5139">
        <v>-3.090179</v>
      </c>
      <c r="V5139">
        <v>5.816176E-2</v>
      </c>
      <c r="W5139">
        <v>0.192632</v>
      </c>
      <c r="X5139">
        <v>0.97954589999999997</v>
      </c>
      <c r="Y5139">
        <v>-0.17069429999999999</v>
      </c>
      <c r="Z5139">
        <v>-6.4020650000000002E-3</v>
      </c>
      <c r="AA5139">
        <v>0.98530320000000005</v>
      </c>
      <c r="AB5139">
        <v>29</v>
      </c>
      <c r="AC5139">
        <v>11.4635</v>
      </c>
      <c r="AD5139">
        <v>-0.4798943</v>
      </c>
      <c r="AE5139">
        <v>-65.253649999999993</v>
      </c>
      <c r="AF5139">
        <v>-11.356369541068799</v>
      </c>
      <c r="AG5139">
        <v>-0.4798943</v>
      </c>
      <c r="AH5139">
        <v>65.268851534151295</v>
      </c>
      <c r="AI5139">
        <v>90.4150288882296</v>
      </c>
      <c r="AJ5139">
        <v>99.870292973603796</v>
      </c>
      <c r="AK5139">
        <v>66.251191749881599</v>
      </c>
      <c r="AL5139">
        <v>78.893575557418998</v>
      </c>
      <c r="AM5139">
        <v>86.601981138089698</v>
      </c>
      <c r="AN5139">
        <v>1.00000002397855</v>
      </c>
    </row>
    <row r="5140" spans="1:40" x14ac:dyDescent="0.25">
      <c r="A5140" t="str">
        <f>"20190303171117788"</f>
        <v>20190303171117788</v>
      </c>
      <c r="B5140" t="str">
        <f>"1551604277776110"</f>
        <v>1551604277776110</v>
      </c>
      <c r="C5140" t="s">
        <v>40</v>
      </c>
      <c r="D5140">
        <v>5.5093420000000002</v>
      </c>
      <c r="E5140">
        <v>0.41512349999999998</v>
      </c>
      <c r="F5140" t="s">
        <v>101</v>
      </c>
      <c r="G5140">
        <v>-292.62529999999998</v>
      </c>
      <c r="H5140">
        <v>0.75456809999999996</v>
      </c>
      <c r="I5140">
        <v>-91.564989999999995</v>
      </c>
      <c r="J5140">
        <v>-304.0822</v>
      </c>
      <c r="K5140">
        <v>1.1235280000000001</v>
      </c>
      <c r="L5140">
        <v>-26.6051</v>
      </c>
      <c r="M5140">
        <v>4.5522180000000002E-3</v>
      </c>
      <c r="N5140">
        <v>-1.3616299999999901E-2</v>
      </c>
      <c r="O5140">
        <v>-0.99989689999999998</v>
      </c>
      <c r="P5140">
        <v>-5.5923630000000002E-2</v>
      </c>
      <c r="Q5140">
        <v>0.1809462</v>
      </c>
      <c r="R5140">
        <v>-0.98190189999999999</v>
      </c>
      <c r="S5140">
        <v>0.54260249999999999</v>
      </c>
      <c r="T5140">
        <v>-1.7467139999999999E-2</v>
      </c>
      <c r="U5140">
        <v>-3.0894780000000002</v>
      </c>
      <c r="V5140">
        <v>5.9324080000000001E-2</v>
      </c>
      <c r="W5140">
        <v>0.19462489999999999</v>
      </c>
      <c r="X5140">
        <v>0.97908209999999996</v>
      </c>
      <c r="Y5140">
        <v>-0.16846839999999999</v>
      </c>
      <c r="Z5140">
        <v>-8.0406590000000003E-3</v>
      </c>
      <c r="AA5140">
        <v>0.9856743</v>
      </c>
      <c r="AB5140">
        <v>29</v>
      </c>
      <c r="AC5140">
        <v>11.456899999999999</v>
      </c>
      <c r="AD5140">
        <v>-0.36895990000000001</v>
      </c>
      <c r="AE5140">
        <v>-64.959890000000001</v>
      </c>
      <c r="AF5140">
        <v>-11.1606930767555</v>
      </c>
      <c r="AG5140">
        <v>-0.36895990000000001</v>
      </c>
      <c r="AH5140">
        <v>65.009341993515505</v>
      </c>
      <c r="AI5140">
        <v>90.320489590265396</v>
      </c>
      <c r="AJ5140">
        <v>99.741477673046504</v>
      </c>
      <c r="AK5140">
        <v>65.9614413713891</v>
      </c>
      <c r="AL5140">
        <v>78.777187620933205</v>
      </c>
      <c r="AM5140">
        <v>86.532600379347997</v>
      </c>
      <c r="AN5140">
        <v>0.99999997835413201</v>
      </c>
    </row>
    <row r="5141" spans="1:40" x14ac:dyDescent="0.25">
      <c r="A5141" t="str">
        <f>"20190303171117811"</f>
        <v>20190303171117811</v>
      </c>
      <c r="B5141" t="str">
        <f>"1551604277806365"</f>
        <v>1551604277806365</v>
      </c>
      <c r="C5141" t="s">
        <v>40</v>
      </c>
      <c r="D5141">
        <v>5.537541</v>
      </c>
      <c r="E5141">
        <v>0.41536079999999997</v>
      </c>
      <c r="F5141" t="s">
        <v>101</v>
      </c>
      <c r="G5141">
        <v>-292.55169999999998</v>
      </c>
      <c r="H5141">
        <v>0.91422460000000005</v>
      </c>
      <c r="I5141">
        <v>-91.564989999999995</v>
      </c>
      <c r="J5141">
        <v>-304.07769999999999</v>
      </c>
      <c r="K5141">
        <v>1.123534</v>
      </c>
      <c r="L5141">
        <v>-26.897670000000002</v>
      </c>
      <c r="M5141">
        <v>7.4513919999999898E-3</v>
      </c>
      <c r="N5141">
        <v>-1.3615739999999999E-2</v>
      </c>
      <c r="O5141">
        <v>-0.99987969999999904</v>
      </c>
      <c r="P5141">
        <v>-5.336772E-2</v>
      </c>
      <c r="Q5141">
        <v>0.18029609999999999</v>
      </c>
      <c r="R5141">
        <v>-0.98216360000000003</v>
      </c>
      <c r="S5141">
        <v>0.54818730000000004</v>
      </c>
      <c r="T5141">
        <v>-9.9501610000000008E-3</v>
      </c>
      <c r="U5141">
        <v>-3.0883479999999999</v>
      </c>
      <c r="V5141">
        <v>5.9619400000000003E-2</v>
      </c>
      <c r="W5141">
        <v>0.1939775</v>
      </c>
      <c r="X5141">
        <v>0.97919270000000003</v>
      </c>
      <c r="Y5141">
        <v>-0.1673991</v>
      </c>
      <c r="Z5141">
        <v>-1.043287E-2</v>
      </c>
      <c r="AA5141">
        <v>0.98583399999999999</v>
      </c>
      <c r="AB5141">
        <v>29</v>
      </c>
      <c r="AC5141">
        <v>11.526</v>
      </c>
      <c r="AD5141">
        <v>-0.20930940000000001</v>
      </c>
      <c r="AE5141">
        <v>-64.667319999999904</v>
      </c>
      <c r="AF5141">
        <v>-11.0436616771856</v>
      </c>
      <c r="AG5141">
        <v>-0.20930940000000001</v>
      </c>
      <c r="AH5141">
        <v>64.750759603474194</v>
      </c>
      <c r="AI5141">
        <v>90.182573798550607</v>
      </c>
      <c r="AJ5141">
        <v>99.679030891037002</v>
      </c>
      <c r="AK5141">
        <v>65.686125954359397</v>
      </c>
      <c r="AL5141">
        <v>78.815002310202701</v>
      </c>
      <c r="AM5141">
        <v>86.515774433526602</v>
      </c>
      <c r="AN5141">
        <v>1.0000000435479399</v>
      </c>
    </row>
    <row r="5142" spans="1:40" x14ac:dyDescent="0.25">
      <c r="A5142" t="str">
        <f>"20190303171117836"</f>
        <v>20190303171117836</v>
      </c>
      <c r="B5142" t="str">
        <f>"1551604277826119"</f>
        <v>1551604277826119</v>
      </c>
      <c r="C5142" t="s">
        <v>40</v>
      </c>
      <c r="D5142">
        <v>5.5298600000000002</v>
      </c>
      <c r="E5142">
        <v>0.41545470000000001</v>
      </c>
      <c r="F5142" t="s">
        <v>101</v>
      </c>
      <c r="G5142">
        <v>-292.46559999999999</v>
      </c>
      <c r="H5142">
        <v>0.86812780000000001</v>
      </c>
      <c r="I5142">
        <v>-91.564989999999995</v>
      </c>
      <c r="J5142">
        <v>-304.0718</v>
      </c>
      <c r="K5142">
        <v>1.123518</v>
      </c>
      <c r="L5142">
        <v>-27.22467</v>
      </c>
      <c r="M5142">
        <v>1.067361E-2</v>
      </c>
      <c r="N5142">
        <v>-1.3614869999999999E-2</v>
      </c>
      <c r="O5142">
        <v>-0.99985060000000003</v>
      </c>
      <c r="P5142">
        <v>-5.0493299999999998E-2</v>
      </c>
      <c r="Q5142">
        <v>0.1792261</v>
      </c>
      <c r="R5142">
        <v>-0.98251180000000005</v>
      </c>
      <c r="S5142">
        <v>0.55429079999999997</v>
      </c>
      <c r="T5142">
        <v>-1.2190940000000001E-2</v>
      </c>
      <c r="U5142">
        <v>-3.0868229999999999</v>
      </c>
      <c r="V5142">
        <v>5.9920880000000003E-2</v>
      </c>
      <c r="W5142">
        <v>0.1929099</v>
      </c>
      <c r="X5142">
        <v>0.97938510000000001</v>
      </c>
      <c r="Y5142">
        <v>-0.16619539999999999</v>
      </c>
      <c r="Z5142">
        <v>-9.7117680000000008E-3</v>
      </c>
      <c r="AA5142">
        <v>0.98604499999999995</v>
      </c>
      <c r="AB5142">
        <v>29</v>
      </c>
      <c r="AC5142">
        <v>11.606199999999999</v>
      </c>
      <c r="AD5142">
        <v>-0.25539020000000001</v>
      </c>
      <c r="AE5142">
        <v>-64.340319999999906</v>
      </c>
      <c r="AF5142">
        <v>-10.918565160719799</v>
      </c>
      <c r="AG5142">
        <v>-0.25539020000000001</v>
      </c>
      <c r="AH5142">
        <v>64.459562096331098</v>
      </c>
      <c r="AI5142">
        <v>90.223817829944693</v>
      </c>
      <c r="AJ5142">
        <v>99.613865735441607</v>
      </c>
      <c r="AK5142">
        <v>65.378248943925598</v>
      </c>
      <c r="AL5142">
        <v>78.877347960136404</v>
      </c>
      <c r="AM5142">
        <v>86.498885549015895</v>
      </c>
      <c r="AN5142">
        <v>0.99999995773999595</v>
      </c>
    </row>
    <row r="5143" spans="1:40" x14ac:dyDescent="0.25">
      <c r="A5143" t="str">
        <f>"20190303171117881"</f>
        <v>20190303171117881</v>
      </c>
      <c r="B5143" t="str">
        <f>"1551604277875895"</f>
        <v>1551604277875895</v>
      </c>
      <c r="C5143" t="s">
        <v>40</v>
      </c>
      <c r="D5143">
        <v>5.5262120000000001</v>
      </c>
      <c r="E5143">
        <v>0.41995559999999998</v>
      </c>
      <c r="F5143" t="s">
        <v>101</v>
      </c>
      <c r="G5143">
        <v>-292.3458</v>
      </c>
      <c r="H5143">
        <v>0.8035679</v>
      </c>
      <c r="I5143">
        <v>-91.564989999999995</v>
      </c>
      <c r="J5143">
        <v>-304.06290000000001</v>
      </c>
      <c r="K5143">
        <v>1.1234949999999999</v>
      </c>
      <c r="L5143">
        <v>-27.629639999999998</v>
      </c>
      <c r="M5143">
        <v>1.4636619999999999E-2</v>
      </c>
      <c r="N5143">
        <v>-1.361334E-2</v>
      </c>
      <c r="O5143">
        <v>-0.99980029999999998</v>
      </c>
      <c r="P5143">
        <v>-4.8437109999999998E-2</v>
      </c>
      <c r="Q5143">
        <v>0.17835570000000001</v>
      </c>
      <c r="R5143">
        <v>-0.98277320000000001</v>
      </c>
      <c r="S5143">
        <v>0.56225590000000003</v>
      </c>
      <c r="T5143">
        <v>-1.534081E-2</v>
      </c>
      <c r="U5143">
        <v>-3.085083</v>
      </c>
      <c r="V5143">
        <v>6.1770859999999997E-2</v>
      </c>
      <c r="W5143">
        <v>0.1920471</v>
      </c>
      <c r="X5143">
        <v>0.97943979999999997</v>
      </c>
      <c r="Y5143">
        <v>-0.1648491</v>
      </c>
      <c r="Z5143">
        <v>-8.6982550000000002E-3</v>
      </c>
      <c r="AA5143">
        <v>0.98628039999999995</v>
      </c>
      <c r="AB5143">
        <v>29</v>
      </c>
      <c r="AC5143">
        <v>11.7171</v>
      </c>
      <c r="AD5143">
        <v>-0.31992710000000002</v>
      </c>
      <c r="AE5143">
        <v>-63.93535</v>
      </c>
      <c r="AF5143">
        <v>-10.779699419049599</v>
      </c>
      <c r="AG5143">
        <v>-0.31992710000000002</v>
      </c>
      <c r="AH5143">
        <v>64.098461707027397</v>
      </c>
      <c r="AI5143">
        <v>90.282011177016997</v>
      </c>
      <c r="AJ5143">
        <v>99.546335396760199</v>
      </c>
      <c r="AK5143">
        <v>64.999362043958797</v>
      </c>
      <c r="AL5143">
        <v>78.927725500422596</v>
      </c>
      <c r="AM5143">
        <v>86.391275581986406</v>
      </c>
      <c r="AN5143">
        <v>1.0000000247937899</v>
      </c>
    </row>
    <row r="5144" spans="1:40" x14ac:dyDescent="0.25">
      <c r="A5144" t="str">
        <f>"20190303171117905"</f>
        <v>20190303171117905</v>
      </c>
      <c r="B5144" t="str">
        <f>"1551604277895415"</f>
        <v>1551604277895415</v>
      </c>
      <c r="C5144" t="s">
        <v>40</v>
      </c>
      <c r="D5144">
        <v>5.5233369999999997</v>
      </c>
      <c r="E5144">
        <v>0.4200334</v>
      </c>
      <c r="F5144" t="s">
        <v>101</v>
      </c>
      <c r="G5144">
        <v>-292.98579999999998</v>
      </c>
      <c r="H5144">
        <v>0.59336279999999997</v>
      </c>
      <c r="I5144">
        <v>-91.564989999999995</v>
      </c>
      <c r="J5144">
        <v>-304.05020000000002</v>
      </c>
      <c r="K5144">
        <v>1.123481</v>
      </c>
      <c r="L5144">
        <v>-28.115079999999999</v>
      </c>
      <c r="M5144">
        <v>1.9365429999999999E-2</v>
      </c>
      <c r="N5144">
        <v>-1.3611399999999999E-2</v>
      </c>
      <c r="O5144">
        <v>-0.99972000000000005</v>
      </c>
      <c r="P5144">
        <v>-4.3102990000000001E-2</v>
      </c>
      <c r="Q5144">
        <v>0.1779346</v>
      </c>
      <c r="R5144">
        <v>-0.98309809999999997</v>
      </c>
      <c r="S5144">
        <v>0.53424069999999901</v>
      </c>
      <c r="T5144">
        <v>-2.5567289999999999E-2</v>
      </c>
      <c r="U5144">
        <v>-3.0835569999999999</v>
      </c>
      <c r="V5144">
        <v>6.1096959999999999E-2</v>
      </c>
      <c r="W5144">
        <v>0.19161980000000001</v>
      </c>
      <c r="X5144">
        <v>0.97956569999999998</v>
      </c>
      <c r="Y5144">
        <v>-0.1515717</v>
      </c>
      <c r="Z5144">
        <v>-5.408988E-3</v>
      </c>
      <c r="AA5144">
        <v>0.98843150000000002</v>
      </c>
      <c r="AB5144">
        <v>29</v>
      </c>
      <c r="AC5144">
        <v>11.064399999999999</v>
      </c>
      <c r="AD5144">
        <v>-0.53011819999999898</v>
      </c>
      <c r="AE5144">
        <v>-63.449910000000003</v>
      </c>
      <c r="AF5144">
        <v>-9.83281021399638</v>
      </c>
      <c r="AG5144">
        <v>-0.53011819999999898</v>
      </c>
      <c r="AH5144">
        <v>63.647984069884501</v>
      </c>
      <c r="AI5144">
        <v>90.471605923478407</v>
      </c>
      <c r="AJ5144">
        <v>98.782048805701905</v>
      </c>
      <c r="AK5144">
        <v>64.405209868229704</v>
      </c>
      <c r="AL5144">
        <v>78.952670718042995</v>
      </c>
      <c r="AM5144">
        <v>86.431000828580196</v>
      </c>
      <c r="AN5144">
        <v>0.999999973444885</v>
      </c>
    </row>
    <row r="5145" spans="1:40" x14ac:dyDescent="0.25">
      <c r="A5145" t="str">
        <f>"20190303171117925"</f>
        <v>20190303171117925</v>
      </c>
      <c r="B5145" t="str">
        <f>"1551604277915911"</f>
        <v>1551604277915911</v>
      </c>
      <c r="C5145" t="s">
        <v>40</v>
      </c>
      <c r="D5145">
        <v>5.5244980000000004</v>
      </c>
      <c r="E5145">
        <v>0.4204215</v>
      </c>
      <c r="F5145" t="s">
        <v>101</v>
      </c>
      <c r="G5145">
        <v>-292.73489999999998</v>
      </c>
      <c r="H5145">
        <v>0.54189299999999996</v>
      </c>
      <c r="I5145">
        <v>-91.564989999999995</v>
      </c>
      <c r="J5145">
        <v>-304.0419</v>
      </c>
      <c r="K5145">
        <v>1.1234789999999999</v>
      </c>
      <c r="L5145">
        <v>-28.390899999999998</v>
      </c>
      <c r="M5145">
        <v>2.2045439999999999E-2</v>
      </c>
      <c r="N5145">
        <v>-1.3610239999999999E-2</v>
      </c>
      <c r="O5145">
        <v>-0.99966429999999995</v>
      </c>
      <c r="P5145">
        <v>-3.9147769999999998E-2</v>
      </c>
      <c r="Q5145">
        <v>0.1786654</v>
      </c>
      <c r="R5145">
        <v>-0.98313070000000002</v>
      </c>
      <c r="S5145">
        <v>0.54940800000000001</v>
      </c>
      <c r="T5145">
        <v>-2.8238059999999999E-2</v>
      </c>
      <c r="U5145">
        <v>-3.0807799999999999</v>
      </c>
      <c r="V5145">
        <v>5.9775219999999997E-2</v>
      </c>
      <c r="W5145">
        <v>0.19234000000000001</v>
      </c>
      <c r="X5145">
        <v>0.97950610000000005</v>
      </c>
      <c r="Y5145">
        <v>-0.15379109999999999</v>
      </c>
      <c r="Z5145">
        <v>-4.5476279999999997E-3</v>
      </c>
      <c r="AA5145">
        <v>0.98809290000000005</v>
      </c>
      <c r="AB5145">
        <v>29</v>
      </c>
      <c r="AC5145">
        <v>11.307</v>
      </c>
      <c r="AD5145">
        <v>-0.58158599999999905</v>
      </c>
      <c r="AE5145">
        <v>-63.17409</v>
      </c>
      <c r="AF5145">
        <v>-9.9106080234240608</v>
      </c>
      <c r="AG5145">
        <v>-0.58158599999999905</v>
      </c>
      <c r="AH5145">
        <v>63.402818105387801</v>
      </c>
      <c r="AI5145">
        <v>90.5192473214492</v>
      </c>
      <c r="AJ5145">
        <v>98.884115081081205</v>
      </c>
      <c r="AK5145">
        <v>64.175351478384897</v>
      </c>
      <c r="AL5145">
        <v>78.910624213162194</v>
      </c>
      <c r="AM5145">
        <v>86.507805599529505</v>
      </c>
      <c r="AN5145">
        <v>0.99999997623162895</v>
      </c>
    </row>
    <row r="5146" spans="1:40" x14ac:dyDescent="0.25">
      <c r="A5146" t="str">
        <f>"20190303171117949"</f>
        <v>20190303171117949</v>
      </c>
      <c r="B5146" t="str">
        <f>"1551604277936407"</f>
        <v>1551604277936407</v>
      </c>
      <c r="C5146" t="s">
        <v>40</v>
      </c>
      <c r="D5146">
        <v>5.541595</v>
      </c>
      <c r="E5146">
        <v>0.42067660000000001</v>
      </c>
      <c r="F5146" t="s">
        <v>101</v>
      </c>
      <c r="G5146">
        <v>-292.58870000000002</v>
      </c>
      <c r="H5146">
        <v>0.57240100000000005</v>
      </c>
      <c r="I5146">
        <v>-91.564989999999995</v>
      </c>
      <c r="J5146">
        <v>-304.03210000000001</v>
      </c>
      <c r="K5146">
        <v>1.12347</v>
      </c>
      <c r="L5146">
        <v>-28.690519999999999</v>
      </c>
      <c r="M5146">
        <v>2.495493E-2</v>
      </c>
      <c r="N5146">
        <v>-1.360897E-2</v>
      </c>
      <c r="O5146">
        <v>-0.99959609999999999</v>
      </c>
      <c r="P5146">
        <v>-3.6006789999999997E-2</v>
      </c>
      <c r="Q5146">
        <v>0.17956040000000001</v>
      </c>
      <c r="R5146">
        <v>-0.98308810000000002</v>
      </c>
      <c r="S5146">
        <v>0.55813599999999997</v>
      </c>
      <c r="T5146">
        <v>-2.6854280000000001E-2</v>
      </c>
      <c r="U5146">
        <v>-3.0785830000000001</v>
      </c>
      <c r="V5146">
        <v>5.9490340000000003E-2</v>
      </c>
      <c r="W5146">
        <v>0.19323000000000001</v>
      </c>
      <c r="X5146">
        <v>0.97934829999999995</v>
      </c>
      <c r="Y5146">
        <v>-0.15375069999999999</v>
      </c>
      <c r="Z5146">
        <v>-4.9821320000000002E-3</v>
      </c>
      <c r="AA5146">
        <v>0.98809709999999995</v>
      </c>
      <c r="AB5146">
        <v>29</v>
      </c>
      <c r="AC5146">
        <v>11.443399999999899</v>
      </c>
      <c r="AD5146">
        <v>-0.55106899999999903</v>
      </c>
      <c r="AE5146">
        <v>-62.874469999999903</v>
      </c>
      <c r="AF5146">
        <v>-9.8699286618124003</v>
      </c>
      <c r="AG5146">
        <v>-0.55106899999999903</v>
      </c>
      <c r="AH5146">
        <v>63.135787024469103</v>
      </c>
      <c r="AI5146">
        <v>90.494082277631804</v>
      </c>
      <c r="AJ5146">
        <v>98.885054746194399</v>
      </c>
      <c r="AK5146">
        <v>63.904982372512599</v>
      </c>
      <c r="AL5146">
        <v>78.858656513290299</v>
      </c>
      <c r="AM5146">
        <v>86.523849353847496</v>
      </c>
      <c r="AN5146">
        <v>1.0000000130830999</v>
      </c>
    </row>
    <row r="5147" spans="1:40" x14ac:dyDescent="0.25">
      <c r="A5147" t="str">
        <f>"20190303171117971"</f>
        <v>20190303171117971</v>
      </c>
      <c r="B5147" t="str">
        <f>"1551604277965686"</f>
        <v>1551604277965686</v>
      </c>
      <c r="C5147" t="s">
        <v>40</v>
      </c>
      <c r="D5147">
        <v>5.5111369999999997</v>
      </c>
      <c r="E5147">
        <v>0.42112870000000002</v>
      </c>
      <c r="F5147" t="s">
        <v>101</v>
      </c>
      <c r="G5147">
        <v>-292.45650000000001</v>
      </c>
      <c r="H5147">
        <v>0.62175939999999996</v>
      </c>
      <c r="I5147">
        <v>-91.564989999999995</v>
      </c>
      <c r="J5147">
        <v>-304.0222</v>
      </c>
      <c r="K5147">
        <v>1.123467</v>
      </c>
      <c r="L5147">
        <v>-28.96875</v>
      </c>
      <c r="M5147">
        <v>2.7653380000000002E-2</v>
      </c>
      <c r="N5147">
        <v>-1.360775E-2</v>
      </c>
      <c r="O5147">
        <v>-0.99952490000000005</v>
      </c>
      <c r="P5147">
        <v>-3.306013E-2</v>
      </c>
      <c r="Q5147">
        <v>0.1800078</v>
      </c>
      <c r="R5147">
        <v>-0.98310949999999997</v>
      </c>
      <c r="S5147">
        <v>0.56646730000000001</v>
      </c>
      <c r="T5147">
        <v>-2.4551150000000001E-2</v>
      </c>
      <c r="U5147">
        <v>-3.0768430000000002</v>
      </c>
      <c r="V5147">
        <v>5.9196609999999997E-2</v>
      </c>
      <c r="W5147">
        <v>0.1936725</v>
      </c>
      <c r="X5147">
        <v>0.97927869999999995</v>
      </c>
      <c r="Y5147">
        <v>-0.1537703</v>
      </c>
      <c r="Z5147">
        <v>-5.7127310000000004E-3</v>
      </c>
      <c r="AA5147">
        <v>0.98809009999999997</v>
      </c>
      <c r="AB5147">
        <v>29</v>
      </c>
      <c r="AC5147">
        <v>11.5656999999999</v>
      </c>
      <c r="AD5147">
        <v>-0.50170760000000003</v>
      </c>
      <c r="AE5147">
        <v>-62.596240000000002</v>
      </c>
      <c r="AF5147">
        <v>-9.8295075530839195</v>
      </c>
      <c r="AG5147">
        <v>-0.50170760000000003</v>
      </c>
      <c r="AH5147">
        <v>62.8882507767864</v>
      </c>
      <c r="AI5147">
        <v>90.451599702737298</v>
      </c>
      <c r="AJ5147">
        <v>98.883521416972002</v>
      </c>
      <c r="AK5147">
        <v>63.653774554349901</v>
      </c>
      <c r="AL5147">
        <v>78.832815105966105</v>
      </c>
      <c r="AM5147">
        <v>86.540725618298197</v>
      </c>
      <c r="AN5147">
        <v>1.00000002408271</v>
      </c>
    </row>
    <row r="5148" spans="1:40" x14ac:dyDescent="0.25">
      <c r="A5148" t="str">
        <f>"20190303171117993"</f>
        <v>20190303171117993</v>
      </c>
      <c r="B5148" t="str">
        <f>"1551604277986183"</f>
        <v>1551604277986183</v>
      </c>
      <c r="C5148" t="s">
        <v>40</v>
      </c>
      <c r="D5148">
        <v>5.5465200000000001</v>
      </c>
      <c r="E5148">
        <v>0.4213462</v>
      </c>
      <c r="F5148" t="s">
        <v>101</v>
      </c>
      <c r="G5148">
        <v>-292.36680000000001</v>
      </c>
      <c r="H5148">
        <v>0.63316349999999999</v>
      </c>
      <c r="I5148">
        <v>-91.564989999999995</v>
      </c>
      <c r="J5148">
        <v>-304.01130000000001</v>
      </c>
      <c r="K5148">
        <v>1.1234630000000001</v>
      </c>
      <c r="L5148">
        <v>-29.254819999999999</v>
      </c>
      <c r="M5148">
        <v>3.0417380000000001E-2</v>
      </c>
      <c r="N5148">
        <v>-1.3606099999999999E-2</v>
      </c>
      <c r="O5148">
        <v>-0.99944480000000002</v>
      </c>
      <c r="P5148">
        <v>-2.9182739999999999E-2</v>
      </c>
      <c r="Q5148">
        <v>0.179921</v>
      </c>
      <c r="R5148">
        <v>-0.98324840000000002</v>
      </c>
      <c r="S5148">
        <v>0.57260129999999998</v>
      </c>
      <c r="T5148">
        <v>-2.4086710000000001E-2</v>
      </c>
      <c r="U5148">
        <v>-3.0751949999999999</v>
      </c>
      <c r="V5148">
        <v>5.8045569999999998E-2</v>
      </c>
      <c r="W5148">
        <v>0.1935771</v>
      </c>
      <c r="X5148">
        <v>0.97936639999999997</v>
      </c>
      <c r="Y5148">
        <v>-0.1530377</v>
      </c>
      <c r="Z5148">
        <v>-5.8537609999999999E-3</v>
      </c>
      <c r="AA5148">
        <v>0.98820300000000005</v>
      </c>
      <c r="AB5148">
        <v>29</v>
      </c>
      <c r="AC5148">
        <v>11.644499999999899</v>
      </c>
      <c r="AD5148">
        <v>-0.490299499999999</v>
      </c>
      <c r="AE5148">
        <v>-62.310169999999999</v>
      </c>
      <c r="AF5148">
        <v>-9.7430406754264993</v>
      </c>
      <c r="AG5148">
        <v>-0.490299499999999</v>
      </c>
      <c r="AH5148">
        <v>62.6318136414639</v>
      </c>
      <c r="AI5148">
        <v>90.443188252615499</v>
      </c>
      <c r="AJ5148">
        <v>98.842095119018595</v>
      </c>
      <c r="AK5148">
        <v>63.386996420573297</v>
      </c>
      <c r="AL5148">
        <v>78.838385876066496</v>
      </c>
      <c r="AM5148">
        <v>86.608133413785296</v>
      </c>
      <c r="AN5148">
        <v>0.99999996364499599</v>
      </c>
    </row>
    <row r="5149" spans="1:40" x14ac:dyDescent="0.25">
      <c r="A5149" t="str">
        <f>"20190303171118025"</f>
        <v>20190303171118025</v>
      </c>
      <c r="B5149" t="str">
        <f>"1551604278015462"</f>
        <v>1551604278015462</v>
      </c>
      <c r="C5149" t="s">
        <v>40</v>
      </c>
      <c r="D5149">
        <v>5.5534739999999996</v>
      </c>
      <c r="E5149">
        <v>0.42420790000000003</v>
      </c>
      <c r="F5149" t="s">
        <v>101</v>
      </c>
      <c r="G5149">
        <v>-292.20979999999997</v>
      </c>
      <c r="H5149">
        <v>0.5878601</v>
      </c>
      <c r="I5149">
        <v>-91.564989999999995</v>
      </c>
      <c r="J5149">
        <v>-303.99419999999998</v>
      </c>
      <c r="K5149">
        <v>1.1234409999999999</v>
      </c>
      <c r="L5149">
        <v>-29.664429999999999</v>
      </c>
      <c r="M5149">
        <v>3.4326679999999998E-2</v>
      </c>
      <c r="N5149">
        <v>-1.36034E-2</v>
      </c>
      <c r="O5149">
        <v>-0.99931829999999999</v>
      </c>
      <c r="P5149">
        <v>-2.235937E-2</v>
      </c>
      <c r="Q5149">
        <v>0.18164079999999999</v>
      </c>
      <c r="R5149">
        <v>-0.98311090000000001</v>
      </c>
      <c r="S5149">
        <v>0.58206179999999996</v>
      </c>
      <c r="T5149">
        <v>-2.6415939999999999E-2</v>
      </c>
      <c r="U5149">
        <v>-3.0732119999999998</v>
      </c>
      <c r="V5149">
        <v>5.5068260000000001E-2</v>
      </c>
      <c r="W5149">
        <v>0.19527220000000001</v>
      </c>
      <c r="X5149">
        <v>0.97920189999999996</v>
      </c>
      <c r="Y5149">
        <v>-0.15222529999999901</v>
      </c>
      <c r="Z5149">
        <v>-5.0975689999999997E-3</v>
      </c>
      <c r="AA5149">
        <v>0.98833269999999995</v>
      </c>
      <c r="AB5149">
        <v>29</v>
      </c>
      <c r="AC5149">
        <v>11.7844</v>
      </c>
      <c r="AD5149">
        <v>-0.53558089999999903</v>
      </c>
      <c r="AE5149">
        <v>-61.900559999999999</v>
      </c>
      <c r="AF5149">
        <v>-9.6517196130166898</v>
      </c>
      <c r="AG5149">
        <v>-0.53558089999999903</v>
      </c>
      <c r="AH5149">
        <v>62.264131637299698</v>
      </c>
      <c r="AI5149">
        <v>90.487015984540506</v>
      </c>
      <c r="AJ5149">
        <v>98.811433194529101</v>
      </c>
      <c r="AK5149">
        <v>63.010035922348997</v>
      </c>
      <c r="AL5149">
        <v>78.739375413187503</v>
      </c>
      <c r="AM5149">
        <v>86.781196110263593</v>
      </c>
      <c r="AN5149">
        <v>1.0000000531579301</v>
      </c>
    </row>
    <row r="5150" spans="1:40" x14ac:dyDescent="0.25">
      <c r="A5150" t="str">
        <f>"20190303171118070"</f>
        <v>20190303171118070</v>
      </c>
      <c r="B5150" t="str">
        <f>"1551604278066215"</f>
        <v>1551604278066215</v>
      </c>
      <c r="C5150" t="s">
        <v>40</v>
      </c>
      <c r="D5150">
        <v>5.5617080000000003</v>
      </c>
      <c r="E5150">
        <v>0.42536649999999998</v>
      </c>
      <c r="F5150" t="s">
        <v>101</v>
      </c>
      <c r="G5150">
        <v>-292.32569999999998</v>
      </c>
      <c r="H5150">
        <v>0.35153010000000001</v>
      </c>
      <c r="I5150">
        <v>-91.564989999999995</v>
      </c>
      <c r="J5150">
        <v>-303.96800000000002</v>
      </c>
      <c r="K5150">
        <v>1.123362</v>
      </c>
      <c r="L5150">
        <v>-30.23489</v>
      </c>
      <c r="M5150">
        <v>3.9620700000000002E-2</v>
      </c>
      <c r="N5150">
        <v>-1.359837E-2</v>
      </c>
      <c r="O5150">
        <v>-0.99912230000000002</v>
      </c>
      <c r="P5150">
        <v>-1.833334E-2</v>
      </c>
      <c r="Q5150">
        <v>0.1824211</v>
      </c>
      <c r="R5150">
        <v>-0.98304950000000002</v>
      </c>
      <c r="S5150">
        <v>0.57904049999999996</v>
      </c>
      <c r="T5150">
        <v>-3.8304919999999999E-2</v>
      </c>
      <c r="U5150">
        <v>-3.071777</v>
      </c>
      <c r="V5150">
        <v>5.6278080000000001E-2</v>
      </c>
      <c r="W5150">
        <v>0.19603999999999999</v>
      </c>
      <c r="X5150">
        <v>0.97897959999999995</v>
      </c>
      <c r="Y5150">
        <v>-0.14613129999999999</v>
      </c>
      <c r="Z5150">
        <v>-1.2689240000000001E-3</v>
      </c>
      <c r="AA5150">
        <v>0.98926440000000004</v>
      </c>
      <c r="AB5150">
        <v>29</v>
      </c>
      <c r="AC5150">
        <v>11.642300000000001</v>
      </c>
      <c r="AD5150">
        <v>-0.77183190000000002</v>
      </c>
      <c r="AE5150">
        <v>-61.330100000000002</v>
      </c>
      <c r="AF5150">
        <v>-9.2015839427983099</v>
      </c>
      <c r="AG5150">
        <v>-0.77183190000000002</v>
      </c>
      <c r="AH5150">
        <v>61.733815631550002</v>
      </c>
      <c r="AI5150">
        <v>90.708481674107006</v>
      </c>
      <c r="AJ5150">
        <v>98.477669073584806</v>
      </c>
      <c r="AK5150">
        <v>62.420580452030599</v>
      </c>
      <c r="AL5150">
        <v>78.694515879792903</v>
      </c>
      <c r="AM5150">
        <v>86.709889053847604</v>
      </c>
      <c r="AN5150">
        <v>0.99999998055232198</v>
      </c>
    </row>
    <row r="5151" spans="1:40" x14ac:dyDescent="0.25">
      <c r="A5151" t="str">
        <f>"20190303171118098"</f>
        <v>20190303171118098</v>
      </c>
      <c r="B5151" t="str">
        <f>"1551604278085737"</f>
        <v>1551604278085737</v>
      </c>
      <c r="C5151" t="s">
        <v>40</v>
      </c>
      <c r="D5151">
        <v>5.579027</v>
      </c>
      <c r="E5151">
        <v>0.42596820000000002</v>
      </c>
      <c r="F5151" t="s">
        <v>101</v>
      </c>
      <c r="G5151">
        <v>-292.3168</v>
      </c>
      <c r="H5151">
        <v>0.3443928</v>
      </c>
      <c r="I5151">
        <v>-91.564989999999995</v>
      </c>
      <c r="J5151">
        <v>-303.94940000000003</v>
      </c>
      <c r="K5151">
        <v>1.1232799999999901</v>
      </c>
      <c r="L5151">
        <v>-30.608339999999998</v>
      </c>
      <c r="M5151">
        <v>4.2950559999999999E-2</v>
      </c>
      <c r="N5151">
        <v>-1.359439E-2</v>
      </c>
      <c r="O5151">
        <v>-0.99898480000000001</v>
      </c>
      <c r="P5151">
        <v>-1.4896919999999999E-2</v>
      </c>
      <c r="Q5151">
        <v>0.17992529999999901</v>
      </c>
      <c r="R5151">
        <v>-0.98356779999999999</v>
      </c>
      <c r="S5151">
        <v>0.58319089999999996</v>
      </c>
      <c r="T5151">
        <v>-3.8989900000000001E-2</v>
      </c>
      <c r="U5151">
        <v>-3.0698240000000001</v>
      </c>
      <c r="V5151">
        <v>5.6184100000000001E-2</v>
      </c>
      <c r="W5151">
        <v>0.1935364</v>
      </c>
      <c r="X5151">
        <v>0.97948299999999999</v>
      </c>
      <c r="Y5151">
        <v>-0.1442398</v>
      </c>
      <c r="Z5151">
        <v>-1.0353459999999999E-3</v>
      </c>
      <c r="AA5151">
        <v>0.98954219999999904</v>
      </c>
      <c r="AB5151">
        <v>29</v>
      </c>
      <c r="AC5151">
        <v>11.6326</v>
      </c>
      <c r="AD5151">
        <v>-0.778887199999999</v>
      </c>
      <c r="AE5151">
        <v>-60.956650000000003</v>
      </c>
      <c r="AF5151">
        <v>-9.0020813501729702</v>
      </c>
      <c r="AG5151">
        <v>-0.778887199999999</v>
      </c>
      <c r="AH5151">
        <v>61.390390530247601</v>
      </c>
      <c r="AI5151">
        <v>90.719207679714401</v>
      </c>
      <c r="AJ5151">
        <v>98.342208093309907</v>
      </c>
      <c r="AK5151">
        <v>62.051786302746997</v>
      </c>
      <c r="AL5151">
        <v>78.840762826896096</v>
      </c>
      <c r="AM5151">
        <v>86.717055666353303</v>
      </c>
      <c r="AN5151">
        <v>0.99999996925338397</v>
      </c>
    </row>
    <row r="5152" spans="1:40" x14ac:dyDescent="0.25">
      <c r="A5152" t="str">
        <f>"20190303171118120"</f>
        <v>20190303171118120</v>
      </c>
      <c r="B5152" t="str">
        <f>"1551604278115991"</f>
        <v>1551604278115991</v>
      </c>
      <c r="C5152" t="s">
        <v>40</v>
      </c>
      <c r="D5152">
        <v>5.5915189999999999</v>
      </c>
      <c r="E5152">
        <v>0.42661209999999999</v>
      </c>
      <c r="F5152" t="s">
        <v>101</v>
      </c>
      <c r="G5152">
        <v>-292.26280000000003</v>
      </c>
      <c r="H5152">
        <v>0.1129341</v>
      </c>
      <c r="I5152">
        <v>-91.564989999999995</v>
      </c>
      <c r="J5152">
        <v>-303.93369999999999</v>
      </c>
      <c r="K5152">
        <v>1.1232070000000001</v>
      </c>
      <c r="L5152">
        <v>-30.905429999999999</v>
      </c>
      <c r="M5152">
        <v>4.5466470000000002E-2</v>
      </c>
      <c r="N5152">
        <v>-1.3590619999999999E-2</v>
      </c>
      <c r="O5152">
        <v>-0.99887349999999997</v>
      </c>
      <c r="P5152">
        <v>-1.326978E-2</v>
      </c>
      <c r="Q5152">
        <v>0.17882579999999901</v>
      </c>
      <c r="R5152">
        <v>-0.98379130000000004</v>
      </c>
      <c r="S5152">
        <v>0.58825680000000002</v>
      </c>
      <c r="T5152">
        <v>-5.0856350000000002E-2</v>
      </c>
      <c r="U5152">
        <v>-3.0683289999999999</v>
      </c>
      <c r="V5152">
        <v>5.7082529999999999E-2</v>
      </c>
      <c r="W5152">
        <v>0.19242890000000001</v>
      </c>
      <c r="X5152">
        <v>0.9796492</v>
      </c>
      <c r="Y5152">
        <v>-0.14340810000000001</v>
      </c>
      <c r="Z5152">
        <v>2.7808120000000001E-3</v>
      </c>
      <c r="AA5152">
        <v>0.98965970000000003</v>
      </c>
      <c r="AB5152">
        <v>29</v>
      </c>
      <c r="AC5152">
        <v>11.6708999999999</v>
      </c>
      <c r="AD5152">
        <v>-1.0102728999999999</v>
      </c>
      <c r="AE5152">
        <v>-60.659559999999999</v>
      </c>
      <c r="AF5152">
        <v>-8.8982178197716593</v>
      </c>
      <c r="AG5152">
        <v>-1.0102728999999999</v>
      </c>
      <c r="AH5152">
        <v>61.111155789206101</v>
      </c>
      <c r="AI5152">
        <v>90.937230458368205</v>
      </c>
      <c r="AJ5152">
        <v>98.284451952714306</v>
      </c>
      <c r="AK5152">
        <v>61.763842930902499</v>
      </c>
      <c r="AL5152">
        <v>78.905433091511497</v>
      </c>
      <c r="AM5152">
        <v>86.6652408409239</v>
      </c>
      <c r="AN5152">
        <v>0.99999992592352205</v>
      </c>
    </row>
    <row r="5153" spans="1:40" x14ac:dyDescent="0.25">
      <c r="A5153" t="str">
        <f>"20190303171118141"</f>
        <v>20190303171118141</v>
      </c>
      <c r="B5153" t="str">
        <f>"1551604278135511"</f>
        <v>1551604278135511</v>
      </c>
      <c r="C5153" t="s">
        <v>40</v>
      </c>
      <c r="D5153">
        <v>5.5998590000000004</v>
      </c>
      <c r="E5153">
        <v>0.42692760000000002</v>
      </c>
      <c r="F5153" t="s">
        <v>41</v>
      </c>
      <c r="G5153">
        <v>-291.7568</v>
      </c>
      <c r="H5153">
        <v>-0.05</v>
      </c>
      <c r="I5153">
        <v>-94.445800000000006</v>
      </c>
      <c r="J5153">
        <v>-303.91919999999999</v>
      </c>
      <c r="K5153">
        <v>1.1231409999999999</v>
      </c>
      <c r="L5153">
        <v>-31.171140000000001</v>
      </c>
      <c r="M5153">
        <v>4.7625790000000001E-2</v>
      </c>
      <c r="N5153">
        <v>-1.3586839999999999E-2</v>
      </c>
      <c r="O5153">
        <v>-0.99877320000000003</v>
      </c>
      <c r="P5153">
        <v>-1.189584E-2</v>
      </c>
      <c r="Q5153">
        <v>0.1796835</v>
      </c>
      <c r="R5153">
        <v>-0.98365290000000005</v>
      </c>
      <c r="S5153">
        <v>0.58789060000000004</v>
      </c>
      <c r="T5153">
        <v>-5.6641099999999903E-2</v>
      </c>
      <c r="U5153">
        <v>-3.0676570000000001</v>
      </c>
      <c r="V5153">
        <v>5.785792E-2</v>
      </c>
      <c r="W5153">
        <v>0.193273</v>
      </c>
      <c r="X5153">
        <v>0.97943760000000002</v>
      </c>
      <c r="Y5153">
        <v>-0.1411917</v>
      </c>
      <c r="Z5153">
        <v>4.646776E-3</v>
      </c>
      <c r="AA5153">
        <v>0.9899713</v>
      </c>
      <c r="AB5153">
        <v>29</v>
      </c>
      <c r="AC5153">
        <v>12.1623999999999</v>
      </c>
      <c r="AD5153">
        <v>-1.173141</v>
      </c>
      <c r="AE5153">
        <v>-63.274659999999997</v>
      </c>
      <c r="AF5153">
        <v>-9.1317861953672494</v>
      </c>
      <c r="AG5153">
        <v>-1.173141</v>
      </c>
      <c r="AH5153">
        <v>63.761006118424902</v>
      </c>
      <c r="AI5153">
        <v>91.0434236609225</v>
      </c>
      <c r="AJ5153">
        <v>98.150418373522797</v>
      </c>
      <c r="AK5153">
        <v>64.422291795290803</v>
      </c>
      <c r="AL5153">
        <v>78.856145332951101</v>
      </c>
      <c r="AM5153">
        <v>86.619318384974306</v>
      </c>
      <c r="AN5153">
        <v>1.0000000018647399</v>
      </c>
    </row>
    <row r="5154" spans="1:40" x14ac:dyDescent="0.25">
      <c r="A5154" t="str">
        <f>"20190303171118181"</f>
        <v>20190303171118181</v>
      </c>
      <c r="B5154" t="str">
        <f>"1551604278175527"</f>
        <v>1551604278175527</v>
      </c>
      <c r="C5154" t="s">
        <v>40</v>
      </c>
      <c r="D5154">
        <v>5.6009640000000003</v>
      </c>
      <c r="E5154">
        <v>0.4274655</v>
      </c>
      <c r="F5154" t="s">
        <v>41</v>
      </c>
      <c r="G5154">
        <v>-291.45409999999998</v>
      </c>
      <c r="H5154">
        <v>-0.05</v>
      </c>
      <c r="I5154">
        <v>-96.051829999999995</v>
      </c>
      <c r="J5154">
        <v>-303.89069999999998</v>
      </c>
      <c r="K5154">
        <v>1.12296</v>
      </c>
      <c r="L5154">
        <v>-31.670290000000001</v>
      </c>
      <c r="M5154">
        <v>5.1406470000000003E-2</v>
      </c>
      <c r="N5154">
        <v>-1.3579310000000001E-2</v>
      </c>
      <c r="O5154">
        <v>-0.99858550000000001</v>
      </c>
      <c r="P5154">
        <v>-7.6886230000000003E-3</v>
      </c>
      <c r="Q5154">
        <v>0.1795899</v>
      </c>
      <c r="R5154">
        <v>-0.98371140000000001</v>
      </c>
      <c r="S5154">
        <v>0.58926389999999995</v>
      </c>
      <c r="T5154">
        <v>-5.5457949999999999E-2</v>
      </c>
      <c r="U5154">
        <v>-3.0671080000000002</v>
      </c>
      <c r="V5154">
        <v>5.745169E-2</v>
      </c>
      <c r="W5154">
        <v>0.19314809999999999</v>
      </c>
      <c r="X5154">
        <v>0.97948619999999997</v>
      </c>
      <c r="Y5154">
        <v>-0.1379049</v>
      </c>
      <c r="Z5154">
        <v>4.2812850000000001E-3</v>
      </c>
      <c r="AA5154">
        <v>0.99043619999999999</v>
      </c>
      <c r="AB5154">
        <v>29</v>
      </c>
      <c r="AC5154">
        <v>12.4366</v>
      </c>
      <c r="AD5154">
        <v>-1.17296</v>
      </c>
      <c r="AE5154">
        <v>-64.381540000000001</v>
      </c>
      <c r="AF5154">
        <v>-9.10730638254139</v>
      </c>
      <c r="AG5154">
        <v>-1.17296</v>
      </c>
      <c r="AH5154">
        <v>64.915008531541801</v>
      </c>
      <c r="AI5154">
        <v>91.025136734600494</v>
      </c>
      <c r="AJ5154">
        <v>97.986234894563694</v>
      </c>
      <c r="AK5154">
        <v>65.561247679991794</v>
      </c>
      <c r="AL5154">
        <v>78.863439557932097</v>
      </c>
      <c r="AM5154">
        <v>86.643166418034895</v>
      </c>
      <c r="AN5154">
        <v>1.0000000506039499</v>
      </c>
    </row>
    <row r="5155" spans="1:40" x14ac:dyDescent="0.25">
      <c r="A5155" t="str">
        <f>"20190303171118209"</f>
        <v>20190303171118209</v>
      </c>
      <c r="B5155" t="str">
        <f>"1551604278196023"</f>
        <v>1551604278196023</v>
      </c>
      <c r="C5155" t="s">
        <v>40</v>
      </c>
      <c r="D5155">
        <v>5.6031469999999999</v>
      </c>
      <c r="E5155">
        <v>0.4276355</v>
      </c>
      <c r="F5155" t="s">
        <v>41</v>
      </c>
      <c r="G5155">
        <v>-291.84879999999998</v>
      </c>
      <c r="H5155">
        <v>-0.05</v>
      </c>
      <c r="I5155">
        <v>-93.418700000000001</v>
      </c>
      <c r="J5155">
        <v>-303.86840000000001</v>
      </c>
      <c r="K5155">
        <v>1.12283</v>
      </c>
      <c r="L5155">
        <v>-32.043520000000001</v>
      </c>
      <c r="M5155">
        <v>5.3994779999999999E-2</v>
      </c>
      <c r="N5155">
        <v>-1.357334E-2</v>
      </c>
      <c r="O5155">
        <v>-0.99844909999999998</v>
      </c>
      <c r="P5155">
        <v>-4.5056580000000001E-3</v>
      </c>
      <c r="Q5155">
        <v>0.17709939999999999</v>
      </c>
      <c r="R5155">
        <v>-0.98418280000000002</v>
      </c>
      <c r="S5155">
        <v>0.59771730000000001</v>
      </c>
      <c r="T5155">
        <v>-5.8221580000000002E-2</v>
      </c>
      <c r="U5155">
        <v>-3.064972</v>
      </c>
      <c r="V5155">
        <v>5.691011E-2</v>
      </c>
      <c r="W5155">
        <v>0.1906397</v>
      </c>
      <c r="X5155">
        <v>0.98000900000000002</v>
      </c>
      <c r="Y5155">
        <v>-0.13809669999999999</v>
      </c>
      <c r="Z5155">
        <v>5.1819689999999998E-3</v>
      </c>
      <c r="AA5155">
        <v>0.99040519999999999</v>
      </c>
      <c r="AB5155">
        <v>29</v>
      </c>
      <c r="AC5155">
        <v>12.019600000000001</v>
      </c>
      <c r="AD5155">
        <v>-1.17282999999999</v>
      </c>
      <c r="AE5155">
        <v>-61.37518</v>
      </c>
      <c r="AF5155">
        <v>-8.6847643942220198</v>
      </c>
      <c r="AG5155">
        <v>-1.17282999999999</v>
      </c>
      <c r="AH5155">
        <v>61.912912722017403</v>
      </c>
      <c r="AI5155">
        <v>91.074717359299797</v>
      </c>
      <c r="AJ5155">
        <v>97.985000242634797</v>
      </c>
      <c r="AK5155">
        <v>62.530068163373898</v>
      </c>
      <c r="AL5155">
        <v>79.009880716197799</v>
      </c>
      <c r="AM5155">
        <v>86.676508875944904</v>
      </c>
      <c r="AN5155">
        <v>0.99999994795864899</v>
      </c>
    </row>
    <row r="5156" spans="1:40" x14ac:dyDescent="0.25">
      <c r="A5156" t="str">
        <f>"20190303171118237"</f>
        <v>20190303171118237</v>
      </c>
      <c r="B5156" t="str">
        <f>"1551604278226279"</f>
        <v>1551604278226279</v>
      </c>
      <c r="C5156" t="s">
        <v>40</v>
      </c>
      <c r="D5156">
        <v>5.630185</v>
      </c>
      <c r="E5156">
        <v>0.42791380000000001</v>
      </c>
      <c r="F5156" t="s">
        <v>41</v>
      </c>
      <c r="G5156">
        <v>-293.25650000000002</v>
      </c>
      <c r="H5156">
        <v>-0.05</v>
      </c>
      <c r="I5156">
        <v>-85.66386</v>
      </c>
      <c r="J5156">
        <v>-303.84730000000002</v>
      </c>
      <c r="K5156">
        <v>1.1227259999999999</v>
      </c>
      <c r="L5156">
        <v>-32.385249999999999</v>
      </c>
      <c r="M5156">
        <v>5.6231250000000003E-2</v>
      </c>
      <c r="N5156">
        <v>-1.356826E-2</v>
      </c>
      <c r="O5156">
        <v>-0.99832589999999999</v>
      </c>
      <c r="P5156">
        <v>-1.539524E-3</v>
      </c>
      <c r="Q5156">
        <v>0.17400289999999999</v>
      </c>
      <c r="R5156">
        <v>-0.98474439999999996</v>
      </c>
      <c r="S5156">
        <v>0.6062012</v>
      </c>
      <c r="T5156">
        <v>-6.6997650000000006E-2</v>
      </c>
      <c r="U5156">
        <v>-3.0630489999999999</v>
      </c>
      <c r="V5156">
        <v>5.6236010000000003E-2</v>
      </c>
      <c r="W5156">
        <v>0.18753059999999999</v>
      </c>
      <c r="X5156">
        <v>0.98064759999999995</v>
      </c>
      <c r="Y5156">
        <v>-0.13862969999999999</v>
      </c>
      <c r="Z5156">
        <v>8.0093890000000004E-3</v>
      </c>
      <c r="AA5156">
        <v>0.99031190000000002</v>
      </c>
      <c r="AB5156">
        <v>29</v>
      </c>
      <c r="AC5156">
        <v>10.5908</v>
      </c>
      <c r="AD5156">
        <v>-1.1727259999999999</v>
      </c>
      <c r="AE5156">
        <v>-53.27861</v>
      </c>
      <c r="AF5156">
        <v>-7.5743119826944199</v>
      </c>
      <c r="AG5156">
        <v>-1.1727259999999999</v>
      </c>
      <c r="AH5156">
        <v>53.764825633393599</v>
      </c>
      <c r="AI5156">
        <v>91.237331191035395</v>
      </c>
      <c r="AJ5156">
        <v>98.018975356056103</v>
      </c>
      <c r="AK5156">
        <v>54.3083968063087</v>
      </c>
      <c r="AL5156">
        <v>79.191291830870597</v>
      </c>
      <c r="AM5156">
        <v>86.717922935137906</v>
      </c>
      <c r="AN5156">
        <v>0.99999996507141897</v>
      </c>
    </row>
    <row r="5157" spans="1:40" x14ac:dyDescent="0.25">
      <c r="A5157" t="str">
        <f>"20190303171118271"</f>
        <v>20190303171118271</v>
      </c>
      <c r="B5157" t="str">
        <f>"1551604278266295"</f>
        <v>1551604278266295</v>
      </c>
      <c r="C5157" t="s">
        <v>40</v>
      </c>
      <c r="D5157">
        <v>5.5966899999999997</v>
      </c>
      <c r="E5157">
        <v>0.42822159999999898</v>
      </c>
      <c r="F5157" t="s">
        <v>68</v>
      </c>
      <c r="G5157">
        <v>-295.71190000000001</v>
      </c>
      <c r="H5157">
        <v>7.9986559999999998E-2</v>
      </c>
      <c r="I5157">
        <v>-73.071299999999994</v>
      </c>
      <c r="J5157">
        <v>-303.81939999999997</v>
      </c>
      <c r="K5157">
        <v>1.1226290000000001</v>
      </c>
      <c r="L5157">
        <v>-32.820950000000003</v>
      </c>
      <c r="M5157">
        <v>5.8899359999999998E-2</v>
      </c>
      <c r="N5157">
        <v>-1.3562029999999999E-2</v>
      </c>
      <c r="O5157">
        <v>-0.99817199999999995</v>
      </c>
      <c r="P5157">
        <v>3.660731E-3</v>
      </c>
      <c r="Q5157">
        <v>0.17258289999999901</v>
      </c>
      <c r="R5157">
        <v>-0.98498850000000004</v>
      </c>
      <c r="S5157">
        <v>0.61212159999999904</v>
      </c>
      <c r="T5157">
        <v>-7.8458070000000005E-2</v>
      </c>
      <c r="U5157">
        <v>-3.0613100000000002</v>
      </c>
      <c r="V5157">
        <v>5.3734659999999997E-2</v>
      </c>
      <c r="W5157">
        <v>0.1860888</v>
      </c>
      <c r="X5157">
        <v>0.98106249999999995</v>
      </c>
      <c r="Y5157">
        <v>-0.13792179999999901</v>
      </c>
      <c r="Z5157">
        <v>1.1701339999999999E-2</v>
      </c>
      <c r="AA5157">
        <v>0.99037399999999998</v>
      </c>
      <c r="AB5157">
        <v>29</v>
      </c>
      <c r="AC5157">
        <v>8.1074999999999502</v>
      </c>
      <c r="AD5157">
        <v>-1.0426424400000001</v>
      </c>
      <c r="AE5157">
        <v>-40.250349999999898</v>
      </c>
      <c r="AF5157">
        <v>-5.7187969964858896</v>
      </c>
      <c r="AG5157">
        <v>-1.0426424400000001</v>
      </c>
      <c r="AH5157">
        <v>40.631828497133696</v>
      </c>
      <c r="AI5157">
        <v>91.455588653137397</v>
      </c>
      <c r="AJ5157">
        <v>98.011568108800404</v>
      </c>
      <c r="AK5157">
        <v>41.045550664660198</v>
      </c>
      <c r="AL5157">
        <v>79.275382031321101</v>
      </c>
      <c r="AM5157">
        <v>86.864933649181495</v>
      </c>
      <c r="AN5157">
        <v>1.0000000420385</v>
      </c>
    </row>
    <row r="5158" spans="1:40" x14ac:dyDescent="0.25">
      <c r="A5158" t="str">
        <f>"20190303171118300"</f>
        <v>20190303171118300</v>
      </c>
      <c r="B5158" t="str">
        <f>"1551604278295576"</f>
        <v>1551604278295576</v>
      </c>
      <c r="C5158" t="s">
        <v>40</v>
      </c>
      <c r="D5158">
        <v>5.6191639999999996</v>
      </c>
      <c r="E5158">
        <v>0.42849660000000001</v>
      </c>
      <c r="F5158" t="s">
        <v>68</v>
      </c>
      <c r="G5158">
        <v>-296.15750000000003</v>
      </c>
      <c r="H5158">
        <v>5.3124699999999997E-2</v>
      </c>
      <c r="I5158">
        <v>-70.386849999999995</v>
      </c>
      <c r="J5158">
        <v>-303.7946</v>
      </c>
      <c r="K5158">
        <v>1.122584</v>
      </c>
      <c r="L5158">
        <v>-33.196689999999997</v>
      </c>
      <c r="M5158">
        <v>6.1116539999999997E-2</v>
      </c>
      <c r="N5158">
        <v>-1.355667E-2</v>
      </c>
      <c r="O5158">
        <v>-0.99803850000000005</v>
      </c>
      <c r="P5158">
        <v>7.3965580000000001E-3</v>
      </c>
      <c r="Q5158">
        <v>0.1732291</v>
      </c>
      <c r="R5158">
        <v>-0.9848536</v>
      </c>
      <c r="S5158">
        <v>0.62384030000000001</v>
      </c>
      <c r="T5158">
        <v>-8.7080119999999997E-2</v>
      </c>
      <c r="U5158">
        <v>-3.0586549999999999</v>
      </c>
      <c r="V5158">
        <v>5.2206339999999997E-2</v>
      </c>
      <c r="W5158">
        <v>0.18671650000000001</v>
      </c>
      <c r="X5158">
        <v>0.9810257</v>
      </c>
      <c r="Y5158">
        <v>-0.13952220000000001</v>
      </c>
      <c r="Z5158">
        <v>1.4481809999999999E-2</v>
      </c>
      <c r="AA5158">
        <v>0.99011300000000002</v>
      </c>
      <c r="AB5158">
        <v>29</v>
      </c>
      <c r="AC5158">
        <v>7.63709999999997</v>
      </c>
      <c r="AD5158">
        <v>-1.0694592999999999</v>
      </c>
      <c r="AE5158">
        <v>-37.190159999999899</v>
      </c>
      <c r="AF5158">
        <v>-5.3454364316802998</v>
      </c>
      <c r="AG5158">
        <v>-1.0694592999999999</v>
      </c>
      <c r="AH5158">
        <v>37.557620264383303</v>
      </c>
      <c r="AI5158">
        <v>91.614801240387607</v>
      </c>
      <c r="AJ5158">
        <v>98.100292344587302</v>
      </c>
      <c r="AK5158">
        <v>37.951182771596301</v>
      </c>
      <c r="AL5158">
        <v>79.238775310548206</v>
      </c>
      <c r="AM5158">
        <v>86.953816717202599</v>
      </c>
      <c r="AN5158">
        <v>0.99999998868446704</v>
      </c>
    </row>
    <row r="5159" spans="1:40" x14ac:dyDescent="0.25">
      <c r="A5159" t="str">
        <f>"20190303171118337"</f>
        <v>20190303171118337</v>
      </c>
      <c r="B5159" t="str">
        <f>"1551604278325832"</f>
        <v>1551604278325832</v>
      </c>
      <c r="C5159" t="s">
        <v>40</v>
      </c>
      <c r="D5159">
        <v>5.6693259999999999</v>
      </c>
      <c r="E5159">
        <v>0.44526460000000001</v>
      </c>
      <c r="F5159" t="s">
        <v>68</v>
      </c>
      <c r="G5159">
        <v>-296.08479999999997</v>
      </c>
      <c r="H5159">
        <v>7.9437610000000006E-2</v>
      </c>
      <c r="I5159">
        <v>-70.413159999999905</v>
      </c>
      <c r="J5159">
        <v>-303.76220000000001</v>
      </c>
      <c r="K5159">
        <v>1.1225449999999999</v>
      </c>
      <c r="L5159">
        <v>-33.670140000000004</v>
      </c>
      <c r="M5159">
        <v>6.3864370000000004E-2</v>
      </c>
      <c r="N5159">
        <v>-1.354639E-2</v>
      </c>
      <c r="O5159">
        <v>-0.99786660000000005</v>
      </c>
      <c r="P5159">
        <v>1.428457E-2</v>
      </c>
      <c r="Q5159">
        <v>0.17192360000000001</v>
      </c>
      <c r="R5159">
        <v>-0.98500690000000002</v>
      </c>
      <c r="S5159">
        <v>0.63317869999999998</v>
      </c>
      <c r="T5159">
        <v>-8.5669880000000004E-2</v>
      </c>
      <c r="U5159">
        <v>-3.0564580000000001</v>
      </c>
      <c r="V5159">
        <v>4.8072230000000001E-2</v>
      </c>
      <c r="W5159">
        <v>0.18538879999999999</v>
      </c>
      <c r="X5159">
        <v>0.98148869999999999</v>
      </c>
      <c r="Y5159">
        <v>-0.13983899999999999</v>
      </c>
      <c r="Z5159">
        <v>1.404787E-2</v>
      </c>
      <c r="AA5159">
        <v>0.99007460000000003</v>
      </c>
      <c r="AB5159">
        <v>29</v>
      </c>
      <c r="AC5159">
        <v>7.6774000000000298</v>
      </c>
      <c r="AD5159">
        <v>-1.0431073900000001</v>
      </c>
      <c r="AE5159">
        <v>-36.743019999999902</v>
      </c>
      <c r="AF5159">
        <v>-5.3108379048510397</v>
      </c>
      <c r="AG5159">
        <v>-1.0431073900000001</v>
      </c>
      <c r="AH5159">
        <v>37.129683035626996</v>
      </c>
      <c r="AI5159">
        <v>91.593018109533404</v>
      </c>
      <c r="AJ5159">
        <v>98.140079220652893</v>
      </c>
      <c r="AK5159">
        <v>37.522079294793897</v>
      </c>
      <c r="AL5159">
        <v>79.316198956702706</v>
      </c>
      <c r="AM5159">
        <v>87.195956950496296</v>
      </c>
      <c r="AN5159">
        <v>1.00000000734515</v>
      </c>
    </row>
    <row r="5160" spans="1:40" x14ac:dyDescent="0.25">
      <c r="A5160" t="str">
        <f>"20190303171118364"</f>
        <v>20190303171118364</v>
      </c>
      <c r="B5160" t="str">
        <f>"1551604278356088"</f>
        <v>1551604278356088</v>
      </c>
      <c r="C5160" t="s">
        <v>40</v>
      </c>
      <c r="D5160">
        <v>5.5289010000000003</v>
      </c>
      <c r="E5160">
        <v>0.51823929999999996</v>
      </c>
      <c r="F5160" t="s">
        <v>68</v>
      </c>
      <c r="G5160">
        <v>-300.05369999999999</v>
      </c>
      <c r="H5160" s="1">
        <v>-7.7871590000000001E-6</v>
      </c>
      <c r="I5160">
        <v>-55.434869999999997</v>
      </c>
      <c r="J5160">
        <v>-303.73669999999998</v>
      </c>
      <c r="K5160">
        <v>1.1225270000000001</v>
      </c>
      <c r="L5160">
        <v>-34.030610000000003</v>
      </c>
      <c r="M5160">
        <v>6.5953609999999996E-2</v>
      </c>
      <c r="N5160">
        <v>-1.3530230000000001E-2</v>
      </c>
      <c r="O5160">
        <v>-0.99773109999999998</v>
      </c>
      <c r="P5160">
        <v>1.7039149999999999E-2</v>
      </c>
      <c r="Q5160">
        <v>0.1724115</v>
      </c>
      <c r="R5160">
        <v>-0.98487809999999998</v>
      </c>
      <c r="S5160">
        <v>0.52236939999999998</v>
      </c>
      <c r="T5160">
        <v>-0.158118799999999</v>
      </c>
      <c r="U5160">
        <v>-3.0657040000000002</v>
      </c>
      <c r="V5160">
        <v>4.7378839999999998E-2</v>
      </c>
      <c r="W5160">
        <v>0.18585679999999999</v>
      </c>
      <c r="X5160">
        <v>0.98143389999999997</v>
      </c>
      <c r="Y5160">
        <v>-0.1024202</v>
      </c>
      <c r="Z5160">
        <v>3.7397739999999999E-2</v>
      </c>
      <c r="AA5160">
        <v>0.99403799999999998</v>
      </c>
      <c r="AB5160">
        <v>29</v>
      </c>
      <c r="AC5160">
        <v>3.6829999999999901</v>
      </c>
      <c r="AD5160">
        <v>-1.1225347871589999</v>
      </c>
      <c r="AE5160">
        <v>-21.404260000000001</v>
      </c>
      <c r="AF5160">
        <v>-2.25713271229748</v>
      </c>
      <c r="AG5160">
        <v>-1.1225347871589999</v>
      </c>
      <c r="AH5160">
        <v>21.543028589847101</v>
      </c>
      <c r="AI5160">
        <v>92.966583804760305</v>
      </c>
      <c r="AJ5160">
        <v>95.981241428472998</v>
      </c>
      <c r="AK5160">
        <v>21.690016441954899</v>
      </c>
      <c r="AL5160">
        <v>79.288910229626694</v>
      </c>
      <c r="AM5160">
        <v>87.236185006562707</v>
      </c>
      <c r="AN5160">
        <v>1.0000000023275899</v>
      </c>
    </row>
    <row r="5161" spans="1:40" x14ac:dyDescent="0.25">
      <c r="A5161" t="str">
        <f>"20190303171118387"</f>
        <v>20190303171118387</v>
      </c>
      <c r="B5161" t="str">
        <f>"1551604278375608"</f>
        <v>1551604278375608</v>
      </c>
      <c r="C5161" t="s">
        <v>40</v>
      </c>
      <c r="D5161">
        <v>5.4662480000000002</v>
      </c>
      <c r="E5161">
        <v>0.52821569999999995</v>
      </c>
      <c r="F5161" t="s">
        <v>43</v>
      </c>
      <c r="G5161">
        <v>-303.74430000000001</v>
      </c>
      <c r="H5161">
        <v>0.97861920000000002</v>
      </c>
      <c r="I5161">
        <v>-34.876539999999999</v>
      </c>
      <c r="J5161">
        <v>-303.7158</v>
      </c>
      <c r="K5161">
        <v>1.122512</v>
      </c>
      <c r="L5161">
        <v>-34.317079999999997</v>
      </c>
      <c r="M5161">
        <v>6.7621230000000004E-2</v>
      </c>
      <c r="N5161">
        <v>-1.351056E-2</v>
      </c>
      <c r="O5161">
        <v>-0.99761979999999995</v>
      </c>
      <c r="P5161">
        <v>1.8737150000000001E-2</v>
      </c>
      <c r="Q5161">
        <v>0.17344860000000001</v>
      </c>
      <c r="R5161">
        <v>-0.98466489999999995</v>
      </c>
      <c r="S5161">
        <v>-2.8259280000000001E-2</v>
      </c>
      <c r="T5161">
        <v>-0.53419110000000003</v>
      </c>
      <c r="U5161">
        <v>-3.1400760000000001</v>
      </c>
      <c r="V5161">
        <v>4.7313439999999998E-2</v>
      </c>
      <c r="W5161">
        <v>0.1868716</v>
      </c>
      <c r="X5161">
        <v>0.98124429999999996</v>
      </c>
      <c r="Y5161">
        <v>7.6400419999999997E-2</v>
      </c>
      <c r="Z5161">
        <v>0.15355050000000001</v>
      </c>
      <c r="AA5161">
        <v>0.98518280000000003</v>
      </c>
      <c r="AB5161">
        <v>29</v>
      </c>
      <c r="AC5161">
        <v>-2.8500000000008099E-2</v>
      </c>
      <c r="AD5161">
        <v>-0.14389279999999999</v>
      </c>
      <c r="AE5161">
        <v>-0.55946000000000795</v>
      </c>
      <c r="AF5161">
        <v>6.2167724965955101E-2</v>
      </c>
      <c r="AG5161">
        <v>-0.14389279999999999</v>
      </c>
      <c r="AH5161">
        <v>0.52182184180595503</v>
      </c>
      <c r="AI5161">
        <v>105.313083070632</v>
      </c>
      <c r="AJ5161">
        <v>83.206036930401197</v>
      </c>
      <c r="AK5161">
        <v>0.54485594289228501</v>
      </c>
      <c r="AL5161">
        <v>79.229729277932094</v>
      </c>
      <c r="AM5161">
        <v>87.239461696852004</v>
      </c>
      <c r="AN5161">
        <v>0.99999996638684097</v>
      </c>
    </row>
    <row r="5162" spans="1:40" x14ac:dyDescent="0.25">
      <c r="A5162" t="str">
        <f>"20190303171118410"</f>
        <v>20190303171118410</v>
      </c>
      <c r="B5162" t="str">
        <f>"1551604278396104"</f>
        <v>1551604278396104</v>
      </c>
      <c r="C5162" t="s">
        <v>40</v>
      </c>
      <c r="D5162">
        <v>5.4212870000000004</v>
      </c>
      <c r="E5162">
        <v>0.53213699999999997</v>
      </c>
      <c r="F5162" t="s">
        <v>43</v>
      </c>
      <c r="G5162">
        <v>-303.7414</v>
      </c>
      <c r="H5162">
        <v>0.97331679999999998</v>
      </c>
      <c r="I5162">
        <v>-35.129519999999999</v>
      </c>
      <c r="J5162">
        <v>-303.69450000000001</v>
      </c>
      <c r="K5162">
        <v>1.1225069999999999</v>
      </c>
      <c r="L5162">
        <v>-34.604430000000001</v>
      </c>
      <c r="M5162">
        <v>6.9304270000000001E-2</v>
      </c>
      <c r="N5162">
        <v>-1.3478810000000001E-2</v>
      </c>
      <c r="O5162">
        <v>-0.99750479999999997</v>
      </c>
      <c r="P5162">
        <v>2.0733419999999999E-2</v>
      </c>
      <c r="Q5162">
        <v>0.17294970000000001</v>
      </c>
      <c r="R5162">
        <v>-0.98471260000000005</v>
      </c>
      <c r="S5162">
        <v>-9.8571779999999998E-2</v>
      </c>
      <c r="T5162">
        <v>-0.57859589999999905</v>
      </c>
      <c r="U5162">
        <v>-3.1505130000000001</v>
      </c>
      <c r="V5162">
        <v>4.6987180000000003E-2</v>
      </c>
      <c r="W5162">
        <v>0.18634129999999999</v>
      </c>
      <c r="X5162">
        <v>0.98136089999999998</v>
      </c>
      <c r="Y5162">
        <v>9.9902370000000004E-2</v>
      </c>
      <c r="Z5162">
        <v>0.16619879999999901</v>
      </c>
      <c r="AA5162">
        <v>0.98101859999999996</v>
      </c>
      <c r="AB5162">
        <v>29</v>
      </c>
      <c r="AC5162">
        <v>-4.6899999999993697E-2</v>
      </c>
      <c r="AD5162">
        <v>-0.149190199999999</v>
      </c>
      <c r="AE5162">
        <v>-0.52508999999999795</v>
      </c>
      <c r="AF5162">
        <v>7.7013689000073396E-2</v>
      </c>
      <c r="AG5162">
        <v>-0.149190199999999</v>
      </c>
      <c r="AH5162">
        <v>0.48197649883025501</v>
      </c>
      <c r="AI5162">
        <v>106.996341549246</v>
      </c>
      <c r="AJ5162">
        <v>80.921610079493107</v>
      </c>
      <c r="AK5162">
        <v>0.51038237576753298</v>
      </c>
      <c r="AL5162">
        <v>79.260657336214393</v>
      </c>
      <c r="AM5162">
        <v>87.258793677039606</v>
      </c>
      <c r="AN5162">
        <v>1.00000004560942</v>
      </c>
    </row>
    <row r="5163" spans="1:40" x14ac:dyDescent="0.25">
      <c r="A5163" t="str">
        <f>"20190303171118436"</f>
        <v>20190303171118436</v>
      </c>
      <c r="B5163" t="str">
        <f>"1551604278426360"</f>
        <v>1551604278426360</v>
      </c>
      <c r="C5163" t="s">
        <v>40</v>
      </c>
      <c r="D5163">
        <v>5.4325429999999999</v>
      </c>
      <c r="E5163">
        <v>0.53517169999999903</v>
      </c>
      <c r="F5163" t="s">
        <v>43</v>
      </c>
      <c r="G5163">
        <v>-303.72449999999998</v>
      </c>
      <c r="H5163">
        <v>0.97278209999999998</v>
      </c>
      <c r="I5163">
        <v>-35.383740000000003</v>
      </c>
      <c r="J5163">
        <v>-303.6696</v>
      </c>
      <c r="K5163">
        <v>1.1224909999999999</v>
      </c>
      <c r="L5163">
        <v>-34.931640000000002</v>
      </c>
      <c r="M5163">
        <v>7.1229650000000005E-2</v>
      </c>
      <c r="N5163">
        <v>-1.343311E-2</v>
      </c>
      <c r="O5163">
        <v>-0.99736979999999997</v>
      </c>
      <c r="P5163">
        <v>2.2978189999999999E-2</v>
      </c>
      <c r="Q5163">
        <v>0.17155519999999999</v>
      </c>
      <c r="R5163">
        <v>-0.98490690000000003</v>
      </c>
      <c r="S5163">
        <v>-0.121337899999999</v>
      </c>
      <c r="T5163">
        <v>-0.6062727</v>
      </c>
      <c r="U5163">
        <v>-3.1556090000000001</v>
      </c>
      <c r="V5163">
        <v>4.6665440000000002E-2</v>
      </c>
      <c r="W5163">
        <v>0.18490470000000001</v>
      </c>
      <c r="X5163">
        <v>0.98164790000000002</v>
      </c>
      <c r="Y5163">
        <v>0.1087669</v>
      </c>
      <c r="Z5163">
        <v>0.1741046</v>
      </c>
      <c r="AA5163">
        <v>0.97870190000000001</v>
      </c>
      <c r="AB5163">
        <v>29</v>
      </c>
      <c r="AC5163">
        <v>-5.4899999999974997E-2</v>
      </c>
      <c r="AD5163">
        <v>-0.14970889999999901</v>
      </c>
      <c r="AE5163">
        <v>-0.452100000000001</v>
      </c>
      <c r="AF5163">
        <v>7.8485163461471802E-2</v>
      </c>
      <c r="AG5163">
        <v>-0.14970889999999901</v>
      </c>
      <c r="AH5163">
        <v>0.40344402204301399</v>
      </c>
      <c r="AI5163">
        <v>110.014090438238</v>
      </c>
      <c r="AJ5163">
        <v>78.9912982479389</v>
      </c>
      <c r="AK5163">
        <v>0.43742399859293002</v>
      </c>
      <c r="AL5163">
        <v>79.344423806547098</v>
      </c>
      <c r="AM5163">
        <v>87.278330233274303</v>
      </c>
      <c r="AN5163">
        <v>1.0000000054734399</v>
      </c>
    </row>
    <row r="5164" spans="1:40" x14ac:dyDescent="0.25">
      <c r="A5164" t="str">
        <f>"20190303171118472"</f>
        <v>20190303171118472</v>
      </c>
      <c r="B5164" t="str">
        <f>"1551604278466376"</f>
        <v>1551604278466376</v>
      </c>
      <c r="C5164" t="s">
        <v>40</v>
      </c>
      <c r="D5164">
        <v>5.4300550000000003</v>
      </c>
      <c r="E5164">
        <v>0.53707469999999902</v>
      </c>
      <c r="F5164" t="s">
        <v>43</v>
      </c>
      <c r="G5164">
        <v>-303.70100000000002</v>
      </c>
      <c r="H5164">
        <v>0.98193779999999997</v>
      </c>
      <c r="I5164">
        <v>-35.642099999999999</v>
      </c>
      <c r="J5164">
        <v>-303.63409999999999</v>
      </c>
      <c r="K5164">
        <v>1.1224749999999999</v>
      </c>
      <c r="L5164">
        <v>-35.383789999999998</v>
      </c>
      <c r="M5164">
        <v>7.3902159999999995E-2</v>
      </c>
      <c r="N5164">
        <v>-1.336144E-2</v>
      </c>
      <c r="O5164">
        <v>-0.99717599999999995</v>
      </c>
      <c r="P5164">
        <v>2.6333019999999999E-2</v>
      </c>
      <c r="Q5164">
        <v>0.17182220000000001</v>
      </c>
      <c r="R5164">
        <v>-0.98477610000000004</v>
      </c>
      <c r="S5164">
        <v>-0.13925170000000001</v>
      </c>
      <c r="T5164">
        <v>-0.62485109999999999</v>
      </c>
      <c r="U5164">
        <v>-3.1580810000000001</v>
      </c>
      <c r="V5164">
        <v>4.5946389999999997E-2</v>
      </c>
      <c r="W5164">
        <v>0.18509919999999999</v>
      </c>
      <c r="X5164">
        <v>0.9816452</v>
      </c>
      <c r="Y5164">
        <v>0.116881399999999</v>
      </c>
      <c r="Z5164">
        <v>0.179399799999999</v>
      </c>
      <c r="AA5164">
        <v>0.97680829999999996</v>
      </c>
      <c r="AB5164">
        <v>29</v>
      </c>
      <c r="AC5164">
        <v>-6.6899999999975507E-2</v>
      </c>
      <c r="AD5164">
        <v>-0.140537199999999</v>
      </c>
      <c r="AE5164">
        <v>-0.25830999999999399</v>
      </c>
      <c r="AF5164">
        <v>6.7174321294161898E-2</v>
      </c>
      <c r="AG5164">
        <v>-0.140537199999999</v>
      </c>
      <c r="AH5164">
        <v>0.19779181019445799</v>
      </c>
      <c r="AI5164">
        <v>123.932229254053</v>
      </c>
      <c r="AJ5164">
        <v>71.241416076398707</v>
      </c>
      <c r="AK5164">
        <v>0.25176317086732802</v>
      </c>
      <c r="AL5164">
        <v>79.333084422321704</v>
      </c>
      <c r="AM5164">
        <v>87.320198436418394</v>
      </c>
      <c r="AN5164">
        <v>1.0000000416388499</v>
      </c>
    </row>
    <row r="5165" spans="1:40" x14ac:dyDescent="0.25">
      <c r="A5165" t="str">
        <f>"20190303171118502"</f>
        <v>20190303171118502</v>
      </c>
      <c r="B5165" t="str">
        <f>"1551604278495655"</f>
        <v>1551604278495655</v>
      </c>
      <c r="C5165" t="s">
        <v>40</v>
      </c>
      <c r="D5165">
        <v>5.439514</v>
      </c>
      <c r="E5165">
        <v>0.53821140000000001</v>
      </c>
      <c r="F5165" t="s">
        <v>43</v>
      </c>
      <c r="G5165">
        <v>-303.66789999999997</v>
      </c>
      <c r="H5165">
        <v>0.97013179999999999</v>
      </c>
      <c r="I5165">
        <v>-36.144649999999999</v>
      </c>
      <c r="J5165">
        <v>-303.60300000000001</v>
      </c>
      <c r="K5165">
        <v>1.1224529999999999</v>
      </c>
      <c r="L5165">
        <v>-35.767029999999998</v>
      </c>
      <c r="M5165">
        <v>7.6173569999999996E-2</v>
      </c>
      <c r="N5165">
        <v>-1.328756E-2</v>
      </c>
      <c r="O5165">
        <v>-0.99700639999999996</v>
      </c>
      <c r="P5165">
        <v>2.8929489999999999E-2</v>
      </c>
      <c r="Q5165">
        <v>0.172366299999999</v>
      </c>
      <c r="R5165">
        <v>-0.9846085</v>
      </c>
      <c r="S5165">
        <v>-0.13986209999999999</v>
      </c>
      <c r="T5165">
        <v>-0.63285780000000003</v>
      </c>
      <c r="U5165">
        <v>-3.1605530000000002</v>
      </c>
      <c r="V5165">
        <v>4.5584699999999999E-2</v>
      </c>
      <c r="W5165">
        <v>0.1855687</v>
      </c>
      <c r="X5165">
        <v>0.98157340000000004</v>
      </c>
      <c r="Y5165">
        <v>0.1192748</v>
      </c>
      <c r="Z5165">
        <v>0.18162510000000001</v>
      </c>
      <c r="AA5165">
        <v>0.97610750000000002</v>
      </c>
      <c r="AB5165">
        <v>29</v>
      </c>
      <c r="AC5165">
        <v>-6.4899999999965902E-2</v>
      </c>
      <c r="AD5165">
        <v>-0.15232119999999999</v>
      </c>
      <c r="AE5165">
        <v>-0.37762000000000001</v>
      </c>
      <c r="AF5165">
        <v>8.0721354010806906E-2</v>
      </c>
      <c r="AG5165">
        <v>-0.15232119999999999</v>
      </c>
      <c r="AH5165">
        <v>0.32086836332704699</v>
      </c>
      <c r="AI5165">
        <v>114.71997149927</v>
      </c>
      <c r="AJ5165">
        <v>75.879040974694504</v>
      </c>
      <c r="AK5165">
        <v>0.36424468636749702</v>
      </c>
      <c r="AL5165">
        <v>79.305709608892499</v>
      </c>
      <c r="AM5165">
        <v>87.341069243583703</v>
      </c>
      <c r="AN5165">
        <v>1.0000000234406601</v>
      </c>
    </row>
    <row r="5166" spans="1:40" x14ac:dyDescent="0.25">
      <c r="A5166" t="str">
        <f>"20190303171118523"</f>
        <v>20190303171118523</v>
      </c>
      <c r="B5166" t="str">
        <f>"1551604278516152"</f>
        <v>1551604278516152</v>
      </c>
      <c r="C5166" t="s">
        <v>40</v>
      </c>
      <c r="D5166">
        <v>5.453862</v>
      </c>
      <c r="E5166">
        <v>0.53904819999999998</v>
      </c>
      <c r="F5166" t="s">
        <v>43</v>
      </c>
      <c r="G5166">
        <v>-303.64139999999998</v>
      </c>
      <c r="H5166">
        <v>0.94668419999999998</v>
      </c>
      <c r="I5166">
        <v>-36.642040000000001</v>
      </c>
      <c r="J5166">
        <v>-303.5795</v>
      </c>
      <c r="K5166">
        <v>1.1224400000000001</v>
      </c>
      <c r="L5166">
        <v>-36.050229999999999</v>
      </c>
      <c r="M5166">
        <v>7.7853809999999996E-2</v>
      </c>
      <c r="N5166">
        <v>-1.3225399999999899E-2</v>
      </c>
      <c r="O5166">
        <v>-0.99687729999999997</v>
      </c>
      <c r="P5166">
        <v>3.2359840000000001E-2</v>
      </c>
      <c r="Q5166">
        <v>0.171519899999999</v>
      </c>
      <c r="R5166">
        <v>-0.98464949999999996</v>
      </c>
      <c r="S5166">
        <v>-0.1380615</v>
      </c>
      <c r="T5166">
        <v>-0.63526890000000003</v>
      </c>
      <c r="U5166">
        <v>-3.1621700000000001</v>
      </c>
      <c r="V5166">
        <v>4.3829050000000001E-2</v>
      </c>
      <c r="W5166">
        <v>0.18465819999999999</v>
      </c>
      <c r="X5166">
        <v>0.98182499999999995</v>
      </c>
      <c r="Y5166">
        <v>0.1203644</v>
      </c>
      <c r="Z5166">
        <v>0.1822561</v>
      </c>
      <c r="AA5166">
        <v>0.9758561</v>
      </c>
      <c r="AB5166">
        <v>29</v>
      </c>
      <c r="AC5166">
        <v>-6.1899999999979999E-2</v>
      </c>
      <c r="AD5166">
        <v>-0.17575579999999999</v>
      </c>
      <c r="AE5166">
        <v>-0.59181000000000195</v>
      </c>
      <c r="AF5166">
        <v>9.9141401000804694E-2</v>
      </c>
      <c r="AG5166">
        <v>-0.17575579999999999</v>
      </c>
      <c r="AH5166">
        <v>0.53823660219311398</v>
      </c>
      <c r="AI5166">
        <v>107.80377901030199</v>
      </c>
      <c r="AJ5166">
        <v>79.563291349643407</v>
      </c>
      <c r="AK5166">
        <v>0.57481976180923899</v>
      </c>
      <c r="AL5166">
        <v>79.358794451806006</v>
      </c>
      <c r="AM5166">
        <v>87.443991050249295</v>
      </c>
      <c r="AN5166">
        <v>0.99999998353807096</v>
      </c>
    </row>
    <row r="5167" spans="1:40" x14ac:dyDescent="0.25">
      <c r="A5167" t="str">
        <f>"20190303171118546"</f>
        <v>20190303171118546</v>
      </c>
      <c r="B5167" t="str">
        <f>"1551604278535672"</f>
        <v>1551604278535672</v>
      </c>
      <c r="C5167" t="s">
        <v>40</v>
      </c>
      <c r="D5167">
        <v>5.4220009999999998</v>
      </c>
      <c r="E5167">
        <v>0.53939380000000003</v>
      </c>
      <c r="F5167" t="s">
        <v>43</v>
      </c>
      <c r="G5167">
        <v>-303.61559999999997</v>
      </c>
      <c r="H5167">
        <v>0.95110729999999999</v>
      </c>
      <c r="I5167">
        <v>-36.897219999999997</v>
      </c>
      <c r="J5167">
        <v>-303.55529999999999</v>
      </c>
      <c r="K5167">
        <v>1.1224259999999999</v>
      </c>
      <c r="L5167">
        <v>-36.336179999999999</v>
      </c>
      <c r="M5167">
        <v>7.9550280000000001E-2</v>
      </c>
      <c r="N5167">
        <v>-1.3158629999999999E-2</v>
      </c>
      <c r="O5167">
        <v>-0.99674399999999996</v>
      </c>
      <c r="P5167">
        <v>3.5849720000000002E-2</v>
      </c>
      <c r="Q5167">
        <v>0.17060220000000001</v>
      </c>
      <c r="R5167">
        <v>-0.9846876</v>
      </c>
      <c r="S5167">
        <v>-0.13485720000000001</v>
      </c>
      <c r="T5167">
        <v>-0.63974140000000002</v>
      </c>
      <c r="U5167">
        <v>-3.1626280000000002</v>
      </c>
      <c r="V5167">
        <v>4.2031150000000003E-2</v>
      </c>
      <c r="W5167">
        <v>0.18367310000000001</v>
      </c>
      <c r="X5167">
        <v>0.98208839999999997</v>
      </c>
      <c r="Y5167">
        <v>0.1210487</v>
      </c>
      <c r="Z5167">
        <v>0.18357509999999999</v>
      </c>
      <c r="AA5167">
        <v>0.97552419999999995</v>
      </c>
      <c r="AB5167">
        <v>29</v>
      </c>
      <c r="AC5167">
        <v>-6.0299999999983797E-2</v>
      </c>
      <c r="AD5167">
        <v>-0.17131869999999899</v>
      </c>
      <c r="AE5167">
        <v>-0.56104000000000498</v>
      </c>
      <c r="AF5167">
        <v>9.5903312828601303E-2</v>
      </c>
      <c r="AG5167">
        <v>-0.17131869999999899</v>
      </c>
      <c r="AH5167">
        <v>0.50766786687069498</v>
      </c>
      <c r="AI5167">
        <v>108.34537703612899</v>
      </c>
      <c r="AJ5167">
        <v>79.302345759964197</v>
      </c>
      <c r="AK5167">
        <v>0.54431076182106897</v>
      </c>
      <c r="AL5167">
        <v>79.416219205259395</v>
      </c>
      <c r="AM5167">
        <v>87.549366442471097</v>
      </c>
      <c r="AN5167">
        <v>1.00000002532424</v>
      </c>
    </row>
    <row r="5168" spans="1:40" x14ac:dyDescent="0.25">
      <c r="A5168" t="str">
        <f>"20190303171118568"</f>
        <v>20190303171118568</v>
      </c>
      <c r="B5168" t="str">
        <f>"1551604278556168"</f>
        <v>1551604278556168</v>
      </c>
      <c r="C5168" t="s">
        <v>40</v>
      </c>
      <c r="D5168">
        <v>5.4256469999999997</v>
      </c>
      <c r="E5168">
        <v>0.55175169999999996</v>
      </c>
      <c r="F5168" t="s">
        <v>43</v>
      </c>
      <c r="G5168">
        <v>-303.58870000000002</v>
      </c>
      <c r="H5168">
        <v>0.95642890000000003</v>
      </c>
      <c r="I5168">
        <v>-37.152670000000001</v>
      </c>
      <c r="J5168">
        <v>-303.53100000000001</v>
      </c>
      <c r="K5168">
        <v>1.1224209999999999</v>
      </c>
      <c r="L5168">
        <v>-36.616909999999997</v>
      </c>
      <c r="M5168">
        <v>8.1217730000000002E-2</v>
      </c>
      <c r="N5168">
        <v>-1.308175E-2</v>
      </c>
      <c r="O5168">
        <v>-0.99661060000000001</v>
      </c>
      <c r="P5168">
        <v>3.8841670000000002E-2</v>
      </c>
      <c r="Q5168">
        <v>0.1714108</v>
      </c>
      <c r="R5168">
        <v>-0.98443380000000003</v>
      </c>
      <c r="S5168">
        <v>-0.12884519999999999</v>
      </c>
      <c r="T5168">
        <v>-0.64309609999999995</v>
      </c>
      <c r="U5168">
        <v>-3.1627809999999998</v>
      </c>
      <c r="V5168">
        <v>4.0673099999999997E-2</v>
      </c>
      <c r="W5168">
        <v>0.18440049999999999</v>
      </c>
      <c r="X5168">
        <v>0.98200920000000003</v>
      </c>
      <c r="Y5168">
        <v>0.12084839999999999</v>
      </c>
      <c r="Z5168">
        <v>0.18460460000000001</v>
      </c>
      <c r="AA5168">
        <v>0.97535470000000002</v>
      </c>
      <c r="AB5168">
        <v>29</v>
      </c>
      <c r="AC5168">
        <v>-5.7700000000011097E-2</v>
      </c>
      <c r="AD5168">
        <v>-0.165992099999999</v>
      </c>
      <c r="AE5168">
        <v>-0.53576000000000301</v>
      </c>
      <c r="AF5168">
        <v>9.2270610499946601E-2</v>
      </c>
      <c r="AG5168">
        <v>-0.165992099999999</v>
      </c>
      <c r="AH5168">
        <v>0.48342984448228099</v>
      </c>
      <c r="AI5168">
        <v>108.63795710652199</v>
      </c>
      <c r="AJ5168">
        <v>79.194118046857994</v>
      </c>
      <c r="AK5168">
        <v>0.51939547298817001</v>
      </c>
      <c r="AL5168">
        <v>79.373817282974002</v>
      </c>
      <c r="AM5168">
        <v>87.628264823462501</v>
      </c>
      <c r="AN5168">
        <v>0.99999995717424905</v>
      </c>
    </row>
    <row r="5169" spans="1:40" x14ac:dyDescent="0.25">
      <c r="A5169" t="str">
        <f>"20190303171118592"</f>
        <v>20190303171118592</v>
      </c>
      <c r="B5169" t="str">
        <f>"1551604278586423"</f>
        <v>1551604278586423</v>
      </c>
      <c r="C5169" t="s">
        <v>40</v>
      </c>
      <c r="D5169">
        <v>5.4092739999999999</v>
      </c>
      <c r="E5169">
        <v>0.55099709999999902</v>
      </c>
      <c r="F5169" t="s">
        <v>43</v>
      </c>
      <c r="G5169">
        <v>-303.58449999999999</v>
      </c>
      <c r="H5169">
        <v>0.95160579999999995</v>
      </c>
      <c r="I5169">
        <v>-37.405679999999997</v>
      </c>
      <c r="J5169">
        <v>-303.50560000000002</v>
      </c>
      <c r="K5169">
        <v>1.122414</v>
      </c>
      <c r="L5169">
        <v>-36.904789999999998</v>
      </c>
      <c r="M5169">
        <v>8.2927909999999994E-2</v>
      </c>
      <c r="N5169">
        <v>-1.2993940000000001E-2</v>
      </c>
      <c r="O5169">
        <v>-0.996471</v>
      </c>
      <c r="P5169">
        <v>4.0861939999999999E-2</v>
      </c>
      <c r="Q5169">
        <v>0.17375489999999999</v>
      </c>
      <c r="R5169">
        <v>-0.98394110000000001</v>
      </c>
      <c r="S5169">
        <v>-0.21505740000000001</v>
      </c>
      <c r="T5169">
        <v>-0.68778980000000001</v>
      </c>
      <c r="U5169">
        <v>-3.1756899999999999</v>
      </c>
      <c r="V5169">
        <v>4.0301190000000001E-2</v>
      </c>
      <c r="W5169">
        <v>0.18665190000000001</v>
      </c>
      <c r="X5169">
        <v>0.98159920000000001</v>
      </c>
      <c r="Y5169">
        <v>0.1485254</v>
      </c>
      <c r="Z5169">
        <v>0.19642419999999999</v>
      </c>
      <c r="AA5169">
        <v>0.96920470000000003</v>
      </c>
      <c r="AB5169">
        <v>28</v>
      </c>
      <c r="AC5169">
        <v>-7.8899999999975906E-2</v>
      </c>
      <c r="AD5169">
        <v>-0.17080819999999899</v>
      </c>
      <c r="AE5169">
        <v>-0.50088999999999095</v>
      </c>
      <c r="AF5169">
        <v>0.10792319766273401</v>
      </c>
      <c r="AG5169">
        <v>-0.17080819999999899</v>
      </c>
      <c r="AH5169">
        <v>0.44241875726751401</v>
      </c>
      <c r="AI5169">
        <v>110.56004270384</v>
      </c>
      <c r="AJ5169">
        <v>76.291060810831496</v>
      </c>
      <c r="AK5169">
        <v>0.48637147794984997</v>
      </c>
      <c r="AL5169">
        <v>79.2425435576734</v>
      </c>
      <c r="AM5169">
        <v>87.648946770693698</v>
      </c>
      <c r="AN5169">
        <v>1.0000000535648299</v>
      </c>
    </row>
    <row r="5170" spans="1:40" x14ac:dyDescent="0.25">
      <c r="A5170" t="str">
        <f>"20190303171118615"</f>
        <v>20190303171118615</v>
      </c>
      <c r="B5170" t="str">
        <f>"1551604278605944"</f>
        <v>1551604278605944</v>
      </c>
      <c r="C5170" t="s">
        <v>40</v>
      </c>
      <c r="D5170">
        <v>5.3672259999999996</v>
      </c>
      <c r="E5170">
        <v>0.55089549999999998</v>
      </c>
      <c r="F5170" t="s">
        <v>43</v>
      </c>
      <c r="G5170">
        <v>-303.55399999999997</v>
      </c>
      <c r="H5170">
        <v>0.96006820000000004</v>
      </c>
      <c r="I5170">
        <v>-37.662199999999999</v>
      </c>
      <c r="J5170">
        <v>-303.4785</v>
      </c>
      <c r="K5170">
        <v>1.122412</v>
      </c>
      <c r="L5170">
        <v>-37.206600000000002</v>
      </c>
      <c r="M5170">
        <v>8.4721039999999997E-2</v>
      </c>
      <c r="N5170">
        <v>-1.2899300000000001E-2</v>
      </c>
      <c r="O5170">
        <v>-0.99632140000000002</v>
      </c>
      <c r="P5170">
        <v>4.3230600000000001E-2</v>
      </c>
      <c r="Q5170">
        <v>0.17533180000000001</v>
      </c>
      <c r="R5170">
        <v>-0.98356010000000005</v>
      </c>
      <c r="S5170">
        <v>-0.202179</v>
      </c>
      <c r="T5170">
        <v>-0.68117989999999995</v>
      </c>
      <c r="U5170">
        <v>-3.1776430000000002</v>
      </c>
      <c r="V5170">
        <v>3.9675050000000003E-2</v>
      </c>
      <c r="W5170">
        <v>0.1881302</v>
      </c>
      <c r="X5170">
        <v>0.98134239999999995</v>
      </c>
      <c r="Y5170">
        <v>0.14638470000000001</v>
      </c>
      <c r="Z5170">
        <v>0.19448270000000001</v>
      </c>
      <c r="AA5170">
        <v>0.96992160000000005</v>
      </c>
      <c r="AB5170">
        <v>28</v>
      </c>
      <c r="AC5170">
        <v>-7.5500000000033596E-2</v>
      </c>
      <c r="AD5170">
        <v>-0.16234380000000001</v>
      </c>
      <c r="AE5170">
        <v>-0.45559999999999601</v>
      </c>
      <c r="AF5170">
        <v>0.101310902482738</v>
      </c>
      <c r="AG5170">
        <v>-0.16234380000000001</v>
      </c>
      <c r="AH5170">
        <v>0.398339109986944</v>
      </c>
      <c r="AI5170">
        <v>111.55289332492499</v>
      </c>
      <c r="AJ5170">
        <v>75.730320442499604</v>
      </c>
      <c r="AK5170">
        <v>0.44192019065154398</v>
      </c>
      <c r="AL5170">
        <v>79.156315055352806</v>
      </c>
      <c r="AM5170">
        <v>87.684828880693004</v>
      </c>
      <c r="AN5170">
        <v>0.99999999389115102</v>
      </c>
    </row>
    <row r="5171" spans="1:40" x14ac:dyDescent="0.25">
      <c r="A5171" t="str">
        <f>"20190303171118644"</f>
        <v>20190303171118644</v>
      </c>
      <c r="B5171" t="str">
        <f>"1551604278636200"</f>
        <v>1551604278636200</v>
      </c>
      <c r="C5171" t="s">
        <v>40</v>
      </c>
      <c r="D5171">
        <v>5.3372539999999997</v>
      </c>
      <c r="E5171">
        <v>0.55085779999999995</v>
      </c>
      <c r="F5171" t="s">
        <v>43</v>
      </c>
      <c r="G5171">
        <v>-303.52210000000002</v>
      </c>
      <c r="H5171">
        <v>0.97112200000000004</v>
      </c>
      <c r="I5171">
        <v>-37.919879999999999</v>
      </c>
      <c r="J5171">
        <v>-303.44600000000003</v>
      </c>
      <c r="K5171">
        <v>1.122411</v>
      </c>
      <c r="L5171">
        <v>-37.560270000000003</v>
      </c>
      <c r="M5171">
        <v>8.6823830000000005E-2</v>
      </c>
      <c r="N5171">
        <v>-1.277827E-2</v>
      </c>
      <c r="O5171">
        <v>-0.99614190000000002</v>
      </c>
      <c r="P5171">
        <v>4.5899460000000003E-2</v>
      </c>
      <c r="Q5171">
        <v>0.1761885</v>
      </c>
      <c r="R5171">
        <v>-0.98328599999999999</v>
      </c>
      <c r="S5171">
        <v>-0.19381709999999999</v>
      </c>
      <c r="T5171">
        <v>-0.67430380000000001</v>
      </c>
      <c r="U5171">
        <v>-3.1788639999999999</v>
      </c>
      <c r="V5171">
        <v>3.9066839999999999E-2</v>
      </c>
      <c r="W5171">
        <v>0.1888649</v>
      </c>
      <c r="X5171">
        <v>0.98122569999999998</v>
      </c>
      <c r="Y5171">
        <v>0.1459358</v>
      </c>
      <c r="Z5171">
        <v>0.19248789999999999</v>
      </c>
      <c r="AA5171">
        <v>0.97038709999999995</v>
      </c>
      <c r="AB5171">
        <v>28</v>
      </c>
      <c r="AC5171">
        <v>-7.61000000000535E-2</v>
      </c>
      <c r="AD5171">
        <v>-0.15128900000000001</v>
      </c>
      <c r="AE5171">
        <v>-0.35960999999999599</v>
      </c>
      <c r="AF5171">
        <v>9.1531903829149802E-2</v>
      </c>
      <c r="AG5171">
        <v>-0.15128900000000001</v>
      </c>
      <c r="AH5171">
        <v>0.300703383888211</v>
      </c>
      <c r="AI5171">
        <v>115.702113472983</v>
      </c>
      <c r="AJ5171">
        <v>73.0701357776571</v>
      </c>
      <c r="AK5171">
        <v>0.348839470274523</v>
      </c>
      <c r="AL5171">
        <v>79.113451760379405</v>
      </c>
      <c r="AM5171">
        <v>87.720011372549806</v>
      </c>
      <c r="AN5171">
        <v>1.00000002139004</v>
      </c>
    </row>
    <row r="5172" spans="1:40" x14ac:dyDescent="0.25">
      <c r="A5172" t="str">
        <f>"20190303171118673"</f>
        <v>20190303171118673</v>
      </c>
      <c r="B5172" t="str">
        <f>"1551604278666456"</f>
        <v>1551604278666456</v>
      </c>
      <c r="C5172" t="s">
        <v>40</v>
      </c>
      <c r="D5172">
        <v>5.4254889999999998</v>
      </c>
      <c r="E5172">
        <v>0.55068280000000003</v>
      </c>
      <c r="F5172" t="s">
        <v>43</v>
      </c>
      <c r="G5172">
        <v>-303.4966</v>
      </c>
      <c r="H5172">
        <v>0.94206299999999998</v>
      </c>
      <c r="I5172">
        <v>-38.414870000000001</v>
      </c>
      <c r="J5172">
        <v>-303.41140000000001</v>
      </c>
      <c r="K5172">
        <v>1.1224160000000001</v>
      </c>
      <c r="L5172">
        <v>-37.928440000000002</v>
      </c>
      <c r="M5172">
        <v>8.9012820000000006E-2</v>
      </c>
      <c r="N5172">
        <v>-1.265963E-2</v>
      </c>
      <c r="O5172">
        <v>-0.99595</v>
      </c>
      <c r="P5172">
        <v>4.6674859999999999E-2</v>
      </c>
      <c r="Q5172">
        <v>0.1781316</v>
      </c>
      <c r="R5172">
        <v>-0.98289910000000003</v>
      </c>
      <c r="S5172">
        <v>-0.1875916</v>
      </c>
      <c r="T5172">
        <v>-0.67114289999999999</v>
      </c>
      <c r="U5172">
        <v>-3.1800229999999998</v>
      </c>
      <c r="V5172">
        <v>4.0416109999999998E-2</v>
      </c>
      <c r="W5172">
        <v>0.19069030000000001</v>
      </c>
      <c r="X5172">
        <v>0.98081790000000002</v>
      </c>
      <c r="Y5172">
        <v>0.146208</v>
      </c>
      <c r="Z5172">
        <v>0.1915589</v>
      </c>
      <c r="AA5172">
        <v>0.97053</v>
      </c>
      <c r="AB5172">
        <v>28</v>
      </c>
      <c r="AC5172">
        <v>-8.5199999999986106E-2</v>
      </c>
      <c r="AD5172">
        <v>-0.18035300000000001</v>
      </c>
      <c r="AE5172">
        <v>-0.48642999999999798</v>
      </c>
      <c r="AF5172">
        <v>0.113081224596047</v>
      </c>
      <c r="AG5172">
        <v>-0.18035300000000001</v>
      </c>
      <c r="AH5172">
        <v>0.420790319885748</v>
      </c>
      <c r="AI5172">
        <v>112.485620164796</v>
      </c>
      <c r="AJ5172">
        <v>74.957983278449504</v>
      </c>
      <c r="AK5172">
        <v>0.47157084438575297</v>
      </c>
      <c r="AL5172">
        <v>79.006927980351506</v>
      </c>
      <c r="AM5172">
        <v>87.640374215504096</v>
      </c>
      <c r="AN5172">
        <v>1.0000000027110101</v>
      </c>
    </row>
    <row r="5173" spans="1:40" x14ac:dyDescent="0.25">
      <c r="A5173" t="str">
        <f>"20190303171118718"</f>
        <v>20190303171118718</v>
      </c>
      <c r="B5173" t="str">
        <f>"1551604278705495"</f>
        <v>1551604278705495</v>
      </c>
      <c r="C5173" t="s">
        <v>40</v>
      </c>
      <c r="D5173">
        <v>5.266438</v>
      </c>
      <c r="E5173">
        <v>0.46702890000000002</v>
      </c>
      <c r="F5173" t="s">
        <v>43</v>
      </c>
      <c r="G5173">
        <v>-303.4547</v>
      </c>
      <c r="H5173">
        <v>0.96582939999999995</v>
      </c>
      <c r="I5173">
        <v>-38.67745</v>
      </c>
      <c r="J5173">
        <v>-303.35700000000003</v>
      </c>
      <c r="K5173">
        <v>1.122395</v>
      </c>
      <c r="L5173">
        <v>-38.490110000000001</v>
      </c>
      <c r="M5173">
        <v>9.2350860000000007E-2</v>
      </c>
      <c r="N5173">
        <v>-1.2484439999999999E-2</v>
      </c>
      <c r="O5173">
        <v>-0.99564850000000005</v>
      </c>
      <c r="P5173">
        <v>4.8460219999999998E-2</v>
      </c>
      <c r="Q5173">
        <v>0.17928810000000001</v>
      </c>
      <c r="R5173">
        <v>-0.98260270000000005</v>
      </c>
      <c r="S5173">
        <v>-0.18331910000000001</v>
      </c>
      <c r="T5173">
        <v>-0.66520290000000004</v>
      </c>
      <c r="U5173">
        <v>-3.1814580000000001</v>
      </c>
      <c r="V5173">
        <v>4.1902670000000003E-2</v>
      </c>
      <c r="W5173">
        <v>0.19167600000000001</v>
      </c>
      <c r="X5173">
        <v>0.98056330000000003</v>
      </c>
      <c r="Y5173">
        <v>0.1482193</v>
      </c>
      <c r="Z5173">
        <v>0.1897933</v>
      </c>
      <c r="AA5173">
        <v>0.97057179999999998</v>
      </c>
      <c r="AB5173">
        <v>29</v>
      </c>
      <c r="AC5173">
        <v>-9.7699999999974793E-2</v>
      </c>
      <c r="AD5173">
        <v>-0.1565656</v>
      </c>
      <c r="AE5173">
        <v>-0.187340000000006</v>
      </c>
      <c r="AF5173">
        <v>7.3968497705418898E-2</v>
      </c>
      <c r="AG5173">
        <v>-0.1565656</v>
      </c>
      <c r="AH5173">
        <v>0.11459275546051199</v>
      </c>
      <c r="AI5173">
        <v>138.93922794392799</v>
      </c>
      <c r="AJ5173">
        <v>57.158154716590097</v>
      </c>
      <c r="AK5173">
        <v>0.207643023865935</v>
      </c>
      <c r="AL5173">
        <v>78.949389663326102</v>
      </c>
      <c r="AM5173">
        <v>87.553053107351204</v>
      </c>
      <c r="AN5173">
        <v>0.99999995401800801</v>
      </c>
    </row>
    <row r="5174" spans="1:40" x14ac:dyDescent="0.25">
      <c r="A5174" t="str">
        <f>"20190303171118745"</f>
        <v>20190303171118745</v>
      </c>
      <c r="B5174" t="str">
        <f>"1551604278736728"</f>
        <v>1551604278736728</v>
      </c>
      <c r="C5174" t="s">
        <v>40</v>
      </c>
      <c r="D5174">
        <v>5.2215290000000003</v>
      </c>
      <c r="E5174">
        <v>0.45414670000000001</v>
      </c>
      <c r="F5174" t="s">
        <v>68</v>
      </c>
      <c r="G5174">
        <v>-301.46069999999997</v>
      </c>
      <c r="H5174" s="1">
        <v>-6.0997329999999997E-6</v>
      </c>
      <c r="I5174">
        <v>-51.091419999999999</v>
      </c>
      <c r="J5174">
        <v>-303.32089999999999</v>
      </c>
      <c r="K5174">
        <v>1.1223879999999999</v>
      </c>
      <c r="L5174">
        <v>-38.85284</v>
      </c>
      <c r="M5174">
        <v>9.4505389999999995E-2</v>
      </c>
      <c r="N5174">
        <v>-1.2380230000000001E-2</v>
      </c>
      <c r="O5174">
        <v>-0.99544750000000004</v>
      </c>
      <c r="P5174">
        <v>4.9375040000000002E-2</v>
      </c>
      <c r="Q5174">
        <v>0.1789887</v>
      </c>
      <c r="R5174">
        <v>-0.98261149999999997</v>
      </c>
      <c r="S5174">
        <v>0.46353149999999999</v>
      </c>
      <c r="T5174">
        <v>-0.27436519999999998</v>
      </c>
      <c r="U5174">
        <v>-3.0803219999999998</v>
      </c>
      <c r="V5174">
        <v>4.3120329999999998E-2</v>
      </c>
      <c r="W5174">
        <v>0.19127859999999999</v>
      </c>
      <c r="X5174">
        <v>0.98058809999999996</v>
      </c>
      <c r="Y5174">
        <v>-5.4221459999999999E-2</v>
      </c>
      <c r="Z5174">
        <v>7.5320520000000002E-2</v>
      </c>
      <c r="AA5174">
        <v>0.99568409999999996</v>
      </c>
      <c r="AB5174">
        <v>29</v>
      </c>
      <c r="AC5174">
        <v>1.8602000000000201</v>
      </c>
      <c r="AD5174">
        <v>-1.122394099733</v>
      </c>
      <c r="AE5174">
        <v>-12.238580000000001</v>
      </c>
      <c r="AF5174">
        <v>-0.68950462749944896</v>
      </c>
      <c r="AG5174">
        <v>-1.122394099733</v>
      </c>
      <c r="AH5174">
        <v>12.2588320125392</v>
      </c>
      <c r="AI5174">
        <v>95.223092058252107</v>
      </c>
      <c r="AJ5174">
        <v>93.219240169124703</v>
      </c>
      <c r="AK5174">
        <v>12.3294017477781</v>
      </c>
      <c r="AL5174">
        <v>78.972588135403299</v>
      </c>
      <c r="AM5174">
        <v>87.482100502850301</v>
      </c>
      <c r="AN5174">
        <v>0.99999994376943702</v>
      </c>
    </row>
    <row r="5175" spans="1:40" x14ac:dyDescent="0.25">
      <c r="A5175" t="str">
        <f>"20190303171118768"</f>
        <v>20190303171118768</v>
      </c>
      <c r="B5175" t="str">
        <f>"1551604278756248"</f>
        <v>1551604278756248</v>
      </c>
      <c r="C5175" t="s">
        <v>40</v>
      </c>
      <c r="D5175">
        <v>5.2152699999999896</v>
      </c>
      <c r="E5175">
        <v>0.45020280000000001</v>
      </c>
      <c r="F5175" t="s">
        <v>68</v>
      </c>
      <c r="G5175">
        <v>-300.17340000000002</v>
      </c>
      <c r="H5175" s="1">
        <v>-8.0021079999999994E-6</v>
      </c>
      <c r="I5175">
        <v>-55.945540000000001</v>
      </c>
      <c r="J5175">
        <v>-303.29149999999998</v>
      </c>
      <c r="K5175">
        <v>1.1223810000000001</v>
      </c>
      <c r="L5175">
        <v>-39.142180000000003</v>
      </c>
      <c r="M5175">
        <v>9.6224320000000002E-2</v>
      </c>
      <c r="N5175">
        <v>-1.2303100000000001E-2</v>
      </c>
      <c r="O5175">
        <v>-0.99528380000000005</v>
      </c>
      <c r="P5175">
        <v>4.9487759999999999E-2</v>
      </c>
      <c r="Q5175">
        <v>0.18017530000000001</v>
      </c>
      <c r="R5175">
        <v>-0.98238919999999996</v>
      </c>
      <c r="S5175">
        <v>0.56372069999999996</v>
      </c>
      <c r="T5175">
        <v>-0.2010276</v>
      </c>
      <c r="U5175">
        <v>-3.061401</v>
      </c>
      <c r="V5175">
        <v>4.4679969999999999E-2</v>
      </c>
      <c r="W5175">
        <v>0.19239100000000001</v>
      </c>
      <c r="X5175">
        <v>0.98030070000000002</v>
      </c>
      <c r="Y5175">
        <v>-8.5324380000000005E-2</v>
      </c>
      <c r="Z5175">
        <v>5.2237140000000001E-2</v>
      </c>
      <c r="AA5175">
        <v>0.99498299999999995</v>
      </c>
      <c r="AB5175">
        <v>29</v>
      </c>
      <c r="AC5175">
        <v>3.1180999999999699</v>
      </c>
      <c r="AD5175">
        <v>-1.1223890021080001</v>
      </c>
      <c r="AE5175">
        <v>-16.803360000000001</v>
      </c>
      <c r="AF5175">
        <v>-1.48023038449692</v>
      </c>
      <c r="AG5175">
        <v>-1.1223890021080001</v>
      </c>
      <c r="AH5175">
        <v>16.952317422222801</v>
      </c>
      <c r="AI5175">
        <v>93.7736275956008</v>
      </c>
      <c r="AJ5175">
        <v>94.990255354087594</v>
      </c>
      <c r="AK5175">
        <v>17.053794447190899</v>
      </c>
      <c r="AL5175">
        <v>78.907647113384201</v>
      </c>
      <c r="AM5175">
        <v>87.390389221842497</v>
      </c>
      <c r="AN5175">
        <v>1.0000000295103399</v>
      </c>
    </row>
    <row r="5176" spans="1:40" x14ac:dyDescent="0.25">
      <c r="A5176" t="str">
        <f>"20190303171118790"</f>
        <v>20190303171118790</v>
      </c>
      <c r="B5176" t="str">
        <f>"1551604278786504"</f>
        <v>1551604278786504</v>
      </c>
      <c r="C5176" t="s">
        <v>40</v>
      </c>
      <c r="D5176">
        <v>5.1631330000000002</v>
      </c>
      <c r="E5176">
        <v>0.44642189999999998</v>
      </c>
      <c r="F5176" t="s">
        <v>68</v>
      </c>
      <c r="G5176">
        <v>-299.47309999999999</v>
      </c>
      <c r="H5176" s="1">
        <v>-6.5161059999999999E-6</v>
      </c>
      <c r="I5176">
        <v>-58.749479999999998</v>
      </c>
      <c r="J5176">
        <v>-303.26260000000002</v>
      </c>
      <c r="K5176">
        <v>1.1223719999999999</v>
      </c>
      <c r="L5176">
        <v>-39.421999999999997</v>
      </c>
      <c r="M5176">
        <v>9.7887459999999996E-2</v>
      </c>
      <c r="N5176">
        <v>-1.2227170000000001E-2</v>
      </c>
      <c r="O5176">
        <v>-0.99512259999999997</v>
      </c>
      <c r="P5176">
        <v>4.9868759999999998E-2</v>
      </c>
      <c r="Q5176">
        <v>0.1810514</v>
      </c>
      <c r="R5176">
        <v>-0.98220859999999999</v>
      </c>
      <c r="S5176">
        <v>0.59512330000000002</v>
      </c>
      <c r="T5176">
        <v>-0.174928799999999</v>
      </c>
      <c r="U5176">
        <v>-3.0558779999999999</v>
      </c>
      <c r="V5176">
        <v>4.592222E-2</v>
      </c>
      <c r="W5176">
        <v>0.1931939</v>
      </c>
      <c r="X5176">
        <v>0.98008530000000005</v>
      </c>
      <c r="Y5176">
        <v>-9.3923480000000004E-2</v>
      </c>
      <c r="Z5176">
        <v>4.3991700000000002E-2</v>
      </c>
      <c r="AA5176">
        <v>0.99460700000000002</v>
      </c>
      <c r="AB5176">
        <v>29</v>
      </c>
      <c r="AC5176">
        <v>3.7895000000000301</v>
      </c>
      <c r="AD5176">
        <v>-1.122378516106</v>
      </c>
      <c r="AE5176">
        <v>-19.327480000000001</v>
      </c>
      <c r="AF5176">
        <v>-1.87315620219235</v>
      </c>
      <c r="AG5176">
        <v>-1.122378516106</v>
      </c>
      <c r="AH5176">
        <v>19.542155257441799</v>
      </c>
      <c r="AI5176">
        <v>93.272133779808698</v>
      </c>
      <c r="AJ5176">
        <v>95.475192450559703</v>
      </c>
      <c r="AK5176">
        <v>19.663780913069299</v>
      </c>
      <c r="AL5176">
        <v>78.860764063183098</v>
      </c>
      <c r="AM5176">
        <v>87.317349387954394</v>
      </c>
      <c r="AN5176">
        <v>0.99999996428151305</v>
      </c>
    </row>
    <row r="5177" spans="1:40" x14ac:dyDescent="0.25">
      <c r="A5177" t="str">
        <f>"20190303171118814"</f>
        <v>20190303171118814</v>
      </c>
      <c r="B5177" t="str">
        <f>"1551604278806024"</f>
        <v>1551604278806024</v>
      </c>
      <c r="C5177" t="s">
        <v>40</v>
      </c>
      <c r="D5177">
        <v>5.1512419999999999</v>
      </c>
      <c r="E5177">
        <v>0.44484279999999998</v>
      </c>
      <c r="F5177" t="s">
        <v>68</v>
      </c>
      <c r="G5177">
        <v>-298.62880000000001</v>
      </c>
      <c r="H5177" s="1">
        <v>-1.282708E-5</v>
      </c>
      <c r="I5177">
        <v>-62.019860000000001</v>
      </c>
      <c r="J5177">
        <v>-303.23140000000001</v>
      </c>
      <c r="K5177">
        <v>1.1223620000000001</v>
      </c>
      <c r="L5177">
        <v>-39.719299999999997</v>
      </c>
      <c r="M5177">
        <v>9.9653809999999995E-2</v>
      </c>
      <c r="N5177">
        <v>-1.2149780000000001E-2</v>
      </c>
      <c r="O5177">
        <v>-0.9949479</v>
      </c>
      <c r="P5177">
        <v>5.2603770000000001E-2</v>
      </c>
      <c r="Q5177">
        <v>0.18018010000000001</v>
      </c>
      <c r="R5177">
        <v>-0.98222569999999998</v>
      </c>
      <c r="S5177">
        <v>0.62551880000000004</v>
      </c>
      <c r="T5177">
        <v>-0.1515118</v>
      </c>
      <c r="U5177">
        <v>-3.0505070000000001</v>
      </c>
      <c r="V5177">
        <v>4.4948759999999997E-2</v>
      </c>
      <c r="W5177">
        <v>0.192246</v>
      </c>
      <c r="X5177">
        <v>0.98031679999999999</v>
      </c>
      <c r="Y5177">
        <v>-0.1020723</v>
      </c>
      <c r="Z5177">
        <v>3.6587469999999997E-2</v>
      </c>
      <c r="AA5177">
        <v>0.99410390000000004</v>
      </c>
      <c r="AB5177">
        <v>29</v>
      </c>
      <c r="AC5177">
        <v>4.60259999999999</v>
      </c>
      <c r="AD5177">
        <v>-1.12237482707999</v>
      </c>
      <c r="AE5177">
        <v>-22.300560000000001</v>
      </c>
      <c r="AF5177">
        <v>-2.3514725827816298</v>
      </c>
      <c r="AG5177">
        <v>-1.12237482707999</v>
      </c>
      <c r="AH5177">
        <v>22.5933437399081</v>
      </c>
      <c r="AI5177">
        <v>92.8287035916984</v>
      </c>
      <c r="AJ5177">
        <v>95.941843719518502</v>
      </c>
      <c r="AK5177">
        <v>22.743094114690699</v>
      </c>
      <c r="AL5177">
        <v>78.916112392257006</v>
      </c>
      <c r="AM5177">
        <v>87.374755031811503</v>
      </c>
      <c r="AN5177">
        <v>0.99999997195188794</v>
      </c>
    </row>
    <row r="5178" spans="1:40" x14ac:dyDescent="0.25">
      <c r="A5178" t="str">
        <f>"20190303171118851"</f>
        <v>20190303171118851</v>
      </c>
      <c r="B5178" t="str">
        <f>"1551604278846040"</f>
        <v>1551604278846040</v>
      </c>
      <c r="C5178" t="s">
        <v>40</v>
      </c>
      <c r="D5178">
        <v>5.1624670000000004</v>
      </c>
      <c r="E5178">
        <v>0.44283119999999998</v>
      </c>
      <c r="F5178" t="s">
        <v>68</v>
      </c>
      <c r="G5178">
        <v>-298.27210000000002</v>
      </c>
      <c r="H5178" s="1">
        <v>-1.2966240000000001E-5</v>
      </c>
      <c r="I5178">
        <v>-63.145339999999997</v>
      </c>
      <c r="J5178">
        <v>-303.18090000000001</v>
      </c>
      <c r="K5178">
        <v>1.1223449999999999</v>
      </c>
      <c r="L5178">
        <v>-40.189790000000002</v>
      </c>
      <c r="M5178">
        <v>0.1024497</v>
      </c>
      <c r="N5178">
        <v>-1.204534E-2</v>
      </c>
      <c r="O5178">
        <v>-0.99466540000000003</v>
      </c>
      <c r="P5178">
        <v>5.8066989999999999E-2</v>
      </c>
      <c r="Q5178">
        <v>0.17917239999999901</v>
      </c>
      <c r="R5178">
        <v>-0.98210280000000005</v>
      </c>
      <c r="S5178">
        <v>0.64495849999999999</v>
      </c>
      <c r="T5178">
        <v>-0.1459626</v>
      </c>
      <c r="U5178">
        <v>-3.0465089999999999</v>
      </c>
      <c r="V5178">
        <v>4.2265579999999997E-2</v>
      </c>
      <c r="W5178">
        <v>0.19113169999999999</v>
      </c>
      <c r="X5178">
        <v>0.98065400000000003</v>
      </c>
      <c r="Y5178">
        <v>-0.10562439999999999</v>
      </c>
      <c r="Z5178">
        <v>3.4922290000000002E-2</v>
      </c>
      <c r="AA5178">
        <v>0.99379269999999997</v>
      </c>
      <c r="AB5178">
        <v>29</v>
      </c>
      <c r="AC5178">
        <v>4.9087999999999798</v>
      </c>
      <c r="AD5178">
        <v>-1.1223579662400001</v>
      </c>
      <c r="AE5178">
        <v>-22.955549999999999</v>
      </c>
      <c r="AF5178">
        <v>-2.5252349671496601</v>
      </c>
      <c r="AG5178">
        <v>-1.1223579662400001</v>
      </c>
      <c r="AH5178">
        <v>23.284458751070499</v>
      </c>
      <c r="AI5178">
        <v>92.743573774753898</v>
      </c>
      <c r="AJ5178">
        <v>96.189623184541205</v>
      </c>
      <c r="AK5178">
        <v>23.447868098699399</v>
      </c>
      <c r="AL5178">
        <v>78.981163573774694</v>
      </c>
      <c r="AM5178">
        <v>87.532114713672797</v>
      </c>
      <c r="AN5178">
        <v>0.99999998685681302</v>
      </c>
    </row>
    <row r="5179" spans="1:40" x14ac:dyDescent="0.25">
      <c r="A5179" t="str">
        <f>"20190303171118881"</f>
        <v>20190303171118881</v>
      </c>
      <c r="B5179" t="str">
        <f>"1551604278876296"</f>
        <v>1551604278876296</v>
      </c>
      <c r="C5179" t="s">
        <v>40</v>
      </c>
      <c r="D5179">
        <v>5.1429419999999997</v>
      </c>
      <c r="E5179">
        <v>0.44190629999999997</v>
      </c>
      <c r="F5179" t="s">
        <v>68</v>
      </c>
      <c r="G5179">
        <v>-297.74270000000001</v>
      </c>
      <c r="H5179" s="1">
        <v>-1.313182E-5</v>
      </c>
      <c r="I5179">
        <v>-64.630240000000001</v>
      </c>
      <c r="J5179">
        <v>-303.14010000000002</v>
      </c>
      <c r="K5179">
        <v>1.122347</v>
      </c>
      <c r="L5179">
        <v>-40.561520000000002</v>
      </c>
      <c r="M5179">
        <v>0.10465869999999999</v>
      </c>
      <c r="N5179">
        <v>-1.197461E-2</v>
      </c>
      <c r="O5179">
        <v>-0.9944364</v>
      </c>
      <c r="P5179">
        <v>6.1177019999999999E-2</v>
      </c>
      <c r="Q5179">
        <v>0.18063689999999999</v>
      </c>
      <c r="R5179">
        <v>-0.98164549999999995</v>
      </c>
      <c r="S5179">
        <v>0.67645259999999996</v>
      </c>
      <c r="T5179">
        <v>-0.13960929999999999</v>
      </c>
      <c r="U5179">
        <v>-3.0401310000000001</v>
      </c>
      <c r="V5179">
        <v>4.1302650000000003E-2</v>
      </c>
      <c r="W5179">
        <v>0.1925211</v>
      </c>
      <c r="X5179">
        <v>0.98042320000000005</v>
      </c>
      <c r="Y5179">
        <v>-0.11367869999999999</v>
      </c>
      <c r="Z5179">
        <v>3.2973919999999997E-2</v>
      </c>
      <c r="AA5179">
        <v>0.99297020000000003</v>
      </c>
      <c r="AB5179">
        <v>29</v>
      </c>
      <c r="AC5179">
        <v>5.3974000000000002</v>
      </c>
      <c r="AD5179">
        <v>-1.1223601318200001</v>
      </c>
      <c r="AE5179">
        <v>-24.068719999999999</v>
      </c>
      <c r="AF5179">
        <v>-2.8426880337123701</v>
      </c>
      <c r="AG5179">
        <v>-1.1223601318200001</v>
      </c>
      <c r="AH5179">
        <v>24.4508231352997</v>
      </c>
      <c r="AI5179">
        <v>92.6106294337945</v>
      </c>
      <c r="AJ5179">
        <v>96.631518270399795</v>
      </c>
      <c r="AK5179">
        <v>24.641090063473602</v>
      </c>
      <c r="AL5179">
        <v>78.900050223480903</v>
      </c>
      <c r="AM5179">
        <v>87.587705920062405</v>
      </c>
      <c r="AN5179">
        <v>0.99999996697023497</v>
      </c>
    </row>
    <row r="5180" spans="1:40" x14ac:dyDescent="0.25">
      <c r="A5180" t="str">
        <f>"20190303171118903"</f>
        <v>20190303171118903</v>
      </c>
      <c r="B5180" t="str">
        <f>"1551604278895816"</f>
        <v>1551604278895816</v>
      </c>
      <c r="C5180" t="s">
        <v>40</v>
      </c>
      <c r="D5180">
        <v>5.1539089999999996</v>
      </c>
      <c r="E5180">
        <v>0.44150739999999999</v>
      </c>
      <c r="F5180" t="s">
        <v>68</v>
      </c>
      <c r="G5180">
        <v>-297.13850000000002</v>
      </c>
      <c r="H5180" s="1">
        <v>-1.343489E-5</v>
      </c>
      <c r="I5180">
        <v>-66.841279999999998</v>
      </c>
      <c r="J5180">
        <v>-303.10750000000002</v>
      </c>
      <c r="K5180">
        <v>1.122352</v>
      </c>
      <c r="L5180">
        <v>-40.852870000000003</v>
      </c>
      <c r="M5180">
        <v>0.1063896</v>
      </c>
      <c r="N5180">
        <v>-1.192649E-2</v>
      </c>
      <c r="O5180">
        <v>-0.99425330000000001</v>
      </c>
      <c r="P5180">
        <v>6.4184190000000002E-2</v>
      </c>
      <c r="Q5180">
        <v>0.18163579999999999</v>
      </c>
      <c r="R5180">
        <v>-0.98126939999999996</v>
      </c>
      <c r="S5180">
        <v>0.69351200000000002</v>
      </c>
      <c r="T5180">
        <v>-0.1296937</v>
      </c>
      <c r="U5180">
        <v>-3.036743</v>
      </c>
      <c r="V5180">
        <v>3.9979340000000002E-2</v>
      </c>
      <c r="W5180">
        <v>0.19346720000000001</v>
      </c>
      <c r="X5180">
        <v>0.98029180000000005</v>
      </c>
      <c r="Y5180">
        <v>-0.1175144</v>
      </c>
      <c r="Z5180">
        <v>2.9848590000000001E-2</v>
      </c>
      <c r="AA5180">
        <v>0.99262249999999996</v>
      </c>
      <c r="AB5180">
        <v>29</v>
      </c>
      <c r="AC5180">
        <v>5.9689999999999896</v>
      </c>
      <c r="AD5180">
        <v>-1.1223654348899901</v>
      </c>
      <c r="AE5180">
        <v>-25.988409999999899</v>
      </c>
      <c r="AF5180">
        <v>-3.1644195867910798</v>
      </c>
      <c r="AG5180">
        <v>-1.1223654348899901</v>
      </c>
      <c r="AH5180">
        <v>26.429153131102399</v>
      </c>
      <c r="AI5180">
        <v>92.414491088289296</v>
      </c>
      <c r="AJ5180">
        <v>96.827644669158701</v>
      </c>
      <c r="AK5180">
        <v>26.641572602193701</v>
      </c>
      <c r="AL5180">
        <v>78.844803960441098</v>
      </c>
      <c r="AM5180">
        <v>87.664594630091798</v>
      </c>
      <c r="AN5180">
        <v>0.99999995912495698</v>
      </c>
    </row>
    <row r="5181" spans="1:40" x14ac:dyDescent="0.25">
      <c r="A5181" t="str">
        <f>"20190303171118924"</f>
        <v>20190303171118924</v>
      </c>
      <c r="B5181" t="str">
        <f>"1551604278916312"</f>
        <v>1551604278916312</v>
      </c>
      <c r="C5181" t="s">
        <v>40</v>
      </c>
      <c r="D5181">
        <v>5.1846680000000003</v>
      </c>
      <c r="E5181">
        <v>0.44115470000000001</v>
      </c>
      <c r="F5181" t="s">
        <v>68</v>
      </c>
      <c r="G5181">
        <v>-296.78960000000001</v>
      </c>
      <c r="H5181" s="1">
        <v>-1.356571E-5</v>
      </c>
      <c r="I5181">
        <v>-68.044809999999998</v>
      </c>
      <c r="J5181">
        <v>-303.07749999999999</v>
      </c>
      <c r="K5181">
        <v>1.122358</v>
      </c>
      <c r="L5181">
        <v>-41.116729999999997</v>
      </c>
      <c r="M5181">
        <v>0.107957</v>
      </c>
      <c r="N5181">
        <v>-1.188793E-2</v>
      </c>
      <c r="O5181">
        <v>-0.99408450000000004</v>
      </c>
      <c r="P5181">
        <v>6.7550589999999994E-2</v>
      </c>
      <c r="Q5181">
        <v>0.1812848</v>
      </c>
      <c r="R5181">
        <v>-0.98110810000000004</v>
      </c>
      <c r="S5181">
        <v>0.70501709999999995</v>
      </c>
      <c r="T5181">
        <v>-0.1252441</v>
      </c>
      <c r="U5181">
        <v>-3.034332</v>
      </c>
      <c r="V5181">
        <v>3.8164709999999998E-2</v>
      </c>
      <c r="W5181">
        <v>0.19307460000000001</v>
      </c>
      <c r="X5181">
        <v>0.98044160000000002</v>
      </c>
      <c r="Y5181">
        <v>-0.1197032</v>
      </c>
      <c r="Z5181">
        <v>2.8463559999999999E-2</v>
      </c>
      <c r="AA5181">
        <v>0.99240159999999999</v>
      </c>
      <c r="AB5181">
        <v>29</v>
      </c>
      <c r="AC5181">
        <v>6.2878999999999703</v>
      </c>
      <c r="AD5181">
        <v>-1.12237156571</v>
      </c>
      <c r="AE5181">
        <v>-26.928079999999898</v>
      </c>
      <c r="AF5181">
        <v>-3.33836573170414</v>
      </c>
      <c r="AG5181">
        <v>-1.12237156571</v>
      </c>
      <c r="AH5181">
        <v>27.404402374367301</v>
      </c>
      <c r="AI5181">
        <v>92.328097203893805</v>
      </c>
      <c r="AJ5181">
        <v>96.945469750023904</v>
      </c>
      <c r="AK5181">
        <v>27.629796835777899</v>
      </c>
      <c r="AL5181">
        <v>78.867731452051601</v>
      </c>
      <c r="AM5181">
        <v>87.770827586208895</v>
      </c>
      <c r="AN5181">
        <v>1.00000003863255</v>
      </c>
    </row>
    <row r="5182" spans="1:40" x14ac:dyDescent="0.25">
      <c r="A5182" t="str">
        <f>"20190303171118947"</f>
        <v>20190303171118947</v>
      </c>
      <c r="B5182" t="str">
        <f>"1551604278935832"</f>
        <v>1551604278935832</v>
      </c>
      <c r="C5182" t="s">
        <v>40</v>
      </c>
      <c r="D5182">
        <v>5.1978470000000003</v>
      </c>
      <c r="E5182">
        <v>0.44087690000000002</v>
      </c>
      <c r="F5182" t="s">
        <v>68</v>
      </c>
      <c r="G5182">
        <v>-296.65210000000002</v>
      </c>
      <c r="H5182" s="1">
        <v>-1.3560709999999999E-5</v>
      </c>
      <c r="I5182">
        <v>-68.268509999999907</v>
      </c>
      <c r="J5182">
        <v>-303.04419999999999</v>
      </c>
      <c r="K5182">
        <v>1.1223590000000001</v>
      </c>
      <c r="L5182">
        <v>-41.40625</v>
      </c>
      <c r="M5182">
        <v>0.1096765</v>
      </c>
      <c r="N5182">
        <v>-1.185076E-2</v>
      </c>
      <c r="O5182">
        <v>-0.99389680000000002</v>
      </c>
      <c r="P5182">
        <v>7.0635210000000004E-2</v>
      </c>
      <c r="Q5182">
        <v>0.1813959</v>
      </c>
      <c r="R5182">
        <v>-0.98087040000000003</v>
      </c>
      <c r="S5182">
        <v>0.71740719999999902</v>
      </c>
      <c r="T5182">
        <v>-0.12531400000000001</v>
      </c>
      <c r="U5182">
        <v>-3.0315249999999998</v>
      </c>
      <c r="V5182">
        <v>3.677151E-2</v>
      </c>
      <c r="W5182">
        <v>0.19314519999999999</v>
      </c>
      <c r="X5182">
        <v>0.98048089999999999</v>
      </c>
      <c r="Y5182">
        <v>-0.1220316</v>
      </c>
      <c r="Z5182">
        <v>2.85282E-2</v>
      </c>
      <c r="AA5182">
        <v>0.9921162</v>
      </c>
      <c r="AB5182">
        <v>29</v>
      </c>
      <c r="AC5182">
        <v>6.3920999999999699</v>
      </c>
      <c r="AD5182">
        <v>-1.1223725607099999</v>
      </c>
      <c r="AE5182">
        <v>-26.8622599999999</v>
      </c>
      <c r="AF5182">
        <v>-3.40154784238453</v>
      </c>
      <c r="AG5182">
        <v>-1.1223725607099999</v>
      </c>
      <c r="AH5182">
        <v>27.356100178006301</v>
      </c>
      <c r="AI5182">
        <v>92.331492410264801</v>
      </c>
      <c r="AJ5182">
        <v>97.0879662314439</v>
      </c>
      <c r="AK5182">
        <v>27.589607913817598</v>
      </c>
      <c r="AL5182">
        <v>78.863608376016103</v>
      </c>
      <c r="AM5182">
        <v>87.852211717437399</v>
      </c>
      <c r="AN5182">
        <v>1.0000000037477601</v>
      </c>
    </row>
    <row r="5183" spans="1:40" x14ac:dyDescent="0.25">
      <c r="A5183" t="str">
        <f>"20190303171118984"</f>
        <v>20190303171118984</v>
      </c>
      <c r="B5183" t="str">
        <f>"1551604278975849"</f>
        <v>1551604278975849</v>
      </c>
      <c r="C5183" t="s">
        <v>40</v>
      </c>
      <c r="D5183">
        <v>5.2138869999999997</v>
      </c>
      <c r="E5183">
        <v>0.44055250000000001</v>
      </c>
      <c r="F5183" t="s">
        <v>68</v>
      </c>
      <c r="G5183">
        <v>-296.45839999999998</v>
      </c>
      <c r="H5183" s="1">
        <v>-1.358753E-5</v>
      </c>
      <c r="I5183">
        <v>-68.764589999999998</v>
      </c>
      <c r="J5183">
        <v>-302.9889</v>
      </c>
      <c r="K5183">
        <v>1.1223639999999999</v>
      </c>
      <c r="L5183">
        <v>-41.876980000000003</v>
      </c>
      <c r="M5183">
        <v>0.1124729</v>
      </c>
      <c r="N5183">
        <v>-1.180033E-2</v>
      </c>
      <c r="O5183">
        <v>-0.99358469999999999</v>
      </c>
      <c r="P5183">
        <v>7.4707250000000003E-2</v>
      </c>
      <c r="Q5183">
        <v>0.18187349999999999</v>
      </c>
      <c r="R5183">
        <v>-0.98048009999999997</v>
      </c>
      <c r="S5183">
        <v>0.72915649999999999</v>
      </c>
      <c r="T5183">
        <v>-0.124264</v>
      </c>
      <c r="U5183">
        <v>-3.0289920000000001</v>
      </c>
      <c r="V5183">
        <v>3.544448E-2</v>
      </c>
      <c r="W5183">
        <v>0.19356909999999999</v>
      </c>
      <c r="X5183">
        <v>0.98044620000000005</v>
      </c>
      <c r="Y5183">
        <v>-0.1230673</v>
      </c>
      <c r="Z5183">
        <v>2.824111E-2</v>
      </c>
      <c r="AA5183">
        <v>0.9919964</v>
      </c>
      <c r="AB5183">
        <v>29</v>
      </c>
      <c r="AC5183">
        <v>6.5305000000000097</v>
      </c>
      <c r="AD5183">
        <v>-1.1223775875299999</v>
      </c>
      <c r="AE5183">
        <v>-26.887609999999999</v>
      </c>
      <c r="AF5183">
        <v>-3.4590271127328802</v>
      </c>
      <c r="AG5183">
        <v>-1.1223775875299999</v>
      </c>
      <c r="AH5183">
        <v>27.406438570297201</v>
      </c>
      <c r="AI5183">
        <v>92.326689391413495</v>
      </c>
      <c r="AJ5183">
        <v>97.193391962159495</v>
      </c>
      <c r="AK5183">
        <v>27.6466539588986</v>
      </c>
      <c r="AL5183">
        <v>78.838853822006598</v>
      </c>
      <c r="AM5183">
        <v>87.929580331165596</v>
      </c>
      <c r="AN5183">
        <v>1.00000002936585</v>
      </c>
    </row>
    <row r="5184" spans="1:40" x14ac:dyDescent="0.25">
      <c r="A5184" t="str">
        <f>"20190303171119011"</f>
        <v>20190303171119011</v>
      </c>
      <c r="B5184" t="str">
        <f>"1551604279006104"</f>
        <v>1551604279006104</v>
      </c>
      <c r="C5184" t="s">
        <v>40</v>
      </c>
      <c r="D5184">
        <v>5.2005759999999999</v>
      </c>
      <c r="E5184">
        <v>0.44044559999999999</v>
      </c>
      <c r="F5184" t="s">
        <v>68</v>
      </c>
      <c r="G5184">
        <v>-296.11090000000002</v>
      </c>
      <c r="H5184" s="1">
        <v>-1.366746E-5</v>
      </c>
      <c r="I5184">
        <v>-69.824250000000006</v>
      </c>
      <c r="J5184">
        <v>-302.94729999999998</v>
      </c>
      <c r="K5184">
        <v>1.1223609999999999</v>
      </c>
      <c r="L5184">
        <v>-42.223480000000002</v>
      </c>
      <c r="M5184">
        <v>0.1145318</v>
      </c>
      <c r="N5184">
        <v>-1.176989E-2</v>
      </c>
      <c r="O5184">
        <v>-0.99334999999999996</v>
      </c>
      <c r="P5184">
        <v>7.7695790000000001E-2</v>
      </c>
      <c r="Q5184">
        <v>0.18104990000000001</v>
      </c>
      <c r="R5184">
        <v>-0.9804003</v>
      </c>
      <c r="S5184">
        <v>0.74459839999999999</v>
      </c>
      <c r="T5184">
        <v>-0.1215063</v>
      </c>
      <c r="U5184">
        <v>-3.0255130000000001</v>
      </c>
      <c r="V5184">
        <v>3.4505130000000002E-2</v>
      </c>
      <c r="W5184">
        <v>0.19271479999999999</v>
      </c>
      <c r="X5184">
        <v>0.98064790000000002</v>
      </c>
      <c r="Y5184">
        <v>-0.12605479999999999</v>
      </c>
      <c r="Z5184">
        <v>2.7392610000000001E-2</v>
      </c>
      <c r="AA5184">
        <v>0.991645</v>
      </c>
      <c r="AB5184">
        <v>29</v>
      </c>
      <c r="AC5184">
        <v>6.8363999999999603</v>
      </c>
      <c r="AD5184">
        <v>-1.1223746674599999</v>
      </c>
      <c r="AE5184">
        <v>-27.600770000000001</v>
      </c>
      <c r="AF5184">
        <v>-3.6243761205256302</v>
      </c>
      <c r="AG5184">
        <v>-1.1223746674599999</v>
      </c>
      <c r="AH5184">
        <v>28.158288182124</v>
      </c>
      <c r="AI5184">
        <v>92.263914675974604</v>
      </c>
      <c r="AJ5184">
        <v>97.334462865342303</v>
      </c>
      <c r="AK5184">
        <v>28.4127615782898</v>
      </c>
      <c r="AL5184">
        <v>78.888740057635502</v>
      </c>
      <c r="AM5184">
        <v>87.984818968880404</v>
      </c>
      <c r="AN5184">
        <v>0.99999995095488203</v>
      </c>
    </row>
    <row r="5185" spans="1:40" x14ac:dyDescent="0.25">
      <c r="A5185" t="str">
        <f>"20190303171119033"</f>
        <v>20190303171119033</v>
      </c>
      <c r="B5185" t="str">
        <f>"1551604279026600"</f>
        <v>1551604279026600</v>
      </c>
      <c r="C5185" t="s">
        <v>40</v>
      </c>
      <c r="D5185">
        <v>5.2137000000000002</v>
      </c>
      <c r="E5185">
        <v>0.44044319999999998</v>
      </c>
      <c r="F5185" t="s">
        <v>68</v>
      </c>
      <c r="G5185">
        <v>-296.13330000000002</v>
      </c>
      <c r="H5185" s="1">
        <v>-1.3622049999999999E-5</v>
      </c>
      <c r="I5185">
        <v>-69.540930000000003</v>
      </c>
      <c r="J5185">
        <v>-302.91379999999998</v>
      </c>
      <c r="K5185">
        <v>1.122357</v>
      </c>
      <c r="L5185">
        <v>-42.498899999999999</v>
      </c>
      <c r="M5185">
        <v>0.1161681</v>
      </c>
      <c r="N5185">
        <v>-1.17492E-2</v>
      </c>
      <c r="O5185">
        <v>-0.99316009999999999</v>
      </c>
      <c r="P5185">
        <v>7.9681450000000001E-2</v>
      </c>
      <c r="Q5185">
        <v>0.1804567</v>
      </c>
      <c r="R5185">
        <v>-0.98035030000000001</v>
      </c>
      <c r="S5185">
        <v>0.75408940000000002</v>
      </c>
      <c r="T5185">
        <v>-0.12421069999999999</v>
      </c>
      <c r="U5185">
        <v>-3.0231629999999998</v>
      </c>
      <c r="V5185">
        <v>3.4147810000000001E-2</v>
      </c>
      <c r="W5185">
        <v>0.19210179999999999</v>
      </c>
      <c r="X5185">
        <v>0.98078069999999895</v>
      </c>
      <c r="Y5185">
        <v>-0.12752520000000001</v>
      </c>
      <c r="Z5185">
        <v>2.828433E-2</v>
      </c>
      <c r="AA5185">
        <v>0.99143199999999998</v>
      </c>
      <c r="AB5185">
        <v>29</v>
      </c>
      <c r="AC5185">
        <v>6.78049999999996</v>
      </c>
      <c r="AD5185">
        <v>-1.12237062205</v>
      </c>
      <c r="AE5185">
        <v>-27.04203</v>
      </c>
      <c r="AF5185">
        <v>-3.58713489521377</v>
      </c>
      <c r="AG5185">
        <v>-1.12237062205</v>
      </c>
      <c r="AH5185">
        <v>27.601914973420499</v>
      </c>
      <c r="AI5185">
        <v>92.309125856162495</v>
      </c>
      <c r="AJ5185">
        <v>97.404638012494999</v>
      </c>
      <c r="AK5185">
        <v>27.856650243158001</v>
      </c>
      <c r="AL5185">
        <v>78.924531433850007</v>
      </c>
      <c r="AM5185">
        <v>88.005940179507604</v>
      </c>
      <c r="AN5185">
        <v>0.99999997799176199</v>
      </c>
    </row>
    <row r="5186" spans="1:40" x14ac:dyDescent="0.25">
      <c r="A5186" t="str">
        <f>"20190303171119060"</f>
        <v>20190303171119060</v>
      </c>
      <c r="B5186" t="str">
        <f>"1551604279055880"</f>
        <v>1551604279055880</v>
      </c>
      <c r="C5186" t="s">
        <v>40</v>
      </c>
      <c r="D5186">
        <v>5.2420269999999896</v>
      </c>
      <c r="E5186">
        <v>0.44040180000000001</v>
      </c>
      <c r="F5186" t="s">
        <v>68</v>
      </c>
      <c r="G5186">
        <v>-296.15750000000003</v>
      </c>
      <c r="H5186" s="1">
        <v>-1.3596669999999999E-5</v>
      </c>
      <c r="I5186">
        <v>-69.361400000000003</v>
      </c>
      <c r="J5186">
        <v>-302.8716</v>
      </c>
      <c r="K5186">
        <v>1.1223529999999999</v>
      </c>
      <c r="L5186">
        <v>-42.840119999999999</v>
      </c>
      <c r="M5186">
        <v>0.1181946</v>
      </c>
      <c r="N5186">
        <v>-1.1727410000000001E-2</v>
      </c>
      <c r="O5186">
        <v>-0.99292139999999995</v>
      </c>
      <c r="P5186">
        <v>8.1632200000000002E-2</v>
      </c>
      <c r="Q5186">
        <v>0.18002560000000001</v>
      </c>
      <c r="R5186">
        <v>-0.98026899999999995</v>
      </c>
      <c r="S5186">
        <v>0.75997919999999997</v>
      </c>
      <c r="T5186">
        <v>-0.126249</v>
      </c>
      <c r="U5186">
        <v>-3.0216059999999998</v>
      </c>
      <c r="V5186">
        <v>3.420778E-2</v>
      </c>
      <c r="W5186">
        <v>0.19165019999999999</v>
      </c>
      <c r="X5186">
        <v>0.98086700000000004</v>
      </c>
      <c r="Y5186">
        <v>-0.1274344</v>
      </c>
      <c r="Z5186">
        <v>2.895973E-2</v>
      </c>
      <c r="AA5186">
        <v>0.99142410000000003</v>
      </c>
      <c r="AB5186">
        <v>29</v>
      </c>
      <c r="AC5186">
        <v>6.71409999999997</v>
      </c>
      <c r="AD5186">
        <v>-1.12236659667</v>
      </c>
      <c r="AE5186">
        <v>-26.521280000000001</v>
      </c>
      <c r="AF5186">
        <v>-3.5262088215352798</v>
      </c>
      <c r="AG5186">
        <v>-1.12236659667</v>
      </c>
      <c r="AH5186">
        <v>27.083393726114799</v>
      </c>
      <c r="AI5186">
        <v>92.353205502287693</v>
      </c>
      <c r="AJ5186">
        <v>97.4180785352101</v>
      </c>
      <c r="AK5186">
        <v>27.335033769032499</v>
      </c>
      <c r="AL5186">
        <v>78.950896572777907</v>
      </c>
      <c r="AM5186">
        <v>88.002616678267799</v>
      </c>
      <c r="AN5186">
        <v>1.00000002153078</v>
      </c>
    </row>
    <row r="5187" spans="1:40" x14ac:dyDescent="0.25">
      <c r="A5187" t="str">
        <f>"20190303171119085"</f>
        <v>20190303171119085</v>
      </c>
      <c r="B5187" t="str">
        <f>"1551604279076376"</f>
        <v>1551604279076376</v>
      </c>
      <c r="C5187" t="s">
        <v>40</v>
      </c>
      <c r="D5187">
        <v>5.2571589999999997</v>
      </c>
      <c r="E5187">
        <v>0.44041269999999999</v>
      </c>
      <c r="F5187" t="s">
        <v>68</v>
      </c>
      <c r="G5187">
        <v>-296.07080000000002</v>
      </c>
      <c r="H5187" s="1">
        <v>-1.361615E-5</v>
      </c>
      <c r="I5187">
        <v>-69.623400000000004</v>
      </c>
      <c r="J5187">
        <v>-302.8322</v>
      </c>
      <c r="K5187">
        <v>1.1223369999999999</v>
      </c>
      <c r="L5187">
        <v>-43.153320000000001</v>
      </c>
      <c r="M5187">
        <v>0.1200547</v>
      </c>
      <c r="N5187">
        <v>-1.171061E-2</v>
      </c>
      <c r="O5187">
        <v>-0.99269830000000003</v>
      </c>
      <c r="P5187">
        <v>8.3152610000000002E-2</v>
      </c>
      <c r="Q5187">
        <v>0.1791652</v>
      </c>
      <c r="R5187">
        <v>-0.98029889999999997</v>
      </c>
      <c r="S5187">
        <v>0.76678469999999999</v>
      </c>
      <c r="T5187">
        <v>-0.1265452</v>
      </c>
      <c r="U5187">
        <v>-3.0197750000000001</v>
      </c>
      <c r="V5187">
        <v>3.4546109999999998E-2</v>
      </c>
      <c r="W5187">
        <v>0.19077640000000001</v>
      </c>
      <c r="X5187">
        <v>0.98102549999999999</v>
      </c>
      <c r="Y5187">
        <v>-0.1278174</v>
      </c>
      <c r="Z5187">
        <v>2.9073620000000001E-2</v>
      </c>
      <c r="AA5187">
        <v>0.99137149999999996</v>
      </c>
      <c r="AB5187">
        <v>29</v>
      </c>
      <c r="AC5187">
        <v>6.7613999999999796</v>
      </c>
      <c r="AD5187">
        <v>-1.1223506161499901</v>
      </c>
      <c r="AE5187">
        <v>-26.470079999999999</v>
      </c>
      <c r="AF5187">
        <v>-3.52845981320811</v>
      </c>
      <c r="AG5187">
        <v>-1.1223506161499901</v>
      </c>
      <c r="AH5187">
        <v>27.044752878015299</v>
      </c>
      <c r="AI5187">
        <v>92.356449175460497</v>
      </c>
      <c r="AJ5187">
        <v>97.433248083891698</v>
      </c>
      <c r="AK5187">
        <v>27.297039359460101</v>
      </c>
      <c r="AL5187">
        <v>79.001903083915806</v>
      </c>
      <c r="AM5187">
        <v>87.983203545885999</v>
      </c>
      <c r="AN5187">
        <v>1.0000000500816599</v>
      </c>
    </row>
    <row r="5188" spans="1:40" x14ac:dyDescent="0.25">
      <c r="A5188" t="str">
        <f>"20190303171119118"</f>
        <v>20190303171119118</v>
      </c>
      <c r="B5188" t="str">
        <f>"1551604279105656"</f>
        <v>1551604279105656</v>
      </c>
      <c r="C5188" t="s">
        <v>40</v>
      </c>
      <c r="D5188">
        <v>5.289148</v>
      </c>
      <c r="E5188">
        <v>0.44046839999999998</v>
      </c>
      <c r="F5188" t="s">
        <v>68</v>
      </c>
      <c r="G5188">
        <v>-296.13990000000001</v>
      </c>
      <c r="H5188" s="1">
        <v>-1.3585040000000001E-5</v>
      </c>
      <c r="I5188">
        <v>-69.331469999999996</v>
      </c>
      <c r="J5188">
        <v>-302.77820000000003</v>
      </c>
      <c r="K5188">
        <v>1.122339</v>
      </c>
      <c r="L5188">
        <v>-43.575740000000003</v>
      </c>
      <c r="M5188">
        <v>0.1225652</v>
      </c>
      <c r="N5188">
        <v>-1.169162E-2</v>
      </c>
      <c r="O5188">
        <v>-0.99239180000000005</v>
      </c>
      <c r="P5188">
        <v>8.7098599999999998E-2</v>
      </c>
      <c r="Q5188">
        <v>0.17829310000000001</v>
      </c>
      <c r="R5188">
        <v>-0.98011519999999996</v>
      </c>
      <c r="S5188">
        <v>0.77166749999999995</v>
      </c>
      <c r="T5188">
        <v>-0.12941359999999999</v>
      </c>
      <c r="U5188">
        <v>-3.018494</v>
      </c>
      <c r="V5188">
        <v>3.3095989999999999E-2</v>
      </c>
      <c r="W5188">
        <v>0.18988369999999999</v>
      </c>
      <c r="X5188">
        <v>0.98124860000000003</v>
      </c>
      <c r="Y5188">
        <v>-0.12690799999999999</v>
      </c>
      <c r="Z5188">
        <v>3.0008389999999999E-2</v>
      </c>
      <c r="AA5188">
        <v>0.99146040000000002</v>
      </c>
      <c r="AB5188">
        <v>29</v>
      </c>
      <c r="AC5188">
        <v>6.6383000000000099</v>
      </c>
      <c r="AD5188">
        <v>-1.12235258504</v>
      </c>
      <c r="AE5188">
        <v>-25.75573</v>
      </c>
      <c r="AF5188">
        <v>-3.4251730816964501</v>
      </c>
      <c r="AG5188">
        <v>-1.12235258504</v>
      </c>
      <c r="AH5188">
        <v>26.3283156812732</v>
      </c>
      <c r="AI5188">
        <v>92.420616516340999</v>
      </c>
      <c r="AJ5188">
        <v>97.412245128778295</v>
      </c>
      <c r="AK5188">
        <v>26.5738911824652</v>
      </c>
      <c r="AL5188">
        <v>79.054002740389606</v>
      </c>
      <c r="AM5188">
        <v>88.068234727532698</v>
      </c>
      <c r="AN5188">
        <v>0.999999989540865</v>
      </c>
    </row>
    <row r="5189" spans="1:40" x14ac:dyDescent="0.25">
      <c r="A5189" t="str">
        <f>"20190303171119145"</f>
        <v>20190303171119145</v>
      </c>
      <c r="B5189" t="str">
        <f>"1551604279135912"</f>
        <v>1551604279135912</v>
      </c>
      <c r="C5189" t="s">
        <v>40</v>
      </c>
      <c r="D5189">
        <v>5.2742239999999896</v>
      </c>
      <c r="E5189">
        <v>0.44054900000000002</v>
      </c>
      <c r="F5189" t="s">
        <v>68</v>
      </c>
      <c r="G5189">
        <v>-296.18040000000002</v>
      </c>
      <c r="H5189" s="1">
        <v>-1.353771E-5</v>
      </c>
      <c r="I5189">
        <v>-69.005039999999994</v>
      </c>
      <c r="J5189">
        <v>-302.7337</v>
      </c>
      <c r="K5189">
        <v>1.122341</v>
      </c>
      <c r="L5189">
        <v>-43.917630000000003</v>
      </c>
      <c r="M5189">
        <v>0.1246058</v>
      </c>
      <c r="N5189">
        <v>-1.167937E-2</v>
      </c>
      <c r="O5189">
        <v>-0.99213779999999996</v>
      </c>
      <c r="P5189">
        <v>8.9137359999999999E-2</v>
      </c>
      <c r="Q5189">
        <v>0.17854709999999999</v>
      </c>
      <c r="R5189">
        <v>-0.97988580000000003</v>
      </c>
      <c r="S5189">
        <v>0.78240969999999999</v>
      </c>
      <c r="T5189">
        <v>-0.1330942</v>
      </c>
      <c r="U5189">
        <v>-3.015533</v>
      </c>
      <c r="V5189">
        <v>3.3063929999999998E-2</v>
      </c>
      <c r="W5189">
        <v>0.19012570000000001</v>
      </c>
      <c r="X5189">
        <v>0.98120280000000004</v>
      </c>
      <c r="Y5189">
        <v>-0.12840299999999999</v>
      </c>
      <c r="Z5189">
        <v>3.1206399999999999E-2</v>
      </c>
      <c r="AA5189">
        <v>0.99123099999999997</v>
      </c>
      <c r="AB5189">
        <v>29</v>
      </c>
      <c r="AC5189">
        <v>6.5532999999999699</v>
      </c>
      <c r="AD5189">
        <v>-1.1223545377099999</v>
      </c>
      <c r="AE5189">
        <v>-25.087409999999998</v>
      </c>
      <c r="AF5189">
        <v>-3.3696559364824399</v>
      </c>
      <c r="AG5189">
        <v>-1.1223545377099999</v>
      </c>
      <c r="AH5189">
        <v>25.660417059918501</v>
      </c>
      <c r="AI5189">
        <v>92.483157930196796</v>
      </c>
      <c r="AJ5189">
        <v>97.481119335487605</v>
      </c>
      <c r="AK5189">
        <v>25.9050432257417</v>
      </c>
      <c r="AL5189">
        <v>79.039879671263506</v>
      </c>
      <c r="AM5189">
        <v>88.070014593431907</v>
      </c>
      <c r="AN5189">
        <v>0.99999996999768703</v>
      </c>
    </row>
    <row r="5190" spans="1:40" x14ac:dyDescent="0.25">
      <c r="A5190" t="str">
        <f>"20190303171119170"</f>
        <v>20190303171119170</v>
      </c>
      <c r="B5190" t="str">
        <f>"1551604279166168"</f>
        <v>1551604279166168</v>
      </c>
      <c r="C5190" t="s">
        <v>40</v>
      </c>
      <c r="D5190">
        <v>5.316211</v>
      </c>
      <c r="E5190">
        <v>0.44065759999999998</v>
      </c>
      <c r="F5190" t="s">
        <v>68</v>
      </c>
      <c r="G5190">
        <v>-296.04180000000002</v>
      </c>
      <c r="H5190" s="1">
        <v>-1.3581140000000001E-5</v>
      </c>
      <c r="I5190">
        <v>-69.489230000000006</v>
      </c>
      <c r="J5190">
        <v>-302.69240000000002</v>
      </c>
      <c r="K5190">
        <v>1.1223459999999901</v>
      </c>
      <c r="L5190">
        <v>-44.229579999999999</v>
      </c>
      <c r="M5190">
        <v>0.12648509999999999</v>
      </c>
      <c r="N5190">
        <v>-1.167E-2</v>
      </c>
      <c r="O5190">
        <v>-0.9919</v>
      </c>
      <c r="P5190">
        <v>9.1439309999999996E-2</v>
      </c>
      <c r="Q5190">
        <v>0.178873799999999</v>
      </c>
      <c r="R5190">
        <v>-0.97961399999999998</v>
      </c>
      <c r="S5190">
        <v>0.78872679999999995</v>
      </c>
      <c r="T5190">
        <v>-0.13228419999999999</v>
      </c>
      <c r="U5190">
        <v>-3.0139469999999999</v>
      </c>
      <c r="V5190">
        <v>3.2603189999999997E-2</v>
      </c>
      <c r="W5190">
        <v>0.19044220000000001</v>
      </c>
      <c r="X5190">
        <v>0.9811569</v>
      </c>
      <c r="Y5190">
        <v>-0.12859870000000001</v>
      </c>
      <c r="Z5190">
        <v>3.095527E-2</v>
      </c>
      <c r="AA5190">
        <v>0.99121349999999997</v>
      </c>
      <c r="AB5190">
        <v>29</v>
      </c>
      <c r="AC5190">
        <v>6.6505999999999901</v>
      </c>
      <c r="AD5190">
        <v>-1.12235958113999</v>
      </c>
      <c r="AE5190">
        <v>-25.259650000000001</v>
      </c>
      <c r="AF5190">
        <v>-3.3957224670027801</v>
      </c>
      <c r="AG5190">
        <v>-1.12235958113999</v>
      </c>
      <c r="AH5190">
        <v>25.8502813427388</v>
      </c>
      <c r="AI5190">
        <v>92.464939411509107</v>
      </c>
      <c r="AJ5190">
        <v>97.483590319516793</v>
      </c>
      <c r="AK5190">
        <v>26.096506808403198</v>
      </c>
      <c r="AL5190">
        <v>79.021408741223297</v>
      </c>
      <c r="AM5190">
        <v>88.096799716639396</v>
      </c>
      <c r="AN5190">
        <v>1.0000000309783099</v>
      </c>
    </row>
    <row r="5191" spans="1:40" x14ac:dyDescent="0.25">
      <c r="A5191" t="str">
        <f>"20190303171119193"</f>
        <v>20190303171119193</v>
      </c>
      <c r="B5191" t="str">
        <f>"1551604279185688"</f>
        <v>1551604279185688</v>
      </c>
      <c r="C5191" t="s">
        <v>40</v>
      </c>
      <c r="D5191">
        <v>5.3052159999999997</v>
      </c>
      <c r="E5191">
        <v>0.44069900000000001</v>
      </c>
      <c r="F5191" t="s">
        <v>68</v>
      </c>
      <c r="G5191">
        <v>-295.89370000000002</v>
      </c>
      <c r="H5191" s="1">
        <v>-1.3620250000000001E-5</v>
      </c>
      <c r="I5191">
        <v>-69.967789999999994</v>
      </c>
      <c r="J5191">
        <v>-302.65199999999999</v>
      </c>
      <c r="K5191">
        <v>1.1223700000000001</v>
      </c>
      <c r="L5191">
        <v>-44.530430000000003</v>
      </c>
      <c r="M5191">
        <v>0.1283465</v>
      </c>
      <c r="N5191">
        <v>-1.166265E-2</v>
      </c>
      <c r="O5191">
        <v>-0.99166069999999995</v>
      </c>
      <c r="P5191">
        <v>9.4572630000000005E-2</v>
      </c>
      <c r="Q5191">
        <v>0.1770967</v>
      </c>
      <c r="R5191">
        <v>-0.97963909999999998</v>
      </c>
      <c r="S5191">
        <v>0.79565430000000004</v>
      </c>
      <c r="T5191">
        <v>-0.13134989999999999</v>
      </c>
      <c r="U5191">
        <v>-3.012146</v>
      </c>
      <c r="V5191">
        <v>3.1337429999999999E-2</v>
      </c>
      <c r="W5191">
        <v>0.1886603</v>
      </c>
      <c r="X5191">
        <v>0.98154229999999998</v>
      </c>
      <c r="Y5191">
        <v>-0.1290171</v>
      </c>
      <c r="Z5191">
        <v>3.0663639999999999E-2</v>
      </c>
      <c r="AA5191">
        <v>0.9911681</v>
      </c>
      <c r="AB5191">
        <v>29</v>
      </c>
      <c r="AC5191">
        <v>6.7582999999999602</v>
      </c>
      <c r="AD5191">
        <v>-1.1223836202499999</v>
      </c>
      <c r="AE5191">
        <v>-25.437360000000002</v>
      </c>
      <c r="AF5191">
        <v>-3.4311389642860299</v>
      </c>
      <c r="AG5191">
        <v>-1.1223836202499999</v>
      </c>
      <c r="AH5191">
        <v>26.047045015584199</v>
      </c>
      <c r="AI5191">
        <v>92.446277819109895</v>
      </c>
      <c r="AJ5191">
        <v>97.504282104201494</v>
      </c>
      <c r="AK5191">
        <v>26.296026574886099</v>
      </c>
      <c r="AL5191">
        <v>79.125389006444607</v>
      </c>
      <c r="AM5191">
        <v>88.171354620851105</v>
      </c>
      <c r="AN5191">
        <v>1.0000000150021899</v>
      </c>
    </row>
    <row r="5192" spans="1:40" x14ac:dyDescent="0.25">
      <c r="A5192" t="str">
        <f>"20190303171119216"</f>
        <v>20190303171119216</v>
      </c>
      <c r="B5192" t="str">
        <f>"1551604279206184"</f>
        <v>1551604279206184</v>
      </c>
      <c r="C5192" t="s">
        <v>40</v>
      </c>
      <c r="D5192">
        <v>5.3472160000000004</v>
      </c>
      <c r="E5192">
        <v>0.44077169999999999</v>
      </c>
      <c r="F5192" t="s">
        <v>68</v>
      </c>
      <c r="G5192">
        <v>-296.11630000000002</v>
      </c>
      <c r="H5192" s="1">
        <v>-1.351304E-5</v>
      </c>
      <c r="I5192">
        <v>-68.989980000000003</v>
      </c>
      <c r="J5192">
        <v>-302.61270000000002</v>
      </c>
      <c r="K5192">
        <v>1.122411</v>
      </c>
      <c r="L5192">
        <v>-44.818730000000002</v>
      </c>
      <c r="M5192">
        <v>0.13021679999999999</v>
      </c>
      <c r="N5192">
        <v>-1.165743E-2</v>
      </c>
      <c r="O5192">
        <v>-0.9914172</v>
      </c>
      <c r="P5192">
        <v>9.8413970000000003E-2</v>
      </c>
      <c r="Q5192">
        <v>0.17576149999999999</v>
      </c>
      <c r="R5192">
        <v>-0.97950150000000002</v>
      </c>
      <c r="S5192">
        <v>0.804199199999999</v>
      </c>
      <c r="T5192">
        <v>-0.1381059</v>
      </c>
      <c r="U5192">
        <v>-3.009674</v>
      </c>
      <c r="V5192">
        <v>2.93455E-2</v>
      </c>
      <c r="W5192">
        <v>0.18732080000000001</v>
      </c>
      <c r="X5192">
        <v>0.98186030000000002</v>
      </c>
      <c r="Y5192">
        <v>-0.12995609999999999</v>
      </c>
      <c r="Z5192">
        <v>3.2837360000000003E-2</v>
      </c>
      <c r="AA5192">
        <v>0.99097590000000002</v>
      </c>
      <c r="AB5192">
        <v>29</v>
      </c>
      <c r="AC5192">
        <v>6.4963999999999897</v>
      </c>
      <c r="AD5192">
        <v>-1.1224245130399999</v>
      </c>
      <c r="AE5192">
        <v>-24.171250000000001</v>
      </c>
      <c r="AF5192">
        <v>-3.2867531635040899</v>
      </c>
      <c r="AG5192">
        <v>-1.1224245130399999</v>
      </c>
      <c r="AH5192">
        <v>24.761617477476801</v>
      </c>
      <c r="AI5192">
        <v>92.572860013646604</v>
      </c>
      <c r="AJ5192">
        <v>97.561002744752898</v>
      </c>
      <c r="AK5192">
        <v>25.0040053440676</v>
      </c>
      <c r="AL5192">
        <v>79.203529125923097</v>
      </c>
      <c r="AM5192">
        <v>88.288073237369105</v>
      </c>
      <c r="AN5192">
        <v>0.99999994459948804</v>
      </c>
    </row>
    <row r="5193" spans="1:40" x14ac:dyDescent="0.25">
      <c r="A5193" t="str">
        <f>"20190303171119253"</f>
        <v>20190303171119253</v>
      </c>
      <c r="B5193" t="str">
        <f>"1551604279246018"</f>
        <v>1551604279246018</v>
      </c>
      <c r="C5193" t="s">
        <v>40</v>
      </c>
      <c r="D5193">
        <v>5.2329749999999997</v>
      </c>
      <c r="E5193">
        <v>0.40404449999999997</v>
      </c>
      <c r="F5193" t="s">
        <v>68</v>
      </c>
      <c r="G5193">
        <v>-296.23079999999999</v>
      </c>
      <c r="H5193" s="1">
        <v>-1.343331E-5</v>
      </c>
      <c r="I5193">
        <v>-68.355729999999994</v>
      </c>
      <c r="J5193">
        <v>-302.54719999999998</v>
      </c>
      <c r="K5193">
        <v>1.122576</v>
      </c>
      <c r="L5193">
        <v>-45.287350000000004</v>
      </c>
      <c r="M5193">
        <v>0.1335655</v>
      </c>
      <c r="N5193">
        <v>-1.1653429999999999E-2</v>
      </c>
      <c r="O5193">
        <v>-0.99097159999999995</v>
      </c>
      <c r="P5193">
        <v>0.1033632</v>
      </c>
      <c r="Q5193">
        <v>0.17721589999999901</v>
      </c>
      <c r="R5193">
        <v>-0.97872930000000002</v>
      </c>
      <c r="S5193">
        <v>0.8152161</v>
      </c>
      <c r="T5193">
        <v>-0.14337730000000001</v>
      </c>
      <c r="U5193">
        <v>-3.0065919999999999</v>
      </c>
      <c r="V5193">
        <v>2.7581310000000001E-2</v>
      </c>
      <c r="W5193">
        <v>0.188774</v>
      </c>
      <c r="X5193">
        <v>0.98163310000000004</v>
      </c>
      <c r="Y5193">
        <v>-0.13022899999999901</v>
      </c>
      <c r="Z5193">
        <v>3.4529089999999998E-2</v>
      </c>
      <c r="AA5193">
        <v>0.9908825</v>
      </c>
      <c r="AB5193">
        <v>29</v>
      </c>
      <c r="AC5193">
        <v>6.3163999999999803</v>
      </c>
      <c r="AD5193">
        <v>-1.1225894333099999</v>
      </c>
      <c r="AE5193">
        <v>-23.068380000000001</v>
      </c>
      <c r="AF5193">
        <v>-3.1714620635839101</v>
      </c>
      <c r="AG5193">
        <v>-1.1225894333099999</v>
      </c>
      <c r="AH5193">
        <v>23.653261578908801</v>
      </c>
      <c r="AI5193">
        <v>92.693167573525201</v>
      </c>
      <c r="AJ5193">
        <v>97.636750767420295</v>
      </c>
      <c r="AK5193">
        <v>23.891319803996101</v>
      </c>
      <c r="AL5193">
        <v>79.118754533335903</v>
      </c>
      <c r="AM5193">
        <v>88.3905626319779</v>
      </c>
      <c r="AN5193">
        <v>0.99999994737646103</v>
      </c>
    </row>
    <row r="5194" spans="1:40" x14ac:dyDescent="0.25">
      <c r="A5194" t="str">
        <f>"20190303171119287"</f>
        <v>20190303171119287</v>
      </c>
      <c r="B5194" t="str">
        <f>"1551604279276274"</f>
        <v>1551604279276274</v>
      </c>
      <c r="C5194" t="s">
        <v>40</v>
      </c>
      <c r="D5194">
        <v>5.2572400000000004</v>
      </c>
      <c r="E5194">
        <v>0.38679269999999999</v>
      </c>
      <c r="F5194" t="s">
        <v>101</v>
      </c>
      <c r="G5194">
        <v>-285.28339999999997</v>
      </c>
      <c r="H5194">
        <v>0.33000370000000001</v>
      </c>
      <c r="I5194">
        <v>-90.976820000000004</v>
      </c>
      <c r="J5194">
        <v>-302.48660000000001</v>
      </c>
      <c r="K5194">
        <v>1.122754</v>
      </c>
      <c r="L5194">
        <v>-45.70834</v>
      </c>
      <c r="M5194">
        <v>0.1369601</v>
      </c>
      <c r="N5194">
        <v>-1.1653780000000001E-2</v>
      </c>
      <c r="O5194">
        <v>-0.9905079</v>
      </c>
      <c r="P5194">
        <v>0.10696319999999999</v>
      </c>
      <c r="Q5194">
        <v>0.17677319999999999</v>
      </c>
      <c r="R5194">
        <v>-0.97842220000000002</v>
      </c>
      <c r="S5194">
        <v>1.1171260000000001</v>
      </c>
      <c r="T5194">
        <v>-5.1285509999999999E-2</v>
      </c>
      <c r="U5194">
        <v>-2.956512</v>
      </c>
      <c r="V5194">
        <v>2.7258330000000001E-2</v>
      </c>
      <c r="W5194">
        <v>0.18834419999999999</v>
      </c>
      <c r="X5194">
        <v>0.98172470000000001</v>
      </c>
      <c r="Y5194">
        <v>-0.22196350000000001</v>
      </c>
      <c r="Z5194">
        <v>4.957525E-3</v>
      </c>
      <c r="AA5194">
        <v>0.97504239999999998</v>
      </c>
      <c r="AB5194">
        <v>29</v>
      </c>
      <c r="AC5194">
        <v>17.203199999999999</v>
      </c>
      <c r="AD5194">
        <v>-0.79275030000000002</v>
      </c>
      <c r="AE5194">
        <v>-45.268479999999897</v>
      </c>
      <c r="AF5194">
        <v>-10.837763057620499</v>
      </c>
      <c r="AG5194">
        <v>-0.79275030000000002</v>
      </c>
      <c r="AH5194">
        <v>47.185504793646302</v>
      </c>
      <c r="AI5194">
        <v>90.938097577034299</v>
      </c>
      <c r="AJ5194">
        <v>102.935576255409</v>
      </c>
      <c r="AK5194">
        <v>48.420630146276402</v>
      </c>
      <c r="AL5194">
        <v>79.143830322894701</v>
      </c>
      <c r="AM5194">
        <v>88.409547906415398</v>
      </c>
      <c r="AN5194">
        <v>0.99999997040905897</v>
      </c>
    </row>
    <row r="5195" spans="1:40" x14ac:dyDescent="0.25">
      <c r="A5195" t="str">
        <f>"20190303171119314"</f>
        <v>20190303171119314</v>
      </c>
      <c r="B5195" t="str">
        <f>"1551604279305554"</f>
        <v>1551604279305554</v>
      </c>
      <c r="C5195" t="s">
        <v>40</v>
      </c>
      <c r="D5195">
        <v>5.2687080000000002</v>
      </c>
      <c r="E5195">
        <v>0.38014619999999999</v>
      </c>
      <c r="F5195" t="s">
        <v>101</v>
      </c>
      <c r="G5195">
        <v>-287.50810000000001</v>
      </c>
      <c r="H5195">
        <v>1.30036</v>
      </c>
      <c r="I5195">
        <v>-80.464519999999993</v>
      </c>
      <c r="J5195">
        <v>-302.43439999999998</v>
      </c>
      <c r="K5195">
        <v>1.1229279999999999</v>
      </c>
      <c r="L5195">
        <v>-46.061219999999999</v>
      </c>
      <c r="M5195">
        <v>0.1401297</v>
      </c>
      <c r="N5195">
        <v>-1.165623E-2</v>
      </c>
      <c r="O5195">
        <v>-0.99006470000000002</v>
      </c>
      <c r="P5195">
        <v>0.11174000000000001</v>
      </c>
      <c r="Q5195">
        <v>0.1743953</v>
      </c>
      <c r="R5195">
        <v>-0.97831539999999995</v>
      </c>
      <c r="S5195">
        <v>1.260834</v>
      </c>
      <c r="T5195">
        <v>1.495135E-2</v>
      </c>
      <c r="U5195">
        <v>-2.9256289999999998</v>
      </c>
      <c r="V5195">
        <v>2.55914E-2</v>
      </c>
      <c r="W5195">
        <v>0.1859787</v>
      </c>
      <c r="X5195">
        <v>0.98222050000000005</v>
      </c>
      <c r="Y5195">
        <v>-0.26310879999999998</v>
      </c>
      <c r="Z5195">
        <v>-1.6056870000000001E-2</v>
      </c>
      <c r="AA5195">
        <v>0.9646325</v>
      </c>
      <c r="AB5195">
        <v>29</v>
      </c>
      <c r="AC5195">
        <v>14.9262999999999</v>
      </c>
      <c r="AD5195">
        <v>0.17743199999999901</v>
      </c>
      <c r="AE5195">
        <v>-34.403299999999902</v>
      </c>
      <c r="AF5195">
        <v>-9.9575306668323798</v>
      </c>
      <c r="AG5195">
        <v>0.17743199999999901</v>
      </c>
      <c r="AH5195">
        <v>36.154752156306898</v>
      </c>
      <c r="AI5195">
        <v>89.728912500606299</v>
      </c>
      <c r="AJ5195">
        <v>105.39831010915999</v>
      </c>
      <c r="AK5195">
        <v>37.501333344022697</v>
      </c>
      <c r="AL5195">
        <v>79.281802499555297</v>
      </c>
      <c r="AM5195">
        <v>88.507516840463694</v>
      </c>
      <c r="AN5195">
        <v>1.00000005361394</v>
      </c>
    </row>
    <row r="5196" spans="1:40" x14ac:dyDescent="0.25">
      <c r="A5196" t="str">
        <f>"20190303171119335"</f>
        <v>20190303171119335</v>
      </c>
      <c r="B5196" t="str">
        <f>"1551604279326050"</f>
        <v>1551604279326050</v>
      </c>
      <c r="C5196" t="s">
        <v>40</v>
      </c>
      <c r="D5196">
        <v>5.2267510000000001</v>
      </c>
      <c r="E5196">
        <v>0.37835269999999999</v>
      </c>
      <c r="F5196" t="s">
        <v>101</v>
      </c>
      <c r="G5196">
        <v>-286.76350000000002</v>
      </c>
      <c r="H5196">
        <v>1.4961279999999999</v>
      </c>
      <c r="I5196">
        <v>-80.464519999999993</v>
      </c>
      <c r="J5196">
        <v>-302.3931</v>
      </c>
      <c r="K5196">
        <v>1.123084</v>
      </c>
      <c r="L5196">
        <v>-46.333370000000002</v>
      </c>
      <c r="M5196">
        <v>0.14282</v>
      </c>
      <c r="N5196">
        <v>-1.1670740000000001E-2</v>
      </c>
      <c r="O5196">
        <v>-0.98968009999999995</v>
      </c>
      <c r="P5196">
        <v>0.115965</v>
      </c>
      <c r="Q5196">
        <v>0.17351040000000001</v>
      </c>
      <c r="R5196">
        <v>-0.97798099999999999</v>
      </c>
      <c r="S5196">
        <v>1.3252870000000001</v>
      </c>
      <c r="T5196">
        <v>3.1562569999999998E-2</v>
      </c>
      <c r="U5196">
        <v>-2.9094850000000001</v>
      </c>
      <c r="V5196">
        <v>2.397229E-2</v>
      </c>
      <c r="W5196">
        <v>0.1851119</v>
      </c>
      <c r="X5196">
        <v>0.98242499999999999</v>
      </c>
      <c r="Y5196">
        <v>-0.28019899999999998</v>
      </c>
      <c r="Z5196">
        <v>-2.1283630000000001E-2</v>
      </c>
      <c r="AA5196">
        <v>0.9597059</v>
      </c>
      <c r="AB5196">
        <v>29</v>
      </c>
      <c r="AC5196">
        <v>15.6295999999999</v>
      </c>
      <c r="AD5196">
        <v>0.37304399999999999</v>
      </c>
      <c r="AE5196">
        <v>-34.131149999999899</v>
      </c>
      <c r="AF5196">
        <v>-10.5933662483869</v>
      </c>
      <c r="AG5196">
        <v>0.37304399999999999</v>
      </c>
      <c r="AH5196">
        <v>36.010027847529201</v>
      </c>
      <c r="AI5196">
        <v>89.4305941680811</v>
      </c>
      <c r="AJ5196">
        <v>106.39273505442399</v>
      </c>
      <c r="AK5196">
        <v>37.537723371006798</v>
      </c>
      <c r="AL5196">
        <v>79.332343341566798</v>
      </c>
      <c r="AM5196">
        <v>88.602195041562297</v>
      </c>
      <c r="AN5196">
        <v>0.99999998341722596</v>
      </c>
    </row>
    <row r="5197" spans="1:40" x14ac:dyDescent="0.25">
      <c r="A5197" t="str">
        <f>"20190303171119360"</f>
        <v>20190303171119360</v>
      </c>
      <c r="B5197" t="str">
        <f>"1551604279356306"</f>
        <v>1551604279356306</v>
      </c>
      <c r="C5197" t="s">
        <v>40</v>
      </c>
      <c r="D5197">
        <v>5.2931429999999997</v>
      </c>
      <c r="E5197">
        <v>0.377002</v>
      </c>
      <c r="F5197" t="s">
        <v>101</v>
      </c>
      <c r="G5197">
        <v>-286.48579999999998</v>
      </c>
      <c r="H5197">
        <v>1.536589</v>
      </c>
      <c r="I5197">
        <v>-80.464519999999993</v>
      </c>
      <c r="J5197">
        <v>-302.34750000000003</v>
      </c>
      <c r="K5197">
        <v>1.123292</v>
      </c>
      <c r="L5197">
        <v>-46.625950000000003</v>
      </c>
      <c r="M5197">
        <v>0.1460138</v>
      </c>
      <c r="N5197">
        <v>-1.1702250000000001E-2</v>
      </c>
      <c r="O5197">
        <v>-0.98921349999999997</v>
      </c>
      <c r="P5197">
        <v>0.1192008</v>
      </c>
      <c r="Q5197">
        <v>0.173426</v>
      </c>
      <c r="R5197">
        <v>-0.97760650000000004</v>
      </c>
      <c r="S5197">
        <v>1.3520509999999999</v>
      </c>
      <c r="T5197">
        <v>3.5147310000000001E-2</v>
      </c>
      <c r="U5197">
        <v>-2.9010009999999999</v>
      </c>
      <c r="V5197">
        <v>2.3806750000000002E-2</v>
      </c>
      <c r="W5197">
        <v>0.18507009999999999</v>
      </c>
      <c r="X5197">
        <v>0.98243689999999995</v>
      </c>
      <c r="Y5197">
        <v>-0.28544509999999901</v>
      </c>
      <c r="Z5197">
        <v>-2.2423129999999999E-2</v>
      </c>
      <c r="AA5197">
        <v>0.95813269999999995</v>
      </c>
      <c r="AB5197">
        <v>29</v>
      </c>
      <c r="AC5197">
        <v>15.861700000000001</v>
      </c>
      <c r="AD5197">
        <v>0.41329700000000003</v>
      </c>
      <c r="AE5197">
        <v>-33.838569999999898</v>
      </c>
      <c r="AF5197">
        <v>-10.749129319951599</v>
      </c>
      <c r="AG5197">
        <v>0.41329700000000003</v>
      </c>
      <c r="AH5197">
        <v>35.787665462291301</v>
      </c>
      <c r="AI5197">
        <v>89.366308785270405</v>
      </c>
      <c r="AJ5197">
        <v>106.718086614421</v>
      </c>
      <c r="AK5197">
        <v>37.369393824199598</v>
      </c>
      <c r="AL5197">
        <v>79.334780408535806</v>
      </c>
      <c r="AM5197">
        <v>88.611860563708305</v>
      </c>
      <c r="AN5197">
        <v>0.999999982870591</v>
      </c>
    </row>
    <row r="5198" spans="1:40" x14ac:dyDescent="0.25">
      <c r="A5198" t="str">
        <f>"20190303171119382"</f>
        <v>20190303171119382</v>
      </c>
      <c r="B5198" t="str">
        <f>"1551604279375826"</f>
        <v>1551604279375826</v>
      </c>
      <c r="C5198" t="s">
        <v>40</v>
      </c>
      <c r="D5198">
        <v>5.2688470000000001</v>
      </c>
      <c r="E5198">
        <v>0.3764516</v>
      </c>
      <c r="F5198" t="s">
        <v>101</v>
      </c>
      <c r="G5198">
        <v>-286.29770000000002</v>
      </c>
      <c r="H5198">
        <v>1.5712740000000001</v>
      </c>
      <c r="I5198">
        <v>-80.464519999999993</v>
      </c>
      <c r="J5198">
        <v>-302.30090000000001</v>
      </c>
      <c r="K5198">
        <v>1.1235200000000001</v>
      </c>
      <c r="L5198">
        <v>-46.916960000000003</v>
      </c>
      <c r="M5198">
        <v>0.14948689999999901</v>
      </c>
      <c r="N5198">
        <v>-1.1748750000000001E-2</v>
      </c>
      <c r="O5198">
        <v>-0.98869410000000002</v>
      </c>
      <c r="P5198">
        <v>0.1224879</v>
      </c>
      <c r="Q5198">
        <v>0.17417449999999901</v>
      </c>
      <c r="R5198">
        <v>-0.97706720000000002</v>
      </c>
      <c r="S5198">
        <v>1.3728940000000001</v>
      </c>
      <c r="T5198">
        <v>3.8321260000000003E-2</v>
      </c>
      <c r="U5198">
        <v>-2.8945310000000002</v>
      </c>
      <c r="V5198">
        <v>2.3831350000000001E-2</v>
      </c>
      <c r="W5198">
        <v>0.1858756</v>
      </c>
      <c r="X5198">
        <v>0.98228419999999905</v>
      </c>
      <c r="Y5198">
        <v>-0.28853679999999998</v>
      </c>
      <c r="Z5198">
        <v>-2.3446359999999999E-2</v>
      </c>
      <c r="AA5198">
        <v>0.95718170000000002</v>
      </c>
      <c r="AB5198">
        <v>29</v>
      </c>
      <c r="AC5198">
        <v>16.0031999999999</v>
      </c>
      <c r="AD5198">
        <v>0.44775399999999999</v>
      </c>
      <c r="AE5198">
        <v>-33.547559999999997</v>
      </c>
      <c r="AF5198">
        <v>-10.806524331901</v>
      </c>
      <c r="AG5198">
        <v>0.44775399999999999</v>
      </c>
      <c r="AH5198">
        <v>35.557830980415901</v>
      </c>
      <c r="AI5198">
        <v>89.309724922307296</v>
      </c>
      <c r="AJ5198">
        <v>106.904763604894</v>
      </c>
      <c r="AK5198">
        <v>37.166393365677997</v>
      </c>
      <c r="AL5198">
        <v>79.287813515945999</v>
      </c>
      <c r="AM5198">
        <v>88.610210803046996</v>
      </c>
      <c r="AN5198">
        <v>0.99999996074390995</v>
      </c>
    </row>
    <row r="5199" spans="1:40" x14ac:dyDescent="0.25">
      <c r="A5199" t="str">
        <f>"20190303171119404"</f>
        <v>20190303171119404</v>
      </c>
      <c r="B5199" t="str">
        <f>"1551604279396324"</f>
        <v>1551604279396324</v>
      </c>
      <c r="C5199" t="s">
        <v>40</v>
      </c>
      <c r="D5199">
        <v>5.2900619999999998</v>
      </c>
      <c r="E5199">
        <v>0.37609799999999999</v>
      </c>
      <c r="F5199" t="s">
        <v>101</v>
      </c>
      <c r="G5199">
        <v>-286.18900000000002</v>
      </c>
      <c r="H5199">
        <v>1.61791</v>
      </c>
      <c r="I5199">
        <v>-80.464519999999993</v>
      </c>
      <c r="J5199">
        <v>-302.25560000000002</v>
      </c>
      <c r="K5199">
        <v>1.123721</v>
      </c>
      <c r="L5199">
        <v>-47.192810000000001</v>
      </c>
      <c r="M5199">
        <v>0.15301049999999999</v>
      </c>
      <c r="N5199">
        <v>-1.179641E-2</v>
      </c>
      <c r="O5199">
        <v>-0.98815419999999998</v>
      </c>
      <c r="P5199">
        <v>0.1251255</v>
      </c>
      <c r="Q5199">
        <v>0.17438299999999901</v>
      </c>
      <c r="R5199">
        <v>-0.97669550000000005</v>
      </c>
      <c r="S5199">
        <v>1.387451</v>
      </c>
      <c r="T5199">
        <v>4.2574639999999997E-2</v>
      </c>
      <c r="U5199">
        <v>-2.8888850000000001</v>
      </c>
      <c r="V5199">
        <v>2.458596E-2</v>
      </c>
      <c r="W5199">
        <v>0.18614729999999999</v>
      </c>
      <c r="X5199">
        <v>0.98221420000000004</v>
      </c>
      <c r="Y5199">
        <v>-0.28976190000000002</v>
      </c>
      <c r="Z5199">
        <v>-2.4816330000000001E-2</v>
      </c>
      <c r="AA5199">
        <v>0.95677699999999999</v>
      </c>
      <c r="AB5199">
        <v>29</v>
      </c>
      <c r="AC5199">
        <v>16.066599999999902</v>
      </c>
      <c r="AD5199">
        <v>0.49418899999999999</v>
      </c>
      <c r="AE5199">
        <v>-33.271709999999999</v>
      </c>
      <c r="AF5199">
        <v>-10.784178011962</v>
      </c>
      <c r="AG5199">
        <v>0.49418899999999999</v>
      </c>
      <c r="AH5199">
        <v>35.3320748328969</v>
      </c>
      <c r="AI5199">
        <v>89.233559361929693</v>
      </c>
      <c r="AJ5199">
        <v>106.97341863406599</v>
      </c>
      <c r="AK5199">
        <v>36.944529096455298</v>
      </c>
      <c r="AL5199">
        <v>79.271970282000296</v>
      </c>
      <c r="AM5199">
        <v>88.566119642188795</v>
      </c>
      <c r="AN5199">
        <v>1.0000000107040199</v>
      </c>
    </row>
    <row r="5200" spans="1:40" x14ac:dyDescent="0.25">
      <c r="A5200" t="str">
        <f>"20190303171119424"</f>
        <v>20190303171119424</v>
      </c>
      <c r="B5200" t="str">
        <f>"1551604279415843"</f>
        <v>1551604279415843</v>
      </c>
      <c r="C5200" t="s">
        <v>40</v>
      </c>
      <c r="D5200">
        <v>5.2474780000000001</v>
      </c>
      <c r="E5200">
        <v>0.37569999999999998</v>
      </c>
      <c r="F5200" t="s">
        <v>101</v>
      </c>
      <c r="G5200">
        <v>-286.12799999999999</v>
      </c>
      <c r="H5200">
        <v>1.6313</v>
      </c>
      <c r="I5200">
        <v>-80.464519999999993</v>
      </c>
      <c r="J5200">
        <v>-302.21039999999999</v>
      </c>
      <c r="K5200">
        <v>1.123904</v>
      </c>
      <c r="L5200">
        <v>-47.459470000000003</v>
      </c>
      <c r="M5200">
        <v>0.1566457</v>
      </c>
      <c r="N5200">
        <v>-1.1849790000000001E-2</v>
      </c>
      <c r="O5200">
        <v>-0.98758389999999996</v>
      </c>
      <c r="P5200">
        <v>0.128222</v>
      </c>
      <c r="Q5200">
        <v>0.17394989999999999</v>
      </c>
      <c r="R5200">
        <v>-0.97637110000000005</v>
      </c>
      <c r="S5200">
        <v>1.3982239999999999</v>
      </c>
      <c r="T5200">
        <v>4.4006940000000001E-2</v>
      </c>
      <c r="U5200">
        <v>-2.8845830000000001</v>
      </c>
      <c r="V5200">
        <v>2.501749E-2</v>
      </c>
      <c r="W5200">
        <v>0.1857819</v>
      </c>
      <c r="X5200">
        <v>0.98227249999999999</v>
      </c>
      <c r="Y5200">
        <v>-0.28968969999999999</v>
      </c>
      <c r="Z5200">
        <v>-2.5302370000000001E-2</v>
      </c>
      <c r="AA5200">
        <v>0.95678609999999997</v>
      </c>
      <c r="AB5200">
        <v>29</v>
      </c>
      <c r="AC5200">
        <v>16.0824</v>
      </c>
      <c r="AD5200">
        <v>0.50739599999999996</v>
      </c>
      <c r="AE5200">
        <v>-33.005049999999898</v>
      </c>
      <c r="AF5200">
        <v>-10.7113252387245</v>
      </c>
      <c r="AG5200">
        <v>0.50739599999999996</v>
      </c>
      <c r="AH5200">
        <v>35.110250254953201</v>
      </c>
      <c r="AI5200">
        <v>89.208075597834593</v>
      </c>
      <c r="AJ5200">
        <v>106.965735263071</v>
      </c>
      <c r="AK5200">
        <v>36.711300876378502</v>
      </c>
      <c r="AL5200">
        <v>79.293278012731307</v>
      </c>
      <c r="AM5200">
        <v>88.541049680188493</v>
      </c>
      <c r="AN5200">
        <v>1.0000000267148701</v>
      </c>
    </row>
    <row r="5201" spans="1:40" x14ac:dyDescent="0.25">
      <c r="A5201" t="str">
        <f>"20190303171119448"</f>
        <v>20190303171119448</v>
      </c>
      <c r="B5201" t="str">
        <f>"1551604279436338"</f>
        <v>1551604279436338</v>
      </c>
      <c r="C5201" t="s">
        <v>40</v>
      </c>
      <c r="D5201">
        <v>5.3471199999999897</v>
      </c>
      <c r="E5201">
        <v>0.37556630000000002</v>
      </c>
      <c r="F5201" t="s">
        <v>101</v>
      </c>
      <c r="G5201">
        <v>-286.04410000000001</v>
      </c>
      <c r="H5201">
        <v>1.6344449999999999</v>
      </c>
      <c r="I5201">
        <v>-80.464519999999993</v>
      </c>
      <c r="J5201">
        <v>-302.1617</v>
      </c>
      <c r="K5201">
        <v>1.1241030000000001</v>
      </c>
      <c r="L5201">
        <v>-47.739559999999997</v>
      </c>
      <c r="M5201">
        <v>0.16072990000000001</v>
      </c>
      <c r="N5201">
        <v>-1.191935E-2</v>
      </c>
      <c r="O5201">
        <v>-0.98692639999999998</v>
      </c>
      <c r="P5201">
        <v>0.1337749</v>
      </c>
      <c r="Q5201">
        <v>0.1740247</v>
      </c>
      <c r="R5201">
        <v>-0.97561260000000005</v>
      </c>
      <c r="S5201">
        <v>1.4104000000000001</v>
      </c>
      <c r="T5201">
        <v>4.4542070000000003E-2</v>
      </c>
      <c r="U5201">
        <v>-2.8794559999999998</v>
      </c>
      <c r="V5201">
        <v>2.3397169999999998E-2</v>
      </c>
      <c r="W5201">
        <v>0.1859257</v>
      </c>
      <c r="X5201">
        <v>0.98228519999999997</v>
      </c>
      <c r="Y5201">
        <v>-0.289664799999999</v>
      </c>
      <c r="Z5201">
        <v>-2.5519159999999999E-2</v>
      </c>
      <c r="AA5201">
        <v>0.95678790000000002</v>
      </c>
      <c r="AB5201">
        <v>29</v>
      </c>
      <c r="AC5201">
        <v>16.1175999999999</v>
      </c>
      <c r="AD5201">
        <v>0.51034199999999996</v>
      </c>
      <c r="AE5201">
        <v>-32.724960000000003</v>
      </c>
      <c r="AF5201">
        <v>-10.6456787668755</v>
      </c>
      <c r="AG5201">
        <v>0.51034199999999996</v>
      </c>
      <c r="AH5201">
        <v>34.883360149619001</v>
      </c>
      <c r="AI5201">
        <v>89.198320995337298</v>
      </c>
      <c r="AJ5201">
        <v>106.97110322573199</v>
      </c>
      <c r="AK5201">
        <v>36.475193497670404</v>
      </c>
      <c r="AL5201">
        <v>79.284892539198296</v>
      </c>
      <c r="AM5201">
        <v>88.635522903617399</v>
      </c>
      <c r="AN5201">
        <v>1.00000000381176</v>
      </c>
    </row>
    <row r="5202" spans="1:40" x14ac:dyDescent="0.25">
      <c r="A5202" t="str">
        <f>"20190303171119471"</f>
        <v>20190303171119471</v>
      </c>
      <c r="B5202" t="str">
        <f>"1551604279465618"</f>
        <v>1551604279465618</v>
      </c>
      <c r="C5202" t="s">
        <v>40</v>
      </c>
      <c r="D5202">
        <v>5.2334610000000001</v>
      </c>
      <c r="E5202">
        <v>0.37501820000000002</v>
      </c>
      <c r="F5202" t="s">
        <v>101</v>
      </c>
      <c r="G5202">
        <v>-285.8802</v>
      </c>
      <c r="H5202">
        <v>1.6405240000000001</v>
      </c>
      <c r="I5202">
        <v>-80.464519999999993</v>
      </c>
      <c r="J5202">
        <v>-302.10950000000003</v>
      </c>
      <c r="K5202">
        <v>1.1243209999999999</v>
      </c>
      <c r="L5202">
        <v>-48.030520000000003</v>
      </c>
      <c r="M5202">
        <v>0.16526070000000001</v>
      </c>
      <c r="N5202">
        <v>-1.2000790000000001E-2</v>
      </c>
      <c r="O5202">
        <v>-0.98617690000000002</v>
      </c>
      <c r="P5202">
        <v>0.14051140000000001</v>
      </c>
      <c r="Q5202">
        <v>0.17299729999999999</v>
      </c>
      <c r="R5202">
        <v>-0.9748481</v>
      </c>
      <c r="S5202">
        <v>1.4284059999999901</v>
      </c>
      <c r="T5202">
        <v>4.530787E-2</v>
      </c>
      <c r="U5202">
        <v>-2.8710330000000002</v>
      </c>
      <c r="V5202">
        <v>2.1059459999999999E-2</v>
      </c>
      <c r="W5202">
        <v>0.1849759</v>
      </c>
      <c r="X5202">
        <v>0.98251739999999999</v>
      </c>
      <c r="Y5202">
        <v>-0.291195599999999</v>
      </c>
      <c r="Z5202">
        <v>-2.5819180000000001E-2</v>
      </c>
      <c r="AA5202">
        <v>0.95631500000000003</v>
      </c>
      <c r="AB5202">
        <v>29</v>
      </c>
      <c r="AC5202">
        <v>16.229299999999999</v>
      </c>
      <c r="AD5202">
        <v>0.51620299999999997</v>
      </c>
      <c r="AE5202">
        <v>-32.433999999999898</v>
      </c>
      <c r="AF5202">
        <v>-10.643505687143699</v>
      </c>
      <c r="AG5202">
        <v>0.51620299999999997</v>
      </c>
      <c r="AH5202">
        <v>34.663201698659798</v>
      </c>
      <c r="AI5202">
        <v>89.184394063157001</v>
      </c>
      <c r="AJ5202">
        <v>107.06936040826101</v>
      </c>
      <c r="AK5202">
        <v>36.264145251907401</v>
      </c>
      <c r="AL5202">
        <v>79.340272819928003</v>
      </c>
      <c r="AM5202">
        <v>88.7720996650974</v>
      </c>
      <c r="AN5202">
        <v>1.0000000128695301</v>
      </c>
    </row>
    <row r="5203" spans="1:40" x14ac:dyDescent="0.25">
      <c r="A5203" t="str">
        <f>"20190303171119498"</f>
        <v>20190303171119498</v>
      </c>
      <c r="B5203" t="str">
        <f>"1551604279486114"</f>
        <v>1551604279486114</v>
      </c>
      <c r="C5203" t="s">
        <v>40</v>
      </c>
      <c r="D5203">
        <v>5.2370809999999999</v>
      </c>
      <c r="E5203">
        <v>0.37480540000000001</v>
      </c>
      <c r="F5203" t="s">
        <v>101</v>
      </c>
      <c r="G5203">
        <v>-285.63639999999998</v>
      </c>
      <c r="H5203">
        <v>1.651861</v>
      </c>
      <c r="I5203">
        <v>-80.464519999999993</v>
      </c>
      <c r="J5203">
        <v>-302.04450000000003</v>
      </c>
      <c r="K5203">
        <v>1.124595</v>
      </c>
      <c r="L5203">
        <v>-48.380890000000001</v>
      </c>
      <c r="M5203">
        <v>0.1711039</v>
      </c>
      <c r="N5203">
        <v>-1.2114079999999999E-2</v>
      </c>
      <c r="O5203">
        <v>-0.98517849999999996</v>
      </c>
      <c r="P5203">
        <v>0.14720269999999999</v>
      </c>
      <c r="Q5203">
        <v>0.17208039999999999</v>
      </c>
      <c r="R5203">
        <v>-0.97402259999999996</v>
      </c>
      <c r="S5203">
        <v>1.4524840000000001</v>
      </c>
      <c r="T5203">
        <v>4.6515939999999999E-2</v>
      </c>
      <c r="U5203">
        <v>-2.8598020000000002</v>
      </c>
      <c r="V5203">
        <v>2.004912E-2</v>
      </c>
      <c r="W5203">
        <v>0.18417829999999999</v>
      </c>
      <c r="X5203">
        <v>0.98268840000000002</v>
      </c>
      <c r="Y5203">
        <v>-0.29343730000000001</v>
      </c>
      <c r="Z5203">
        <v>-2.6281160000000001E-2</v>
      </c>
      <c r="AA5203">
        <v>0.95561700000000005</v>
      </c>
      <c r="AB5203">
        <v>29</v>
      </c>
      <c r="AC5203">
        <v>16.408100000000001</v>
      </c>
      <c r="AD5203">
        <v>0.52726600000000001</v>
      </c>
      <c r="AE5203">
        <v>-32.0836299999999</v>
      </c>
      <c r="AF5203">
        <v>-10.6737715538563</v>
      </c>
      <c r="AG5203">
        <v>0.52726600000000001</v>
      </c>
      <c r="AH5203">
        <v>34.410751518045302</v>
      </c>
      <c r="AI5203">
        <v>89.161546150815695</v>
      </c>
      <c r="AJ5203">
        <v>107.23321634365</v>
      </c>
      <c r="AK5203">
        <v>36.032030593006098</v>
      </c>
      <c r="AL5203">
        <v>79.3867712870166</v>
      </c>
      <c r="AM5203">
        <v>88.831195513520598</v>
      </c>
      <c r="AN5203">
        <v>1.0000000524491099</v>
      </c>
    </row>
    <row r="5204" spans="1:40" x14ac:dyDescent="0.25">
      <c r="A5204" t="str">
        <f>"20190303171119533"</f>
        <v>20190303171119533</v>
      </c>
      <c r="B5204" t="str">
        <f>"1551604279526130"</f>
        <v>1551604279526130</v>
      </c>
      <c r="C5204" t="s">
        <v>40</v>
      </c>
      <c r="D5204">
        <v>5.3070959999999996</v>
      </c>
      <c r="E5204">
        <v>0.37422559999999999</v>
      </c>
      <c r="F5204" t="s">
        <v>101</v>
      </c>
      <c r="G5204">
        <v>-285.43790000000001</v>
      </c>
      <c r="H5204">
        <v>1.6552929999999999</v>
      </c>
      <c r="I5204">
        <v>-80.464519999999993</v>
      </c>
      <c r="J5204">
        <v>-301.96080000000001</v>
      </c>
      <c r="K5204">
        <v>1.124941</v>
      </c>
      <c r="L5204">
        <v>-48.811549999999997</v>
      </c>
      <c r="M5204">
        <v>0.1789027</v>
      </c>
      <c r="N5204">
        <v>-1.226696E-2</v>
      </c>
      <c r="O5204">
        <v>-0.98379050000000001</v>
      </c>
      <c r="P5204">
        <v>0.15605820000000001</v>
      </c>
      <c r="Q5204">
        <v>0.17096720000000001</v>
      </c>
      <c r="R5204">
        <v>-0.97283949999999997</v>
      </c>
      <c r="S5204">
        <v>1.4745790000000001</v>
      </c>
      <c r="T5204">
        <v>4.7124390000000002E-2</v>
      </c>
      <c r="U5204">
        <v>-2.848846</v>
      </c>
      <c r="V5204">
        <v>1.8784140000000001E-2</v>
      </c>
      <c r="W5204">
        <v>0.18322350000000001</v>
      </c>
      <c r="X5204">
        <v>0.98289179999999998</v>
      </c>
      <c r="Y5204">
        <v>-0.2932073</v>
      </c>
      <c r="Z5204">
        <v>-2.658336E-2</v>
      </c>
      <c r="AA5204">
        <v>0.95567919999999995</v>
      </c>
      <c r="AB5204">
        <v>29</v>
      </c>
      <c r="AC5204">
        <v>16.5228999999999</v>
      </c>
      <c r="AD5204">
        <v>0.53035200000000005</v>
      </c>
      <c r="AE5204">
        <v>-31.65297</v>
      </c>
      <c r="AF5204">
        <v>-10.590728633100399</v>
      </c>
      <c r="AG5204">
        <v>0.53035200000000005</v>
      </c>
      <c r="AH5204">
        <v>34.090920211584397</v>
      </c>
      <c r="AI5204">
        <v>89.148842780375006</v>
      </c>
      <c r="AJ5204">
        <v>107.257995993798</v>
      </c>
      <c r="AK5204">
        <v>35.7020398170257</v>
      </c>
      <c r="AL5204">
        <v>79.442423752656595</v>
      </c>
      <c r="AM5204">
        <v>88.905148110349501</v>
      </c>
      <c r="AN5204">
        <v>0.99999999268751405</v>
      </c>
    </row>
    <row r="5205" spans="1:40" x14ac:dyDescent="0.25">
      <c r="A5205" t="str">
        <f>"20190303171119566"</f>
        <v>20190303171119566</v>
      </c>
      <c r="B5205" t="str">
        <f>"1551604279556386"</f>
        <v>1551604279556386</v>
      </c>
      <c r="C5205" t="s">
        <v>40</v>
      </c>
      <c r="D5205">
        <v>5.2499909999999996</v>
      </c>
      <c r="E5205">
        <v>0.3740077</v>
      </c>
      <c r="F5205" t="s">
        <v>70</v>
      </c>
      <c r="G5205">
        <v>-277.17500000000001</v>
      </c>
      <c r="H5205">
        <v>1.9238280000000001</v>
      </c>
      <c r="I5205">
        <v>-95.497789999999995</v>
      </c>
      <c r="J5205">
        <v>-301.87920000000003</v>
      </c>
      <c r="K5205">
        <v>1.1252549999999999</v>
      </c>
      <c r="L5205">
        <v>-49.210850000000001</v>
      </c>
      <c r="M5205">
        <v>0.18671219999999999</v>
      </c>
      <c r="N5205">
        <v>-1.240847E-2</v>
      </c>
      <c r="O5205">
        <v>-0.98233630000000005</v>
      </c>
      <c r="P5205">
        <v>0.1671155</v>
      </c>
      <c r="Q5205">
        <v>0.1716491</v>
      </c>
      <c r="R5205">
        <v>-0.97088050000000004</v>
      </c>
      <c r="S5205">
        <v>1.5045170000000001</v>
      </c>
      <c r="T5205">
        <v>4.849386E-2</v>
      </c>
      <c r="U5205">
        <v>-2.8338930000000002</v>
      </c>
      <c r="V5205">
        <v>1.523949E-2</v>
      </c>
      <c r="W5205">
        <v>0.1840232</v>
      </c>
      <c r="X5205">
        <v>0.98280380000000001</v>
      </c>
      <c r="Y5205">
        <v>-0.2955719</v>
      </c>
      <c r="Z5205">
        <v>-2.7110700000000001E-2</v>
      </c>
      <c r="AA5205">
        <v>0.95493570000000005</v>
      </c>
      <c r="AB5205">
        <v>29</v>
      </c>
      <c r="AC5205">
        <v>24.7042</v>
      </c>
      <c r="AD5205">
        <v>0.79857299999999998</v>
      </c>
      <c r="AE5205">
        <v>-46.286940000000001</v>
      </c>
      <c r="AF5205">
        <v>-15.6230796196017</v>
      </c>
      <c r="AG5205">
        <v>0.79857299999999998</v>
      </c>
      <c r="AH5205">
        <v>50.074171993180201</v>
      </c>
      <c r="AI5205">
        <v>89.1277947718945</v>
      </c>
      <c r="AJ5205">
        <v>107.327857084746</v>
      </c>
      <c r="AK5205">
        <v>52.460852418154097</v>
      </c>
      <c r="AL5205">
        <v>79.3958123155913</v>
      </c>
      <c r="AM5205">
        <v>89.111635009748198</v>
      </c>
      <c r="AN5205">
        <v>1.00000004474406</v>
      </c>
    </row>
    <row r="5206" spans="1:40" x14ac:dyDescent="0.25">
      <c r="A5206" t="str">
        <f>"20190303171119593"</f>
        <v>20190303171119593</v>
      </c>
      <c r="B5206" t="str">
        <f>"1551604279585666"</f>
        <v>1551604279585666</v>
      </c>
      <c r="C5206" t="s">
        <v>40</v>
      </c>
      <c r="D5206">
        <v>5.2933979999999998</v>
      </c>
      <c r="E5206">
        <v>0.37394889999999997</v>
      </c>
      <c r="F5206" t="s">
        <v>70</v>
      </c>
      <c r="G5206">
        <v>-277.63290000000001</v>
      </c>
      <c r="H5206">
        <v>1.9736180000000001</v>
      </c>
      <c r="I5206">
        <v>-93.568629999999999</v>
      </c>
      <c r="J5206">
        <v>-301.80489999999998</v>
      </c>
      <c r="K5206">
        <v>1.1255440000000001</v>
      </c>
      <c r="L5206">
        <v>-49.559690000000003</v>
      </c>
      <c r="M5206">
        <v>0.19400809999999999</v>
      </c>
      <c r="N5206">
        <v>-1.2536759999999999E-2</v>
      </c>
      <c r="O5206">
        <v>-0.98091989999999996</v>
      </c>
      <c r="P5206">
        <v>0.17497860000000001</v>
      </c>
      <c r="Q5206">
        <v>0.17421059999999999</v>
      </c>
      <c r="R5206">
        <v>-0.96903740000000005</v>
      </c>
      <c r="S5206">
        <v>1.5390010000000001</v>
      </c>
      <c r="T5206">
        <v>5.3849580000000001E-2</v>
      </c>
      <c r="U5206">
        <v>-2.8155519999999998</v>
      </c>
      <c r="V5206">
        <v>1.433969E-2</v>
      </c>
      <c r="W5206">
        <v>0.1867067</v>
      </c>
      <c r="X5206">
        <v>0.98231109999999999</v>
      </c>
      <c r="Y5206">
        <v>-0.30007139999999999</v>
      </c>
      <c r="Z5206">
        <v>-2.888307E-2</v>
      </c>
      <c r="AA5206">
        <v>0.95347939999999998</v>
      </c>
      <c r="AB5206">
        <v>29</v>
      </c>
      <c r="AC5206">
        <v>24.171999999999901</v>
      </c>
      <c r="AD5206">
        <v>0.84807399999999999</v>
      </c>
      <c r="AE5206">
        <v>-44.008940000000003</v>
      </c>
      <c r="AF5206">
        <v>-15.1695685577861</v>
      </c>
      <c r="AG5206">
        <v>0.84807399999999999</v>
      </c>
      <c r="AH5206">
        <v>47.848915661715601</v>
      </c>
      <c r="AI5206">
        <v>89.032064793278707</v>
      </c>
      <c r="AJ5206">
        <v>107.590206179242</v>
      </c>
      <c r="AK5206">
        <v>50.203125099348398</v>
      </c>
      <c r="AL5206">
        <v>79.239347613260406</v>
      </c>
      <c r="AM5206">
        <v>89.163660715013194</v>
      </c>
      <c r="AN5206">
        <v>1.0000000578586901</v>
      </c>
    </row>
    <row r="5207" spans="1:40" x14ac:dyDescent="0.25">
      <c r="A5207" t="str">
        <f>"20190303171119615"</f>
        <v>20190303171119615</v>
      </c>
      <c r="B5207" t="str">
        <f>"1551604279606162"</f>
        <v>1551604279606162</v>
      </c>
      <c r="C5207" t="s">
        <v>40</v>
      </c>
      <c r="D5207">
        <v>5.2593990000000002</v>
      </c>
      <c r="E5207">
        <v>0.37407610000000002</v>
      </c>
      <c r="F5207" t="s">
        <v>70</v>
      </c>
      <c r="G5207">
        <v>-277.63290000000001</v>
      </c>
      <c r="H5207">
        <v>2.1495799999999998</v>
      </c>
      <c r="I5207">
        <v>-92.862089999999995</v>
      </c>
      <c r="J5207">
        <v>-301.74299999999999</v>
      </c>
      <c r="K5207">
        <v>1.1257779999999999</v>
      </c>
      <c r="L5207">
        <v>-49.83905</v>
      </c>
      <c r="M5207">
        <v>0.200181</v>
      </c>
      <c r="N5207">
        <v>-1.263916E-2</v>
      </c>
      <c r="O5207">
        <v>-0.97967749999999998</v>
      </c>
      <c r="P5207">
        <v>0.18243419999999999</v>
      </c>
      <c r="Q5207">
        <v>0.1748044</v>
      </c>
      <c r="R5207">
        <v>-0.96755429999999998</v>
      </c>
      <c r="S5207">
        <v>1.5638729999999901</v>
      </c>
      <c r="T5207">
        <v>6.6253900000000004E-2</v>
      </c>
      <c r="U5207">
        <v>-2.8015750000000001</v>
      </c>
      <c r="V5207">
        <v>1.2829790000000001E-2</v>
      </c>
      <c r="W5207">
        <v>0.18739149999999999</v>
      </c>
      <c r="X5207">
        <v>0.98220149999999995</v>
      </c>
      <c r="Y5207">
        <v>-0.30248760000000002</v>
      </c>
      <c r="Z5207">
        <v>-3.2854580000000001E-2</v>
      </c>
      <c r="AA5207">
        <v>0.95258690000000001</v>
      </c>
      <c r="AB5207">
        <v>29</v>
      </c>
      <c r="AC5207">
        <v>24.1100999999999</v>
      </c>
      <c r="AD5207">
        <v>1.0238019999999901</v>
      </c>
      <c r="AE5207">
        <v>-43.023040000000002</v>
      </c>
      <c r="AF5207">
        <v>-15.0024596202806</v>
      </c>
      <c r="AG5207">
        <v>1.0238019999999901</v>
      </c>
      <c r="AH5207">
        <v>46.958599973233703</v>
      </c>
      <c r="AI5207">
        <v>88.810247548102893</v>
      </c>
      <c r="AJ5207">
        <v>107.71778084603901</v>
      </c>
      <c r="AK5207">
        <v>49.307525557865297</v>
      </c>
      <c r="AL5207">
        <v>79.199405700300801</v>
      </c>
      <c r="AM5207">
        <v>89.251629105257607</v>
      </c>
      <c r="AN5207">
        <v>0.99999998219297104</v>
      </c>
    </row>
    <row r="5208" spans="1:40" x14ac:dyDescent="0.25">
      <c r="A5208" t="str">
        <f>"20190303171119641"</f>
        <v>20190303171119641</v>
      </c>
      <c r="B5208" t="str">
        <f>"1551604279636419"</f>
        <v>1551604279636419</v>
      </c>
      <c r="C5208" t="s">
        <v>40</v>
      </c>
      <c r="D5208">
        <v>5.2619210000000001</v>
      </c>
      <c r="E5208">
        <v>0.37433889999999997</v>
      </c>
      <c r="F5208" t="s">
        <v>70</v>
      </c>
      <c r="G5208">
        <v>-277.63290000000001</v>
      </c>
      <c r="H5208">
        <v>2.1882429999999999</v>
      </c>
      <c r="I5208">
        <v>-92.254199999999997</v>
      </c>
      <c r="J5208">
        <v>-301.67360000000002</v>
      </c>
      <c r="K5208">
        <v>1.1260520000000001</v>
      </c>
      <c r="L5208">
        <v>-50.140470000000001</v>
      </c>
      <c r="M5208">
        <v>0.2072628</v>
      </c>
      <c r="N5208">
        <v>-1.2748300000000001E-2</v>
      </c>
      <c r="O5208">
        <v>-0.97820229999999997</v>
      </c>
      <c r="P5208">
        <v>0.1919592</v>
      </c>
      <c r="Q5208">
        <v>0.17388580000000001</v>
      </c>
      <c r="R5208">
        <v>-0.96587529999999999</v>
      </c>
      <c r="S5208">
        <v>1.585388</v>
      </c>
      <c r="T5208">
        <v>6.9864629999999997E-2</v>
      </c>
      <c r="U5208">
        <v>-2.7890630000000001</v>
      </c>
      <c r="V5208">
        <v>1.017448E-2</v>
      </c>
      <c r="W5208">
        <v>0.18656049999999999</v>
      </c>
      <c r="X5208">
        <v>0.98239080000000001</v>
      </c>
      <c r="Y5208">
        <v>-0.30296309999999999</v>
      </c>
      <c r="Z5208">
        <v>-3.4056299999999998E-2</v>
      </c>
      <c r="AA5208">
        <v>0.95239359999999995</v>
      </c>
      <c r="AB5208">
        <v>29</v>
      </c>
      <c r="AC5208">
        <v>24.040700000000001</v>
      </c>
      <c r="AD5208">
        <v>1.0621910000000001</v>
      </c>
      <c r="AE5208">
        <v>-42.113729999999997</v>
      </c>
      <c r="AF5208">
        <v>-14.7821668939761</v>
      </c>
      <c r="AG5208">
        <v>1.0621910000000001</v>
      </c>
      <c r="AH5208">
        <v>46.160092898846102</v>
      </c>
      <c r="AI5208">
        <v>88.744578434492098</v>
      </c>
      <c r="AJ5208">
        <v>107.756985413716</v>
      </c>
      <c r="AK5208">
        <v>48.480871322944999</v>
      </c>
      <c r="AL5208">
        <v>79.247873570803506</v>
      </c>
      <c r="AM5208">
        <v>89.406617080862304</v>
      </c>
      <c r="AN5208">
        <v>1.00000001206408</v>
      </c>
    </row>
    <row r="5209" spans="1:40" x14ac:dyDescent="0.25">
      <c r="A5209" t="str">
        <f>"20190303171119664"</f>
        <v>20190303171119664</v>
      </c>
      <c r="B5209" t="str">
        <f>"1551604279655939"</f>
        <v>1551604279655939</v>
      </c>
      <c r="C5209" t="s">
        <v>40</v>
      </c>
      <c r="D5209">
        <v>5.3265900000000004</v>
      </c>
      <c r="E5209">
        <v>0.37451139999999999</v>
      </c>
      <c r="F5209" t="s">
        <v>70</v>
      </c>
      <c r="G5209">
        <v>-277.63290000000001</v>
      </c>
      <c r="H5209">
        <v>2.091269</v>
      </c>
      <c r="I5209">
        <v>-91.559389999999993</v>
      </c>
      <c r="J5209">
        <v>-301.60500000000002</v>
      </c>
      <c r="K5209">
        <v>1.1263399999999999</v>
      </c>
      <c r="L5209">
        <v>-50.427280000000003</v>
      </c>
      <c r="M5209">
        <v>0.21438360000000001</v>
      </c>
      <c r="N5209">
        <v>-1.284984E-2</v>
      </c>
      <c r="O5209">
        <v>-0.97666509999999995</v>
      </c>
      <c r="P5209">
        <v>0.2013837</v>
      </c>
      <c r="Q5209">
        <v>0.17455709999999999</v>
      </c>
      <c r="R5209">
        <v>-0.96383350000000001</v>
      </c>
      <c r="S5209">
        <v>1.6102909999999999</v>
      </c>
      <c r="T5209">
        <v>6.4653039999999995E-2</v>
      </c>
      <c r="U5209">
        <v>-2.7743229999999999</v>
      </c>
      <c r="V5209">
        <v>7.5723680000000003E-3</v>
      </c>
      <c r="W5209">
        <v>0.18730579999999999</v>
      </c>
      <c r="X5209">
        <v>0.98227240000000005</v>
      </c>
      <c r="Y5209">
        <v>-0.30463420000000002</v>
      </c>
      <c r="Z5209">
        <v>-3.247365E-2</v>
      </c>
      <c r="AA5209">
        <v>0.95191570000000003</v>
      </c>
      <c r="AB5209">
        <v>29</v>
      </c>
      <c r="AC5209">
        <v>23.972100000000001</v>
      </c>
      <c r="AD5209">
        <v>0.96492900000000004</v>
      </c>
      <c r="AE5209">
        <v>-41.132109999999997</v>
      </c>
      <c r="AF5209">
        <v>-14.589873951650301</v>
      </c>
      <c r="AG5209">
        <v>0.96492900000000004</v>
      </c>
      <c r="AH5209">
        <v>45.2966510951697</v>
      </c>
      <c r="AI5209">
        <v>88.838396693739796</v>
      </c>
      <c r="AJ5209">
        <v>107.853546456695</v>
      </c>
      <c r="AK5209">
        <v>47.598131374431397</v>
      </c>
      <c r="AL5209">
        <v>79.204403950676607</v>
      </c>
      <c r="AM5209">
        <v>89.558313831388702</v>
      </c>
      <c r="AN5209">
        <v>0.99999993563626099</v>
      </c>
    </row>
    <row r="5210" spans="1:40" x14ac:dyDescent="0.25">
      <c r="A5210" t="str">
        <f>"20190303171119693"</f>
        <v>20190303171119693</v>
      </c>
      <c r="B5210" t="str">
        <f>"1551604279686194"</f>
        <v>1551604279686194</v>
      </c>
      <c r="C5210" t="s">
        <v>40</v>
      </c>
      <c r="D5210">
        <v>5.35771</v>
      </c>
      <c r="E5210">
        <v>0.37470179999999997</v>
      </c>
      <c r="F5210" t="s">
        <v>70</v>
      </c>
      <c r="G5210">
        <v>-277.56110000000001</v>
      </c>
      <c r="H5210">
        <v>2.0926779999999998</v>
      </c>
      <c r="I5210">
        <v>-90.976820000000004</v>
      </c>
      <c r="J5210">
        <v>-301.5181</v>
      </c>
      <c r="K5210">
        <v>1.1266670000000001</v>
      </c>
      <c r="L5210">
        <v>-50.776119999999999</v>
      </c>
      <c r="M5210">
        <v>0.22348879999999999</v>
      </c>
      <c r="N5210">
        <v>-1.29652E-2</v>
      </c>
      <c r="O5210">
        <v>-0.97462040000000005</v>
      </c>
      <c r="P5210">
        <v>0.21187120000000001</v>
      </c>
      <c r="Q5210">
        <v>0.1764831</v>
      </c>
      <c r="R5210">
        <v>-0.96123080000000005</v>
      </c>
      <c r="S5210">
        <v>1.635864</v>
      </c>
      <c r="T5210">
        <v>6.5747260000000002E-2</v>
      </c>
      <c r="U5210">
        <v>-2.7588499999999998</v>
      </c>
      <c r="V5210">
        <v>5.7849329999999999E-3</v>
      </c>
      <c r="W5210">
        <v>0.18932470000000001</v>
      </c>
      <c r="X5210">
        <v>0.98189749999999998</v>
      </c>
      <c r="Y5210">
        <v>-0.30460870000000001</v>
      </c>
      <c r="Z5210">
        <v>-3.2871629999999999E-2</v>
      </c>
      <c r="AA5210">
        <v>0.95191020000000004</v>
      </c>
      <c r="AB5210">
        <v>29</v>
      </c>
      <c r="AC5210">
        <v>23.956999999999901</v>
      </c>
      <c r="AD5210">
        <v>0.96601099999999895</v>
      </c>
      <c r="AE5210">
        <v>-40.200699999999898</v>
      </c>
      <c r="AF5210">
        <v>-14.3596616151888</v>
      </c>
      <c r="AG5210">
        <v>0.96601099999999895</v>
      </c>
      <c r="AH5210">
        <v>44.519311377096699</v>
      </c>
      <c r="AI5210">
        <v>88.816951494651704</v>
      </c>
      <c r="AJ5210">
        <v>107.877056958285</v>
      </c>
      <c r="AK5210">
        <v>46.787841844284102</v>
      </c>
      <c r="AL5210">
        <v>79.086622949592595</v>
      </c>
      <c r="AM5210">
        <v>89.662440926107493</v>
      </c>
      <c r="AN5210">
        <v>1.0000000039930701</v>
      </c>
    </row>
    <row r="5211" spans="1:40" x14ac:dyDescent="0.25">
      <c r="A5211" t="str">
        <f>"20190303171119723"</f>
        <v>20190303171119723</v>
      </c>
      <c r="B5211" t="str">
        <f>"1551604279716450"</f>
        <v>1551604279716450</v>
      </c>
      <c r="C5211" t="s">
        <v>40</v>
      </c>
      <c r="D5211">
        <v>5.2930279999999996</v>
      </c>
      <c r="E5211">
        <v>0.37520710000000002</v>
      </c>
      <c r="F5211" t="s">
        <v>70</v>
      </c>
      <c r="G5211">
        <v>-277.09609999999998</v>
      </c>
      <c r="H5211">
        <v>2.1904979999999998</v>
      </c>
      <c r="I5211">
        <v>-90.976820000000004</v>
      </c>
      <c r="J5211">
        <v>-301.42259999999999</v>
      </c>
      <c r="K5211">
        <v>1.126997</v>
      </c>
      <c r="L5211">
        <v>-51.141689999999997</v>
      </c>
      <c r="M5211">
        <v>0.2336693</v>
      </c>
      <c r="N5211">
        <v>-1.307706E-2</v>
      </c>
      <c r="O5211">
        <v>-0.97222839999999999</v>
      </c>
      <c r="P5211">
        <v>0.2248716</v>
      </c>
      <c r="Q5211">
        <v>0.17971609999999999</v>
      </c>
      <c r="R5211">
        <v>-0.95767190000000002</v>
      </c>
      <c r="S5211">
        <v>1.6649779999999901</v>
      </c>
      <c r="T5211">
        <v>7.2527889999999998E-2</v>
      </c>
      <c r="U5211">
        <v>-2.7406920000000001</v>
      </c>
      <c r="V5211">
        <v>2.4030449999999999E-3</v>
      </c>
      <c r="W5211">
        <v>0.19261890000000001</v>
      </c>
      <c r="X5211">
        <v>0.98127070000000005</v>
      </c>
      <c r="Y5211">
        <v>-0.30479499999999998</v>
      </c>
      <c r="Z5211">
        <v>-3.5043110000000002E-2</v>
      </c>
      <c r="AA5211">
        <v>0.95177310000000004</v>
      </c>
      <c r="AB5211">
        <v>29</v>
      </c>
      <c r="AC5211">
        <v>24.326499999999999</v>
      </c>
      <c r="AD5211">
        <v>1.06350099999999</v>
      </c>
      <c r="AE5211">
        <v>-39.8351299999999</v>
      </c>
      <c r="AF5211">
        <v>-14.3364479858118</v>
      </c>
      <c r="AG5211">
        <v>1.06350099999999</v>
      </c>
      <c r="AH5211">
        <v>44.3939425494397</v>
      </c>
      <c r="AI5211">
        <v>88.694068604651605</v>
      </c>
      <c r="AJ5211">
        <v>107.897189512602</v>
      </c>
      <c r="AK5211">
        <v>46.663550125444203</v>
      </c>
      <c r="AL5211">
        <v>78.894340198108395</v>
      </c>
      <c r="AM5211">
        <v>89.859687993086496</v>
      </c>
      <c r="AN5211">
        <v>1.0000000009704799</v>
      </c>
    </row>
    <row r="5212" spans="1:40" x14ac:dyDescent="0.25">
      <c r="A5212" t="str">
        <f>"20190303171119753"</f>
        <v>20190303171119753</v>
      </c>
      <c r="B5212" t="str">
        <f>"1551604279745730"</f>
        <v>1551604279745730</v>
      </c>
      <c r="C5212" t="s">
        <v>40</v>
      </c>
      <c r="D5212">
        <v>5.3163460000000002</v>
      </c>
      <c r="E5212">
        <v>0.38841150000000002</v>
      </c>
      <c r="F5212" t="s">
        <v>70</v>
      </c>
      <c r="G5212">
        <v>-276.50299999999999</v>
      </c>
      <c r="H5212">
        <v>2.3722110000000001</v>
      </c>
      <c r="I5212">
        <v>-90.976820000000004</v>
      </c>
      <c r="J5212">
        <v>-301.31810000000002</v>
      </c>
      <c r="K5212">
        <v>1.1273740000000001</v>
      </c>
      <c r="L5212">
        <v>-51.52243</v>
      </c>
      <c r="M5212">
        <v>0.24498110000000001</v>
      </c>
      <c r="N5212">
        <v>-1.3193069999999999E-2</v>
      </c>
      <c r="O5212">
        <v>-0.96943820000000003</v>
      </c>
      <c r="P5212">
        <v>0.23813989999999999</v>
      </c>
      <c r="Q5212">
        <v>0.17847750000000001</v>
      </c>
      <c r="R5212">
        <v>-0.95469110000000001</v>
      </c>
      <c r="S5212">
        <v>1.6999820000000001</v>
      </c>
      <c r="T5212">
        <v>8.4947709999999996E-2</v>
      </c>
      <c r="U5212">
        <v>-2.7174990000000001</v>
      </c>
      <c r="V5212">
        <v>1.1200320000000001E-4</v>
      </c>
      <c r="W5212">
        <v>0.1914672</v>
      </c>
      <c r="X5212">
        <v>0.98149900000000001</v>
      </c>
      <c r="Y5212">
        <v>-0.30608439999999998</v>
      </c>
      <c r="Z5212">
        <v>-3.8980380000000002E-2</v>
      </c>
      <c r="AA5212">
        <v>0.951206</v>
      </c>
      <c r="AB5212">
        <v>28</v>
      </c>
      <c r="AC5212">
        <v>24.815100000000001</v>
      </c>
      <c r="AD5212">
        <v>1.244837</v>
      </c>
      <c r="AE5212">
        <v>-39.454389999999897</v>
      </c>
      <c r="AF5212">
        <v>-14.3821181419999</v>
      </c>
      <c r="AG5212">
        <v>1.244837</v>
      </c>
      <c r="AH5212">
        <v>44.300077095173698</v>
      </c>
      <c r="AI5212">
        <v>88.469026351106294</v>
      </c>
      <c r="AJ5212">
        <v>107.98613681053099</v>
      </c>
      <c r="AK5212">
        <v>46.592829620504297</v>
      </c>
      <c r="AL5212">
        <v>78.961579229845398</v>
      </c>
      <c r="AM5212">
        <v>89.993461724745401</v>
      </c>
      <c r="AN5212">
        <v>0.999999994110778</v>
      </c>
    </row>
    <row r="5213" spans="1:40" x14ac:dyDescent="0.25">
      <c r="A5213" t="str">
        <f>"20190303171119788"</f>
        <v>20190303171119788</v>
      </c>
      <c r="B5213" t="str">
        <f>"1551604279775986"</f>
        <v>1551604279775986</v>
      </c>
      <c r="C5213" t="s">
        <v>40</v>
      </c>
      <c r="D5213">
        <v>5.3081899999999997</v>
      </c>
      <c r="E5213">
        <v>0.39022760000000001</v>
      </c>
      <c r="F5213" t="s">
        <v>70</v>
      </c>
      <c r="G5213">
        <v>-277.55020000000002</v>
      </c>
      <c r="H5213">
        <v>1.4404570000000001</v>
      </c>
      <c r="I5213">
        <v>-90.976820000000004</v>
      </c>
      <c r="J5213">
        <v>-301.19670000000002</v>
      </c>
      <c r="K5213">
        <v>1.1277950000000001</v>
      </c>
      <c r="L5213">
        <v>-51.939790000000002</v>
      </c>
      <c r="M5213">
        <v>0.25825949999999998</v>
      </c>
      <c r="N5213">
        <v>-1.331369E-2</v>
      </c>
      <c r="O5213">
        <v>-0.96598390000000001</v>
      </c>
      <c r="P5213">
        <v>0.2553261</v>
      </c>
      <c r="Q5213">
        <v>0.17815529999999999</v>
      </c>
      <c r="R5213">
        <v>-0.95029969999999997</v>
      </c>
      <c r="S5213">
        <v>1.6435850000000001</v>
      </c>
      <c r="T5213">
        <v>2.1651150000000001E-2</v>
      </c>
      <c r="U5213">
        <v>-2.7283330000000001</v>
      </c>
      <c r="V5213">
        <v>-4.3188929999999999E-3</v>
      </c>
      <c r="W5213">
        <v>0.19119530000000001</v>
      </c>
      <c r="X5213">
        <v>0.98154249999999998</v>
      </c>
      <c r="Y5213">
        <v>-0.27715719999999999</v>
      </c>
      <c r="Z5213">
        <v>-1.9189790000000002E-2</v>
      </c>
      <c r="AA5213">
        <v>0.96063290000000001</v>
      </c>
      <c r="AB5213">
        <v>28</v>
      </c>
      <c r="AC5213">
        <v>23.6465</v>
      </c>
      <c r="AD5213">
        <v>0.312661999999999</v>
      </c>
      <c r="AE5213">
        <v>-39.037029999999902</v>
      </c>
      <c r="AF5213">
        <v>-12.7609858836508</v>
      </c>
      <c r="AG5213">
        <v>0.312661999999999</v>
      </c>
      <c r="AH5213">
        <v>43.817900582502901</v>
      </c>
      <c r="AI5213">
        <v>89.607479972881706</v>
      </c>
      <c r="AJ5213">
        <v>106.237022241414</v>
      </c>
      <c r="AK5213">
        <v>45.639335333756698</v>
      </c>
      <c r="AL5213">
        <v>78.977451103968903</v>
      </c>
      <c r="AM5213">
        <v>90.252105990421597</v>
      </c>
      <c r="AN5213">
        <v>0.99999998744254204</v>
      </c>
    </row>
    <row r="5214" spans="1:40" x14ac:dyDescent="0.25">
      <c r="A5214" t="str">
        <f>"20190303171119815"</f>
        <v>20190303171119815</v>
      </c>
      <c r="B5214" t="str">
        <f>"1551604279806243"</f>
        <v>1551604279806243</v>
      </c>
      <c r="C5214" t="s">
        <v>40</v>
      </c>
      <c r="D5214">
        <v>5.2848179999999996</v>
      </c>
      <c r="E5214">
        <v>0.3919762</v>
      </c>
      <c r="F5214" t="s">
        <v>70</v>
      </c>
      <c r="G5214">
        <v>-276.89940000000001</v>
      </c>
      <c r="H5214">
        <v>1.3896219999999999</v>
      </c>
      <c r="I5214">
        <v>-90.976820000000004</v>
      </c>
      <c r="J5214">
        <v>-301.09930000000003</v>
      </c>
      <c r="K5214">
        <v>1.128128</v>
      </c>
      <c r="L5214">
        <v>-52.259279999999997</v>
      </c>
      <c r="M5214">
        <v>0.26899879999999998</v>
      </c>
      <c r="N5214">
        <v>-1.340508E-2</v>
      </c>
      <c r="O5214">
        <v>-0.96304730000000005</v>
      </c>
      <c r="P5214">
        <v>0.2671616</v>
      </c>
      <c r="Q5214">
        <v>0.17802699999999999</v>
      </c>
      <c r="R5214">
        <v>-0.94706480000000004</v>
      </c>
      <c r="S5214">
        <v>1.6815800000000001</v>
      </c>
      <c r="T5214">
        <v>1.8121600000000002E-2</v>
      </c>
      <c r="U5214">
        <v>-2.7016909999999998</v>
      </c>
      <c r="V5214">
        <v>-5.7853169999999999E-3</v>
      </c>
      <c r="W5214">
        <v>0.1911312</v>
      </c>
      <c r="X5214">
        <v>0.98154750000000002</v>
      </c>
      <c r="Y5214">
        <v>-0.28044089999999999</v>
      </c>
      <c r="Z5214">
        <v>-1.8097749999999999E-2</v>
      </c>
      <c r="AA5214">
        <v>0.95970069999999996</v>
      </c>
      <c r="AB5214">
        <v>28</v>
      </c>
      <c r="AC5214">
        <v>24.1999</v>
      </c>
      <c r="AD5214">
        <v>0.26149399999999901</v>
      </c>
      <c r="AE5214">
        <v>-38.7175399999999</v>
      </c>
      <c r="AF5214">
        <v>-12.8914110835517</v>
      </c>
      <c r="AG5214">
        <v>0.26149399999999901</v>
      </c>
      <c r="AH5214">
        <v>43.799062004120103</v>
      </c>
      <c r="AI5214">
        <v>89.671848919912193</v>
      </c>
      <c r="AJ5214">
        <v>106.400777837771</v>
      </c>
      <c r="AK5214">
        <v>45.657580874132201</v>
      </c>
      <c r="AL5214">
        <v>78.981193465657</v>
      </c>
      <c r="AM5214">
        <v>90.337701852265894</v>
      </c>
      <c r="AN5214">
        <v>1.0000000501312301</v>
      </c>
    </row>
    <row r="5215" spans="1:40" x14ac:dyDescent="0.25">
      <c r="A5215" t="str">
        <f>"20190303171119843"</f>
        <v>20190303171119843</v>
      </c>
      <c r="B5215" t="str">
        <f>"1551604279835522"</f>
        <v>1551604279835522</v>
      </c>
      <c r="C5215" t="s">
        <v>40</v>
      </c>
      <c r="D5215">
        <v>5.3298310000000004</v>
      </c>
      <c r="E5215">
        <v>0.3997599</v>
      </c>
      <c r="F5215" t="s">
        <v>70</v>
      </c>
      <c r="G5215">
        <v>-276.53039999999999</v>
      </c>
      <c r="H5215">
        <v>1.2750030000000001</v>
      </c>
      <c r="I5215">
        <v>-90.976830000000007</v>
      </c>
      <c r="J5215">
        <v>-300.99450000000002</v>
      </c>
      <c r="K5215">
        <v>1.128484</v>
      </c>
      <c r="L5215">
        <v>-52.585999999999999</v>
      </c>
      <c r="M5215">
        <v>0.28060689999999999</v>
      </c>
      <c r="N5215">
        <v>-1.349649E-2</v>
      </c>
      <c r="O5215">
        <v>-0.95972820000000003</v>
      </c>
      <c r="P5215">
        <v>0.28041290000000002</v>
      </c>
      <c r="Q5215">
        <v>0.17894769999999999</v>
      </c>
      <c r="R5215">
        <v>-0.94305209999999995</v>
      </c>
      <c r="S5215">
        <v>1.7038880000000001</v>
      </c>
      <c r="T5215">
        <v>1.018691E-2</v>
      </c>
      <c r="U5215">
        <v>-2.68512</v>
      </c>
      <c r="V5215">
        <v>-7.9259869999999902E-3</v>
      </c>
      <c r="W5215">
        <v>0.19209860000000001</v>
      </c>
      <c r="X5215">
        <v>0.98134359999999998</v>
      </c>
      <c r="Y5215">
        <v>-0.27722649999999999</v>
      </c>
      <c r="Z5215">
        <v>-1.5619799999999901E-2</v>
      </c>
      <c r="AA5215">
        <v>0.96067760000000002</v>
      </c>
      <c r="AB5215">
        <v>28</v>
      </c>
      <c r="AC5215">
        <v>24.464099999999998</v>
      </c>
      <c r="AD5215">
        <v>0.14651900000000001</v>
      </c>
      <c r="AE5215">
        <v>-38.390830000000001</v>
      </c>
      <c r="AF5215">
        <v>-12.707176784007499</v>
      </c>
      <c r="AG5215">
        <v>0.14651900000000001</v>
      </c>
      <c r="AH5215">
        <v>43.7130728742708</v>
      </c>
      <c r="AI5215">
        <v>89.815588401381007</v>
      </c>
      <c r="AJ5215">
        <v>106.208889756096</v>
      </c>
      <c r="AK5215">
        <v>45.5228135087089</v>
      </c>
      <c r="AL5215">
        <v>78.924718252462995</v>
      </c>
      <c r="AM5215">
        <v>90.462748959047403</v>
      </c>
      <c r="AN5215">
        <v>0.99999997732642099</v>
      </c>
    </row>
    <row r="5216" spans="1:40" x14ac:dyDescent="0.25">
      <c r="A5216" t="str">
        <f>"20190303171119864"</f>
        <v>20190303171119864</v>
      </c>
      <c r="B5216" t="str">
        <f>"1551604279856018"</f>
        <v>1551604279856018</v>
      </c>
      <c r="C5216" t="s">
        <v>40</v>
      </c>
      <c r="D5216">
        <v>5.3723099999999997</v>
      </c>
      <c r="E5216">
        <v>0.40061010000000002</v>
      </c>
      <c r="F5216" t="s">
        <v>70</v>
      </c>
      <c r="G5216">
        <v>-276.85910000000001</v>
      </c>
      <c r="H5216">
        <v>0.89948090000000003</v>
      </c>
      <c r="I5216">
        <v>-90.976820000000004</v>
      </c>
      <c r="J5216">
        <v>-300.90589999999997</v>
      </c>
      <c r="K5216">
        <v>1.128771</v>
      </c>
      <c r="L5216">
        <v>-52.851010000000002</v>
      </c>
      <c r="M5216">
        <v>0.29044520000000001</v>
      </c>
      <c r="N5216">
        <v>-1.357118E-2</v>
      </c>
      <c r="O5216">
        <v>-0.95679550000000002</v>
      </c>
      <c r="P5216">
        <v>0.29150870000000001</v>
      </c>
      <c r="Q5216">
        <v>0.18009520000000001</v>
      </c>
      <c r="R5216">
        <v>-0.93946209999999997</v>
      </c>
      <c r="S5216">
        <v>1.6865540000000001</v>
      </c>
      <c r="T5216">
        <v>-1.6001580000000001E-2</v>
      </c>
      <c r="U5216">
        <v>-2.682709</v>
      </c>
      <c r="V5216">
        <v>-9.6386960000000004E-3</v>
      </c>
      <c r="W5216">
        <v>0.19328190000000001</v>
      </c>
      <c r="X5216">
        <v>0.98109590000000002</v>
      </c>
      <c r="Y5216">
        <v>-0.26332709999999998</v>
      </c>
      <c r="Z5216">
        <v>-7.4292809999999898E-3</v>
      </c>
      <c r="AA5216">
        <v>0.96467800000000004</v>
      </c>
      <c r="AB5216">
        <v>28</v>
      </c>
      <c r="AC5216">
        <v>24.046799999999902</v>
      </c>
      <c r="AD5216">
        <v>-0.229290099999999</v>
      </c>
      <c r="AE5216">
        <v>-38.125810000000001</v>
      </c>
      <c r="AF5216">
        <v>-11.9352005534165</v>
      </c>
      <c r="AG5216">
        <v>-0.229290099999999</v>
      </c>
      <c r="AH5216">
        <v>43.465754592861401</v>
      </c>
      <c r="AI5216">
        <v>90.291455444869101</v>
      </c>
      <c r="AJ5216">
        <v>105.35433454231701</v>
      </c>
      <c r="AK5216">
        <v>45.075197265537099</v>
      </c>
      <c r="AL5216">
        <v>78.855625366845601</v>
      </c>
      <c r="AM5216">
        <v>90.562879565649894</v>
      </c>
      <c r="AN5216">
        <v>0.9999999811625</v>
      </c>
    </row>
    <row r="5217" spans="1:40" x14ac:dyDescent="0.25">
      <c r="A5217" t="str">
        <f>"20190303171119891"</f>
        <v>20190303171119891</v>
      </c>
      <c r="B5217" t="str">
        <f>"1551604279886274"</f>
        <v>1551604279886274</v>
      </c>
      <c r="C5217" t="s">
        <v>40</v>
      </c>
      <c r="D5217">
        <v>5.2429489999999896</v>
      </c>
      <c r="E5217">
        <v>0.37347530000000001</v>
      </c>
      <c r="F5217" t="s">
        <v>70</v>
      </c>
      <c r="G5217">
        <v>-276.40899999999999</v>
      </c>
      <c r="H5217">
        <v>0.91076679999999999</v>
      </c>
      <c r="I5217">
        <v>-90.976820000000004</v>
      </c>
      <c r="J5217">
        <v>-300.8021</v>
      </c>
      <c r="K5217">
        <v>1.1290610000000001</v>
      </c>
      <c r="L5217">
        <v>-53.149380000000001</v>
      </c>
      <c r="M5217">
        <v>0.30193500000000001</v>
      </c>
      <c r="N5217">
        <v>-1.365386E-2</v>
      </c>
      <c r="O5217">
        <v>-0.95323089999999999</v>
      </c>
      <c r="P5217">
        <v>0.30495709999999998</v>
      </c>
      <c r="Q5217">
        <v>0.18080299999999999</v>
      </c>
      <c r="R5217">
        <v>-0.93504659999999995</v>
      </c>
      <c r="S5217">
        <v>1.71228</v>
      </c>
      <c r="T5217">
        <v>-1.523709E-2</v>
      </c>
      <c r="U5217">
        <v>-2.664917</v>
      </c>
      <c r="V5217">
        <v>-1.211399E-2</v>
      </c>
      <c r="W5217">
        <v>0.1940172</v>
      </c>
      <c r="X5217">
        <v>0.98092330000000005</v>
      </c>
      <c r="Y5217">
        <v>-0.26123600000000002</v>
      </c>
      <c r="Z5217">
        <v>-7.6897569999999898E-3</v>
      </c>
      <c r="AA5217">
        <v>0.9652444</v>
      </c>
      <c r="AB5217">
        <v>28</v>
      </c>
      <c r="AC5217">
        <v>24.3931</v>
      </c>
      <c r="AD5217">
        <v>-0.21829419999999999</v>
      </c>
      <c r="AE5217">
        <v>-37.827439999999903</v>
      </c>
      <c r="AF5217">
        <v>-11.831651330666899</v>
      </c>
      <c r="AG5217">
        <v>-0.21829419999999999</v>
      </c>
      <c r="AH5217">
        <v>43.426435151875197</v>
      </c>
      <c r="AI5217">
        <v>90.277880777559503</v>
      </c>
      <c r="AJ5217">
        <v>105.240477190928</v>
      </c>
      <c r="AK5217">
        <v>45.009897751141899</v>
      </c>
      <c r="AL5217">
        <v>78.812682801782501</v>
      </c>
      <c r="AM5217">
        <v>90.707542799794496</v>
      </c>
      <c r="AN5217">
        <v>0.999999971566224</v>
      </c>
    </row>
    <row r="5218" spans="1:40" x14ac:dyDescent="0.25">
      <c r="A5218" t="str">
        <f>"20190303171119924"</f>
        <v>20190303171119924</v>
      </c>
      <c r="B5218" t="str">
        <f>"1551604279915554"</f>
        <v>1551604279915554</v>
      </c>
      <c r="C5218" t="s">
        <v>40</v>
      </c>
      <c r="D5218">
        <v>5.331016</v>
      </c>
      <c r="E5218">
        <v>0.35943439999999999</v>
      </c>
      <c r="F5218" t="s">
        <v>70</v>
      </c>
      <c r="G5218">
        <v>-271.60120000000001</v>
      </c>
      <c r="H5218">
        <v>2.0935640000000002</v>
      </c>
      <c r="I5218">
        <v>-91.564989999999995</v>
      </c>
      <c r="J5218">
        <v>-300.65969999999999</v>
      </c>
      <c r="K5218">
        <v>1.1294379999999999</v>
      </c>
      <c r="L5218">
        <v>-53.538449999999997</v>
      </c>
      <c r="M5218">
        <v>0.31762790000000002</v>
      </c>
      <c r="N5218">
        <v>-1.3757790000000001E-2</v>
      </c>
      <c r="O5218">
        <v>-0.94811579999999995</v>
      </c>
      <c r="P5218">
        <v>0.32290999999999997</v>
      </c>
      <c r="Q5218">
        <v>0.18391779999999999</v>
      </c>
      <c r="R5218">
        <v>-0.92838770000000004</v>
      </c>
      <c r="S5218">
        <v>1.946747</v>
      </c>
      <c r="T5218">
        <v>6.4301730000000001E-2</v>
      </c>
      <c r="U5218">
        <v>-2.5610659999999998</v>
      </c>
      <c r="V5218">
        <v>-1.5262370000000001E-2</v>
      </c>
      <c r="W5218">
        <v>0.19715460000000001</v>
      </c>
      <c r="X5218">
        <v>0.98025359999999995</v>
      </c>
      <c r="Y5218">
        <v>-0.32059520000000002</v>
      </c>
      <c r="Z5218">
        <v>-3.2316049999999999E-2</v>
      </c>
      <c r="AA5218">
        <v>0.94666490000000003</v>
      </c>
      <c r="AB5218">
        <v>28</v>
      </c>
      <c r="AC5218">
        <v>29.058499999999899</v>
      </c>
      <c r="AD5218">
        <v>0.96412599999999904</v>
      </c>
      <c r="AE5218">
        <v>-38.026539999999997</v>
      </c>
      <c r="AF5218">
        <v>-15.4677174808755</v>
      </c>
      <c r="AG5218">
        <v>0.96412599999999904</v>
      </c>
      <c r="AH5218">
        <v>45.269260384752201</v>
      </c>
      <c r="AI5218">
        <v>88.845439099571394</v>
      </c>
      <c r="AJ5218">
        <v>108.864403779464</v>
      </c>
      <c r="AK5218">
        <v>47.848571125944297</v>
      </c>
      <c r="AL5218">
        <v>78.629383088314498</v>
      </c>
      <c r="AM5218">
        <v>90.892012774971803</v>
      </c>
      <c r="AN5218">
        <v>0.999999998276068</v>
      </c>
    </row>
    <row r="5219" spans="1:40" x14ac:dyDescent="0.25">
      <c r="A5219" t="str">
        <f>"20190303171119952"</f>
        <v>20190303171119952</v>
      </c>
      <c r="B5219" t="str">
        <f>"1551604279945810"</f>
        <v>1551604279945810</v>
      </c>
      <c r="C5219" t="s">
        <v>40</v>
      </c>
      <c r="D5219">
        <v>5.3537119999999998</v>
      </c>
      <c r="E5219">
        <v>0.35275380000000001</v>
      </c>
      <c r="F5219" t="s">
        <v>70</v>
      </c>
      <c r="G5219">
        <v>-268.48630000000003</v>
      </c>
      <c r="H5219">
        <v>2.9884119999999998</v>
      </c>
      <c r="I5219">
        <v>-91.564989999999995</v>
      </c>
      <c r="J5219">
        <v>-300.53559999999999</v>
      </c>
      <c r="K5219">
        <v>1.129734</v>
      </c>
      <c r="L5219">
        <v>-53.861049999999999</v>
      </c>
      <c r="M5219">
        <v>0.33122360000000001</v>
      </c>
      <c r="N5219">
        <v>-1.384639E-2</v>
      </c>
      <c r="O5219">
        <v>-0.94345069999999998</v>
      </c>
      <c r="P5219">
        <v>0.33806710000000001</v>
      </c>
      <c r="Q5219">
        <v>0.18425040000000001</v>
      </c>
      <c r="R5219">
        <v>-0.9229096</v>
      </c>
      <c r="S5219">
        <v>2.0967099999999999</v>
      </c>
      <c r="T5219">
        <v>0.1211482</v>
      </c>
      <c r="U5219">
        <v>-2.4781490000000002</v>
      </c>
      <c r="V5219">
        <v>-1.740556E-2</v>
      </c>
      <c r="W5219">
        <v>0.19751969999999999</v>
      </c>
      <c r="X5219">
        <v>0.98014440000000003</v>
      </c>
      <c r="Y5219">
        <v>-0.35577049999999999</v>
      </c>
      <c r="Z5219">
        <v>-4.9672939999999999E-2</v>
      </c>
      <c r="AA5219">
        <v>0.93325230000000003</v>
      </c>
      <c r="AB5219">
        <v>28</v>
      </c>
      <c r="AC5219">
        <v>32.049299999999903</v>
      </c>
      <c r="AD5219">
        <v>1.8586780000000001</v>
      </c>
      <c r="AE5219">
        <v>-37.703940000000003</v>
      </c>
      <c r="AF5219">
        <v>-17.725194580419199</v>
      </c>
      <c r="AG5219">
        <v>1.8586780000000001</v>
      </c>
      <c r="AH5219">
        <v>46.126645503561001</v>
      </c>
      <c r="AI5219">
        <v>87.845916077605906</v>
      </c>
      <c r="AJ5219">
        <v>111.02038753488399</v>
      </c>
      <c r="AK5219">
        <v>49.450021559475502</v>
      </c>
      <c r="AL5219">
        <v>78.608044990635605</v>
      </c>
      <c r="AM5219">
        <v>91.017360623569701</v>
      </c>
      <c r="AN5219">
        <v>1.0000000151291799</v>
      </c>
    </row>
    <row r="5220" spans="1:40" x14ac:dyDescent="0.25">
      <c r="A5220" t="str">
        <f>"20190303171119973"</f>
        <v>20190303171119973</v>
      </c>
      <c r="B5220" t="str">
        <f>"1551604279966307"</f>
        <v>1551604279966307</v>
      </c>
      <c r="C5220" t="s">
        <v>40</v>
      </c>
      <c r="D5220">
        <v>5.3541480000000004</v>
      </c>
      <c r="E5220">
        <v>0.35089690000000001</v>
      </c>
      <c r="F5220" t="s">
        <v>70</v>
      </c>
      <c r="G5220">
        <v>-274.8399</v>
      </c>
      <c r="H5220">
        <v>2.855537</v>
      </c>
      <c r="I5220">
        <v>-82.354489999999998</v>
      </c>
      <c r="J5220">
        <v>-300.43860000000001</v>
      </c>
      <c r="K5220">
        <v>1.12995</v>
      </c>
      <c r="L5220">
        <v>-54.102690000000003</v>
      </c>
      <c r="M5220">
        <v>0.34173340000000002</v>
      </c>
      <c r="N5220">
        <v>-1.3910860000000001E-2</v>
      </c>
      <c r="O5220">
        <v>-0.93969400000000003</v>
      </c>
      <c r="P5220">
        <v>0.349912099999999</v>
      </c>
      <c r="Q5220">
        <v>0.18408330000000001</v>
      </c>
      <c r="R5220">
        <v>-0.9185181</v>
      </c>
      <c r="S5220">
        <v>2.1836549999999999</v>
      </c>
      <c r="T5220">
        <v>0.14666270000000001</v>
      </c>
      <c r="U5220">
        <v>-2.4214169999999999</v>
      </c>
      <c r="V5220">
        <v>-1.917137E-2</v>
      </c>
      <c r="W5220">
        <v>0.19737060000000001</v>
      </c>
      <c r="X5220">
        <v>0.9801415</v>
      </c>
      <c r="Y5220">
        <v>-0.3744866</v>
      </c>
      <c r="Z5220">
        <v>-5.7351020000000003E-2</v>
      </c>
      <c r="AA5220">
        <v>0.92545699999999997</v>
      </c>
      <c r="AB5220">
        <v>28</v>
      </c>
      <c r="AC5220">
        <v>25.598700000000001</v>
      </c>
      <c r="AD5220">
        <v>1.725587</v>
      </c>
      <c r="AE5220">
        <v>-28.251799999999999</v>
      </c>
      <c r="AF5220">
        <v>-14.372310270927599</v>
      </c>
      <c r="AG5220">
        <v>1.725587</v>
      </c>
      <c r="AH5220">
        <v>35.227223736722401</v>
      </c>
      <c r="AI5220">
        <v>87.403133698274999</v>
      </c>
      <c r="AJ5220">
        <v>112.194905949138</v>
      </c>
      <c r="AK5220">
        <v>38.0854072475992</v>
      </c>
      <c r="AL5220">
        <v>78.616759486349594</v>
      </c>
      <c r="AM5220">
        <v>91.120551000370298</v>
      </c>
      <c r="AN5220">
        <v>1.0000000275971399</v>
      </c>
    </row>
    <row r="5221" spans="1:40" x14ac:dyDescent="0.25">
      <c r="A5221" t="str">
        <f>"20190303171119996"</f>
        <v>20190303171119996</v>
      </c>
      <c r="B5221" t="str">
        <f>"1551604279985827"</f>
        <v>1551604279985827</v>
      </c>
      <c r="C5221" t="s">
        <v>40</v>
      </c>
      <c r="D5221">
        <v>5.3814830000000002</v>
      </c>
      <c r="E5221">
        <v>0.34994340000000002</v>
      </c>
      <c r="F5221" t="s">
        <v>70</v>
      </c>
      <c r="G5221">
        <v>-274.8399</v>
      </c>
      <c r="H5221">
        <v>2.8671950000000002</v>
      </c>
      <c r="I5221">
        <v>-81.535849999999996</v>
      </c>
      <c r="J5221">
        <v>-300.32639999999998</v>
      </c>
      <c r="K5221">
        <v>1.1302030000000001</v>
      </c>
      <c r="L5221">
        <v>-54.37256</v>
      </c>
      <c r="M5221">
        <v>0.35380109999999998</v>
      </c>
      <c r="N5221">
        <v>-1.3981240000000001E-2</v>
      </c>
      <c r="O5221">
        <v>-0.93521620000000005</v>
      </c>
      <c r="P5221">
        <v>0.36247479999999999</v>
      </c>
      <c r="Q5221">
        <v>0.18500269999999999</v>
      </c>
      <c r="R5221">
        <v>-0.91344760000000003</v>
      </c>
      <c r="S5221">
        <v>2.2275999999999998</v>
      </c>
      <c r="T5221">
        <v>0.15117649999999999</v>
      </c>
      <c r="U5221">
        <v>-2.387238</v>
      </c>
      <c r="V5221">
        <v>-2.020214E-2</v>
      </c>
      <c r="W5221">
        <v>0.198325</v>
      </c>
      <c r="X5221">
        <v>0.97992809999999997</v>
      </c>
      <c r="Y5221">
        <v>-0.37824020000000003</v>
      </c>
      <c r="Z5221">
        <v>-5.8566640000000003E-2</v>
      </c>
      <c r="AA5221">
        <v>0.92385300000000004</v>
      </c>
      <c r="AB5221">
        <v>28</v>
      </c>
      <c r="AC5221">
        <v>25.4864999999999</v>
      </c>
      <c r="AD5221">
        <v>1.7369919999999901</v>
      </c>
      <c r="AE5221">
        <v>-27.16329</v>
      </c>
      <c r="AF5221">
        <v>-14.195505627431601</v>
      </c>
      <c r="AG5221">
        <v>1.7369919999999901</v>
      </c>
      <c r="AH5221">
        <v>34.34936637437</v>
      </c>
      <c r="AI5221">
        <v>87.324245910620604</v>
      </c>
      <c r="AJ5221">
        <v>112.45375845840699</v>
      </c>
      <c r="AK5221">
        <v>37.2076402308345</v>
      </c>
      <c r="AL5221">
        <v>78.560973418178506</v>
      </c>
      <c r="AM5221">
        <v>91.181039114579093</v>
      </c>
      <c r="AN5221">
        <v>1.00000000662759</v>
      </c>
    </row>
    <row r="5222" spans="1:40" x14ac:dyDescent="0.25">
      <c r="A5222" t="str">
        <f>"20190303171120018"</f>
        <v>20190303171120018</v>
      </c>
      <c r="B5222" t="str">
        <f>"1551604280006323"</f>
        <v>1551604280006323</v>
      </c>
      <c r="C5222" t="s">
        <v>40</v>
      </c>
      <c r="D5222">
        <v>5.364846</v>
      </c>
      <c r="E5222">
        <v>0.34940320000000002</v>
      </c>
      <c r="F5222" t="s">
        <v>70</v>
      </c>
      <c r="G5222">
        <v>-274.8399</v>
      </c>
      <c r="H5222">
        <v>2.9073850000000001</v>
      </c>
      <c r="I5222">
        <v>-80.812619999999995</v>
      </c>
      <c r="J5222">
        <v>-300.2201</v>
      </c>
      <c r="K5222">
        <v>1.130423</v>
      </c>
      <c r="L5222">
        <v>-54.618070000000003</v>
      </c>
      <c r="M5222">
        <v>0.36512030000000001</v>
      </c>
      <c r="N5222">
        <v>-1.4048130000000001E-2</v>
      </c>
      <c r="O5222">
        <v>-0.93085469999999904</v>
      </c>
      <c r="P5222">
        <v>0.37387009999999998</v>
      </c>
      <c r="Q5222">
        <v>0.18564510000000001</v>
      </c>
      <c r="R5222">
        <v>-0.90871199999999996</v>
      </c>
      <c r="S5222">
        <v>2.2675779999999999</v>
      </c>
      <c r="T5222">
        <v>0.15812019999999999</v>
      </c>
      <c r="U5222">
        <v>-2.352417</v>
      </c>
      <c r="V5222">
        <v>-2.0740749999999999E-2</v>
      </c>
      <c r="W5222">
        <v>0.19901060000000001</v>
      </c>
      <c r="X5222">
        <v>0.97977780000000003</v>
      </c>
      <c r="Y5222">
        <v>-0.38190879999999999</v>
      </c>
      <c r="Z5222">
        <v>-6.0550659999999999E-2</v>
      </c>
      <c r="AA5222">
        <v>0.92221430000000004</v>
      </c>
      <c r="AB5222">
        <v>28</v>
      </c>
      <c r="AC5222">
        <v>25.380199999999999</v>
      </c>
      <c r="AD5222">
        <v>1.7769619999999899</v>
      </c>
      <c r="AE5222">
        <v>-26.19455</v>
      </c>
      <c r="AF5222">
        <v>-14.0292001558353</v>
      </c>
      <c r="AG5222">
        <v>1.7769619999999899</v>
      </c>
      <c r="AH5222">
        <v>33.5737661021642</v>
      </c>
      <c r="AI5222">
        <v>87.204179844778096</v>
      </c>
      <c r="AJ5222">
        <v>112.678195132675</v>
      </c>
      <c r="AK5222">
        <v>36.430396940532603</v>
      </c>
      <c r="AL5222">
        <v>78.520892038279996</v>
      </c>
      <c r="AM5222">
        <v>91.212703510921102</v>
      </c>
      <c r="AN5222">
        <v>0.99999996749788</v>
      </c>
    </row>
    <row r="5223" spans="1:40" x14ac:dyDescent="0.25">
      <c r="A5223" t="str">
        <f>"20190303171120039"</f>
        <v>20190303171120039</v>
      </c>
      <c r="B5223" t="str">
        <f>"1551604280025842"</f>
        <v>1551604280025842</v>
      </c>
      <c r="C5223" t="s">
        <v>40</v>
      </c>
      <c r="D5223">
        <v>5.3727660000000004</v>
      </c>
      <c r="E5223">
        <v>0.34921580000000002</v>
      </c>
      <c r="F5223" t="s">
        <v>70</v>
      </c>
      <c r="G5223">
        <v>-274.60739999999998</v>
      </c>
      <c r="H5223">
        <v>2.9254509999999998</v>
      </c>
      <c r="I5223">
        <v>-80.464519999999993</v>
      </c>
      <c r="J5223">
        <v>-300.11079999999998</v>
      </c>
      <c r="K5223">
        <v>1.130641</v>
      </c>
      <c r="L5223">
        <v>-54.861569999999901</v>
      </c>
      <c r="M5223">
        <v>0.37663770000000002</v>
      </c>
      <c r="N5223">
        <v>-1.4115569999999999E-2</v>
      </c>
      <c r="O5223">
        <v>-0.92625329999999995</v>
      </c>
      <c r="P5223">
        <v>0.38699869999999997</v>
      </c>
      <c r="Q5223">
        <v>0.18458450000000001</v>
      </c>
      <c r="R5223">
        <v>-0.90341649999999996</v>
      </c>
      <c r="S5223">
        <v>2.3008120000000001</v>
      </c>
      <c r="T5223">
        <v>0.16125</v>
      </c>
      <c r="U5223">
        <v>-2.3218079999999999</v>
      </c>
      <c r="V5223">
        <v>-2.2791490000000001E-2</v>
      </c>
      <c r="W5223">
        <v>0.19796230000000001</v>
      </c>
      <c r="X5223">
        <v>0.97994460000000005</v>
      </c>
      <c r="Y5223">
        <v>-0.38315650000000001</v>
      </c>
      <c r="Z5223">
        <v>-6.1344330000000002E-2</v>
      </c>
      <c r="AA5223">
        <v>0.92164420000000002</v>
      </c>
      <c r="AB5223">
        <v>28</v>
      </c>
      <c r="AC5223">
        <v>25.503399999999999</v>
      </c>
      <c r="AD5223">
        <v>1.79480999999999</v>
      </c>
      <c r="AE5223">
        <v>-25.60295</v>
      </c>
      <c r="AF5223">
        <v>-13.946560535300801</v>
      </c>
      <c r="AG5223">
        <v>1.79480999999999</v>
      </c>
      <c r="AH5223">
        <v>33.241675404269003</v>
      </c>
      <c r="AI5223">
        <v>87.1496912531303</v>
      </c>
      <c r="AJ5223">
        <v>112.76050815144301</v>
      </c>
      <c r="AK5223">
        <v>36.093446460315903</v>
      </c>
      <c r="AL5223">
        <v>78.582174555850699</v>
      </c>
      <c r="AM5223">
        <v>91.332341443139697</v>
      </c>
      <c r="AN5223">
        <v>0.99999997165343402</v>
      </c>
    </row>
    <row r="5224" spans="1:40" x14ac:dyDescent="0.25">
      <c r="A5224" t="str">
        <f>"20190303171120063"</f>
        <v>20190303171120063</v>
      </c>
      <c r="B5224" t="str">
        <f>"1551604280056098"</f>
        <v>1551604280056098</v>
      </c>
      <c r="C5224" t="s">
        <v>40</v>
      </c>
      <c r="D5224">
        <v>5.399921</v>
      </c>
      <c r="E5224">
        <v>0.3493465</v>
      </c>
      <c r="F5224" t="s">
        <v>70</v>
      </c>
      <c r="G5224">
        <v>-273.98</v>
      </c>
      <c r="H5224">
        <v>2.8827799999999999</v>
      </c>
      <c r="I5224">
        <v>-80.464519999999993</v>
      </c>
      <c r="J5224">
        <v>-299.98649999999998</v>
      </c>
      <c r="K5224">
        <v>1.130862</v>
      </c>
      <c r="L5224">
        <v>-55.128140000000002</v>
      </c>
      <c r="M5224">
        <v>0.3895381</v>
      </c>
      <c r="N5224">
        <v>-1.418676E-2</v>
      </c>
      <c r="O5224">
        <v>-0.92090099999999997</v>
      </c>
      <c r="P5224">
        <v>0.40242909999999998</v>
      </c>
      <c r="Q5224">
        <v>0.183368</v>
      </c>
      <c r="R5224">
        <v>-0.89689889999999906</v>
      </c>
      <c r="S5224">
        <v>2.3354490000000001</v>
      </c>
      <c r="T5224">
        <v>0.15659919999999999</v>
      </c>
      <c r="U5224">
        <v>-2.2882690000000001</v>
      </c>
      <c r="V5224">
        <v>-2.5890320000000001E-2</v>
      </c>
      <c r="W5224">
        <v>0.19673479999999999</v>
      </c>
      <c r="X5224">
        <v>0.98011479999999995</v>
      </c>
      <c r="Y5224">
        <v>-0.38391639999999999</v>
      </c>
      <c r="Z5224">
        <v>-5.9732710000000001E-2</v>
      </c>
      <c r="AA5224">
        <v>0.92143379999999997</v>
      </c>
      <c r="AB5224">
        <v>28</v>
      </c>
      <c r="AC5224">
        <v>26.0064999999999</v>
      </c>
      <c r="AD5224">
        <v>1.7519180000000001</v>
      </c>
      <c r="AE5224">
        <v>-25.336379999999899</v>
      </c>
      <c r="AF5224">
        <v>-14.048636463170199</v>
      </c>
      <c r="AG5224">
        <v>1.7519180000000001</v>
      </c>
      <c r="AH5224">
        <v>33.388455264635297</v>
      </c>
      <c r="AI5224">
        <v>87.231108906069295</v>
      </c>
      <c r="AJ5224">
        <v>112.819571388553</v>
      </c>
      <c r="AK5224">
        <v>36.265994376434698</v>
      </c>
      <c r="AL5224">
        <v>78.653915860989699</v>
      </c>
      <c r="AM5224">
        <v>91.513150478227601</v>
      </c>
      <c r="AN5224">
        <v>0.99999995568988997</v>
      </c>
    </row>
    <row r="5225" spans="1:40" x14ac:dyDescent="0.25">
      <c r="A5225" t="str">
        <f>"20190303171120086"</f>
        <v>20190303171120086</v>
      </c>
      <c r="B5225" t="str">
        <f>"1551604280076595"</f>
        <v>1551604280076595</v>
      </c>
      <c r="C5225" t="s">
        <v>40</v>
      </c>
      <c r="D5225">
        <v>5.2638689999999997</v>
      </c>
      <c r="E5225">
        <v>0.34941119999999998</v>
      </c>
      <c r="F5225" t="s">
        <v>70</v>
      </c>
      <c r="G5225">
        <v>-273.26249999999999</v>
      </c>
      <c r="H5225">
        <v>2.7825030000000002</v>
      </c>
      <c r="I5225">
        <v>-80.464519999999993</v>
      </c>
      <c r="J5225">
        <v>-299.86509999999998</v>
      </c>
      <c r="K5225">
        <v>1.131038</v>
      </c>
      <c r="L5225">
        <v>-55.379269999999998</v>
      </c>
      <c r="M5225">
        <v>0.40193990000000002</v>
      </c>
      <c r="N5225">
        <v>-1.424865E-2</v>
      </c>
      <c r="O5225">
        <v>-0.91555529999999996</v>
      </c>
      <c r="P5225">
        <v>0.41686770000000001</v>
      </c>
      <c r="Q5225">
        <v>0.18336169999999999</v>
      </c>
      <c r="R5225">
        <v>-0.89028099999999999</v>
      </c>
      <c r="S5225">
        <v>2.3732600000000001</v>
      </c>
      <c r="T5225">
        <v>0.14667740000000001</v>
      </c>
      <c r="U5225">
        <v>-2.2500309999999999</v>
      </c>
      <c r="V5225">
        <v>-2.8583239999999999E-2</v>
      </c>
      <c r="W5225">
        <v>0.19671369999999999</v>
      </c>
      <c r="X5225">
        <v>0.98004420000000003</v>
      </c>
      <c r="Y5225">
        <v>-0.38673489999999999</v>
      </c>
      <c r="Z5225">
        <v>-5.6534960000000002E-2</v>
      </c>
      <c r="AA5225">
        <v>0.92045630000000001</v>
      </c>
      <c r="AB5225">
        <v>28</v>
      </c>
      <c r="AC5225">
        <v>26.602599999999899</v>
      </c>
      <c r="AD5225">
        <v>1.65146499999999</v>
      </c>
      <c r="AE5225">
        <v>-25.085249999999899</v>
      </c>
      <c r="AF5225">
        <v>-14.2457756081053</v>
      </c>
      <c r="AG5225">
        <v>1.65146499999999</v>
      </c>
      <c r="AH5225">
        <v>33.594462994556203</v>
      </c>
      <c r="AI5225">
        <v>87.408684679612094</v>
      </c>
      <c r="AJ5225">
        <v>112.979435698933</v>
      </c>
      <c r="AK5225">
        <v>36.527488323389001</v>
      </c>
      <c r="AL5225">
        <v>78.655148919631301</v>
      </c>
      <c r="AM5225">
        <v>91.670572515765599</v>
      </c>
      <c r="AN5225">
        <v>0.99999995766511196</v>
      </c>
    </row>
    <row r="5226" spans="1:40" x14ac:dyDescent="0.25">
      <c r="A5226" t="str">
        <f>"20190303171120112"</f>
        <v>20190303171120112</v>
      </c>
      <c r="B5226" t="str">
        <f>"1551604280105875"</f>
        <v>1551604280105875</v>
      </c>
      <c r="C5226" t="s">
        <v>40</v>
      </c>
      <c r="D5226">
        <v>5.3645719999999999</v>
      </c>
      <c r="E5226">
        <v>0.33850609999999998</v>
      </c>
      <c r="F5226" t="s">
        <v>70</v>
      </c>
      <c r="G5226">
        <v>-272.56049999999999</v>
      </c>
      <c r="H5226">
        <v>2.7579310000000001</v>
      </c>
      <c r="I5226">
        <v>-80.464519999999993</v>
      </c>
      <c r="J5226">
        <v>-299.72190000000001</v>
      </c>
      <c r="K5226">
        <v>1.1312219999999999</v>
      </c>
      <c r="L5226">
        <v>-55.664430000000003</v>
      </c>
      <c r="M5226">
        <v>0.41630899999999998</v>
      </c>
      <c r="N5226">
        <v>-1.4315909999999999E-2</v>
      </c>
      <c r="O5226">
        <v>-0.90911070000000005</v>
      </c>
      <c r="P5226">
        <v>0.43265049999999999</v>
      </c>
      <c r="Q5226">
        <v>0.18506239999999999</v>
      </c>
      <c r="R5226">
        <v>-0.88236399999999904</v>
      </c>
      <c r="S5226">
        <v>2.408264</v>
      </c>
      <c r="T5226">
        <v>0.1434935</v>
      </c>
      <c r="U5226">
        <v>-2.2125240000000002</v>
      </c>
      <c r="V5226">
        <v>-3.0882369999999999E-2</v>
      </c>
      <c r="W5226">
        <v>0.19840769999999999</v>
      </c>
      <c r="X5226">
        <v>0.97963290000000003</v>
      </c>
      <c r="Y5226">
        <v>-0.38670139999999997</v>
      </c>
      <c r="Z5226">
        <v>-5.533474E-2</v>
      </c>
      <c r="AA5226">
        <v>0.92054340000000001</v>
      </c>
      <c r="AB5226">
        <v>28</v>
      </c>
      <c r="AC5226">
        <v>27.1614</v>
      </c>
      <c r="AD5226">
        <v>1.626709</v>
      </c>
      <c r="AE5226">
        <v>-24.800089999999901</v>
      </c>
      <c r="AF5226">
        <v>-14.341634803460501</v>
      </c>
      <c r="AG5226">
        <v>1.626709</v>
      </c>
      <c r="AH5226">
        <v>33.7909270213746</v>
      </c>
      <c r="AI5226">
        <v>87.462637104236904</v>
      </c>
      <c r="AJ5226">
        <v>112.99746738313</v>
      </c>
      <c r="AK5226">
        <v>36.744461078785399</v>
      </c>
      <c r="AL5226">
        <v>78.556138649094294</v>
      </c>
      <c r="AM5226">
        <v>91.805618885047906</v>
      </c>
      <c r="AN5226">
        <v>0.99999997747925795</v>
      </c>
    </row>
    <row r="5227" spans="1:40" x14ac:dyDescent="0.25">
      <c r="A5227" t="str">
        <f>"20190303171120135"</f>
        <v>20190303171120135</v>
      </c>
      <c r="B5227" t="str">
        <f>"1551604280126370"</f>
        <v>1551604280126370</v>
      </c>
      <c r="C5227" t="s">
        <v>40</v>
      </c>
      <c r="D5227">
        <v>5.3798779999999997</v>
      </c>
      <c r="E5227">
        <v>0.34396959999999999</v>
      </c>
      <c r="F5227" t="s">
        <v>70</v>
      </c>
      <c r="G5227">
        <v>-257.1986</v>
      </c>
      <c r="H5227">
        <v>4.7813879999999997</v>
      </c>
      <c r="I5227">
        <v>-91.564989999999995</v>
      </c>
      <c r="J5227">
        <v>-299.59379999999999</v>
      </c>
      <c r="K5227">
        <v>1.1313770000000001</v>
      </c>
      <c r="L5227">
        <v>-55.909759999999999</v>
      </c>
      <c r="M5227">
        <v>0.42891849999999998</v>
      </c>
      <c r="N5227">
        <v>-1.43737E-2</v>
      </c>
      <c r="O5227">
        <v>-0.90322880000000005</v>
      </c>
      <c r="P5227">
        <v>0.4469187</v>
      </c>
      <c r="Q5227">
        <v>0.18586910000000001</v>
      </c>
      <c r="R5227">
        <v>-0.87505219999999995</v>
      </c>
      <c r="S5227">
        <v>2.5136409999999998</v>
      </c>
      <c r="T5227">
        <v>0.2157704</v>
      </c>
      <c r="U5227">
        <v>-2.1221619999999999</v>
      </c>
      <c r="V5227">
        <v>-3.3330169999999999E-2</v>
      </c>
      <c r="W5227">
        <v>0.1991975</v>
      </c>
      <c r="X5227">
        <v>0.97939240000000005</v>
      </c>
      <c r="Y5227">
        <v>-0.41117749999999997</v>
      </c>
      <c r="Z5227">
        <v>-7.6810680000000006E-2</v>
      </c>
      <c r="AA5227">
        <v>0.90831340000000005</v>
      </c>
      <c r="AB5227">
        <v>28</v>
      </c>
      <c r="AC5227">
        <v>42.395199999999903</v>
      </c>
      <c r="AD5227">
        <v>3.6500110000000001</v>
      </c>
      <c r="AE5227">
        <v>-35.655230000000003</v>
      </c>
      <c r="AF5227">
        <v>-22.902323930024199</v>
      </c>
      <c r="AG5227">
        <v>3.6500110000000001</v>
      </c>
      <c r="AH5227">
        <v>50.176282533426502</v>
      </c>
      <c r="AI5227">
        <v>86.213901692607607</v>
      </c>
      <c r="AJ5227">
        <v>114.533721914014</v>
      </c>
      <c r="AK5227">
        <v>55.276562398272503</v>
      </c>
      <c r="AL5227">
        <v>78.509965152841602</v>
      </c>
      <c r="AM5227">
        <v>91.949107791271501</v>
      </c>
      <c r="AN5227">
        <v>1.00000000870811</v>
      </c>
    </row>
    <row r="5228" spans="1:40" x14ac:dyDescent="0.25">
      <c r="A5228" t="str">
        <f>"20190303171120155"</f>
        <v>20190303171120155</v>
      </c>
      <c r="B5228" t="str">
        <f>"1551604280145892"</f>
        <v>1551604280145892</v>
      </c>
      <c r="C5228" t="s">
        <v>40</v>
      </c>
      <c r="D5228">
        <v>5.4213649999999998</v>
      </c>
      <c r="E5228">
        <v>0.34713379999999999</v>
      </c>
      <c r="F5228" t="s">
        <v>70</v>
      </c>
      <c r="G5228">
        <v>-257.02940000000001</v>
      </c>
      <c r="H5228">
        <v>4.1555299999999997</v>
      </c>
      <c r="I5228">
        <v>-91.564989999999995</v>
      </c>
      <c r="J5228">
        <v>-299.47280000000001</v>
      </c>
      <c r="K5228">
        <v>1.131513</v>
      </c>
      <c r="L5228">
        <v>-56.133670000000002</v>
      </c>
      <c r="M5228">
        <v>0.44062600000000002</v>
      </c>
      <c r="N5228">
        <v>-1.442649E-2</v>
      </c>
      <c r="O5228">
        <v>-0.89757469999999995</v>
      </c>
      <c r="P5228">
        <v>0.46050419999999997</v>
      </c>
      <c r="Q5228">
        <v>0.1863601</v>
      </c>
      <c r="R5228">
        <v>-0.86787409999999998</v>
      </c>
      <c r="S5228">
        <v>2.5143740000000001</v>
      </c>
      <c r="T5228">
        <v>0.1786442</v>
      </c>
      <c r="U5228">
        <v>-2.1062319999999999</v>
      </c>
      <c r="V5228">
        <v>-3.5994619999999998E-2</v>
      </c>
      <c r="W5228">
        <v>0.19966059999999999</v>
      </c>
      <c r="X5228">
        <v>0.97920379999999996</v>
      </c>
      <c r="Y5228">
        <v>-0.4034548</v>
      </c>
      <c r="Z5228">
        <v>-6.5470349999999997E-2</v>
      </c>
      <c r="AA5228">
        <v>0.91265430000000003</v>
      </c>
      <c r="AB5228">
        <v>28</v>
      </c>
      <c r="AC5228">
        <v>42.443399999999997</v>
      </c>
      <c r="AD5228">
        <v>3.0240170000000002</v>
      </c>
      <c r="AE5228">
        <v>-35.431319999999999</v>
      </c>
      <c r="AF5228">
        <v>-22.419435068662299</v>
      </c>
      <c r="AG5228">
        <v>3.0240170000000002</v>
      </c>
      <c r="AH5228">
        <v>50.358534119308501</v>
      </c>
      <c r="AI5228">
        <v>86.859968089299699</v>
      </c>
      <c r="AJ5228">
        <v>113.99845331497799</v>
      </c>
      <c r="AK5228">
        <v>55.206500579730701</v>
      </c>
      <c r="AL5228">
        <v>78.4828877387029</v>
      </c>
      <c r="AM5228">
        <v>92.105191652292703</v>
      </c>
      <c r="AN5228">
        <v>1.00000002489787</v>
      </c>
    </row>
    <row r="5229" spans="1:40" x14ac:dyDescent="0.25">
      <c r="A5229" t="str">
        <f>"20190303171120174"</f>
        <v>20190303171120174</v>
      </c>
      <c r="B5229" t="str">
        <f>"1551604280166388"</f>
        <v>1551604280166388</v>
      </c>
      <c r="C5229" t="s">
        <v>40</v>
      </c>
      <c r="D5229">
        <v>5.3159280000000004</v>
      </c>
      <c r="E5229">
        <v>0.34896690000000002</v>
      </c>
      <c r="F5229" t="s">
        <v>70</v>
      </c>
      <c r="G5229">
        <v>-256.43220000000002</v>
      </c>
      <c r="H5229">
        <v>3.8698800000000002</v>
      </c>
      <c r="I5229">
        <v>-91.564989999999995</v>
      </c>
      <c r="J5229">
        <v>-299.363</v>
      </c>
      <c r="K5229">
        <v>1.1316219999999999</v>
      </c>
      <c r="L5229">
        <v>-56.330289999999998</v>
      </c>
      <c r="M5229">
        <v>0.4510632</v>
      </c>
      <c r="N5229">
        <v>-1.4472219999999999E-2</v>
      </c>
      <c r="O5229">
        <v>-0.89237459999999902</v>
      </c>
      <c r="P5229">
        <v>0.4757074</v>
      </c>
      <c r="Q5229">
        <v>0.1851536</v>
      </c>
      <c r="R5229">
        <v>-0.85989579999999999</v>
      </c>
      <c r="S5229">
        <v>2.5278019999999999</v>
      </c>
      <c r="T5229">
        <v>0.16082679999999999</v>
      </c>
      <c r="U5229">
        <v>-2.080902</v>
      </c>
      <c r="V5229">
        <v>-4.1733060000000002E-2</v>
      </c>
      <c r="W5229">
        <v>0.19834370000000001</v>
      </c>
      <c r="X5229">
        <v>0.97924359999999999</v>
      </c>
      <c r="Y5229">
        <v>-0.40087719999999999</v>
      </c>
      <c r="Z5229">
        <v>-5.9957789999999997E-2</v>
      </c>
      <c r="AA5229">
        <v>0.91416759999999997</v>
      </c>
      <c r="AB5229">
        <v>28</v>
      </c>
      <c r="AC5229">
        <v>42.930799999999898</v>
      </c>
      <c r="AD5229">
        <v>2.7382580000000001</v>
      </c>
      <c r="AE5229">
        <v>-35.234699999999997</v>
      </c>
      <c r="AF5229">
        <v>-22.3652615711393</v>
      </c>
      <c r="AG5229">
        <v>2.7382580000000001</v>
      </c>
      <c r="AH5229">
        <v>50.689161929976301</v>
      </c>
      <c r="AI5229">
        <v>87.170542715685698</v>
      </c>
      <c r="AJ5229">
        <v>113.808210528324</v>
      </c>
      <c r="AK5229">
        <v>55.471561355197103</v>
      </c>
      <c r="AL5229">
        <v>78.559879613188599</v>
      </c>
      <c r="AM5229">
        <v>92.440334702899094</v>
      </c>
      <c r="AN5229">
        <v>0.99999994988380503</v>
      </c>
    </row>
    <row r="5230" spans="1:40" x14ac:dyDescent="0.25">
      <c r="A5230" t="str">
        <f>"20190303171120193"</f>
        <v>20190303171120193</v>
      </c>
      <c r="B5230" t="str">
        <f>"1551604280185907"</f>
        <v>1551604280185907</v>
      </c>
      <c r="C5230" t="s">
        <v>40</v>
      </c>
      <c r="D5230">
        <v>5.3268380000000004</v>
      </c>
      <c r="E5230">
        <v>0.35005320000000001</v>
      </c>
      <c r="F5230" t="s">
        <v>70</v>
      </c>
      <c r="G5230">
        <v>-255.40020000000001</v>
      </c>
      <c r="H5230">
        <v>3.6340620000000001</v>
      </c>
      <c r="I5230">
        <v>-91.564989999999995</v>
      </c>
      <c r="J5230">
        <v>-299.2448</v>
      </c>
      <c r="K5230">
        <v>1.13174</v>
      </c>
      <c r="L5230">
        <v>-56.536320000000003</v>
      </c>
      <c r="M5230">
        <v>0.4621227</v>
      </c>
      <c r="N5230">
        <v>-1.451818E-2</v>
      </c>
      <c r="O5230">
        <v>-0.88669739999999997</v>
      </c>
      <c r="P5230">
        <v>0.49064760000000002</v>
      </c>
      <c r="Q5230">
        <v>0.1833388</v>
      </c>
      <c r="R5230">
        <v>-0.85185239999999995</v>
      </c>
      <c r="S5230">
        <v>2.5522770000000001</v>
      </c>
      <c r="T5230">
        <v>0.14528079999999999</v>
      </c>
      <c r="U5230">
        <v>-2.045563</v>
      </c>
      <c r="V5230">
        <v>-4.649528E-2</v>
      </c>
      <c r="W5230">
        <v>0.19644210000000001</v>
      </c>
      <c r="X5230">
        <v>0.97941239999999996</v>
      </c>
      <c r="Y5230">
        <v>-0.40168930000000003</v>
      </c>
      <c r="Z5230">
        <v>-5.5109709999999999E-2</v>
      </c>
      <c r="AA5230">
        <v>0.91411629999999999</v>
      </c>
      <c r="AB5230">
        <v>28</v>
      </c>
      <c r="AC5230">
        <v>43.8445999999999</v>
      </c>
      <c r="AD5230">
        <v>2.5023219999999999</v>
      </c>
      <c r="AE5230">
        <v>-35.028669999999998</v>
      </c>
      <c r="AF5230">
        <v>-22.646709128614301</v>
      </c>
      <c r="AG5230">
        <v>2.5023219999999999</v>
      </c>
      <c r="AH5230">
        <v>51.224967112155397</v>
      </c>
      <c r="AI5230">
        <v>87.441833555253496</v>
      </c>
      <c r="AJ5230">
        <v>113.85036309427601</v>
      </c>
      <c r="AK5230">
        <v>56.063645131128801</v>
      </c>
      <c r="AL5230">
        <v>78.671020380389706</v>
      </c>
      <c r="AM5230">
        <v>92.717940659104698</v>
      </c>
      <c r="AN5230">
        <v>0.99999997949422403</v>
      </c>
    </row>
    <row r="5231" spans="1:40" x14ac:dyDescent="0.25">
      <c r="A5231" t="str">
        <f>"20190303171120217"</f>
        <v>20190303171120217</v>
      </c>
      <c r="B5231" t="str">
        <f>"1551604280206403"</f>
        <v>1551604280206403</v>
      </c>
      <c r="C5231" t="s">
        <v>40</v>
      </c>
      <c r="D5231">
        <v>5.2145299999999999</v>
      </c>
      <c r="E5231">
        <v>0.35038859999999999</v>
      </c>
      <c r="F5231" t="s">
        <v>70</v>
      </c>
      <c r="G5231">
        <v>-254.23400000000001</v>
      </c>
      <c r="H5231">
        <v>3.392639</v>
      </c>
      <c r="I5231">
        <v>-91.564989999999995</v>
      </c>
      <c r="J5231">
        <v>-299.0967</v>
      </c>
      <c r="K5231">
        <v>1.131866</v>
      </c>
      <c r="L5231">
        <v>-56.786099999999998</v>
      </c>
      <c r="M5231">
        <v>0.47567920000000002</v>
      </c>
      <c r="N5231">
        <v>-1.4570019999999999E-2</v>
      </c>
      <c r="O5231">
        <v>-0.87949820000000001</v>
      </c>
      <c r="P5231">
        <v>0.50596699999999994</v>
      </c>
      <c r="Q5231">
        <v>0.18364449999999999</v>
      </c>
      <c r="R5231">
        <v>-0.84277649999999904</v>
      </c>
      <c r="S5231">
        <v>2.5800169999999998</v>
      </c>
      <c r="T5231">
        <v>0.12959560000000001</v>
      </c>
      <c r="U5231">
        <v>-2.0078429999999998</v>
      </c>
      <c r="V5231">
        <v>-4.9272089999999998E-2</v>
      </c>
      <c r="W5231">
        <v>0.19671140000000001</v>
      </c>
      <c r="X5231">
        <v>0.97922260000000005</v>
      </c>
      <c r="Y5231">
        <v>-0.40092889999999998</v>
      </c>
      <c r="Z5231">
        <v>-5.0141709999999999E-2</v>
      </c>
      <c r="AA5231">
        <v>0.91473590000000005</v>
      </c>
      <c r="AB5231">
        <v>28</v>
      </c>
      <c r="AC5231">
        <v>44.862699999999897</v>
      </c>
      <c r="AD5231">
        <v>2.2607729999999999</v>
      </c>
      <c r="AE5231">
        <v>-34.778889999999997</v>
      </c>
      <c r="AF5231">
        <v>-22.879210037892101</v>
      </c>
      <c r="AG5231">
        <v>2.2607729999999999</v>
      </c>
      <c r="AH5231">
        <v>51.851488600736197</v>
      </c>
      <c r="AI5231">
        <v>87.715667852140399</v>
      </c>
      <c r="AJ5231">
        <v>113.809230117477</v>
      </c>
      <c r="AK5231">
        <v>56.719892600636904</v>
      </c>
      <c r="AL5231">
        <v>78.655283893729504</v>
      </c>
      <c r="AM5231">
        <v>92.880554299532307</v>
      </c>
      <c r="AN5231">
        <v>1.00000000704684</v>
      </c>
    </row>
    <row r="5232" spans="1:40" x14ac:dyDescent="0.25">
      <c r="A5232" t="str">
        <f>"20190303171120235"</f>
        <v>20190303171120235</v>
      </c>
      <c r="B5232" t="str">
        <f>"1551604280225923"</f>
        <v>1551604280225923</v>
      </c>
      <c r="C5232" t="s">
        <v>40</v>
      </c>
      <c r="D5232">
        <v>5.6678709999999999</v>
      </c>
      <c r="E5232">
        <v>0.35144130000000001</v>
      </c>
      <c r="F5232" t="s">
        <v>70</v>
      </c>
      <c r="G5232">
        <v>-252.8074</v>
      </c>
      <c r="H5232">
        <v>3.466812</v>
      </c>
      <c r="I5232">
        <v>-91.564989999999995</v>
      </c>
      <c r="J5232">
        <v>-298.976</v>
      </c>
      <c r="K5232">
        <v>1.13195</v>
      </c>
      <c r="L5232">
        <v>-56.983089999999997</v>
      </c>
      <c r="M5232">
        <v>0.48648809999999898</v>
      </c>
      <c r="N5232">
        <v>-1.4607520000000001E-2</v>
      </c>
      <c r="O5232">
        <v>-0.87356509999999998</v>
      </c>
      <c r="P5232">
        <v>0.51793239999999996</v>
      </c>
      <c r="Q5232">
        <v>0.1845388</v>
      </c>
      <c r="R5232">
        <v>-0.8352792</v>
      </c>
      <c r="S5232">
        <v>2.612244</v>
      </c>
      <c r="T5232">
        <v>0.13176869999999999</v>
      </c>
      <c r="U5232">
        <v>-1.962677</v>
      </c>
      <c r="V5232">
        <v>-5.1322960000000001E-2</v>
      </c>
      <c r="W5232">
        <v>0.19757630000000001</v>
      </c>
      <c r="X5232">
        <v>0.97894309999999995</v>
      </c>
      <c r="Y5232">
        <v>-0.40512880000000001</v>
      </c>
      <c r="Z5232">
        <v>-5.0604910000000003E-2</v>
      </c>
      <c r="AA5232">
        <v>0.91285799999999995</v>
      </c>
      <c r="AB5232">
        <v>28</v>
      </c>
      <c r="AC5232">
        <v>46.168599999999998</v>
      </c>
      <c r="AD5232">
        <v>2.33486199999999</v>
      </c>
      <c r="AE5232">
        <v>-34.581899999999997</v>
      </c>
      <c r="AF5232">
        <v>-23.471647684773401</v>
      </c>
      <c r="AG5232">
        <v>2.33486199999999</v>
      </c>
      <c r="AH5232">
        <v>52.589473890421502</v>
      </c>
      <c r="AI5232">
        <v>87.678325063670002</v>
      </c>
      <c r="AJ5232">
        <v>114.052083897575</v>
      </c>
      <c r="AK5232">
        <v>57.636989769318298</v>
      </c>
      <c r="AL5232">
        <v>78.604736876078903</v>
      </c>
      <c r="AM5232">
        <v>93.001093000953702</v>
      </c>
      <c r="AN5232">
        <v>1.00000001679123</v>
      </c>
    </row>
    <row r="5233" spans="1:40" x14ac:dyDescent="0.25">
      <c r="A5233" t="str">
        <f>"20190303171120259"</f>
        <v>20190303171120259</v>
      </c>
      <c r="B5233" t="str">
        <f>"1551604280246420"</f>
        <v>1551604280246420</v>
      </c>
      <c r="C5233" t="s">
        <v>40</v>
      </c>
      <c r="D5233">
        <v>5.2814480000000001</v>
      </c>
      <c r="E5233">
        <v>0.35259299999999999</v>
      </c>
      <c r="F5233" t="s">
        <v>70</v>
      </c>
      <c r="G5233">
        <v>-251.82239999999999</v>
      </c>
      <c r="H5233">
        <v>3.4455119999999999</v>
      </c>
      <c r="I5233">
        <v>-91.564989999999995</v>
      </c>
      <c r="J5233">
        <v>-298.83120000000002</v>
      </c>
      <c r="K5233">
        <v>1.13201</v>
      </c>
      <c r="L5233">
        <v>-57.211880000000001</v>
      </c>
      <c r="M5233">
        <v>0.4991487</v>
      </c>
      <c r="N5233">
        <v>-1.4646589999999999E-2</v>
      </c>
      <c r="O5233">
        <v>-0.86639259999999996</v>
      </c>
      <c r="P5233">
        <v>0.53159730000000005</v>
      </c>
      <c r="Q5233">
        <v>0.1850569</v>
      </c>
      <c r="R5233">
        <v>-0.82653399999999999</v>
      </c>
      <c r="S5233">
        <v>2.632568</v>
      </c>
      <c r="T5233">
        <v>0.12916610000000001</v>
      </c>
      <c r="U5233">
        <v>-1.9306950000000001</v>
      </c>
      <c r="V5233">
        <v>-5.3285930000000002E-2</v>
      </c>
      <c r="W5233">
        <v>0.19806979999999999</v>
      </c>
      <c r="X5233">
        <v>0.97873840000000001</v>
      </c>
      <c r="Y5233">
        <v>-0.4024298</v>
      </c>
      <c r="Z5233">
        <v>-4.9550589999999999E-2</v>
      </c>
      <c r="AA5233">
        <v>0.9141089</v>
      </c>
      <c r="AB5233">
        <v>28</v>
      </c>
      <c r="AC5233">
        <v>47.008800000000001</v>
      </c>
      <c r="AD5233">
        <v>2.3135020000000002</v>
      </c>
      <c r="AE5233">
        <v>-34.353110000000001</v>
      </c>
      <c r="AF5233">
        <v>-23.546118848547799</v>
      </c>
      <c r="AG5233">
        <v>2.3135020000000002</v>
      </c>
      <c r="AH5233">
        <v>53.149453869561199</v>
      </c>
      <c r="AI5233">
        <v>87.720964834829999</v>
      </c>
      <c r="AJ5233">
        <v>113.894163355497</v>
      </c>
      <c r="AK5233">
        <v>58.177628440548801</v>
      </c>
      <c r="AL5233">
        <v>78.575890534911593</v>
      </c>
      <c r="AM5233">
        <v>93.1163053711565</v>
      </c>
      <c r="AN5233">
        <v>0.99999994582128005</v>
      </c>
    </row>
    <row r="5234" spans="1:40" x14ac:dyDescent="0.25">
      <c r="A5234" t="str">
        <f>"20190303171120281"</f>
        <v>20190303171120281</v>
      </c>
      <c r="B5234" t="str">
        <f>"1551604280275698"</f>
        <v>1551604280275698</v>
      </c>
      <c r="C5234" t="s">
        <v>40</v>
      </c>
      <c r="D5234">
        <v>5.2787220000000001</v>
      </c>
      <c r="E5234">
        <v>0.35365350000000001</v>
      </c>
      <c r="F5234" t="s">
        <v>70</v>
      </c>
      <c r="G5234">
        <v>-250.6429</v>
      </c>
      <c r="H5234">
        <v>3.3879619999999999</v>
      </c>
      <c r="I5234">
        <v>-91.564989999999995</v>
      </c>
      <c r="J5234">
        <v>-298.67680000000001</v>
      </c>
      <c r="K5234">
        <v>1.132066</v>
      </c>
      <c r="L5234">
        <v>-57.447780000000002</v>
      </c>
      <c r="M5234">
        <v>0.51229880000000005</v>
      </c>
      <c r="N5234">
        <v>-1.4681899999999999E-2</v>
      </c>
      <c r="O5234">
        <v>-0.85868199999999995</v>
      </c>
      <c r="P5234">
        <v>0.54632009999999998</v>
      </c>
      <c r="Q5234">
        <v>0.1857916</v>
      </c>
      <c r="R5234">
        <v>-0.81671079999999996</v>
      </c>
      <c r="S5234">
        <v>2.6560670000000002</v>
      </c>
      <c r="T5234">
        <v>0.12434580000000001</v>
      </c>
      <c r="U5234">
        <v>-1.893494</v>
      </c>
      <c r="V5234">
        <v>-5.603876E-2</v>
      </c>
      <c r="W5234">
        <v>0.19875590000000001</v>
      </c>
      <c r="X5234">
        <v>0.97844560000000003</v>
      </c>
      <c r="Y5234">
        <v>-0.40084599999999998</v>
      </c>
      <c r="Z5234">
        <v>-4.7824930000000002E-2</v>
      </c>
      <c r="AA5234">
        <v>0.9148963</v>
      </c>
      <c r="AB5234">
        <v>28</v>
      </c>
      <c r="AC5234">
        <v>48.033900000000003</v>
      </c>
      <c r="AD5234">
        <v>2.2558959999999999</v>
      </c>
      <c r="AE5234">
        <v>-34.11721</v>
      </c>
      <c r="AF5234">
        <v>-23.735399276280098</v>
      </c>
      <c r="AG5234">
        <v>2.2558959999999999</v>
      </c>
      <c r="AH5234">
        <v>53.8304244281669</v>
      </c>
      <c r="AI5234">
        <v>87.804047564990697</v>
      </c>
      <c r="AJ5234">
        <v>113.794077157513</v>
      </c>
      <c r="AK5234">
        <v>58.874212009026799</v>
      </c>
      <c r="AL5234">
        <v>78.535783367603898</v>
      </c>
      <c r="AM5234">
        <v>93.277934544161795</v>
      </c>
      <c r="AN5234">
        <v>1.0000000212832501</v>
      </c>
    </row>
    <row r="5235" spans="1:40" x14ac:dyDescent="0.25">
      <c r="A5235" t="str">
        <f>"20190303171120307"</f>
        <v>20190303171120307</v>
      </c>
      <c r="B5235" t="str">
        <f>"1551604280296195"</f>
        <v>1551604280296195</v>
      </c>
      <c r="C5235" t="s">
        <v>40</v>
      </c>
      <c r="D5235">
        <v>5.2627949999999997</v>
      </c>
      <c r="E5235">
        <v>0.36993540000000003</v>
      </c>
      <c r="F5235" t="s">
        <v>70</v>
      </c>
      <c r="G5235">
        <v>-249.22329999999999</v>
      </c>
      <c r="H5235">
        <v>3.3839169999999998</v>
      </c>
      <c r="I5235">
        <v>-91.564989999999995</v>
      </c>
      <c r="J5235">
        <v>-298.4966</v>
      </c>
      <c r="K5235">
        <v>1.132099</v>
      </c>
      <c r="L5235">
        <v>-57.713619999999999</v>
      </c>
      <c r="M5235">
        <v>0.52720509999999998</v>
      </c>
      <c r="N5235">
        <v>-1.4716430000000001E-2</v>
      </c>
      <c r="O5235">
        <v>-0.84961059999999999</v>
      </c>
      <c r="P5235">
        <v>0.56224149999999995</v>
      </c>
      <c r="Q5235">
        <v>0.18536459999999999</v>
      </c>
      <c r="R5235">
        <v>-0.80593099999999995</v>
      </c>
      <c r="S5235">
        <v>2.6828609999999999</v>
      </c>
      <c r="T5235">
        <v>0.1221652</v>
      </c>
      <c r="U5235">
        <v>-1.8508610000000001</v>
      </c>
      <c r="V5235">
        <v>-5.8126810000000001E-2</v>
      </c>
      <c r="W5235">
        <v>0.19830120000000001</v>
      </c>
      <c r="X5235">
        <v>0.97841599999999995</v>
      </c>
      <c r="Y5235">
        <v>-0.39900829999999998</v>
      </c>
      <c r="Z5235">
        <v>-4.6820100000000003E-2</v>
      </c>
      <c r="AA5235">
        <v>0.91575119999999999</v>
      </c>
      <c r="AB5235">
        <v>28</v>
      </c>
      <c r="AC5235">
        <v>49.273299999999999</v>
      </c>
      <c r="AD5235">
        <v>2.2518180000000001</v>
      </c>
      <c r="AE5235">
        <v>-33.851370000000003</v>
      </c>
      <c r="AF5235">
        <v>-23.985073149210301</v>
      </c>
      <c r="AG5235">
        <v>2.2518180000000001</v>
      </c>
      <c r="AH5235">
        <v>54.665983794293901</v>
      </c>
      <c r="AI5235">
        <v>87.839758399766794</v>
      </c>
      <c r="AJ5235">
        <v>113.689791355678</v>
      </c>
      <c r="AK5235">
        <v>59.738799807797399</v>
      </c>
      <c r="AL5235">
        <v>78.562364387394993</v>
      </c>
      <c r="AM5235">
        <v>93.399894310553705</v>
      </c>
      <c r="AN5235">
        <v>0.99999998050910699</v>
      </c>
    </row>
    <row r="5236" spans="1:40" x14ac:dyDescent="0.25">
      <c r="A5236" t="str">
        <f>"20190303171120333"</f>
        <v>20190303171120333</v>
      </c>
      <c r="B5236" t="str">
        <f>"1551604280326451"</f>
        <v>1551604280326451</v>
      </c>
      <c r="C5236" t="s">
        <v>40</v>
      </c>
      <c r="D5236">
        <v>5.3370100000000003</v>
      </c>
      <c r="E5236">
        <v>0.37241849999999999</v>
      </c>
      <c r="F5236" t="s">
        <v>70</v>
      </c>
      <c r="G5236">
        <v>-251.26910000000001</v>
      </c>
      <c r="H5236">
        <v>1.9452240000000001</v>
      </c>
      <c r="I5236">
        <v>-91.564989999999995</v>
      </c>
      <c r="J5236">
        <v>-298.3252</v>
      </c>
      <c r="K5236">
        <v>1.1321190000000001</v>
      </c>
      <c r="L5236">
        <v>-57.957819999999998</v>
      </c>
      <c r="M5236">
        <v>0.54094889999999995</v>
      </c>
      <c r="N5236">
        <v>-1.474341E-2</v>
      </c>
      <c r="O5236">
        <v>-0.84092649999999902</v>
      </c>
      <c r="P5236">
        <v>0.57743199999999995</v>
      </c>
      <c r="Q5236">
        <v>0.1844643</v>
      </c>
      <c r="R5236">
        <v>-0.79532729999999996</v>
      </c>
      <c r="S5236">
        <v>2.6244510000000001</v>
      </c>
      <c r="T5236">
        <v>4.5185330000000003E-2</v>
      </c>
      <c r="U5236">
        <v>-1.8811340000000001</v>
      </c>
      <c r="V5236">
        <v>-6.066382E-2</v>
      </c>
      <c r="W5236">
        <v>0.19735659999999999</v>
      </c>
      <c r="X5236">
        <v>0.97845300000000002</v>
      </c>
      <c r="Y5236">
        <v>-0.36809910000000001</v>
      </c>
      <c r="Z5236">
        <v>-2.4087109999999998E-2</v>
      </c>
      <c r="AA5236">
        <v>0.92947449999999998</v>
      </c>
      <c r="AB5236">
        <v>28</v>
      </c>
      <c r="AC5236">
        <v>47.056100000000001</v>
      </c>
      <c r="AD5236">
        <v>0.81310499999999997</v>
      </c>
      <c r="AE5236">
        <v>-33.607170000000004</v>
      </c>
      <c r="AF5236">
        <v>-21.389050988968101</v>
      </c>
      <c r="AG5236">
        <v>0.81310499999999997</v>
      </c>
      <c r="AH5236">
        <v>53.711311964968402</v>
      </c>
      <c r="AI5236">
        <v>89.194228977140796</v>
      </c>
      <c r="AJ5236">
        <v>111.713558019625</v>
      </c>
      <c r="AK5236">
        <v>57.819180856769798</v>
      </c>
      <c r="AL5236">
        <v>78.617577402331406</v>
      </c>
      <c r="AM5236">
        <v>93.547781553013706</v>
      </c>
      <c r="AN5236">
        <v>0.99999999991477595</v>
      </c>
    </row>
    <row r="5237" spans="1:40" x14ac:dyDescent="0.25">
      <c r="A5237" t="str">
        <f>"20190303171120350"</f>
        <v>20190303171120350</v>
      </c>
      <c r="B5237" t="str">
        <f>"1551604280336212"</f>
        <v>1551604280336212</v>
      </c>
      <c r="C5237" t="s">
        <v>40</v>
      </c>
      <c r="D5237">
        <v>5.3053670000000004</v>
      </c>
      <c r="E5237">
        <v>0.37241849999999999</v>
      </c>
      <c r="F5237" t="s">
        <v>70</v>
      </c>
      <c r="G5237">
        <v>-250.1352</v>
      </c>
      <c r="H5237">
        <v>1.6969829999999999</v>
      </c>
      <c r="I5237">
        <v>-91.564989999999995</v>
      </c>
      <c r="J5237">
        <v>-298.19720000000001</v>
      </c>
      <c r="K5237">
        <v>1.132131</v>
      </c>
      <c r="L5237">
        <v>-58.134430000000002</v>
      </c>
      <c r="M5237">
        <v>0.55092269999999999</v>
      </c>
      <c r="N5237">
        <v>-1.4759980000000001E-2</v>
      </c>
      <c r="O5237">
        <v>-0.83442569999999905</v>
      </c>
      <c r="P5237">
        <v>0.58862199999999998</v>
      </c>
      <c r="Q5237">
        <v>0.1838766</v>
      </c>
      <c r="R5237">
        <v>-0.78721869999999905</v>
      </c>
      <c r="S5237">
        <v>2.6449280000000002</v>
      </c>
      <c r="T5237">
        <v>3.1003590000000001E-2</v>
      </c>
      <c r="U5237">
        <v>-1.844543</v>
      </c>
      <c r="V5237">
        <v>-6.2770370000000006E-2</v>
      </c>
      <c r="W5237">
        <v>0.19672729999999999</v>
      </c>
      <c r="X5237">
        <v>0.97844679999999995</v>
      </c>
      <c r="Y5237">
        <v>-0.36912010000000001</v>
      </c>
      <c r="Z5237">
        <v>-1.9796500000000002E-2</v>
      </c>
      <c r="AA5237">
        <v>0.92917079999999996</v>
      </c>
      <c r="AB5237">
        <v>28</v>
      </c>
      <c r="AC5237">
        <v>48.061999999999998</v>
      </c>
      <c r="AD5237">
        <v>0.56485200000000002</v>
      </c>
      <c r="AE5237">
        <v>-33.43056</v>
      </c>
      <c r="AF5237">
        <v>-21.686858327297902</v>
      </c>
      <c r="AG5237">
        <v>0.56485200000000002</v>
      </c>
      <c r="AH5237">
        <v>54.374629519012899</v>
      </c>
      <c r="AI5237">
        <v>89.447169707239993</v>
      </c>
      <c r="AJ5237">
        <v>111.744164517935</v>
      </c>
      <c r="AK5237">
        <v>58.542627351529902</v>
      </c>
      <c r="AL5237">
        <v>78.654354023606601</v>
      </c>
      <c r="AM5237">
        <v>93.670670208997805</v>
      </c>
      <c r="AN5237">
        <v>0.99999994517273105</v>
      </c>
    </row>
    <row r="5238" spans="1:40" x14ac:dyDescent="0.25">
      <c r="A5238" t="str">
        <f>"20190303171120373"</f>
        <v>20190303171120373</v>
      </c>
      <c r="B5238" t="str">
        <f>"1551604280366469"</f>
        <v>1551604280366469</v>
      </c>
      <c r="C5238" t="s">
        <v>40</v>
      </c>
      <c r="D5238">
        <v>5.3141980000000002</v>
      </c>
      <c r="E5238">
        <v>0.38237480000000001</v>
      </c>
      <c r="F5238" t="s">
        <v>70</v>
      </c>
      <c r="G5238">
        <v>-248.8175</v>
      </c>
      <c r="H5238">
        <v>1.6462920000000001</v>
      </c>
      <c r="I5238">
        <v>-91.564989999999995</v>
      </c>
      <c r="J5238">
        <v>-298.03590000000003</v>
      </c>
      <c r="K5238">
        <v>1.132131</v>
      </c>
      <c r="L5238">
        <v>-58.351100000000002</v>
      </c>
      <c r="M5238">
        <v>0.56317519999999999</v>
      </c>
      <c r="N5238">
        <v>-1.477757E-2</v>
      </c>
      <c r="O5238">
        <v>-0.82620550000000004</v>
      </c>
      <c r="P5238">
        <v>0.60172049999999999</v>
      </c>
      <c r="Q5238">
        <v>0.183643</v>
      </c>
      <c r="R5238">
        <v>-0.77730849999999996</v>
      </c>
      <c r="S5238">
        <v>2.6702270000000001</v>
      </c>
      <c r="T5238">
        <v>2.7804140000000001E-2</v>
      </c>
      <c r="U5238">
        <v>-1.8077700000000001</v>
      </c>
      <c r="V5238">
        <v>-6.4684850000000002E-2</v>
      </c>
      <c r="W5238">
        <v>0.19645799999999999</v>
      </c>
      <c r="X5238">
        <v>0.97837629999999998</v>
      </c>
      <c r="Y5238">
        <v>-0.368286</v>
      </c>
      <c r="Z5238">
        <v>-1.8671739999999999E-2</v>
      </c>
      <c r="AA5238">
        <v>0.92952500000000005</v>
      </c>
      <c r="AB5238">
        <v>28</v>
      </c>
      <c r="AC5238">
        <v>49.218400000000003</v>
      </c>
      <c r="AD5238">
        <v>0.51416099999999898</v>
      </c>
      <c r="AE5238">
        <v>-33.213889999999999</v>
      </c>
      <c r="AF5238">
        <v>-21.960022780470499</v>
      </c>
      <c r="AG5238">
        <v>0.51416099999999898</v>
      </c>
      <c r="AH5238">
        <v>55.161962649705401</v>
      </c>
      <c r="AI5238">
        <v>89.503834997042105</v>
      </c>
      <c r="AJ5238">
        <v>111.70754225864501</v>
      </c>
      <c r="AK5238">
        <v>59.3746501919818</v>
      </c>
      <c r="AL5238">
        <v>78.670091852447499</v>
      </c>
      <c r="AM5238">
        <v>93.782576273011699</v>
      </c>
      <c r="AN5238">
        <v>1.0000000299926</v>
      </c>
    </row>
    <row r="5239" spans="1:40" x14ac:dyDescent="0.25">
      <c r="A5239" t="str">
        <f>"20190303171120391"</f>
        <v>20190303171120391</v>
      </c>
      <c r="B5239" t="str">
        <f>"1551604280385987"</f>
        <v>1551604280385987</v>
      </c>
      <c r="C5239" t="s">
        <v>40</v>
      </c>
      <c r="D5239">
        <v>5.338381</v>
      </c>
      <c r="E5239">
        <v>0.38266319999999998</v>
      </c>
      <c r="F5239" t="s">
        <v>70</v>
      </c>
      <c r="G5239">
        <v>-249.70590000000001</v>
      </c>
      <c r="H5239">
        <v>0.97032929999999995</v>
      </c>
      <c r="I5239">
        <v>-91.564989999999995</v>
      </c>
      <c r="J5239">
        <v>-297.89400000000001</v>
      </c>
      <c r="K5239">
        <v>1.132123</v>
      </c>
      <c r="L5239">
        <v>-58.536219999999901</v>
      </c>
      <c r="M5239">
        <v>0.57366479999999997</v>
      </c>
      <c r="N5239">
        <v>-1.47902E-2</v>
      </c>
      <c r="O5239">
        <v>-0.81895669999999898</v>
      </c>
      <c r="P5239">
        <v>0.61303509999999894</v>
      </c>
      <c r="Q5239">
        <v>0.18306620000000001</v>
      </c>
      <c r="R5239">
        <v>-0.76855399999999996</v>
      </c>
      <c r="S5239">
        <v>2.6424560000000001</v>
      </c>
      <c r="T5239">
        <v>-8.8458059999999995E-3</v>
      </c>
      <c r="U5239">
        <v>-1.815979</v>
      </c>
      <c r="V5239">
        <v>-6.6441100000000003E-2</v>
      </c>
      <c r="W5239">
        <v>0.19584689999999999</v>
      </c>
      <c r="X5239">
        <v>0.9783811</v>
      </c>
      <c r="Y5239">
        <v>-0.3499929</v>
      </c>
      <c r="Z5239">
        <v>-8.0344240000000001E-3</v>
      </c>
      <c r="AA5239">
        <v>0.93671789999999999</v>
      </c>
      <c r="AB5239">
        <v>28</v>
      </c>
      <c r="AC5239">
        <v>48.188099999999899</v>
      </c>
      <c r="AD5239">
        <v>-0.16179370000000001</v>
      </c>
      <c r="AE5239">
        <v>-33.028770000000002</v>
      </c>
      <c r="AF5239">
        <v>-20.5186102809033</v>
      </c>
      <c r="AG5239">
        <v>-0.16179370000000001</v>
      </c>
      <c r="AH5239">
        <v>54.698509190497198</v>
      </c>
      <c r="AI5239">
        <v>90.158678755133096</v>
      </c>
      <c r="AJ5239">
        <v>110.562169701318</v>
      </c>
      <c r="AK5239">
        <v>58.420599558065597</v>
      </c>
      <c r="AL5239">
        <v>78.705798654844003</v>
      </c>
      <c r="AM5239">
        <v>93.884947155236006</v>
      </c>
      <c r="AN5239">
        <v>1.00000000242301</v>
      </c>
    </row>
    <row r="5240" spans="1:40" x14ac:dyDescent="0.25">
      <c r="A5240" t="str">
        <f>"20190303171120414"</f>
        <v>20190303171120414</v>
      </c>
      <c r="B5240" t="str">
        <f>"1551604280406484"</f>
        <v>1551604280406484</v>
      </c>
      <c r="C5240" t="s">
        <v>40</v>
      </c>
      <c r="D5240">
        <v>5.2912629999999998</v>
      </c>
      <c r="E5240">
        <v>0.3587264</v>
      </c>
      <c r="F5240" t="s">
        <v>70</v>
      </c>
      <c r="G5240">
        <v>-248.36410000000001</v>
      </c>
      <c r="H5240">
        <v>0.876749</v>
      </c>
      <c r="I5240">
        <v>-91.564989999999995</v>
      </c>
      <c r="J5240">
        <v>-297.72809999999998</v>
      </c>
      <c r="K5240">
        <v>1.132117</v>
      </c>
      <c r="L5240">
        <v>-58.746830000000003</v>
      </c>
      <c r="M5240">
        <v>0.58560939999999995</v>
      </c>
      <c r="N5240">
        <v>-1.480244E-2</v>
      </c>
      <c r="O5240">
        <v>-0.81045840000000002</v>
      </c>
      <c r="P5240">
        <v>0.62548119999999996</v>
      </c>
      <c r="Q5240">
        <v>0.18265290000000001</v>
      </c>
      <c r="R5240">
        <v>-0.75855890000000004</v>
      </c>
      <c r="S5240">
        <v>2.6676329999999999</v>
      </c>
      <c r="T5240">
        <v>-1.375353E-2</v>
      </c>
      <c r="U5240">
        <v>-1.7788999999999999</v>
      </c>
      <c r="V5240">
        <v>-6.7977350000000006E-2</v>
      </c>
      <c r="W5240">
        <v>0.19540450000000001</v>
      </c>
      <c r="X5240">
        <v>0.97836409999999996</v>
      </c>
      <c r="Y5240">
        <v>-0.34936099999999998</v>
      </c>
      <c r="Z5240">
        <v>-6.5043189999999997E-3</v>
      </c>
      <c r="AA5240">
        <v>0.93696559999999995</v>
      </c>
      <c r="AB5240">
        <v>28</v>
      </c>
      <c r="AC5240">
        <v>49.363999999999898</v>
      </c>
      <c r="AD5240">
        <v>-0.25536799999999998</v>
      </c>
      <c r="AE5240">
        <v>-32.818159999999999</v>
      </c>
      <c r="AF5240">
        <v>-20.7907344213911</v>
      </c>
      <c r="AG5240">
        <v>-0.25536799999999998</v>
      </c>
      <c r="AH5240">
        <v>55.510819323845901</v>
      </c>
      <c r="AI5240">
        <v>90.246833288505997</v>
      </c>
      <c r="AJ5240">
        <v>110.53267449040899</v>
      </c>
      <c r="AK5240">
        <v>59.2770690284271</v>
      </c>
      <c r="AL5240">
        <v>78.731646541907296</v>
      </c>
      <c r="AM5240">
        <v>93.974559029429201</v>
      </c>
      <c r="AN5240">
        <v>1.0000000754510301</v>
      </c>
    </row>
    <row r="5241" spans="1:40" x14ac:dyDescent="0.25">
      <c r="A5241" t="str">
        <f>"20190303171120436"</f>
        <v>20190303171120436</v>
      </c>
      <c r="B5241" t="str">
        <f>"1551604280426003"</f>
        <v>1551604280426003</v>
      </c>
      <c r="C5241" t="s">
        <v>40</v>
      </c>
      <c r="D5241">
        <v>5.41317</v>
      </c>
      <c r="E5241">
        <v>0.35049269999999999</v>
      </c>
      <c r="F5241" t="s">
        <v>86</v>
      </c>
      <c r="G5241">
        <v>-233.52500000000001</v>
      </c>
      <c r="H5241">
        <v>3.1878229999999999</v>
      </c>
      <c r="I5241">
        <v>-95.180109999999999</v>
      </c>
      <c r="J5241">
        <v>-297.56</v>
      </c>
      <c r="K5241">
        <v>1.1321019999999999</v>
      </c>
      <c r="L5241">
        <v>-58.953890000000001</v>
      </c>
      <c r="M5241">
        <v>0.59736669999999903</v>
      </c>
      <c r="N5241">
        <v>-1.481263E-2</v>
      </c>
      <c r="O5241">
        <v>-0.80183149999999903</v>
      </c>
      <c r="P5241">
        <v>0.63805849999999997</v>
      </c>
      <c r="Q5241">
        <v>0.18203820000000001</v>
      </c>
      <c r="R5241">
        <v>-0.7481603</v>
      </c>
      <c r="S5241">
        <v>2.8254090000000001</v>
      </c>
      <c r="T5241">
        <v>9.0466379999999999E-2</v>
      </c>
      <c r="U5241">
        <v>-1.6033329999999999</v>
      </c>
      <c r="V5241">
        <v>-6.9938440000000004E-2</v>
      </c>
      <c r="W5241">
        <v>0.19474839999999999</v>
      </c>
      <c r="X5241">
        <v>0.97835660000000002</v>
      </c>
      <c r="Y5241">
        <v>-0.4019336</v>
      </c>
      <c r="Z5241">
        <v>-3.5829850000000003E-2</v>
      </c>
      <c r="AA5241">
        <v>0.91496750000000004</v>
      </c>
      <c r="AB5241">
        <v>28</v>
      </c>
      <c r="AC5241">
        <v>64.034999999999997</v>
      </c>
      <c r="AD5241">
        <v>2.0557210000000001</v>
      </c>
      <c r="AE5241">
        <v>-36.226219999999998</v>
      </c>
      <c r="AF5241">
        <v>-29.685023669377799</v>
      </c>
      <c r="AG5241">
        <v>2.0557210000000001</v>
      </c>
      <c r="AH5241">
        <v>67.254572487232906</v>
      </c>
      <c r="AI5241">
        <v>88.398227701486803</v>
      </c>
      <c r="AJ5241">
        <v>113.815847161132</v>
      </c>
      <c r="AK5241">
        <v>73.543212735927099</v>
      </c>
      <c r="AL5241">
        <v>78.769973581369698</v>
      </c>
      <c r="AM5241">
        <v>94.088869508553799</v>
      </c>
      <c r="AN5241">
        <v>0.99999998072787599</v>
      </c>
    </row>
    <row r="5242" spans="1:40" x14ac:dyDescent="0.25">
      <c r="A5242" t="str">
        <f>"20190303171120459"</f>
        <v>20190303171120459</v>
      </c>
      <c r="B5242" t="str">
        <f>"1551604280456259"</f>
        <v>1551604280456259</v>
      </c>
      <c r="C5242" t="s">
        <v>40</v>
      </c>
      <c r="D5242">
        <v>5.3755559999999996</v>
      </c>
      <c r="E5242">
        <v>0.34432600000000002</v>
      </c>
      <c r="F5242" t="s">
        <v>86</v>
      </c>
      <c r="G5242">
        <v>-233.52500000000001</v>
      </c>
      <c r="H5242">
        <v>3.7657929999999999</v>
      </c>
      <c r="I5242">
        <v>-92.357979999999998</v>
      </c>
      <c r="J5242">
        <v>-297.38529999999997</v>
      </c>
      <c r="K5242">
        <v>1.132074</v>
      </c>
      <c r="L5242">
        <v>-59.162260000000003</v>
      </c>
      <c r="M5242">
        <v>0.60922259999999995</v>
      </c>
      <c r="N5242">
        <v>-1.482089E-2</v>
      </c>
      <c r="O5242">
        <v>-0.79286099999999904</v>
      </c>
      <c r="P5242">
        <v>0.650509</v>
      </c>
      <c r="Q5242">
        <v>0.18118049999999999</v>
      </c>
      <c r="R5242">
        <v>-0.73757209999999995</v>
      </c>
      <c r="S5242">
        <v>2.8962400000000001</v>
      </c>
      <c r="T5242">
        <v>0.1191194</v>
      </c>
      <c r="U5242">
        <v>-1.510834</v>
      </c>
      <c r="V5242">
        <v>-7.1638640000000003E-2</v>
      </c>
      <c r="W5242">
        <v>0.19385540000000001</v>
      </c>
      <c r="X5242">
        <v>0.97841100000000003</v>
      </c>
      <c r="Y5242">
        <v>-0.4202515</v>
      </c>
      <c r="Z5242">
        <v>-4.3547080000000002E-2</v>
      </c>
      <c r="AA5242">
        <v>0.90636220000000001</v>
      </c>
      <c r="AB5242">
        <v>28</v>
      </c>
      <c r="AC5242">
        <v>63.860299999999903</v>
      </c>
      <c r="AD5242">
        <v>2.6337189999999899</v>
      </c>
      <c r="AE5242">
        <v>-33.195720000000001</v>
      </c>
      <c r="AF5242">
        <v>-30.371423433838199</v>
      </c>
      <c r="AG5242">
        <v>2.6337189999999899</v>
      </c>
      <c r="AH5242">
        <v>65.144648628655702</v>
      </c>
      <c r="AI5242">
        <v>87.901494253474496</v>
      </c>
      <c r="AJ5242">
        <v>114.995647130577</v>
      </c>
      <c r="AK5242">
        <v>71.924857192207696</v>
      </c>
      <c r="AL5242">
        <v>78.822133537359704</v>
      </c>
      <c r="AM5242">
        <v>94.187688216932102</v>
      </c>
      <c r="AN5242">
        <v>1.0000000478855999</v>
      </c>
    </row>
    <row r="5243" spans="1:40" x14ac:dyDescent="0.25">
      <c r="A5243" t="str">
        <f>"20190303171120482"</f>
        <v>20190303171120482</v>
      </c>
      <c r="B5243" t="str">
        <f>"1551604280475779"</f>
        <v>1551604280475779</v>
      </c>
      <c r="C5243" t="s">
        <v>40</v>
      </c>
      <c r="D5243">
        <v>5.4211229999999997</v>
      </c>
      <c r="E5243">
        <v>0.34320519999999999</v>
      </c>
      <c r="F5243" t="s">
        <v>86</v>
      </c>
      <c r="G5243">
        <v>-233.52500000000001</v>
      </c>
      <c r="H5243">
        <v>4.1872020000000001</v>
      </c>
      <c r="I5243">
        <v>-90.037610000000001</v>
      </c>
      <c r="J5243">
        <v>-297.20010000000002</v>
      </c>
      <c r="K5243">
        <v>1.132056</v>
      </c>
      <c r="L5243">
        <v>-59.376429999999999</v>
      </c>
      <c r="M5243">
        <v>0.62142679999999995</v>
      </c>
      <c r="N5243">
        <v>-1.482779E-2</v>
      </c>
      <c r="O5243">
        <v>-0.78333199999999903</v>
      </c>
      <c r="P5243">
        <v>0.66172719999999996</v>
      </c>
      <c r="Q5243">
        <v>0.1810582</v>
      </c>
      <c r="R5243">
        <v>-0.72755419999999904</v>
      </c>
      <c r="S5243">
        <v>2.9533999999999998</v>
      </c>
      <c r="T5243">
        <v>0.14129320000000001</v>
      </c>
      <c r="U5243">
        <v>-1.4279170000000001</v>
      </c>
      <c r="V5243">
        <v>-7.144143E-2</v>
      </c>
      <c r="W5243">
        <v>0.1937478</v>
      </c>
      <c r="X5243">
        <v>0.9784467</v>
      </c>
      <c r="Y5243">
        <v>-0.43348750000000003</v>
      </c>
      <c r="Z5243">
        <v>-4.9322480000000002E-2</v>
      </c>
      <c r="AA5243">
        <v>0.89980879999999996</v>
      </c>
      <c r="AB5243">
        <v>28</v>
      </c>
      <c r="AC5243">
        <v>63.6751</v>
      </c>
      <c r="AD5243">
        <v>3.0551459999999899</v>
      </c>
      <c r="AE5243">
        <v>-30.661179999999899</v>
      </c>
      <c r="AF5243">
        <v>-30.770946812035099</v>
      </c>
      <c r="AG5243">
        <v>3.0551459999999899</v>
      </c>
      <c r="AH5243">
        <v>63.475660819634797</v>
      </c>
      <c r="AI5243">
        <v>87.520051725641295</v>
      </c>
      <c r="AJ5243">
        <v>115.862606628628</v>
      </c>
      <c r="AK5243">
        <v>70.606972752552807</v>
      </c>
      <c r="AL5243">
        <v>78.828417349073504</v>
      </c>
      <c r="AM5243">
        <v>94.176049171976601</v>
      </c>
      <c r="AN5243">
        <v>1.00000001633308</v>
      </c>
    </row>
    <row r="5244" spans="1:40" x14ac:dyDescent="0.25">
      <c r="A5244" t="str">
        <f>"20190303171120504"</f>
        <v>20190303171120504</v>
      </c>
      <c r="B5244" t="str">
        <f>"1551604280496275"</f>
        <v>1551604280496275</v>
      </c>
      <c r="C5244" t="s">
        <v>40</v>
      </c>
      <c r="D5244">
        <v>5.42422</v>
      </c>
      <c r="E5244">
        <v>0.34299000000000002</v>
      </c>
      <c r="F5244" t="s">
        <v>70</v>
      </c>
      <c r="G5244">
        <v>-247.1448</v>
      </c>
      <c r="H5244">
        <v>3.557077</v>
      </c>
      <c r="I5244">
        <v>-82.491739999999993</v>
      </c>
      <c r="J5244">
        <v>-297.02420000000001</v>
      </c>
      <c r="K5244">
        <v>1.1320380000000001</v>
      </c>
      <c r="L5244">
        <v>-59.57394</v>
      </c>
      <c r="M5244">
        <v>0.63269219999999904</v>
      </c>
      <c r="N5244">
        <v>-1.4832909999999999E-2</v>
      </c>
      <c r="O5244">
        <v>-0.77426149999999905</v>
      </c>
      <c r="P5244">
        <v>0.67175220000000002</v>
      </c>
      <c r="Q5244">
        <v>0.1801054</v>
      </c>
      <c r="R5244">
        <v>-0.71854790000000002</v>
      </c>
      <c r="S5244">
        <v>2.9806819999999998</v>
      </c>
      <c r="T5244">
        <v>0.14440549999999999</v>
      </c>
      <c r="U5244">
        <v>-1.376465</v>
      </c>
      <c r="V5244">
        <v>-7.0671139999999993E-2</v>
      </c>
      <c r="W5244">
        <v>0.19282569999999999</v>
      </c>
      <c r="X5244">
        <v>0.97868469999999996</v>
      </c>
      <c r="Y5244">
        <v>-0.43637530000000002</v>
      </c>
      <c r="Z5244">
        <v>-4.9741239999999999E-2</v>
      </c>
      <c r="AA5244">
        <v>0.89838879999999999</v>
      </c>
      <c r="AB5244">
        <v>28</v>
      </c>
      <c r="AC5244">
        <v>49.879399999999997</v>
      </c>
      <c r="AD5244">
        <v>2.4250389999999999</v>
      </c>
      <c r="AE5244">
        <v>-22.9178</v>
      </c>
      <c r="AF5244">
        <v>-24.0754478976678</v>
      </c>
      <c r="AG5244">
        <v>2.4250389999999999</v>
      </c>
      <c r="AH5244">
        <v>49.212047556857399</v>
      </c>
      <c r="AI5244">
        <v>87.465500562831807</v>
      </c>
      <c r="AJ5244">
        <v>116.068739148828</v>
      </c>
      <c r="AK5244">
        <v>54.839161466631097</v>
      </c>
      <c r="AL5244">
        <v>78.8822645032879</v>
      </c>
      <c r="AM5244">
        <v>94.130178094086304</v>
      </c>
      <c r="AN5244">
        <v>0.99999995131173802</v>
      </c>
    </row>
    <row r="5245" spans="1:40" x14ac:dyDescent="0.25">
      <c r="A5245" t="str">
        <f>"20190303171120529"</f>
        <v>20190303171120529</v>
      </c>
      <c r="B5245" t="str">
        <f>"1551604280515795"</f>
        <v>1551604280515795</v>
      </c>
      <c r="C5245" t="s">
        <v>40</v>
      </c>
      <c r="D5245">
        <v>5.4070080000000003</v>
      </c>
      <c r="E5245">
        <v>0.34321010000000002</v>
      </c>
      <c r="F5245" t="s">
        <v>70</v>
      </c>
      <c r="G5245">
        <v>-247.1448</v>
      </c>
      <c r="H5245">
        <v>3.503206</v>
      </c>
      <c r="I5245">
        <v>-81.750959999999907</v>
      </c>
      <c r="J5245">
        <v>-296.82859999999999</v>
      </c>
      <c r="K5245">
        <v>1.132029</v>
      </c>
      <c r="L5245">
        <v>-59.786869999999901</v>
      </c>
      <c r="M5245">
        <v>0.64485439999999905</v>
      </c>
      <c r="N5245">
        <v>-1.483724E-2</v>
      </c>
      <c r="O5245">
        <v>-0.7641616</v>
      </c>
      <c r="P5245">
        <v>0.68294849999999996</v>
      </c>
      <c r="Q5245">
        <v>0.17944860000000001</v>
      </c>
      <c r="R5245">
        <v>-0.70808199999999999</v>
      </c>
      <c r="S5245">
        <v>3.0006710000000001</v>
      </c>
      <c r="T5245">
        <v>0.14264669999999999</v>
      </c>
      <c r="U5245">
        <v>-1.3341369999999999</v>
      </c>
      <c r="V5245">
        <v>-7.0427710000000004E-2</v>
      </c>
      <c r="W5245">
        <v>0.19218460000000001</v>
      </c>
      <c r="X5245">
        <v>0.97882840000000004</v>
      </c>
      <c r="Y5245">
        <v>-0.43500470000000002</v>
      </c>
      <c r="Z5245">
        <v>-4.8720800000000002E-2</v>
      </c>
      <c r="AA5245">
        <v>0.89910909999999999</v>
      </c>
      <c r="AB5245">
        <v>28</v>
      </c>
      <c r="AC5245">
        <v>49.683799999999898</v>
      </c>
      <c r="AD5245">
        <v>2.3711769999999901</v>
      </c>
      <c r="AE5245">
        <v>-21.964089999999999</v>
      </c>
      <c r="AF5245">
        <v>-23.760157740486601</v>
      </c>
      <c r="AG5245">
        <v>2.3711769999999901</v>
      </c>
      <c r="AH5245">
        <v>48.735441233267899</v>
      </c>
      <c r="AI5245">
        <v>87.495855923262994</v>
      </c>
      <c r="AJ5245">
        <v>115.99078203201999</v>
      </c>
      <c r="AK5245">
        <v>54.270717780580803</v>
      </c>
      <c r="AL5245">
        <v>78.919697623808005</v>
      </c>
      <c r="AM5245">
        <v>94.115398298382104</v>
      </c>
      <c r="AN5245">
        <v>1.0000000097297801</v>
      </c>
    </row>
    <row r="5246" spans="1:40" x14ac:dyDescent="0.25">
      <c r="A5246" t="str">
        <f>"20190303171120548"</f>
        <v>20190303171120548</v>
      </c>
      <c r="B5246" t="str">
        <f>"1551604280536291"</f>
        <v>1551604280536291</v>
      </c>
      <c r="C5246" t="s">
        <v>40</v>
      </c>
      <c r="D5246">
        <v>5.4054909999999996</v>
      </c>
      <c r="E5246">
        <v>0.34372229999999998</v>
      </c>
      <c r="F5246" t="s">
        <v>70</v>
      </c>
      <c r="G5246">
        <v>-247.1448</v>
      </c>
      <c r="H5246">
        <v>3.426552</v>
      </c>
      <c r="I5246">
        <v>-80.981119999999905</v>
      </c>
      <c r="J5246">
        <v>-296.66550000000001</v>
      </c>
      <c r="K5246">
        <v>1.1320159999999999</v>
      </c>
      <c r="L5246">
        <v>-59.959560000000003</v>
      </c>
      <c r="M5246">
        <v>0.65473149999999902</v>
      </c>
      <c r="N5246">
        <v>-1.4839979999999999E-2</v>
      </c>
      <c r="O5246">
        <v>-0.7557159</v>
      </c>
      <c r="P5246">
        <v>0.69227910000000004</v>
      </c>
      <c r="Q5246">
        <v>0.17913979999999999</v>
      </c>
      <c r="R5246">
        <v>-0.69904149999999998</v>
      </c>
      <c r="S5246">
        <v>3.0202640000000001</v>
      </c>
      <c r="T5246">
        <v>0.13948389999999999</v>
      </c>
      <c r="U5246">
        <v>-1.2883910000000001</v>
      </c>
      <c r="V5246">
        <v>-7.0620600000000006E-2</v>
      </c>
      <c r="W5246">
        <v>0.1918763</v>
      </c>
      <c r="X5246">
        <v>0.97887500000000005</v>
      </c>
      <c r="Y5246">
        <v>-0.43699100000000002</v>
      </c>
      <c r="Z5246">
        <v>-4.744992E-2</v>
      </c>
      <c r="AA5246">
        <v>0.89821340000000005</v>
      </c>
      <c r="AB5246">
        <v>27</v>
      </c>
      <c r="AC5246">
        <v>49.520699999999998</v>
      </c>
      <c r="AD5246">
        <v>2.2945359999999999</v>
      </c>
      <c r="AE5246">
        <v>-21.021559999999901</v>
      </c>
      <c r="AF5246">
        <v>-23.619740527961198</v>
      </c>
      <c r="AG5246">
        <v>2.2945359999999999</v>
      </c>
      <c r="AH5246">
        <v>48.2266777068156</v>
      </c>
      <c r="AI5246">
        <v>87.553315164456507</v>
      </c>
      <c r="AJ5246">
        <v>116.093997051179</v>
      </c>
      <c r="AK5246">
        <v>53.749134697226197</v>
      </c>
      <c r="AL5246">
        <v>78.937697064568894</v>
      </c>
      <c r="AM5246">
        <v>94.126435044180596</v>
      </c>
      <c r="AN5246">
        <v>1.0000000246355201</v>
      </c>
    </row>
    <row r="5247" spans="1:40" x14ac:dyDescent="0.25">
      <c r="A5247" t="str">
        <f>"20190303171120571"</f>
        <v>20190303171120571</v>
      </c>
      <c r="B5247" t="str">
        <f>"1551604280565571"</f>
        <v>1551604280565571</v>
      </c>
      <c r="C5247" t="s">
        <v>40</v>
      </c>
      <c r="D5247">
        <v>5.4273720000000001</v>
      </c>
      <c r="E5247">
        <v>0.3447981</v>
      </c>
      <c r="F5247" t="s">
        <v>70</v>
      </c>
      <c r="G5247">
        <v>-246.94</v>
      </c>
      <c r="H5247">
        <v>3.3647079999999998</v>
      </c>
      <c r="I5247">
        <v>-80.464519999999993</v>
      </c>
      <c r="J5247">
        <v>-296.47550000000001</v>
      </c>
      <c r="K5247">
        <v>1.131996</v>
      </c>
      <c r="L5247">
        <v>-60.155059999999999</v>
      </c>
      <c r="M5247">
        <v>0.66592719999999905</v>
      </c>
      <c r="N5247">
        <v>-1.484243E-2</v>
      </c>
      <c r="O5247">
        <v>-0.74586929999999996</v>
      </c>
      <c r="P5247">
        <v>0.70267860000000004</v>
      </c>
      <c r="Q5247">
        <v>0.17929220000000001</v>
      </c>
      <c r="R5247">
        <v>-0.68854759999999904</v>
      </c>
      <c r="S5247">
        <v>3.034637</v>
      </c>
      <c r="T5247">
        <v>0.1362573</v>
      </c>
      <c r="U5247">
        <v>-1.2513729999999901</v>
      </c>
      <c r="V5247">
        <v>-7.0718779999999995E-2</v>
      </c>
      <c r="W5247">
        <v>0.1920307</v>
      </c>
      <c r="X5247">
        <v>0.97883759999999997</v>
      </c>
      <c r="Y5247">
        <v>-0.43450549999999999</v>
      </c>
      <c r="Z5247">
        <v>-4.6063399999999997E-2</v>
      </c>
      <c r="AA5247">
        <v>0.89949049999999997</v>
      </c>
      <c r="AB5247">
        <v>27</v>
      </c>
      <c r="AC5247">
        <v>49.535499999999999</v>
      </c>
      <c r="AD5247">
        <v>2.2327119999999998</v>
      </c>
      <c r="AE5247">
        <v>-20.309459999999898</v>
      </c>
      <c r="AF5247">
        <v>-23.384292924277599</v>
      </c>
      <c r="AG5247">
        <v>2.2327119999999998</v>
      </c>
      <c r="AH5247">
        <v>48.056952818397299</v>
      </c>
      <c r="AI5247">
        <v>87.607779099557405</v>
      </c>
      <c r="AJ5247">
        <v>115.94734203403</v>
      </c>
      <c r="AK5247">
        <v>53.490941968084996</v>
      </c>
      <c r="AL5247">
        <v>78.928682597701993</v>
      </c>
      <c r="AM5247">
        <v>94.132309282569196</v>
      </c>
      <c r="AN5247">
        <v>0.99999999138046902</v>
      </c>
    </row>
    <row r="5248" spans="1:40" x14ac:dyDescent="0.25">
      <c r="A5248" t="str">
        <f>"20190303171120593"</f>
        <v>20190303171120593</v>
      </c>
      <c r="B5248" t="str">
        <f>"1551604280586067"</f>
        <v>1551604280586067</v>
      </c>
      <c r="C5248" t="s">
        <v>40</v>
      </c>
      <c r="D5248">
        <v>5.4485839999999897</v>
      </c>
      <c r="E5248">
        <v>0.3452421</v>
      </c>
      <c r="F5248" t="s">
        <v>70</v>
      </c>
      <c r="G5248">
        <v>-245.42740000000001</v>
      </c>
      <c r="H5248">
        <v>3.3186089999999902</v>
      </c>
      <c r="I5248">
        <v>-80.464519999999993</v>
      </c>
      <c r="J5248">
        <v>-296.28269999999998</v>
      </c>
      <c r="K5248">
        <v>1.1319809999999999</v>
      </c>
      <c r="L5248">
        <v>-60.347810000000003</v>
      </c>
      <c r="M5248">
        <v>0.67698100000000005</v>
      </c>
      <c r="N5248">
        <v>-1.4844100000000001E-2</v>
      </c>
      <c r="O5248">
        <v>-0.73585100000000003</v>
      </c>
      <c r="P5248">
        <v>0.71255859999999904</v>
      </c>
      <c r="Q5248">
        <v>0.17968509999999999</v>
      </c>
      <c r="R5248">
        <v>-0.67821379999999998</v>
      </c>
      <c r="S5248">
        <v>3.0478519999999998</v>
      </c>
      <c r="T5248">
        <v>0.13055349999999999</v>
      </c>
      <c r="U5248">
        <v>-1.212585</v>
      </c>
      <c r="V5248">
        <v>-7.0335919999999996E-2</v>
      </c>
      <c r="W5248">
        <v>0.19243779999999999</v>
      </c>
      <c r="X5248">
        <v>0.97878520000000002</v>
      </c>
      <c r="Y5248">
        <v>-0.43238130000000002</v>
      </c>
      <c r="Z5248">
        <v>-4.4027289999999997E-2</v>
      </c>
      <c r="AA5248">
        <v>0.90061530000000001</v>
      </c>
      <c r="AB5248">
        <v>27</v>
      </c>
      <c r="AC5248">
        <v>50.8552999999999</v>
      </c>
      <c r="AD5248">
        <v>2.1866279999999998</v>
      </c>
      <c r="AE5248">
        <v>-20.116710000000001</v>
      </c>
      <c r="AF5248">
        <v>-23.767916528999301</v>
      </c>
      <c r="AG5248">
        <v>2.1866279999999998</v>
      </c>
      <c r="AH5248">
        <v>49.157806102793202</v>
      </c>
      <c r="AI5248">
        <v>87.706730268619495</v>
      </c>
      <c r="AJ5248">
        <v>115.803877711471</v>
      </c>
      <c r="AK5248">
        <v>54.645998014307303</v>
      </c>
      <c r="AL5248">
        <v>78.904913808713303</v>
      </c>
      <c r="AM5248">
        <v>94.110233782482993</v>
      </c>
      <c r="AN5248">
        <v>0.99999995812506204</v>
      </c>
    </row>
    <row r="5249" spans="1:40" x14ac:dyDescent="0.25">
      <c r="A5249" t="str">
        <f>"20190303171120615"</f>
        <v>20190303171120615</v>
      </c>
      <c r="B5249" t="str">
        <f>"1551604280605587"</f>
        <v>1551604280605587</v>
      </c>
      <c r="C5249" t="s">
        <v>40</v>
      </c>
      <c r="D5249">
        <v>5.2707739999999896</v>
      </c>
      <c r="E5249">
        <v>0.3353756</v>
      </c>
      <c r="F5249" t="s">
        <v>86</v>
      </c>
      <c r="G5249">
        <v>-234.75040000000001</v>
      </c>
      <c r="H5249">
        <v>3.7477870000000002</v>
      </c>
      <c r="I5249">
        <v>-83.864710000000002</v>
      </c>
      <c r="J5249">
        <v>-296.09559999999999</v>
      </c>
      <c r="K5249">
        <v>1.1319619999999999</v>
      </c>
      <c r="L5249">
        <v>-60.529330000000002</v>
      </c>
      <c r="M5249">
        <v>0.68740900000000005</v>
      </c>
      <c r="N5249">
        <v>-1.484505E-2</v>
      </c>
      <c r="O5249">
        <v>-0.72611890000000001</v>
      </c>
      <c r="P5249">
        <v>0.72223570000000004</v>
      </c>
      <c r="Q5249">
        <v>0.17860789999999999</v>
      </c>
      <c r="R5249">
        <v>-0.66818769999999905</v>
      </c>
      <c r="S5249">
        <v>3.06311</v>
      </c>
      <c r="T5249">
        <v>0.13021650000000001</v>
      </c>
      <c r="U5249">
        <v>-1.170685</v>
      </c>
      <c r="V5249">
        <v>-7.0210380000000003E-2</v>
      </c>
      <c r="W5249">
        <v>0.1913704</v>
      </c>
      <c r="X5249">
        <v>0.97900350000000003</v>
      </c>
      <c r="Y5249">
        <v>-0.43178349999999999</v>
      </c>
      <c r="Z5249">
        <v>-4.3469969999999997E-2</v>
      </c>
      <c r="AA5249">
        <v>0.90092919999999999</v>
      </c>
      <c r="AB5249">
        <v>27</v>
      </c>
      <c r="AC5249">
        <v>61.345199999999899</v>
      </c>
      <c r="AD5249">
        <v>2.6158250000000001</v>
      </c>
      <c r="AE5249">
        <v>-23.335379999999901</v>
      </c>
      <c r="AF5249">
        <v>-28.4608899877122</v>
      </c>
      <c r="AG5249">
        <v>2.6158250000000001</v>
      </c>
      <c r="AH5249">
        <v>59.026254501974897</v>
      </c>
      <c r="AI5249">
        <v>87.714066133798198</v>
      </c>
      <c r="AJ5249">
        <v>115.74212837296101</v>
      </c>
      <c r="AK5249">
        <v>65.581731601530606</v>
      </c>
      <c r="AL5249">
        <v>78.967229908625299</v>
      </c>
      <c r="AM5249">
        <v>94.102010899540005</v>
      </c>
      <c r="AN5249">
        <v>0.99999999023407704</v>
      </c>
    </row>
    <row r="5250" spans="1:40" x14ac:dyDescent="0.25">
      <c r="A5250" t="str">
        <f>"20190303171120638"</f>
        <v>20190303171120638</v>
      </c>
      <c r="B5250" t="str">
        <f>"1551604280626083"</f>
        <v>1551604280626083</v>
      </c>
      <c r="C5250" t="s">
        <v>40</v>
      </c>
      <c r="D5250">
        <v>5.3669890000000002</v>
      </c>
      <c r="E5250">
        <v>0.33583859999999999</v>
      </c>
      <c r="F5250" t="s">
        <v>86</v>
      </c>
      <c r="G5250">
        <v>-234.75040000000001</v>
      </c>
      <c r="H5250">
        <v>5.4073650000000004</v>
      </c>
      <c r="I5250">
        <v>-81.425700000000006</v>
      </c>
      <c r="J5250">
        <v>-295.89960000000002</v>
      </c>
      <c r="K5250">
        <v>1.13195</v>
      </c>
      <c r="L5250">
        <v>-60.71396</v>
      </c>
      <c r="M5250">
        <v>0.69803839999999995</v>
      </c>
      <c r="N5250">
        <v>-1.484537E-2</v>
      </c>
      <c r="O5250">
        <v>-0.7159065</v>
      </c>
      <c r="P5250">
        <v>0.73203609999999997</v>
      </c>
      <c r="Q5250">
        <v>0.1777204</v>
      </c>
      <c r="R5250">
        <v>-0.65767690000000001</v>
      </c>
      <c r="S5250">
        <v>3.1175540000000002</v>
      </c>
      <c r="T5250">
        <v>0.21727550000000001</v>
      </c>
      <c r="U5250">
        <v>-1.0619510000000001</v>
      </c>
      <c r="V5250">
        <v>-7.0054030000000003E-2</v>
      </c>
      <c r="W5250">
        <v>0.1904923</v>
      </c>
      <c r="X5250">
        <v>0.97918590000000005</v>
      </c>
      <c r="Y5250">
        <v>-0.44996239999999998</v>
      </c>
      <c r="Z5250">
        <v>-6.6243960000000005E-2</v>
      </c>
      <c r="AA5250">
        <v>0.89058719999999902</v>
      </c>
      <c r="AB5250">
        <v>27</v>
      </c>
      <c r="AC5250">
        <v>61.1492</v>
      </c>
      <c r="AD5250">
        <v>4.2754149999999997</v>
      </c>
      <c r="AE5250">
        <v>-20.711739999999999</v>
      </c>
      <c r="AF5250">
        <v>-29.1947194758623</v>
      </c>
      <c r="AG5250">
        <v>4.2754149999999997</v>
      </c>
      <c r="AH5250">
        <v>57.267354815884602</v>
      </c>
      <c r="AI5250">
        <v>86.194709905353406</v>
      </c>
      <c r="AJ5250">
        <v>117.012345649473</v>
      </c>
      <c r="AK5250">
        <v>64.421741254835297</v>
      </c>
      <c r="AL5250">
        <v>79.018483850428396</v>
      </c>
      <c r="AM5250">
        <v>94.0921474723106</v>
      </c>
      <c r="AN5250">
        <v>0.99999995511866901</v>
      </c>
    </row>
    <row r="5251" spans="1:40" x14ac:dyDescent="0.25">
      <c r="A5251" t="str">
        <f>"20190303171120660"</f>
        <v>20190303171120660</v>
      </c>
      <c r="B5251" t="str">
        <f>"1551604280656339"</f>
        <v>1551604280656339</v>
      </c>
      <c r="C5251" t="s">
        <v>40</v>
      </c>
      <c r="D5251">
        <v>5.2594409999999998</v>
      </c>
      <c r="E5251">
        <v>0.35453200000000001</v>
      </c>
      <c r="F5251" t="s">
        <v>86</v>
      </c>
      <c r="G5251">
        <v>-233.77209999999999</v>
      </c>
      <c r="H5251">
        <v>5.3047449999999996</v>
      </c>
      <c r="I5251">
        <v>-80.950389999999999</v>
      </c>
      <c r="J5251">
        <v>-295.69929999999999</v>
      </c>
      <c r="K5251">
        <v>1.1319319999999999</v>
      </c>
      <c r="L5251">
        <v>-60.896819999999998</v>
      </c>
      <c r="M5251">
        <v>0.70859569999999905</v>
      </c>
      <c r="N5251">
        <v>-1.484542E-2</v>
      </c>
      <c r="O5251">
        <v>-0.70545880000000005</v>
      </c>
      <c r="P5251">
        <v>0.74213109999999904</v>
      </c>
      <c r="Q5251">
        <v>0.1777976</v>
      </c>
      <c r="R5251">
        <v>-0.64624300000000001</v>
      </c>
      <c r="S5251">
        <v>3.13089</v>
      </c>
      <c r="T5251">
        <v>0.21028640000000001</v>
      </c>
      <c r="U5251">
        <v>-1.019806</v>
      </c>
      <c r="V5251">
        <v>-7.0680679999999996E-2</v>
      </c>
      <c r="W5251">
        <v>0.190555</v>
      </c>
      <c r="X5251">
        <v>0.97912869999999996</v>
      </c>
      <c r="Y5251">
        <v>-0.44884309999999999</v>
      </c>
      <c r="Z5251">
        <v>-6.367217E-2</v>
      </c>
      <c r="AA5251">
        <v>0.89133929999999995</v>
      </c>
      <c r="AB5251">
        <v>27</v>
      </c>
      <c r="AC5251">
        <v>61.927199999999999</v>
      </c>
      <c r="AD5251">
        <v>4.1728129999999997</v>
      </c>
      <c r="AE5251">
        <v>-20.053570000000001</v>
      </c>
      <c r="AF5251">
        <v>-29.3598045036182</v>
      </c>
      <c r="AG5251">
        <v>4.1728129999999997</v>
      </c>
      <c r="AH5251">
        <v>57.797183404252102</v>
      </c>
      <c r="AI5251">
        <v>86.317028880076194</v>
      </c>
      <c r="AJ5251">
        <v>116.929651796041</v>
      </c>
      <c r="AK5251">
        <v>64.960949025459996</v>
      </c>
      <c r="AL5251">
        <v>79.014824748021297</v>
      </c>
      <c r="AM5251">
        <v>94.128867041907</v>
      </c>
      <c r="AN5251">
        <v>0.99999998885697605</v>
      </c>
    </row>
    <row r="5252" spans="1:40" x14ac:dyDescent="0.25">
      <c r="A5252" t="str">
        <f>"20190303171120683"</f>
        <v>20190303171120683</v>
      </c>
      <c r="B5252" t="str">
        <f>"1551604280675859"</f>
        <v>1551604280675859</v>
      </c>
      <c r="C5252" t="s">
        <v>40</v>
      </c>
      <c r="D5252">
        <v>5.2995739999999998</v>
      </c>
      <c r="E5252">
        <v>0.3465703</v>
      </c>
      <c r="F5252" t="s">
        <v>86</v>
      </c>
      <c r="G5252">
        <v>-234.75040000000001</v>
      </c>
      <c r="H5252">
        <v>2.890244</v>
      </c>
      <c r="I5252">
        <v>-82.573759999999993</v>
      </c>
      <c r="J5252">
        <v>-295.49619999999999</v>
      </c>
      <c r="K5252">
        <v>1.131915</v>
      </c>
      <c r="L5252">
        <v>-61.076900000000002</v>
      </c>
      <c r="M5252">
        <v>0.71901789999999999</v>
      </c>
      <c r="N5252">
        <v>-1.4845590000000001E-2</v>
      </c>
      <c r="O5252">
        <v>-0.69483300000000003</v>
      </c>
      <c r="P5252">
        <v>0.75117029999999996</v>
      </c>
      <c r="Q5252">
        <v>0.17861089999999999</v>
      </c>
      <c r="R5252">
        <v>-0.63548519999999997</v>
      </c>
      <c r="S5252">
        <v>3.0703130000000001</v>
      </c>
      <c r="T5252">
        <v>8.8575479999999998E-2</v>
      </c>
      <c r="U5252">
        <v>-1.09198</v>
      </c>
      <c r="V5252">
        <v>-7.0091139999999996E-2</v>
      </c>
      <c r="W5252">
        <v>0.1913849</v>
      </c>
      <c r="X5252">
        <v>0.97900920000000002</v>
      </c>
      <c r="Y5252">
        <v>-0.41315010000000002</v>
      </c>
      <c r="Z5252">
        <v>-3.1111639999999999E-2</v>
      </c>
      <c r="AA5252">
        <v>0.91013129999999998</v>
      </c>
      <c r="AB5252">
        <v>27</v>
      </c>
      <c r="AC5252">
        <v>60.745799999999903</v>
      </c>
      <c r="AD5252">
        <v>1.758329</v>
      </c>
      <c r="AE5252">
        <v>-21.496859999999899</v>
      </c>
      <c r="AF5252">
        <v>-26.734600618744199</v>
      </c>
      <c r="AG5252">
        <v>1.758329</v>
      </c>
      <c r="AH5252">
        <v>58.576887890921</v>
      </c>
      <c r="AI5252">
        <v>88.435769703500796</v>
      </c>
      <c r="AJ5252">
        <v>114.53204428350899</v>
      </c>
      <c r="AK5252">
        <v>64.413371174792005</v>
      </c>
      <c r="AL5252">
        <v>78.966383368995807</v>
      </c>
      <c r="AM5252">
        <v>94.0950443138385</v>
      </c>
      <c r="AN5252">
        <v>0.99999998076957397</v>
      </c>
    </row>
    <row r="5253" spans="1:40" x14ac:dyDescent="0.25">
      <c r="A5253" t="str">
        <f>"20190303171120706"</f>
        <v>20190303171120706</v>
      </c>
      <c r="B5253" t="str">
        <f>"1551604280696356"</f>
        <v>1551604280696356</v>
      </c>
      <c r="C5253" t="s">
        <v>40</v>
      </c>
      <c r="D5253">
        <v>5.3103680000000004</v>
      </c>
      <c r="E5253">
        <v>0.34777259999999999</v>
      </c>
      <c r="F5253" t="s">
        <v>86</v>
      </c>
      <c r="G5253">
        <v>-233.2594</v>
      </c>
      <c r="H5253">
        <v>4.3683630000000004</v>
      </c>
      <c r="I5253">
        <v>-80.95008</v>
      </c>
      <c r="J5253">
        <v>-295.29329999999999</v>
      </c>
      <c r="K5253">
        <v>1.131907</v>
      </c>
      <c r="L5253">
        <v>-61.2515</v>
      </c>
      <c r="M5253">
        <v>0.72914919999999905</v>
      </c>
      <c r="N5253">
        <v>-1.4846140000000001E-2</v>
      </c>
      <c r="O5253">
        <v>-0.68419399999999997</v>
      </c>
      <c r="P5253">
        <v>0.75937429999999995</v>
      </c>
      <c r="Q5253">
        <v>0.1785989</v>
      </c>
      <c r="R5253">
        <v>-0.62566239999999995</v>
      </c>
      <c r="S5253">
        <v>3.1140140000000001</v>
      </c>
      <c r="T5253">
        <v>0.16193589999999999</v>
      </c>
      <c r="U5253">
        <v>-0.99435419999999997</v>
      </c>
      <c r="V5253">
        <v>-6.8431450000000005E-2</v>
      </c>
      <c r="W5253">
        <v>0.19142049999999999</v>
      </c>
      <c r="X5253">
        <v>0.97911970000000004</v>
      </c>
      <c r="Y5253">
        <v>-0.4284364</v>
      </c>
      <c r="Z5253">
        <v>-4.9704239999999997E-2</v>
      </c>
      <c r="AA5253">
        <v>0.9022038</v>
      </c>
      <c r="AB5253">
        <v>27</v>
      </c>
      <c r="AC5253">
        <v>62.033899999999903</v>
      </c>
      <c r="AD5253">
        <v>3.236456</v>
      </c>
      <c r="AE5253">
        <v>-19.69858</v>
      </c>
      <c r="AF5253">
        <v>-28.013840007250899</v>
      </c>
      <c r="AG5253">
        <v>3.236456</v>
      </c>
      <c r="AH5253">
        <v>58.571253365242796</v>
      </c>
      <c r="AI5253">
        <v>87.146254031490798</v>
      </c>
      <c r="AJ5253">
        <v>115.561160492535</v>
      </c>
      <c r="AK5253">
        <v>65.006473525082498</v>
      </c>
      <c r="AL5253">
        <v>78.964305756974397</v>
      </c>
      <c r="AM5253">
        <v>93.997946170987802</v>
      </c>
      <c r="AN5253">
        <v>1.0000000290487201</v>
      </c>
    </row>
    <row r="5254" spans="1:40" x14ac:dyDescent="0.25">
      <c r="A5254" t="str">
        <f>"20190303171120727"</f>
        <v>20190303171120727</v>
      </c>
      <c r="B5254" t="str">
        <f>"1551604280715875"</f>
        <v>1551604280715875</v>
      </c>
      <c r="C5254" t="s">
        <v>40</v>
      </c>
      <c r="D5254">
        <v>5.235493</v>
      </c>
      <c r="E5254">
        <v>0.35009499999999999</v>
      </c>
      <c r="F5254" t="s">
        <v>86</v>
      </c>
      <c r="G5254">
        <v>-231.3168</v>
      </c>
      <c r="H5254">
        <v>4.433211</v>
      </c>
      <c r="I5254">
        <v>-80.950100000000006</v>
      </c>
      <c r="J5254">
        <v>-295.09370000000001</v>
      </c>
      <c r="K5254">
        <v>1.1319049999999999</v>
      </c>
      <c r="L5254">
        <v>-61.418300000000002</v>
      </c>
      <c r="M5254">
        <v>0.73886509999999905</v>
      </c>
      <c r="N5254">
        <v>-1.4847569999999999E-2</v>
      </c>
      <c r="O5254">
        <v>-0.67368969999999995</v>
      </c>
      <c r="P5254">
        <v>0.76772399999999996</v>
      </c>
      <c r="Q5254">
        <v>0.1783351</v>
      </c>
      <c r="R5254">
        <v>-0.61546429999999996</v>
      </c>
      <c r="S5254">
        <v>3.1210019999999998</v>
      </c>
      <c r="T5254">
        <v>0.16104959999999999</v>
      </c>
      <c r="U5254">
        <v>-0.96096800000000004</v>
      </c>
      <c r="V5254">
        <v>-6.7528370000000004E-2</v>
      </c>
      <c r="W5254">
        <v>0.19118360000000001</v>
      </c>
      <c r="X5254">
        <v>0.97922869999999995</v>
      </c>
      <c r="Y5254">
        <v>-0.42491859999999998</v>
      </c>
      <c r="Z5254">
        <v>-4.8868179999999997E-2</v>
      </c>
      <c r="AA5254">
        <v>0.90391160000000004</v>
      </c>
      <c r="AB5254">
        <v>27</v>
      </c>
      <c r="AC5254">
        <v>63.776899999999998</v>
      </c>
      <c r="AD5254">
        <v>3.3013059999999999</v>
      </c>
      <c r="AE5254">
        <v>-19.5318</v>
      </c>
      <c r="AF5254">
        <v>-28.467885033374099</v>
      </c>
      <c r="AG5254">
        <v>3.3013059999999999</v>
      </c>
      <c r="AH5254">
        <v>60.140221963397103</v>
      </c>
      <c r="AI5254">
        <v>87.159566808647497</v>
      </c>
      <c r="AJ5254">
        <v>115.330931937576</v>
      </c>
      <c r="AK5254">
        <v>66.619557168940304</v>
      </c>
      <c r="AL5254">
        <v>78.978134742018398</v>
      </c>
      <c r="AM5254">
        <v>93.944915801577395</v>
      </c>
      <c r="AN5254">
        <v>1.0000000482837501</v>
      </c>
    </row>
    <row r="5255" spans="1:40" x14ac:dyDescent="0.25">
      <c r="A5255" t="str">
        <f>"20190303171120750"</f>
        <v>20190303171120750</v>
      </c>
      <c r="B5255" t="str">
        <f>"1551604280736371"</f>
        <v>1551604280736371</v>
      </c>
      <c r="C5255" t="s">
        <v>40</v>
      </c>
      <c r="D5255">
        <v>5.2475500000000004</v>
      </c>
      <c r="E5255">
        <v>0.3515065</v>
      </c>
      <c r="F5255" t="s">
        <v>86</v>
      </c>
      <c r="G5255">
        <v>-226.84620000000001</v>
      </c>
      <c r="H5255">
        <v>4.4108179999999999</v>
      </c>
      <c r="I5255">
        <v>-81.816630000000004</v>
      </c>
      <c r="J5255">
        <v>-294.88659999999999</v>
      </c>
      <c r="K5255">
        <v>1.1319109999999999</v>
      </c>
      <c r="L5255">
        <v>-61.586300000000001</v>
      </c>
      <c r="M5255">
        <v>0.74869169999999996</v>
      </c>
      <c r="N5255">
        <v>-1.4850439999999999E-2</v>
      </c>
      <c r="O5255">
        <v>-0.66275220000000001</v>
      </c>
      <c r="P5255">
        <v>0.77646610000000005</v>
      </c>
      <c r="Q5255">
        <v>0.17789469999999999</v>
      </c>
      <c r="R5255">
        <v>-0.60452819999999996</v>
      </c>
      <c r="S5255">
        <v>3.1241759999999998</v>
      </c>
      <c r="T5255">
        <v>0.15009939999999999</v>
      </c>
      <c r="U5255">
        <v>-0.93377690000000002</v>
      </c>
      <c r="V5255">
        <v>-6.7055870000000004E-2</v>
      </c>
      <c r="W5255">
        <v>0.19075909999999999</v>
      </c>
      <c r="X5255">
        <v>0.97934390000000004</v>
      </c>
      <c r="Y5255">
        <v>-0.41926160000000001</v>
      </c>
      <c r="Z5255">
        <v>-4.544902E-2</v>
      </c>
      <c r="AA5255">
        <v>0.90672710000000001</v>
      </c>
      <c r="AB5255">
        <v>27</v>
      </c>
      <c r="AC5255">
        <v>68.040399999999906</v>
      </c>
      <c r="AD5255">
        <v>3.2789069999999998</v>
      </c>
      <c r="AE5255">
        <v>-20.230329999999999</v>
      </c>
      <c r="AF5255">
        <v>-29.887172901509199</v>
      </c>
      <c r="AG5255">
        <v>3.2789069999999998</v>
      </c>
      <c r="AH5255">
        <v>64.219041898697796</v>
      </c>
      <c r="AI5255">
        <v>87.349635852374803</v>
      </c>
      <c r="AJ5255">
        <v>114.956997830059</v>
      </c>
      <c r="AK5255">
        <v>70.908953437108707</v>
      </c>
      <c r="AL5255">
        <v>79.002912278392898</v>
      </c>
      <c r="AM5255">
        <v>93.916939867471498</v>
      </c>
      <c r="AN5255">
        <v>0.99999999920073801</v>
      </c>
    </row>
    <row r="5256" spans="1:40" x14ac:dyDescent="0.25">
      <c r="A5256" t="str">
        <f>"20190303171120772"</f>
        <v>20190303171120772</v>
      </c>
      <c r="B5256" t="str">
        <f>"1551604280765651"</f>
        <v>1551604280765651</v>
      </c>
      <c r="C5256" t="s">
        <v>40</v>
      </c>
      <c r="D5256">
        <v>5.3212120000000001</v>
      </c>
      <c r="E5256">
        <v>0.35247050000000002</v>
      </c>
      <c r="F5256" t="s">
        <v>86</v>
      </c>
      <c r="G5256">
        <v>-224.38390000000001</v>
      </c>
      <c r="H5256">
        <v>4.4289529999999999</v>
      </c>
      <c r="I5256">
        <v>-81.816640000000007</v>
      </c>
      <c r="J5256">
        <v>-294.67410000000001</v>
      </c>
      <c r="K5256">
        <v>1.1319300000000001</v>
      </c>
      <c r="L5256">
        <v>-61.753599999999999</v>
      </c>
      <c r="M5256">
        <v>0.75852839999999999</v>
      </c>
      <c r="N5256">
        <v>-1.485496E-2</v>
      </c>
      <c r="O5256">
        <v>-0.65147069999999996</v>
      </c>
      <c r="P5256">
        <v>0.78500530000000002</v>
      </c>
      <c r="Q5256">
        <v>0.17813499999999999</v>
      </c>
      <c r="R5256">
        <v>-0.5933252</v>
      </c>
      <c r="S5256">
        <v>3.1307369999999999</v>
      </c>
      <c r="T5256">
        <v>0.14640829999999999</v>
      </c>
      <c r="U5256">
        <v>-0.89834590000000003</v>
      </c>
      <c r="V5256">
        <v>-6.6423410000000002E-2</v>
      </c>
      <c r="W5256">
        <v>0.19101889999999999</v>
      </c>
      <c r="X5256">
        <v>0.9793364</v>
      </c>
      <c r="Y5256">
        <v>-0.4157227</v>
      </c>
      <c r="Z5256">
        <v>-4.3903039999999997E-2</v>
      </c>
      <c r="AA5256">
        <v>0.90843119999999999</v>
      </c>
      <c r="AB5256">
        <v>27</v>
      </c>
      <c r="AC5256">
        <v>70.290199999999999</v>
      </c>
      <c r="AD5256">
        <v>3.2970229999999998</v>
      </c>
      <c r="AE5256">
        <v>-20.063040000000001</v>
      </c>
      <c r="AF5256">
        <v>-30.5149129121789</v>
      </c>
      <c r="AG5256">
        <v>3.2970229999999998</v>
      </c>
      <c r="AH5256">
        <v>66.260118651205204</v>
      </c>
      <c r="AI5256">
        <v>87.412206927685006</v>
      </c>
      <c r="AJ5256">
        <v>114.727588752508</v>
      </c>
      <c r="AK5256">
        <v>73.023513982635706</v>
      </c>
      <c r="AL5256">
        <v>78.987748409218497</v>
      </c>
      <c r="AM5256">
        <v>93.880138938471006</v>
      </c>
      <c r="AN5256">
        <v>1.00000003695909</v>
      </c>
    </row>
    <row r="5257" spans="1:40" x14ac:dyDescent="0.25">
      <c r="A5257" t="str">
        <f>"20190303171120793"</f>
        <v>20190303171120793</v>
      </c>
      <c r="B5257" t="str">
        <f>"1551604280786148"</f>
        <v>1551604280786148</v>
      </c>
      <c r="C5257" t="s">
        <v>40</v>
      </c>
      <c r="D5257">
        <v>5.3418150000000004</v>
      </c>
      <c r="E5257">
        <v>0.3685927</v>
      </c>
      <c r="F5257" t="s">
        <v>86</v>
      </c>
      <c r="G5257">
        <v>-221.381</v>
      </c>
      <c r="H5257">
        <v>4.5211249999999996</v>
      </c>
      <c r="I5257">
        <v>-81.816670000000002</v>
      </c>
      <c r="J5257">
        <v>-294.47089999999997</v>
      </c>
      <c r="K5257">
        <v>1.131956</v>
      </c>
      <c r="L5257">
        <v>-61.908630000000002</v>
      </c>
      <c r="M5257">
        <v>0.76770499999999997</v>
      </c>
      <c r="N5257">
        <v>-1.4860659999999999E-2</v>
      </c>
      <c r="O5257">
        <v>-0.64063130000000001</v>
      </c>
      <c r="P5257">
        <v>0.79285909999999904</v>
      </c>
      <c r="Q5257">
        <v>0.1793061</v>
      </c>
      <c r="R5257">
        <v>-0.58242950000000004</v>
      </c>
      <c r="S5257">
        <v>3.1391909999999998</v>
      </c>
      <c r="T5257">
        <v>0.1451616</v>
      </c>
      <c r="U5257">
        <v>-0.85931399999999902</v>
      </c>
      <c r="V5257">
        <v>-6.5905859999999997E-2</v>
      </c>
      <c r="W5257">
        <v>0.1922034</v>
      </c>
      <c r="X5257">
        <v>0.9791396</v>
      </c>
      <c r="Y5257">
        <v>-0.41396850000000002</v>
      </c>
      <c r="Z5257">
        <v>-4.301311E-2</v>
      </c>
      <c r="AA5257">
        <v>0.90927440000000004</v>
      </c>
      <c r="AB5257">
        <v>27</v>
      </c>
      <c r="AC5257">
        <v>73.0899</v>
      </c>
      <c r="AD5257">
        <v>3.3891689999999999</v>
      </c>
      <c r="AE5257">
        <v>-19.90804</v>
      </c>
      <c r="AF5257">
        <v>-31.480641181609201</v>
      </c>
      <c r="AG5257">
        <v>3.3891689999999999</v>
      </c>
      <c r="AH5257">
        <v>68.735206618434404</v>
      </c>
      <c r="AI5257">
        <v>87.433177674090899</v>
      </c>
      <c r="AJ5257">
        <v>114.607722238203</v>
      </c>
      <c r="AK5257">
        <v>75.677247998289801</v>
      </c>
      <c r="AL5257">
        <v>78.918600371451404</v>
      </c>
      <c r="AM5257">
        <v>93.850768906322998</v>
      </c>
      <c r="AN5257">
        <v>1.0000000428210201</v>
      </c>
    </row>
    <row r="5258" spans="1:40" x14ac:dyDescent="0.25">
      <c r="A5258" t="str">
        <f>"20190303171120817"</f>
        <v>20190303171120817</v>
      </c>
      <c r="B5258" t="str">
        <f>"1551604280805667"</f>
        <v>1551604280805667</v>
      </c>
      <c r="C5258" t="s">
        <v>40</v>
      </c>
      <c r="D5258">
        <v>5.3163029999999996</v>
      </c>
      <c r="E5258">
        <v>0.36809629999999999</v>
      </c>
      <c r="F5258" t="s">
        <v>86</v>
      </c>
      <c r="G5258">
        <v>-227.90780000000001</v>
      </c>
      <c r="H5258">
        <v>2.3668179999999999</v>
      </c>
      <c r="I5258">
        <v>-81.815950000000001</v>
      </c>
      <c r="J5258">
        <v>-294.25360000000001</v>
      </c>
      <c r="K5258">
        <v>1.1319809999999999</v>
      </c>
      <c r="L5258">
        <v>-62.069580000000002</v>
      </c>
      <c r="M5258">
        <v>0.77729429999999999</v>
      </c>
      <c r="N5258">
        <v>-1.486877E-2</v>
      </c>
      <c r="O5258">
        <v>-0.62896169999999996</v>
      </c>
      <c r="P5258">
        <v>0.80114059999999998</v>
      </c>
      <c r="Q5258">
        <v>0.18012049999999999</v>
      </c>
      <c r="R5258">
        <v>-0.57072809999999996</v>
      </c>
      <c r="S5258">
        <v>3.0916139999999999</v>
      </c>
      <c r="T5258">
        <v>5.7355049999999998E-2</v>
      </c>
      <c r="U5258">
        <v>-0.92462160000000004</v>
      </c>
      <c r="V5258">
        <v>-6.5408499999999994E-2</v>
      </c>
      <c r="W5258">
        <v>0.1930335</v>
      </c>
      <c r="X5258">
        <v>0.97900960000000004</v>
      </c>
      <c r="Y5258">
        <v>-0.37958320000000001</v>
      </c>
      <c r="Z5258">
        <v>-2.0974130000000001E-2</v>
      </c>
      <c r="AA5258">
        <v>0.92491979999999996</v>
      </c>
      <c r="AB5258">
        <v>27</v>
      </c>
      <c r="AC5258">
        <v>66.345799999999997</v>
      </c>
      <c r="AD5258">
        <v>1.234837</v>
      </c>
      <c r="AE5258">
        <v>-19.746369999999999</v>
      </c>
      <c r="AF5258">
        <v>-26.374745482529999</v>
      </c>
      <c r="AG5258">
        <v>1.234837</v>
      </c>
      <c r="AH5258">
        <v>63.976627894858197</v>
      </c>
      <c r="AI5258">
        <v>88.977695534945795</v>
      </c>
      <c r="AJ5258">
        <v>112.404196713784</v>
      </c>
      <c r="AK5258">
        <v>69.210988567437397</v>
      </c>
      <c r="AL5258">
        <v>78.870131026624506</v>
      </c>
      <c r="AM5258">
        <v>93.822301423131407</v>
      </c>
      <c r="AN5258">
        <v>1.00000000044333</v>
      </c>
    </row>
    <row r="5259" spans="1:40" x14ac:dyDescent="0.25">
      <c r="A5259" t="str">
        <f>"20190303171120838"</f>
        <v>20190303171120838</v>
      </c>
      <c r="B5259" t="str">
        <f>"1551604280826164"</f>
        <v>1551604280826164</v>
      </c>
      <c r="C5259" t="s">
        <v>40</v>
      </c>
      <c r="D5259">
        <v>5.376633</v>
      </c>
      <c r="E5259">
        <v>0.36854029999999999</v>
      </c>
      <c r="F5259" t="s">
        <v>86</v>
      </c>
      <c r="G5259">
        <v>-224.20150000000001</v>
      </c>
      <c r="H5259">
        <v>2.8292099999999998</v>
      </c>
      <c r="I5259">
        <v>-81.816100000000006</v>
      </c>
      <c r="J5259">
        <v>-294.04340000000002</v>
      </c>
      <c r="K5259">
        <v>1.132009</v>
      </c>
      <c r="L5259">
        <v>-62.219970000000004</v>
      </c>
      <c r="M5259">
        <v>0.78634720000000002</v>
      </c>
      <c r="N5259">
        <v>-1.487863E-2</v>
      </c>
      <c r="O5259">
        <v>-0.61760599999999999</v>
      </c>
      <c r="P5259">
        <v>0.8086721</v>
      </c>
      <c r="Q5259">
        <v>0.1805107</v>
      </c>
      <c r="R5259">
        <v>-0.55988019999999905</v>
      </c>
      <c r="S5259">
        <v>3.1043400000000001</v>
      </c>
      <c r="T5259">
        <v>7.5212360000000006E-2</v>
      </c>
      <c r="U5259">
        <v>-0.87506099999999998</v>
      </c>
      <c r="V5259">
        <v>-6.4352629999999994E-2</v>
      </c>
      <c r="W5259">
        <v>0.19345589999999999</v>
      </c>
      <c r="X5259">
        <v>0.97899619999999998</v>
      </c>
      <c r="Y5259">
        <v>-0.38068020000000002</v>
      </c>
      <c r="Z5259">
        <v>-2.489968E-2</v>
      </c>
      <c r="AA5259">
        <v>0.92437139999999995</v>
      </c>
      <c r="AB5259">
        <v>27</v>
      </c>
      <c r="AC5259">
        <v>69.841899999999995</v>
      </c>
      <c r="AD5259">
        <v>1.69720099999999</v>
      </c>
      <c r="AE5259">
        <v>-19.596129999999999</v>
      </c>
      <c r="AF5259">
        <v>-27.7133065148724</v>
      </c>
      <c r="AG5259">
        <v>1.69720099999999</v>
      </c>
      <c r="AH5259">
        <v>66.993400370727102</v>
      </c>
      <c r="AI5259">
        <v>88.658956061676506</v>
      </c>
      <c r="AJ5259">
        <v>112.47351901729</v>
      </c>
      <c r="AK5259">
        <v>72.519125356379007</v>
      </c>
      <c r="AL5259">
        <v>78.845464364700803</v>
      </c>
      <c r="AM5259">
        <v>93.760828989914998</v>
      </c>
      <c r="AN5259">
        <v>1.00000000292358</v>
      </c>
    </row>
    <row r="5260" spans="1:40" x14ac:dyDescent="0.25">
      <c r="A5260" t="str">
        <f>"20190303171120861"</f>
        <v>20190303171120861</v>
      </c>
      <c r="B5260" t="str">
        <f>"1551604280856419"</f>
        <v>1551604280856419</v>
      </c>
      <c r="C5260" t="s">
        <v>40</v>
      </c>
      <c r="D5260">
        <v>5.4157890000000002</v>
      </c>
      <c r="E5260">
        <v>0.36845050000000001</v>
      </c>
      <c r="F5260" t="s">
        <v>86</v>
      </c>
      <c r="G5260">
        <v>-220.99870000000001</v>
      </c>
      <c r="H5260">
        <v>3.1148410000000002</v>
      </c>
      <c r="I5260">
        <v>-81.816190000000006</v>
      </c>
      <c r="J5260">
        <v>-293.81779999999998</v>
      </c>
      <c r="K5260">
        <v>1.1320440000000001</v>
      </c>
      <c r="L5260">
        <v>-62.376159999999999</v>
      </c>
      <c r="M5260">
        <v>0.79582149999999996</v>
      </c>
      <c r="N5260">
        <v>-1.488979E-2</v>
      </c>
      <c r="O5260">
        <v>-0.60534840000000001</v>
      </c>
      <c r="P5260">
        <v>0.81705150000000004</v>
      </c>
      <c r="Q5260">
        <v>0.17982619999999999</v>
      </c>
      <c r="R5260">
        <v>-0.54780469999999903</v>
      </c>
      <c r="S5260">
        <v>3.112762</v>
      </c>
      <c r="T5260">
        <v>8.4497569999999994E-2</v>
      </c>
      <c r="U5260">
        <v>-0.83508300000000002</v>
      </c>
      <c r="V5260">
        <v>-6.3816319999999996E-2</v>
      </c>
      <c r="W5260">
        <v>0.19279389999999999</v>
      </c>
      <c r="X5260">
        <v>0.97916190000000003</v>
      </c>
      <c r="Y5260">
        <v>-0.37797360000000002</v>
      </c>
      <c r="Z5260">
        <v>-2.664828E-2</v>
      </c>
      <c r="AA5260">
        <v>0.9254327</v>
      </c>
      <c r="AB5260">
        <v>27</v>
      </c>
      <c r="AC5260">
        <v>72.819099999999906</v>
      </c>
      <c r="AD5260">
        <v>1.9827969999999999</v>
      </c>
      <c r="AE5260">
        <v>-19.44003</v>
      </c>
      <c r="AF5260">
        <v>-28.593510798038398</v>
      </c>
      <c r="AG5260">
        <v>1.9827969999999999</v>
      </c>
      <c r="AH5260">
        <v>69.678493231050297</v>
      </c>
      <c r="AI5260">
        <v>88.4919824564344</v>
      </c>
      <c r="AJ5260">
        <v>112.31145701758599</v>
      </c>
      <c r="AK5260">
        <v>75.343299387870402</v>
      </c>
      <c r="AL5260">
        <v>78.884122107075399</v>
      </c>
      <c r="AM5260">
        <v>93.728945991236998</v>
      </c>
      <c r="AN5260">
        <v>1.00000001849358</v>
      </c>
    </row>
    <row r="5261" spans="1:40" x14ac:dyDescent="0.25">
      <c r="A5261" t="str">
        <f>"20190303171120883"</f>
        <v>20190303171120883</v>
      </c>
      <c r="B5261" t="str">
        <f>"1551604280875939"</f>
        <v>1551604280875939</v>
      </c>
      <c r="C5261" t="s">
        <v>40</v>
      </c>
      <c r="D5261">
        <v>5.4453339999999999</v>
      </c>
      <c r="E5261">
        <v>0.34871380000000002</v>
      </c>
      <c r="F5261" t="s">
        <v>86</v>
      </c>
      <c r="G5261">
        <v>-216.68719999999999</v>
      </c>
      <c r="H5261">
        <v>3.2268050000000001</v>
      </c>
      <c r="I5261">
        <v>-81.816239999999993</v>
      </c>
      <c r="J5261">
        <v>-293.5992</v>
      </c>
      <c r="K5261">
        <v>1.1320790000000001</v>
      </c>
      <c r="L5261">
        <v>-62.522739999999999</v>
      </c>
      <c r="M5261">
        <v>0.80477480000000001</v>
      </c>
      <c r="N5261">
        <v>-1.489978E-2</v>
      </c>
      <c r="O5261">
        <v>-0.59339339999999996</v>
      </c>
      <c r="P5261">
        <v>0.82489429999999997</v>
      </c>
      <c r="Q5261">
        <v>0.17929610000000001</v>
      </c>
      <c r="R5261">
        <v>-0.536099199999999</v>
      </c>
      <c r="S5261">
        <v>3.125</v>
      </c>
      <c r="T5261">
        <v>8.4870929999999997E-2</v>
      </c>
      <c r="U5261">
        <v>-0.787628199999999</v>
      </c>
      <c r="V5261">
        <v>-6.3217599999999999E-2</v>
      </c>
      <c r="W5261">
        <v>0.1922876</v>
      </c>
      <c r="X5261">
        <v>0.97930030000000001</v>
      </c>
      <c r="Y5261">
        <v>-0.3782256</v>
      </c>
      <c r="Z5261">
        <v>-2.6270129999999999E-2</v>
      </c>
      <c r="AA5261">
        <v>0.92534070000000002</v>
      </c>
      <c r="AB5261">
        <v>27</v>
      </c>
      <c r="AC5261">
        <v>76.911999999999907</v>
      </c>
      <c r="AD5261">
        <v>2.0947259999999899</v>
      </c>
      <c r="AE5261">
        <v>-19.293500000000002</v>
      </c>
      <c r="AF5261">
        <v>-30.094488998691102</v>
      </c>
      <c r="AG5261">
        <v>2.0947259999999899</v>
      </c>
      <c r="AH5261">
        <v>73.302455905968699</v>
      </c>
      <c r="AI5261">
        <v>88.485720794126493</v>
      </c>
      <c r="AJ5261">
        <v>112.32071252724199</v>
      </c>
      <c r="AK5261">
        <v>79.267371515358704</v>
      </c>
      <c r="AL5261">
        <v>78.913684244665902</v>
      </c>
      <c r="AM5261">
        <v>93.693538002765905</v>
      </c>
      <c r="AN5261">
        <v>1.0000000318218001</v>
      </c>
    </row>
    <row r="5262" spans="1:40" x14ac:dyDescent="0.25">
      <c r="A5262" t="str">
        <f>"20190303171120906"</f>
        <v>20190303171120906</v>
      </c>
      <c r="B5262" t="str">
        <f>"1551604280896435"</f>
        <v>1551604280896435</v>
      </c>
      <c r="C5262" t="s">
        <v>40</v>
      </c>
      <c r="D5262">
        <v>5.4516479999999996</v>
      </c>
      <c r="E5262">
        <v>0.34594730000000001</v>
      </c>
      <c r="F5262" t="s">
        <v>86</v>
      </c>
      <c r="G5262">
        <v>-191.899</v>
      </c>
      <c r="H5262">
        <v>4.982043</v>
      </c>
      <c r="I5262">
        <v>-81.816819999999893</v>
      </c>
      <c r="J5262">
        <v>-293.37869999999998</v>
      </c>
      <c r="K5262">
        <v>1.1321159999999999</v>
      </c>
      <c r="L5262">
        <v>-62.665680000000002</v>
      </c>
      <c r="M5262">
        <v>0.81356779999999995</v>
      </c>
      <c r="N5262">
        <v>-1.49091E-2</v>
      </c>
      <c r="O5262">
        <v>-0.58127910000000005</v>
      </c>
      <c r="P5262">
        <v>0.83225539999999998</v>
      </c>
      <c r="Q5262">
        <v>0.1803594</v>
      </c>
      <c r="R5262">
        <v>-0.52423450000000005</v>
      </c>
      <c r="S5262">
        <v>3.2141419999999998</v>
      </c>
      <c r="T5262">
        <v>0.1216747</v>
      </c>
      <c r="U5262">
        <v>-0.60977169999999903</v>
      </c>
      <c r="V5262">
        <v>-6.2482040000000003E-2</v>
      </c>
      <c r="W5262">
        <v>0.1933745</v>
      </c>
      <c r="X5262">
        <v>0.97913340000000004</v>
      </c>
      <c r="Y5262">
        <v>-0.4185874</v>
      </c>
      <c r="Z5262">
        <v>-3.424779E-2</v>
      </c>
      <c r="AA5262">
        <v>0.90753050000000002</v>
      </c>
      <c r="AB5262">
        <v>27</v>
      </c>
      <c r="AC5262">
        <v>101.479699999999</v>
      </c>
      <c r="AD5262">
        <v>3.8499269999999899</v>
      </c>
      <c r="AE5262">
        <v>-19.151139999999899</v>
      </c>
      <c r="AF5262">
        <v>-43.351847931258199</v>
      </c>
      <c r="AG5262">
        <v>3.8499269999999899</v>
      </c>
      <c r="AH5262">
        <v>93.573130567682398</v>
      </c>
      <c r="AI5262">
        <v>87.862046037265202</v>
      </c>
      <c r="AJ5262">
        <v>114.857995305451</v>
      </c>
      <c r="AK5262">
        <v>103.199493318508</v>
      </c>
      <c r="AL5262">
        <v>78.850217505678799</v>
      </c>
      <c r="AM5262">
        <v>93.6512998323375</v>
      </c>
      <c r="AN5262">
        <v>0.99999995878418502</v>
      </c>
    </row>
    <row r="5263" spans="1:40" x14ac:dyDescent="0.25">
      <c r="A5263" t="str">
        <f>"20190303171120928"</f>
        <v>20190303171120928</v>
      </c>
      <c r="B5263" t="str">
        <f>"1551604280915955"</f>
        <v>1551604280915955</v>
      </c>
      <c r="C5263" t="s">
        <v>40</v>
      </c>
      <c r="D5263">
        <v>5.465211</v>
      </c>
      <c r="E5263">
        <v>0.34592970000000001</v>
      </c>
      <c r="F5263" t="s">
        <v>86</v>
      </c>
      <c r="G5263">
        <v>-189.12809999999999</v>
      </c>
      <c r="H5263">
        <v>5.5255780000000003</v>
      </c>
      <c r="I5263">
        <v>-80.270319999999998</v>
      </c>
      <c r="J5263">
        <v>-293.15589999999997</v>
      </c>
      <c r="K5263">
        <v>1.1321369999999999</v>
      </c>
      <c r="L5263">
        <v>-62.80545</v>
      </c>
      <c r="M5263">
        <v>0.8222197</v>
      </c>
      <c r="N5263">
        <v>-1.491787E-2</v>
      </c>
      <c r="O5263">
        <v>-0.56897489999999995</v>
      </c>
      <c r="P5263">
        <v>0.83972959999999996</v>
      </c>
      <c r="Q5263">
        <v>0.18145459999999999</v>
      </c>
      <c r="R5263">
        <v>-0.51178999999999997</v>
      </c>
      <c r="S5263">
        <v>3.2314150000000001</v>
      </c>
      <c r="T5263">
        <v>0.13618250000000001</v>
      </c>
      <c r="U5263">
        <v>-0.54568479999999997</v>
      </c>
      <c r="V5263">
        <v>-6.2227730000000002E-2</v>
      </c>
      <c r="W5263">
        <v>0.1944804</v>
      </c>
      <c r="X5263">
        <v>0.97893059999999998</v>
      </c>
      <c r="Y5263">
        <v>-0.42308770000000001</v>
      </c>
      <c r="Z5263">
        <v>-3.6973480000000003E-2</v>
      </c>
      <c r="AA5263">
        <v>0.90533410000000003</v>
      </c>
      <c r="AB5263">
        <v>27</v>
      </c>
      <c r="AC5263">
        <v>104.027799999999</v>
      </c>
      <c r="AD5263">
        <v>4.3934410000000002</v>
      </c>
      <c r="AE5263">
        <v>-17.464869999999902</v>
      </c>
      <c r="AF5263">
        <v>-44.756589270250302</v>
      </c>
      <c r="AG5263">
        <v>4.3934410000000002</v>
      </c>
      <c r="AH5263">
        <v>95.316043502626201</v>
      </c>
      <c r="AI5263">
        <v>87.6108516104063</v>
      </c>
      <c r="AJ5263">
        <v>115.152866240591</v>
      </c>
      <c r="AK5263">
        <v>105.39261243522201</v>
      </c>
      <c r="AL5263">
        <v>78.785628592361604</v>
      </c>
      <c r="AM5263">
        <v>93.637229856156793</v>
      </c>
      <c r="AN5263">
        <v>1.00000001799073</v>
      </c>
    </row>
    <row r="5264" spans="1:40" x14ac:dyDescent="0.25">
      <c r="A5264" t="str">
        <f>"20190303171120951"</f>
        <v>20190303171120951</v>
      </c>
      <c r="B5264" t="str">
        <f>"1551604280946044"</f>
        <v>1551604280946044</v>
      </c>
      <c r="C5264" t="s">
        <v>40</v>
      </c>
      <c r="D5264">
        <v>5.4791249999999998</v>
      </c>
      <c r="E5264">
        <v>0.34596929999999998</v>
      </c>
      <c r="F5264" t="s">
        <v>86</v>
      </c>
      <c r="G5264">
        <v>-180.96979999999999</v>
      </c>
      <c r="H5264">
        <v>5.8937030000000004</v>
      </c>
      <c r="I5264">
        <v>-80.065669999999997</v>
      </c>
      <c r="J5264">
        <v>-292.92689999999999</v>
      </c>
      <c r="K5264">
        <v>1.132155</v>
      </c>
      <c r="L5264">
        <v>-62.9443699999999</v>
      </c>
      <c r="M5264">
        <v>0.83086469999999901</v>
      </c>
      <c r="N5264">
        <v>-1.4925519999999999E-2</v>
      </c>
      <c r="O5264">
        <v>-0.5562743</v>
      </c>
      <c r="P5264">
        <v>0.84733060000000004</v>
      </c>
      <c r="Q5264">
        <v>0.18217079999999999</v>
      </c>
      <c r="R5264">
        <v>-0.49884319999999999</v>
      </c>
      <c r="S5264">
        <v>3.2391359999999998</v>
      </c>
      <c r="T5264">
        <v>0.13748009999999999</v>
      </c>
      <c r="U5264">
        <v>-0.49835210000000002</v>
      </c>
      <c r="V5264">
        <v>-6.21472E-2</v>
      </c>
      <c r="W5264">
        <v>0.1952034</v>
      </c>
      <c r="X5264">
        <v>0.97879179999999999</v>
      </c>
      <c r="Y5264">
        <v>-0.42242249999999998</v>
      </c>
      <c r="Z5264">
        <v>-3.6594040000000001E-2</v>
      </c>
      <c r="AA5264">
        <v>0.90566000000000002</v>
      </c>
      <c r="AB5264">
        <v>27</v>
      </c>
      <c r="AC5264">
        <v>111.9571</v>
      </c>
      <c r="AD5264">
        <v>4.7615480000000003</v>
      </c>
      <c r="AE5264">
        <v>-17.121300000000002</v>
      </c>
      <c r="AF5264">
        <v>-47.9739338422198</v>
      </c>
      <c r="AG5264">
        <v>4.7615480000000003</v>
      </c>
      <c r="AH5264">
        <v>102.375817861328</v>
      </c>
      <c r="AI5264">
        <v>87.588375924815494</v>
      </c>
      <c r="AJ5264">
        <v>115.10807541789799</v>
      </c>
      <c r="AK5264">
        <v>113.15908602684</v>
      </c>
      <c r="AL5264">
        <v>78.743394272720906</v>
      </c>
      <c r="AM5264">
        <v>93.633049205446994</v>
      </c>
      <c r="AN5264">
        <v>1.0000000147933199</v>
      </c>
    </row>
    <row r="5265" spans="1:40" x14ac:dyDescent="0.25">
      <c r="A5265" t="str">
        <f>"20190303171120973"</f>
        <v>20190303171120973</v>
      </c>
      <c r="B5265" t="str">
        <f>"1551604280966541"</f>
        <v>1551604280966541</v>
      </c>
      <c r="C5265" t="s">
        <v>40</v>
      </c>
      <c r="D5265">
        <v>5.3361269999999896</v>
      </c>
      <c r="E5265">
        <v>0.34510350000000001</v>
      </c>
      <c r="F5265" t="s">
        <v>62</v>
      </c>
      <c r="G5265">
        <v>0</v>
      </c>
      <c r="H5265">
        <v>0</v>
      </c>
      <c r="I5265">
        <v>0</v>
      </c>
      <c r="J5265">
        <v>-292.70030000000003</v>
      </c>
      <c r="K5265">
        <v>1.1321589999999999</v>
      </c>
      <c r="L5265">
        <v>-63.077150000000003</v>
      </c>
      <c r="M5265">
        <v>0.83916840000000004</v>
      </c>
      <c r="N5265">
        <v>-1.4931379999999999E-2</v>
      </c>
      <c r="O5265">
        <v>-0.54366669999999995</v>
      </c>
      <c r="P5265">
        <v>0.85477150000000002</v>
      </c>
      <c r="Q5265">
        <v>0.18288769999999999</v>
      </c>
      <c r="R5265">
        <v>-0.48571370000000003</v>
      </c>
      <c r="S5265">
        <v>3.2460939999999998</v>
      </c>
      <c r="T5265">
        <v>0.13918220000000001</v>
      </c>
      <c r="U5265">
        <v>-0.44927980000000001</v>
      </c>
      <c r="V5265">
        <v>-6.2405589999999997E-2</v>
      </c>
      <c r="W5265">
        <v>0.19591649999999999</v>
      </c>
      <c r="X5265">
        <v>0.97863290000000003</v>
      </c>
      <c r="Y5265">
        <v>-0.42243760000000002</v>
      </c>
      <c r="Z5265">
        <v>-3.6309760000000003E-2</v>
      </c>
      <c r="AA5265">
        <v>0.90566440000000004</v>
      </c>
      <c r="AB5265">
        <v>27</v>
      </c>
      <c r="AC5265">
        <v>3.2460939999999998</v>
      </c>
      <c r="AD5265">
        <v>0.13918220000000001</v>
      </c>
      <c r="AE5265">
        <v>-0.44927980000000001</v>
      </c>
      <c r="AF5265">
        <v>-1.38542737973844</v>
      </c>
      <c r="AG5265">
        <v>0.13918220000000001</v>
      </c>
      <c r="AH5265">
        <v>2.9632635356372599</v>
      </c>
      <c r="AI5265">
        <v>87.563616382931002</v>
      </c>
      <c r="AJ5265">
        <v>115.057702162928</v>
      </c>
      <c r="AK5265">
        <v>3.27409704971664</v>
      </c>
      <c r="AL5265">
        <v>78.701732551376793</v>
      </c>
      <c r="AM5265">
        <v>93.648704402514596</v>
      </c>
      <c r="AN5265">
        <v>1.0000000427989499</v>
      </c>
    </row>
    <row r="5266" spans="1:40" x14ac:dyDescent="0.25">
      <c r="A5266" t="str">
        <f>"20190303171120994"</f>
        <v>20190303171120994</v>
      </c>
      <c r="B5266" t="str">
        <f>"1551604280986060"</f>
        <v>1551604280986060</v>
      </c>
      <c r="C5266" t="s">
        <v>40</v>
      </c>
      <c r="D5266">
        <v>5.3539599999999998</v>
      </c>
      <c r="E5266">
        <v>0.34414479999999997</v>
      </c>
      <c r="F5266" t="s">
        <v>62</v>
      </c>
      <c r="G5266">
        <v>0</v>
      </c>
      <c r="H5266">
        <v>0</v>
      </c>
      <c r="I5266">
        <v>0</v>
      </c>
      <c r="J5266">
        <v>-292.4787</v>
      </c>
      <c r="K5266">
        <v>1.1321509999999999</v>
      </c>
      <c r="L5266">
        <v>-63.202550000000002</v>
      </c>
      <c r="M5266">
        <v>0.84704789999999996</v>
      </c>
      <c r="N5266">
        <v>-1.4935810000000001E-2</v>
      </c>
      <c r="O5266">
        <v>-0.53130659999999996</v>
      </c>
      <c r="P5266">
        <v>0.86120589999999997</v>
      </c>
      <c r="Q5266">
        <v>0.1839768</v>
      </c>
      <c r="R5266">
        <v>-0.47379019999999999</v>
      </c>
      <c r="S5266">
        <v>3.254486</v>
      </c>
      <c r="T5266">
        <v>0.14840100000000001</v>
      </c>
      <c r="U5266">
        <v>-0.39328000000000002</v>
      </c>
      <c r="V5266">
        <v>-6.1559950000000002E-2</v>
      </c>
      <c r="W5266">
        <v>0.1970316</v>
      </c>
      <c r="X5266">
        <v>0.97846250000000001</v>
      </c>
      <c r="Y5266">
        <v>-0.42469299999999999</v>
      </c>
      <c r="Z5266">
        <v>-3.7691700000000002E-2</v>
      </c>
      <c r="AA5266">
        <v>0.90455249999999998</v>
      </c>
      <c r="AB5266">
        <v>27</v>
      </c>
      <c r="AC5266">
        <v>3.254486</v>
      </c>
      <c r="AD5266">
        <v>0.14840100000000001</v>
      </c>
      <c r="AE5266">
        <v>-0.39328000000000002</v>
      </c>
      <c r="AF5266">
        <v>-1.3933033358354101</v>
      </c>
      <c r="AG5266">
        <v>0.14840100000000001</v>
      </c>
      <c r="AH5266">
        <v>2.9599228724567301</v>
      </c>
      <c r="AI5266">
        <v>87.402709755275197</v>
      </c>
      <c r="AJ5266">
        <v>115.207437895596</v>
      </c>
      <c r="AK5266">
        <v>3.2748222017910602</v>
      </c>
      <c r="AL5266">
        <v>78.636571161177201</v>
      </c>
      <c r="AM5266">
        <v>93.600017928989104</v>
      </c>
      <c r="AN5266">
        <v>0.99999997137440499</v>
      </c>
    </row>
    <row r="5267" spans="1:40" x14ac:dyDescent="0.25">
      <c r="A5267" t="str">
        <f>"20190303171121017"</f>
        <v>20190303171121017</v>
      </c>
      <c r="B5267" t="str">
        <f>"1551604281006557"</f>
        <v>1551604281006557</v>
      </c>
      <c r="C5267" t="s">
        <v>40</v>
      </c>
      <c r="D5267">
        <v>5.4108910000000003</v>
      </c>
      <c r="E5267">
        <v>0.34547670000000003</v>
      </c>
      <c r="F5267" t="s">
        <v>62</v>
      </c>
      <c r="G5267">
        <v>0</v>
      </c>
      <c r="H5267">
        <v>0</v>
      </c>
      <c r="I5267">
        <v>0</v>
      </c>
      <c r="J5267">
        <v>-292.24880000000002</v>
      </c>
      <c r="K5267">
        <v>1.132136</v>
      </c>
      <c r="L5267">
        <v>-63.328090000000003</v>
      </c>
      <c r="M5267">
        <v>0.85497049999999997</v>
      </c>
      <c r="N5267">
        <v>-1.493878E-2</v>
      </c>
      <c r="O5267">
        <v>-0.51846190000000003</v>
      </c>
      <c r="P5267">
        <v>0.86774259999999903</v>
      </c>
      <c r="Q5267">
        <v>0.18425250000000001</v>
      </c>
      <c r="R5267">
        <v>-0.46159939999999999</v>
      </c>
      <c r="S5267">
        <v>3.2613219999999998</v>
      </c>
      <c r="T5267">
        <v>0.16117329999999999</v>
      </c>
      <c r="U5267">
        <v>-0.34121699999999999</v>
      </c>
      <c r="V5267">
        <v>-6.0560009999999997E-2</v>
      </c>
      <c r="W5267">
        <v>0.19733829999999999</v>
      </c>
      <c r="X5267">
        <v>0.97846310000000003</v>
      </c>
      <c r="Y5267">
        <v>-0.42536030000000002</v>
      </c>
      <c r="Z5267">
        <v>-3.9731389999999998E-2</v>
      </c>
      <c r="AA5267">
        <v>0.90415160000000006</v>
      </c>
      <c r="AB5267">
        <v>27</v>
      </c>
      <c r="AC5267">
        <v>3.2613219999999998</v>
      </c>
      <c r="AD5267">
        <v>0.16117329999999999</v>
      </c>
      <c r="AE5267">
        <v>-0.34121699999999999</v>
      </c>
      <c r="AF5267">
        <v>-1.3959242045273501</v>
      </c>
      <c r="AG5267">
        <v>0.16117329999999999</v>
      </c>
      <c r="AH5267">
        <v>2.9584252302213501</v>
      </c>
      <c r="AI5267">
        <v>87.1793133413872</v>
      </c>
      <c r="AJ5267">
        <v>115.2601431195</v>
      </c>
      <c r="AK5267">
        <v>3.27518870604862</v>
      </c>
      <c r="AL5267">
        <v>78.618646705235193</v>
      </c>
      <c r="AM5267">
        <v>93.541689469075493</v>
      </c>
      <c r="AN5267">
        <v>0.99999997875984903</v>
      </c>
    </row>
    <row r="5268" spans="1:40" x14ac:dyDescent="0.25">
      <c r="A5268" t="str">
        <f>"20190303171121039"</f>
        <v>20190303171121039</v>
      </c>
      <c r="B5268" t="str">
        <f>"1551604281026076"</f>
        <v>1551604281026076</v>
      </c>
      <c r="C5268" t="s">
        <v>40</v>
      </c>
      <c r="D5268">
        <v>5.3414489999999999</v>
      </c>
      <c r="E5268">
        <v>0.34586470000000002</v>
      </c>
      <c r="F5268" t="s">
        <v>62</v>
      </c>
      <c r="G5268">
        <v>0</v>
      </c>
      <c r="H5268">
        <v>0</v>
      </c>
      <c r="I5268">
        <v>0</v>
      </c>
      <c r="J5268">
        <v>-292.01249999999999</v>
      </c>
      <c r="K5268">
        <v>1.132134</v>
      </c>
      <c r="L5268">
        <v>-63.452179999999998</v>
      </c>
      <c r="M5268">
        <v>0.86284899999999998</v>
      </c>
      <c r="N5268">
        <v>-1.49409E-2</v>
      </c>
      <c r="O5268">
        <v>-0.50524099999999905</v>
      </c>
      <c r="P5268">
        <v>0.87468829999999997</v>
      </c>
      <c r="Q5268">
        <v>0.18343390000000001</v>
      </c>
      <c r="R5268">
        <v>-0.44863429999999999</v>
      </c>
      <c r="S5268">
        <v>3.2620849999999999</v>
      </c>
      <c r="T5268">
        <v>0.15626229999999999</v>
      </c>
      <c r="U5268">
        <v>-0.30447390000000002</v>
      </c>
      <c r="V5268">
        <v>-6.011963E-2</v>
      </c>
      <c r="W5268">
        <v>0.19653699999999999</v>
      </c>
      <c r="X5268">
        <v>0.97865150000000001</v>
      </c>
      <c r="Y5268">
        <v>-0.42163879999999998</v>
      </c>
      <c r="Z5268">
        <v>-3.787074E-2</v>
      </c>
      <c r="AA5268">
        <v>0.90597269999999996</v>
      </c>
      <c r="AB5268">
        <v>27</v>
      </c>
      <c r="AC5268">
        <v>3.2620849999999999</v>
      </c>
      <c r="AD5268">
        <v>0.15626229999999999</v>
      </c>
      <c r="AE5268">
        <v>-0.30447390000000002</v>
      </c>
      <c r="AF5268">
        <v>-1.3824338664226801</v>
      </c>
      <c r="AG5268">
        <v>0.15626229999999999</v>
      </c>
      <c r="AH5268">
        <v>2.9621123934818399</v>
      </c>
      <c r="AI5268">
        <v>87.263128846509403</v>
      </c>
      <c r="AJ5268">
        <v>115.018716102897</v>
      </c>
      <c r="AK5268">
        <v>3.2725603329888999</v>
      </c>
      <c r="AL5268">
        <v>78.665474687205304</v>
      </c>
      <c r="AM5268">
        <v>93.515324704758996</v>
      </c>
      <c r="AN5268">
        <v>0.99999996036629202</v>
      </c>
    </row>
    <row r="5269" spans="1:40" x14ac:dyDescent="0.25">
      <c r="A5269" t="str">
        <f>"20190303171121063"</f>
        <v>20190303171121063</v>
      </c>
      <c r="B5269" t="str">
        <f>"1551604281056539"</f>
        <v>1551604281056539</v>
      </c>
      <c r="C5269" t="s">
        <v>40</v>
      </c>
      <c r="D5269">
        <v>5.4968440000000003</v>
      </c>
      <c r="E5269">
        <v>0.34665699999999999</v>
      </c>
      <c r="F5269" t="s">
        <v>62</v>
      </c>
      <c r="G5269">
        <v>0</v>
      </c>
      <c r="H5269">
        <v>0</v>
      </c>
      <c r="I5269">
        <v>0</v>
      </c>
      <c r="J5269">
        <v>-291.77199999999999</v>
      </c>
      <c r="K5269">
        <v>1.132128</v>
      </c>
      <c r="L5269">
        <v>-63.573790000000002</v>
      </c>
      <c r="M5269">
        <v>0.87059529999999996</v>
      </c>
      <c r="N5269">
        <v>-1.49418999999999E-2</v>
      </c>
      <c r="O5269">
        <v>-0.49177270000000001</v>
      </c>
      <c r="P5269">
        <v>0.88193779999999999</v>
      </c>
      <c r="Q5269">
        <v>0.18294199999999999</v>
      </c>
      <c r="R5269">
        <v>-0.43441649999999998</v>
      </c>
      <c r="S5269">
        <v>3.2650450000000002</v>
      </c>
      <c r="T5269">
        <v>0.1536131</v>
      </c>
      <c r="U5269">
        <v>-0.25842290000000001</v>
      </c>
      <c r="V5269">
        <v>-6.0787149999999998E-2</v>
      </c>
      <c r="W5269">
        <v>0.19603110000000001</v>
      </c>
      <c r="X5269">
        <v>0.97871180000000002</v>
      </c>
      <c r="Y5269">
        <v>-0.42037770000000002</v>
      </c>
      <c r="Z5269">
        <v>-3.6521619999999998E-2</v>
      </c>
      <c r="AA5269">
        <v>0.90661389999999997</v>
      </c>
      <c r="AB5269">
        <v>27</v>
      </c>
      <c r="AC5269">
        <v>3.2650450000000002</v>
      </c>
      <c r="AD5269">
        <v>0.1536131</v>
      </c>
      <c r="AE5269">
        <v>-0.25842290000000001</v>
      </c>
      <c r="AF5269">
        <v>-1.3778017365444499</v>
      </c>
      <c r="AG5269">
        <v>0.1536131</v>
      </c>
      <c r="AH5269">
        <v>2.9634312742797202</v>
      </c>
      <c r="AI5269">
        <v>87.308834641030202</v>
      </c>
      <c r="AJ5269">
        <v>114.93534665393</v>
      </c>
      <c r="AK5269">
        <v>3.2716753395004901</v>
      </c>
      <c r="AL5269">
        <v>78.695036452866503</v>
      </c>
      <c r="AM5269">
        <v>93.554038111582997</v>
      </c>
      <c r="AN5269">
        <v>1.00000002861578</v>
      </c>
    </row>
    <row r="5270" spans="1:40" x14ac:dyDescent="0.25">
      <c r="A5270" t="str">
        <f>"20190303171121084"</f>
        <v>20190303171121084</v>
      </c>
      <c r="B5270" t="str">
        <f>"1551604281076059"</f>
        <v>1551604281076059</v>
      </c>
      <c r="C5270" t="s">
        <v>40</v>
      </c>
      <c r="D5270">
        <v>5.368271</v>
      </c>
      <c r="E5270">
        <v>0.3473482</v>
      </c>
      <c r="F5270" t="s">
        <v>62</v>
      </c>
      <c r="G5270">
        <v>0</v>
      </c>
      <c r="H5270">
        <v>0</v>
      </c>
      <c r="I5270">
        <v>0</v>
      </c>
      <c r="J5270">
        <v>-291.54129999999998</v>
      </c>
      <c r="K5270">
        <v>1.1321159999999999</v>
      </c>
      <c r="L5270">
        <v>-63.686190000000003</v>
      </c>
      <c r="M5270">
        <v>0.87778120000000004</v>
      </c>
      <c r="N5270">
        <v>-1.494213E-2</v>
      </c>
      <c r="O5270">
        <v>-0.47882910000000001</v>
      </c>
      <c r="P5270">
        <v>0.88881369999999904</v>
      </c>
      <c r="Q5270">
        <v>0.18233050000000001</v>
      </c>
      <c r="R5270">
        <v>-0.42043609999999998</v>
      </c>
      <c r="S5270">
        <v>3.26593</v>
      </c>
      <c r="T5270">
        <v>0.1507328</v>
      </c>
      <c r="U5270">
        <v>-0.21191409999999999</v>
      </c>
      <c r="V5270">
        <v>-6.1790999999999999E-2</v>
      </c>
      <c r="W5270">
        <v>0.1953956</v>
      </c>
      <c r="X5270">
        <v>0.97877599999999998</v>
      </c>
      <c r="Y5270">
        <v>-0.41987479999999999</v>
      </c>
      <c r="Z5270">
        <v>-3.5197630000000001E-2</v>
      </c>
      <c r="AA5270">
        <v>0.90689929999999996</v>
      </c>
      <c r="AB5270">
        <v>27</v>
      </c>
      <c r="AC5270">
        <v>3.26593</v>
      </c>
      <c r="AD5270">
        <v>0.1507328</v>
      </c>
      <c r="AE5270">
        <v>-0.21191409999999999</v>
      </c>
      <c r="AF5270">
        <v>-1.37504494764434</v>
      </c>
      <c r="AG5270">
        <v>0.1507328</v>
      </c>
      <c r="AH5270">
        <v>2.9622898512328102</v>
      </c>
      <c r="AI5270">
        <v>87.357449141107196</v>
      </c>
      <c r="AJ5270">
        <v>114.899932845813</v>
      </c>
      <c r="AK5270">
        <v>3.269347052204</v>
      </c>
      <c r="AL5270">
        <v>78.732165786291304</v>
      </c>
      <c r="AM5270">
        <v>93.612339639848102</v>
      </c>
      <c r="AN5270">
        <v>1.0000000131781701</v>
      </c>
    </row>
    <row r="5271" spans="1:40" x14ac:dyDescent="0.25">
      <c r="A5271" t="str">
        <f>"20190303171121107"</f>
        <v>20190303171121107</v>
      </c>
      <c r="B5271" t="str">
        <f>"1551604281096554"</f>
        <v>1551604281096554</v>
      </c>
      <c r="C5271" t="s">
        <v>40</v>
      </c>
      <c r="D5271">
        <v>5.4503750000000002</v>
      </c>
      <c r="E5271">
        <v>0.34775840000000002</v>
      </c>
      <c r="F5271" t="s">
        <v>49</v>
      </c>
      <c r="G5271">
        <v>-158.5059</v>
      </c>
      <c r="H5271">
        <v>7.1459449999999904</v>
      </c>
      <c r="I5271">
        <v>-70.436080000000004</v>
      </c>
      <c r="J5271">
        <v>-291.3064</v>
      </c>
      <c r="K5271">
        <v>1.132099</v>
      </c>
      <c r="L5271">
        <v>-63.79636</v>
      </c>
      <c r="M5271">
        <v>0.88484979999999902</v>
      </c>
      <c r="N5271">
        <v>-1.4941670000000001E-2</v>
      </c>
      <c r="O5271">
        <v>-0.46563690000000002</v>
      </c>
      <c r="P5271">
        <v>0.89544210000000002</v>
      </c>
      <c r="Q5271">
        <v>0.18272939999999999</v>
      </c>
      <c r="R5271">
        <v>-0.40594789999999997</v>
      </c>
      <c r="S5271">
        <v>3.266632</v>
      </c>
      <c r="T5271">
        <v>0.14766660000000001</v>
      </c>
      <c r="U5271">
        <v>-0.165741</v>
      </c>
      <c r="V5271">
        <v>-6.3002550000000004E-2</v>
      </c>
      <c r="W5271">
        <v>0.19576180000000001</v>
      </c>
      <c r="X5271">
        <v>0.97862559999999998</v>
      </c>
      <c r="Y5271">
        <v>-0.41914790000000002</v>
      </c>
      <c r="Z5271">
        <v>-3.3830890000000002E-2</v>
      </c>
      <c r="AA5271">
        <v>0.90728750000000002</v>
      </c>
      <c r="AB5271">
        <v>27</v>
      </c>
      <c r="AC5271">
        <v>132.8005</v>
      </c>
      <c r="AD5271">
        <v>6.0138459999999903</v>
      </c>
      <c r="AE5271">
        <v>-6.6397199999999996</v>
      </c>
      <c r="AF5271">
        <v>-55.853647766978902</v>
      </c>
      <c r="AG5271">
        <v>6.0138459999999903</v>
      </c>
      <c r="AH5271">
        <v>120.367426522027</v>
      </c>
      <c r="AI5271">
        <v>87.405082886252202</v>
      </c>
      <c r="AJ5271">
        <v>114.892538550615</v>
      </c>
      <c r="AK5271">
        <v>132.831147251407</v>
      </c>
      <c r="AL5271">
        <v>78.710771135734106</v>
      </c>
      <c r="AM5271">
        <v>93.683538976754306</v>
      </c>
      <c r="AN5271">
        <v>1.00000003431055</v>
      </c>
    </row>
    <row r="5272" spans="1:40" x14ac:dyDescent="0.25">
      <c r="A5272" t="str">
        <f>"20190303171121131"</f>
        <v>20190303171121131</v>
      </c>
      <c r="B5272" t="str">
        <f>"1551604281116074"</f>
        <v>1551604281116074</v>
      </c>
      <c r="C5272" t="s">
        <v>40</v>
      </c>
      <c r="D5272">
        <v>5.4964709999999997</v>
      </c>
      <c r="E5272">
        <v>0.36244850000000001</v>
      </c>
      <c r="F5272" t="s">
        <v>49</v>
      </c>
      <c r="G5272">
        <v>-168.45060000000001</v>
      </c>
      <c r="H5272">
        <v>6.6721050000000002</v>
      </c>
      <c r="I5272">
        <v>-68.158739999999995</v>
      </c>
      <c r="J5272">
        <v>-291.05590000000001</v>
      </c>
      <c r="K5272">
        <v>1.1320859999999999</v>
      </c>
      <c r="L5272">
        <v>-63.909179999999999</v>
      </c>
      <c r="M5272">
        <v>0.89211459999999998</v>
      </c>
      <c r="N5272">
        <v>-1.494036E-2</v>
      </c>
      <c r="O5272">
        <v>-0.45156249999999998</v>
      </c>
      <c r="P5272">
        <v>0.90167949999999997</v>
      </c>
      <c r="Q5272">
        <v>0.18471899999999999</v>
      </c>
      <c r="R5272">
        <v>-0.39096439999999999</v>
      </c>
      <c r="S5272">
        <v>3.267639</v>
      </c>
      <c r="T5272">
        <v>0.1473489</v>
      </c>
      <c r="U5272">
        <v>-0.1160278</v>
      </c>
      <c r="V5272">
        <v>-6.3677319999999996E-2</v>
      </c>
      <c r="W5272">
        <v>0.19772960000000001</v>
      </c>
      <c r="X5272">
        <v>0.97818620000000001</v>
      </c>
      <c r="Y5272">
        <v>-0.41859249999999998</v>
      </c>
      <c r="Z5272">
        <v>-3.2972349999999997E-2</v>
      </c>
      <c r="AA5272">
        <v>0.90757540000000003</v>
      </c>
      <c r="AB5272">
        <v>27</v>
      </c>
      <c r="AC5272">
        <v>122.6053</v>
      </c>
      <c r="AD5272">
        <v>5.540019</v>
      </c>
      <c r="AE5272">
        <v>-4.2495599999999998</v>
      </c>
      <c r="AF5272">
        <v>-51.4736381575621</v>
      </c>
      <c r="AG5272">
        <v>5.540019</v>
      </c>
      <c r="AH5272">
        <v>111.08279147946</v>
      </c>
      <c r="AI5272">
        <v>87.409088823613402</v>
      </c>
      <c r="AJ5272">
        <v>114.862102991941</v>
      </c>
      <c r="AK5272">
        <v>122.554533978002</v>
      </c>
      <c r="AL5272">
        <v>78.595776690364204</v>
      </c>
      <c r="AM5272">
        <v>93.724547665639406</v>
      </c>
      <c r="AN5272">
        <v>1.00000001883449</v>
      </c>
    </row>
    <row r="5273" spans="1:40" x14ac:dyDescent="0.25">
      <c r="A5273" t="str">
        <f>"20190303171121151"</f>
        <v>20190303171121151</v>
      </c>
      <c r="B5273" t="str">
        <f>"1551604281136103"</f>
        <v>1551604281136103</v>
      </c>
      <c r="C5273" t="s">
        <v>40</v>
      </c>
      <c r="D5273">
        <v>5.4446110000000001</v>
      </c>
      <c r="E5273">
        <v>0.36353049999999998</v>
      </c>
      <c r="F5273" t="s">
        <v>49</v>
      </c>
      <c r="G5273">
        <v>-157.9383</v>
      </c>
      <c r="H5273">
        <v>5.806737</v>
      </c>
      <c r="I5273">
        <v>-70.938670000000002</v>
      </c>
      <c r="J5273">
        <v>-290.82389999999998</v>
      </c>
      <c r="K5273">
        <v>1.132061</v>
      </c>
      <c r="L5273">
        <v>-64.00949</v>
      </c>
      <c r="M5273">
        <v>0.89859809999999996</v>
      </c>
      <c r="N5273">
        <v>-1.493777E-2</v>
      </c>
      <c r="O5273">
        <v>-0.43851830000000003</v>
      </c>
      <c r="P5273">
        <v>0.90757310000000002</v>
      </c>
      <c r="Q5273">
        <v>0.1857297</v>
      </c>
      <c r="R5273">
        <v>-0.37658429999999998</v>
      </c>
      <c r="S5273">
        <v>3.2299500000000001</v>
      </c>
      <c r="T5273">
        <v>0.113424499999999</v>
      </c>
      <c r="U5273">
        <v>-0.17056270000000001</v>
      </c>
      <c r="V5273">
        <v>-6.4903069999999993E-2</v>
      </c>
      <c r="W5273">
        <v>0.19870399999999999</v>
      </c>
      <c r="X5273">
        <v>0.97790809999999995</v>
      </c>
      <c r="Y5273">
        <v>-0.38989180000000001</v>
      </c>
      <c r="Z5273">
        <v>-2.5590479999999999E-2</v>
      </c>
      <c r="AA5273">
        <v>0.92050500000000002</v>
      </c>
      <c r="AB5273">
        <v>27</v>
      </c>
      <c r="AC5273">
        <v>132.88559999999899</v>
      </c>
      <c r="AD5273">
        <v>4.6746759999999998</v>
      </c>
      <c r="AE5273">
        <v>-6.9291799999999997</v>
      </c>
      <c r="AF5273">
        <v>-51.987866763666702</v>
      </c>
      <c r="AG5273">
        <v>4.6746759999999998</v>
      </c>
      <c r="AH5273">
        <v>122.312033406352</v>
      </c>
      <c r="AI5273">
        <v>87.985518640117604</v>
      </c>
      <c r="AJ5273">
        <v>113.02757604959299</v>
      </c>
      <c r="AK5273">
        <v>132.984301337933</v>
      </c>
      <c r="AL5273">
        <v>78.538816942346301</v>
      </c>
      <c r="AM5273">
        <v>93.7971116801899</v>
      </c>
      <c r="AN5273">
        <v>0.99999997007851604</v>
      </c>
    </row>
    <row r="5274" spans="1:40" x14ac:dyDescent="0.25">
      <c r="A5274" t="str">
        <f>"20190303171121173"</f>
        <v>20190303171121173</v>
      </c>
      <c r="B5274" t="str">
        <f>"1551604281166359"</f>
        <v>1551604281166359</v>
      </c>
      <c r="C5274" t="s">
        <v>40</v>
      </c>
      <c r="D5274">
        <v>5.5320929999999997</v>
      </c>
      <c r="E5274">
        <v>0.3663728</v>
      </c>
      <c r="F5274" t="s">
        <v>49</v>
      </c>
      <c r="G5274">
        <v>-157.9383</v>
      </c>
      <c r="H5274">
        <v>5.9852730000000003</v>
      </c>
      <c r="I5274">
        <v>-69.284419999999997</v>
      </c>
      <c r="J5274">
        <v>-290.5865</v>
      </c>
      <c r="K5274">
        <v>1.1320380000000001</v>
      </c>
      <c r="L5274">
        <v>-64.108029999999999</v>
      </c>
      <c r="M5274">
        <v>0.90498659999999997</v>
      </c>
      <c r="N5274">
        <v>-1.493362E-2</v>
      </c>
      <c r="O5274">
        <v>-0.42517769999999999</v>
      </c>
      <c r="P5274">
        <v>0.91394549999999997</v>
      </c>
      <c r="Q5274">
        <v>0.185581</v>
      </c>
      <c r="R5274">
        <v>-0.36092069999999998</v>
      </c>
      <c r="S5274">
        <v>3.22818</v>
      </c>
      <c r="T5274">
        <v>0.11789810000000001</v>
      </c>
      <c r="U5274">
        <v>-0.12814329999999999</v>
      </c>
      <c r="V5274">
        <v>-6.7255999999999996E-2</v>
      </c>
      <c r="W5274">
        <v>0.1984909</v>
      </c>
      <c r="X5274">
        <v>0.97779240000000001</v>
      </c>
      <c r="Y5274">
        <v>-0.3882873</v>
      </c>
      <c r="Z5274">
        <v>-2.5797750000000001E-2</v>
      </c>
      <c r="AA5274">
        <v>0.92117720000000003</v>
      </c>
      <c r="AB5274">
        <v>27</v>
      </c>
      <c r="AC5274">
        <v>132.6482</v>
      </c>
      <c r="AD5274">
        <v>4.8532349999999997</v>
      </c>
      <c r="AE5274">
        <v>-5.1763899999999898</v>
      </c>
      <c r="AF5274">
        <v>-51.651228062429702</v>
      </c>
      <c r="AG5274">
        <v>4.8532349999999997</v>
      </c>
      <c r="AH5274">
        <v>122.096179769144</v>
      </c>
      <c r="AI5274">
        <v>87.903434880484696</v>
      </c>
      <c r="AJ5274">
        <v>112.93017079369299</v>
      </c>
      <c r="AK5274">
        <v>132.66077176219599</v>
      </c>
      <c r="AL5274">
        <v>78.551275076797907</v>
      </c>
      <c r="AM5274">
        <v>93.934807606589402</v>
      </c>
      <c r="AN5274">
        <v>0.99999999220828495</v>
      </c>
    </row>
    <row r="5275" spans="1:40" x14ac:dyDescent="0.25">
      <c r="A5275" t="str">
        <f>"20190303171121196"</f>
        <v>20190303171121196</v>
      </c>
      <c r="B5275" t="str">
        <f>"1551604281185878"</f>
        <v>1551604281185878</v>
      </c>
      <c r="C5275" t="s">
        <v>40</v>
      </c>
      <c r="D5275">
        <v>5.5077990000000003</v>
      </c>
      <c r="E5275">
        <v>0.36727680000000001</v>
      </c>
      <c r="F5275" t="s">
        <v>49</v>
      </c>
      <c r="G5275">
        <v>-168.45060000000001</v>
      </c>
      <c r="H5275">
        <v>5.1987420000000002</v>
      </c>
      <c r="I5275">
        <v>-67.723079999999996</v>
      </c>
      <c r="J5275">
        <v>-290.34089999999998</v>
      </c>
      <c r="K5275">
        <v>1.13201</v>
      </c>
      <c r="L5275">
        <v>-64.205839999999995</v>
      </c>
      <c r="M5275">
        <v>0.91134289999999996</v>
      </c>
      <c r="N5275">
        <v>-1.4928E-2</v>
      </c>
      <c r="O5275">
        <v>-0.41137780000000002</v>
      </c>
      <c r="P5275">
        <v>0.91979440000000001</v>
      </c>
      <c r="Q5275">
        <v>0.18627650000000001</v>
      </c>
      <c r="R5275">
        <v>-0.34536939999999999</v>
      </c>
      <c r="S5275">
        <v>3.2230530000000002</v>
      </c>
      <c r="T5275">
        <v>0.10731590000000001</v>
      </c>
      <c r="U5275">
        <v>-9.5397949999999995E-2</v>
      </c>
      <c r="V5275">
        <v>-6.8928890000000007E-2</v>
      </c>
      <c r="W5275">
        <v>0.1991386</v>
      </c>
      <c r="X5275">
        <v>0.97754419999999997</v>
      </c>
      <c r="Y5275">
        <v>-0.38369009999999998</v>
      </c>
      <c r="Z5275">
        <v>-2.3161330000000001E-2</v>
      </c>
      <c r="AA5275">
        <v>0.92317139999999998</v>
      </c>
      <c r="AB5275">
        <v>27</v>
      </c>
      <c r="AC5275">
        <v>121.890299999999</v>
      </c>
      <c r="AD5275">
        <v>4.066732</v>
      </c>
      <c r="AE5275">
        <v>-3.5172400000000001</v>
      </c>
      <c r="AF5275">
        <v>-46.890619887555303</v>
      </c>
      <c r="AG5275">
        <v>4.066732</v>
      </c>
      <c r="AH5275">
        <v>112.418256794104</v>
      </c>
      <c r="AI5275">
        <v>88.087771537885899</v>
      </c>
      <c r="AJ5275">
        <v>112.641435990402</v>
      </c>
      <c r="AK5275">
        <v>121.87343025952801</v>
      </c>
      <c r="AL5275">
        <v>78.513408980925306</v>
      </c>
      <c r="AM5275">
        <v>94.0333814033322</v>
      </c>
      <c r="AN5275">
        <v>1.0000000184201101</v>
      </c>
    </row>
    <row r="5276" spans="1:40" x14ac:dyDescent="0.25">
      <c r="A5276" t="str">
        <f>"20190303171121219"</f>
        <v>20190303171121219</v>
      </c>
      <c r="B5276" t="str">
        <f>"1551604281206375"</f>
        <v>1551604281206375</v>
      </c>
      <c r="C5276" t="s">
        <v>40</v>
      </c>
      <c r="D5276">
        <v>5.5087929999999998</v>
      </c>
      <c r="E5276">
        <v>0.3795637</v>
      </c>
      <c r="F5276" t="s">
        <v>49</v>
      </c>
      <c r="G5276">
        <v>-168.45060000000001</v>
      </c>
      <c r="H5276">
        <v>5.1082229999999997</v>
      </c>
      <c r="I5276">
        <v>-66.028679999999994</v>
      </c>
      <c r="J5276">
        <v>-290.10309999999998</v>
      </c>
      <c r="K5276">
        <v>1.131982</v>
      </c>
      <c r="L5276">
        <v>-64.296139999999994</v>
      </c>
      <c r="M5276">
        <v>0.91724229999999995</v>
      </c>
      <c r="N5276">
        <v>-1.492023E-2</v>
      </c>
      <c r="O5276">
        <v>-0.39805040000000003</v>
      </c>
      <c r="P5276">
        <v>0.92446419999999996</v>
      </c>
      <c r="Q5276">
        <v>0.18698870000000001</v>
      </c>
      <c r="R5276">
        <v>-0.33226749999999999</v>
      </c>
      <c r="S5276">
        <v>3.2221980000000001</v>
      </c>
      <c r="T5276">
        <v>0.1051116</v>
      </c>
      <c r="U5276">
        <v>-4.8187260000000003E-2</v>
      </c>
      <c r="V5276">
        <v>-6.8507949999999998E-2</v>
      </c>
      <c r="W5276">
        <v>0.1998596</v>
      </c>
      <c r="X5276">
        <v>0.97742660000000003</v>
      </c>
      <c r="Y5276">
        <v>-0.38377830000000002</v>
      </c>
      <c r="Z5276">
        <v>-2.2154170000000001E-2</v>
      </c>
      <c r="AA5276">
        <v>0.92315950000000002</v>
      </c>
      <c r="AB5276">
        <v>27</v>
      </c>
      <c r="AC5276">
        <v>121.65249999999899</v>
      </c>
      <c r="AD5276">
        <v>3.9762409999999999</v>
      </c>
      <c r="AE5276">
        <v>-1.73254</v>
      </c>
      <c r="AF5276">
        <v>-46.789900506964301</v>
      </c>
      <c r="AG5276">
        <v>3.9762409999999999</v>
      </c>
      <c r="AH5276">
        <v>112.167139869774</v>
      </c>
      <c r="AI5276">
        <v>88.126131989254105</v>
      </c>
      <c r="AJ5276">
        <v>112.643186685317</v>
      </c>
      <c r="AK5276">
        <v>121.600051597469</v>
      </c>
      <c r="AL5276">
        <v>78.471250805018997</v>
      </c>
      <c r="AM5276">
        <v>94.009311361359707</v>
      </c>
      <c r="AN5276">
        <v>0.99999997865646095</v>
      </c>
    </row>
    <row r="5277" spans="1:40" x14ac:dyDescent="0.25">
      <c r="A5277" t="str">
        <f>"20190303171121241"</f>
        <v>20190303171121241</v>
      </c>
      <c r="B5277" t="str">
        <f>"1551604281235969"</f>
        <v>1551604281235969</v>
      </c>
      <c r="C5277" t="s">
        <v>40</v>
      </c>
      <c r="D5277">
        <v>5.520702</v>
      </c>
      <c r="E5277">
        <v>0.3870323</v>
      </c>
      <c r="F5277" t="s">
        <v>49</v>
      </c>
      <c r="G5277">
        <v>-168.45060000000001</v>
      </c>
      <c r="H5277">
        <v>2.8317869999999998</v>
      </c>
      <c r="I5277">
        <v>-67.904399999999995</v>
      </c>
      <c r="J5277">
        <v>-289.84410000000003</v>
      </c>
      <c r="K5277">
        <v>1.1319319999999999</v>
      </c>
      <c r="L5277">
        <v>-64.390010000000004</v>
      </c>
      <c r="M5277">
        <v>0.92339269999999996</v>
      </c>
      <c r="N5277">
        <v>-1.490966E-2</v>
      </c>
      <c r="O5277">
        <v>-0.3835673</v>
      </c>
      <c r="P5277">
        <v>0.92938900000000002</v>
      </c>
      <c r="Q5277">
        <v>0.18821499999999999</v>
      </c>
      <c r="R5277">
        <v>-0.31750830000000002</v>
      </c>
      <c r="S5277">
        <v>3.2019350000000002</v>
      </c>
      <c r="T5277">
        <v>4.4738890000000003E-2</v>
      </c>
      <c r="U5277">
        <v>-9.4970700000000005E-2</v>
      </c>
      <c r="V5277">
        <v>-6.8598149999999997E-2</v>
      </c>
      <c r="W5277">
        <v>0.20107839999999999</v>
      </c>
      <c r="X5277">
        <v>0.97717030000000005</v>
      </c>
      <c r="Y5277">
        <v>-0.35590440000000001</v>
      </c>
      <c r="Z5277">
        <v>-1.091483E-2</v>
      </c>
      <c r="AA5277">
        <v>0.93445860000000003</v>
      </c>
      <c r="AB5277">
        <v>27</v>
      </c>
      <c r="AC5277">
        <v>121.3935</v>
      </c>
      <c r="AD5277">
        <v>1.6998549999999999</v>
      </c>
      <c r="AE5277">
        <v>-3.5143899999999899</v>
      </c>
      <c r="AF5277">
        <v>-43.313739196659398</v>
      </c>
      <c r="AG5277">
        <v>1.6998549999999999</v>
      </c>
      <c r="AH5277">
        <v>113.43225052840501</v>
      </c>
      <c r="AI5277">
        <v>89.197927064219897</v>
      </c>
      <c r="AJ5277">
        <v>110.89919537383599</v>
      </c>
      <c r="AK5277">
        <v>121.43247082290701</v>
      </c>
      <c r="AL5277">
        <v>78.399972134705905</v>
      </c>
      <c r="AM5277">
        <v>94.015622443766702</v>
      </c>
      <c r="AN5277">
        <v>1.00000001216603</v>
      </c>
    </row>
    <row r="5278" spans="1:40" x14ac:dyDescent="0.25">
      <c r="A5278" t="str">
        <f>"20190303171121252"</f>
        <v>20190303171121252</v>
      </c>
      <c r="B5278" t="str">
        <f>"1551604281245728"</f>
        <v>1551604281245728</v>
      </c>
      <c r="C5278" t="s">
        <v>40</v>
      </c>
      <c r="D5278">
        <v>5.5563690000000001</v>
      </c>
      <c r="E5278">
        <v>0.38736739999999997</v>
      </c>
      <c r="F5278" t="s">
        <v>49</v>
      </c>
      <c r="G5278">
        <v>-168.45060000000001</v>
      </c>
      <c r="H5278">
        <v>1.3134939999999999</v>
      </c>
      <c r="I5278">
        <v>-68.234579999999994</v>
      </c>
      <c r="J5278">
        <v>-289.72059999999999</v>
      </c>
      <c r="K5278">
        <v>1.13191</v>
      </c>
      <c r="L5278">
        <v>-64.433319999999995</v>
      </c>
      <c r="M5278">
        <v>0.92622910000000003</v>
      </c>
      <c r="N5278">
        <v>-1.490411E-2</v>
      </c>
      <c r="O5278">
        <v>-0.37666640000000001</v>
      </c>
      <c r="P5278">
        <v>0.93164069999999999</v>
      </c>
      <c r="Q5278">
        <v>0.188578</v>
      </c>
      <c r="R5278">
        <v>-0.31061889999999998</v>
      </c>
      <c r="S5278">
        <v>3.1924130000000002</v>
      </c>
      <c r="T5278">
        <v>4.7742130000000002E-3</v>
      </c>
      <c r="U5278">
        <v>-0.10110470000000001</v>
      </c>
      <c r="V5278">
        <v>-6.8509529999999999E-2</v>
      </c>
      <c r="W5278">
        <v>0.20144129999999999</v>
      </c>
      <c r="X5278">
        <v>0.97710169999999996</v>
      </c>
      <c r="Y5278">
        <v>-0.34714929999999999</v>
      </c>
      <c r="Z5278">
        <v>-3.9517700000000003E-3</v>
      </c>
      <c r="AA5278">
        <v>0.93780149999999995</v>
      </c>
      <c r="AB5278">
        <v>27</v>
      </c>
      <c r="AC5278">
        <v>121.269999999999</v>
      </c>
      <c r="AD5278">
        <v>0.181584</v>
      </c>
      <c r="AE5278">
        <v>-3.8012600000000099</v>
      </c>
      <c r="AF5278">
        <v>-42.162084155905802</v>
      </c>
      <c r="AG5278">
        <v>0.181584</v>
      </c>
      <c r="AH5278">
        <v>113.767988432341</v>
      </c>
      <c r="AI5278">
        <v>89.914249979643301</v>
      </c>
      <c r="AJ5278">
        <v>110.334558534236</v>
      </c>
      <c r="AK5278">
        <v>121.329425553161</v>
      </c>
      <c r="AL5278">
        <v>78.378744327666993</v>
      </c>
      <c r="AM5278">
        <v>94.0107323592988</v>
      </c>
      <c r="AN5278">
        <v>0.99999994259469804</v>
      </c>
    </row>
    <row r="5279" spans="1:40" x14ac:dyDescent="0.25">
      <c r="A5279" t="str">
        <f>"20190303171121263"</f>
        <v>20190303171121263</v>
      </c>
      <c r="B5279" t="str">
        <f>"1551604281256464"</f>
        <v>1551604281256464</v>
      </c>
      <c r="C5279" t="s">
        <v>40</v>
      </c>
      <c r="D5279">
        <v>5.5238490000000002</v>
      </c>
      <c r="E5279">
        <v>0.38828889999999999</v>
      </c>
      <c r="F5279" t="s">
        <v>49</v>
      </c>
      <c r="G5279">
        <v>-168.45060000000001</v>
      </c>
      <c r="H5279">
        <v>1.4010039999999999</v>
      </c>
      <c r="I5279">
        <v>-67.480350000000001</v>
      </c>
      <c r="J5279">
        <v>-289.60739999999998</v>
      </c>
      <c r="K5279">
        <v>1.1318839999999999</v>
      </c>
      <c r="L5279">
        <v>-64.471890000000002</v>
      </c>
      <c r="M5279">
        <v>0.92876860000000006</v>
      </c>
      <c r="N5279">
        <v>-1.489882E-2</v>
      </c>
      <c r="O5279">
        <v>-0.37036059999999998</v>
      </c>
      <c r="P5279">
        <v>0.93376429999999999</v>
      </c>
      <c r="Q5279">
        <v>0.18851399999999999</v>
      </c>
      <c r="R5279">
        <v>-0.3042147</v>
      </c>
      <c r="S5279">
        <v>3.1919249999999999</v>
      </c>
      <c r="T5279">
        <v>7.0822239999999998E-3</v>
      </c>
      <c r="U5279">
        <v>-8.0200199999999999E-2</v>
      </c>
      <c r="V5279">
        <v>-6.8566870000000002E-2</v>
      </c>
      <c r="W5279">
        <v>0.20137450000000001</v>
      </c>
      <c r="X5279">
        <v>0.97711150000000002</v>
      </c>
      <c r="Y5279">
        <v>-0.34690369999999998</v>
      </c>
      <c r="Z5279">
        <v>-4.2310259999999997E-3</v>
      </c>
      <c r="AA5279">
        <v>0.93789120000000004</v>
      </c>
      <c r="AB5279">
        <v>27</v>
      </c>
      <c r="AC5279">
        <v>121.156799999999</v>
      </c>
      <c r="AD5279">
        <v>0.26911999999999903</v>
      </c>
      <c r="AE5279">
        <v>-3.0084599999999901</v>
      </c>
      <c r="AF5279">
        <v>-42.082004023449798</v>
      </c>
      <c r="AG5279">
        <v>0.26911999999999903</v>
      </c>
      <c r="AH5279">
        <v>113.65289747782199</v>
      </c>
      <c r="AI5279">
        <v>89.8727703327027</v>
      </c>
      <c r="AJ5279">
        <v>110.317966814299</v>
      </c>
      <c r="AK5279">
        <v>121.19384717595401</v>
      </c>
      <c r="AL5279">
        <v>78.382652366718204</v>
      </c>
      <c r="AM5279">
        <v>94.014038100670902</v>
      </c>
      <c r="AN5279">
        <v>0.99999999417204799</v>
      </c>
    </row>
    <row r="5280" spans="1:40" x14ac:dyDescent="0.25">
      <c r="A5280" t="str">
        <f>"20190303171121274"</f>
        <v>20190303171121274</v>
      </c>
      <c r="B5280" t="str">
        <f>"1551604281266224"</f>
        <v>1551604281266224</v>
      </c>
      <c r="C5280" t="s">
        <v>40</v>
      </c>
      <c r="D5280">
        <v>5.5411070000000002</v>
      </c>
      <c r="E5280">
        <v>0.38828889999999999</v>
      </c>
      <c r="F5280" t="s">
        <v>49</v>
      </c>
      <c r="G5280">
        <v>-168.45060000000001</v>
      </c>
      <c r="H5280">
        <v>1.2835350000000001</v>
      </c>
      <c r="I5280">
        <v>-66.959900000000005</v>
      </c>
      <c r="J5280">
        <v>-289.48570000000001</v>
      </c>
      <c r="K5280">
        <v>1.1318619999999999</v>
      </c>
      <c r="L5280">
        <v>-64.51285</v>
      </c>
      <c r="M5280">
        <v>0.93144700000000002</v>
      </c>
      <c r="N5280">
        <v>-1.489325E-2</v>
      </c>
      <c r="O5280">
        <v>-0.36357210000000001</v>
      </c>
      <c r="P5280">
        <v>0.93608979999999997</v>
      </c>
      <c r="Q5280">
        <v>0.1880397</v>
      </c>
      <c r="R5280">
        <v>-0.29728280000000001</v>
      </c>
      <c r="S5280">
        <v>3.1906430000000001</v>
      </c>
      <c r="T5280">
        <v>3.9931539999999996E-3</v>
      </c>
      <c r="U5280">
        <v>-6.5521239999999994E-2</v>
      </c>
      <c r="V5280">
        <v>-6.8689299999999995E-2</v>
      </c>
      <c r="W5280">
        <v>0.2008972</v>
      </c>
      <c r="X5280">
        <v>0.97720119999999999</v>
      </c>
      <c r="Y5280">
        <v>-0.34436529999999999</v>
      </c>
      <c r="Z5280">
        <v>-3.6126579999999999E-3</v>
      </c>
      <c r="AA5280">
        <v>0.93882880000000002</v>
      </c>
      <c r="AB5280">
        <v>27</v>
      </c>
      <c r="AC5280">
        <v>121.0351</v>
      </c>
      <c r="AD5280">
        <v>0.151672999999999</v>
      </c>
      <c r="AE5280">
        <v>-2.4470499999999999</v>
      </c>
      <c r="AF5280">
        <v>-41.730251042423603</v>
      </c>
      <c r="AG5280">
        <v>0.151672999999999</v>
      </c>
      <c r="AH5280">
        <v>113.63988571078001</v>
      </c>
      <c r="AI5280">
        <v>89.928215399361207</v>
      </c>
      <c r="AJ5280">
        <v>110.16398371131299</v>
      </c>
      <c r="AK5280">
        <v>121.05973930717801</v>
      </c>
      <c r="AL5280">
        <v>78.410570787646407</v>
      </c>
      <c r="AM5280">
        <v>94.020813995002101</v>
      </c>
      <c r="AN5280">
        <v>1.00000004509188</v>
      </c>
    </row>
    <row r="5281" spans="1:40" x14ac:dyDescent="0.25">
      <c r="A5281" t="str">
        <f>"20190303171121285"</f>
        <v>20190303171121285</v>
      </c>
      <c r="B5281" t="str">
        <f>"1551604281275984"</f>
        <v>1551604281275984</v>
      </c>
      <c r="C5281" t="s">
        <v>40</v>
      </c>
      <c r="D5281">
        <v>5.5493350000000001</v>
      </c>
      <c r="E5281">
        <v>0.39493060000000002</v>
      </c>
      <c r="F5281" t="s">
        <v>49</v>
      </c>
      <c r="G5281">
        <v>-168.45060000000001</v>
      </c>
      <c r="H5281">
        <v>1.209789</v>
      </c>
      <c r="I5281">
        <v>-66.109069999999903</v>
      </c>
      <c r="J5281">
        <v>-289.3605</v>
      </c>
      <c r="K5281">
        <v>1.1318330000000001</v>
      </c>
      <c r="L5281">
        <v>-64.553469999999905</v>
      </c>
      <c r="M5281">
        <v>0.93413109999999999</v>
      </c>
      <c r="N5281">
        <v>-1.488664E-2</v>
      </c>
      <c r="O5281">
        <v>-0.35661999999999999</v>
      </c>
      <c r="P5281">
        <v>0.93851799999999996</v>
      </c>
      <c r="Q5281">
        <v>0.18715709999999999</v>
      </c>
      <c r="R5281">
        <v>-0.29009689999999999</v>
      </c>
      <c r="S5281">
        <v>3.1910400000000001</v>
      </c>
      <c r="T5281">
        <v>2.0539759999999999E-3</v>
      </c>
      <c r="U5281">
        <v>-4.2083740000000001E-2</v>
      </c>
      <c r="V5281">
        <v>-6.8923869999999998E-2</v>
      </c>
      <c r="W5281">
        <v>0.2000091</v>
      </c>
      <c r="X5281">
        <v>0.97736679999999998</v>
      </c>
      <c r="Y5281">
        <v>-0.34426709999999999</v>
      </c>
      <c r="Z5281">
        <v>-3.1758469999999999E-3</v>
      </c>
      <c r="AA5281">
        <v>0.93886639999999999</v>
      </c>
      <c r="AB5281">
        <v>27</v>
      </c>
      <c r="AC5281">
        <v>120.90989999999999</v>
      </c>
      <c r="AD5281">
        <v>7.79559999999999E-2</v>
      </c>
      <c r="AE5281">
        <v>-1.5555999999999901</v>
      </c>
      <c r="AF5281">
        <v>-41.6703472022676</v>
      </c>
      <c r="AG5281">
        <v>7.79559999999999E-2</v>
      </c>
      <c r="AH5281">
        <v>113.512967625483</v>
      </c>
      <c r="AI5281">
        <v>89.963061904765297</v>
      </c>
      <c r="AJ5281">
        <v>110.15806903625899</v>
      </c>
      <c r="AK5281">
        <v>120.919881459748</v>
      </c>
      <c r="AL5281">
        <v>78.462508833442698</v>
      </c>
      <c r="AM5281">
        <v>94.033818248816999</v>
      </c>
      <c r="AN5281">
        <v>1.00000000084041</v>
      </c>
    </row>
    <row r="5282" spans="1:40" x14ac:dyDescent="0.25">
      <c r="A5282" t="str">
        <f>"20190303171121296"</f>
        <v>20190303171121296</v>
      </c>
      <c r="B5282" t="str">
        <f>"1551604281285743"</f>
        <v>1551604281285743</v>
      </c>
      <c r="C5282" t="s">
        <v>40</v>
      </c>
      <c r="D5282">
        <v>5.5773910000000004</v>
      </c>
      <c r="E5282">
        <v>0.3957405</v>
      </c>
      <c r="F5282" t="s">
        <v>68</v>
      </c>
      <c r="G5282">
        <v>-179.97970000000001</v>
      </c>
      <c r="H5282">
        <v>1.614672E-2</v>
      </c>
      <c r="I5282">
        <v>-66.905519999999996</v>
      </c>
      <c r="J5282">
        <v>-289.238</v>
      </c>
      <c r="K5282">
        <v>1.131802</v>
      </c>
      <c r="L5282">
        <v>-64.592830000000006</v>
      </c>
      <c r="M5282">
        <v>0.9367008</v>
      </c>
      <c r="N5282">
        <v>-1.4880350000000001E-2</v>
      </c>
      <c r="O5282">
        <v>-0.34981459999999998</v>
      </c>
      <c r="P5282">
        <v>0.94064179999999997</v>
      </c>
      <c r="Q5282">
        <v>0.1868609</v>
      </c>
      <c r="R5282">
        <v>-0.28333059999999899</v>
      </c>
      <c r="S5282">
        <v>3.181854</v>
      </c>
      <c r="T5282">
        <v>-3.245497E-2</v>
      </c>
      <c r="U5282">
        <v>-6.8420410000000001E-2</v>
      </c>
      <c r="V5282">
        <v>-6.8849339999999995E-2</v>
      </c>
      <c r="W5282">
        <v>0.1997138</v>
      </c>
      <c r="X5282">
        <v>0.97743239999999998</v>
      </c>
      <c r="Y5282">
        <v>-0.32958799999999999</v>
      </c>
      <c r="Z5282">
        <v>2.3445760000000001E-3</v>
      </c>
      <c r="AA5282">
        <v>0.94412200000000002</v>
      </c>
      <c r="AB5282">
        <v>27</v>
      </c>
      <c r="AC5282">
        <v>109.25830000000001</v>
      </c>
      <c r="AD5282">
        <v>-1.1156552799999999</v>
      </c>
      <c r="AE5282">
        <v>-2.3126899999999799</v>
      </c>
      <c r="AF5282">
        <v>-36.0540833802715</v>
      </c>
      <c r="AG5282">
        <v>-1.1156552799999999</v>
      </c>
      <c r="AH5282">
        <v>103.15201763049301</v>
      </c>
      <c r="AI5282">
        <v>90.584966665157495</v>
      </c>
      <c r="AJ5282">
        <v>109.265735038564</v>
      </c>
      <c r="AK5282">
        <v>109.277080654348</v>
      </c>
      <c r="AL5282">
        <v>78.479776252188202</v>
      </c>
      <c r="AM5282">
        <v>94.029201158318202</v>
      </c>
      <c r="AN5282">
        <v>0.99999996504931699</v>
      </c>
    </row>
    <row r="5283" spans="1:40" x14ac:dyDescent="0.25">
      <c r="A5283" t="str">
        <f>"20190303171121308"</f>
        <v>20190303171121308</v>
      </c>
      <c r="B5283" t="str">
        <f>"1551604281296480"</f>
        <v>1551604281296480</v>
      </c>
      <c r="C5283" t="s">
        <v>40</v>
      </c>
      <c r="D5283">
        <v>5.549963</v>
      </c>
      <c r="E5283">
        <v>0.39651760000000003</v>
      </c>
      <c r="F5283" t="s">
        <v>68</v>
      </c>
      <c r="G5283">
        <v>-179.94820000000001</v>
      </c>
      <c r="H5283">
        <v>5.9460279999999997E-2</v>
      </c>
      <c r="I5283">
        <v>-66.37379</v>
      </c>
      <c r="J5283">
        <v>-289.10449999999997</v>
      </c>
      <c r="K5283">
        <v>1.131761</v>
      </c>
      <c r="L5283">
        <v>-64.633880000000005</v>
      </c>
      <c r="M5283">
        <v>0.93942130000000001</v>
      </c>
      <c r="N5283">
        <v>-1.487133E-2</v>
      </c>
      <c r="O5283">
        <v>-0.34244219999999997</v>
      </c>
      <c r="P5283">
        <v>0.94276680000000002</v>
      </c>
      <c r="Q5283">
        <v>0.18684419999999999</v>
      </c>
      <c r="R5283">
        <v>-0.27618920000000002</v>
      </c>
      <c r="S5283">
        <v>3.1799010000000001</v>
      </c>
      <c r="T5283">
        <v>-3.1200889999999998E-2</v>
      </c>
      <c r="U5283">
        <v>-5.181885E-2</v>
      </c>
      <c r="V5283">
        <v>-6.8560529999999995E-2</v>
      </c>
      <c r="W5283">
        <v>0.19970209999999999</v>
      </c>
      <c r="X5283">
        <v>0.97745510000000002</v>
      </c>
      <c r="Y5283">
        <v>-0.32708359999999997</v>
      </c>
      <c r="Z5283">
        <v>2.1665120000000002E-3</v>
      </c>
      <c r="AA5283">
        <v>0.94499299999999997</v>
      </c>
      <c r="AB5283">
        <v>27</v>
      </c>
      <c r="AC5283">
        <v>109.15629999999901</v>
      </c>
      <c r="AD5283">
        <v>-1.0723007200000001</v>
      </c>
      <c r="AE5283">
        <v>-1.7399099999999901</v>
      </c>
      <c r="AF5283">
        <v>-35.745716150300403</v>
      </c>
      <c r="AG5283">
        <v>-1.0723007200000001</v>
      </c>
      <c r="AH5283">
        <v>103.141017875947</v>
      </c>
      <c r="AI5283">
        <v>90.562811792753905</v>
      </c>
      <c r="AJ5283">
        <v>109.11484804570399</v>
      </c>
      <c r="AK5283">
        <v>109.164901046162</v>
      </c>
      <c r="AL5283">
        <v>78.480460496362895</v>
      </c>
      <c r="AM5283">
        <v>94.012261861551494</v>
      </c>
      <c r="AN5283">
        <v>0.99999997376715</v>
      </c>
    </row>
    <row r="5284" spans="1:40" x14ac:dyDescent="0.25">
      <c r="A5284" t="str">
        <f>"20190303171121319"</f>
        <v>20190303171121319</v>
      </c>
      <c r="B5284" t="str">
        <f>"1551604281316001"</f>
        <v>1551604281316001</v>
      </c>
      <c r="C5284" t="s">
        <v>40</v>
      </c>
      <c r="D5284">
        <v>5.5858819999999998</v>
      </c>
      <c r="E5284">
        <v>0.3977734</v>
      </c>
      <c r="F5284" t="s">
        <v>68</v>
      </c>
      <c r="G5284">
        <v>-179.95769999999999</v>
      </c>
      <c r="H5284">
        <v>1.4394530000000001E-2</v>
      </c>
      <c r="I5284">
        <v>-65.792850000000001</v>
      </c>
      <c r="J5284">
        <v>-288.97890000000001</v>
      </c>
      <c r="K5284">
        <v>1.1317269999999999</v>
      </c>
      <c r="L5284">
        <v>-64.671970000000002</v>
      </c>
      <c r="M5284">
        <v>0.94192120000000001</v>
      </c>
      <c r="N5284">
        <v>-1.4862739999999999E-2</v>
      </c>
      <c r="O5284">
        <v>-0.33550489999999999</v>
      </c>
      <c r="P5284">
        <v>0.9446002</v>
      </c>
      <c r="Q5284">
        <v>0.18731310000000001</v>
      </c>
      <c r="R5284">
        <v>-0.26952619999999999</v>
      </c>
      <c r="S5284">
        <v>3.1786799999999999</v>
      </c>
      <c r="T5284">
        <v>-3.254104E-2</v>
      </c>
      <c r="U5284">
        <v>-3.3752440000000002E-2</v>
      </c>
      <c r="V5284">
        <v>-6.8214929999999993E-2</v>
      </c>
      <c r="W5284">
        <v>0.2001763</v>
      </c>
      <c r="X5284">
        <v>0.97738230000000004</v>
      </c>
      <c r="Y5284">
        <v>-0.32547659999999901</v>
      </c>
      <c r="Z5284">
        <v>2.4033180000000002E-3</v>
      </c>
      <c r="AA5284">
        <v>0.94554700000000003</v>
      </c>
      <c r="AB5284">
        <v>27</v>
      </c>
      <c r="AC5284">
        <v>109.02119999999999</v>
      </c>
      <c r="AD5284">
        <v>-1.11733247</v>
      </c>
      <c r="AE5284">
        <v>-1.1208799999999901</v>
      </c>
      <c r="AF5284">
        <v>-35.521559732924203</v>
      </c>
      <c r="AG5284">
        <v>-1.11733247</v>
      </c>
      <c r="AH5284">
        <v>103.066001887897</v>
      </c>
      <c r="AI5284">
        <v>90.587220954932903</v>
      </c>
      <c r="AJ5284">
        <v>109.016443409491</v>
      </c>
      <c r="AK5284">
        <v>109.021238219277</v>
      </c>
      <c r="AL5284">
        <v>78.452731167243201</v>
      </c>
      <c r="AM5284">
        <v>93.992398794367304</v>
      </c>
      <c r="AN5284">
        <v>0.999999994054942</v>
      </c>
    </row>
    <row r="5285" spans="1:40" x14ac:dyDescent="0.25">
      <c r="A5285" t="str">
        <f>"20190303171121332"</f>
        <v>20190303171121332</v>
      </c>
      <c r="B5285" t="str">
        <f>"1551604281325759"</f>
        <v>1551604281325759</v>
      </c>
      <c r="C5285" t="s">
        <v>40</v>
      </c>
      <c r="D5285">
        <v>5.6070529999999996</v>
      </c>
      <c r="E5285">
        <v>0.39836709999999997</v>
      </c>
      <c r="F5285" t="s">
        <v>68</v>
      </c>
      <c r="G5285">
        <v>-179.946</v>
      </c>
      <c r="H5285">
        <v>6.164468E-2</v>
      </c>
      <c r="I5285">
        <v>-65.404290000000003</v>
      </c>
      <c r="J5285">
        <v>-288.83940000000001</v>
      </c>
      <c r="K5285">
        <v>1.131683</v>
      </c>
      <c r="L5285">
        <v>-64.712890000000002</v>
      </c>
      <c r="M5285">
        <v>0.94462029999999997</v>
      </c>
      <c r="N5285">
        <v>-1.485218E-2</v>
      </c>
      <c r="O5285">
        <v>-0.3278296</v>
      </c>
      <c r="P5285">
        <v>0.946523</v>
      </c>
      <c r="Q5285">
        <v>0.1882298</v>
      </c>
      <c r="R5285">
        <v>-0.26203920000000003</v>
      </c>
      <c r="S5285">
        <v>3.1760250000000001</v>
      </c>
      <c r="T5285">
        <v>-3.1170489999999999E-2</v>
      </c>
      <c r="U5285">
        <v>-2.133179E-2</v>
      </c>
      <c r="V5285">
        <v>-6.7942310000000006E-2</v>
      </c>
      <c r="W5285">
        <v>0.2010943</v>
      </c>
      <c r="X5285">
        <v>0.97721279999999999</v>
      </c>
      <c r="Y5285">
        <v>-0.32147120000000001</v>
      </c>
      <c r="Z5285">
        <v>2.1959409999999999E-3</v>
      </c>
      <c r="AA5285">
        <v>0.9469168</v>
      </c>
      <c r="AB5285">
        <v>27</v>
      </c>
      <c r="AC5285">
        <v>108.8934</v>
      </c>
      <c r="AD5285">
        <v>-1.0700383200000001</v>
      </c>
      <c r="AE5285">
        <v>-0.69140000000000101</v>
      </c>
      <c r="AF5285">
        <v>-35.045845284216703</v>
      </c>
      <c r="AG5285">
        <v>-1.0700383200000001</v>
      </c>
      <c r="AH5285">
        <v>103.09097774996199</v>
      </c>
      <c r="AI5285">
        <v>90.563040458144499</v>
      </c>
      <c r="AJ5285">
        <v>108.775498825662</v>
      </c>
      <c r="AK5285">
        <v>108.890339089997</v>
      </c>
      <c r="AL5285">
        <v>78.399041589045893</v>
      </c>
      <c r="AM5285">
        <v>93.977182037805903</v>
      </c>
      <c r="AN5285">
        <v>0.99999996573223204</v>
      </c>
    </row>
    <row r="5286" spans="1:40" x14ac:dyDescent="0.25">
      <c r="A5286" t="str">
        <f>"20190303171121344"</f>
        <v>20190303171121344</v>
      </c>
      <c r="B5286" t="str">
        <f>"1551604281336495"</f>
        <v>1551604281336495</v>
      </c>
      <c r="C5286" t="s">
        <v>40</v>
      </c>
      <c r="D5286">
        <v>5.6164249999999996</v>
      </c>
      <c r="E5286">
        <v>0.39836709999999997</v>
      </c>
      <c r="F5286" t="s">
        <v>41</v>
      </c>
      <c r="G5286">
        <v>-155.3194</v>
      </c>
      <c r="H5286">
        <v>-0.05</v>
      </c>
      <c r="I5286">
        <v>-64.756519999999995</v>
      </c>
      <c r="J5286">
        <v>-288.71280000000002</v>
      </c>
      <c r="K5286">
        <v>1.1316469999999901</v>
      </c>
      <c r="L5286">
        <v>-64.748930000000001</v>
      </c>
      <c r="M5286">
        <v>0.94700150000000005</v>
      </c>
      <c r="N5286">
        <v>-1.484219E-2</v>
      </c>
      <c r="O5286">
        <v>-0.32088660000000002</v>
      </c>
      <c r="P5286">
        <v>0.94821449999999996</v>
      </c>
      <c r="Q5286">
        <v>0.18898129999999999</v>
      </c>
      <c r="R5286">
        <v>-0.25529489999999999</v>
      </c>
      <c r="S5286">
        <v>3.1748050000000001</v>
      </c>
      <c r="T5286">
        <v>-2.8097750000000001E-2</v>
      </c>
      <c r="U5286">
        <v>-1.037598E-3</v>
      </c>
      <c r="V5286">
        <v>-6.7674849999999995E-2</v>
      </c>
      <c r="W5286">
        <v>0.20184769999999999</v>
      </c>
      <c r="X5286">
        <v>0.9770761</v>
      </c>
      <c r="Y5286">
        <v>-0.32057390000000002</v>
      </c>
      <c r="Z5286">
        <v>1.7713339999999901E-3</v>
      </c>
      <c r="AA5286">
        <v>0.94722189999999995</v>
      </c>
      <c r="AB5286">
        <v>27</v>
      </c>
      <c r="AC5286">
        <v>133.39340000000001</v>
      </c>
      <c r="AD5286">
        <v>-1.1816469999999999</v>
      </c>
      <c r="AE5286">
        <v>-7.58999999999332E-3</v>
      </c>
      <c r="AF5286">
        <v>-42.798315788917598</v>
      </c>
      <c r="AG5286">
        <v>-1.1816469999999999</v>
      </c>
      <c r="AH5286">
        <v>126.33016716605501</v>
      </c>
      <c r="AI5286">
        <v>90.507573293332797</v>
      </c>
      <c r="AJ5286">
        <v>108.715426259224</v>
      </c>
      <c r="AK5286">
        <v>133.38816761693599</v>
      </c>
      <c r="AL5286">
        <v>78.354972164602998</v>
      </c>
      <c r="AM5286">
        <v>93.962127999715193</v>
      </c>
      <c r="AN5286">
        <v>1.0000000422545099</v>
      </c>
    </row>
    <row r="5287" spans="1:40" x14ac:dyDescent="0.25">
      <c r="A5287" t="str">
        <f>"20190303171121355"</f>
        <v>20190303171121355</v>
      </c>
      <c r="B5287" t="str">
        <f>"1551604281346256"</f>
        <v>1551604281346256</v>
      </c>
      <c r="C5287" t="s">
        <v>40</v>
      </c>
      <c r="D5287">
        <v>5.623615</v>
      </c>
      <c r="E5287">
        <v>0.40540120000000002</v>
      </c>
      <c r="F5287" t="s">
        <v>49</v>
      </c>
      <c r="G5287">
        <v>-157.3501</v>
      </c>
      <c r="H5287">
        <v>8.3972930000000001E-2</v>
      </c>
      <c r="I5287">
        <v>-63.848590000000002</v>
      </c>
      <c r="J5287">
        <v>-288.58249999999998</v>
      </c>
      <c r="K5287">
        <v>1.1316059999999999</v>
      </c>
      <c r="L5287">
        <v>-64.785399999999996</v>
      </c>
      <c r="M5287">
        <v>0.94939099999999998</v>
      </c>
      <c r="N5287">
        <v>-1.4832079999999999E-2</v>
      </c>
      <c r="O5287">
        <v>-0.31374649999999998</v>
      </c>
      <c r="P5287">
        <v>0.94984610000000003</v>
      </c>
      <c r="Q5287">
        <v>0.1895676</v>
      </c>
      <c r="R5287">
        <v>-0.24870970000000001</v>
      </c>
      <c r="S5287">
        <v>3.174744</v>
      </c>
      <c r="T5287">
        <v>-2.5320410000000002E-2</v>
      </c>
      <c r="U5287">
        <v>2.1759029999999999E-2</v>
      </c>
      <c r="V5287">
        <v>-6.7052329999999993E-2</v>
      </c>
      <c r="W5287">
        <v>0.2024454</v>
      </c>
      <c r="X5287">
        <v>0.97699530000000001</v>
      </c>
      <c r="Y5287">
        <v>-0.32024540000000001</v>
      </c>
      <c r="Z5287">
        <v>1.4099539999999999E-3</v>
      </c>
      <c r="AA5287">
        <v>0.9473336</v>
      </c>
      <c r="AB5287">
        <v>27</v>
      </c>
      <c r="AC5287">
        <v>131.23239999999899</v>
      </c>
      <c r="AD5287">
        <v>-1.0476330699999901</v>
      </c>
      <c r="AE5287">
        <v>0.93680999999999404</v>
      </c>
      <c r="AF5287">
        <v>-42.065049367484001</v>
      </c>
      <c r="AG5287">
        <v>-1.0476330699999901</v>
      </c>
      <c r="AH5287">
        <v>124.30268373673201</v>
      </c>
      <c r="AI5287">
        <v>90.457402088716293</v>
      </c>
      <c r="AJ5287">
        <v>108.69624158911</v>
      </c>
      <c r="AK5287">
        <v>131.23156288596201</v>
      </c>
      <c r="AL5287">
        <v>78.320003911019</v>
      </c>
      <c r="AM5287">
        <v>93.926119758337094</v>
      </c>
      <c r="AN5287">
        <v>0.99999998558083902</v>
      </c>
    </row>
    <row r="5288" spans="1:40" x14ac:dyDescent="0.25">
      <c r="A5288" t="str">
        <f>"20190303171121364"</f>
        <v>20190303171121364</v>
      </c>
      <c r="B5288" t="str">
        <f>"1551604281356016"</f>
        <v>1551604281356016</v>
      </c>
      <c r="C5288" t="s">
        <v>40</v>
      </c>
      <c r="D5288">
        <v>5.6526730000000001</v>
      </c>
      <c r="E5288">
        <v>0.40535009999999999</v>
      </c>
      <c r="F5288" t="s">
        <v>68</v>
      </c>
      <c r="G5288">
        <v>-189.9564</v>
      </c>
      <c r="H5288" s="1">
        <v>-9.5733259999999998E-6</v>
      </c>
      <c r="I5288">
        <v>-65.114639999999994</v>
      </c>
      <c r="J5288">
        <v>-288.47449999999998</v>
      </c>
      <c r="K5288">
        <v>1.131572</v>
      </c>
      <c r="L5288">
        <v>-64.814300000000003</v>
      </c>
      <c r="M5288">
        <v>0.95131379999999999</v>
      </c>
      <c r="N5288">
        <v>-1.482281E-2</v>
      </c>
      <c r="O5288">
        <v>-0.30786790000000003</v>
      </c>
      <c r="P5288">
        <v>0.95124850000000005</v>
      </c>
      <c r="Q5288">
        <v>0.1897325</v>
      </c>
      <c r="R5288">
        <v>-0.24316289999999999</v>
      </c>
      <c r="S5288">
        <v>3.1628720000000001</v>
      </c>
      <c r="T5288">
        <v>-3.6290169999999997E-2</v>
      </c>
      <c r="U5288">
        <v>-1.055908E-2</v>
      </c>
      <c r="V5288">
        <v>-6.6684220000000002E-2</v>
      </c>
      <c r="W5288">
        <v>0.20261589999999999</v>
      </c>
      <c r="X5288">
        <v>0.9769852</v>
      </c>
      <c r="Y5288">
        <v>-0.30467719999999998</v>
      </c>
      <c r="Z5288">
        <v>2.8729570000000002E-3</v>
      </c>
      <c r="AA5288">
        <v>0.9524513</v>
      </c>
      <c r="AB5288">
        <v>27</v>
      </c>
      <c r="AC5288">
        <v>98.518099999999905</v>
      </c>
      <c r="AD5288">
        <v>-1.131581573326</v>
      </c>
      <c r="AE5288">
        <v>-0.30034000000000499</v>
      </c>
      <c r="AF5288">
        <v>-30.044175929632601</v>
      </c>
      <c r="AG5288">
        <v>-1.131581573326</v>
      </c>
      <c r="AH5288">
        <v>93.812010304769899</v>
      </c>
      <c r="AI5288">
        <v>90.658155693770794</v>
      </c>
      <c r="AJ5288">
        <v>107.75815136054101</v>
      </c>
      <c r="AK5288">
        <v>98.512061502996005</v>
      </c>
      <c r="AL5288">
        <v>78.310028824787096</v>
      </c>
      <c r="AM5288">
        <v>93.904672884509097</v>
      </c>
      <c r="AN5288">
        <v>1.00000003457442</v>
      </c>
    </row>
    <row r="5289" spans="1:40" x14ac:dyDescent="0.25">
      <c r="A5289" t="str">
        <f>"20190303171121375"</f>
        <v>20190303171121375</v>
      </c>
      <c r="B5289" t="str">
        <f>"1551604281365776"</f>
        <v>1551604281365776</v>
      </c>
      <c r="C5289" t="s">
        <v>40</v>
      </c>
      <c r="D5289">
        <v>5.6399379999999999</v>
      </c>
      <c r="E5289">
        <v>0.405864</v>
      </c>
      <c r="F5289" t="s">
        <v>68</v>
      </c>
      <c r="G5289">
        <v>-175.69720000000001</v>
      </c>
      <c r="H5289">
        <v>7.9986509999999997E-2</v>
      </c>
      <c r="I5289">
        <v>-64.511690000000002</v>
      </c>
      <c r="J5289">
        <v>-288.35719999999998</v>
      </c>
      <c r="K5289">
        <v>1.131529</v>
      </c>
      <c r="L5289">
        <v>-64.845519999999993</v>
      </c>
      <c r="M5289">
        <v>0.95335780000000003</v>
      </c>
      <c r="N5289">
        <v>-1.481322E-2</v>
      </c>
      <c r="O5289">
        <v>-0.301479</v>
      </c>
      <c r="P5289">
        <v>0.9528432</v>
      </c>
      <c r="Q5289">
        <v>0.18948780000000001</v>
      </c>
      <c r="R5289">
        <v>-0.2370324</v>
      </c>
      <c r="S5289">
        <v>3.1617739999999999</v>
      </c>
      <c r="T5289">
        <v>-2.9481770000000001E-2</v>
      </c>
      <c r="U5289">
        <v>8.4838869999999903E-3</v>
      </c>
      <c r="V5289">
        <v>-6.6408999999999996E-2</v>
      </c>
      <c r="W5289">
        <v>0.20237540000000001</v>
      </c>
      <c r="X5289">
        <v>0.97705379999999997</v>
      </c>
      <c r="Y5289">
        <v>-0.30403150000000001</v>
      </c>
      <c r="Z5289">
        <v>1.928471E-3</v>
      </c>
      <c r="AA5289">
        <v>0.95265999999999995</v>
      </c>
      <c r="AB5289">
        <v>27</v>
      </c>
      <c r="AC5289">
        <v>112.659999999999</v>
      </c>
      <c r="AD5289">
        <v>-1.0515424900000001</v>
      </c>
      <c r="AE5289">
        <v>0.33382999999999102</v>
      </c>
      <c r="AF5289">
        <v>-34.283656874651399</v>
      </c>
      <c r="AG5289">
        <v>-1.0515424900000001</v>
      </c>
      <c r="AH5289">
        <v>107.30706742573599</v>
      </c>
      <c r="AI5289">
        <v>90.534814317161306</v>
      </c>
      <c r="AJ5289">
        <v>107.71822018848199</v>
      </c>
      <c r="AK5289">
        <v>112.655588364797</v>
      </c>
      <c r="AL5289">
        <v>78.3241000680854</v>
      </c>
      <c r="AM5289">
        <v>93.888334824489903</v>
      </c>
      <c r="AN5289">
        <v>1.00000004295029</v>
      </c>
    </row>
    <row r="5290" spans="1:40" x14ac:dyDescent="0.25">
      <c r="A5290" t="str">
        <f>"20190303171121386"</f>
        <v>20190303171121386</v>
      </c>
      <c r="B5290" t="str">
        <f>"1551604281376513"</f>
        <v>1551604281376513</v>
      </c>
      <c r="C5290" t="s">
        <v>40</v>
      </c>
      <c r="D5290">
        <v>5.6508620000000001</v>
      </c>
      <c r="E5290">
        <v>0.40594760000000002</v>
      </c>
      <c r="F5290" t="s">
        <v>68</v>
      </c>
      <c r="G5290">
        <v>-179.95769999999999</v>
      </c>
      <c r="H5290">
        <v>2.97416E-2</v>
      </c>
      <c r="I5290">
        <v>-63.985289999999999</v>
      </c>
      <c r="J5290">
        <v>-288.23379999999997</v>
      </c>
      <c r="K5290">
        <v>1.1314850000000001</v>
      </c>
      <c r="L5290">
        <v>-64.876829999999998</v>
      </c>
      <c r="M5290">
        <v>0.9554433</v>
      </c>
      <c r="N5290">
        <v>-1.4802050000000001E-2</v>
      </c>
      <c r="O5290">
        <v>-0.294803599999999</v>
      </c>
      <c r="P5290">
        <v>0.95454589999999995</v>
      </c>
      <c r="Q5290">
        <v>0.18884500000000001</v>
      </c>
      <c r="R5290">
        <v>-0.2306076</v>
      </c>
      <c r="S5290">
        <v>3.1611020000000001</v>
      </c>
      <c r="T5290">
        <v>-3.212988E-2</v>
      </c>
      <c r="U5290">
        <v>2.5085449999999999E-2</v>
      </c>
      <c r="V5290">
        <v>-6.6156049999999994E-2</v>
      </c>
      <c r="W5290">
        <v>0.201737</v>
      </c>
      <c r="X5290">
        <v>0.97720300000000004</v>
      </c>
      <c r="Y5290">
        <v>-0.30236859999999999</v>
      </c>
      <c r="Z5290">
        <v>2.3256169999999999E-3</v>
      </c>
      <c r="AA5290">
        <v>0.95318820000000004</v>
      </c>
      <c r="AB5290">
        <v>27</v>
      </c>
      <c r="AC5290">
        <v>108.2761</v>
      </c>
      <c r="AD5290">
        <v>-1.1017433999999999</v>
      </c>
      <c r="AE5290">
        <v>0.891539999999999</v>
      </c>
      <c r="AF5290">
        <v>-32.772195193710303</v>
      </c>
      <c r="AG5290">
        <v>-1.1017433999999999</v>
      </c>
      <c r="AH5290">
        <v>103.189459717948</v>
      </c>
      <c r="AI5290">
        <v>90.583023062066403</v>
      </c>
      <c r="AJ5290">
        <v>107.619456036627</v>
      </c>
      <c r="AK5290">
        <v>108.274166878421</v>
      </c>
      <c r="AL5290">
        <v>78.361448373512303</v>
      </c>
      <c r="AM5290">
        <v>93.872979821922698</v>
      </c>
      <c r="AN5290">
        <v>1.0000000716647901</v>
      </c>
    </row>
    <row r="5291" spans="1:40" x14ac:dyDescent="0.25">
      <c r="A5291" t="str">
        <f>"20190303171121397"</f>
        <v>20190303171121397</v>
      </c>
      <c r="B5291" t="str">
        <f>"1551604281386272"</f>
        <v>1551604281386272</v>
      </c>
      <c r="C5291" t="s">
        <v>40</v>
      </c>
      <c r="D5291">
        <v>5.6487579999999999</v>
      </c>
      <c r="E5291">
        <v>0.40654560000000001</v>
      </c>
      <c r="F5291" t="s">
        <v>68</v>
      </c>
      <c r="G5291">
        <v>-181.11510000000001</v>
      </c>
      <c r="H5291" s="1">
        <v>-9.2834020000000004E-6</v>
      </c>
      <c r="I5291">
        <v>-63.319159999999997</v>
      </c>
      <c r="J5291">
        <v>-288.11149999999998</v>
      </c>
      <c r="K5291">
        <v>1.1314409999999999</v>
      </c>
      <c r="L5291">
        <v>-64.907650000000004</v>
      </c>
      <c r="M5291">
        <v>0.95746200000000004</v>
      </c>
      <c r="N5291">
        <v>-1.479139E-2</v>
      </c>
      <c r="O5291">
        <v>-0.2881803</v>
      </c>
      <c r="P5291">
        <v>0.95613459999999995</v>
      </c>
      <c r="Q5291">
        <v>0.18802559999999999</v>
      </c>
      <c r="R5291">
        <v>-0.22461780000000001</v>
      </c>
      <c r="S5291">
        <v>3.1605219999999998</v>
      </c>
      <c r="T5291">
        <v>-3.3384560000000001E-2</v>
      </c>
      <c r="U5291">
        <v>4.5959470000000002E-2</v>
      </c>
      <c r="V5291">
        <v>-6.551941E-2</v>
      </c>
      <c r="W5291">
        <v>0.20093220000000001</v>
      </c>
      <c r="X5291">
        <v>0.97741160000000005</v>
      </c>
      <c r="Y5291">
        <v>-0.30206250000000001</v>
      </c>
      <c r="Z5291">
        <v>2.5353630000000001E-3</v>
      </c>
      <c r="AA5291">
        <v>0.95328469999999998</v>
      </c>
      <c r="AB5291">
        <v>27</v>
      </c>
      <c r="AC5291">
        <v>106.996399999999</v>
      </c>
      <c r="AD5291">
        <v>-1.1314502834019999</v>
      </c>
      <c r="AE5291">
        <v>1.58849</v>
      </c>
      <c r="AF5291">
        <v>-32.355093743006798</v>
      </c>
      <c r="AG5291">
        <v>-1.1314502834019999</v>
      </c>
      <c r="AH5291">
        <v>101.98696432455</v>
      </c>
      <c r="AI5291">
        <v>90.605861631097795</v>
      </c>
      <c r="AJ5291">
        <v>107.6014919654</v>
      </c>
      <c r="AK5291">
        <v>107.00221101920999</v>
      </c>
      <c r="AL5291">
        <v>78.408523032805803</v>
      </c>
      <c r="AM5291">
        <v>93.835004549358601</v>
      </c>
      <c r="AN5291">
        <v>0.99999998894907305</v>
      </c>
    </row>
    <row r="5292" spans="1:40" x14ac:dyDescent="0.25">
      <c r="A5292" t="str">
        <f>"20190303171121409"</f>
        <v>20190303171121409</v>
      </c>
      <c r="B5292" t="str">
        <f>"1551604281396033"</f>
        <v>1551604281396033</v>
      </c>
      <c r="C5292" t="s">
        <v>40</v>
      </c>
      <c r="D5292">
        <v>5.9840260000000001</v>
      </c>
      <c r="E5292">
        <v>0.40706209999999998</v>
      </c>
      <c r="F5292" t="s">
        <v>68</v>
      </c>
      <c r="G5292">
        <v>-198.34049999999999</v>
      </c>
      <c r="H5292" s="1">
        <v>-6.5448670000000004E-6</v>
      </c>
      <c r="I5292">
        <v>-63.1736</v>
      </c>
      <c r="J5292">
        <v>-287.98390000000001</v>
      </c>
      <c r="K5292">
        <v>1.1313949999999999</v>
      </c>
      <c r="L5292">
        <v>-64.938230000000004</v>
      </c>
      <c r="M5292">
        <v>0.95950029999999997</v>
      </c>
      <c r="N5292">
        <v>-1.477931E-2</v>
      </c>
      <c r="O5292">
        <v>-0.28132030000000002</v>
      </c>
      <c r="P5292">
        <v>0.95770739999999999</v>
      </c>
      <c r="Q5292">
        <v>0.18748229999999999</v>
      </c>
      <c r="R5292">
        <v>-0.21828239999999999</v>
      </c>
      <c r="S5292">
        <v>3.1597599999999999</v>
      </c>
      <c r="T5292">
        <v>-3.9824720000000001E-2</v>
      </c>
      <c r="U5292">
        <v>6.1035159999999998E-2</v>
      </c>
      <c r="V5292">
        <v>-6.4987879999999998E-2</v>
      </c>
      <c r="W5292">
        <v>0.20039870000000001</v>
      </c>
      <c r="X5292">
        <v>0.9775566</v>
      </c>
      <c r="Y5292">
        <v>-0.29977989999999999</v>
      </c>
      <c r="Z5292">
        <v>3.418174E-3</v>
      </c>
      <c r="AA5292">
        <v>0.95400229999999997</v>
      </c>
      <c r="AB5292">
        <v>26</v>
      </c>
      <c r="AC5292">
        <v>89.6434</v>
      </c>
      <c r="AD5292">
        <v>-1.1314015448670001</v>
      </c>
      <c r="AE5292">
        <v>1.7646299999999999</v>
      </c>
      <c r="AF5292">
        <v>-26.9103209293737</v>
      </c>
      <c r="AG5292">
        <v>-1.1314015448670001</v>
      </c>
      <c r="AH5292">
        <v>85.512152250515797</v>
      </c>
      <c r="AI5292">
        <v>90.723074494418597</v>
      </c>
      <c r="AJ5292">
        <v>107.468573398563</v>
      </c>
      <c r="AK5292">
        <v>89.653631407171801</v>
      </c>
      <c r="AL5292">
        <v>78.439724937082403</v>
      </c>
      <c r="AM5292">
        <v>93.803421984475094</v>
      </c>
      <c r="AN5292">
        <v>0.999999984856072</v>
      </c>
    </row>
    <row r="5293" spans="1:40" x14ac:dyDescent="0.25">
      <c r="A5293" t="str">
        <f>"20190303171121420"</f>
        <v>20190303171121420</v>
      </c>
      <c r="B5293" t="str">
        <f>"1551604281416529"</f>
        <v>1551604281416529</v>
      </c>
      <c r="C5293" t="s">
        <v>40</v>
      </c>
      <c r="D5293">
        <v>5.6800160000000002</v>
      </c>
      <c r="E5293">
        <v>0.4075976</v>
      </c>
      <c r="F5293" t="s">
        <v>102</v>
      </c>
      <c r="G5293">
        <v>-212.0651</v>
      </c>
      <c r="H5293" s="1">
        <v>-5.6924669999999903E-7</v>
      </c>
      <c r="I5293">
        <v>-63.06823</v>
      </c>
      <c r="J5293">
        <v>-287.85669999999999</v>
      </c>
      <c r="K5293">
        <v>1.131351</v>
      </c>
      <c r="L5293">
        <v>-64.968170000000001</v>
      </c>
      <c r="M5293">
        <v>0.96147760000000004</v>
      </c>
      <c r="N5293">
        <v>-1.4767580000000001E-2</v>
      </c>
      <c r="O5293">
        <v>-0.27448650000000002</v>
      </c>
      <c r="P5293">
        <v>0.95915629999999996</v>
      </c>
      <c r="Q5293">
        <v>0.18712190000000001</v>
      </c>
      <c r="R5293">
        <v>-0.21214240000000001</v>
      </c>
      <c r="S5293">
        <v>3.159424</v>
      </c>
      <c r="T5293">
        <v>-4.7083970000000003E-2</v>
      </c>
      <c r="U5293">
        <v>7.7819819999999998E-2</v>
      </c>
      <c r="V5293">
        <v>-6.4281660000000004E-2</v>
      </c>
      <c r="W5293">
        <v>0.20005249999999999</v>
      </c>
      <c r="X5293">
        <v>0.97767420000000005</v>
      </c>
      <c r="Y5293">
        <v>-0.29804619999999998</v>
      </c>
      <c r="Z5293">
        <v>4.38558E-3</v>
      </c>
      <c r="AA5293">
        <v>0.95454139999999998</v>
      </c>
      <c r="AB5293">
        <v>26</v>
      </c>
      <c r="AC5293">
        <v>75.791599999999903</v>
      </c>
      <c r="AD5293">
        <v>-1.1313515692467</v>
      </c>
      <c r="AE5293">
        <v>1.89993999999999</v>
      </c>
      <c r="AF5293">
        <v>-22.627948956789901</v>
      </c>
      <c r="AG5293">
        <v>-1.1313515692467</v>
      </c>
      <c r="AH5293">
        <v>72.342195644259206</v>
      </c>
      <c r="AI5293">
        <v>90.855120224382901</v>
      </c>
      <c r="AJ5293">
        <v>107.369185116815</v>
      </c>
      <c r="AK5293">
        <v>75.8069739601614</v>
      </c>
      <c r="AL5293">
        <v>78.459970753353204</v>
      </c>
      <c r="AM5293">
        <v>93.761758501471704</v>
      </c>
      <c r="AN5293">
        <v>0.99999998795712197</v>
      </c>
    </row>
    <row r="5294" spans="1:40" x14ac:dyDescent="0.25">
      <c r="A5294" t="str">
        <f>"20190303171121431"</f>
        <v>20190303171121431</v>
      </c>
      <c r="B5294" t="str">
        <f>"1551604281426288"</f>
        <v>1551604281426288</v>
      </c>
      <c r="C5294" t="s">
        <v>40</v>
      </c>
      <c r="D5294">
        <v>5.6988120000000002</v>
      </c>
      <c r="E5294">
        <v>0.41475859999999898</v>
      </c>
      <c r="F5294" t="s">
        <v>103</v>
      </c>
      <c r="G5294">
        <v>-220.31569999999999</v>
      </c>
      <c r="H5294" s="1">
        <v>1.74860499999999E-7</v>
      </c>
      <c r="I5294">
        <v>-62.954560000000001</v>
      </c>
      <c r="J5294">
        <v>-287.72820000000002</v>
      </c>
      <c r="K5294">
        <v>1.1313029999999999</v>
      </c>
      <c r="L5294">
        <v>-64.997309999999999</v>
      </c>
      <c r="M5294">
        <v>0.9634142</v>
      </c>
      <c r="N5294">
        <v>-1.475545E-2</v>
      </c>
      <c r="O5294">
        <v>-0.26761079999999998</v>
      </c>
      <c r="P5294">
        <v>0.96036429999999995</v>
      </c>
      <c r="Q5294">
        <v>0.18734980000000001</v>
      </c>
      <c r="R5294">
        <v>-0.20639879999999999</v>
      </c>
      <c r="S5294">
        <v>3.1589049999999999</v>
      </c>
      <c r="T5294">
        <v>-5.2913429999999997E-2</v>
      </c>
      <c r="U5294">
        <v>9.4177250000000004E-2</v>
      </c>
      <c r="V5294">
        <v>-6.3116999999999895E-2</v>
      </c>
      <c r="W5294">
        <v>0.20030439999999999</v>
      </c>
      <c r="X5294">
        <v>0.97769850000000003</v>
      </c>
      <c r="Y5294">
        <v>-0.29615669999999999</v>
      </c>
      <c r="Z5294">
        <v>5.1289259999999998E-3</v>
      </c>
      <c r="AA5294">
        <v>0.95512560000000002</v>
      </c>
      <c r="AB5294">
        <v>26</v>
      </c>
      <c r="AC5294">
        <v>67.412499999999994</v>
      </c>
      <c r="AD5294">
        <v>-1.1313028251395001</v>
      </c>
      <c r="AE5294">
        <v>2.0427499999999901</v>
      </c>
      <c r="AF5294">
        <v>-20.0048752844794</v>
      </c>
      <c r="AG5294">
        <v>-1.1313028251395001</v>
      </c>
      <c r="AH5294">
        <v>64.388386658057499</v>
      </c>
      <c r="AI5294">
        <v>90.961265159706301</v>
      </c>
      <c r="AJ5294">
        <v>107.259535599415</v>
      </c>
      <c r="AK5294">
        <v>67.433961900938797</v>
      </c>
      <c r="AL5294">
        <v>78.445239720939497</v>
      </c>
      <c r="AM5294">
        <v>93.693701546472994</v>
      </c>
      <c r="AN5294">
        <v>0.99999998262530398</v>
      </c>
    </row>
    <row r="5295" spans="1:40" x14ac:dyDescent="0.25">
      <c r="A5295" t="str">
        <f>"20190303171121442"</f>
        <v>20190303171121442</v>
      </c>
      <c r="B5295" t="str">
        <f>"1551604281436048"</f>
        <v>1551604281436048</v>
      </c>
      <c r="C5295" t="s">
        <v>40</v>
      </c>
      <c r="D5295">
        <v>5.7065390000000003</v>
      </c>
      <c r="E5295">
        <v>0.415296</v>
      </c>
      <c r="F5295" t="s">
        <v>104</v>
      </c>
      <c r="G5295">
        <v>-247.4854</v>
      </c>
      <c r="H5295" s="1">
        <v>-3.107812E-6</v>
      </c>
      <c r="I5295">
        <v>-64.253460000000004</v>
      </c>
      <c r="J5295">
        <v>-287.59879999999998</v>
      </c>
      <c r="K5295">
        <v>1.131259</v>
      </c>
      <c r="L5295">
        <v>-65.025729999999996</v>
      </c>
      <c r="M5295">
        <v>0.96530490000000002</v>
      </c>
      <c r="N5295">
        <v>-1.474342E-2</v>
      </c>
      <c r="O5295">
        <v>-0.26070949999999998</v>
      </c>
      <c r="P5295">
        <v>0.96172559999999996</v>
      </c>
      <c r="Q5295">
        <v>0.1870223</v>
      </c>
      <c r="R5295">
        <v>-0.20026669999999999</v>
      </c>
      <c r="S5295">
        <v>3.1536559999999998</v>
      </c>
      <c r="T5295">
        <v>-8.8655590000000006E-2</v>
      </c>
      <c r="U5295">
        <v>5.8288569999999998E-2</v>
      </c>
      <c r="V5295">
        <v>-6.2343429999999998E-2</v>
      </c>
      <c r="W5295">
        <v>0.19999140000000001</v>
      </c>
      <c r="X5295">
        <v>0.97781220000000002</v>
      </c>
      <c r="Y5295">
        <v>-0.27834550000000002</v>
      </c>
      <c r="Z5295">
        <v>9.3562550000000008E-3</v>
      </c>
      <c r="AA5295">
        <v>0.9604355</v>
      </c>
      <c r="AB5295">
        <v>26</v>
      </c>
      <c r="AC5295">
        <v>40.113399999999899</v>
      </c>
      <c r="AD5295">
        <v>-1.131262107812</v>
      </c>
      <c r="AE5295">
        <v>0.77227000000000601</v>
      </c>
      <c r="AF5295">
        <v>-11.1957352701994</v>
      </c>
      <c r="AG5295">
        <v>-1.131262107812</v>
      </c>
      <c r="AH5295">
        <v>38.493899691729403</v>
      </c>
      <c r="AI5295">
        <v>91.616388807975895</v>
      </c>
      <c r="AJ5295">
        <v>106.216776473053</v>
      </c>
      <c r="AK5295">
        <v>40.104919345061496</v>
      </c>
      <c r="AL5295">
        <v>78.463543647838307</v>
      </c>
      <c r="AM5295">
        <v>93.648131000116607</v>
      </c>
      <c r="AN5295">
        <v>0.99999998090348197</v>
      </c>
    </row>
    <row r="5296" spans="1:40" x14ac:dyDescent="0.25">
      <c r="A5296" t="str">
        <f>"20190303171121453"</f>
        <v>20190303171121453</v>
      </c>
      <c r="B5296" t="str">
        <f>"1551604281445808"</f>
        <v>1551604281445808</v>
      </c>
      <c r="C5296" t="s">
        <v>40</v>
      </c>
      <c r="D5296">
        <v>5.6821159999999997</v>
      </c>
      <c r="E5296">
        <v>0.41606330000000002</v>
      </c>
      <c r="F5296" t="s">
        <v>104</v>
      </c>
      <c r="G5296">
        <v>-247.98570000000001</v>
      </c>
      <c r="H5296" s="1">
        <v>-3.2491419999999998E-6</v>
      </c>
      <c r="I5296">
        <v>-64.090350000000001</v>
      </c>
      <c r="J5296">
        <v>-287.47469999999998</v>
      </c>
      <c r="K5296">
        <v>1.13122099999999</v>
      </c>
      <c r="L5296">
        <v>-65.052279999999996</v>
      </c>
      <c r="M5296">
        <v>0.96706559999999997</v>
      </c>
      <c r="N5296">
        <v>-1.4732159999999999E-2</v>
      </c>
      <c r="O5296">
        <v>-0.25410060000000001</v>
      </c>
      <c r="P5296">
        <v>0.96300819999999998</v>
      </c>
      <c r="Q5296">
        <v>0.18680379999999999</v>
      </c>
      <c r="R5296">
        <v>-0.19421459999999999</v>
      </c>
      <c r="S5296">
        <v>3.152374</v>
      </c>
      <c r="T5296">
        <v>-9.002483E-2</v>
      </c>
      <c r="U5296">
        <v>7.4432369999999998E-2</v>
      </c>
      <c r="V5296">
        <v>-6.1788450000000002E-2</v>
      </c>
      <c r="W5296">
        <v>0.1997825</v>
      </c>
      <c r="X5296">
        <v>0.97789009999999998</v>
      </c>
      <c r="Y5296">
        <v>-0.27669470000000002</v>
      </c>
      <c r="Z5296">
        <v>9.4164959999999999E-3</v>
      </c>
      <c r="AA5296">
        <v>0.96091179999999998</v>
      </c>
      <c r="AB5296">
        <v>26</v>
      </c>
      <c r="AC5296">
        <v>39.488999999999898</v>
      </c>
      <c r="AD5296">
        <v>-1.1312242491419899</v>
      </c>
      <c r="AE5296">
        <v>0.96193000000000894</v>
      </c>
      <c r="AF5296">
        <v>-10.956631934812799</v>
      </c>
      <c r="AG5296">
        <v>-1.1312242491419899</v>
      </c>
      <c r="AH5296">
        <v>37.917047029598798</v>
      </c>
      <c r="AI5296">
        <v>91.641736846846101</v>
      </c>
      <c r="AJ5296">
        <v>106.117348867153</v>
      </c>
      <c r="AK5296">
        <v>39.484552765627399</v>
      </c>
      <c r="AL5296">
        <v>78.475758943129705</v>
      </c>
      <c r="AM5296">
        <v>93.615454676359704</v>
      </c>
      <c r="AN5296">
        <v>0.99999995376883</v>
      </c>
    </row>
    <row r="5297" spans="1:40" x14ac:dyDescent="0.25">
      <c r="A5297" t="str">
        <f>"20190303171121464"</f>
        <v>20190303171121464</v>
      </c>
      <c r="B5297" t="str">
        <f>"1551604281456544"</f>
        <v>1551604281456544</v>
      </c>
      <c r="C5297" t="s">
        <v>40</v>
      </c>
      <c r="D5297">
        <v>5.7110379999999896</v>
      </c>
      <c r="E5297">
        <v>0.41670790000000002</v>
      </c>
      <c r="F5297" t="s">
        <v>104</v>
      </c>
      <c r="G5297">
        <v>-249.81030000000001</v>
      </c>
      <c r="H5297" s="1">
        <v>-3.8528800000000003E-6</v>
      </c>
      <c r="I5297">
        <v>-63.993419999999901</v>
      </c>
      <c r="J5297">
        <v>-287.35449999999997</v>
      </c>
      <c r="K5297">
        <v>1.131184</v>
      </c>
      <c r="L5297">
        <v>-65.076840000000004</v>
      </c>
      <c r="M5297">
        <v>0.96871549999999995</v>
      </c>
      <c r="N5297">
        <v>-1.472095E-2</v>
      </c>
      <c r="O5297">
        <v>-0.24773729999999999</v>
      </c>
      <c r="P5297">
        <v>0.96415779999999995</v>
      </c>
      <c r="Q5297">
        <v>0.18680060000000001</v>
      </c>
      <c r="R5297">
        <v>-0.18842970000000001</v>
      </c>
      <c r="S5297">
        <v>3.1514890000000002</v>
      </c>
      <c r="T5297">
        <v>-9.4653009999999996E-2</v>
      </c>
      <c r="U5297">
        <v>8.8592530000000003E-2</v>
      </c>
      <c r="V5297">
        <v>-6.1209710000000001E-2</v>
      </c>
      <c r="W5297">
        <v>0.1997881</v>
      </c>
      <c r="X5297">
        <v>0.97792539999999994</v>
      </c>
      <c r="Y5297">
        <v>-0.27467940000000002</v>
      </c>
      <c r="Z5297">
        <v>9.8595079999999995E-3</v>
      </c>
      <c r="AA5297">
        <v>0.96148529999999999</v>
      </c>
      <c r="AB5297">
        <v>26</v>
      </c>
      <c r="AC5297">
        <v>37.544199999999897</v>
      </c>
      <c r="AD5297">
        <v>-1.1311878528799999</v>
      </c>
      <c r="AE5297">
        <v>1.08342000000001</v>
      </c>
      <c r="AF5297">
        <v>-10.342364328073501</v>
      </c>
      <c r="AG5297">
        <v>-1.1311878528799999</v>
      </c>
      <c r="AH5297">
        <v>36.072434883052203</v>
      </c>
      <c r="AI5297">
        <v>91.726616976068101</v>
      </c>
      <c r="AJ5297">
        <v>105.99818017018799</v>
      </c>
      <c r="AK5297">
        <v>37.542837455966897</v>
      </c>
      <c r="AL5297">
        <v>78.475432033751702</v>
      </c>
      <c r="AM5297">
        <v>93.581550226068003</v>
      </c>
      <c r="AN5297">
        <v>1.00000000073252</v>
      </c>
    </row>
    <row r="5298" spans="1:40" x14ac:dyDescent="0.25">
      <c r="A5298" t="str">
        <f>"20190303171121475"</f>
        <v>20190303171121475</v>
      </c>
      <c r="B5298" t="str">
        <f>"1551604281466304"</f>
        <v>1551604281466304</v>
      </c>
      <c r="C5298" t="s">
        <v>40</v>
      </c>
      <c r="D5298">
        <v>5.7043470000000003</v>
      </c>
      <c r="E5298">
        <v>0.41722700000000001</v>
      </c>
      <c r="F5298" t="s">
        <v>105</v>
      </c>
      <c r="G5298">
        <v>-250.14250000000001</v>
      </c>
      <c r="H5298" s="1">
        <v>2.8142040000000001E-8</v>
      </c>
      <c r="I5298">
        <v>-63.866990000000001</v>
      </c>
      <c r="J5298">
        <v>-287.22640000000001</v>
      </c>
      <c r="K5298">
        <v>1.1311420000000001</v>
      </c>
      <c r="L5298">
        <v>-65.102599999999995</v>
      </c>
      <c r="M5298">
        <v>0.97042479999999998</v>
      </c>
      <c r="N5298">
        <v>-1.470934E-2</v>
      </c>
      <c r="O5298">
        <v>-0.24095549999999999</v>
      </c>
      <c r="P5298">
        <v>0.96542640000000002</v>
      </c>
      <c r="Q5298">
        <v>0.18642210000000001</v>
      </c>
      <c r="R5298">
        <v>-0.18220600000000001</v>
      </c>
      <c r="S5298">
        <v>3.1500849999999998</v>
      </c>
      <c r="T5298">
        <v>-9.5757369999999994E-2</v>
      </c>
      <c r="U5298">
        <v>0.10241699999999999</v>
      </c>
      <c r="V5298">
        <v>-6.0664580000000003E-2</v>
      </c>
      <c r="W5298">
        <v>0.1994185</v>
      </c>
      <c r="X5298">
        <v>0.97803479999999998</v>
      </c>
      <c r="Y5298">
        <v>-0.27217809999999998</v>
      </c>
      <c r="Z5298">
        <v>9.8452220000000007E-3</v>
      </c>
      <c r="AA5298">
        <v>0.96219650000000001</v>
      </c>
      <c r="AB5298">
        <v>26</v>
      </c>
      <c r="AC5298">
        <v>37.0839</v>
      </c>
      <c r="AD5298">
        <v>-1.1311419718579501</v>
      </c>
      <c r="AE5298">
        <v>1.2356099999999901</v>
      </c>
      <c r="AF5298">
        <v>-10.126320810056001</v>
      </c>
      <c r="AG5298">
        <v>-1.1311419718579501</v>
      </c>
      <c r="AH5298">
        <v>35.6601261449878</v>
      </c>
      <c r="AI5298">
        <v>91.747761237163601</v>
      </c>
      <c r="AJ5298">
        <v>105.852829142324</v>
      </c>
      <c r="AK5298">
        <v>37.087281539432297</v>
      </c>
      <c r="AL5298">
        <v>78.497043433037902</v>
      </c>
      <c r="AM5298">
        <v>93.549339031539901</v>
      </c>
      <c r="AN5298">
        <v>0.99999999970993303</v>
      </c>
    </row>
    <row r="5299" spans="1:40" x14ac:dyDescent="0.25">
      <c r="A5299" t="str">
        <f>"20190303171121486"</f>
        <v>20190303171121486</v>
      </c>
      <c r="B5299" t="str">
        <f>"1551604281476065"</f>
        <v>1551604281476065</v>
      </c>
      <c r="C5299" t="s">
        <v>40</v>
      </c>
      <c r="D5299">
        <v>5.7191839999999896</v>
      </c>
      <c r="E5299">
        <v>0.41722700000000001</v>
      </c>
      <c r="F5299" t="s">
        <v>104</v>
      </c>
      <c r="G5299">
        <v>-249.76169999999999</v>
      </c>
      <c r="H5299" s="1">
        <v>-3.7828099999999999E-6</v>
      </c>
      <c r="I5299">
        <v>-63.691609999999997</v>
      </c>
      <c r="J5299">
        <v>-287.09800000000001</v>
      </c>
      <c r="K5299">
        <v>1.1310979999999999</v>
      </c>
      <c r="L5299">
        <v>-65.126949999999994</v>
      </c>
      <c r="M5299">
        <v>0.97207670000000002</v>
      </c>
      <c r="N5299">
        <v>-1.4696849999999999E-2</v>
      </c>
      <c r="O5299">
        <v>-0.23420270000000001</v>
      </c>
      <c r="P5299">
        <v>0.96653900000000004</v>
      </c>
      <c r="Q5299">
        <v>0.18641769999999999</v>
      </c>
      <c r="R5299">
        <v>-0.17621239999999999</v>
      </c>
      <c r="S5299">
        <v>3.1481629999999998</v>
      </c>
      <c r="T5299">
        <v>-9.5050330000000002E-2</v>
      </c>
      <c r="U5299">
        <v>0.11856079999999999</v>
      </c>
      <c r="V5299">
        <v>-5.9910350000000001E-2</v>
      </c>
      <c r="W5299">
        <v>0.19942650000000001</v>
      </c>
      <c r="X5299">
        <v>0.9780797</v>
      </c>
      <c r="Y5299">
        <v>-0.27043970000000001</v>
      </c>
      <c r="Z5299">
        <v>9.6328909999999993E-3</v>
      </c>
      <c r="AA5299">
        <v>0.96268869999999895</v>
      </c>
      <c r="AB5299">
        <v>26</v>
      </c>
      <c r="AC5299">
        <v>37.336300000000001</v>
      </c>
      <c r="AD5299">
        <v>-1.1311017828099901</v>
      </c>
      <c r="AE5299">
        <v>1.4353399999999901</v>
      </c>
      <c r="AF5299">
        <v>-10.131333345551599</v>
      </c>
      <c r="AG5299">
        <v>-1.1311017828099901</v>
      </c>
      <c r="AH5299">
        <v>35.928544555638098</v>
      </c>
      <c r="AI5299">
        <v>91.735550745483906</v>
      </c>
      <c r="AJ5299">
        <v>105.747689321189</v>
      </c>
      <c r="AK5299">
        <v>37.346802011527501</v>
      </c>
      <c r="AL5299">
        <v>78.496576132158097</v>
      </c>
      <c r="AM5299">
        <v>93.505161048261598</v>
      </c>
      <c r="AN5299">
        <v>1.00000003924573</v>
      </c>
    </row>
    <row r="5300" spans="1:40" x14ac:dyDescent="0.25">
      <c r="A5300" t="str">
        <f>"20190303171121498"</f>
        <v>20190303171121498</v>
      </c>
      <c r="B5300" t="str">
        <f>"1551604281485825"</f>
        <v>1551604281485825</v>
      </c>
      <c r="C5300" t="s">
        <v>40</v>
      </c>
      <c r="D5300">
        <v>5.6657229999999998</v>
      </c>
      <c r="E5300">
        <v>0.40131810000000001</v>
      </c>
      <c r="F5300" t="s">
        <v>104</v>
      </c>
      <c r="G5300">
        <v>-249.6429</v>
      </c>
      <c r="H5300" s="1">
        <v>-3.7053899999999999E-6</v>
      </c>
      <c r="I5300">
        <v>-63.483170000000001</v>
      </c>
      <c r="J5300">
        <v>-286.97239999999999</v>
      </c>
      <c r="K5300">
        <v>1.1310559999999901</v>
      </c>
      <c r="L5300">
        <v>-65.150419999999997</v>
      </c>
      <c r="M5300">
        <v>0.97364539999999999</v>
      </c>
      <c r="N5300">
        <v>-1.468494E-2</v>
      </c>
      <c r="O5300">
        <v>-0.2275944</v>
      </c>
      <c r="P5300">
        <v>0.96758540000000004</v>
      </c>
      <c r="Q5300">
        <v>0.18612100000000001</v>
      </c>
      <c r="R5300">
        <v>-0.17069819999999999</v>
      </c>
      <c r="S5300">
        <v>3.1473689999999999</v>
      </c>
      <c r="T5300">
        <v>-9.5047000000000006E-2</v>
      </c>
      <c r="U5300">
        <v>0.13812260000000001</v>
      </c>
      <c r="V5300">
        <v>-5.8826530000000002E-2</v>
      </c>
      <c r="W5300">
        <v>0.1991512</v>
      </c>
      <c r="X5300">
        <v>0.97820149999999995</v>
      </c>
      <c r="Y5300">
        <v>-0.26988390000000001</v>
      </c>
      <c r="Z5300">
        <v>9.5282419999999993E-3</v>
      </c>
      <c r="AA5300">
        <v>0.96284570000000003</v>
      </c>
      <c r="AB5300">
        <v>26</v>
      </c>
      <c r="AC5300">
        <v>37.329500000000003</v>
      </c>
      <c r="AD5300">
        <v>-1.13105970538999</v>
      </c>
      <c r="AE5300">
        <v>1.6672499999999999</v>
      </c>
      <c r="AF5300">
        <v>-10.1111215509271</v>
      </c>
      <c r="AG5300">
        <v>-1.13105970538999</v>
      </c>
      <c r="AH5300">
        <v>35.937187337794001</v>
      </c>
      <c r="AI5300">
        <v>91.735354314218696</v>
      </c>
      <c r="AJ5300">
        <v>105.714233727147</v>
      </c>
      <c r="AK5300">
        <v>37.349638670628103</v>
      </c>
      <c r="AL5300">
        <v>78.512671709554496</v>
      </c>
      <c r="AM5300">
        <v>93.441476548248104</v>
      </c>
      <c r="AN5300">
        <v>0.99999996784776402</v>
      </c>
    </row>
    <row r="5301" spans="1:40" x14ac:dyDescent="0.25">
      <c r="A5301" t="str">
        <f>"20190303171121509"</f>
        <v>20190303171121509</v>
      </c>
      <c r="B5301" t="str">
        <f>"1551604281506320"</f>
        <v>1551604281506320</v>
      </c>
      <c r="C5301" t="s">
        <v>40</v>
      </c>
      <c r="D5301">
        <v>5.6544030000000003</v>
      </c>
      <c r="E5301">
        <v>0.40115849999999997</v>
      </c>
      <c r="F5301" t="s">
        <v>49</v>
      </c>
      <c r="G5301">
        <v>-157.9383</v>
      </c>
      <c r="H5301">
        <v>0.1825735</v>
      </c>
      <c r="I5301">
        <v>-53.711370000000002</v>
      </c>
      <c r="J5301">
        <v>-286.84109999999998</v>
      </c>
      <c r="K5301">
        <v>1.131011</v>
      </c>
      <c r="L5301">
        <v>-65.173519999999996</v>
      </c>
      <c r="M5301">
        <v>0.97522339999999996</v>
      </c>
      <c r="N5301">
        <v>-1.467163E-2</v>
      </c>
      <c r="O5301">
        <v>-0.2207363</v>
      </c>
      <c r="P5301">
        <v>0.96871980000000002</v>
      </c>
      <c r="Q5301">
        <v>0.1860164</v>
      </c>
      <c r="R5301">
        <v>-0.16425699999999999</v>
      </c>
      <c r="S5301">
        <v>3.1542970000000001</v>
      </c>
      <c r="T5301">
        <v>-2.3186559999999998E-2</v>
      </c>
      <c r="U5301">
        <v>0.27963259999999901</v>
      </c>
      <c r="V5301">
        <v>-5.842849E-2</v>
      </c>
      <c r="W5301">
        <v>0.19904939999999999</v>
      </c>
      <c r="X5301">
        <v>0.97824610000000001</v>
      </c>
      <c r="Y5301">
        <v>-0.30599399999999999</v>
      </c>
      <c r="Z5301">
        <v>1.740258E-3</v>
      </c>
      <c r="AA5301">
        <v>0.95203190000000004</v>
      </c>
      <c r="AB5301">
        <v>26</v>
      </c>
      <c r="AC5301">
        <v>128.90279999999899</v>
      </c>
      <c r="AD5301">
        <v>-0.94843750000000004</v>
      </c>
      <c r="AE5301">
        <v>11.462149999999999</v>
      </c>
      <c r="AF5301">
        <v>-39.633812456547602</v>
      </c>
      <c r="AG5301">
        <v>-0.94843750000000004</v>
      </c>
      <c r="AH5301">
        <v>123.185529662278</v>
      </c>
      <c r="AI5301">
        <v>90.419927517360193</v>
      </c>
      <c r="AJ5301">
        <v>107.8351023004</v>
      </c>
      <c r="AK5301">
        <v>129.40793384374899</v>
      </c>
      <c r="AL5301">
        <v>78.5186238643671</v>
      </c>
      <c r="AM5301">
        <v>93.418090293702505</v>
      </c>
      <c r="AN5301">
        <v>0.99999999212462498</v>
      </c>
    </row>
    <row r="5302" spans="1:40" x14ac:dyDescent="0.25">
      <c r="A5302" t="str">
        <f>"20190303171121521"</f>
        <v>20190303171121521</v>
      </c>
      <c r="B5302" t="str">
        <f>"1551604281516080"</f>
        <v>1551604281516080</v>
      </c>
      <c r="C5302" t="s">
        <v>40</v>
      </c>
      <c r="D5302">
        <v>5.6585970000000003</v>
      </c>
      <c r="E5302">
        <v>0.40108830000000001</v>
      </c>
      <c r="F5302" t="s">
        <v>49</v>
      </c>
      <c r="G5302">
        <v>-157.9383</v>
      </c>
      <c r="H5302">
        <v>0.40037410000000001</v>
      </c>
      <c r="I5302">
        <v>-52.827210000000001</v>
      </c>
      <c r="J5302">
        <v>-286.69760000000002</v>
      </c>
      <c r="K5302">
        <v>1.13096</v>
      </c>
      <c r="L5302">
        <v>-65.198030000000003</v>
      </c>
      <c r="M5302">
        <v>0.9768869</v>
      </c>
      <c r="N5302">
        <v>-1.4657119999999999E-2</v>
      </c>
      <c r="O5302">
        <v>-0.2132539</v>
      </c>
      <c r="P5302">
        <v>0.96987199999999996</v>
      </c>
      <c r="Q5302">
        <v>0.1855144</v>
      </c>
      <c r="R5302">
        <v>-0.15790219999999999</v>
      </c>
      <c r="S5302">
        <v>3.1514890000000002</v>
      </c>
      <c r="T5302">
        <v>-1.7863509999999999E-2</v>
      </c>
      <c r="U5302">
        <v>0.30184939999999999</v>
      </c>
      <c r="V5302">
        <v>-5.7324439999999997E-2</v>
      </c>
      <c r="W5302">
        <v>0.19856850000000001</v>
      </c>
      <c r="X5302">
        <v>0.97840919999999998</v>
      </c>
      <c r="Y5302">
        <v>-0.30542950000000002</v>
      </c>
      <c r="Z5302">
        <v>1.180417E-3</v>
      </c>
      <c r="AA5302">
        <v>0.95221389999999995</v>
      </c>
      <c r="AB5302">
        <v>26</v>
      </c>
      <c r="AC5302">
        <v>128.7593</v>
      </c>
      <c r="AD5302">
        <v>-0.73058589999999901</v>
      </c>
      <c r="AE5302">
        <v>12.37082</v>
      </c>
      <c r="AF5302">
        <v>-39.5463001677698</v>
      </c>
      <c r="AG5302">
        <v>-0.73058589999999901</v>
      </c>
      <c r="AH5302">
        <v>123.154444526242</v>
      </c>
      <c r="AI5302">
        <v>90.323615487224203</v>
      </c>
      <c r="AJ5302">
        <v>107.802418235263</v>
      </c>
      <c r="AK5302">
        <v>129.35014812238799</v>
      </c>
      <c r="AL5302">
        <v>78.546739315403599</v>
      </c>
      <c r="AM5302">
        <v>93.353093978908603</v>
      </c>
      <c r="AN5302">
        <v>1.0000000516291001</v>
      </c>
    </row>
    <row r="5303" spans="1:40" x14ac:dyDescent="0.25">
      <c r="A5303" t="str">
        <f>"20190303171121533"</f>
        <v>20190303171121533</v>
      </c>
      <c r="B5303" t="str">
        <f>"1551604281525841"</f>
        <v>1551604281525841</v>
      </c>
      <c r="C5303" t="s">
        <v>40</v>
      </c>
      <c r="D5303">
        <v>5.7015940000000001</v>
      </c>
      <c r="E5303">
        <v>0.40107470000000001</v>
      </c>
      <c r="F5303" t="s">
        <v>49</v>
      </c>
      <c r="G5303">
        <v>-157.9383</v>
      </c>
      <c r="H5303">
        <v>0.55250480000000002</v>
      </c>
      <c r="I5303">
        <v>-51.963039999999999</v>
      </c>
      <c r="J5303">
        <v>-286.56330000000003</v>
      </c>
      <c r="K5303">
        <v>1.1309089999999999</v>
      </c>
      <c r="L5303">
        <v>-65.220029999999994</v>
      </c>
      <c r="M5303">
        <v>0.97838429999999998</v>
      </c>
      <c r="N5303">
        <v>-1.4643440000000001E-2</v>
      </c>
      <c r="O5303">
        <v>-0.20627570000000001</v>
      </c>
      <c r="P5303">
        <v>0.97086280000000003</v>
      </c>
      <c r="Q5303">
        <v>0.1849016</v>
      </c>
      <c r="R5303">
        <v>-0.152436299999999</v>
      </c>
      <c r="S5303">
        <v>3.14859</v>
      </c>
      <c r="T5303">
        <v>-1.4145609999999999E-2</v>
      </c>
      <c r="U5303">
        <v>0.32363890000000001</v>
      </c>
      <c r="V5303">
        <v>-5.5834880000000003E-2</v>
      </c>
      <c r="W5303">
        <v>0.1979862</v>
      </c>
      <c r="X5303">
        <v>0.97861330000000002</v>
      </c>
      <c r="Y5303">
        <v>-0.30524370000000001</v>
      </c>
      <c r="Z5303">
        <v>8.2529019999999997E-4</v>
      </c>
      <c r="AA5303">
        <v>0.95227390000000001</v>
      </c>
      <c r="AB5303">
        <v>26</v>
      </c>
      <c r="AC5303">
        <v>128.625</v>
      </c>
      <c r="AD5303">
        <v>-0.57840419999999904</v>
      </c>
      <c r="AE5303">
        <v>13.25699</v>
      </c>
      <c r="AF5303">
        <v>-39.506089603632297</v>
      </c>
      <c r="AG5303">
        <v>-0.57840419999999904</v>
      </c>
      <c r="AH5303">
        <v>123.120827687009</v>
      </c>
      <c r="AI5303">
        <v>90.256294879286699</v>
      </c>
      <c r="AJ5303">
        <v>107.79000793383599</v>
      </c>
      <c r="AK5303">
        <v>129.305080633063</v>
      </c>
      <c r="AL5303">
        <v>78.580778211886198</v>
      </c>
      <c r="AM5303">
        <v>93.265476167058296</v>
      </c>
      <c r="AN5303">
        <v>1.0000000300759699</v>
      </c>
    </row>
    <row r="5304" spans="1:40" x14ac:dyDescent="0.25">
      <c r="A5304" t="str">
        <f>"20190303171121545"</f>
        <v>20190303171121545</v>
      </c>
      <c r="B5304" t="str">
        <f>"1551604281535600"</f>
        <v>1551604281535600</v>
      </c>
      <c r="C5304" t="s">
        <v>40</v>
      </c>
      <c r="D5304">
        <v>5.694782</v>
      </c>
      <c r="E5304">
        <v>0.40130169999999998</v>
      </c>
      <c r="F5304" t="s">
        <v>49</v>
      </c>
      <c r="G5304">
        <v>-157.3501</v>
      </c>
      <c r="H5304">
        <v>0.70303289999999996</v>
      </c>
      <c r="I5304">
        <v>-51.179029999999997</v>
      </c>
      <c r="J5304">
        <v>-286.43709999999999</v>
      </c>
      <c r="K5304">
        <v>1.130857</v>
      </c>
      <c r="L5304">
        <v>-65.239559999999997</v>
      </c>
      <c r="M5304">
        <v>0.97973659999999996</v>
      </c>
      <c r="N5304">
        <v>-1.463019E-2</v>
      </c>
      <c r="O5304">
        <v>-0.19975570000000001</v>
      </c>
      <c r="P5304">
        <v>0.97186159999999999</v>
      </c>
      <c r="Q5304">
        <v>0.18396390000000001</v>
      </c>
      <c r="R5304">
        <v>-0.14711459999999901</v>
      </c>
      <c r="S5304">
        <v>3.1456909999999998</v>
      </c>
      <c r="T5304">
        <v>-1.04171E-2</v>
      </c>
      <c r="U5304">
        <v>0.3418274</v>
      </c>
      <c r="V5304">
        <v>-5.4667779999999999E-2</v>
      </c>
      <c r="W5304">
        <v>0.19707230000000001</v>
      </c>
      <c r="X5304">
        <v>0.97886359999999994</v>
      </c>
      <c r="Y5304">
        <v>-0.30443819999999999</v>
      </c>
      <c r="Z5304">
        <v>4.7325939999999999E-4</v>
      </c>
      <c r="AA5304">
        <v>0.95253189999999999</v>
      </c>
      <c r="AB5304">
        <v>26</v>
      </c>
      <c r="AC5304">
        <v>129.08699999999999</v>
      </c>
      <c r="AD5304">
        <v>-0.42782409999999899</v>
      </c>
      <c r="AE5304">
        <v>14.0605299999999</v>
      </c>
      <c r="AF5304">
        <v>-39.565281295424398</v>
      </c>
      <c r="AG5304">
        <v>-0.42782409999999899</v>
      </c>
      <c r="AH5304">
        <v>123.674469992534</v>
      </c>
      <c r="AI5304">
        <v>90.188776268845103</v>
      </c>
      <c r="AJ5304">
        <v>107.74023829953001</v>
      </c>
      <c r="AK5304">
        <v>129.84979416764901</v>
      </c>
      <c r="AL5304">
        <v>78.634192944773801</v>
      </c>
      <c r="AM5304">
        <v>93.196546125716907</v>
      </c>
      <c r="AN5304">
        <v>1.0000000025011799</v>
      </c>
    </row>
    <row r="5305" spans="1:40" x14ac:dyDescent="0.25">
      <c r="A5305" t="str">
        <f>"20190303171121556"</f>
        <v>20190303171121556</v>
      </c>
      <c r="B5305" t="str">
        <f>"1551604281546336"</f>
        <v>1551604281546336</v>
      </c>
      <c r="C5305" t="s">
        <v>40</v>
      </c>
      <c r="D5305">
        <v>5.6667969999999999</v>
      </c>
      <c r="E5305">
        <v>0.40191270000000001</v>
      </c>
      <c r="F5305" t="s">
        <v>49</v>
      </c>
      <c r="G5305">
        <v>-157.3501</v>
      </c>
      <c r="H5305">
        <v>0.73128149999999903</v>
      </c>
      <c r="I5305">
        <v>-50.556440000000002</v>
      </c>
      <c r="J5305">
        <v>-286.30489999999998</v>
      </c>
      <c r="K5305">
        <v>1.130806</v>
      </c>
      <c r="L5305">
        <v>-65.259640000000005</v>
      </c>
      <c r="M5305">
        <v>0.98110410000000003</v>
      </c>
      <c r="N5305">
        <v>-1.461672E-2</v>
      </c>
      <c r="O5305">
        <v>-0.1929284</v>
      </c>
      <c r="P5305">
        <v>0.97292259999999997</v>
      </c>
      <c r="Q5305">
        <v>0.18303440000000001</v>
      </c>
      <c r="R5305">
        <v>-0.1411396</v>
      </c>
      <c r="S5305">
        <v>3.1428219999999998</v>
      </c>
      <c r="T5305">
        <v>-9.7287889999999998E-3</v>
      </c>
      <c r="U5305">
        <v>0.35748289999999999</v>
      </c>
      <c r="V5305">
        <v>-5.3853060000000001E-2</v>
      </c>
      <c r="W5305">
        <v>0.19615730000000001</v>
      </c>
      <c r="X5305">
        <v>0.97909250000000003</v>
      </c>
      <c r="Y5305">
        <v>-0.30258559999999901</v>
      </c>
      <c r="Z5305">
        <v>4.6287379999999999E-4</v>
      </c>
      <c r="AA5305">
        <v>0.95312209999999997</v>
      </c>
      <c r="AB5305">
        <v>26</v>
      </c>
      <c r="AC5305">
        <v>128.95479999999901</v>
      </c>
      <c r="AD5305">
        <v>-0.3995245</v>
      </c>
      <c r="AE5305">
        <v>14.703200000000001</v>
      </c>
      <c r="AF5305">
        <v>-39.308234582770297</v>
      </c>
      <c r="AG5305">
        <v>-0.3995245</v>
      </c>
      <c r="AH5305">
        <v>123.69344361020499</v>
      </c>
      <c r="AI5305">
        <v>90.176370734365506</v>
      </c>
      <c r="AJ5305">
        <v>107.629607963392</v>
      </c>
      <c r="AK5305">
        <v>129.789694960698</v>
      </c>
      <c r="AL5305">
        <v>78.687662016149801</v>
      </c>
      <c r="AM5305">
        <v>93.148269523460002</v>
      </c>
      <c r="AN5305">
        <v>0.99999998098545095</v>
      </c>
    </row>
    <row r="5306" spans="1:40" x14ac:dyDescent="0.25">
      <c r="A5306" t="str">
        <f>"20190303171121565"</f>
        <v>20190303171121565</v>
      </c>
      <c r="B5306" t="str">
        <f>"1551604281556096"</f>
        <v>1551604281556096</v>
      </c>
      <c r="C5306" t="s">
        <v>40</v>
      </c>
      <c r="D5306">
        <v>5.9625370000000002</v>
      </c>
      <c r="E5306">
        <v>0.40253070000000002</v>
      </c>
      <c r="F5306" t="s">
        <v>49</v>
      </c>
      <c r="G5306">
        <v>-157.3501</v>
      </c>
      <c r="H5306">
        <v>0.55419609999999997</v>
      </c>
      <c r="I5306">
        <v>-49.988439999999997</v>
      </c>
      <c r="J5306">
        <v>-286.19240000000002</v>
      </c>
      <c r="K5306">
        <v>1.13076</v>
      </c>
      <c r="L5306">
        <v>-65.275359999999907</v>
      </c>
      <c r="M5306">
        <v>0.98221780000000003</v>
      </c>
      <c r="N5306">
        <v>-1.4604290000000001E-2</v>
      </c>
      <c r="O5306">
        <v>-0.18717610000000001</v>
      </c>
      <c r="P5306">
        <v>0.97382100000000005</v>
      </c>
      <c r="Q5306">
        <v>0.1819606</v>
      </c>
      <c r="R5306">
        <v>-0.136245899999999</v>
      </c>
      <c r="S5306">
        <v>3.1400760000000001</v>
      </c>
      <c r="T5306">
        <v>-1.4041069999999999E-2</v>
      </c>
      <c r="U5306">
        <v>0.37185669999999998</v>
      </c>
      <c r="V5306">
        <v>-5.3026900000000002E-2</v>
      </c>
      <c r="W5306">
        <v>0.19509960000000001</v>
      </c>
      <c r="X5306">
        <v>0.97934889999999997</v>
      </c>
      <c r="Y5306">
        <v>-0.30139749999999998</v>
      </c>
      <c r="Z5306">
        <v>9.839886999999999E-4</v>
      </c>
      <c r="AA5306">
        <v>0.95349810000000002</v>
      </c>
      <c r="AB5306">
        <v>26</v>
      </c>
      <c r="AC5306">
        <v>128.84229999999999</v>
      </c>
      <c r="AD5306">
        <v>-0.57656390000000002</v>
      </c>
      <c r="AE5306">
        <v>15.286919999999901</v>
      </c>
      <c r="AF5306">
        <v>-39.134685395238002</v>
      </c>
      <c r="AG5306">
        <v>-0.57656390000000002</v>
      </c>
      <c r="AH5306">
        <v>123.700605330869</v>
      </c>
      <c r="AI5306">
        <v>90.254613701912007</v>
      </c>
      <c r="AJ5306">
        <v>107.555608821023</v>
      </c>
      <c r="AK5306">
        <v>129.74473317302099</v>
      </c>
      <c r="AL5306">
        <v>78.749457847412501</v>
      </c>
      <c r="AM5306">
        <v>93.099256810341302</v>
      </c>
      <c r="AN5306">
        <v>0.99999998698748904</v>
      </c>
    </row>
    <row r="5307" spans="1:40" x14ac:dyDescent="0.25">
      <c r="A5307" t="str">
        <f>"20190303171121575"</f>
        <v>20190303171121575</v>
      </c>
      <c r="B5307" t="str">
        <f>"1551604281565857"</f>
        <v>1551604281565857</v>
      </c>
      <c r="C5307" t="s">
        <v>40</v>
      </c>
      <c r="D5307">
        <v>5.7010759999999996</v>
      </c>
      <c r="E5307">
        <v>0.40295130000000001</v>
      </c>
      <c r="F5307" t="s">
        <v>49</v>
      </c>
      <c r="G5307">
        <v>-157.3501</v>
      </c>
      <c r="H5307">
        <v>0.28389259999999999</v>
      </c>
      <c r="I5307">
        <v>-49.554099999999998</v>
      </c>
      <c r="J5307">
        <v>-286.08139999999997</v>
      </c>
      <c r="K5307">
        <v>1.130708</v>
      </c>
      <c r="L5307">
        <v>-65.290890000000005</v>
      </c>
      <c r="M5307">
        <v>0.98328479999999996</v>
      </c>
      <c r="N5307">
        <v>-1.459266E-2</v>
      </c>
      <c r="O5307">
        <v>-0.18148900000000001</v>
      </c>
      <c r="P5307">
        <v>0.97462689999999996</v>
      </c>
      <c r="Q5307">
        <v>0.18135019999999999</v>
      </c>
      <c r="R5307">
        <v>-0.13120479999999901</v>
      </c>
      <c r="S5307">
        <v>3.1380620000000001</v>
      </c>
      <c r="T5307">
        <v>-2.0626660000000002E-2</v>
      </c>
      <c r="U5307">
        <v>0.38290410000000002</v>
      </c>
      <c r="V5307">
        <v>-5.2410749999999999E-2</v>
      </c>
      <c r="W5307">
        <v>0.19449949999999999</v>
      </c>
      <c r="X5307">
        <v>0.97950139999999997</v>
      </c>
      <c r="Y5307">
        <v>-0.29925499999999999</v>
      </c>
      <c r="Z5307">
        <v>1.715872E-3</v>
      </c>
      <c r="AA5307">
        <v>0.95417160000000001</v>
      </c>
      <c r="AB5307">
        <v>26</v>
      </c>
      <c r="AC5307">
        <v>128.73129999999901</v>
      </c>
      <c r="AD5307">
        <v>-0.8468154</v>
      </c>
      <c r="AE5307">
        <v>15.736789999999999</v>
      </c>
      <c r="AF5307">
        <v>-38.839537240436897</v>
      </c>
      <c r="AG5307">
        <v>-0.8468154</v>
      </c>
      <c r="AH5307">
        <v>123.73136387034</v>
      </c>
      <c r="AI5307">
        <v>90.374126567102806</v>
      </c>
      <c r="AJ5307">
        <v>107.427183579912</v>
      </c>
      <c r="AK5307">
        <v>129.68684264252701</v>
      </c>
      <c r="AL5307">
        <v>78.784512364388902</v>
      </c>
      <c r="AM5307">
        <v>93.062837731750705</v>
      </c>
      <c r="AN5307">
        <v>0.99999996740888497</v>
      </c>
    </row>
    <row r="5308" spans="1:40" x14ac:dyDescent="0.25">
      <c r="A5308" t="str">
        <f>"20190303171121587"</f>
        <v>20190303171121587</v>
      </c>
      <c r="B5308" t="str">
        <f>"1551604281575617"</f>
        <v>1551604281575617</v>
      </c>
      <c r="C5308" t="s">
        <v>40</v>
      </c>
      <c r="D5308">
        <v>5.7210489999999998</v>
      </c>
      <c r="E5308">
        <v>0.40295130000000001</v>
      </c>
      <c r="F5308" t="s">
        <v>49</v>
      </c>
      <c r="G5308">
        <v>-157.3501</v>
      </c>
      <c r="H5308">
        <v>6.2400339999999999E-2</v>
      </c>
      <c r="I5308">
        <v>-49.060110000000002</v>
      </c>
      <c r="J5308">
        <v>-285.95359999999999</v>
      </c>
      <c r="K5308">
        <v>1.1306510000000001</v>
      </c>
      <c r="L5308">
        <v>-65.307339999999996</v>
      </c>
      <c r="M5308">
        <v>0.98445990000000005</v>
      </c>
      <c r="N5308">
        <v>-1.4577339999999999E-2</v>
      </c>
      <c r="O5308">
        <v>-0.1750033</v>
      </c>
      <c r="P5308">
        <v>0.97542320000000005</v>
      </c>
      <c r="Q5308">
        <v>0.1809925</v>
      </c>
      <c r="R5308">
        <v>-0.12566379999999999</v>
      </c>
      <c r="S5308">
        <v>3.1361690000000002</v>
      </c>
      <c r="T5308">
        <v>-2.6026730000000001E-2</v>
      </c>
      <c r="U5308">
        <v>0.3954163</v>
      </c>
      <c r="V5308">
        <v>-5.1495119999999998E-2</v>
      </c>
      <c r="W5308">
        <v>0.19415569999999999</v>
      </c>
      <c r="X5308">
        <v>0.97961819999999999</v>
      </c>
      <c r="Y5308">
        <v>-0.29677750000000003</v>
      </c>
      <c r="Z5308">
        <v>2.2993219999999999E-3</v>
      </c>
      <c r="AA5308">
        <v>0.95494389999999996</v>
      </c>
      <c r="AB5308">
        <v>26</v>
      </c>
      <c r="AC5308">
        <v>128.6035</v>
      </c>
      <c r="AD5308">
        <v>-1.0682506599999999</v>
      </c>
      <c r="AE5308">
        <v>16.247229999999998</v>
      </c>
      <c r="AF5308">
        <v>-38.502260771375802</v>
      </c>
      <c r="AG5308">
        <v>-1.0682506599999999</v>
      </c>
      <c r="AH5308">
        <v>123.76641920954999</v>
      </c>
      <c r="AI5308">
        <v>90.472198074616799</v>
      </c>
      <c r="AJ5308">
        <v>107.280296517766</v>
      </c>
      <c r="AK5308">
        <v>129.62133994035699</v>
      </c>
      <c r="AL5308">
        <v>78.804593841742999</v>
      </c>
      <c r="AM5308">
        <v>93.009070202979998</v>
      </c>
      <c r="AN5308">
        <v>1.0000000004987699</v>
      </c>
    </row>
    <row r="5309" spans="1:40" x14ac:dyDescent="0.25">
      <c r="A5309" t="str">
        <f>"20190303171121599"</f>
        <v>20190303171121599</v>
      </c>
      <c r="B5309" t="str">
        <f>"1551604281586353"</f>
        <v>1551604281586353</v>
      </c>
      <c r="C5309" t="s">
        <v>40</v>
      </c>
      <c r="D5309">
        <v>5.6581739999999998</v>
      </c>
      <c r="E5309">
        <v>0.40970760000000001</v>
      </c>
      <c r="F5309" t="s">
        <v>41</v>
      </c>
      <c r="G5309">
        <v>-151.27080000000001</v>
      </c>
      <c r="H5309">
        <v>-0.05</v>
      </c>
      <c r="I5309">
        <v>-47.555889999999998</v>
      </c>
      <c r="J5309">
        <v>-285.82409999999999</v>
      </c>
      <c r="K5309">
        <v>1.130592</v>
      </c>
      <c r="L5309">
        <v>-65.323700000000002</v>
      </c>
      <c r="M5309">
        <v>0.98560429999999999</v>
      </c>
      <c r="N5309">
        <v>-1.4562139999999999E-2</v>
      </c>
      <c r="O5309">
        <v>-0.16844029999999999</v>
      </c>
      <c r="P5309">
        <v>0.97612889999999997</v>
      </c>
      <c r="Q5309">
        <v>0.18085580000000001</v>
      </c>
      <c r="R5309">
        <v>-0.1202645</v>
      </c>
      <c r="S5309">
        <v>3.1339109999999999</v>
      </c>
      <c r="T5309">
        <v>-2.7472380000000001E-2</v>
      </c>
      <c r="U5309">
        <v>0.41305540000000002</v>
      </c>
      <c r="V5309">
        <v>-5.0359790000000001E-2</v>
      </c>
      <c r="W5309">
        <v>0.19403790000000001</v>
      </c>
      <c r="X5309">
        <v>0.97970060000000003</v>
      </c>
      <c r="Y5309">
        <v>-0.29578559999999998</v>
      </c>
      <c r="Z5309">
        <v>2.4784939999999999E-3</v>
      </c>
      <c r="AA5309">
        <v>0.95525110000000002</v>
      </c>
      <c r="AB5309">
        <v>26</v>
      </c>
      <c r="AC5309">
        <v>134.55329999999901</v>
      </c>
      <c r="AD5309">
        <v>-1.1805920000000001</v>
      </c>
      <c r="AE5309">
        <v>17.767809999999901</v>
      </c>
      <c r="AF5309">
        <v>-40.177448014376701</v>
      </c>
      <c r="AG5309">
        <v>-1.1805920000000001</v>
      </c>
      <c r="AH5309">
        <v>129.62743153189601</v>
      </c>
      <c r="AI5309">
        <v>90.498420840999401</v>
      </c>
      <c r="AJ5309">
        <v>107.220590904289</v>
      </c>
      <c r="AK5309">
        <v>135.71621911906701</v>
      </c>
      <c r="AL5309">
        <v>78.8114745830716</v>
      </c>
      <c r="AM5309">
        <v>92.942599080361305</v>
      </c>
      <c r="AN5309">
        <v>1.0000000403628</v>
      </c>
    </row>
    <row r="5310" spans="1:40" x14ac:dyDescent="0.25">
      <c r="A5310" t="str">
        <f>"20190303171121609"</f>
        <v>20190303171121609</v>
      </c>
      <c r="B5310" t="str">
        <f>"1551604281605873"</f>
        <v>1551604281605873</v>
      </c>
      <c r="C5310" t="s">
        <v>40</v>
      </c>
      <c r="D5310">
        <v>5.7121380000000004</v>
      </c>
      <c r="E5310">
        <v>0.4113599</v>
      </c>
      <c r="F5310" t="s">
        <v>103</v>
      </c>
      <c r="G5310">
        <v>-226.3477</v>
      </c>
      <c r="H5310" s="1">
        <v>-2.33627E-6</v>
      </c>
      <c r="I5310">
        <v>-58.144519999999901</v>
      </c>
      <c r="J5310">
        <v>-285.6934</v>
      </c>
      <c r="K5310">
        <v>1.13053</v>
      </c>
      <c r="L5310">
        <v>-65.33896</v>
      </c>
      <c r="M5310">
        <v>0.98670369999999996</v>
      </c>
      <c r="N5310">
        <v>-1.454564E-2</v>
      </c>
      <c r="O5310">
        <v>-0.16187739999999901</v>
      </c>
      <c r="P5310">
        <v>0.9767441</v>
      </c>
      <c r="Q5310">
        <v>0.18090790000000001</v>
      </c>
      <c r="R5310">
        <v>-0.11508</v>
      </c>
      <c r="S5310">
        <v>3.1309809999999998</v>
      </c>
      <c r="T5310">
        <v>-5.9517260000000002E-2</v>
      </c>
      <c r="U5310">
        <v>0.37792969999999998</v>
      </c>
      <c r="V5310">
        <v>-4.9007530000000001E-2</v>
      </c>
      <c r="W5310">
        <v>0.19411220000000001</v>
      </c>
      <c r="X5310">
        <v>0.97975440000000003</v>
      </c>
      <c r="Y5310">
        <v>-0.27889419999999998</v>
      </c>
      <c r="Z5310">
        <v>5.3918899999999999E-3</v>
      </c>
      <c r="AA5310">
        <v>0.96030669999999996</v>
      </c>
      <c r="AB5310">
        <v>26</v>
      </c>
      <c r="AC5310">
        <v>59.345700000000001</v>
      </c>
      <c r="AD5310">
        <v>-1.1305323362699999</v>
      </c>
      <c r="AE5310">
        <v>7.1944400000000002</v>
      </c>
      <c r="AF5310">
        <v>-16.701302079090802</v>
      </c>
      <c r="AG5310">
        <v>-1.1305323362699999</v>
      </c>
      <c r="AH5310">
        <v>57.377554393728502</v>
      </c>
      <c r="AI5310">
        <v>91.083806531188202</v>
      </c>
      <c r="AJ5310">
        <v>106.229077573876</v>
      </c>
      <c r="AK5310">
        <v>59.769518508230199</v>
      </c>
      <c r="AL5310">
        <v>78.807134360761196</v>
      </c>
      <c r="AM5310">
        <v>92.863560819547203</v>
      </c>
      <c r="AN5310">
        <v>0.99999998425244996</v>
      </c>
    </row>
    <row r="5311" spans="1:40" x14ac:dyDescent="0.25">
      <c r="A5311" t="str">
        <f>"20190303171121622"</f>
        <v>20190303171121622</v>
      </c>
      <c r="B5311" t="str">
        <f>"1551604281615632"</f>
        <v>1551604281615632</v>
      </c>
      <c r="C5311" t="s">
        <v>40</v>
      </c>
      <c r="D5311">
        <v>5.7411810000000001</v>
      </c>
      <c r="E5311">
        <v>0.41168870000000002</v>
      </c>
      <c r="F5311" t="s">
        <v>103</v>
      </c>
      <c r="G5311">
        <v>-228.77680000000001</v>
      </c>
      <c r="H5311" s="1">
        <v>-3.3225099999999998E-6</v>
      </c>
      <c r="I5311">
        <v>-58.397010000000002</v>
      </c>
      <c r="J5311">
        <v>-285.55689999999998</v>
      </c>
      <c r="K5311">
        <v>1.130463</v>
      </c>
      <c r="L5311">
        <v>-65.354219999999998</v>
      </c>
      <c r="M5311">
        <v>0.98779799999999995</v>
      </c>
      <c r="N5311">
        <v>-1.4528020000000001E-2</v>
      </c>
      <c r="O5311">
        <v>-0.15506249999999999</v>
      </c>
      <c r="P5311">
        <v>0.9773847</v>
      </c>
      <c r="Q5311">
        <v>0.1806711</v>
      </c>
      <c r="R5311">
        <v>-0.10989690000000001</v>
      </c>
      <c r="S5311">
        <v>3.1278990000000002</v>
      </c>
      <c r="T5311">
        <v>-6.2129499999999997E-2</v>
      </c>
      <c r="U5311">
        <v>0.38150020000000001</v>
      </c>
      <c r="V5311">
        <v>-4.7405620000000002E-2</v>
      </c>
      <c r="W5311">
        <v>0.1939041</v>
      </c>
      <c r="X5311">
        <v>0.97987440000000003</v>
      </c>
      <c r="Y5311">
        <v>-0.27344879999999999</v>
      </c>
      <c r="Z5311">
        <v>5.5198160000000003E-3</v>
      </c>
      <c r="AA5311">
        <v>0.96187069999999997</v>
      </c>
      <c r="AB5311">
        <v>26</v>
      </c>
      <c r="AC5311">
        <v>56.780099999999898</v>
      </c>
      <c r="AD5311">
        <v>-1.13046632251</v>
      </c>
      <c r="AE5311">
        <v>6.9572099999999999</v>
      </c>
      <c r="AF5311">
        <v>-15.6723139795068</v>
      </c>
      <c r="AG5311">
        <v>-1.13046632251</v>
      </c>
      <c r="AH5311">
        <v>54.992787615806002</v>
      </c>
      <c r="AI5311">
        <v>91.132560029221693</v>
      </c>
      <c r="AJ5311">
        <v>105.90694438193</v>
      </c>
      <c r="AK5311">
        <v>57.193584162349197</v>
      </c>
      <c r="AL5311">
        <v>78.819288339745896</v>
      </c>
      <c r="AM5311">
        <v>92.769769093873904</v>
      </c>
      <c r="AN5311">
        <v>0.99999996628987597</v>
      </c>
    </row>
    <row r="5312" spans="1:40" x14ac:dyDescent="0.25">
      <c r="A5312" t="str">
        <f>"20190303171121632"</f>
        <v>20190303171121632</v>
      </c>
      <c r="B5312" t="str">
        <f>"1551604281626368"</f>
        <v>1551604281626368</v>
      </c>
      <c r="C5312" t="s">
        <v>40</v>
      </c>
      <c r="D5312">
        <v>5.7270570000000003</v>
      </c>
      <c r="E5312">
        <v>0.41168870000000002</v>
      </c>
      <c r="F5312" t="s">
        <v>103</v>
      </c>
      <c r="G5312">
        <v>-229.08789999999999</v>
      </c>
      <c r="H5312" s="1">
        <v>-3.498167E-6</v>
      </c>
      <c r="I5312">
        <v>-58.206130000000002</v>
      </c>
      <c r="J5312">
        <v>-285.43200000000002</v>
      </c>
      <c r="K5312">
        <v>1.1303970000000001</v>
      </c>
      <c r="L5312">
        <v>-65.367400000000004</v>
      </c>
      <c r="M5312">
        <v>0.98875150000000001</v>
      </c>
      <c r="N5312">
        <v>-1.451129E-2</v>
      </c>
      <c r="O5312">
        <v>-0.1488622</v>
      </c>
      <c r="P5312">
        <v>0.97793560000000002</v>
      </c>
      <c r="Q5312">
        <v>0.18063319999999999</v>
      </c>
      <c r="R5312">
        <v>-0.10494729999999999</v>
      </c>
      <c r="S5312">
        <v>3.1254270000000002</v>
      </c>
      <c r="T5312">
        <v>-6.2568659999999998E-2</v>
      </c>
      <c r="U5312">
        <v>0.39562989999999998</v>
      </c>
      <c r="V5312">
        <v>-4.6185320000000002E-2</v>
      </c>
      <c r="W5312">
        <v>0.1938849</v>
      </c>
      <c r="X5312">
        <v>0.97993649999999999</v>
      </c>
      <c r="Y5312">
        <v>-0.2717868</v>
      </c>
      <c r="Z5312">
        <v>5.5037030000000004E-3</v>
      </c>
      <c r="AA5312">
        <v>0.96234169999999997</v>
      </c>
      <c r="AB5312">
        <v>26</v>
      </c>
      <c r="AC5312">
        <v>56.344099999999997</v>
      </c>
      <c r="AD5312">
        <v>-1.1304004981669999</v>
      </c>
      <c r="AE5312">
        <v>7.16127</v>
      </c>
      <c r="AF5312">
        <v>-15.463726324407199</v>
      </c>
      <c r="AG5312">
        <v>-1.1304004981669999</v>
      </c>
      <c r="AH5312">
        <v>54.628385186095898</v>
      </c>
      <c r="AI5312">
        <v>91.140620965623498</v>
      </c>
      <c r="AJ5312">
        <v>105.805293628779</v>
      </c>
      <c r="AK5312">
        <v>56.786134796822402</v>
      </c>
      <c r="AL5312">
        <v>78.8204099807852</v>
      </c>
      <c r="AM5312">
        <v>92.698406625930303</v>
      </c>
      <c r="AN5312">
        <v>0.99999999113188098</v>
      </c>
    </row>
    <row r="5313" spans="1:40" x14ac:dyDescent="0.25">
      <c r="A5313" t="str">
        <f>"20190303171121643"</f>
        <v>20190303171121643</v>
      </c>
      <c r="B5313" t="str">
        <f>"1551604281636128"</f>
        <v>1551604281636128</v>
      </c>
      <c r="C5313" t="s">
        <v>40</v>
      </c>
      <c r="D5313">
        <v>5.7150309999999998</v>
      </c>
      <c r="E5313">
        <v>0.41654200000000002</v>
      </c>
      <c r="F5313" t="s">
        <v>103</v>
      </c>
      <c r="G5313">
        <v>-228.7937</v>
      </c>
      <c r="H5313" s="1">
        <v>-3.439297E-6</v>
      </c>
      <c r="I5313">
        <v>-57.901539999999997</v>
      </c>
      <c r="J5313">
        <v>-285.30079999999998</v>
      </c>
      <c r="K5313">
        <v>1.1303219999999901</v>
      </c>
      <c r="L5313">
        <v>-65.380279999999999</v>
      </c>
      <c r="M5313">
        <v>0.98970290000000005</v>
      </c>
      <c r="N5313">
        <v>-1.449278E-2</v>
      </c>
      <c r="O5313">
        <v>-0.14240129999999901</v>
      </c>
      <c r="P5313">
        <v>0.97862079999999996</v>
      </c>
      <c r="Q5313">
        <v>0.1798804</v>
      </c>
      <c r="R5313">
        <v>-9.9722309999999995E-2</v>
      </c>
      <c r="S5313">
        <v>3.123383</v>
      </c>
      <c r="T5313">
        <v>-6.2337160000000003E-2</v>
      </c>
      <c r="U5313">
        <v>0.41171259999999998</v>
      </c>
      <c r="V5313">
        <v>-4.4984030000000001E-2</v>
      </c>
      <c r="W5313">
        <v>0.19315089999999999</v>
      </c>
      <c r="X5313">
        <v>0.98013729999999999</v>
      </c>
      <c r="Y5313">
        <v>-0.27045469999999999</v>
      </c>
      <c r="Z5313">
        <v>5.4292610000000003E-3</v>
      </c>
      <c r="AA5313">
        <v>0.96271739999999995</v>
      </c>
      <c r="AB5313">
        <v>26</v>
      </c>
      <c r="AC5313">
        <v>56.507099999999902</v>
      </c>
      <c r="AD5313">
        <v>-1.1303254392969999</v>
      </c>
      <c r="AE5313">
        <v>7.4787399999999904</v>
      </c>
      <c r="AF5313">
        <v>-15.443964600605501</v>
      </c>
      <c r="AG5313">
        <v>-1.1303254392969999</v>
      </c>
      <c r="AH5313">
        <v>54.844453640125302</v>
      </c>
      <c r="AI5313">
        <v>91.136491367032903</v>
      </c>
      <c r="AJ5313">
        <v>105.726993612176</v>
      </c>
      <c r="AK5313">
        <v>56.988663550458298</v>
      </c>
      <c r="AL5313">
        <v>78.863275254330702</v>
      </c>
      <c r="AM5313">
        <v>92.627782520597805</v>
      </c>
      <c r="AN5313">
        <v>0.99999997998857004</v>
      </c>
    </row>
    <row r="5314" spans="1:40" x14ac:dyDescent="0.25">
      <c r="A5314" t="str">
        <f>"20190303171121654"</f>
        <v>20190303171121654</v>
      </c>
      <c r="B5314" t="str">
        <f>"1551604281645889"</f>
        <v>1551604281645889</v>
      </c>
      <c r="C5314" t="s">
        <v>40</v>
      </c>
      <c r="D5314">
        <v>5.7388110000000001</v>
      </c>
      <c r="E5314">
        <v>0.41726170000000001</v>
      </c>
      <c r="F5314" t="s">
        <v>106</v>
      </c>
      <c r="G5314">
        <v>-239.07820000000001</v>
      </c>
      <c r="H5314" s="1">
        <v>-3.021538E-6</v>
      </c>
      <c r="I5314">
        <v>-59.595179999999999</v>
      </c>
      <c r="J5314">
        <v>-285.17180000000002</v>
      </c>
      <c r="K5314">
        <v>1.1302479999999999</v>
      </c>
      <c r="L5314">
        <v>-65.392489999999995</v>
      </c>
      <c r="M5314">
        <v>0.99059240000000004</v>
      </c>
      <c r="N5314">
        <v>-1.4474839999999999E-2</v>
      </c>
      <c r="O5314">
        <v>-0.136078799999999</v>
      </c>
      <c r="P5314">
        <v>0.97932540000000001</v>
      </c>
      <c r="Q5314">
        <v>0.17896049999999999</v>
      </c>
      <c r="R5314">
        <v>-9.4313859999999999E-2</v>
      </c>
      <c r="S5314">
        <v>3.1193849999999999</v>
      </c>
      <c r="T5314">
        <v>-7.6281429999999997E-2</v>
      </c>
      <c r="U5314">
        <v>0.39041140000000002</v>
      </c>
      <c r="V5314">
        <v>-4.4105909999999998E-2</v>
      </c>
      <c r="W5314">
        <v>0.19224269999999999</v>
      </c>
      <c r="X5314">
        <v>0.98035570000000005</v>
      </c>
      <c r="Y5314">
        <v>-0.2579437</v>
      </c>
      <c r="Z5314">
        <v>6.3669E-3</v>
      </c>
      <c r="AA5314">
        <v>0.96613899999999997</v>
      </c>
      <c r="AB5314">
        <v>26</v>
      </c>
      <c r="AC5314">
        <v>46.093600000000002</v>
      </c>
      <c r="AD5314">
        <v>-1.1302510215379999</v>
      </c>
      <c r="AE5314">
        <v>5.7973100000000004</v>
      </c>
      <c r="AF5314">
        <v>-12.009281966849599</v>
      </c>
      <c r="AG5314">
        <v>-1.1302510215379999</v>
      </c>
      <c r="AH5314">
        <v>44.849227894404102</v>
      </c>
      <c r="AI5314">
        <v>91.394504824573104</v>
      </c>
      <c r="AJ5314">
        <v>104.990425380273</v>
      </c>
      <c r="AK5314">
        <v>46.443014151271299</v>
      </c>
      <c r="AL5314">
        <v>78.916304734553805</v>
      </c>
      <c r="AM5314">
        <v>92.575982943973401</v>
      </c>
      <c r="AN5314">
        <v>0.99999994276135196</v>
      </c>
    </row>
    <row r="5315" spans="1:40" x14ac:dyDescent="0.25">
      <c r="A5315" t="str">
        <f>"20190303171121666"</f>
        <v>20190303171121666</v>
      </c>
      <c r="B5315" t="str">
        <f>"1551604281655649"</f>
        <v>1551604281655649</v>
      </c>
      <c r="C5315" t="s">
        <v>40</v>
      </c>
      <c r="D5315">
        <v>5.7316409999999998</v>
      </c>
      <c r="E5315">
        <v>0.41764820000000002</v>
      </c>
      <c r="F5315" t="s">
        <v>106</v>
      </c>
      <c r="G5315">
        <v>-238.88079999999999</v>
      </c>
      <c r="H5315" s="1">
        <v>-2.9659989999999998E-6</v>
      </c>
      <c r="I5315">
        <v>-59.430889999999998</v>
      </c>
      <c r="J5315">
        <v>-285.05160000000001</v>
      </c>
      <c r="K5315">
        <v>1.130172</v>
      </c>
      <c r="L5315">
        <v>-65.402680000000004</v>
      </c>
      <c r="M5315">
        <v>0.99137260000000005</v>
      </c>
      <c r="N5315">
        <v>-1.445637E-2</v>
      </c>
      <c r="O5315">
        <v>-0.1302738</v>
      </c>
      <c r="P5315">
        <v>0.97995620000000006</v>
      </c>
      <c r="Q5315">
        <v>0.17803579999999999</v>
      </c>
      <c r="R5315">
        <v>-8.9382600000000006E-2</v>
      </c>
      <c r="S5315">
        <v>3.115875</v>
      </c>
      <c r="T5315">
        <v>-7.6077939999999997E-2</v>
      </c>
      <c r="U5315">
        <v>0.40127560000000001</v>
      </c>
      <c r="V5315">
        <v>-4.3262969999999998E-2</v>
      </c>
      <c r="W5315">
        <v>0.19132869999999999</v>
      </c>
      <c r="X5315">
        <v>0.98057209999999995</v>
      </c>
      <c r="Y5315">
        <v>-0.25573459999999998</v>
      </c>
      <c r="Z5315">
        <v>6.2568750000000003E-3</v>
      </c>
      <c r="AA5315">
        <v>0.9667268</v>
      </c>
      <c r="AB5315">
        <v>26</v>
      </c>
      <c r="AC5315">
        <v>46.1708</v>
      </c>
      <c r="AD5315">
        <v>-1.1301749659989999</v>
      </c>
      <c r="AE5315">
        <v>5.9717899999999897</v>
      </c>
      <c r="AF5315">
        <v>-11.9293323899326</v>
      </c>
      <c r="AG5315">
        <v>-1.1301749659989999</v>
      </c>
      <c r="AH5315">
        <v>44.9726999712245</v>
      </c>
      <c r="AI5315">
        <v>91.391453657932402</v>
      </c>
      <c r="AJ5315">
        <v>104.855995595127</v>
      </c>
      <c r="AK5315">
        <v>46.541701832067098</v>
      </c>
      <c r="AL5315">
        <v>78.969664227409496</v>
      </c>
      <c r="AM5315">
        <v>92.526258983236104</v>
      </c>
      <c r="AN5315">
        <v>0.99999999965765995</v>
      </c>
    </row>
    <row r="5316" spans="1:40" x14ac:dyDescent="0.25">
      <c r="A5316" t="str">
        <f>"20190303171121677"</f>
        <v>20190303171121677</v>
      </c>
      <c r="B5316" t="str">
        <f>"1551604281666384"</f>
        <v>1551604281666384</v>
      </c>
      <c r="C5316" t="s">
        <v>40</v>
      </c>
      <c r="D5316">
        <v>5.7333080000000001</v>
      </c>
      <c r="E5316">
        <v>0.41818450000000001</v>
      </c>
      <c r="F5316" t="s">
        <v>106</v>
      </c>
      <c r="G5316">
        <v>-239.96889999999999</v>
      </c>
      <c r="H5316" s="1">
        <v>-3.43541E-6</v>
      </c>
      <c r="I5316">
        <v>-59.415950000000002</v>
      </c>
      <c r="J5316">
        <v>-284.9246</v>
      </c>
      <c r="K5316">
        <v>1.1300950000000001</v>
      </c>
      <c r="L5316">
        <v>-65.413269999999997</v>
      </c>
      <c r="M5316">
        <v>0.99215920000000002</v>
      </c>
      <c r="N5316">
        <v>-1.4437500000000001E-2</v>
      </c>
      <c r="O5316">
        <v>-0.1241444</v>
      </c>
      <c r="P5316">
        <v>0.98067320000000002</v>
      </c>
      <c r="Q5316">
        <v>0.17695369999999999</v>
      </c>
      <c r="R5316">
        <v>-8.3473210000000006E-2</v>
      </c>
      <c r="S5316">
        <v>3.1132810000000002</v>
      </c>
      <c r="T5316">
        <v>-7.8046560000000001E-2</v>
      </c>
      <c r="U5316">
        <v>0.4134216</v>
      </c>
      <c r="V5316">
        <v>-4.3076780000000002E-2</v>
      </c>
      <c r="W5316">
        <v>0.1902423</v>
      </c>
      <c r="X5316">
        <v>0.98079159999999999</v>
      </c>
      <c r="Y5316">
        <v>-0.25356479999999998</v>
      </c>
      <c r="Z5316">
        <v>6.3170639999999998E-3</v>
      </c>
      <c r="AA5316">
        <v>0.96729779999999999</v>
      </c>
      <c r="AB5316">
        <v>26</v>
      </c>
      <c r="AC5316">
        <v>44.9557</v>
      </c>
      <c r="AD5316">
        <v>-1.1300984354100001</v>
      </c>
      <c r="AE5316">
        <v>5.9973199999999904</v>
      </c>
      <c r="AF5316">
        <v>-11.525339971853199</v>
      </c>
      <c r="AG5316">
        <v>-1.1300984354100001</v>
      </c>
      <c r="AH5316">
        <v>43.836029474373902</v>
      </c>
      <c r="AI5316">
        <v>91.428246487326206</v>
      </c>
      <c r="AJ5316">
        <v>104.730779193168</v>
      </c>
      <c r="AK5316">
        <v>45.339916894704302</v>
      </c>
      <c r="AL5316">
        <v>79.033074585427698</v>
      </c>
      <c r="AM5316">
        <v>92.514838545548102</v>
      </c>
      <c r="AN5316">
        <v>0.99999995215750803</v>
      </c>
    </row>
    <row r="5317" spans="1:40" x14ac:dyDescent="0.25">
      <c r="A5317" t="str">
        <f>"20190303171121687"</f>
        <v>20190303171121687</v>
      </c>
      <c r="B5317" t="str">
        <f>"1551604281676144"</f>
        <v>1551604281676144</v>
      </c>
      <c r="C5317" t="s">
        <v>40</v>
      </c>
      <c r="D5317">
        <v>5.7414809999999896</v>
      </c>
      <c r="E5317">
        <v>0.41818450000000001</v>
      </c>
      <c r="F5317" t="s">
        <v>104</v>
      </c>
      <c r="G5317">
        <v>-242.85650000000001</v>
      </c>
      <c r="H5317" s="1">
        <v>-3.4546000000000002E-7</v>
      </c>
      <c r="I5317">
        <v>-59.634540000000001</v>
      </c>
      <c r="J5317">
        <v>-284.7987</v>
      </c>
      <c r="K5317">
        <v>1.130007</v>
      </c>
      <c r="L5317">
        <v>-65.422550000000001</v>
      </c>
      <c r="M5317">
        <v>0.99288849999999995</v>
      </c>
      <c r="N5317">
        <v>-1.441656E-2</v>
      </c>
      <c r="O5317">
        <v>-0.1181726</v>
      </c>
      <c r="P5317">
        <v>0.98124639999999996</v>
      </c>
      <c r="Q5317">
        <v>0.17624139999999999</v>
      </c>
      <c r="R5317">
        <v>-7.8066629999999998E-2</v>
      </c>
      <c r="S5317">
        <v>3.110535</v>
      </c>
      <c r="T5317">
        <v>-8.3559750000000002E-2</v>
      </c>
      <c r="U5317">
        <v>0.42727660000000001</v>
      </c>
      <c r="V5317">
        <v>-4.253929E-2</v>
      </c>
      <c r="W5317">
        <v>0.18953159999999999</v>
      </c>
      <c r="X5317">
        <v>0.98095270000000001</v>
      </c>
      <c r="Y5317">
        <v>-0.25207109999999999</v>
      </c>
      <c r="Z5317">
        <v>6.6602229999999998E-3</v>
      </c>
      <c r="AA5317">
        <v>0.96768580000000004</v>
      </c>
      <c r="AB5317">
        <v>26</v>
      </c>
      <c r="AC5317">
        <v>41.9421999999999</v>
      </c>
      <c r="AD5317">
        <v>-1.1300073454599999</v>
      </c>
      <c r="AE5317">
        <v>5.7880099999999999</v>
      </c>
      <c r="AF5317">
        <v>-10.696759524132601</v>
      </c>
      <c r="AG5317">
        <v>-1.1300073454599999</v>
      </c>
      <c r="AH5317">
        <v>40.935039137175799</v>
      </c>
      <c r="AI5317">
        <v>91.529897207474505</v>
      </c>
      <c r="AJ5317">
        <v>104.644530633779</v>
      </c>
      <c r="AK5317">
        <v>42.324638333717999</v>
      </c>
      <c r="AL5317">
        <v>79.074549921267007</v>
      </c>
      <c r="AM5317">
        <v>92.483091864497098</v>
      </c>
      <c r="AN5317">
        <v>1.00000000911477</v>
      </c>
    </row>
    <row r="5318" spans="1:40" x14ac:dyDescent="0.25">
      <c r="A5318" t="str">
        <f>"20190303171121700"</f>
        <v>20190303171121700</v>
      </c>
      <c r="B5318" t="str">
        <f>"1551604281695665"</f>
        <v>1551604281695665</v>
      </c>
      <c r="C5318" t="s">
        <v>40</v>
      </c>
      <c r="D5318">
        <v>5.7546390000000001</v>
      </c>
      <c r="E5318">
        <v>0.42422260000000001</v>
      </c>
      <c r="F5318" t="s">
        <v>104</v>
      </c>
      <c r="G5318">
        <v>-244.13050000000001</v>
      </c>
      <c r="H5318" s="1">
        <v>-8.9564169999999896E-7</v>
      </c>
      <c r="I5318">
        <v>-59.6141199999999</v>
      </c>
      <c r="J5318">
        <v>-284.66590000000002</v>
      </c>
      <c r="K5318">
        <v>1.1299140000000001</v>
      </c>
      <c r="L5318">
        <v>-65.431919999999906</v>
      </c>
      <c r="M5318">
        <v>0.99361529999999998</v>
      </c>
      <c r="N5318">
        <v>-1.4394789999999999E-2</v>
      </c>
      <c r="O5318">
        <v>-0.1119001</v>
      </c>
      <c r="P5318">
        <v>0.981742</v>
      </c>
      <c r="Q5318">
        <v>0.1758634</v>
      </c>
      <c r="R5318">
        <v>-7.2489719999999994E-2</v>
      </c>
      <c r="S5318">
        <v>3.1080930000000002</v>
      </c>
      <c r="T5318">
        <v>-8.6361649999999998E-2</v>
      </c>
      <c r="U5318">
        <v>0.44390869999999999</v>
      </c>
      <c r="V5318">
        <v>-4.1873010000000002E-2</v>
      </c>
      <c r="W5318">
        <v>0.18915609999999999</v>
      </c>
      <c r="X5318">
        <v>0.98105379999999998</v>
      </c>
      <c r="Y5318">
        <v>-0.251133</v>
      </c>
      <c r="Z5318">
        <v>6.7803400000000002E-3</v>
      </c>
      <c r="AA5318">
        <v>0.96792880000000003</v>
      </c>
      <c r="AB5318">
        <v>26</v>
      </c>
      <c r="AC5318">
        <v>40.535400000000003</v>
      </c>
      <c r="AD5318">
        <v>-1.12991489564169</v>
      </c>
      <c r="AE5318">
        <v>5.8177999999999903</v>
      </c>
      <c r="AF5318">
        <v>-10.30978930251</v>
      </c>
      <c r="AG5318">
        <v>-1.12991489564169</v>
      </c>
      <c r="AH5318">
        <v>39.599535252171002</v>
      </c>
      <c r="AI5318">
        <v>91.581708601631803</v>
      </c>
      <c r="AJ5318">
        <v>104.593066495904</v>
      </c>
      <c r="AK5318">
        <v>40.935212901870599</v>
      </c>
      <c r="AL5318">
        <v>79.096460391564705</v>
      </c>
      <c r="AM5318">
        <v>92.443995912683903</v>
      </c>
      <c r="AN5318">
        <v>0.99999996881405395</v>
      </c>
    </row>
    <row r="5319" spans="1:40" x14ac:dyDescent="0.25">
      <c r="A5319" t="str">
        <f>"20190303171121711"</f>
        <v>20190303171121711</v>
      </c>
      <c r="B5319" t="str">
        <f>"1551604281706401"</f>
        <v>1551604281706401</v>
      </c>
      <c r="C5319" t="s">
        <v>40</v>
      </c>
      <c r="D5319">
        <v>5.7195960000000001</v>
      </c>
      <c r="E5319">
        <v>0.42511310000000002</v>
      </c>
      <c r="F5319" t="s">
        <v>105</v>
      </c>
      <c r="G5319">
        <v>-251.29740000000001</v>
      </c>
      <c r="H5319" s="1">
        <v>1.732283E-7</v>
      </c>
      <c r="I5319">
        <v>-60.986330000000002</v>
      </c>
      <c r="J5319">
        <v>-284.52940000000001</v>
      </c>
      <c r="K5319">
        <v>1.1298159999999999</v>
      </c>
      <c r="L5319">
        <v>-65.440550000000002</v>
      </c>
      <c r="M5319">
        <v>0.99431170000000002</v>
      </c>
      <c r="N5319">
        <v>-1.437101E-2</v>
      </c>
      <c r="O5319">
        <v>-0.10553410000000001</v>
      </c>
      <c r="P5319">
        <v>0.98218229999999995</v>
      </c>
      <c r="Q5319">
        <v>0.17552989999999999</v>
      </c>
      <c r="R5319">
        <v>-6.7137210000000003E-2</v>
      </c>
      <c r="S5319">
        <v>3.105194</v>
      </c>
      <c r="T5319">
        <v>-0.10514709999999999</v>
      </c>
      <c r="U5319">
        <v>0.41369630000000002</v>
      </c>
      <c r="V5319">
        <v>-4.0889010000000003E-2</v>
      </c>
      <c r="W5319">
        <v>0.1888302</v>
      </c>
      <c r="X5319">
        <v>0.98115810000000003</v>
      </c>
      <c r="Y5319">
        <v>-0.23573350000000001</v>
      </c>
      <c r="Z5319">
        <v>7.7234239999999996E-3</v>
      </c>
      <c r="AA5319">
        <v>0.97178699999999996</v>
      </c>
      <c r="AB5319">
        <v>26</v>
      </c>
      <c r="AC5319">
        <v>33.231999999999999</v>
      </c>
      <c r="AD5319">
        <v>-1.1298158267717</v>
      </c>
      <c r="AE5319">
        <v>4.4542199999999896</v>
      </c>
      <c r="AF5319">
        <v>-7.92781130542323</v>
      </c>
      <c r="AG5319">
        <v>-1.1298158267717</v>
      </c>
      <c r="AH5319">
        <v>32.539315937809498</v>
      </c>
      <c r="AI5319">
        <v>91.932126388289703</v>
      </c>
      <c r="AJ5319">
        <v>103.692655368855</v>
      </c>
      <c r="AK5319">
        <v>33.510203783286698</v>
      </c>
      <c r="AL5319">
        <v>79.115475967886795</v>
      </c>
      <c r="AM5319">
        <v>92.386376723896305</v>
      </c>
      <c r="AN5319">
        <v>0.99999998638321497</v>
      </c>
    </row>
    <row r="5320" spans="1:40" x14ac:dyDescent="0.25">
      <c r="A5320" t="str">
        <f>"20190303171121723"</f>
        <v>20190303171121723</v>
      </c>
      <c r="B5320" t="str">
        <f>"1551604281716161"</f>
        <v>1551604281716161</v>
      </c>
      <c r="C5320" t="s">
        <v>40</v>
      </c>
      <c r="D5320">
        <v>5.7135020000000001</v>
      </c>
      <c r="E5320">
        <v>0.42603950000000002</v>
      </c>
      <c r="F5320" t="s">
        <v>105</v>
      </c>
      <c r="G5320">
        <v>-251.55350000000001</v>
      </c>
      <c r="H5320" s="1">
        <v>7.3340799999999997E-8</v>
      </c>
      <c r="I5320">
        <v>-60.941479999999999</v>
      </c>
      <c r="J5320">
        <v>-284.39510000000001</v>
      </c>
      <c r="K5320">
        <v>1.129718</v>
      </c>
      <c r="L5320">
        <v>-65.448300000000003</v>
      </c>
      <c r="M5320">
        <v>0.99494959999999999</v>
      </c>
      <c r="N5320">
        <v>-1.434739E-2</v>
      </c>
      <c r="O5320">
        <v>-9.9345760000000005E-2</v>
      </c>
      <c r="P5320">
        <v>0.98249589999999998</v>
      </c>
      <c r="Q5320">
        <v>0.17569360000000001</v>
      </c>
      <c r="R5320">
        <v>-6.191406E-2</v>
      </c>
      <c r="S5320">
        <v>3.102417</v>
      </c>
      <c r="T5320">
        <v>-0.10629479999999999</v>
      </c>
      <c r="U5320">
        <v>0.42327880000000001</v>
      </c>
      <c r="V5320">
        <v>-3.9953349999999999E-2</v>
      </c>
      <c r="W5320">
        <v>0.18899930000000001</v>
      </c>
      <c r="X5320">
        <v>0.98116409999999998</v>
      </c>
      <c r="Y5320">
        <v>-0.23274719999999999</v>
      </c>
      <c r="Z5320">
        <v>7.6164400000000004E-3</v>
      </c>
      <c r="AA5320">
        <v>0.97250749999999997</v>
      </c>
      <c r="AB5320">
        <v>26</v>
      </c>
      <c r="AC5320">
        <v>32.8416</v>
      </c>
      <c r="AD5320">
        <v>-1.1297179266591999</v>
      </c>
      <c r="AE5320">
        <v>4.5068199999999896</v>
      </c>
      <c r="AF5320">
        <v>-7.7385417047578198</v>
      </c>
      <c r="AG5320">
        <v>-1.1297179266591999</v>
      </c>
      <c r="AH5320">
        <v>32.1939280629013</v>
      </c>
      <c r="AI5320">
        <v>91.954126915216406</v>
      </c>
      <c r="AJ5320">
        <v>103.51592319288</v>
      </c>
      <c r="AK5320">
        <v>33.130202148935901</v>
      </c>
      <c r="AL5320">
        <v>79.1056097244428</v>
      </c>
      <c r="AM5320">
        <v>92.331816192443696</v>
      </c>
      <c r="AN5320">
        <v>0.99999999835276099</v>
      </c>
    </row>
    <row r="5321" spans="1:40" x14ac:dyDescent="0.25">
      <c r="A5321" t="str">
        <f>"20190303171121734"</f>
        <v>20190303171121734</v>
      </c>
      <c r="B5321" t="str">
        <f>"1551604281725920"</f>
        <v>1551604281725920</v>
      </c>
      <c r="C5321" t="s">
        <v>40</v>
      </c>
      <c r="D5321">
        <v>5.7108589999999904</v>
      </c>
      <c r="E5321">
        <v>0.42658800000000002</v>
      </c>
      <c r="F5321" t="s">
        <v>105</v>
      </c>
      <c r="G5321">
        <v>-250.0592</v>
      </c>
      <c r="H5321" s="1">
        <v>7.7612030000000002E-7</v>
      </c>
      <c r="I5321">
        <v>-60.663939999999997</v>
      </c>
      <c r="J5321">
        <v>-284.26319999999998</v>
      </c>
      <c r="K5321">
        <v>1.1296189999999999</v>
      </c>
      <c r="L5321">
        <v>-65.455349999999996</v>
      </c>
      <c r="M5321">
        <v>0.99553409999999998</v>
      </c>
      <c r="N5321">
        <v>-1.4324369999999999E-2</v>
      </c>
      <c r="O5321">
        <v>-9.3309669999999997E-2</v>
      </c>
      <c r="P5321">
        <v>0.98280710000000004</v>
      </c>
      <c r="Q5321">
        <v>0.1756134</v>
      </c>
      <c r="R5321">
        <v>-5.7011020000000003E-2</v>
      </c>
      <c r="S5321">
        <v>3.098846</v>
      </c>
      <c r="T5321">
        <v>-0.1019578</v>
      </c>
      <c r="U5321">
        <v>0.43179319999999999</v>
      </c>
      <c r="V5321">
        <v>-3.8849729999999999E-2</v>
      </c>
      <c r="W5321">
        <v>0.1889286</v>
      </c>
      <c r="X5321">
        <v>0.98122200000000004</v>
      </c>
      <c r="Y5321">
        <v>-0.22963890000000001</v>
      </c>
      <c r="Z5321">
        <v>7.1387159999999998E-3</v>
      </c>
      <c r="AA5321">
        <v>0.9732497</v>
      </c>
      <c r="AB5321">
        <v>26</v>
      </c>
      <c r="AC5321">
        <v>34.203999999999901</v>
      </c>
      <c r="AD5321">
        <v>-1.1296182238796999</v>
      </c>
      <c r="AE5321">
        <v>4.7914099999999902</v>
      </c>
      <c r="AF5321">
        <v>-7.9538844003979303</v>
      </c>
      <c r="AG5321">
        <v>-1.1296182238796999</v>
      </c>
      <c r="AH5321">
        <v>33.571698843550301</v>
      </c>
      <c r="AI5321">
        <v>91.875282707460002</v>
      </c>
      <c r="AJ5321">
        <v>103.32888242834299</v>
      </c>
      <c r="AK5321">
        <v>34.519549209522602</v>
      </c>
      <c r="AL5321">
        <v>79.109734490514299</v>
      </c>
      <c r="AM5321">
        <v>92.267339623553696</v>
      </c>
      <c r="AN5321">
        <v>0.99999996535151503</v>
      </c>
    </row>
    <row r="5322" spans="1:40" x14ac:dyDescent="0.25">
      <c r="A5322" t="str">
        <f>"20190303171121746"</f>
        <v>20190303171121746</v>
      </c>
      <c r="B5322" t="str">
        <f>"1551604281735681"</f>
        <v>1551604281735681</v>
      </c>
      <c r="C5322" t="s">
        <v>40</v>
      </c>
      <c r="D5322">
        <v>5.7011279999999998</v>
      </c>
      <c r="E5322">
        <v>0.42658800000000002</v>
      </c>
      <c r="F5322" t="s">
        <v>104</v>
      </c>
      <c r="G5322">
        <v>-249.3853</v>
      </c>
      <c r="H5322" s="1">
        <v>-3.036013E-6</v>
      </c>
      <c r="I5322">
        <v>-60.468620000000001</v>
      </c>
      <c r="J5322">
        <v>-284.13780000000003</v>
      </c>
      <c r="K5322">
        <v>1.1295200000000001</v>
      </c>
      <c r="L5322">
        <v>-65.461029999999994</v>
      </c>
      <c r="M5322">
        <v>0.99604579999999998</v>
      </c>
      <c r="N5322">
        <v>-1.4301110000000001E-2</v>
      </c>
      <c r="O5322">
        <v>-8.7681380000000003E-2</v>
      </c>
      <c r="P5322">
        <v>0.98303850000000004</v>
      </c>
      <c r="Q5322">
        <v>0.1756991</v>
      </c>
      <c r="R5322">
        <v>-5.2586269999999997E-2</v>
      </c>
      <c r="S5322">
        <v>3.0960390000000002</v>
      </c>
      <c r="T5322">
        <v>-0.1002743</v>
      </c>
      <c r="U5322">
        <v>0.44265749999999998</v>
      </c>
      <c r="V5322">
        <v>-3.7671799999999998E-2</v>
      </c>
      <c r="W5322">
        <v>0.1890241</v>
      </c>
      <c r="X5322">
        <v>0.98124960000000006</v>
      </c>
      <c r="Y5322">
        <v>-0.2276147</v>
      </c>
      <c r="Z5322">
        <v>6.8825730000000003E-3</v>
      </c>
      <c r="AA5322">
        <v>0.97372689999999995</v>
      </c>
      <c r="AB5322">
        <v>26</v>
      </c>
      <c r="AC5322">
        <v>34.752499999999998</v>
      </c>
      <c r="AD5322">
        <v>-1.129523036013</v>
      </c>
      <c r="AE5322">
        <v>4.9924100000000102</v>
      </c>
      <c r="AF5322">
        <v>-8.01234438672682</v>
      </c>
      <c r="AG5322">
        <v>-1.129523036013</v>
      </c>
      <c r="AH5322">
        <v>34.145498425640397</v>
      </c>
      <c r="AI5322">
        <v>91.844570219363106</v>
      </c>
      <c r="AJ5322">
        <v>103.205709787226</v>
      </c>
      <c r="AK5322">
        <v>35.091146285007603</v>
      </c>
      <c r="AL5322">
        <v>79.104163013478697</v>
      </c>
      <c r="AM5322">
        <v>92.198600264689901</v>
      </c>
      <c r="AN5322">
        <v>1.0000000261980999</v>
      </c>
    </row>
    <row r="5323" spans="1:40" x14ac:dyDescent="0.25">
      <c r="A5323" t="str">
        <f>"20190303171121757"</f>
        <v>20190303171121757</v>
      </c>
      <c r="B5323" t="str">
        <f>"1551604281746417"</f>
        <v>1551604281746417</v>
      </c>
      <c r="C5323" t="s">
        <v>40</v>
      </c>
      <c r="D5323">
        <v>5.6755719999999998</v>
      </c>
      <c r="E5323">
        <v>0.43340000000000001</v>
      </c>
      <c r="F5323" t="s">
        <v>104</v>
      </c>
      <c r="G5323">
        <v>-249.26650000000001</v>
      </c>
      <c r="H5323" s="1">
        <v>-2.9742330000000001E-6</v>
      </c>
      <c r="I5323">
        <v>-60.317309999999999</v>
      </c>
      <c r="J5323">
        <v>-284.0052</v>
      </c>
      <c r="K5323">
        <v>1.129416</v>
      </c>
      <c r="L5323">
        <v>-65.466800000000006</v>
      </c>
      <c r="M5323">
        <v>0.99655039999999995</v>
      </c>
      <c r="N5323">
        <v>-1.4277160000000001E-2</v>
      </c>
      <c r="O5323">
        <v>-8.1753729999999997E-2</v>
      </c>
      <c r="P5323">
        <v>0.98336089999999998</v>
      </c>
      <c r="Q5323">
        <v>0.1752889</v>
      </c>
      <c r="R5323">
        <v>-4.7695899999999999E-2</v>
      </c>
      <c r="S5323">
        <v>3.0940859999999999</v>
      </c>
      <c r="T5323">
        <v>-0.1002212</v>
      </c>
      <c r="U5323">
        <v>0.45639039999999997</v>
      </c>
      <c r="V5323">
        <v>-3.6660749999999999E-2</v>
      </c>
      <c r="W5323">
        <v>0.18862090000000001</v>
      </c>
      <c r="X5323">
        <v>0.98136540000000005</v>
      </c>
      <c r="Y5323">
        <v>-0.22614190000000001</v>
      </c>
      <c r="Z5323">
        <v>6.7404400000000003E-3</v>
      </c>
      <c r="AA5323">
        <v>0.97407100000000002</v>
      </c>
      <c r="AB5323">
        <v>26</v>
      </c>
      <c r="AC5323">
        <v>34.738699999999902</v>
      </c>
      <c r="AD5323">
        <v>-1.1294189742330001</v>
      </c>
      <c r="AE5323">
        <v>5.1494900000000001</v>
      </c>
      <c r="AF5323">
        <v>-7.9643189434179398</v>
      </c>
      <c r="AG5323">
        <v>-1.1294189742330001</v>
      </c>
      <c r="AH5323">
        <v>34.1660200611419</v>
      </c>
      <c r="AI5323">
        <v>91.843925175691396</v>
      </c>
      <c r="AJ5323">
        <v>103.121692315809</v>
      </c>
      <c r="AK5323">
        <v>35.100183621602298</v>
      </c>
      <c r="AL5323">
        <v>79.1276870311913</v>
      </c>
      <c r="AM5323">
        <v>92.139396757888505</v>
      </c>
      <c r="AN5323">
        <v>0.99999995141226505</v>
      </c>
    </row>
    <row r="5324" spans="1:40" x14ac:dyDescent="0.25">
      <c r="A5324" t="str">
        <f>"20190303171121765"</f>
        <v>20190303171121765</v>
      </c>
      <c r="B5324" t="str">
        <f>"1551604281756177"</f>
        <v>1551604281756177</v>
      </c>
      <c r="C5324" t="s">
        <v>40</v>
      </c>
      <c r="D5324">
        <v>5.6977969999999996</v>
      </c>
      <c r="E5324">
        <v>0.43402469999999999</v>
      </c>
      <c r="F5324" t="s">
        <v>104</v>
      </c>
      <c r="G5324">
        <v>-249.37880000000001</v>
      </c>
      <c r="H5324" s="1">
        <v>-3.1195400000000002E-6</v>
      </c>
      <c r="I5324">
        <v>-60.793059999999997</v>
      </c>
      <c r="J5324">
        <v>-283.89440000000002</v>
      </c>
      <c r="K5324">
        <v>1.1293219999999999</v>
      </c>
      <c r="L5324">
        <v>-65.470609999999994</v>
      </c>
      <c r="M5324">
        <v>0.99693549999999997</v>
      </c>
      <c r="N5324">
        <v>-1.425501E-2</v>
      </c>
      <c r="O5324">
        <v>-7.6918619999999993E-2</v>
      </c>
      <c r="P5324">
        <v>0.9836956</v>
      </c>
      <c r="Q5324">
        <v>0.17446220000000001</v>
      </c>
      <c r="R5324">
        <v>-4.3656929999999997E-2</v>
      </c>
      <c r="S5324">
        <v>3.088959</v>
      </c>
      <c r="T5324">
        <v>-0.10075340000000001</v>
      </c>
      <c r="U5324">
        <v>0.4169312</v>
      </c>
      <c r="V5324">
        <v>-3.5880330000000002E-2</v>
      </c>
      <c r="W5324">
        <v>0.1877981</v>
      </c>
      <c r="X5324">
        <v>0.98155210000000004</v>
      </c>
      <c r="Y5324">
        <v>-0.20942959999999999</v>
      </c>
      <c r="Z5324">
        <v>6.3067569999999996E-3</v>
      </c>
      <c r="AA5324">
        <v>0.97780339999999999</v>
      </c>
      <c r="AB5324">
        <v>26</v>
      </c>
      <c r="AC5324">
        <v>34.515599999999999</v>
      </c>
      <c r="AD5324">
        <v>-1.12932511954</v>
      </c>
      <c r="AE5324">
        <v>4.6775499999999903</v>
      </c>
      <c r="AF5324">
        <v>-7.3111655463784002</v>
      </c>
      <c r="AG5324">
        <v>-1.12932511954</v>
      </c>
      <c r="AH5324">
        <v>34.017734225322499</v>
      </c>
      <c r="AI5324">
        <v>91.858994910417394</v>
      </c>
      <c r="AJ5324">
        <v>102.129618260981</v>
      </c>
      <c r="AK5324">
        <v>34.812853354714498</v>
      </c>
      <c r="AL5324">
        <v>79.175688632537501</v>
      </c>
      <c r="AM5324">
        <v>92.093497155690898</v>
      </c>
      <c r="AN5324">
        <v>1.00000002472946</v>
      </c>
    </row>
    <row r="5325" spans="1:40" x14ac:dyDescent="0.25">
      <c r="A5325" t="str">
        <f>"20190303171121777"</f>
        <v>20190303171121777</v>
      </c>
      <c r="B5325" t="str">
        <f>"1551604281765936"</f>
        <v>1551604281765936</v>
      </c>
      <c r="C5325" t="s">
        <v>40</v>
      </c>
      <c r="D5325">
        <v>5.6545079999999999</v>
      </c>
      <c r="E5325">
        <v>0.43483630000000001</v>
      </c>
      <c r="F5325" t="s">
        <v>105</v>
      </c>
      <c r="G5325">
        <v>-250.61959999999999</v>
      </c>
      <c r="H5325" s="1">
        <v>4.8380820000000002E-7</v>
      </c>
      <c r="I5325">
        <v>-60.897410000000001</v>
      </c>
      <c r="J5325">
        <v>-283.77339999999998</v>
      </c>
      <c r="K5325">
        <v>1.1292169999999999</v>
      </c>
      <c r="L5325">
        <v>-65.474699999999999</v>
      </c>
      <c r="M5325">
        <v>0.99732889999999996</v>
      </c>
      <c r="N5325">
        <v>-1.4231829999999999E-2</v>
      </c>
      <c r="O5325">
        <v>-7.1641659999999996E-2</v>
      </c>
      <c r="P5325">
        <v>0.98405209999999999</v>
      </c>
      <c r="Q5325">
        <v>0.1736182</v>
      </c>
      <c r="R5325">
        <v>-3.8707600000000002E-2</v>
      </c>
      <c r="S5325">
        <v>3.0871279999999999</v>
      </c>
      <c r="T5325">
        <v>-0.1047746</v>
      </c>
      <c r="U5325">
        <v>0.42428589999999999</v>
      </c>
      <c r="V5325">
        <v>-3.5570289999999997E-2</v>
      </c>
      <c r="W5325">
        <v>0.18694749999999999</v>
      </c>
      <c r="X5325">
        <v>0.98172570000000003</v>
      </c>
      <c r="Y5325">
        <v>-0.2066086</v>
      </c>
      <c r="Z5325">
        <v>6.3731279999999996E-3</v>
      </c>
      <c r="AA5325">
        <v>0.97840289999999996</v>
      </c>
      <c r="AB5325">
        <v>26</v>
      </c>
      <c r="AC5325">
        <v>33.153799999999897</v>
      </c>
      <c r="AD5325">
        <v>-1.1292165161918</v>
      </c>
      <c r="AE5325">
        <v>4.5772899999999899</v>
      </c>
      <c r="AF5325">
        <v>-6.9330673363451796</v>
      </c>
      <c r="AG5325">
        <v>-1.1292165161918</v>
      </c>
      <c r="AH5325">
        <v>32.703405079023497</v>
      </c>
      <c r="AI5325">
        <v>91.934618906007799</v>
      </c>
      <c r="AJ5325">
        <v>101.969394929077</v>
      </c>
      <c r="AK5325">
        <v>33.449293810085699</v>
      </c>
      <c r="AL5325">
        <v>79.2253026824214</v>
      </c>
      <c r="AM5325">
        <v>92.075056568663697</v>
      </c>
      <c r="AN5325">
        <v>0.99999998166371096</v>
      </c>
    </row>
    <row r="5326" spans="1:40" x14ac:dyDescent="0.25">
      <c r="A5326" t="str">
        <f>"20190303171121788"</f>
        <v>20190303171121788</v>
      </c>
      <c r="B5326" t="str">
        <f>"1551604281775697"</f>
        <v>1551604281775697</v>
      </c>
      <c r="C5326" t="s">
        <v>40</v>
      </c>
      <c r="D5326">
        <v>5.6904029999999999</v>
      </c>
      <c r="E5326">
        <v>0.4356081</v>
      </c>
      <c r="F5326" t="s">
        <v>105</v>
      </c>
      <c r="G5326">
        <v>-252.27770000000001</v>
      </c>
      <c r="H5326" s="1">
        <v>-2.6313419999999999E-7</v>
      </c>
      <c r="I5326">
        <v>-61.05753</v>
      </c>
      <c r="J5326">
        <v>-283.6472</v>
      </c>
      <c r="K5326">
        <v>1.1291070000000001</v>
      </c>
      <c r="L5326">
        <v>-65.477909999999994</v>
      </c>
      <c r="M5326">
        <v>0.99770130000000001</v>
      </c>
      <c r="N5326">
        <v>-1.4205829999999999E-2</v>
      </c>
      <c r="O5326">
        <v>-6.625876E-2</v>
      </c>
      <c r="P5326">
        <v>0.98435760000000005</v>
      </c>
      <c r="Q5326">
        <v>0.17289109999999999</v>
      </c>
      <c r="R5326">
        <v>-3.3892470000000001E-2</v>
      </c>
      <c r="S5326">
        <v>3.0851139999999999</v>
      </c>
      <c r="T5326">
        <v>-0.1106108</v>
      </c>
      <c r="U5326">
        <v>0.43267820000000001</v>
      </c>
      <c r="V5326">
        <v>-3.5018630000000002E-2</v>
      </c>
      <c r="W5326">
        <v>0.18621570000000001</v>
      </c>
      <c r="X5326">
        <v>0.9818846</v>
      </c>
      <c r="Y5326">
        <v>-0.20401</v>
      </c>
      <c r="Z5326">
        <v>6.5238010000000001E-3</v>
      </c>
      <c r="AA5326">
        <v>0.97894700000000001</v>
      </c>
      <c r="AB5326">
        <v>26</v>
      </c>
      <c r="AC5326">
        <v>31.369499999999899</v>
      </c>
      <c r="AD5326">
        <v>-1.1291072631341901</v>
      </c>
      <c r="AE5326">
        <v>4.4203799999999802</v>
      </c>
      <c r="AF5326">
        <v>-6.4811449718589804</v>
      </c>
      <c r="AG5326">
        <v>-1.1291072631341901</v>
      </c>
      <c r="AH5326">
        <v>30.968292387066299</v>
      </c>
      <c r="AI5326">
        <v>92.0438441292834</v>
      </c>
      <c r="AJ5326">
        <v>101.820441423101</v>
      </c>
      <c r="AK5326">
        <v>31.659362860435799</v>
      </c>
      <c r="AL5326">
        <v>79.267981170126902</v>
      </c>
      <c r="AM5326">
        <v>92.042571651535894</v>
      </c>
      <c r="AN5326">
        <v>0.99999997954536302</v>
      </c>
    </row>
    <row r="5327" spans="1:40" x14ac:dyDescent="0.25">
      <c r="A5327" t="str">
        <f>"20190303171121800"</f>
        <v>20190303171121800</v>
      </c>
      <c r="B5327" t="str">
        <f>"1551604281796192"</f>
        <v>1551604281796192</v>
      </c>
      <c r="C5327" t="s">
        <v>40</v>
      </c>
      <c r="D5327">
        <v>5.6866309999999904</v>
      </c>
      <c r="E5327">
        <v>0.44141720000000001</v>
      </c>
      <c r="F5327" t="s">
        <v>105</v>
      </c>
      <c r="G5327">
        <v>-252.87110000000001</v>
      </c>
      <c r="H5327" s="1">
        <v>-5.2208630000000001E-7</v>
      </c>
      <c r="I5327">
        <v>-61.07723</v>
      </c>
      <c r="J5327">
        <v>-283.51409999999998</v>
      </c>
      <c r="K5327">
        <v>1.1289899999999999</v>
      </c>
      <c r="L5327">
        <v>-65.480990000000006</v>
      </c>
      <c r="M5327">
        <v>0.99806019999999895</v>
      </c>
      <c r="N5327">
        <v>-1.4179270000000001E-2</v>
      </c>
      <c r="O5327">
        <v>-6.0621700000000001E-2</v>
      </c>
      <c r="P5327">
        <v>0.98457530000000004</v>
      </c>
      <c r="Q5327">
        <v>0.172561299999999</v>
      </c>
      <c r="R5327">
        <v>-2.8886309999999998E-2</v>
      </c>
      <c r="S5327">
        <v>3.082703</v>
      </c>
      <c r="T5327">
        <v>-0.113097699999999</v>
      </c>
      <c r="U5327">
        <v>0.44079590000000002</v>
      </c>
      <c r="V5327">
        <v>-3.4408899999999999E-2</v>
      </c>
      <c r="W5327">
        <v>0.18588170000000001</v>
      </c>
      <c r="X5327">
        <v>0.98196950000000005</v>
      </c>
      <c r="Y5327">
        <v>-0.20110729999999999</v>
      </c>
      <c r="Z5327">
        <v>6.4618360000000003E-3</v>
      </c>
      <c r="AA5327">
        <v>0.97954790000000003</v>
      </c>
      <c r="AB5327">
        <v>26</v>
      </c>
      <c r="AC5327">
        <v>30.642999999999901</v>
      </c>
      <c r="AD5327">
        <v>-1.1289905220862999</v>
      </c>
      <c r="AE5327">
        <v>4.4037599999999903</v>
      </c>
      <c r="AF5327">
        <v>-6.2451705140459701</v>
      </c>
      <c r="AG5327">
        <v>-1.1289905220862999</v>
      </c>
      <c r="AH5327">
        <v>30.279369771866399</v>
      </c>
      <c r="AI5327">
        <v>92.0913506339311</v>
      </c>
      <c r="AJ5327">
        <v>101.653932242202</v>
      </c>
      <c r="AK5327">
        <v>30.937307706552101</v>
      </c>
      <c r="AL5327">
        <v>79.287458659467902</v>
      </c>
      <c r="AM5327">
        <v>92.006863192056699</v>
      </c>
      <c r="AN5327">
        <v>1.0000000388621699</v>
      </c>
    </row>
    <row r="5328" spans="1:40" x14ac:dyDescent="0.25">
      <c r="A5328" t="str">
        <f>"20190303171121811"</f>
        <v>20190303171121811</v>
      </c>
      <c r="B5328" t="str">
        <f>"1551604281805952"</f>
        <v>1551604281805952</v>
      </c>
      <c r="C5328" t="s">
        <v>40</v>
      </c>
      <c r="D5328">
        <v>5.6678730000000002</v>
      </c>
      <c r="E5328">
        <v>0.44166169999999999</v>
      </c>
      <c r="F5328" t="s">
        <v>105</v>
      </c>
      <c r="G5328">
        <v>-256.87029999999999</v>
      </c>
      <c r="H5328" s="1">
        <v>-2.4278470000000001E-6</v>
      </c>
      <c r="I5328">
        <v>-61.932189999999999</v>
      </c>
      <c r="J5328">
        <v>-283.37799999999999</v>
      </c>
      <c r="K5328">
        <v>1.128873</v>
      </c>
      <c r="L5328">
        <v>-65.483249999999998</v>
      </c>
      <c r="M5328">
        <v>0.99838859999999996</v>
      </c>
      <c r="N5328">
        <v>-1.415196E-2</v>
      </c>
      <c r="O5328">
        <v>-5.4956089999999999E-2</v>
      </c>
      <c r="P5328">
        <v>0.98476620000000004</v>
      </c>
      <c r="Q5328">
        <v>0.172177</v>
      </c>
      <c r="R5328">
        <v>-2.4309170000000001E-2</v>
      </c>
      <c r="S5328">
        <v>3.081909</v>
      </c>
      <c r="T5328">
        <v>-0.1305914</v>
      </c>
      <c r="U5328">
        <v>0.41049190000000002</v>
      </c>
      <c r="V5328">
        <v>-3.3340929999999998E-2</v>
      </c>
      <c r="W5328">
        <v>0.18550079999999999</v>
      </c>
      <c r="X5328">
        <v>0.98207829999999996</v>
      </c>
      <c r="Y5328">
        <v>-0.1860675</v>
      </c>
      <c r="Z5328">
        <v>6.7912880000000004E-3</v>
      </c>
      <c r="AA5328">
        <v>0.98251350000000004</v>
      </c>
      <c r="AB5328">
        <v>26</v>
      </c>
      <c r="AC5328">
        <v>26.5077</v>
      </c>
      <c r="AD5328">
        <v>-1.1288754278469999</v>
      </c>
      <c r="AE5328">
        <v>3.5510599999999899</v>
      </c>
      <c r="AF5328">
        <v>-4.9937006905851398</v>
      </c>
      <c r="AG5328">
        <v>-1.1288754278469999</v>
      </c>
      <c r="AH5328">
        <v>26.225735749814699</v>
      </c>
      <c r="AI5328">
        <v>92.421300162503201</v>
      </c>
      <c r="AJ5328">
        <v>100.78076117534999</v>
      </c>
      <c r="AK5328">
        <v>26.720790069491802</v>
      </c>
      <c r="AL5328">
        <v>79.309668217186498</v>
      </c>
      <c r="AM5328">
        <v>91.944408273801301</v>
      </c>
      <c r="AN5328">
        <v>0.99999997587239697</v>
      </c>
    </row>
    <row r="5329" spans="1:40" x14ac:dyDescent="0.25">
      <c r="A5329" t="str">
        <f>"20190303171121823"</f>
        <v>20190303171121823</v>
      </c>
      <c r="B5329" t="str">
        <f>"1551604281815712"</f>
        <v>1551604281815712</v>
      </c>
      <c r="C5329" t="s">
        <v>40</v>
      </c>
      <c r="D5329">
        <v>5.6583160000000001</v>
      </c>
      <c r="E5329">
        <v>0.44248609999999999</v>
      </c>
      <c r="F5329" t="s">
        <v>105</v>
      </c>
      <c r="G5329">
        <v>-256.45359999999999</v>
      </c>
      <c r="H5329" s="1">
        <v>-2.2167049999999998E-6</v>
      </c>
      <c r="I5329">
        <v>-61.7866199999999</v>
      </c>
      <c r="J5329">
        <v>-283.2407</v>
      </c>
      <c r="K5329">
        <v>1.1287499999999999</v>
      </c>
      <c r="L5329">
        <v>-65.484859999999998</v>
      </c>
      <c r="M5329">
        <v>0.99868290000000004</v>
      </c>
      <c r="N5329">
        <v>-1.41245E-2</v>
      </c>
      <c r="O5329">
        <v>-4.9325939999999999E-2</v>
      </c>
      <c r="P5329">
        <v>0.9848015</v>
      </c>
      <c r="Q5329">
        <v>0.1725487</v>
      </c>
      <c r="R5329">
        <v>-1.9826170000000001E-2</v>
      </c>
      <c r="S5329">
        <v>3.0794069999999998</v>
      </c>
      <c r="T5329">
        <v>-0.12911199999999901</v>
      </c>
      <c r="U5329">
        <v>0.42279050000000001</v>
      </c>
      <c r="V5329">
        <v>-3.2220779999999997E-2</v>
      </c>
      <c r="W5329">
        <v>0.18587419999999999</v>
      </c>
      <c r="X5329">
        <v>0.9820451</v>
      </c>
      <c r="Y5329">
        <v>-0.1844944</v>
      </c>
      <c r="Z5329">
        <v>6.5235919999999999E-3</v>
      </c>
      <c r="AA5329">
        <v>0.98281189999999996</v>
      </c>
      <c r="AB5329">
        <v>26</v>
      </c>
      <c r="AC5329">
        <v>26.787099999999999</v>
      </c>
      <c r="AD5329">
        <v>-1.1287522167049999</v>
      </c>
      <c r="AE5329">
        <v>3.6982400000000002</v>
      </c>
      <c r="AF5329">
        <v>-5.0064448273232296</v>
      </c>
      <c r="AG5329">
        <v>-1.1287522167049999</v>
      </c>
      <c r="AH5329">
        <v>26.525830749930201</v>
      </c>
      <c r="AI5329">
        <v>92.394410734941204</v>
      </c>
      <c r="AJ5329">
        <v>100.688189283886</v>
      </c>
      <c r="AK5329">
        <v>27.017739882338301</v>
      </c>
      <c r="AL5329">
        <v>79.287895444443805</v>
      </c>
      <c r="AM5329">
        <v>91.879193423993897</v>
      </c>
      <c r="AN5329">
        <v>0.99999998766172904</v>
      </c>
    </row>
    <row r="5330" spans="1:40" x14ac:dyDescent="0.25">
      <c r="A5330" t="str">
        <f>"20190303171121833"</f>
        <v>20190303171121833</v>
      </c>
      <c r="B5330" t="str">
        <f>"1551604281826449"</f>
        <v>1551604281826449</v>
      </c>
      <c r="C5330" t="s">
        <v>40</v>
      </c>
      <c r="D5330">
        <v>5.661187</v>
      </c>
      <c r="E5330">
        <v>0.44347760000000003</v>
      </c>
      <c r="F5330" t="s">
        <v>105</v>
      </c>
      <c r="G5330">
        <v>-255.8417</v>
      </c>
      <c r="H5330" s="1">
        <v>-1.9244659999999999E-6</v>
      </c>
      <c r="I5330">
        <v>-61.652940000000001</v>
      </c>
      <c r="J5330">
        <v>-283.12209999999999</v>
      </c>
      <c r="K5330">
        <v>1.128647</v>
      </c>
      <c r="L5330">
        <v>-65.485810000000001</v>
      </c>
      <c r="M5330">
        <v>0.99890909999999999</v>
      </c>
      <c r="N5330">
        <v>-1.410118E-2</v>
      </c>
      <c r="O5330">
        <v>-4.4516020000000003E-2</v>
      </c>
      <c r="P5330">
        <v>0.98486229999999997</v>
      </c>
      <c r="Q5330">
        <v>0.1725486</v>
      </c>
      <c r="R5330">
        <v>-1.652431E-2</v>
      </c>
      <c r="S5330">
        <v>3.0771480000000002</v>
      </c>
      <c r="T5330">
        <v>-0.12676879999999999</v>
      </c>
      <c r="U5330">
        <v>0.43035889999999999</v>
      </c>
      <c r="V5330">
        <v>-3.0733440000000001E-2</v>
      </c>
      <c r="W5330">
        <v>0.18588640000000001</v>
      </c>
      <c r="X5330">
        <v>0.98209049999999998</v>
      </c>
      <c r="Y5330">
        <v>-0.18224170000000001</v>
      </c>
      <c r="Z5330">
        <v>6.2270950000000002E-3</v>
      </c>
      <c r="AA5330">
        <v>0.98323400000000005</v>
      </c>
      <c r="AB5330">
        <v>26</v>
      </c>
      <c r="AC5330">
        <v>27.280399999999901</v>
      </c>
      <c r="AD5330">
        <v>-1.1286489244659901</v>
      </c>
      <c r="AE5330">
        <v>3.8328700000000002</v>
      </c>
      <c r="AF5330">
        <v>-5.0351536390044904</v>
      </c>
      <c r="AG5330">
        <v>-1.1286489244659901</v>
      </c>
      <c r="AH5330">
        <v>27.037326936253098</v>
      </c>
      <c r="AI5330">
        <v>92.350015783340993</v>
      </c>
      <c r="AJ5330">
        <v>100.549328897493</v>
      </c>
      <c r="AK5330">
        <v>27.525327762279598</v>
      </c>
      <c r="AL5330">
        <v>79.287184432941402</v>
      </c>
      <c r="AM5330">
        <v>91.792423324965497</v>
      </c>
      <c r="AN5330">
        <v>1.00000002411472</v>
      </c>
    </row>
    <row r="5331" spans="1:40" x14ac:dyDescent="0.25">
      <c r="A5331" t="str">
        <f>"20190303171121844"</f>
        <v>20190303171121844</v>
      </c>
      <c r="B5331" t="str">
        <f>"1551604281836208"</f>
        <v>1551604281836208</v>
      </c>
      <c r="C5331" t="s">
        <v>40</v>
      </c>
      <c r="D5331">
        <v>5.6449600000000002</v>
      </c>
      <c r="E5331">
        <v>0.44437569999999998</v>
      </c>
      <c r="F5331" t="s">
        <v>105</v>
      </c>
      <c r="G5331">
        <v>-256.0521</v>
      </c>
      <c r="H5331" s="1">
        <v>-2.0187109999999999E-6</v>
      </c>
      <c r="I5331">
        <v>-61.670909999999999</v>
      </c>
      <c r="J5331">
        <v>-283.00229999999999</v>
      </c>
      <c r="K5331">
        <v>1.1285419999999999</v>
      </c>
      <c r="L5331">
        <v>-65.486050000000006</v>
      </c>
      <c r="M5331">
        <v>0.99911050000000001</v>
      </c>
      <c r="N5331">
        <v>-1.4076750000000001E-2</v>
      </c>
      <c r="O5331">
        <v>-3.9751689999999999E-2</v>
      </c>
      <c r="P5331">
        <v>0.9849272</v>
      </c>
      <c r="Q5331">
        <v>0.172484</v>
      </c>
      <c r="R5331">
        <v>-1.2960040000000001E-2</v>
      </c>
      <c r="S5331">
        <v>3.0758670000000001</v>
      </c>
      <c r="T5331">
        <v>-0.128244</v>
      </c>
      <c r="U5331">
        <v>0.43347170000000002</v>
      </c>
      <c r="V5331">
        <v>-2.9553639999999999E-2</v>
      </c>
      <c r="W5331">
        <v>0.1858264</v>
      </c>
      <c r="X5331">
        <v>0.98213799999999996</v>
      </c>
      <c r="Y5331">
        <v>-0.17858460000000001</v>
      </c>
      <c r="Z5331">
        <v>6.0598880000000003E-3</v>
      </c>
      <c r="AA5331">
        <v>0.9839059</v>
      </c>
      <c r="AB5331">
        <v>26</v>
      </c>
      <c r="AC5331">
        <v>26.950199999999899</v>
      </c>
      <c r="AD5331">
        <v>-1.1285440187110001</v>
      </c>
      <c r="AE5331">
        <v>3.81514</v>
      </c>
      <c r="AF5331">
        <v>-4.8751651589087199</v>
      </c>
      <c r="AG5331">
        <v>-1.1285440187110001</v>
      </c>
      <c r="AH5331">
        <v>26.731267609720501</v>
      </c>
      <c r="AI5331">
        <v>92.378301790084905</v>
      </c>
      <c r="AJ5331">
        <v>100.335830059062</v>
      </c>
      <c r="AK5331">
        <v>27.1956157303213</v>
      </c>
      <c r="AL5331">
        <v>79.290682441048801</v>
      </c>
      <c r="AM5331">
        <v>91.723574526454797</v>
      </c>
      <c r="AN5331">
        <v>0.99999995980910295</v>
      </c>
    </row>
    <row r="5332" spans="1:40" x14ac:dyDescent="0.25">
      <c r="A5332" t="str">
        <f>"20190303171121854"</f>
        <v>20190303171121854</v>
      </c>
      <c r="B5332" t="str">
        <f>"1551604281845970"</f>
        <v>1551604281845970</v>
      </c>
      <c r="C5332" t="s">
        <v>40</v>
      </c>
      <c r="D5332">
        <v>5.6436469999999996</v>
      </c>
      <c r="E5332">
        <v>0.44507799999999997</v>
      </c>
      <c r="F5332" t="s">
        <v>105</v>
      </c>
      <c r="G5332">
        <v>-256.04239999999999</v>
      </c>
      <c r="H5332" s="1">
        <v>-2.0081049999999998E-6</v>
      </c>
      <c r="I5332">
        <v>-61.641860000000001</v>
      </c>
      <c r="J5332">
        <v>-282.87509999999997</v>
      </c>
      <c r="K5332">
        <v>1.1284299999999901</v>
      </c>
      <c r="L5332">
        <v>-65.486019999999996</v>
      </c>
      <c r="M5332">
        <v>0.99929800000000002</v>
      </c>
      <c r="N5332">
        <v>-1.405141E-2</v>
      </c>
      <c r="O5332">
        <v>-3.4729990000000002E-2</v>
      </c>
      <c r="P5332">
        <v>0.9850527</v>
      </c>
      <c r="Q5332">
        <v>0.17199900000000001</v>
      </c>
      <c r="R5332">
        <v>-9.3621050000000008E-3</v>
      </c>
      <c r="S5332">
        <v>3.074249</v>
      </c>
      <c r="T5332">
        <v>-0.12868830000000001</v>
      </c>
      <c r="U5332">
        <v>0.43835449999999998</v>
      </c>
      <c r="V5332">
        <v>-2.814608E-2</v>
      </c>
      <c r="W5332">
        <v>0.1853504</v>
      </c>
      <c r="X5332">
        <v>0.98226930000000001</v>
      </c>
      <c r="Y5332">
        <v>-0.1752466</v>
      </c>
      <c r="Z5332">
        <v>5.8474140000000004E-3</v>
      </c>
      <c r="AA5332">
        <v>0.98450720000000003</v>
      </c>
      <c r="AB5332">
        <v>26</v>
      </c>
      <c r="AC5332">
        <v>26.8326999999999</v>
      </c>
      <c r="AD5332">
        <v>-1.1284320081050001</v>
      </c>
      <c r="AE5332">
        <v>3.8441599999999898</v>
      </c>
      <c r="AF5332">
        <v>-4.76557310917919</v>
      </c>
      <c r="AG5332">
        <v>-1.1284320081050001</v>
      </c>
      <c r="AH5332">
        <v>26.636827057129501</v>
      </c>
      <c r="AI5332">
        <v>92.387934130793695</v>
      </c>
      <c r="AJ5332">
        <v>100.14342474002299</v>
      </c>
      <c r="AK5332">
        <v>27.083290079443302</v>
      </c>
      <c r="AL5332">
        <v>79.318437570535195</v>
      </c>
      <c r="AM5332">
        <v>91.641312061880896</v>
      </c>
      <c r="AN5332">
        <v>0.99999997516100703</v>
      </c>
    </row>
    <row r="5333" spans="1:40" x14ac:dyDescent="0.25">
      <c r="A5333" t="str">
        <f>"20190303171121866"</f>
        <v>20190303171121866</v>
      </c>
      <c r="B5333" t="str">
        <f>"1551604281855729"</f>
        <v>1551604281855729</v>
      </c>
      <c r="C5333" t="s">
        <v>40</v>
      </c>
      <c r="D5333">
        <v>5.6188529999999997</v>
      </c>
      <c r="E5333">
        <v>0.44554120000000003</v>
      </c>
      <c r="F5333" t="s">
        <v>105</v>
      </c>
      <c r="G5333">
        <v>-256.27289999999999</v>
      </c>
      <c r="H5333" s="1">
        <v>-2.1060249999999999E-6</v>
      </c>
      <c r="I5333">
        <v>-61.637540000000001</v>
      </c>
      <c r="J5333">
        <v>-282.7441</v>
      </c>
      <c r="K5333">
        <v>1.128312</v>
      </c>
      <c r="L5333">
        <v>-65.485050000000001</v>
      </c>
      <c r="M5333">
        <v>0.99946089999999999</v>
      </c>
      <c r="N5333">
        <v>-1.402407E-2</v>
      </c>
      <c r="O5333">
        <v>-2.968413E-2</v>
      </c>
      <c r="P5333">
        <v>0.98520160000000001</v>
      </c>
      <c r="Q5333">
        <v>0.171312299999999</v>
      </c>
      <c r="R5333">
        <v>-5.4669410000000003E-3</v>
      </c>
      <c r="S5333">
        <v>3.072479</v>
      </c>
      <c r="T5333">
        <v>-0.13033059999999999</v>
      </c>
      <c r="U5333">
        <v>0.44448850000000001</v>
      </c>
      <c r="V5333">
        <v>-2.700721E-2</v>
      </c>
      <c r="W5333">
        <v>0.18466569999999999</v>
      </c>
      <c r="X5333">
        <v>0.98243020000000003</v>
      </c>
      <c r="Y5333">
        <v>-0.17228060000000001</v>
      </c>
      <c r="Z5333">
        <v>5.6872549999999996E-3</v>
      </c>
      <c r="AA5333">
        <v>0.98503149999999995</v>
      </c>
      <c r="AB5333">
        <v>26</v>
      </c>
      <c r="AC5333">
        <v>26.4712</v>
      </c>
      <c r="AD5333">
        <v>-1.1283141060249999</v>
      </c>
      <c r="AE5333">
        <v>3.8475100000000002</v>
      </c>
      <c r="AF5333">
        <v>-4.6234398488855604</v>
      </c>
      <c r="AG5333">
        <v>-1.1283141060249999</v>
      </c>
      <c r="AH5333">
        <v>26.298520119431</v>
      </c>
      <c r="AI5333">
        <v>92.419653301794199</v>
      </c>
      <c r="AJ5333">
        <v>99.971052207970004</v>
      </c>
      <c r="AK5333">
        <v>26.7256702297666</v>
      </c>
      <c r="AL5333">
        <v>79.358356895989203</v>
      </c>
      <c r="AM5333">
        <v>91.574676277553095</v>
      </c>
      <c r="AN5333">
        <v>0.99999995401025599</v>
      </c>
    </row>
    <row r="5334" spans="1:40" x14ac:dyDescent="0.25">
      <c r="A5334" t="str">
        <f>"20190303171121878"</f>
        <v>20190303171121878</v>
      </c>
      <c r="B5334" t="str">
        <f>"1551604281866466"</f>
        <v>1551604281866466</v>
      </c>
      <c r="C5334" t="s">
        <v>40</v>
      </c>
      <c r="D5334">
        <v>5.628152</v>
      </c>
      <c r="E5334">
        <v>0.44554120000000003</v>
      </c>
      <c r="F5334" t="s">
        <v>105</v>
      </c>
      <c r="G5334">
        <v>-256.78109999999998</v>
      </c>
      <c r="H5334" s="1">
        <v>-2.327708E-6</v>
      </c>
      <c r="I5334">
        <v>-61.653930000000003</v>
      </c>
      <c r="J5334">
        <v>-282.61810000000003</v>
      </c>
      <c r="K5334">
        <v>1.1281969999999999</v>
      </c>
      <c r="L5334">
        <v>-65.483949999999993</v>
      </c>
      <c r="M5334">
        <v>0.99959279999999995</v>
      </c>
      <c r="N5334">
        <v>-1.399863E-2</v>
      </c>
      <c r="O5334">
        <v>-2.486271E-2</v>
      </c>
      <c r="P5334">
        <v>0.98545660000000002</v>
      </c>
      <c r="Q5334">
        <v>0.1699175</v>
      </c>
      <c r="R5334">
        <v>-1.8828580000000001E-3</v>
      </c>
      <c r="S5334">
        <v>3.07077</v>
      </c>
      <c r="T5334">
        <v>-0.1334515</v>
      </c>
      <c r="U5334">
        <v>0.453125</v>
      </c>
      <c r="V5334">
        <v>-2.5771659999999998E-2</v>
      </c>
      <c r="W5334">
        <v>0.183277</v>
      </c>
      <c r="X5334">
        <v>0.98272349999999997</v>
      </c>
      <c r="Y5334">
        <v>-0.17031399999999999</v>
      </c>
      <c r="Z5334">
        <v>5.6071019999999897E-3</v>
      </c>
      <c r="AA5334">
        <v>0.98537390000000002</v>
      </c>
      <c r="AB5334">
        <v>26</v>
      </c>
      <c r="AC5334">
        <v>25.837</v>
      </c>
      <c r="AD5334">
        <v>-1.12819932770799</v>
      </c>
      <c r="AE5334">
        <v>3.83001999999999</v>
      </c>
      <c r="AF5334">
        <v>-4.4629500049722397</v>
      </c>
      <c r="AG5334">
        <v>-1.12819932770799</v>
      </c>
      <c r="AH5334">
        <v>25.685854834840701</v>
      </c>
      <c r="AI5334">
        <v>92.477907009859294</v>
      </c>
      <c r="AJ5334">
        <v>99.856810105865193</v>
      </c>
      <c r="AK5334">
        <v>26.0950933140012</v>
      </c>
      <c r="AL5334">
        <v>79.439306317420304</v>
      </c>
      <c r="AM5334">
        <v>91.502222123564096</v>
      </c>
      <c r="AN5334">
        <v>1.0000000573201999</v>
      </c>
    </row>
    <row r="5335" spans="1:40" x14ac:dyDescent="0.25">
      <c r="A5335" t="str">
        <f>"20190303171121888"</f>
        <v>20190303171121888</v>
      </c>
      <c r="B5335" t="str">
        <f>"1551604281876224"</f>
        <v>1551604281876224</v>
      </c>
      <c r="C5335" t="s">
        <v>40</v>
      </c>
      <c r="D5335">
        <v>5.6183769999999997</v>
      </c>
      <c r="E5335">
        <v>0.4520033</v>
      </c>
      <c r="F5335" t="s">
        <v>105</v>
      </c>
      <c r="G5335">
        <v>-257.49720000000002</v>
      </c>
      <c r="H5335" s="1">
        <v>-2.641475E-6</v>
      </c>
      <c r="I5335">
        <v>-61.683450000000001</v>
      </c>
      <c r="J5335">
        <v>-282.48669999999998</v>
      </c>
      <c r="K5335">
        <v>1.1280779999999999</v>
      </c>
      <c r="L5335">
        <v>-65.481870000000001</v>
      </c>
      <c r="M5335">
        <v>0.99970340000000002</v>
      </c>
      <c r="N5335">
        <v>-1.397145E-2</v>
      </c>
      <c r="O5335">
        <v>-1.9949060000000001E-2</v>
      </c>
      <c r="P5335">
        <v>0.98568009999999995</v>
      </c>
      <c r="Q5335">
        <v>0.16861209999999999</v>
      </c>
      <c r="R5335">
        <v>2.2042160000000002E-3</v>
      </c>
      <c r="S5335">
        <v>3.0689389999999999</v>
      </c>
      <c r="T5335">
        <v>-0.13782849999999999</v>
      </c>
      <c r="U5335">
        <v>0.4642944</v>
      </c>
      <c r="V5335">
        <v>-2.4945579999999998E-2</v>
      </c>
      <c r="W5335">
        <v>0.18196850000000001</v>
      </c>
      <c r="X5335">
        <v>0.98298790000000003</v>
      </c>
      <c r="Y5335">
        <v>-0.16905390000000001</v>
      </c>
      <c r="Z5335">
        <v>5.5750369999999997E-3</v>
      </c>
      <c r="AA5335">
        <v>0.98559110000000005</v>
      </c>
      <c r="AB5335">
        <v>26</v>
      </c>
      <c r="AC5335">
        <v>24.9894999999999</v>
      </c>
      <c r="AD5335">
        <v>-1.128080641475</v>
      </c>
      <c r="AE5335">
        <v>3.7984199999999899</v>
      </c>
      <c r="AF5335">
        <v>-4.28768943090334</v>
      </c>
      <c r="AG5335">
        <v>-1.128080641475</v>
      </c>
      <c r="AH5335">
        <v>24.8592291948449</v>
      </c>
      <c r="AI5335">
        <v>92.560473024100403</v>
      </c>
      <c r="AJ5335">
        <v>99.786022770006895</v>
      </c>
      <c r="AK5335">
        <v>25.251497435823001</v>
      </c>
      <c r="AL5335">
        <v>79.515559746859907</v>
      </c>
      <c r="AM5335">
        <v>91.453700242357101</v>
      </c>
      <c r="AN5335">
        <v>1.00000001425009</v>
      </c>
    </row>
    <row r="5336" spans="1:40" x14ac:dyDescent="0.25">
      <c r="A5336" t="str">
        <f>"20190303171121900"</f>
        <v>20190303171121900</v>
      </c>
      <c r="B5336" t="str">
        <f>"1551604281885984"</f>
        <v>1551604281885984</v>
      </c>
      <c r="C5336" t="s">
        <v>40</v>
      </c>
      <c r="D5336">
        <v>5.6130190000000004</v>
      </c>
      <c r="E5336">
        <v>0.45312770000000002</v>
      </c>
      <c r="F5336" t="s">
        <v>105</v>
      </c>
      <c r="G5336">
        <v>-259.17509999999999</v>
      </c>
      <c r="H5336" s="1">
        <v>-3.394658E-6</v>
      </c>
      <c r="I5336">
        <v>-62.248309999999996</v>
      </c>
      <c r="J5336">
        <v>-282.35640000000001</v>
      </c>
      <c r="K5336">
        <v>1.127964</v>
      </c>
      <c r="L5336">
        <v>-65.479460000000003</v>
      </c>
      <c r="M5336">
        <v>0.99978849999999997</v>
      </c>
      <c r="N5336">
        <v>-1.394541E-2</v>
      </c>
      <c r="O5336">
        <v>-1.512428E-2</v>
      </c>
      <c r="P5336">
        <v>0.98586640000000003</v>
      </c>
      <c r="Q5336">
        <v>0.16741800000000001</v>
      </c>
      <c r="R5336">
        <v>6.2221000000000004E-3</v>
      </c>
      <c r="S5336">
        <v>3.0680239999999999</v>
      </c>
      <c r="T5336">
        <v>-0.14846619999999999</v>
      </c>
      <c r="U5336">
        <v>0.42556759999999899</v>
      </c>
      <c r="V5336">
        <v>-2.4140559999999998E-2</v>
      </c>
      <c r="W5336">
        <v>0.18077080000000001</v>
      </c>
      <c r="X5336">
        <v>0.98322889999999996</v>
      </c>
      <c r="Y5336">
        <v>-0.15212709999999999</v>
      </c>
      <c r="Z5336">
        <v>5.2461729999999998E-3</v>
      </c>
      <c r="AA5336">
        <v>0.98834710000000003</v>
      </c>
      <c r="AB5336">
        <v>26</v>
      </c>
      <c r="AC5336">
        <v>23.1813</v>
      </c>
      <c r="AD5336">
        <v>-1.127967394658</v>
      </c>
      <c r="AE5336">
        <v>3.23115</v>
      </c>
      <c r="AF5336">
        <v>-3.5731162178358198</v>
      </c>
      <c r="AG5336">
        <v>-1.127967394658</v>
      </c>
      <c r="AH5336">
        <v>23.076179431889202</v>
      </c>
      <c r="AI5336">
        <v>92.765496159522201</v>
      </c>
      <c r="AJ5336">
        <v>98.801781964026205</v>
      </c>
      <c r="AK5336">
        <v>23.3783987287906</v>
      </c>
      <c r="AL5336">
        <v>79.585339636285198</v>
      </c>
      <c r="AM5336">
        <v>91.406462294176393</v>
      </c>
      <c r="AN5336">
        <v>0.99999995928248098</v>
      </c>
    </row>
    <row r="5337" spans="1:40" x14ac:dyDescent="0.25">
      <c r="A5337" t="str">
        <f>"20190303171121926"</f>
        <v>20190303171121926</v>
      </c>
      <c r="B5337" t="str">
        <f>"1551604281916241"</f>
        <v>1551604281916241</v>
      </c>
      <c r="C5337" t="s">
        <v>40</v>
      </c>
      <c r="D5337">
        <v>5.6123139999999996</v>
      </c>
      <c r="E5337">
        <v>0.45443679999999997</v>
      </c>
      <c r="F5337" t="s">
        <v>42</v>
      </c>
      <c r="G5337">
        <v>-260.15379999999999</v>
      </c>
      <c r="H5337" s="1">
        <v>3.990178E-7</v>
      </c>
      <c r="I5337">
        <v>-62.374519999999997</v>
      </c>
      <c r="J5337">
        <v>-282.06670000000003</v>
      </c>
      <c r="K5337">
        <v>1.1277349999999999</v>
      </c>
      <c r="L5337">
        <v>-65.471859999999893</v>
      </c>
      <c r="M5337">
        <v>0.99989280000000003</v>
      </c>
      <c r="N5337">
        <v>-1.388933E-2</v>
      </c>
      <c r="O5337">
        <v>-4.6647160000000002E-3</v>
      </c>
      <c r="P5337">
        <v>0.98595290000000002</v>
      </c>
      <c r="Q5337">
        <v>0.16637829999999901</v>
      </c>
      <c r="R5337">
        <v>1.4677819999999999E-2</v>
      </c>
      <c r="S5337">
        <v>3.0667420000000001</v>
      </c>
      <c r="T5337">
        <v>-0.15580079999999999</v>
      </c>
      <c r="U5337">
        <v>0.42886350000000001</v>
      </c>
      <c r="V5337">
        <v>-2.2165399999999998E-2</v>
      </c>
      <c r="W5337">
        <v>0.17972260000000001</v>
      </c>
      <c r="X5337">
        <v>0.9834676</v>
      </c>
      <c r="Y5337">
        <v>-0.14288029999999999</v>
      </c>
      <c r="Z5337">
        <v>4.7787029999999996E-3</v>
      </c>
      <c r="AA5337">
        <v>0.98972850000000001</v>
      </c>
      <c r="AB5337">
        <v>26</v>
      </c>
      <c r="AC5337">
        <v>21.9129</v>
      </c>
      <c r="AD5337">
        <v>-1.12773460098219</v>
      </c>
      <c r="AE5337">
        <v>3.0973399999999902</v>
      </c>
      <c r="AF5337">
        <v>-3.19124686668563</v>
      </c>
      <c r="AG5337">
        <v>-1.12773460098219</v>
      </c>
      <c r="AH5337">
        <v>21.841495997934601</v>
      </c>
      <c r="AI5337">
        <v>92.924710319956105</v>
      </c>
      <c r="AJ5337">
        <v>98.312629832821003</v>
      </c>
      <c r="AK5337">
        <v>22.102189695190301</v>
      </c>
      <c r="AL5337">
        <v>79.646397737802502</v>
      </c>
      <c r="AM5337">
        <v>91.291114117345998</v>
      </c>
      <c r="AN5337">
        <v>1.0000000190788301</v>
      </c>
    </row>
    <row r="5338" spans="1:40" x14ac:dyDescent="0.25">
      <c r="A5338" t="str">
        <f>"20190303171121936"</f>
        <v>20190303171121936</v>
      </c>
      <c r="B5338" t="str">
        <f>"1551604281926001"</f>
        <v>1551604281926001</v>
      </c>
      <c r="C5338" t="s">
        <v>40</v>
      </c>
      <c r="D5338">
        <v>5.5896160000000004</v>
      </c>
      <c r="E5338">
        <v>0.45463870000000001</v>
      </c>
      <c r="F5338" t="s">
        <v>42</v>
      </c>
      <c r="G5338">
        <v>-260.44220000000001</v>
      </c>
      <c r="H5338" s="1">
        <v>2.8515859999999899E-7</v>
      </c>
      <c r="I5338">
        <v>-62.337560000000003</v>
      </c>
      <c r="J5338">
        <v>-281.94049999999999</v>
      </c>
      <c r="K5338">
        <v>1.1276379999999999</v>
      </c>
      <c r="L5338">
        <v>-65.467959999999906</v>
      </c>
      <c r="M5338">
        <v>0.99990389999999996</v>
      </c>
      <c r="N5338">
        <v>-1.3866109999999999E-2</v>
      </c>
      <c r="O5338">
        <v>-1.832258E-4</v>
      </c>
      <c r="P5338">
        <v>0.98590770000000005</v>
      </c>
      <c r="Q5338">
        <v>0.16630410000000001</v>
      </c>
      <c r="R5338">
        <v>1.8148839999999999E-2</v>
      </c>
      <c r="S5338">
        <v>3.0631409999999999</v>
      </c>
      <c r="T5338">
        <v>-0.159745</v>
      </c>
      <c r="U5338">
        <v>0.44396970000000002</v>
      </c>
      <c r="V5338">
        <v>-2.117339E-2</v>
      </c>
      <c r="W5338">
        <v>0.1796461</v>
      </c>
      <c r="X5338">
        <v>0.98350340000000003</v>
      </c>
      <c r="Y5338">
        <v>-0.14337929999999999</v>
      </c>
      <c r="Z5338">
        <v>4.7238330000000002E-3</v>
      </c>
      <c r="AA5338">
        <v>0.9896566</v>
      </c>
      <c r="AB5338">
        <v>26</v>
      </c>
      <c r="AC5338">
        <v>21.498299999999901</v>
      </c>
      <c r="AD5338">
        <v>-1.1276377148414001</v>
      </c>
      <c r="AE5338">
        <v>3.1303999999999901</v>
      </c>
      <c r="AF5338">
        <v>-3.12591773190357</v>
      </c>
      <c r="AG5338">
        <v>-1.1276377148414001</v>
      </c>
      <c r="AH5338">
        <v>21.439963905446302</v>
      </c>
      <c r="AI5338">
        <v>92.979263661287206</v>
      </c>
      <c r="AJ5338">
        <v>98.295198973080502</v>
      </c>
      <c r="AK5338">
        <v>21.695966923587498</v>
      </c>
      <c r="AL5338">
        <v>79.650853034800306</v>
      </c>
      <c r="AM5338">
        <v>91.233303835015207</v>
      </c>
      <c r="AN5338">
        <v>0.99999998575043103</v>
      </c>
    </row>
    <row r="5339" spans="1:40" x14ac:dyDescent="0.25">
      <c r="A5339" t="str">
        <f>"20190303171121947"</f>
        <v>20190303171121947</v>
      </c>
      <c r="B5339" t="str">
        <f>"1551604281935760"</f>
        <v>1551604281935760</v>
      </c>
      <c r="C5339" t="s">
        <v>40</v>
      </c>
      <c r="D5339">
        <v>5.5627069999999996</v>
      </c>
      <c r="E5339">
        <v>0.45525139999999997</v>
      </c>
      <c r="F5339" t="s">
        <v>42</v>
      </c>
      <c r="G5339">
        <v>-260.7543</v>
      </c>
      <c r="H5339" s="1">
        <v>1.52595899999999E-7</v>
      </c>
      <c r="I5339">
        <v>-62.332520000000002</v>
      </c>
      <c r="J5339">
        <v>-281.81349999999998</v>
      </c>
      <c r="K5339">
        <v>1.127545</v>
      </c>
      <c r="L5339">
        <v>-65.463130000000007</v>
      </c>
      <c r="M5339">
        <v>0.99989530000000004</v>
      </c>
      <c r="N5339">
        <v>-1.384264E-2</v>
      </c>
      <c r="O5339">
        <v>4.2104200000000003E-3</v>
      </c>
      <c r="P5339">
        <v>0.98588200000000004</v>
      </c>
      <c r="Q5339">
        <v>0.16607769999999999</v>
      </c>
      <c r="R5339">
        <v>2.1324429999999998E-2</v>
      </c>
      <c r="S5339">
        <v>3.0620419999999999</v>
      </c>
      <c r="T5339">
        <v>-0.1629775</v>
      </c>
      <c r="U5339">
        <v>0.45315549999999999</v>
      </c>
      <c r="V5339">
        <v>-1.9972230000000001E-2</v>
      </c>
      <c r="W5339">
        <v>0.17942089999999999</v>
      </c>
      <c r="X5339">
        <v>0.98356960000000004</v>
      </c>
      <c r="Y5339">
        <v>-0.14198450000000001</v>
      </c>
      <c r="Z5339">
        <v>4.5796700000000001E-3</v>
      </c>
      <c r="AA5339">
        <v>0.98985829999999997</v>
      </c>
      <c r="AB5339">
        <v>26</v>
      </c>
      <c r="AC5339">
        <v>21.059199999999901</v>
      </c>
      <c r="AD5339">
        <v>-1.1275448474041001</v>
      </c>
      <c r="AE5339">
        <v>3.1306100000000101</v>
      </c>
      <c r="AF5339">
        <v>-3.03339781120994</v>
      </c>
      <c r="AG5339">
        <v>-1.1275448474041001</v>
      </c>
      <c r="AH5339">
        <v>21.013259245995901</v>
      </c>
      <c r="AI5339">
        <v>93.040021491510203</v>
      </c>
      <c r="AJ5339">
        <v>98.214265987241305</v>
      </c>
      <c r="AK5339">
        <v>21.2609953624799</v>
      </c>
      <c r="AL5339">
        <v>79.663968822097004</v>
      </c>
      <c r="AM5339">
        <v>91.163280408747696</v>
      </c>
      <c r="AN5339">
        <v>0.99999995368606998</v>
      </c>
    </row>
    <row r="5340" spans="1:40" x14ac:dyDescent="0.25">
      <c r="A5340" t="str">
        <f>"20190303171121959"</f>
        <v>20190303171121959</v>
      </c>
      <c r="B5340" t="str">
        <f>"1551604281946497"</f>
        <v>1551604281946497</v>
      </c>
      <c r="C5340" t="s">
        <v>40</v>
      </c>
      <c r="D5340">
        <v>5.5936599999999999</v>
      </c>
      <c r="E5340">
        <v>0.4558856</v>
      </c>
      <c r="F5340" t="s">
        <v>42</v>
      </c>
      <c r="G5340">
        <v>-260.14339999999999</v>
      </c>
      <c r="H5340" s="1">
        <v>4.4435999999999999E-7</v>
      </c>
      <c r="I5340">
        <v>-62.220950000000002</v>
      </c>
      <c r="J5340">
        <v>-281.69060000000002</v>
      </c>
      <c r="K5340">
        <v>1.1274569999999999</v>
      </c>
      <c r="L5340">
        <v>-65.458280000000002</v>
      </c>
      <c r="M5340">
        <v>0.99986889999999995</v>
      </c>
      <c r="N5340">
        <v>-1.382007E-2</v>
      </c>
      <c r="O5340">
        <v>8.4436839999999999E-3</v>
      </c>
      <c r="P5340">
        <v>0.98580299999999998</v>
      </c>
      <c r="Q5340">
        <v>0.16611570000000001</v>
      </c>
      <c r="R5340">
        <v>2.4451460000000001E-2</v>
      </c>
      <c r="S5340">
        <v>3.0598749999999999</v>
      </c>
      <c r="T5340">
        <v>-0.15921179999999999</v>
      </c>
      <c r="U5340">
        <v>0.45779419999999998</v>
      </c>
      <c r="V5340">
        <v>-1.888542E-2</v>
      </c>
      <c r="W5340">
        <v>0.17945710000000001</v>
      </c>
      <c r="X5340">
        <v>0.98358449999999997</v>
      </c>
      <c r="Y5340">
        <v>-0.13938010000000001</v>
      </c>
      <c r="Z5340">
        <v>4.2524290000000003E-3</v>
      </c>
      <c r="AA5340">
        <v>0.99022980000000005</v>
      </c>
      <c r="AB5340">
        <v>26</v>
      </c>
      <c r="AC5340">
        <v>21.5472</v>
      </c>
      <c r="AD5340">
        <v>-1.12745655564</v>
      </c>
      <c r="AE5340">
        <v>3.23733</v>
      </c>
      <c r="AF5340">
        <v>-3.04710095514733</v>
      </c>
      <c r="AG5340">
        <v>-1.12745655564</v>
      </c>
      <c r="AH5340">
        <v>21.516160593351799</v>
      </c>
      <c r="AI5340">
        <v>92.969999928330793</v>
      </c>
      <c r="AJ5340">
        <v>98.060578723610206</v>
      </c>
      <c r="AK5340">
        <v>21.7600815530323</v>
      </c>
      <c r="AL5340">
        <v>79.661860866278701</v>
      </c>
      <c r="AM5340">
        <v>91.099978617414905</v>
      </c>
      <c r="AN5340">
        <v>0.99999998923461797</v>
      </c>
    </row>
    <row r="5341" spans="1:40" x14ac:dyDescent="0.25">
      <c r="A5341" t="str">
        <f>"20190303171121967"</f>
        <v>20190303171121967</v>
      </c>
      <c r="B5341" t="str">
        <f>"1551604281956256"</f>
        <v>1551604281956256</v>
      </c>
      <c r="C5341" t="s">
        <v>40</v>
      </c>
      <c r="D5341">
        <v>5.5330079999999997</v>
      </c>
      <c r="E5341">
        <v>0.45655129999999999</v>
      </c>
      <c r="F5341" t="s">
        <v>105</v>
      </c>
      <c r="G5341">
        <v>-259.91660000000002</v>
      </c>
      <c r="H5341" s="1">
        <v>-3.6360119999999999E-6</v>
      </c>
      <c r="I5341">
        <v>-62.166049999999998</v>
      </c>
      <c r="J5341">
        <v>-281.5772</v>
      </c>
      <c r="K5341">
        <v>1.1273770000000001</v>
      </c>
      <c r="L5341">
        <v>-65.453190000000006</v>
      </c>
      <c r="M5341">
        <v>0.99982950000000004</v>
      </c>
      <c r="N5341">
        <v>-1.379675E-2</v>
      </c>
      <c r="O5341">
        <v>1.2275579999999999E-2</v>
      </c>
      <c r="P5341">
        <v>0.98573829999999996</v>
      </c>
      <c r="Q5341">
        <v>0.1660307</v>
      </c>
      <c r="R5341">
        <v>2.7457189999999999E-2</v>
      </c>
      <c r="S5341">
        <v>3.058411</v>
      </c>
      <c r="T5341">
        <v>-0.15836500000000001</v>
      </c>
      <c r="U5341">
        <v>0.46243289999999998</v>
      </c>
      <c r="V5341">
        <v>-1.8076209999999999E-2</v>
      </c>
      <c r="W5341">
        <v>0.17936469999999999</v>
      </c>
      <c r="X5341">
        <v>0.98361659999999995</v>
      </c>
      <c r="Y5341">
        <v>-0.13713139999999999</v>
      </c>
      <c r="Z5341">
        <v>4.0170290000000001E-3</v>
      </c>
      <c r="AA5341">
        <v>0.99054469999999994</v>
      </c>
      <c r="AB5341">
        <v>26</v>
      </c>
      <c r="AC5341">
        <v>21.660599999999899</v>
      </c>
      <c r="AD5341">
        <v>-1.127380636012</v>
      </c>
      <c r="AE5341">
        <v>3.28714</v>
      </c>
      <c r="AF5341">
        <v>-3.0129922554325699</v>
      </c>
      <c r="AG5341">
        <v>-1.127380636012</v>
      </c>
      <c r="AH5341">
        <v>21.642015762379501</v>
      </c>
      <c r="AI5341">
        <v>92.953534676561006</v>
      </c>
      <c r="AJ5341">
        <v>97.925750260722893</v>
      </c>
      <c r="AK5341">
        <v>21.8798070304296</v>
      </c>
      <c r="AL5341">
        <v>79.6672427443917</v>
      </c>
      <c r="AM5341">
        <v>91.052822790293007</v>
      </c>
      <c r="AN5341">
        <v>1.0000000303848</v>
      </c>
    </row>
    <row r="5342" spans="1:40" x14ac:dyDescent="0.25">
      <c r="A5342" t="str">
        <f>"20190303171121989"</f>
        <v>20190303171121989</v>
      </c>
      <c r="B5342" t="str">
        <f>"1551604281975776"</f>
        <v>1551604281975776</v>
      </c>
      <c r="C5342" t="s">
        <v>40</v>
      </c>
      <c r="D5342">
        <v>5.5471969999999997</v>
      </c>
      <c r="E5342">
        <v>0.4571634</v>
      </c>
      <c r="F5342" t="s">
        <v>105</v>
      </c>
      <c r="G5342">
        <v>-259.91050000000001</v>
      </c>
      <c r="H5342" s="1">
        <v>-3.6315560000000001E-6</v>
      </c>
      <c r="I5342">
        <v>-62.148400000000002</v>
      </c>
      <c r="J5342">
        <v>-281.33170000000001</v>
      </c>
      <c r="K5342">
        <v>1.1272040000000001</v>
      </c>
      <c r="L5342">
        <v>-65.441009999999906</v>
      </c>
      <c r="M5342">
        <v>0.99969669999999999</v>
      </c>
      <c r="N5342">
        <v>-1.374621E-2</v>
      </c>
      <c r="O5342">
        <v>2.0439140000000001E-2</v>
      </c>
      <c r="P5342">
        <v>0.98559280000000005</v>
      </c>
      <c r="Q5342">
        <v>0.16561519999999999</v>
      </c>
      <c r="R5342">
        <v>3.4327389999999999E-2</v>
      </c>
      <c r="S5342">
        <v>3.0571899999999999</v>
      </c>
      <c r="T5342">
        <v>-0.1590743</v>
      </c>
      <c r="U5342">
        <v>0.46630859999999902</v>
      </c>
      <c r="V5342">
        <v>-1.6815420000000001E-2</v>
      </c>
      <c r="W5342">
        <v>0.17892559999999999</v>
      </c>
      <c r="X5342">
        <v>0.98371889999999995</v>
      </c>
      <c r="Y5342">
        <v>-0.1303417</v>
      </c>
      <c r="Z5342">
        <v>3.494207E-3</v>
      </c>
      <c r="AA5342">
        <v>0.99146299999999998</v>
      </c>
      <c r="AB5342">
        <v>26</v>
      </c>
      <c r="AC5342">
        <v>21.421199999999999</v>
      </c>
      <c r="AD5342">
        <v>-1.127207631556</v>
      </c>
      <c r="AE5342">
        <v>3.2926099999999798</v>
      </c>
      <c r="AF5342">
        <v>-2.8463502255328699</v>
      </c>
      <c r="AG5342">
        <v>-1.127207631556</v>
      </c>
      <c r="AH5342">
        <v>21.426069645700402</v>
      </c>
      <c r="AI5342">
        <v>92.985327796274404</v>
      </c>
      <c r="AJ5342">
        <v>97.567161416763597</v>
      </c>
      <c r="AK5342">
        <v>21.6436773010834</v>
      </c>
      <c r="AL5342">
        <v>79.692814710544496</v>
      </c>
      <c r="AM5342">
        <v>90.979302902867104</v>
      </c>
      <c r="AN5342">
        <v>1.0000000014511701</v>
      </c>
    </row>
    <row r="5343" spans="1:40" x14ac:dyDescent="0.25">
      <c r="A5343" t="str">
        <f>"20190303171122002"</f>
        <v>20190303171122002</v>
      </c>
      <c r="B5343" t="str">
        <f>"1551604281996273"</f>
        <v>1551604281996273</v>
      </c>
      <c r="C5343" t="s">
        <v>40</v>
      </c>
      <c r="D5343">
        <v>5.5588509999999998</v>
      </c>
      <c r="E5343">
        <v>0.46479310000000001</v>
      </c>
      <c r="F5343" t="s">
        <v>105</v>
      </c>
      <c r="G5343">
        <v>-259.52519999999998</v>
      </c>
      <c r="H5343" s="1">
        <v>-3.480486E-6</v>
      </c>
      <c r="I5343">
        <v>-61.998989999999999</v>
      </c>
      <c r="J5343">
        <v>-281.19709999999998</v>
      </c>
      <c r="K5343">
        <v>1.1271100000000001</v>
      </c>
      <c r="L5343">
        <v>-65.433619999999905</v>
      </c>
      <c r="M5343">
        <v>0.99959770000000003</v>
      </c>
      <c r="N5343">
        <v>-1.371759E-2</v>
      </c>
      <c r="O5343">
        <v>2.482475E-2</v>
      </c>
      <c r="P5343">
        <v>0.98548449999999999</v>
      </c>
      <c r="Q5343">
        <v>0.165459299999999</v>
      </c>
      <c r="R5343">
        <v>3.7993520000000003E-2</v>
      </c>
      <c r="S5343">
        <v>3.0536189999999999</v>
      </c>
      <c r="T5343">
        <v>-0.15784570000000001</v>
      </c>
      <c r="U5343">
        <v>0.4819946</v>
      </c>
      <c r="V5343">
        <v>-1.6113240000000001E-2</v>
      </c>
      <c r="W5343">
        <v>0.17875569999999999</v>
      </c>
      <c r="X5343">
        <v>0.98376149999999996</v>
      </c>
      <c r="Y5343">
        <v>-0.13114229999999999</v>
      </c>
      <c r="Z5343">
        <v>3.3369129999999999E-3</v>
      </c>
      <c r="AA5343">
        <v>0.99135790000000001</v>
      </c>
      <c r="AB5343">
        <v>26</v>
      </c>
      <c r="AC5343">
        <v>21.671899999999901</v>
      </c>
      <c r="AD5343">
        <v>-1.1271134804859999</v>
      </c>
      <c r="AE5343">
        <v>3.4346299999999901</v>
      </c>
      <c r="AF5343">
        <v>-2.88790126928795</v>
      </c>
      <c r="AG5343">
        <v>-1.1271134804859999</v>
      </c>
      <c r="AH5343">
        <v>21.693252642928002</v>
      </c>
      <c r="AI5343">
        <v>92.948271328829904</v>
      </c>
      <c r="AJ5343">
        <v>97.582881219475098</v>
      </c>
      <c r="AK5343">
        <v>21.913638875571301</v>
      </c>
      <c r="AL5343">
        <v>79.702708373083297</v>
      </c>
      <c r="AM5343">
        <v>90.938375916764102</v>
      </c>
      <c r="AN5343">
        <v>0.99999996283401804</v>
      </c>
    </row>
    <row r="5344" spans="1:40" x14ac:dyDescent="0.25">
      <c r="A5344" t="str">
        <f>"20190303171122012"</f>
        <v>20190303171122012</v>
      </c>
      <c r="B5344" t="str">
        <f>"1551604282006033"</f>
        <v>1551604282006033</v>
      </c>
      <c r="C5344" t="s">
        <v>40</v>
      </c>
      <c r="D5344">
        <v>5.5482319999999996</v>
      </c>
      <c r="E5344">
        <v>0.46498129999999999</v>
      </c>
      <c r="F5344" t="s">
        <v>42</v>
      </c>
      <c r="G5344">
        <v>-263.51479999999998</v>
      </c>
      <c r="H5344" s="1">
        <v>-1.189554E-6</v>
      </c>
      <c r="I5344">
        <v>-62.925910000000002</v>
      </c>
      <c r="J5344">
        <v>-281.05849999999998</v>
      </c>
      <c r="K5344">
        <v>1.127014</v>
      </c>
      <c r="L5344">
        <v>-65.425510000000003</v>
      </c>
      <c r="M5344">
        <v>0.99947759999999997</v>
      </c>
      <c r="N5344">
        <v>-1.368713E-2</v>
      </c>
      <c r="O5344">
        <v>2.9276719999999999E-2</v>
      </c>
      <c r="P5344">
        <v>0.98533530000000003</v>
      </c>
      <c r="Q5344">
        <v>0.16545689999999999</v>
      </c>
      <c r="R5344">
        <v>4.1693139999999997E-2</v>
      </c>
      <c r="S5344">
        <v>3.0602109999999998</v>
      </c>
      <c r="T5344">
        <v>-0.19506490000000001</v>
      </c>
      <c r="U5344">
        <v>0.4339905</v>
      </c>
      <c r="V5344">
        <v>-1.5381509999999999E-2</v>
      </c>
      <c r="W5344">
        <v>0.17873699999999901</v>
      </c>
      <c r="X5344">
        <v>0.9837766</v>
      </c>
      <c r="Y5344">
        <v>-0.1111292</v>
      </c>
      <c r="Z5344">
        <v>2.83074E-3</v>
      </c>
      <c r="AA5344">
        <v>0.99380199999999996</v>
      </c>
      <c r="AB5344">
        <v>26</v>
      </c>
      <c r="AC5344">
        <v>17.543700000000001</v>
      </c>
      <c r="AD5344">
        <v>-1.1270151895539999</v>
      </c>
      <c r="AE5344">
        <v>2.4996</v>
      </c>
      <c r="AF5344">
        <v>-1.9768623384774699</v>
      </c>
      <c r="AG5344">
        <v>-1.1270151895539999</v>
      </c>
      <c r="AH5344">
        <v>17.5384271917432</v>
      </c>
      <c r="AI5344">
        <v>93.653684643833898</v>
      </c>
      <c r="AJ5344">
        <v>96.431010809008001</v>
      </c>
      <c r="AK5344">
        <v>17.685434015111198</v>
      </c>
      <c r="AL5344">
        <v>79.703797232852395</v>
      </c>
      <c r="AM5344">
        <v>90.895756010762895</v>
      </c>
      <c r="AN5344">
        <v>0.99999995236321804</v>
      </c>
    </row>
    <row r="5345" spans="1:40" x14ac:dyDescent="0.25">
      <c r="A5345" t="str">
        <f>"20190303171122024"</f>
        <v>20190303171122024</v>
      </c>
      <c r="B5345" t="str">
        <f>"1551604282015793"</f>
        <v>1551604282015793</v>
      </c>
      <c r="C5345" t="s">
        <v>40</v>
      </c>
      <c r="D5345">
        <v>5.5504959999999999</v>
      </c>
      <c r="E5345">
        <v>0.4659469</v>
      </c>
      <c r="F5345" t="s">
        <v>42</v>
      </c>
      <c r="G5345">
        <v>-263.44889999999998</v>
      </c>
      <c r="H5345" s="1">
        <v>-1.1462370000000001E-6</v>
      </c>
      <c r="I5345">
        <v>-62.869450000000001</v>
      </c>
      <c r="J5345">
        <v>-280.9359</v>
      </c>
      <c r="K5345">
        <v>1.12693</v>
      </c>
      <c r="L5345">
        <v>-65.417719999999903</v>
      </c>
      <c r="M5345">
        <v>0.99935719999999995</v>
      </c>
      <c r="N5345">
        <v>-1.3659660000000001E-2</v>
      </c>
      <c r="O5345">
        <v>3.3143699999999998E-2</v>
      </c>
      <c r="P5345">
        <v>0.98509440000000004</v>
      </c>
      <c r="Q5345">
        <v>0.1660896</v>
      </c>
      <c r="R5345">
        <v>4.4757459999999999E-2</v>
      </c>
      <c r="S5345">
        <v>3.0587460000000002</v>
      </c>
      <c r="T5345">
        <v>-0.1957593</v>
      </c>
      <c r="U5345">
        <v>0.44396970000000002</v>
      </c>
      <c r="V5345">
        <v>-1.460816E-2</v>
      </c>
      <c r="W5345">
        <v>0.17935479999999901</v>
      </c>
      <c r="X5345">
        <v>0.98367599999999999</v>
      </c>
      <c r="Y5345">
        <v>-0.11053200000000001</v>
      </c>
      <c r="Z5345">
        <v>2.618754E-3</v>
      </c>
      <c r="AA5345">
        <v>0.99386909999999895</v>
      </c>
      <c r="AB5345">
        <v>26</v>
      </c>
      <c r="AC5345">
        <v>17.486999999999998</v>
      </c>
      <c r="AD5345">
        <v>-1.126931146237</v>
      </c>
      <c r="AE5345">
        <v>2.5482699999999801</v>
      </c>
      <c r="AF5345">
        <v>-1.9592640535287</v>
      </c>
      <c r="AG5345">
        <v>-1.126931146237</v>
      </c>
      <c r="AH5345">
        <v>17.4907288535899</v>
      </c>
      <c r="AI5345">
        <v>93.663632207420406</v>
      </c>
      <c r="AJ5345">
        <v>96.391473707486796</v>
      </c>
      <c r="AK5345">
        <v>17.6361641313981</v>
      </c>
      <c r="AL5345">
        <v>79.667819086715895</v>
      </c>
      <c r="AM5345">
        <v>90.850813065518395</v>
      </c>
      <c r="AN5345">
        <v>1.00000000779881</v>
      </c>
    </row>
    <row r="5346" spans="1:40" x14ac:dyDescent="0.25">
      <c r="A5346" t="str">
        <f>"20190303171122034"</f>
        <v>20190303171122034</v>
      </c>
      <c r="B5346" t="str">
        <f>"1551604282026528"</f>
        <v>1551604282026528</v>
      </c>
      <c r="C5346" t="s">
        <v>40</v>
      </c>
      <c r="D5346">
        <v>5.5548799999999998</v>
      </c>
      <c r="E5346">
        <v>0.46671020000000002</v>
      </c>
      <c r="F5346" t="s">
        <v>107</v>
      </c>
      <c r="G5346">
        <v>-262.1902</v>
      </c>
      <c r="H5346" s="1">
        <v>-5.5774210000000001E-7</v>
      </c>
      <c r="I5346">
        <v>-62.687010000000001</v>
      </c>
      <c r="J5346">
        <v>-280.81189999999998</v>
      </c>
      <c r="K5346">
        <v>1.1268479999999901</v>
      </c>
      <c r="L5346">
        <v>-65.409639999999996</v>
      </c>
      <c r="M5346">
        <v>0.99922140000000004</v>
      </c>
      <c r="N5346">
        <v>-1.3632180000000001E-2</v>
      </c>
      <c r="O5346">
        <v>3.7025969999999998E-2</v>
      </c>
      <c r="P5346">
        <v>0.9848848</v>
      </c>
      <c r="Q5346">
        <v>0.1666049</v>
      </c>
      <c r="R5346">
        <v>4.7380510000000001E-2</v>
      </c>
      <c r="S5346">
        <v>3.0561829999999999</v>
      </c>
      <c r="T5346">
        <v>-0.18372859999999999</v>
      </c>
      <c r="U5346">
        <v>0.44519039999999999</v>
      </c>
      <c r="V5346">
        <v>-1.33761E-2</v>
      </c>
      <c r="W5346">
        <v>0.17986189999999999</v>
      </c>
      <c r="X5346">
        <v>0.9836009</v>
      </c>
      <c r="Y5346">
        <v>-0.107211899999999</v>
      </c>
      <c r="Z5346">
        <v>2.2301180000000001E-3</v>
      </c>
      <c r="AA5346">
        <v>0.9942337</v>
      </c>
      <c r="AB5346">
        <v>26</v>
      </c>
      <c r="AC5346">
        <v>18.621699999999901</v>
      </c>
      <c r="AD5346">
        <v>-1.1268485577420999</v>
      </c>
      <c r="AE5346">
        <v>2.7226299999999899</v>
      </c>
      <c r="AF5346">
        <v>-2.0239560593775701</v>
      </c>
      <c r="AG5346">
        <v>-1.1268485577420999</v>
      </c>
      <c r="AH5346">
        <v>18.642908669342301</v>
      </c>
      <c r="AI5346">
        <v>93.438810287091698</v>
      </c>
      <c r="AJ5346">
        <v>96.196015004294694</v>
      </c>
      <c r="AK5346">
        <v>18.7862776902668</v>
      </c>
      <c r="AL5346">
        <v>79.638283780022405</v>
      </c>
      <c r="AM5346">
        <v>90.779123765542295</v>
      </c>
      <c r="AN5346">
        <v>0.99999997680181396</v>
      </c>
    </row>
    <row r="5347" spans="1:40" x14ac:dyDescent="0.25">
      <c r="A5347" t="str">
        <f>"20190303171122045"</f>
        <v>20190303171122045</v>
      </c>
      <c r="B5347" t="str">
        <f>"1551604282036288"</f>
        <v>1551604282036288</v>
      </c>
      <c r="C5347" t="s">
        <v>40</v>
      </c>
      <c r="D5347">
        <v>5.463552</v>
      </c>
      <c r="E5347">
        <v>0.466949</v>
      </c>
      <c r="F5347" t="s">
        <v>42</v>
      </c>
      <c r="G5347">
        <v>-261.20979999999997</v>
      </c>
      <c r="H5347" s="1">
        <v>-9.799021E-8</v>
      </c>
      <c r="I5347">
        <v>-62.539839999999998</v>
      </c>
      <c r="J5347">
        <v>-280.69450000000001</v>
      </c>
      <c r="K5347">
        <v>1.126771</v>
      </c>
      <c r="L5347">
        <v>-65.401340000000005</v>
      </c>
      <c r="M5347">
        <v>0.99908229999999998</v>
      </c>
      <c r="N5347">
        <v>-1.360167E-2</v>
      </c>
      <c r="O5347">
        <v>4.0618479999999998E-2</v>
      </c>
      <c r="P5347">
        <v>0.98463369999999995</v>
      </c>
      <c r="Q5347">
        <v>0.16729449999999901</v>
      </c>
      <c r="R5347">
        <v>5.0092940000000002E-2</v>
      </c>
      <c r="S5347">
        <v>3.0542600000000002</v>
      </c>
      <c r="T5347">
        <v>-0.17557809999999999</v>
      </c>
      <c r="U5347">
        <v>0.44714359999999997</v>
      </c>
      <c r="V5347">
        <v>-1.252466E-2</v>
      </c>
      <c r="W5347">
        <v>0.18053350000000001</v>
      </c>
      <c r="X5347">
        <v>0.9834891</v>
      </c>
      <c r="Y5347">
        <v>-0.10437150000000001</v>
      </c>
      <c r="Z5347">
        <v>1.9271710000000001E-3</v>
      </c>
      <c r="AA5347">
        <v>0.99453650000000005</v>
      </c>
      <c r="AB5347">
        <v>26</v>
      </c>
      <c r="AC5347">
        <v>19.4847</v>
      </c>
      <c r="AD5347">
        <v>-1.1267710979902099</v>
      </c>
      <c r="AE5347">
        <v>2.8614999999999902</v>
      </c>
      <c r="AF5347">
        <v>-2.0608796950002302</v>
      </c>
      <c r="AG5347">
        <v>-1.1267710979902099</v>
      </c>
      <c r="AH5347">
        <v>19.520954873540902</v>
      </c>
      <c r="AI5347">
        <v>93.285292985393497</v>
      </c>
      <c r="AJ5347">
        <v>96.026545855158403</v>
      </c>
      <c r="AK5347">
        <v>19.661752653294901</v>
      </c>
      <c r="AL5347">
        <v>79.5991639080287</v>
      </c>
      <c r="AM5347">
        <v>90.729618018144095</v>
      </c>
      <c r="AN5347">
        <v>1.0000000107745799</v>
      </c>
    </row>
    <row r="5348" spans="1:40" x14ac:dyDescent="0.25">
      <c r="A5348" t="str">
        <f>"20190303171122056"</f>
        <v>20190303171122056</v>
      </c>
      <c r="B5348" t="str">
        <f>"1551604282046049"</f>
        <v>1551604282046049</v>
      </c>
      <c r="C5348" t="s">
        <v>40</v>
      </c>
      <c r="D5348">
        <v>5.4903550000000001</v>
      </c>
      <c r="E5348">
        <v>0.4672906</v>
      </c>
      <c r="F5348" t="s">
        <v>42</v>
      </c>
      <c r="G5348">
        <v>-260.64080000000001</v>
      </c>
      <c r="H5348" s="1">
        <v>1.7805699999999999E-7</v>
      </c>
      <c r="I5348">
        <v>-62.419780000000003</v>
      </c>
      <c r="J5348">
        <v>-280.56360000000001</v>
      </c>
      <c r="K5348">
        <v>1.1266849999999999</v>
      </c>
      <c r="L5348">
        <v>-65.391940000000005</v>
      </c>
      <c r="M5348">
        <v>0.99891229999999998</v>
      </c>
      <c r="N5348">
        <v>-1.356745E-2</v>
      </c>
      <c r="O5348">
        <v>4.4611980000000002E-2</v>
      </c>
      <c r="P5348">
        <v>0.98445839999999996</v>
      </c>
      <c r="Q5348">
        <v>0.1674234</v>
      </c>
      <c r="R5348">
        <v>5.3021390000000002E-2</v>
      </c>
      <c r="S5348">
        <v>3.0528870000000001</v>
      </c>
      <c r="T5348">
        <v>-0.171534299999999</v>
      </c>
      <c r="U5348">
        <v>0.45388790000000001</v>
      </c>
      <c r="V5348">
        <v>-1.147863E-2</v>
      </c>
      <c r="W5348">
        <v>0.18064520000000001</v>
      </c>
      <c r="X5348">
        <v>0.9834813</v>
      </c>
      <c r="Y5348">
        <v>-0.10262350000000001</v>
      </c>
      <c r="Z5348">
        <v>1.679732E-3</v>
      </c>
      <c r="AA5348">
        <v>0.99471880000000001</v>
      </c>
      <c r="AB5348">
        <v>26</v>
      </c>
      <c r="AC5348">
        <v>19.922799999999899</v>
      </c>
      <c r="AD5348">
        <v>-1.1266848219429999</v>
      </c>
      <c r="AE5348">
        <v>2.9721600000000001</v>
      </c>
      <c r="AF5348">
        <v>-2.0738348948740102</v>
      </c>
      <c r="AG5348">
        <v>-1.1266848219429999</v>
      </c>
      <c r="AH5348">
        <v>19.973080163346399</v>
      </c>
      <c r="AI5348">
        <v>93.211414597416194</v>
      </c>
      <c r="AJ5348">
        <v>95.927864961265698</v>
      </c>
      <c r="AK5348">
        <v>20.112039704382401</v>
      </c>
      <c r="AL5348">
        <v>79.592656424203</v>
      </c>
      <c r="AM5348">
        <v>90.668693133897904</v>
      </c>
      <c r="AN5348">
        <v>0.99999995733970204</v>
      </c>
    </row>
    <row r="5349" spans="1:40" x14ac:dyDescent="0.25">
      <c r="A5349" t="str">
        <f>"20190303171122067"</f>
        <v>20190303171122067</v>
      </c>
      <c r="B5349" t="str">
        <f>"1551604282055809"</f>
        <v>1551604282055809</v>
      </c>
      <c r="C5349" t="s">
        <v>40</v>
      </c>
      <c r="D5349">
        <v>5.4111039999999999</v>
      </c>
      <c r="E5349">
        <v>0.46752009999999999</v>
      </c>
      <c r="F5349" t="s">
        <v>105</v>
      </c>
      <c r="G5349">
        <v>-259.83370000000002</v>
      </c>
      <c r="H5349" s="1">
        <v>-3.6210510000000001E-6</v>
      </c>
      <c r="I5349">
        <v>-62.26529</v>
      </c>
      <c r="J5349">
        <v>-280.43560000000002</v>
      </c>
      <c r="K5349">
        <v>1.1265969999999901</v>
      </c>
      <c r="L5349">
        <v>-65.381990000000002</v>
      </c>
      <c r="M5349">
        <v>0.99873579999999995</v>
      </c>
      <c r="N5349">
        <v>-1.353204E-2</v>
      </c>
      <c r="O5349">
        <v>4.8412999999999998E-2</v>
      </c>
      <c r="P5349">
        <v>0.98428800000000005</v>
      </c>
      <c r="Q5349">
        <v>0.16749310000000001</v>
      </c>
      <c r="R5349">
        <v>5.5885860000000002E-2</v>
      </c>
      <c r="S5349">
        <v>3.0507810000000002</v>
      </c>
      <c r="T5349">
        <v>-0.1658126</v>
      </c>
      <c r="U5349">
        <v>0.460144</v>
      </c>
      <c r="V5349">
        <v>-1.055889E-2</v>
      </c>
      <c r="W5349">
        <v>0.18069399999999999</v>
      </c>
      <c r="X5349">
        <v>0.98348270000000004</v>
      </c>
      <c r="Y5349">
        <v>-0.10094740000000001</v>
      </c>
      <c r="Z5349">
        <v>1.453836E-3</v>
      </c>
      <c r="AA5349">
        <v>0.99489070000000002</v>
      </c>
      <c r="AB5349">
        <v>26</v>
      </c>
      <c r="AC5349">
        <v>20.601900000000001</v>
      </c>
      <c r="AD5349">
        <v>-1.12660062105099</v>
      </c>
      <c r="AE5349">
        <v>3.1166999999999998</v>
      </c>
      <c r="AF5349">
        <v>-2.10938692623718</v>
      </c>
      <c r="AG5349">
        <v>-1.12660062105099</v>
      </c>
      <c r="AH5349">
        <v>20.6682176248373</v>
      </c>
      <c r="AI5349">
        <v>93.103947061350894</v>
      </c>
      <c r="AJ5349">
        <v>95.827398664584607</v>
      </c>
      <c r="AK5349">
        <v>20.8061039589724</v>
      </c>
      <c r="AL5349">
        <v>79.589814230921903</v>
      </c>
      <c r="AM5349">
        <v>90.615116656668903</v>
      </c>
      <c r="AN5349">
        <v>1.00000001649666</v>
      </c>
    </row>
    <row r="5350" spans="1:40" x14ac:dyDescent="0.25">
      <c r="A5350" t="str">
        <f>"20190303171122079"</f>
        <v>20190303171122079</v>
      </c>
      <c r="B5350" t="str">
        <f>"1551604282066544"</f>
        <v>1551604282066544</v>
      </c>
      <c r="C5350" t="s">
        <v>40</v>
      </c>
      <c r="D5350">
        <v>5.4997239999999996</v>
      </c>
      <c r="E5350">
        <v>0.46789550000000002</v>
      </c>
      <c r="F5350" t="s">
        <v>105</v>
      </c>
      <c r="G5350">
        <v>-259.7749</v>
      </c>
      <c r="H5350" s="1">
        <v>-3.594337E-6</v>
      </c>
      <c r="I5350">
        <v>-62.215000000000003</v>
      </c>
      <c r="J5350">
        <v>-280.3082</v>
      </c>
      <c r="K5350">
        <v>1.126503</v>
      </c>
      <c r="L5350">
        <v>-65.371919999999903</v>
      </c>
      <c r="M5350">
        <v>0.99854670000000001</v>
      </c>
      <c r="N5350">
        <v>-1.3497139999999999E-2</v>
      </c>
      <c r="O5350">
        <v>5.2178950000000002E-2</v>
      </c>
      <c r="P5350">
        <v>0.98407210000000001</v>
      </c>
      <c r="Q5350">
        <v>0.16770280000000001</v>
      </c>
      <c r="R5350">
        <v>5.897757E-2</v>
      </c>
      <c r="S5350">
        <v>3.049652</v>
      </c>
      <c r="T5350">
        <v>-0.16629360000000001</v>
      </c>
      <c r="U5350">
        <v>0.4674683</v>
      </c>
      <c r="V5350">
        <v>-9.9048160000000003E-3</v>
      </c>
      <c r="W5350">
        <v>0.1808797</v>
      </c>
      <c r="X5350">
        <v>0.98345539999999998</v>
      </c>
      <c r="Y5350">
        <v>-9.9590300000000007E-2</v>
      </c>
      <c r="Z5350">
        <v>1.252036E-3</v>
      </c>
      <c r="AA5350">
        <v>0.99502769999999996</v>
      </c>
      <c r="AB5350">
        <v>26</v>
      </c>
      <c r="AC5350">
        <v>20.533300000000001</v>
      </c>
      <c r="AD5350">
        <v>-1.1265065943369901</v>
      </c>
      <c r="AE5350">
        <v>3.15691999999998</v>
      </c>
      <c r="AF5350">
        <v>-2.0750139117010402</v>
      </c>
      <c r="AG5350">
        <v>-1.1265065943369901</v>
      </c>
      <c r="AH5350">
        <v>20.6094635127515</v>
      </c>
      <c r="AI5350">
        <v>93.112948426392606</v>
      </c>
      <c r="AJ5350">
        <v>95.749312120861205</v>
      </c>
      <c r="AK5350">
        <v>20.744268753664802</v>
      </c>
      <c r="AL5350">
        <v>79.578996474615593</v>
      </c>
      <c r="AM5350">
        <v>90.577031725843497</v>
      </c>
      <c r="AN5350">
        <v>1.0000000475206201</v>
      </c>
    </row>
    <row r="5351" spans="1:40" x14ac:dyDescent="0.25">
      <c r="A5351" t="str">
        <f>"20190303171122090"</f>
        <v>20190303171122090</v>
      </c>
      <c r="B5351" t="str">
        <f>"1551604282076305"</f>
        <v>1551604282076305</v>
      </c>
      <c r="C5351" t="s">
        <v>40</v>
      </c>
      <c r="D5351">
        <v>5.1994959999999999</v>
      </c>
      <c r="E5351">
        <v>0.46846300000000002</v>
      </c>
      <c r="F5351" t="s">
        <v>105</v>
      </c>
      <c r="G5351">
        <v>-259.67160000000001</v>
      </c>
      <c r="H5351" s="1">
        <v>-3.552336E-6</v>
      </c>
      <c r="I5351">
        <v>-62.16386</v>
      </c>
      <c r="J5351">
        <v>-280.17559999999997</v>
      </c>
      <c r="K5351">
        <v>1.1264179999999999</v>
      </c>
      <c r="L5351">
        <v>-65.360810000000001</v>
      </c>
      <c r="M5351">
        <v>0.99833879999999997</v>
      </c>
      <c r="N5351">
        <v>-1.346024E-2</v>
      </c>
      <c r="O5351">
        <v>5.6021950000000001E-2</v>
      </c>
      <c r="P5351">
        <v>0.98389919999999997</v>
      </c>
      <c r="Q5351">
        <v>0.16751740000000001</v>
      </c>
      <c r="R5351">
        <v>6.2292010000000002E-2</v>
      </c>
      <c r="S5351">
        <v>3.0485229999999999</v>
      </c>
      <c r="T5351">
        <v>-0.16641249999999999</v>
      </c>
      <c r="U5351">
        <v>0.47390749999999998</v>
      </c>
      <c r="V5351">
        <v>-9.3902819999999998E-3</v>
      </c>
      <c r="W5351">
        <v>0.1806663</v>
      </c>
      <c r="X5351">
        <v>0.98349960000000003</v>
      </c>
      <c r="Y5351">
        <v>-9.7874639999999999E-2</v>
      </c>
      <c r="Z5351">
        <v>1.033904E-3</v>
      </c>
      <c r="AA5351">
        <v>0.99519820000000003</v>
      </c>
      <c r="AB5351">
        <v>26</v>
      </c>
      <c r="AC5351">
        <v>20.503999999999898</v>
      </c>
      <c r="AD5351">
        <v>-1.1264215523359999</v>
      </c>
      <c r="AE5351">
        <v>3.1969500000000002</v>
      </c>
      <c r="AF5351">
        <v>-2.0371479909958801</v>
      </c>
      <c r="AG5351">
        <v>-1.1264215523359999</v>
      </c>
      <c r="AH5351">
        <v>20.5902417148849</v>
      </c>
      <c r="AI5351">
        <v>93.116150290932097</v>
      </c>
      <c r="AJ5351">
        <v>95.650315414459001</v>
      </c>
      <c r="AK5351">
        <v>20.721410457017001</v>
      </c>
      <c r="AL5351">
        <v>79.591427458292699</v>
      </c>
      <c r="AM5351">
        <v>90.547033449752206</v>
      </c>
      <c r="AN5351">
        <v>0.99999997627594395</v>
      </c>
    </row>
    <row r="5352" spans="1:40" x14ac:dyDescent="0.25">
      <c r="A5352" t="str">
        <f>"20190303171122102"</f>
        <v>20190303171122102</v>
      </c>
      <c r="B5352" t="str">
        <f>"1551604282095825"</f>
        <v>1551604282095825</v>
      </c>
      <c r="C5352" t="s">
        <v>40</v>
      </c>
      <c r="D5352">
        <v>5.4546640000000002</v>
      </c>
      <c r="E5352">
        <v>0.46885189999999999</v>
      </c>
      <c r="F5352" t="s">
        <v>105</v>
      </c>
      <c r="G5352">
        <v>-259.81799999999998</v>
      </c>
      <c r="H5352" s="1">
        <v>-3.6007920000000001E-6</v>
      </c>
      <c r="I5352">
        <v>-62.153730000000003</v>
      </c>
      <c r="J5352">
        <v>-280.04169999999999</v>
      </c>
      <c r="K5352">
        <v>1.126333</v>
      </c>
      <c r="L5352">
        <v>-65.349180000000004</v>
      </c>
      <c r="M5352">
        <v>0.99811660000000002</v>
      </c>
      <c r="N5352">
        <v>-1.3420329999999999E-2</v>
      </c>
      <c r="O5352">
        <v>5.9860099999999999E-2</v>
      </c>
      <c r="P5352">
        <v>0.9836724</v>
      </c>
      <c r="Q5352">
        <v>0.16772870000000001</v>
      </c>
      <c r="R5352">
        <v>6.5239199999999997E-2</v>
      </c>
      <c r="S5352">
        <v>3.0473629999999998</v>
      </c>
      <c r="T5352">
        <v>-0.1686155</v>
      </c>
      <c r="U5352">
        <v>0.480072</v>
      </c>
      <c r="V5352">
        <v>-8.5219259999999904E-3</v>
      </c>
      <c r="W5352">
        <v>0.18085010000000001</v>
      </c>
      <c r="X5352">
        <v>0.98347379999999995</v>
      </c>
      <c r="Y5352">
        <v>-9.6074759999999995E-2</v>
      </c>
      <c r="Z5352">
        <v>8.042142E-4</v>
      </c>
      <c r="AA5352">
        <v>0.99537379999999998</v>
      </c>
      <c r="AB5352">
        <v>26</v>
      </c>
      <c r="AC5352">
        <v>20.223700000000001</v>
      </c>
      <c r="AD5352">
        <v>-1.1263366007919999</v>
      </c>
      <c r="AE5352">
        <v>3.1954500000000001</v>
      </c>
      <c r="AF5352">
        <v>-1.9730461801865999</v>
      </c>
      <c r="AG5352">
        <v>-1.1263366007919999</v>
      </c>
      <c r="AH5352">
        <v>20.317239827995099</v>
      </c>
      <c r="AI5352">
        <v>93.158258630388701</v>
      </c>
      <c r="AJ5352">
        <v>95.546710323469995</v>
      </c>
      <c r="AK5352">
        <v>20.443868997714301</v>
      </c>
      <c r="AL5352">
        <v>79.580720879656496</v>
      </c>
      <c r="AM5352">
        <v>90.496462816976702</v>
      </c>
      <c r="AN5352">
        <v>1.0000000485895899</v>
      </c>
    </row>
    <row r="5353" spans="1:40" x14ac:dyDescent="0.25">
      <c r="A5353" t="str">
        <f>"20190303171122113"</f>
        <v>20190303171122113</v>
      </c>
      <c r="B5353" t="str">
        <f>"1551604282106561"</f>
        <v>1551604282106561</v>
      </c>
      <c r="C5353" t="s">
        <v>40</v>
      </c>
      <c r="D5353">
        <v>5.4943960000000001</v>
      </c>
      <c r="E5353">
        <v>0.47705930000000002</v>
      </c>
      <c r="F5353" t="s">
        <v>105</v>
      </c>
      <c r="G5353">
        <v>-259.83819999999997</v>
      </c>
      <c r="H5353" s="1">
        <v>-3.6036300000000001E-6</v>
      </c>
      <c r="I5353">
        <v>-62.123460000000001</v>
      </c>
      <c r="J5353">
        <v>-279.91149999999999</v>
      </c>
      <c r="K5353">
        <v>1.1262540000000001</v>
      </c>
      <c r="L5353">
        <v>-65.337549999999993</v>
      </c>
      <c r="M5353">
        <v>0.99788929999999998</v>
      </c>
      <c r="N5353">
        <v>-1.337903E-2</v>
      </c>
      <c r="O5353">
        <v>6.3545370000000004E-2</v>
      </c>
      <c r="P5353">
        <v>0.98349869999999995</v>
      </c>
      <c r="Q5353">
        <v>0.1678627</v>
      </c>
      <c r="R5353">
        <v>6.7473229999999995E-2</v>
      </c>
      <c r="S5353">
        <v>3.04657</v>
      </c>
      <c r="T5353">
        <v>-0.1698451</v>
      </c>
      <c r="U5353">
        <v>0.48641970000000001</v>
      </c>
      <c r="V5353">
        <v>-7.0900429999999999E-3</v>
      </c>
      <c r="W5353">
        <v>0.18096219999999999</v>
      </c>
      <c r="X5353">
        <v>0.98346449999999996</v>
      </c>
      <c r="Y5353">
        <v>-9.4467099999999998E-2</v>
      </c>
      <c r="Z5353">
        <v>5.8565609999999997E-4</v>
      </c>
      <c r="AA5353">
        <v>0.99552779999999996</v>
      </c>
      <c r="AB5353">
        <v>26</v>
      </c>
      <c r="AC5353">
        <v>20.0733</v>
      </c>
      <c r="AD5353">
        <v>-1.1262576036299901</v>
      </c>
      <c r="AE5353">
        <v>3.2140899999999899</v>
      </c>
      <c r="AF5353">
        <v>-1.92600205088837</v>
      </c>
      <c r="AG5353">
        <v>-1.1262576036299901</v>
      </c>
      <c r="AH5353">
        <v>20.175058450071699</v>
      </c>
      <c r="AI5353">
        <v>93.180746797305503</v>
      </c>
      <c r="AJ5353">
        <v>95.453187707198893</v>
      </c>
      <c r="AK5353">
        <v>20.298052210829699</v>
      </c>
      <c r="AL5353">
        <v>79.574189807176793</v>
      </c>
      <c r="AM5353">
        <v>90.413052533149894</v>
      </c>
      <c r="AN5353">
        <v>1.00000000464941</v>
      </c>
    </row>
    <row r="5354" spans="1:40" x14ac:dyDescent="0.25">
      <c r="A5354" t="str">
        <f>"20190303171122125"</f>
        <v>20190303171122125</v>
      </c>
      <c r="B5354" t="str">
        <f>"1551604282116321"</f>
        <v>1551604282116321</v>
      </c>
      <c r="C5354" t="s">
        <v>40</v>
      </c>
      <c r="D5354">
        <v>5.4509990000000004</v>
      </c>
      <c r="E5354">
        <v>0.47693550000000001</v>
      </c>
      <c r="F5354" t="s">
        <v>42</v>
      </c>
      <c r="G5354">
        <v>-260.73919999999998</v>
      </c>
      <c r="H5354" s="1">
        <v>7.6666940000000002E-8</v>
      </c>
      <c r="I5354">
        <v>-62.642220000000002</v>
      </c>
      <c r="J5354">
        <v>-279.7901</v>
      </c>
      <c r="K5354">
        <v>1.126182</v>
      </c>
      <c r="L5354">
        <v>-65.326139999999995</v>
      </c>
      <c r="M5354">
        <v>0.99766920000000003</v>
      </c>
      <c r="N5354">
        <v>-1.333763E-2</v>
      </c>
      <c r="O5354">
        <v>6.6920569999999999E-2</v>
      </c>
      <c r="P5354">
        <v>0.98335569999999894</v>
      </c>
      <c r="Q5354">
        <v>0.1678837</v>
      </c>
      <c r="R5354">
        <v>6.9474220000000003E-2</v>
      </c>
      <c r="S5354">
        <v>3.0515140000000001</v>
      </c>
      <c r="T5354">
        <v>-0.17925720000000001</v>
      </c>
      <c r="U5354">
        <v>0.42898560000000002</v>
      </c>
      <c r="V5354">
        <v>-5.7324219999999896E-3</v>
      </c>
      <c r="W5354">
        <v>0.18096029999999999</v>
      </c>
      <c r="X5354">
        <v>0.98347370000000001</v>
      </c>
      <c r="Y5354">
        <v>-7.2541930000000004E-2</v>
      </c>
      <c r="Z5354">
        <v>-4.0752349999999998E-4</v>
      </c>
      <c r="AA5354">
        <v>0.99736530000000001</v>
      </c>
      <c r="AB5354">
        <v>26</v>
      </c>
      <c r="AC5354">
        <v>19.050899999999999</v>
      </c>
      <c r="AD5354">
        <v>-1.1261819233330499</v>
      </c>
      <c r="AE5354">
        <v>2.6839200000000099</v>
      </c>
      <c r="AF5354">
        <v>-1.39810136283678</v>
      </c>
      <c r="AG5354">
        <v>-1.1261819233330499</v>
      </c>
      <c r="AH5354">
        <v>19.1222889985325</v>
      </c>
      <c r="AI5354">
        <v>93.361513938945507</v>
      </c>
      <c r="AJ5354">
        <v>94.181666021170599</v>
      </c>
      <c r="AK5354">
        <v>19.206376797527501</v>
      </c>
      <c r="AL5354">
        <v>79.574300497305103</v>
      </c>
      <c r="AM5354">
        <v>90.3339589737013</v>
      </c>
      <c r="AN5354">
        <v>1.00000000471488</v>
      </c>
    </row>
    <row r="5355" spans="1:40" x14ac:dyDescent="0.25">
      <c r="A5355" t="str">
        <f>"20190303171122135"</f>
        <v>20190303171122135</v>
      </c>
      <c r="B5355" t="str">
        <f>"1551604282126081"</f>
        <v>1551604282126081</v>
      </c>
      <c r="C5355" t="s">
        <v>40</v>
      </c>
      <c r="D5355">
        <v>5.4236170000000001</v>
      </c>
      <c r="E5355">
        <v>0.4770934</v>
      </c>
      <c r="F5355" t="s">
        <v>42</v>
      </c>
      <c r="G5355">
        <v>-260.60070000000002</v>
      </c>
      <c r="H5355" s="1">
        <v>1.533224E-7</v>
      </c>
      <c r="I5355">
        <v>-62.577390000000001</v>
      </c>
      <c r="J5355">
        <v>-279.65530000000001</v>
      </c>
      <c r="K5355">
        <v>1.126104</v>
      </c>
      <c r="L5355">
        <v>-65.313289999999995</v>
      </c>
      <c r="M5355">
        <v>0.99741329999999995</v>
      </c>
      <c r="N5355">
        <v>-1.3291010000000001E-2</v>
      </c>
      <c r="O5355">
        <v>7.0640869999999994E-2</v>
      </c>
      <c r="P5355">
        <v>0.98322169999999998</v>
      </c>
      <c r="Q5355">
        <v>0.16767029999999999</v>
      </c>
      <c r="R5355">
        <v>7.1845450000000005E-2</v>
      </c>
      <c r="S5355">
        <v>3.0504760000000002</v>
      </c>
      <c r="T5355">
        <v>-0.17902570000000001</v>
      </c>
      <c r="U5355">
        <v>0.43695070000000003</v>
      </c>
      <c r="V5355">
        <v>-4.3951509999999999E-3</v>
      </c>
      <c r="W5355">
        <v>0.1807183</v>
      </c>
      <c r="X5355">
        <v>0.98352510000000004</v>
      </c>
      <c r="Y5355">
        <v>-7.1428270000000002E-2</v>
      </c>
      <c r="Z5355">
        <v>-6.1696259999999997E-4</v>
      </c>
      <c r="AA5355">
        <v>0.99744549999999998</v>
      </c>
      <c r="AB5355">
        <v>26</v>
      </c>
      <c r="AC5355">
        <v>19.054599999999901</v>
      </c>
      <c r="AD5355">
        <v>-1.1261038466776001</v>
      </c>
      <c r="AE5355">
        <v>2.7359</v>
      </c>
      <c r="AF5355">
        <v>-1.3781952800498101</v>
      </c>
      <c r="AG5355">
        <v>-1.1261038466776001</v>
      </c>
      <c r="AH5355">
        <v>19.134791551155299</v>
      </c>
      <c r="AI5355">
        <v>93.359353470383894</v>
      </c>
      <c r="AJ5355">
        <v>94.119650212597605</v>
      </c>
      <c r="AK5355">
        <v>19.217382230928798</v>
      </c>
      <c r="AL5355">
        <v>79.588398694823198</v>
      </c>
      <c r="AM5355">
        <v>90.256040162413996</v>
      </c>
      <c r="AN5355">
        <v>1.0000000218186</v>
      </c>
    </row>
    <row r="5356" spans="1:40" x14ac:dyDescent="0.25">
      <c r="A5356" t="str">
        <f>"20190303171122148"</f>
        <v>20190303171122148</v>
      </c>
      <c r="B5356" t="str">
        <f>"1551604282135841"</f>
        <v>1551604282135841</v>
      </c>
      <c r="C5356" t="s">
        <v>40</v>
      </c>
      <c r="D5356">
        <v>5.3833669999999998</v>
      </c>
      <c r="E5356">
        <v>0.47748030000000002</v>
      </c>
      <c r="F5356" t="s">
        <v>42</v>
      </c>
      <c r="G5356">
        <v>-260.51819999999998</v>
      </c>
      <c r="H5356" s="1">
        <v>2.0159280000000001E-7</v>
      </c>
      <c r="I5356">
        <v>-62.529089999999997</v>
      </c>
      <c r="J5356">
        <v>-279.52569999999997</v>
      </c>
      <c r="K5356">
        <v>1.1260250000000001</v>
      </c>
      <c r="L5356">
        <v>-65.300200000000004</v>
      </c>
      <c r="M5356">
        <v>0.99716070000000001</v>
      </c>
      <c r="N5356">
        <v>-1.324431E-2</v>
      </c>
      <c r="O5356">
        <v>7.4129890000000004E-2</v>
      </c>
      <c r="P5356">
        <v>0.98312809999999995</v>
      </c>
      <c r="Q5356">
        <v>0.16721510000000001</v>
      </c>
      <c r="R5356">
        <v>7.4150629999999995E-2</v>
      </c>
      <c r="S5356">
        <v>3.0493769999999998</v>
      </c>
      <c r="T5356">
        <v>-0.17943680000000001</v>
      </c>
      <c r="U5356">
        <v>0.44363399999999997</v>
      </c>
      <c r="V5356">
        <v>-3.2145440000000002E-3</v>
      </c>
      <c r="W5356">
        <v>0.1802329</v>
      </c>
      <c r="X5356">
        <v>0.98361869999999996</v>
      </c>
      <c r="Y5356">
        <v>-7.0136850000000001E-2</v>
      </c>
      <c r="Z5356">
        <v>-8.3030840000000001E-4</v>
      </c>
      <c r="AA5356">
        <v>0.99753700000000001</v>
      </c>
      <c r="AB5356">
        <v>26</v>
      </c>
      <c r="AC5356">
        <v>19.0075</v>
      </c>
      <c r="AD5356">
        <v>-1.1260247984072</v>
      </c>
      <c r="AE5356">
        <v>2.77110999999999</v>
      </c>
      <c r="AF5356">
        <v>-1.3496986238817801</v>
      </c>
      <c r="AG5356">
        <v>-1.1260247984072</v>
      </c>
      <c r="AH5356">
        <v>19.095014238865399</v>
      </c>
      <c r="AI5356">
        <v>93.366419639540993</v>
      </c>
      <c r="AJ5356">
        <v>94.043130397701006</v>
      </c>
      <c r="AK5356">
        <v>19.175744757490101</v>
      </c>
      <c r="AL5356">
        <v>79.616674025856895</v>
      </c>
      <c r="AM5356">
        <v>90.187246489480202</v>
      </c>
      <c r="AN5356">
        <v>0.99999998926261302</v>
      </c>
    </row>
    <row r="5357" spans="1:40" x14ac:dyDescent="0.25">
      <c r="A5357" t="str">
        <f>"20190303171122159"</f>
        <v>20190303171122159</v>
      </c>
      <c r="B5357" t="str">
        <f>"1551604282146577"</f>
        <v>1551604282146577</v>
      </c>
      <c r="C5357" t="s">
        <v>40</v>
      </c>
      <c r="D5357">
        <v>5.4311309999999997</v>
      </c>
      <c r="E5357">
        <v>0.47776259999999998</v>
      </c>
      <c r="F5357" t="s">
        <v>42</v>
      </c>
      <c r="G5357">
        <v>-260.64010000000002</v>
      </c>
      <c r="H5357" s="1">
        <v>1.5023250000000001E-7</v>
      </c>
      <c r="I5357">
        <v>-62.525480000000002</v>
      </c>
      <c r="J5357">
        <v>-279.39359999999999</v>
      </c>
      <c r="K5357">
        <v>1.1259459999999999</v>
      </c>
      <c r="L5357">
        <v>-65.286709999999999</v>
      </c>
      <c r="M5357">
        <v>0.99689289999999997</v>
      </c>
      <c r="N5357">
        <v>-1.319742E-2</v>
      </c>
      <c r="O5357">
        <v>7.7656210000000003E-2</v>
      </c>
      <c r="P5357">
        <v>0.98301680000000002</v>
      </c>
      <c r="Q5357">
        <v>0.16681599999999999</v>
      </c>
      <c r="R5357">
        <v>7.6488639999999997E-2</v>
      </c>
      <c r="S5357">
        <v>3.048645</v>
      </c>
      <c r="T5357">
        <v>-0.1817713</v>
      </c>
      <c r="U5357">
        <v>0.44790649999999999</v>
      </c>
      <c r="V5357">
        <v>-2.030413E-3</v>
      </c>
      <c r="W5357">
        <v>0.1798023</v>
      </c>
      <c r="X5357">
        <v>0.98370069999999998</v>
      </c>
      <c r="Y5357">
        <v>-6.8018990000000001E-2</v>
      </c>
      <c r="Z5357">
        <v>-1.1035260000000001E-3</v>
      </c>
      <c r="AA5357">
        <v>0.9976834</v>
      </c>
      <c r="AB5357">
        <v>26</v>
      </c>
      <c r="AC5357">
        <v>18.753499999999899</v>
      </c>
      <c r="AD5357">
        <v>-1.1259458497674999</v>
      </c>
      <c r="AE5357">
        <v>2.7612299999999901</v>
      </c>
      <c r="AF5357">
        <v>-1.29187964363581</v>
      </c>
      <c r="AG5357">
        <v>-1.1259458497674999</v>
      </c>
      <c r="AH5357">
        <v>18.844814887365999</v>
      </c>
      <c r="AI5357">
        <v>93.411273692797394</v>
      </c>
      <c r="AJ5357">
        <v>93.921695386600405</v>
      </c>
      <c r="AK5357">
        <v>18.922572637179702</v>
      </c>
      <c r="AL5357">
        <v>79.641755742639305</v>
      </c>
      <c r="AM5357">
        <v>90.118261510194898</v>
      </c>
      <c r="AN5357">
        <v>1.0000000284213599</v>
      </c>
    </row>
    <row r="5358" spans="1:40" x14ac:dyDescent="0.25">
      <c r="A5358" t="str">
        <f>"20190303171122170"</f>
        <v>20190303171122170</v>
      </c>
      <c r="B5358" t="str">
        <f>"1551604282156337"</f>
        <v>1551604282156337</v>
      </c>
      <c r="C5358" t="s">
        <v>40</v>
      </c>
      <c r="D5358">
        <v>5.3051789999999999</v>
      </c>
      <c r="E5358">
        <v>0.47816989999999998</v>
      </c>
      <c r="F5358" t="s">
        <v>42</v>
      </c>
      <c r="G5358">
        <v>-260.68799999999999</v>
      </c>
      <c r="H5358" s="1">
        <v>1.3466010000000001E-7</v>
      </c>
      <c r="I5358">
        <v>-62.5068699999999</v>
      </c>
      <c r="J5358">
        <v>-279.26690000000002</v>
      </c>
      <c r="K5358">
        <v>1.1258699999999999</v>
      </c>
      <c r="L5358">
        <v>-65.27319</v>
      </c>
      <c r="M5358">
        <v>0.99662969999999895</v>
      </c>
      <c r="N5358">
        <v>-1.315324E-2</v>
      </c>
      <c r="O5358">
        <v>8.097145E-2</v>
      </c>
      <c r="P5358">
        <v>0.9829116</v>
      </c>
      <c r="Q5358">
        <v>0.166323</v>
      </c>
      <c r="R5358">
        <v>7.8876859999999993E-2</v>
      </c>
      <c r="S5358">
        <v>3.0477289999999999</v>
      </c>
      <c r="T5358">
        <v>-0.18345110000000001</v>
      </c>
      <c r="U5358">
        <v>0.45291140000000002</v>
      </c>
      <c r="V5358">
        <v>-1.10271E-3</v>
      </c>
      <c r="W5358">
        <v>0.17927789999999999</v>
      </c>
      <c r="X5358">
        <v>0.98379779999999994</v>
      </c>
      <c r="Y5358">
        <v>-6.6354010000000005E-2</v>
      </c>
      <c r="Z5358">
        <v>-1.347151E-3</v>
      </c>
      <c r="AA5358">
        <v>0.99779519999999999</v>
      </c>
      <c r="AB5358">
        <v>26</v>
      </c>
      <c r="AC5358">
        <v>18.578900000000001</v>
      </c>
      <c r="AD5358">
        <v>-1.1258698653399</v>
      </c>
      <c r="AE5358">
        <v>2.7663199999999999</v>
      </c>
      <c r="AF5358">
        <v>-1.2482599377678401</v>
      </c>
      <c r="AG5358">
        <v>-1.1258698653399</v>
      </c>
      <c r="AH5358">
        <v>18.674804671455501</v>
      </c>
      <c r="AI5358">
        <v>93.442418991121897</v>
      </c>
      <c r="AJ5358">
        <v>93.824071985042394</v>
      </c>
      <c r="AK5358">
        <v>18.7503084066085</v>
      </c>
      <c r="AL5358">
        <v>79.672297082600195</v>
      </c>
      <c r="AM5358">
        <v>90.064221126097095</v>
      </c>
      <c r="AN5358">
        <v>0.99999994634129497</v>
      </c>
    </row>
    <row r="5359" spans="1:40" x14ac:dyDescent="0.25">
      <c r="A5359" t="str">
        <f>"20190303171122181"</f>
        <v>20190303171122181</v>
      </c>
      <c r="B5359" t="str">
        <f>"1551604282175857"</f>
        <v>1551604282175857</v>
      </c>
      <c r="C5359" t="s">
        <v>40</v>
      </c>
      <c r="D5359">
        <v>5.3762150000000002</v>
      </c>
      <c r="E5359">
        <v>0.47864849999999998</v>
      </c>
      <c r="F5359" t="s">
        <v>42</v>
      </c>
      <c r="G5359">
        <v>-260.80860000000001</v>
      </c>
      <c r="H5359" s="1">
        <v>8.3363999999999899E-8</v>
      </c>
      <c r="I5359">
        <v>-62.505180000000003</v>
      </c>
      <c r="J5359">
        <v>-279.14109999999999</v>
      </c>
      <c r="K5359">
        <v>1.125793</v>
      </c>
      <c r="L5359">
        <v>-65.259519999999995</v>
      </c>
      <c r="M5359">
        <v>0.99636040000000003</v>
      </c>
      <c r="N5359">
        <v>-1.311056E-2</v>
      </c>
      <c r="O5359">
        <v>8.4226430000000005E-2</v>
      </c>
      <c r="P5359">
        <v>0.98275699999999999</v>
      </c>
      <c r="Q5359">
        <v>0.16616320000000001</v>
      </c>
      <c r="R5359">
        <v>8.1107180000000001E-2</v>
      </c>
      <c r="S5359">
        <v>3.0469360000000001</v>
      </c>
      <c r="T5359">
        <v>-0.1858485</v>
      </c>
      <c r="U5359">
        <v>0.45690920000000002</v>
      </c>
      <c r="V5359" s="1">
        <v>-8.3606460000000004E-5</v>
      </c>
      <c r="W5359">
        <v>0.17908829999999901</v>
      </c>
      <c r="X5359">
        <v>0.98383299999999996</v>
      </c>
      <c r="Y5359">
        <v>-6.4420749999999999E-2</v>
      </c>
      <c r="Z5359">
        <v>-1.614449E-3</v>
      </c>
      <c r="AA5359">
        <v>0.99792150000000002</v>
      </c>
      <c r="AB5359">
        <v>26</v>
      </c>
      <c r="AC5359">
        <v>18.3324999999999</v>
      </c>
      <c r="AD5359">
        <v>-1.1257929166359999</v>
      </c>
      <c r="AE5359">
        <v>2.7543399999999898</v>
      </c>
      <c r="AF5359">
        <v>-1.1959269663421099</v>
      </c>
      <c r="AG5359">
        <v>-1.1257929166359999</v>
      </c>
      <c r="AH5359">
        <v>18.431381879972001</v>
      </c>
      <c r="AI5359">
        <v>93.487980051663797</v>
      </c>
      <c r="AJ5359">
        <v>93.712453535714204</v>
      </c>
      <c r="AK5359">
        <v>18.504418094210099</v>
      </c>
      <c r="AL5359">
        <v>79.683339618971601</v>
      </c>
      <c r="AM5359">
        <v>90.004869014646204</v>
      </c>
      <c r="AN5359">
        <v>0.99999999903796499</v>
      </c>
    </row>
    <row r="5360" spans="1:40" x14ac:dyDescent="0.25">
      <c r="A5360" t="str">
        <f>"20190303171122191"</f>
        <v>20190303171122191</v>
      </c>
      <c r="B5360" t="str">
        <f>"1551604282175857"</f>
        <v>1551604282175857</v>
      </c>
      <c r="C5360" t="s">
        <v>40</v>
      </c>
      <c r="D5360">
        <v>5.3762150000000002</v>
      </c>
      <c r="E5360">
        <v>0.47864849999999998</v>
      </c>
      <c r="F5360" t="s">
        <v>42</v>
      </c>
      <c r="G5360">
        <v>-260.87799999999999</v>
      </c>
      <c r="H5360" s="1">
        <v>5.4638120000000001E-8</v>
      </c>
      <c r="I5360">
        <v>-62.501300000000001</v>
      </c>
      <c r="J5360">
        <v>-279.02350000000001</v>
      </c>
      <c r="K5360">
        <v>1.125723</v>
      </c>
      <c r="L5360">
        <v>-65.246369999999999</v>
      </c>
      <c r="M5360">
        <v>0.9961025</v>
      </c>
      <c r="N5360">
        <v>-1.307184E-2</v>
      </c>
      <c r="O5360">
        <v>8.7229520000000005E-2</v>
      </c>
      <c r="P5360">
        <v>0.98263560000000005</v>
      </c>
      <c r="Q5360">
        <v>0.16613629999999999</v>
      </c>
      <c r="R5360">
        <v>8.2620490000000005E-2</v>
      </c>
      <c r="S5360">
        <v>3.0464479999999998</v>
      </c>
      <c r="T5360">
        <v>-0.1877916</v>
      </c>
      <c r="U5360">
        <v>0.46008300000000002</v>
      </c>
      <c r="V5360">
        <v>1.400077E-3</v>
      </c>
      <c r="W5360">
        <v>0.17903959999999999</v>
      </c>
      <c r="X5360">
        <v>0.98384090000000002</v>
      </c>
      <c r="Y5360">
        <v>-6.2460429999999997E-2</v>
      </c>
      <c r="Z5360">
        <v>-1.8684559999999999E-3</v>
      </c>
      <c r="AA5360">
        <v>0.99804570000000004</v>
      </c>
      <c r="AB5360">
        <v>26</v>
      </c>
      <c r="AC5360">
        <v>18.145499999999998</v>
      </c>
      <c r="AD5360">
        <v>-1.12572294536188</v>
      </c>
      <c r="AE5360">
        <v>2.7450699999999899</v>
      </c>
      <c r="AF5360">
        <v>-1.1473291619747801</v>
      </c>
      <c r="AG5360">
        <v>-1.12572294536188</v>
      </c>
      <c r="AH5360">
        <v>18.247135239105098</v>
      </c>
      <c r="AI5360">
        <v>93.523341499930595</v>
      </c>
      <c r="AJ5360">
        <v>93.597862963366296</v>
      </c>
      <c r="AK5360">
        <v>18.317793556807601</v>
      </c>
      <c r="AL5360">
        <v>79.686176060059395</v>
      </c>
      <c r="AM5360">
        <v>89.918464002724093</v>
      </c>
      <c r="AN5360">
        <v>1.0000000275482801</v>
      </c>
    </row>
    <row r="5361" spans="1:40" x14ac:dyDescent="0.25">
      <c r="A5361" t="str">
        <f>"20190303171122204"</f>
        <v>20190303171122204</v>
      </c>
      <c r="B5361" t="str">
        <f>"1551604282196353"</f>
        <v>1551604282196353</v>
      </c>
      <c r="C5361" t="s">
        <v>40</v>
      </c>
      <c r="D5361">
        <v>5.3815299999999997</v>
      </c>
      <c r="E5361">
        <v>0.4790219</v>
      </c>
      <c r="F5361" t="s">
        <v>107</v>
      </c>
      <c r="G5361">
        <v>-260.7731</v>
      </c>
      <c r="H5361" s="1">
        <v>1.1033609999999999E-7</v>
      </c>
      <c r="I5361">
        <v>-62.461039999999997</v>
      </c>
      <c r="J5361">
        <v>-278.87970000000001</v>
      </c>
      <c r="K5361">
        <v>1.1256389999999901</v>
      </c>
      <c r="L5361">
        <v>-65.229860000000002</v>
      </c>
      <c r="M5361">
        <v>0.99578029999999995</v>
      </c>
      <c r="N5361">
        <v>-1.302408E-2</v>
      </c>
      <c r="O5361">
        <v>9.0839680000000006E-2</v>
      </c>
      <c r="P5361">
        <v>0.98247150000000005</v>
      </c>
      <c r="Q5361">
        <v>0.16607169999999999</v>
      </c>
      <c r="R5361">
        <v>8.4673689999999996E-2</v>
      </c>
      <c r="S5361">
        <v>3.0456850000000002</v>
      </c>
      <c r="T5361">
        <v>-0.18786420000000001</v>
      </c>
      <c r="U5361">
        <v>0.46481319999999998</v>
      </c>
      <c r="V5361">
        <v>2.9510830000000002E-3</v>
      </c>
      <c r="W5361">
        <v>0.17894479999999999</v>
      </c>
      <c r="X5361">
        <v>0.98385469999999997</v>
      </c>
      <c r="Y5361">
        <v>-6.0403619999999998E-2</v>
      </c>
      <c r="Z5361">
        <v>-2.1251249999999998E-3</v>
      </c>
      <c r="AA5361">
        <v>0.9981717</v>
      </c>
      <c r="AB5361">
        <v>26</v>
      </c>
      <c r="AC5361">
        <v>18.1066</v>
      </c>
      <c r="AD5361">
        <v>-1.12563888966389</v>
      </c>
      <c r="AE5361">
        <v>2.7688199999999901</v>
      </c>
      <c r="AF5361">
        <v>-1.10824781781329</v>
      </c>
      <c r="AG5361">
        <v>-1.12563888966389</v>
      </c>
      <c r="AH5361">
        <v>18.214479729937999</v>
      </c>
      <c r="AI5361">
        <v>93.529820478457694</v>
      </c>
      <c r="AJ5361">
        <v>93.481830940024807</v>
      </c>
      <c r="AK5361">
        <v>18.282848464282999</v>
      </c>
      <c r="AL5361">
        <v>79.691696680570701</v>
      </c>
      <c r="AM5361">
        <v>89.828141194215902</v>
      </c>
      <c r="AN5361">
        <v>1.000000010525</v>
      </c>
    </row>
    <row r="5362" spans="1:40" x14ac:dyDescent="0.25">
      <c r="A5362" t="str">
        <f>"20190303171122213"</f>
        <v>20190303171122213</v>
      </c>
      <c r="B5362" t="str">
        <f>"1551604282206113"</f>
        <v>1551604282206113</v>
      </c>
      <c r="C5362" t="s">
        <v>40</v>
      </c>
      <c r="D5362">
        <v>5.3282829999999999</v>
      </c>
      <c r="E5362">
        <v>0.48483989999999999</v>
      </c>
      <c r="F5362" t="s">
        <v>42</v>
      </c>
      <c r="G5362">
        <v>-260.58249999999998</v>
      </c>
      <c r="H5362" s="1">
        <v>2.042016E-7</v>
      </c>
      <c r="I5362">
        <v>-62.415520000000001</v>
      </c>
      <c r="J5362">
        <v>-278.75810000000001</v>
      </c>
      <c r="K5362">
        <v>1.125578</v>
      </c>
      <c r="L5362">
        <v>-65.215639999999993</v>
      </c>
      <c r="M5362">
        <v>0.99550070000000002</v>
      </c>
      <c r="N5362">
        <v>-1.298359E-2</v>
      </c>
      <c r="O5362">
        <v>9.386092E-2</v>
      </c>
      <c r="P5362">
        <v>0.98237399999999997</v>
      </c>
      <c r="Q5362">
        <v>0.1660874</v>
      </c>
      <c r="R5362">
        <v>8.577166E-2</v>
      </c>
      <c r="S5362">
        <v>3.0448300000000001</v>
      </c>
      <c r="T5362">
        <v>-0.18731729999999999</v>
      </c>
      <c r="U5362">
        <v>0.46832279999999998</v>
      </c>
      <c r="V5362">
        <v>4.8704109999999998E-3</v>
      </c>
      <c r="W5362">
        <v>0.17894009999999999</v>
      </c>
      <c r="X5362">
        <v>0.9838479</v>
      </c>
      <c r="Y5362">
        <v>-5.8548339999999997E-2</v>
      </c>
      <c r="Z5362">
        <v>-2.3328889999999999E-3</v>
      </c>
      <c r="AA5362">
        <v>0.9982818</v>
      </c>
      <c r="AB5362">
        <v>26</v>
      </c>
      <c r="AC5362">
        <v>18.175599999999999</v>
      </c>
      <c r="AD5362">
        <v>-1.1255777957983999</v>
      </c>
      <c r="AE5362">
        <v>2.8001200000000099</v>
      </c>
      <c r="AF5362">
        <v>-1.0775971543962299</v>
      </c>
      <c r="AG5362">
        <v>-1.1255777957983999</v>
      </c>
      <c r="AH5362">
        <v>18.2896749157958</v>
      </c>
      <c r="AI5362">
        <v>93.515557283573301</v>
      </c>
      <c r="AJ5362">
        <v>93.371873739718893</v>
      </c>
      <c r="AK5362">
        <v>18.355934994628999</v>
      </c>
      <c r="AL5362">
        <v>79.691970125774503</v>
      </c>
      <c r="AM5362">
        <v>89.716367016371606</v>
      </c>
      <c r="AN5362">
        <v>0.99999998531286405</v>
      </c>
    </row>
    <row r="5363" spans="1:40" x14ac:dyDescent="0.25">
      <c r="A5363" t="str">
        <f>"20190303171122225"</f>
        <v>20190303171122225</v>
      </c>
      <c r="B5363" t="str">
        <f>"1551604282215873"</f>
        <v>1551604282215873</v>
      </c>
      <c r="C5363" t="s">
        <v>40</v>
      </c>
      <c r="D5363">
        <v>5.2295030000000002</v>
      </c>
      <c r="E5363">
        <v>0.4851627</v>
      </c>
      <c r="F5363" t="s">
        <v>105</v>
      </c>
      <c r="G5363">
        <v>-259.39929999999998</v>
      </c>
      <c r="H5363" s="1">
        <v>-3.506784E-6</v>
      </c>
      <c r="I5363">
        <v>-62.516379999999998</v>
      </c>
      <c r="J5363">
        <v>-278.63900000000001</v>
      </c>
      <c r="K5363">
        <v>1.1255109999999999</v>
      </c>
      <c r="L5363">
        <v>-65.2012</v>
      </c>
      <c r="M5363">
        <v>0.99522469999999996</v>
      </c>
      <c r="N5363">
        <v>-1.2944499999999999E-2</v>
      </c>
      <c r="O5363">
        <v>9.674895E-2</v>
      </c>
      <c r="P5363">
        <v>0.98228119999999997</v>
      </c>
      <c r="Q5363">
        <v>0.1660731</v>
      </c>
      <c r="R5363">
        <v>8.6851300000000006E-2</v>
      </c>
      <c r="S5363">
        <v>3.0466609999999998</v>
      </c>
      <c r="T5363">
        <v>-0.1771421</v>
      </c>
      <c r="U5363">
        <v>0.42480469999999998</v>
      </c>
      <c r="V5363">
        <v>6.6775869999999996E-3</v>
      </c>
      <c r="W5363">
        <v>0.17890590000000001</v>
      </c>
      <c r="X5363">
        <v>0.98384360000000004</v>
      </c>
      <c r="Y5363">
        <v>-4.1630630000000002E-2</v>
      </c>
      <c r="Z5363">
        <v>-2.8539820000000001E-3</v>
      </c>
      <c r="AA5363">
        <v>0.99912900000000004</v>
      </c>
      <c r="AB5363">
        <v>26</v>
      </c>
      <c r="AC5363">
        <v>19.239699999999999</v>
      </c>
      <c r="AD5363">
        <v>-1.125514506784</v>
      </c>
      <c r="AE5363">
        <v>2.68481999999999</v>
      </c>
      <c r="AF5363">
        <v>-0.80793417389298205</v>
      </c>
      <c r="AG5363">
        <v>-1.125514506784</v>
      </c>
      <c r="AH5363">
        <v>19.344267661586802</v>
      </c>
      <c r="AI5363">
        <v>93.327012781543303</v>
      </c>
      <c r="AJ5363">
        <v>92.391629931646904</v>
      </c>
      <c r="AK5363">
        <v>19.393819425204502</v>
      </c>
      <c r="AL5363">
        <v>79.693962665485003</v>
      </c>
      <c r="AM5363">
        <v>89.6111255106063</v>
      </c>
      <c r="AN5363">
        <v>1.00000007024195</v>
      </c>
    </row>
    <row r="5364" spans="1:40" x14ac:dyDescent="0.25">
      <c r="A5364" t="str">
        <f>"20190303171122235"</f>
        <v>20190303171122235</v>
      </c>
      <c r="B5364" t="str">
        <f>"1551604282226609"</f>
        <v>1551604282226609</v>
      </c>
      <c r="C5364" t="s">
        <v>40</v>
      </c>
      <c r="D5364">
        <v>5.2654800000000002</v>
      </c>
      <c r="E5364">
        <v>0.48565950000000002</v>
      </c>
      <c r="F5364" t="s">
        <v>105</v>
      </c>
      <c r="G5364">
        <v>-259.36669999999998</v>
      </c>
      <c r="H5364" s="1">
        <v>-3.4944860000000002E-6</v>
      </c>
      <c r="I5364">
        <v>-62.507330000000003</v>
      </c>
      <c r="J5364">
        <v>-278.51069999999999</v>
      </c>
      <c r="K5364">
        <v>1.1254379999999999</v>
      </c>
      <c r="L5364">
        <v>-65.185580000000002</v>
      </c>
      <c r="M5364">
        <v>0.99491940000000001</v>
      </c>
      <c r="N5364">
        <v>-1.290291E-2</v>
      </c>
      <c r="O5364">
        <v>9.9844779999999994E-2</v>
      </c>
      <c r="P5364">
        <v>0.98217900000000002</v>
      </c>
      <c r="Q5364">
        <v>0.1661067</v>
      </c>
      <c r="R5364">
        <v>8.7938150000000007E-2</v>
      </c>
      <c r="S5364">
        <v>3.0465390000000001</v>
      </c>
      <c r="T5364">
        <v>-0.17791940000000001</v>
      </c>
      <c r="U5364">
        <v>0.42584230000000001</v>
      </c>
      <c r="V5364">
        <v>8.6846909999999996E-3</v>
      </c>
      <c r="W5364">
        <v>0.1789171</v>
      </c>
      <c r="X5364">
        <v>0.98382579999999997</v>
      </c>
      <c r="Y5364">
        <v>-3.8870679999999998E-2</v>
      </c>
      <c r="Z5364">
        <v>-3.1146390000000002E-3</v>
      </c>
      <c r="AA5364">
        <v>0.9992394</v>
      </c>
      <c r="AB5364">
        <v>26</v>
      </c>
      <c r="AC5364">
        <v>19.143999999999998</v>
      </c>
      <c r="AD5364">
        <v>-1.1254414944859901</v>
      </c>
      <c r="AE5364">
        <v>2.67824999999999</v>
      </c>
      <c r="AF5364">
        <v>-0.75073232790885802</v>
      </c>
      <c r="AG5364">
        <v>-1.1254414944859901</v>
      </c>
      <c r="AH5364">
        <v>19.250499872970799</v>
      </c>
      <c r="AI5364">
        <v>93.343337604354502</v>
      </c>
      <c r="AJ5364">
        <v>92.233293070777094</v>
      </c>
      <c r="AK5364">
        <v>19.297978208738101</v>
      </c>
      <c r="AL5364">
        <v>79.693309474626503</v>
      </c>
      <c r="AM5364">
        <v>89.4942364630474</v>
      </c>
      <c r="AN5364">
        <v>0.99999997863790702</v>
      </c>
    </row>
    <row r="5365" spans="1:40" x14ac:dyDescent="0.25">
      <c r="A5365" t="str">
        <f>"20190303171122247"</f>
        <v>20190303171122247</v>
      </c>
      <c r="B5365" t="str">
        <f>"1551604282236369"</f>
        <v>1551604282236369</v>
      </c>
      <c r="C5365" t="s">
        <v>40</v>
      </c>
      <c r="D5365">
        <v>5.2165689999999998</v>
      </c>
      <c r="E5365">
        <v>0.48570059999999898</v>
      </c>
      <c r="F5365" t="s">
        <v>105</v>
      </c>
      <c r="G5365">
        <v>-259.334</v>
      </c>
      <c r="H5365" s="1">
        <v>-3.4837619999999998E-6</v>
      </c>
      <c r="I5365">
        <v>-62.510339999999999</v>
      </c>
      <c r="J5365">
        <v>-278.38869999999997</v>
      </c>
      <c r="K5365">
        <v>1.125364</v>
      </c>
      <c r="L5365">
        <v>-65.170100000000005</v>
      </c>
      <c r="M5365">
        <v>0.99463000000000001</v>
      </c>
      <c r="N5365">
        <v>-1.2862520000000001E-2</v>
      </c>
      <c r="O5365">
        <v>0.1026928</v>
      </c>
      <c r="P5365">
        <v>0.98212619999999895</v>
      </c>
      <c r="Q5365">
        <v>0.16574269999999999</v>
      </c>
      <c r="R5365">
        <v>8.9206110000000005E-2</v>
      </c>
      <c r="S5365">
        <v>3.0466310000000001</v>
      </c>
      <c r="T5365">
        <v>-0.1788005</v>
      </c>
      <c r="U5365">
        <v>0.42501830000000002</v>
      </c>
      <c r="V5365">
        <v>1.027629E-2</v>
      </c>
      <c r="W5365">
        <v>0.1785291</v>
      </c>
      <c r="X5365">
        <v>0.98388089999999995</v>
      </c>
      <c r="Y5365">
        <v>-3.5750560000000001E-2</v>
      </c>
      <c r="Z5365">
        <v>-3.3819000000000002E-3</v>
      </c>
      <c r="AA5365">
        <v>0.99935499999999999</v>
      </c>
      <c r="AB5365">
        <v>26</v>
      </c>
      <c r="AC5365">
        <v>19.054699999999901</v>
      </c>
      <c r="AD5365">
        <v>-1.125367483762</v>
      </c>
      <c r="AE5365">
        <v>2.6597599999999999</v>
      </c>
      <c r="AF5365">
        <v>-0.68640507107369397</v>
      </c>
      <c r="AG5365">
        <v>-1.125367483762</v>
      </c>
      <c r="AH5365">
        <v>19.161544811235999</v>
      </c>
      <c r="AI5365">
        <v>93.3590004093912</v>
      </c>
      <c r="AJ5365">
        <v>92.051572812892701</v>
      </c>
      <c r="AK5365">
        <v>19.206832207527398</v>
      </c>
      <c r="AL5365">
        <v>79.715903554337501</v>
      </c>
      <c r="AM5365">
        <v>89.401587491916302</v>
      </c>
      <c r="AN5365">
        <v>0.99999993353388905</v>
      </c>
    </row>
    <row r="5366" spans="1:40" x14ac:dyDescent="0.25">
      <c r="A5366" t="str">
        <f>"20190303171122258"</f>
        <v>20190303171122258</v>
      </c>
      <c r="B5366" t="str">
        <f>"1551604282246129"</f>
        <v>1551604282246129</v>
      </c>
      <c r="C5366" t="s">
        <v>40</v>
      </c>
      <c r="D5366">
        <v>5.2866589999999896</v>
      </c>
      <c r="E5366">
        <v>0.48570059999999898</v>
      </c>
      <c r="F5366" t="s">
        <v>105</v>
      </c>
      <c r="G5366">
        <v>-259.3141</v>
      </c>
      <c r="H5366" s="1">
        <v>-3.474219E-6</v>
      </c>
      <c r="I5366">
        <v>-62.489490000000004</v>
      </c>
      <c r="J5366">
        <v>-278.25940000000003</v>
      </c>
      <c r="K5366">
        <v>1.1252850000000001</v>
      </c>
      <c r="L5366">
        <v>-65.153630000000007</v>
      </c>
      <c r="M5366">
        <v>0.99431619999999998</v>
      </c>
      <c r="N5366">
        <v>-1.282026E-2</v>
      </c>
      <c r="O5366">
        <v>0.1056927</v>
      </c>
      <c r="P5366">
        <v>0.98201450000000001</v>
      </c>
      <c r="Q5366">
        <v>0.1655606</v>
      </c>
      <c r="R5366">
        <v>9.0760250000000001E-2</v>
      </c>
      <c r="S5366">
        <v>3.0460509999999998</v>
      </c>
      <c r="T5366">
        <v>-0.1797117</v>
      </c>
      <c r="U5366">
        <v>0.42807010000000001</v>
      </c>
      <c r="V5366">
        <v>1.172898E-2</v>
      </c>
      <c r="W5366">
        <v>0.17831839999999999</v>
      </c>
      <c r="X5366">
        <v>0.98390290000000002</v>
      </c>
      <c r="Y5366">
        <v>-3.375214E-2</v>
      </c>
      <c r="Z5366">
        <v>-3.6202230000000001E-3</v>
      </c>
      <c r="AA5366">
        <v>0.99942370000000003</v>
      </c>
      <c r="AB5366">
        <v>26</v>
      </c>
      <c r="AC5366">
        <v>18.9453</v>
      </c>
      <c r="AD5366">
        <v>-1.1252884742189999</v>
      </c>
      <c r="AE5366">
        <v>2.6641400000000002</v>
      </c>
      <c r="AF5366">
        <v>-0.64444131177557895</v>
      </c>
      <c r="AG5366">
        <v>-1.1252884742189999</v>
      </c>
      <c r="AH5366">
        <v>19.054848805686301</v>
      </c>
      <c r="AI5366">
        <v>93.377763417420098</v>
      </c>
      <c r="AJ5366">
        <v>91.937023975062303</v>
      </c>
      <c r="AK5366">
        <v>19.098922528826002</v>
      </c>
      <c r="AL5366">
        <v>79.728173014029906</v>
      </c>
      <c r="AM5366">
        <v>89.317016728274098</v>
      </c>
      <c r="AN5366">
        <v>0.999999968689404</v>
      </c>
    </row>
    <row r="5367" spans="1:40" x14ac:dyDescent="0.25">
      <c r="A5367" t="str">
        <f>"20190303171122270"</f>
        <v>20190303171122270</v>
      </c>
      <c r="B5367" t="str">
        <f>"1551604282255889"</f>
        <v>1551604282255889</v>
      </c>
      <c r="C5367" t="s">
        <v>40</v>
      </c>
      <c r="D5367">
        <v>5.4981780000000002</v>
      </c>
      <c r="E5367">
        <v>0.48857210000000001</v>
      </c>
      <c r="F5367" t="s">
        <v>105</v>
      </c>
      <c r="G5367">
        <v>-259.25459999999998</v>
      </c>
      <c r="H5367" s="1">
        <v>-3.4490719999999998E-6</v>
      </c>
      <c r="I5367">
        <v>-62.452919999999999</v>
      </c>
      <c r="J5367">
        <v>-278.12209999999999</v>
      </c>
      <c r="K5367">
        <v>1.125194</v>
      </c>
      <c r="L5367">
        <v>-65.135589999999993</v>
      </c>
      <c r="M5367">
        <v>0.99398379999999997</v>
      </c>
      <c r="N5367">
        <v>-1.277618E-2</v>
      </c>
      <c r="O5367">
        <v>0.1087791</v>
      </c>
      <c r="P5367">
        <v>0.98183679999999995</v>
      </c>
      <c r="Q5367">
        <v>0.16572590000000001</v>
      </c>
      <c r="R5367">
        <v>9.2366770000000001E-2</v>
      </c>
      <c r="S5367">
        <v>3.0453800000000002</v>
      </c>
      <c r="T5367">
        <v>-0.1803197</v>
      </c>
      <c r="U5367">
        <v>0.43276979999999998</v>
      </c>
      <c r="V5367">
        <v>1.3210499999999899E-2</v>
      </c>
      <c r="W5367">
        <v>0.1784512</v>
      </c>
      <c r="X5367">
        <v>0.98386010000000002</v>
      </c>
      <c r="Y5367">
        <v>-3.2198980000000002E-2</v>
      </c>
      <c r="Z5367">
        <v>-3.8400700000000001E-3</v>
      </c>
      <c r="AA5367">
        <v>0.99947410000000003</v>
      </c>
      <c r="AB5367">
        <v>26</v>
      </c>
      <c r="AC5367">
        <v>18.8675</v>
      </c>
      <c r="AD5367">
        <v>-1.125197449072</v>
      </c>
      <c r="AE5367">
        <v>2.6826699999999999</v>
      </c>
      <c r="AF5367">
        <v>-0.61205732989605799</v>
      </c>
      <c r="AG5367">
        <v>-1.125197449072</v>
      </c>
      <c r="AH5367">
        <v>18.981193359631799</v>
      </c>
      <c r="AI5367">
        <v>93.390742252883598</v>
      </c>
      <c r="AJ5367">
        <v>91.846888887122404</v>
      </c>
      <c r="AK5367">
        <v>19.0243629283665</v>
      </c>
      <c r="AL5367">
        <v>79.720440660980799</v>
      </c>
      <c r="AM5367">
        <v>89.230723542261899</v>
      </c>
      <c r="AN5367">
        <v>1.0000000222318399</v>
      </c>
    </row>
    <row r="5368" spans="1:40" x14ac:dyDescent="0.25">
      <c r="A5368" t="str">
        <f>"20190303171122283"</f>
        <v>20190303171122283</v>
      </c>
      <c r="B5368" t="str">
        <f>"1551604282276385"</f>
        <v>1551604282276385</v>
      </c>
      <c r="C5368" t="s">
        <v>40</v>
      </c>
      <c r="D5368">
        <v>5.3201609999999997</v>
      </c>
      <c r="E5368">
        <v>0.48933209999999999</v>
      </c>
      <c r="F5368" t="s">
        <v>105</v>
      </c>
      <c r="G5368">
        <v>-259.6789</v>
      </c>
      <c r="H5368" s="1">
        <v>-3.6162420000000001E-6</v>
      </c>
      <c r="I5368">
        <v>-62.623489999999997</v>
      </c>
      <c r="J5368">
        <v>-277.98360000000002</v>
      </c>
      <c r="K5368">
        <v>1.1251040000000001</v>
      </c>
      <c r="L5368">
        <v>-65.117099999999994</v>
      </c>
      <c r="M5368">
        <v>0.99364470000000005</v>
      </c>
      <c r="N5368">
        <v>-1.273179E-2</v>
      </c>
      <c r="O5368">
        <v>0.1118407</v>
      </c>
      <c r="P5368">
        <v>0.98170630000000003</v>
      </c>
      <c r="Q5368">
        <v>0.16573940000000001</v>
      </c>
      <c r="R5368">
        <v>9.3720680000000001E-2</v>
      </c>
      <c r="S5368">
        <v>3.0477910000000001</v>
      </c>
      <c r="T5368">
        <v>-0.1859413</v>
      </c>
      <c r="U5368">
        <v>0.41513060000000002</v>
      </c>
      <c r="V5368">
        <v>1.492622E-2</v>
      </c>
      <c r="W5368">
        <v>0.17843429999999999</v>
      </c>
      <c r="X5368">
        <v>0.98383860000000001</v>
      </c>
      <c r="Y5368">
        <v>-2.3362609999999999E-2</v>
      </c>
      <c r="Z5368">
        <v>-4.4824890000000001E-3</v>
      </c>
      <c r="AA5368">
        <v>0.99971699999999997</v>
      </c>
      <c r="AB5368">
        <v>26</v>
      </c>
      <c r="AC5368">
        <v>18.3047</v>
      </c>
      <c r="AD5368">
        <v>-1.125107616242</v>
      </c>
      <c r="AE5368">
        <v>2.4936099999999799</v>
      </c>
      <c r="AF5368">
        <v>-0.42899553083437397</v>
      </c>
      <c r="AG5368">
        <v>-1.125107616242</v>
      </c>
      <c r="AH5368">
        <v>18.4004993975893</v>
      </c>
      <c r="AI5368">
        <v>93.498074157629802</v>
      </c>
      <c r="AJ5368">
        <v>91.335571430854202</v>
      </c>
      <c r="AK5368">
        <v>18.4398558127304</v>
      </c>
      <c r="AL5368">
        <v>79.721424431137194</v>
      </c>
      <c r="AM5368">
        <v>89.130808850011306</v>
      </c>
      <c r="AN5368">
        <v>0.99999999115496896</v>
      </c>
    </row>
    <row r="5369" spans="1:40" x14ac:dyDescent="0.25">
      <c r="A5369" t="str">
        <f>"20190303171122292"</f>
        <v>20190303171122292</v>
      </c>
      <c r="B5369" t="str">
        <f>"1551604282286145"</f>
        <v>1551604282286145</v>
      </c>
      <c r="C5369" t="s">
        <v>40</v>
      </c>
      <c r="D5369">
        <v>5.2370449999999904</v>
      </c>
      <c r="E5369">
        <v>0.509073</v>
      </c>
      <c r="F5369" t="s">
        <v>105</v>
      </c>
      <c r="G5369">
        <v>-259.25540000000001</v>
      </c>
      <c r="H5369" s="1">
        <v>-3.4662259999999998E-6</v>
      </c>
      <c r="I5369">
        <v>-62.579189999999997</v>
      </c>
      <c r="J5369">
        <v>-277.86489999999998</v>
      </c>
      <c r="K5369">
        <v>1.1250249999999999</v>
      </c>
      <c r="L5369">
        <v>-65.101010000000002</v>
      </c>
      <c r="M5369">
        <v>0.9933516</v>
      </c>
      <c r="N5369">
        <v>-1.269381E-2</v>
      </c>
      <c r="O5369">
        <v>0.1144186</v>
      </c>
      <c r="P5369">
        <v>0.98153999999999997</v>
      </c>
      <c r="Q5369">
        <v>0.1663347</v>
      </c>
      <c r="R5369">
        <v>9.4405290000000003E-2</v>
      </c>
      <c r="S5369">
        <v>3.0474239999999999</v>
      </c>
      <c r="T5369">
        <v>-0.18307590000000001</v>
      </c>
      <c r="U5369">
        <v>0.41296389999999999</v>
      </c>
      <c r="V5369">
        <v>1.6812750000000001E-2</v>
      </c>
      <c r="W5369">
        <v>0.17900579999999999</v>
      </c>
      <c r="X5369">
        <v>0.98370429999999998</v>
      </c>
      <c r="Y5369">
        <v>-2.0093159999999999E-2</v>
      </c>
      <c r="Z5369">
        <v>-4.6334409999999899E-3</v>
      </c>
      <c r="AA5369">
        <v>0.99978739999999999</v>
      </c>
      <c r="AB5369">
        <v>26</v>
      </c>
      <c r="AC5369">
        <v>18.609499999999901</v>
      </c>
      <c r="AD5369">
        <v>-1.1250284662259999</v>
      </c>
      <c r="AE5369">
        <v>2.5218199999999902</v>
      </c>
      <c r="AF5369">
        <v>-0.37446734066665699</v>
      </c>
      <c r="AG5369">
        <v>-1.1250284662259999</v>
      </c>
      <c r="AH5369">
        <v>18.708688480055699</v>
      </c>
      <c r="AI5369">
        <v>93.440593510747206</v>
      </c>
      <c r="AJ5369">
        <v>91.1466615464048</v>
      </c>
      <c r="AK5369">
        <v>18.746224672792501</v>
      </c>
      <c r="AL5369">
        <v>79.6881436215767</v>
      </c>
      <c r="AM5369">
        <v>89.020838033806896</v>
      </c>
      <c r="AN5369">
        <v>0.99999994741734399</v>
      </c>
    </row>
    <row r="5370" spans="1:40" x14ac:dyDescent="0.25">
      <c r="A5370" t="str">
        <f>"20190303171122304"</f>
        <v>20190303171122304</v>
      </c>
      <c r="B5370" t="str">
        <f>"1551604282295905"</f>
        <v>1551604282295905</v>
      </c>
      <c r="C5370" t="s">
        <v>40</v>
      </c>
      <c r="D5370">
        <v>5.1533410000000002</v>
      </c>
      <c r="E5370">
        <v>0.51425449999999995</v>
      </c>
      <c r="F5370" t="s">
        <v>105</v>
      </c>
      <c r="G5370">
        <v>-253.84479999999999</v>
      </c>
      <c r="H5370" s="1">
        <v>-1.3874879999999999E-6</v>
      </c>
      <c r="I5370">
        <v>-63.090490000000003</v>
      </c>
      <c r="J5370">
        <v>-277.73390000000001</v>
      </c>
      <c r="K5370">
        <v>1.124941</v>
      </c>
      <c r="L5370">
        <v>-65.082890000000006</v>
      </c>
      <c r="M5370">
        <v>0.9930291</v>
      </c>
      <c r="N5370">
        <v>-1.2652800000000001E-2</v>
      </c>
      <c r="O5370">
        <v>0.117188</v>
      </c>
      <c r="P5370">
        <v>0.98139940000000003</v>
      </c>
      <c r="Q5370">
        <v>0.16676340000000001</v>
      </c>
      <c r="R5370">
        <v>9.5107670000000005E-2</v>
      </c>
      <c r="S5370">
        <v>3.0560610000000001</v>
      </c>
      <c r="T5370">
        <v>-0.1431366</v>
      </c>
      <c r="U5370">
        <v>0.25579829999999998</v>
      </c>
      <c r="V5370">
        <v>1.88807E-2</v>
      </c>
      <c r="W5370">
        <v>0.17940829999999999</v>
      </c>
      <c r="X5370">
        <v>0.98359350000000001</v>
      </c>
      <c r="Y5370">
        <v>3.383949E-2</v>
      </c>
      <c r="Z5370">
        <v>-4.981259E-3</v>
      </c>
      <c r="AA5370">
        <v>0.99941489999999999</v>
      </c>
      <c r="AB5370">
        <v>26</v>
      </c>
      <c r="AC5370">
        <v>23.889099999999999</v>
      </c>
      <c r="AD5370">
        <v>-1.124942387488</v>
      </c>
      <c r="AE5370">
        <v>1.9923999999999999</v>
      </c>
      <c r="AF5370">
        <v>0.819266271476217</v>
      </c>
      <c r="AG5370">
        <v>-1.124942387488</v>
      </c>
      <c r="AH5370">
        <v>23.905332137769701</v>
      </c>
      <c r="AI5370">
        <v>92.692671301021207</v>
      </c>
      <c r="AJ5370">
        <v>88.037168661919097</v>
      </c>
      <c r="AK5370">
        <v>23.945805420069501</v>
      </c>
      <c r="AL5370">
        <v>79.664703099571298</v>
      </c>
      <c r="AM5370">
        <v>88.900306290749</v>
      </c>
      <c r="AN5370">
        <v>0.999999996091814</v>
      </c>
    </row>
    <row r="5371" spans="1:40" x14ac:dyDescent="0.25">
      <c r="A5371" t="str">
        <f>"20190303171122314"</f>
        <v>20190303171122314</v>
      </c>
      <c r="B5371" t="str">
        <f>"1551604282305665"</f>
        <v>1551604282305665</v>
      </c>
      <c r="C5371" t="s">
        <v>40</v>
      </c>
      <c r="D5371">
        <v>5.1118670000000002</v>
      </c>
      <c r="E5371">
        <v>0.51685919999999996</v>
      </c>
      <c r="F5371" t="s">
        <v>105</v>
      </c>
      <c r="G5371">
        <v>-253.5633</v>
      </c>
      <c r="H5371" s="1">
        <v>-1.327469E-6</v>
      </c>
      <c r="I5371">
        <v>-63.36365</v>
      </c>
      <c r="J5371">
        <v>-277.61180000000002</v>
      </c>
      <c r="K5371">
        <v>1.124857</v>
      </c>
      <c r="L5371">
        <v>-65.065799999999996</v>
      </c>
      <c r="M5371">
        <v>0.99272539999999998</v>
      </c>
      <c r="N5371">
        <v>-1.261524E-2</v>
      </c>
      <c r="O5371">
        <v>0.11973830000000001</v>
      </c>
      <c r="P5371">
        <v>0.98124710000000004</v>
      </c>
      <c r="Q5371">
        <v>0.16723979999999999</v>
      </c>
      <c r="R5371">
        <v>9.584107E-2</v>
      </c>
      <c r="S5371">
        <v>3.0599370000000001</v>
      </c>
      <c r="T5371">
        <v>-0.14241500000000001</v>
      </c>
      <c r="U5371">
        <v>0.21765139999999999</v>
      </c>
      <c r="V5371">
        <v>2.0696630000000001E-2</v>
      </c>
      <c r="W5371">
        <v>0.17985909999999999</v>
      </c>
      <c r="X5371">
        <v>0.98347459999999998</v>
      </c>
      <c r="Y5371">
        <v>4.8871789999999998E-2</v>
      </c>
      <c r="Z5371">
        <v>-5.4785600000000004E-3</v>
      </c>
      <c r="AA5371">
        <v>0.99878999999999996</v>
      </c>
      <c r="AB5371">
        <v>26</v>
      </c>
      <c r="AC5371">
        <v>24.048500000000001</v>
      </c>
      <c r="AD5371">
        <v>-1.1248583274690001</v>
      </c>
      <c r="AE5371">
        <v>1.7021499999999901</v>
      </c>
      <c r="AF5371">
        <v>1.18726894616342</v>
      </c>
      <c r="AG5371">
        <v>-1.1248583274690001</v>
      </c>
      <c r="AH5371">
        <v>24.0269783041986</v>
      </c>
      <c r="AI5371">
        <v>92.677167301635905</v>
      </c>
      <c r="AJ5371">
        <v>87.171087726802099</v>
      </c>
      <c r="AK5371">
        <v>24.082578770510199</v>
      </c>
      <c r="AL5371">
        <v>79.638446771380401</v>
      </c>
      <c r="AM5371">
        <v>88.794422813910302</v>
      </c>
      <c r="AN5371">
        <v>0.99999996759566201</v>
      </c>
    </row>
    <row r="5372" spans="1:40" x14ac:dyDescent="0.25">
      <c r="A5372" t="str">
        <f>"20190303171122325"</f>
        <v>20190303171122325</v>
      </c>
      <c r="B5372" t="str">
        <f>"1551604282316401"</f>
        <v>1551604282316401</v>
      </c>
      <c r="C5372" t="s">
        <v>40</v>
      </c>
      <c r="D5372">
        <v>5.332929</v>
      </c>
      <c r="E5372">
        <v>0.51888579999999995</v>
      </c>
      <c r="F5372" t="s">
        <v>105</v>
      </c>
      <c r="G5372">
        <v>-254.22229999999999</v>
      </c>
      <c r="H5372" s="1">
        <v>-1.6489169999999901E-6</v>
      </c>
      <c r="I5372">
        <v>-63.537959999999998</v>
      </c>
      <c r="J5372">
        <v>-277.49259999999998</v>
      </c>
      <c r="K5372">
        <v>1.1247769999999999</v>
      </c>
      <c r="L5372">
        <v>-65.048680000000004</v>
      </c>
      <c r="M5372">
        <v>0.99243419999999904</v>
      </c>
      <c r="N5372">
        <v>-1.2580559999999999E-2</v>
      </c>
      <c r="O5372">
        <v>0.12213110000000001</v>
      </c>
      <c r="P5372">
        <v>0.98111369999999998</v>
      </c>
      <c r="Q5372">
        <v>0.16764679999999901</v>
      </c>
      <c r="R5372">
        <v>9.6490939999999997E-2</v>
      </c>
      <c r="S5372">
        <v>3.062897</v>
      </c>
      <c r="T5372">
        <v>-0.1473024</v>
      </c>
      <c r="U5372">
        <v>0.20007320000000001</v>
      </c>
      <c r="V5372">
        <v>2.2443899999999999E-2</v>
      </c>
      <c r="W5372">
        <v>0.18024180000000001</v>
      </c>
      <c r="X5372">
        <v>0.98336630000000003</v>
      </c>
      <c r="Y5372">
        <v>5.7027840000000003E-2</v>
      </c>
      <c r="Z5372">
        <v>-6.0368790000000002E-3</v>
      </c>
      <c r="AA5372">
        <v>0.99835430000000003</v>
      </c>
      <c r="AB5372">
        <v>26</v>
      </c>
      <c r="AC5372">
        <v>23.270299999999899</v>
      </c>
      <c r="AD5372">
        <v>-1.124778648917</v>
      </c>
      <c r="AE5372">
        <v>1.5107200000000001</v>
      </c>
      <c r="AF5372">
        <v>1.33972658980878</v>
      </c>
      <c r="AG5372">
        <v>-1.124778648917</v>
      </c>
      <c r="AH5372">
        <v>23.2265541634717</v>
      </c>
      <c r="AI5372">
        <v>92.7678695868494</v>
      </c>
      <c r="AJ5372">
        <v>86.698790584955404</v>
      </c>
      <c r="AK5372">
        <v>23.2923337742955</v>
      </c>
      <c r="AL5372">
        <v>79.616156320184302</v>
      </c>
      <c r="AM5372">
        <v>88.6925344834291</v>
      </c>
      <c r="AN5372">
        <v>1.0000000575450601</v>
      </c>
    </row>
    <row r="5373" spans="1:40" x14ac:dyDescent="0.25">
      <c r="A5373" t="str">
        <f>"20190303171122337"</f>
        <v>20190303171122337</v>
      </c>
      <c r="B5373" t="str">
        <f>"1551604282326162"</f>
        <v>1551604282326162</v>
      </c>
      <c r="C5373" t="s">
        <v>40</v>
      </c>
      <c r="D5373">
        <v>5.3317300000000003</v>
      </c>
      <c r="E5373">
        <v>0.52049970000000001</v>
      </c>
      <c r="F5373" t="s">
        <v>105</v>
      </c>
      <c r="G5373">
        <v>-253.06010000000001</v>
      </c>
      <c r="H5373" s="1">
        <v>-1.1568230000000001E-6</v>
      </c>
      <c r="I5373">
        <v>-63.5672</v>
      </c>
      <c r="J5373">
        <v>-277.3526</v>
      </c>
      <c r="K5373">
        <v>1.124679</v>
      </c>
      <c r="L5373">
        <v>-65.028499999999994</v>
      </c>
      <c r="M5373">
        <v>0.9920892</v>
      </c>
      <c r="N5373">
        <v>-1.254047E-2</v>
      </c>
      <c r="O5373">
        <v>0.1249069</v>
      </c>
      <c r="P5373">
        <v>0.98102520000000004</v>
      </c>
      <c r="Q5373">
        <v>0.16775370000000001</v>
      </c>
      <c r="R5373">
        <v>9.7203529999999996E-2</v>
      </c>
      <c r="S5373">
        <v>3.0635680000000001</v>
      </c>
      <c r="T5373">
        <v>-0.14103470000000001</v>
      </c>
      <c r="U5373">
        <v>0.1857605</v>
      </c>
      <c r="V5373">
        <v>2.4524939999999999E-2</v>
      </c>
      <c r="W5373">
        <v>0.18032110000000001</v>
      </c>
      <c r="X5373">
        <v>0.98330200000000001</v>
      </c>
      <c r="Y5373">
        <v>6.4482139999999993E-2</v>
      </c>
      <c r="Z5373">
        <v>-6.0433170000000003E-3</v>
      </c>
      <c r="AA5373">
        <v>0.99790049999999997</v>
      </c>
      <c r="AB5373">
        <v>26</v>
      </c>
      <c r="AC5373">
        <v>24.292499999999901</v>
      </c>
      <c r="AD5373">
        <v>-1.124680156823</v>
      </c>
      <c r="AE5373">
        <v>1.4612999999999901</v>
      </c>
      <c r="AF5373">
        <v>1.58130831244341</v>
      </c>
      <c r="AG5373">
        <v>-1.124680156823</v>
      </c>
      <c r="AH5373">
        <v>24.233008242836299</v>
      </c>
      <c r="AI5373">
        <v>92.651620980154405</v>
      </c>
      <c r="AJ5373">
        <v>86.266496490169402</v>
      </c>
      <c r="AK5373">
        <v>24.310576503479499</v>
      </c>
      <c r="AL5373">
        <v>79.611536448431906</v>
      </c>
      <c r="AM5373">
        <v>88.571258586765396</v>
      </c>
      <c r="AN5373">
        <v>0.99999999749560597</v>
      </c>
    </row>
    <row r="5374" spans="1:40" x14ac:dyDescent="0.25">
      <c r="A5374" t="str">
        <f>"20190303171122351"</f>
        <v>20190303171122351</v>
      </c>
      <c r="B5374" t="str">
        <f>"1551604282346658"</f>
        <v>1551604282346658</v>
      </c>
      <c r="C5374" t="s">
        <v>40</v>
      </c>
      <c r="D5374">
        <v>5.2773899999999996</v>
      </c>
      <c r="E5374">
        <v>0.52266689999999905</v>
      </c>
      <c r="F5374" t="s">
        <v>105</v>
      </c>
      <c r="G5374">
        <v>-252.7672</v>
      </c>
      <c r="H5374" s="1">
        <v>-1.044195E-6</v>
      </c>
      <c r="I5374">
        <v>-63.625700000000002</v>
      </c>
      <c r="J5374">
        <v>-277.19839999999999</v>
      </c>
      <c r="K5374">
        <v>1.124565</v>
      </c>
      <c r="L5374">
        <v>-65.005799999999994</v>
      </c>
      <c r="M5374">
        <v>0.99171790000000004</v>
      </c>
      <c r="N5374">
        <v>-1.2494949999999999E-2</v>
      </c>
      <c r="O5374">
        <v>0.12782650000000001</v>
      </c>
      <c r="P5374">
        <v>0.9809639</v>
      </c>
      <c r="Q5374">
        <v>0.1674128</v>
      </c>
      <c r="R5374">
        <v>9.8401989999999995E-2</v>
      </c>
      <c r="S5374">
        <v>3.064667</v>
      </c>
      <c r="T5374">
        <v>-0.14019579999999901</v>
      </c>
      <c r="U5374">
        <v>0.17486570000000001</v>
      </c>
      <c r="V5374">
        <v>2.6283230000000001E-2</v>
      </c>
      <c r="W5374">
        <v>0.17994260000000001</v>
      </c>
      <c r="X5374">
        <v>0.98332589999999997</v>
      </c>
      <c r="Y5374">
        <v>7.0966619999999994E-2</v>
      </c>
      <c r="Z5374">
        <v>-6.2873909999999998E-3</v>
      </c>
      <c r="AA5374">
        <v>0.99745890000000004</v>
      </c>
      <c r="AB5374">
        <v>26</v>
      </c>
      <c r="AC5374">
        <v>24.431199999999901</v>
      </c>
      <c r="AD5374">
        <v>-1.1245660441949901</v>
      </c>
      <c r="AE5374">
        <v>1.3800999999999899</v>
      </c>
      <c r="AF5374">
        <v>1.75072420368568</v>
      </c>
      <c r="AG5374">
        <v>-1.1245660441949901</v>
      </c>
      <c r="AH5374">
        <v>24.355735813112499</v>
      </c>
      <c r="AI5374">
        <v>92.636820039545995</v>
      </c>
      <c r="AJ5374">
        <v>85.888571019814606</v>
      </c>
      <c r="AK5374">
        <v>24.444458493148499</v>
      </c>
      <c r="AL5374">
        <v>79.633583422205206</v>
      </c>
      <c r="AM5374">
        <v>88.468910787444798</v>
      </c>
      <c r="AN5374">
        <v>0.99999998654240096</v>
      </c>
    </row>
    <row r="5375" spans="1:40" x14ac:dyDescent="0.25">
      <c r="A5375" t="str">
        <f>"20190303171122362"</f>
        <v>20190303171122362</v>
      </c>
      <c r="B5375" t="str">
        <f>"1551604282346658"</f>
        <v>1551604282346658</v>
      </c>
      <c r="C5375" t="s">
        <v>40</v>
      </c>
      <c r="D5375">
        <v>5.2773899999999996</v>
      </c>
      <c r="E5375">
        <v>0.52266689999999905</v>
      </c>
      <c r="F5375" t="s">
        <v>105</v>
      </c>
      <c r="G5375">
        <v>-251.9178</v>
      </c>
      <c r="H5375" s="1">
        <v>-6.9255539999999899E-7</v>
      </c>
      <c r="I5375">
        <v>-63.682980000000001</v>
      </c>
      <c r="J5375">
        <v>-277.07670000000002</v>
      </c>
      <c r="K5375">
        <v>1.1244689999999999</v>
      </c>
      <c r="L5375">
        <v>-64.987610000000004</v>
      </c>
      <c r="M5375">
        <v>0.99142660000000005</v>
      </c>
      <c r="N5375">
        <v>-1.245953E-2</v>
      </c>
      <c r="O5375">
        <v>0.1300694</v>
      </c>
      <c r="P5375">
        <v>0.9808732</v>
      </c>
      <c r="Q5375">
        <v>0.16752439999999999</v>
      </c>
      <c r="R5375">
        <v>9.9112740000000005E-2</v>
      </c>
      <c r="S5375">
        <v>3.0654300000000001</v>
      </c>
      <c r="T5375">
        <v>-0.13636089999999901</v>
      </c>
      <c r="U5375">
        <v>0.1604004</v>
      </c>
      <c r="V5375">
        <v>2.783557E-2</v>
      </c>
      <c r="W5375">
        <v>0.18002560000000001</v>
      </c>
      <c r="X5375">
        <v>0.98326800000000003</v>
      </c>
      <c r="Y5375">
        <v>7.7927650000000001E-2</v>
      </c>
      <c r="Z5375">
        <v>-6.3554090000000002E-3</v>
      </c>
      <c r="AA5375">
        <v>0.99693880000000001</v>
      </c>
      <c r="AB5375">
        <v>26</v>
      </c>
      <c r="AC5375">
        <v>25.158899999999999</v>
      </c>
      <c r="AD5375">
        <v>-1.1244696925554001</v>
      </c>
      <c r="AE5375">
        <v>1.30462999999999</v>
      </c>
      <c r="AF5375">
        <v>1.97517670999217</v>
      </c>
      <c r="AG5375">
        <v>-1.1244696925554001</v>
      </c>
      <c r="AH5375">
        <v>25.064908909448398</v>
      </c>
      <c r="AI5375">
        <v>92.560770569057397</v>
      </c>
      <c r="AJ5375">
        <v>85.494262330923306</v>
      </c>
      <c r="AK5375">
        <v>25.167745504198699</v>
      </c>
      <c r="AL5375">
        <v>79.628749039929701</v>
      </c>
      <c r="AM5375">
        <v>88.3784331040127</v>
      </c>
      <c r="AN5375">
        <v>0.99999999771829196</v>
      </c>
    </row>
    <row r="5376" spans="1:40" x14ac:dyDescent="0.25">
      <c r="A5376" t="str">
        <f>"20190303171122373"</f>
        <v>20190303171122373</v>
      </c>
      <c r="B5376" t="str">
        <f>"1551604282366177"</f>
        <v>1551604282366177</v>
      </c>
      <c r="C5376" t="s">
        <v>40</v>
      </c>
      <c r="D5376">
        <v>5.1218469999999998</v>
      </c>
      <c r="E5376">
        <v>0.52401889999999995</v>
      </c>
      <c r="F5376" t="s">
        <v>105</v>
      </c>
      <c r="G5376">
        <v>-251.71440000000001</v>
      </c>
      <c r="H5376" s="1">
        <v>-5.9692040000000005E-7</v>
      </c>
      <c r="I5376">
        <v>-63.645310000000002</v>
      </c>
      <c r="J5376">
        <v>-276.94490000000002</v>
      </c>
      <c r="K5376">
        <v>1.124366</v>
      </c>
      <c r="L5376">
        <v>-64.967740000000006</v>
      </c>
      <c r="M5376">
        <v>0.99111380000000004</v>
      </c>
      <c r="N5376">
        <v>-1.2421720000000001E-2</v>
      </c>
      <c r="O5376">
        <v>0.13243579999999999</v>
      </c>
      <c r="P5376">
        <v>0.98078540000000003</v>
      </c>
      <c r="Q5376">
        <v>0.16769819999999999</v>
      </c>
      <c r="R5376">
        <v>9.9686999999999998E-2</v>
      </c>
      <c r="S5376">
        <v>3.0653079999999999</v>
      </c>
      <c r="T5376">
        <v>-0.13590469999999999</v>
      </c>
      <c r="U5376">
        <v>0.1622314</v>
      </c>
      <c r="V5376">
        <v>2.9650329999999999E-2</v>
      </c>
      <c r="W5376">
        <v>0.1801682</v>
      </c>
      <c r="X5376">
        <v>0.98318879999999997</v>
      </c>
      <c r="Y5376">
        <v>7.9709189999999999E-2</v>
      </c>
      <c r="Z5376">
        <v>-6.4587949999999998E-3</v>
      </c>
      <c r="AA5376">
        <v>0.9967973</v>
      </c>
      <c r="AB5376">
        <v>26</v>
      </c>
      <c r="AC5376">
        <v>25.230499999999999</v>
      </c>
      <c r="AD5376">
        <v>-1.1243665969204</v>
      </c>
      <c r="AE5376">
        <v>1.32243000000001</v>
      </c>
      <c r="AF5376">
        <v>2.02688518582679</v>
      </c>
      <c r="AG5376">
        <v>-1.1243665969204</v>
      </c>
      <c r="AH5376">
        <v>25.133598602920799</v>
      </c>
      <c r="AI5376">
        <v>92.553175377925896</v>
      </c>
      <c r="AJ5376">
        <v>85.389391285244798</v>
      </c>
      <c r="AK5376">
        <v>25.240250445142902</v>
      </c>
      <c r="AL5376">
        <v>79.620442548960298</v>
      </c>
      <c r="AM5376">
        <v>88.272636913208402</v>
      </c>
      <c r="AN5376">
        <v>0.99999996940289304</v>
      </c>
    </row>
    <row r="5377" spans="1:40" x14ac:dyDescent="0.25">
      <c r="A5377" t="str">
        <f>"20190303171122383"</f>
        <v>20190303171122383</v>
      </c>
      <c r="B5377" t="str">
        <f>"1551604282375938"</f>
        <v>1551604282375938</v>
      </c>
      <c r="C5377" t="s">
        <v>40</v>
      </c>
      <c r="D5377">
        <v>5.2778640000000001</v>
      </c>
      <c r="E5377">
        <v>0.52443719999999905</v>
      </c>
      <c r="F5377" t="s">
        <v>105</v>
      </c>
      <c r="G5377">
        <v>-250.54470000000001</v>
      </c>
      <c r="H5377" s="1">
        <v>-9.7099019999999995E-8</v>
      </c>
      <c r="I5377">
        <v>-63.654220000000002</v>
      </c>
      <c r="J5377">
        <v>-276.82819999999998</v>
      </c>
      <c r="K5377">
        <v>1.1242780000000001</v>
      </c>
      <c r="L5377">
        <v>-64.949889999999996</v>
      </c>
      <c r="M5377">
        <v>0.99084349999999999</v>
      </c>
      <c r="N5377">
        <v>-1.239E-2</v>
      </c>
      <c r="O5377">
        <v>0.13444589999999901</v>
      </c>
      <c r="P5377">
        <v>0.98072859999999995</v>
      </c>
      <c r="Q5377">
        <v>0.1679611</v>
      </c>
      <c r="R5377">
        <v>9.9803509999999998E-2</v>
      </c>
      <c r="S5377">
        <v>3.065582</v>
      </c>
      <c r="T5377">
        <v>-0.13056089999999901</v>
      </c>
      <c r="U5377">
        <v>0.15252689999999999</v>
      </c>
      <c r="V5377">
        <v>3.1564780000000001E-2</v>
      </c>
      <c r="W5377">
        <v>0.1804065</v>
      </c>
      <c r="X5377">
        <v>0.98308549999999995</v>
      </c>
      <c r="Y5377">
        <v>8.4888870000000005E-2</v>
      </c>
      <c r="Z5377">
        <v>-6.3648100000000003E-3</v>
      </c>
      <c r="AA5377">
        <v>0.99637010000000004</v>
      </c>
      <c r="AB5377">
        <v>26</v>
      </c>
      <c r="AC5377">
        <v>26.283499999999901</v>
      </c>
      <c r="AD5377">
        <v>-1.12427809709902</v>
      </c>
      <c r="AE5377">
        <v>1.2956700000000001</v>
      </c>
      <c r="AF5377">
        <v>2.2459757570094001</v>
      </c>
      <c r="AG5377">
        <v>-1.12427809709902</v>
      </c>
      <c r="AH5377">
        <v>26.171274864653999</v>
      </c>
      <c r="AI5377">
        <v>92.4508296745027</v>
      </c>
      <c r="AJ5377">
        <v>85.094988356391099</v>
      </c>
      <c r="AK5377">
        <v>26.2915202371784</v>
      </c>
      <c r="AL5377">
        <v>79.606561520255298</v>
      </c>
      <c r="AM5377">
        <v>88.160986425414393</v>
      </c>
      <c r="AN5377">
        <v>0.99999997044447297</v>
      </c>
    </row>
    <row r="5378" spans="1:40" x14ac:dyDescent="0.25">
      <c r="A5378" t="str">
        <f>"20190303171122393"</f>
        <v>20190303171122393</v>
      </c>
      <c r="B5378" t="str">
        <f>"1551604282385697"</f>
        <v>1551604282385697</v>
      </c>
      <c r="C5378" t="s">
        <v>40</v>
      </c>
      <c r="D5378">
        <v>5.2720129999999896</v>
      </c>
      <c r="E5378">
        <v>0.52488800000000002</v>
      </c>
      <c r="F5378" t="s">
        <v>105</v>
      </c>
      <c r="G5378">
        <v>-250.1574</v>
      </c>
      <c r="H5378" s="1">
        <v>7.0325369999999995E-8</v>
      </c>
      <c r="I5378">
        <v>-63.648499999999999</v>
      </c>
      <c r="J5378">
        <v>-276.70890000000003</v>
      </c>
      <c r="K5378">
        <v>1.124182</v>
      </c>
      <c r="L5378">
        <v>-64.931519999999907</v>
      </c>
      <c r="M5378">
        <v>0.99056770000000005</v>
      </c>
      <c r="N5378">
        <v>-1.2358589999999999E-2</v>
      </c>
      <c r="O5378">
        <v>0.13646549999999999</v>
      </c>
      <c r="P5378">
        <v>0.98068949999999999</v>
      </c>
      <c r="Q5378">
        <v>0.16810600000000001</v>
      </c>
      <c r="R5378">
        <v>9.9941569999999993E-2</v>
      </c>
      <c r="S5378">
        <v>3.0658569999999998</v>
      </c>
      <c r="T5378">
        <v>-0.12923780000000001</v>
      </c>
      <c r="U5378">
        <v>0.14959720000000001</v>
      </c>
      <c r="V5378">
        <v>3.3472429999999997E-2</v>
      </c>
      <c r="W5378">
        <v>0.18052650000000001</v>
      </c>
      <c r="X5378">
        <v>0.9830004</v>
      </c>
      <c r="Y5378">
        <v>8.7873010000000001E-2</v>
      </c>
      <c r="Z5378">
        <v>-6.4317039999999999E-3</v>
      </c>
      <c r="AA5378">
        <v>0.99611090000000002</v>
      </c>
      <c r="AB5378">
        <v>26</v>
      </c>
      <c r="AC5378">
        <v>26.551500000000001</v>
      </c>
      <c r="AD5378">
        <v>-1.1241819296746201</v>
      </c>
      <c r="AE5378">
        <v>1.2830199999999901</v>
      </c>
      <c r="AF5378">
        <v>2.34842520604824</v>
      </c>
      <c r="AG5378">
        <v>-1.1241819296746201</v>
      </c>
      <c r="AH5378">
        <v>26.430898323729899</v>
      </c>
      <c r="AI5378">
        <v>92.425940351698202</v>
      </c>
      <c r="AJ5378">
        <v>84.922517054980204</v>
      </c>
      <c r="AK5378">
        <v>26.5588266336967</v>
      </c>
      <c r="AL5378">
        <v>79.599571602766204</v>
      </c>
      <c r="AM5378">
        <v>88.049758423658901</v>
      </c>
      <c r="AN5378">
        <v>1.00000000358625</v>
      </c>
    </row>
    <row r="5379" spans="1:40" x14ac:dyDescent="0.25">
      <c r="A5379" t="str">
        <f>"20190303171122404"</f>
        <v>20190303171122404</v>
      </c>
      <c r="B5379" t="str">
        <f>"1551604282396433"</f>
        <v>1551604282396433</v>
      </c>
      <c r="C5379" t="s">
        <v>40</v>
      </c>
      <c r="D5379">
        <v>5.3281400000000003</v>
      </c>
      <c r="E5379">
        <v>0.52537959999999995</v>
      </c>
      <c r="F5379" t="s">
        <v>104</v>
      </c>
      <c r="G5379">
        <v>-249.881</v>
      </c>
      <c r="H5379" s="1">
        <v>-3.8157590000000003E-6</v>
      </c>
      <c r="I5379">
        <v>-63.648690000000002</v>
      </c>
      <c r="J5379">
        <v>-276.5949</v>
      </c>
      <c r="K5379">
        <v>1.124085</v>
      </c>
      <c r="L5379">
        <v>-64.913730000000001</v>
      </c>
      <c r="M5379">
        <v>0.99031469999999999</v>
      </c>
      <c r="N5379">
        <v>-1.2327930000000001E-2</v>
      </c>
      <c r="O5379">
        <v>0.13829229999999901</v>
      </c>
      <c r="P5379">
        <v>0.98061679999999996</v>
      </c>
      <c r="Q5379">
        <v>0.16845270000000001</v>
      </c>
      <c r="R5379">
        <v>0.1000718</v>
      </c>
      <c r="S5379">
        <v>3.0661320000000001</v>
      </c>
      <c r="T5379">
        <v>-0.1284817</v>
      </c>
      <c r="U5379">
        <v>0.1466064</v>
      </c>
      <c r="V5379">
        <v>3.5190359999999997E-2</v>
      </c>
      <c r="W5379">
        <v>0.18084539999999999</v>
      </c>
      <c r="X5379">
        <v>0.98288180000000003</v>
      </c>
      <c r="Y5379">
        <v>9.0681609999999996E-2</v>
      </c>
      <c r="Z5379">
        <v>-6.5190319999999897E-3</v>
      </c>
      <c r="AA5379">
        <v>0.99585860000000004</v>
      </c>
      <c r="AB5379">
        <v>26</v>
      </c>
      <c r="AC5379">
        <v>26.713899999999999</v>
      </c>
      <c r="AD5379">
        <v>-1.1240888157590001</v>
      </c>
      <c r="AE5379">
        <v>1.26503999999999</v>
      </c>
      <c r="AF5379">
        <v>2.4374184870553601</v>
      </c>
      <c r="AG5379">
        <v>-1.1240888157590001</v>
      </c>
      <c r="AH5379">
        <v>26.585170685892599</v>
      </c>
      <c r="AI5379">
        <v>92.411069177495506</v>
      </c>
      <c r="AJ5379">
        <v>84.761573924462496</v>
      </c>
      <c r="AK5379">
        <v>26.720327186334998</v>
      </c>
      <c r="AL5379">
        <v>79.580994451346896</v>
      </c>
      <c r="AM5379">
        <v>87.949500905883397</v>
      </c>
      <c r="AN5379">
        <v>1.00000002645466</v>
      </c>
    </row>
    <row r="5380" spans="1:40" x14ac:dyDescent="0.25">
      <c r="A5380" t="str">
        <f>"20190303171122414"</f>
        <v>20190303171122414</v>
      </c>
      <c r="B5380" t="str">
        <f>"1551604282406193"</f>
        <v>1551604282406193</v>
      </c>
      <c r="C5380" t="s">
        <v>40</v>
      </c>
      <c r="D5380">
        <v>5.3291950000000003</v>
      </c>
      <c r="E5380">
        <v>0.52590429999999999</v>
      </c>
      <c r="F5380" t="s">
        <v>104</v>
      </c>
      <c r="G5380">
        <v>-249.5865</v>
      </c>
      <c r="H5380" s="1">
        <v>-3.716037E-6</v>
      </c>
      <c r="I5380">
        <v>-63.651479999999999</v>
      </c>
      <c r="J5380">
        <v>-276.4699</v>
      </c>
      <c r="K5380">
        <v>1.1239779999999999</v>
      </c>
      <c r="L5380">
        <v>-64.894130000000004</v>
      </c>
      <c r="M5380">
        <v>0.99003770000000002</v>
      </c>
      <c r="N5380">
        <v>-1.229445E-2</v>
      </c>
      <c r="O5380">
        <v>0.14026540000000001</v>
      </c>
      <c r="P5380">
        <v>0.98051940000000004</v>
      </c>
      <c r="Q5380">
        <v>0.16872190000000001</v>
      </c>
      <c r="R5380">
        <v>0.1005736</v>
      </c>
      <c r="S5380">
        <v>3.066589</v>
      </c>
      <c r="T5380">
        <v>-0.12763079999999999</v>
      </c>
      <c r="U5380">
        <v>0.14331050000000001</v>
      </c>
      <c r="V5380">
        <v>3.6688199999999997E-2</v>
      </c>
      <c r="W5380">
        <v>0.18108179999999999</v>
      </c>
      <c r="X5380">
        <v>0.98278350000000003</v>
      </c>
      <c r="Y5380">
        <v>9.3738589999999997E-2</v>
      </c>
      <c r="Z5380">
        <v>-6.6097469999999896E-3</v>
      </c>
      <c r="AA5380">
        <v>0.99557490000000004</v>
      </c>
      <c r="AB5380">
        <v>26</v>
      </c>
      <c r="AC5380">
        <v>26.883399999999899</v>
      </c>
      <c r="AD5380">
        <v>-1.123981716037</v>
      </c>
      <c r="AE5380">
        <v>1.24264999999999</v>
      </c>
      <c r="AF5380">
        <v>2.5363081984119802</v>
      </c>
      <c r="AG5380">
        <v>-1.123981716037</v>
      </c>
      <c r="AH5380">
        <v>26.745250813980999</v>
      </c>
      <c r="AI5380">
        <v>92.395730136210503</v>
      </c>
      <c r="AJ5380">
        <v>84.582721784912707</v>
      </c>
      <c r="AK5380">
        <v>26.888745513282501</v>
      </c>
      <c r="AL5380">
        <v>79.567222334782201</v>
      </c>
      <c r="AM5380">
        <v>87.862089310431401</v>
      </c>
      <c r="AN5380">
        <v>1.0000000250913601</v>
      </c>
    </row>
    <row r="5381" spans="1:40" x14ac:dyDescent="0.25">
      <c r="A5381" t="str">
        <f>"20190303171122425"</f>
        <v>20190303171122425</v>
      </c>
      <c r="B5381" t="str">
        <f>"1551604282415954"</f>
        <v>1551604282415954</v>
      </c>
      <c r="C5381" t="s">
        <v>40</v>
      </c>
      <c r="D5381">
        <v>4.9918909999999999</v>
      </c>
      <c r="E5381">
        <v>0.52616439999999998</v>
      </c>
      <c r="F5381" t="s">
        <v>104</v>
      </c>
      <c r="G5381">
        <v>-249.27080000000001</v>
      </c>
      <c r="H5381" s="1">
        <v>-3.6079580000000001E-6</v>
      </c>
      <c r="I5381">
        <v>-63.647770000000001</v>
      </c>
      <c r="J5381">
        <v>-276.34780000000001</v>
      </c>
      <c r="K5381">
        <v>1.1238649999999999</v>
      </c>
      <c r="L5381">
        <v>-64.874759999999995</v>
      </c>
      <c r="M5381">
        <v>0.9897823</v>
      </c>
      <c r="N5381">
        <v>-1.225918E-2</v>
      </c>
      <c r="O5381">
        <v>0.142058399999999</v>
      </c>
      <c r="P5381">
        <v>0.98041230000000001</v>
      </c>
      <c r="Q5381">
        <v>0.16917470000000001</v>
      </c>
      <c r="R5381">
        <v>0.1008558</v>
      </c>
      <c r="S5381">
        <v>3.066986</v>
      </c>
      <c r="T5381">
        <v>-0.12674079999999999</v>
      </c>
      <c r="U5381">
        <v>0.140533399999999</v>
      </c>
      <c r="V5381">
        <v>3.8224279999999999E-2</v>
      </c>
      <c r="W5381">
        <v>0.1814982</v>
      </c>
      <c r="X5381">
        <v>0.98264810000000002</v>
      </c>
      <c r="Y5381">
        <v>9.6445699999999995E-2</v>
      </c>
      <c r="Z5381">
        <v>-6.6818669999999898E-3</v>
      </c>
      <c r="AA5381">
        <v>0.99531579999999997</v>
      </c>
      <c r="AB5381">
        <v>26</v>
      </c>
      <c r="AC5381">
        <v>27.077000000000002</v>
      </c>
      <c r="AD5381">
        <v>-1.12386860795799</v>
      </c>
      <c r="AE5381">
        <v>1.22699</v>
      </c>
      <c r="AF5381">
        <v>2.6277425314199601</v>
      </c>
      <c r="AG5381">
        <v>-1.12386860795799</v>
      </c>
      <c r="AH5381">
        <v>26.9303683804435</v>
      </c>
      <c r="AI5381">
        <v>92.378420559380899</v>
      </c>
      <c r="AJ5381">
        <v>84.426981289133593</v>
      </c>
      <c r="AK5381">
        <v>27.081596196786101</v>
      </c>
      <c r="AL5381">
        <v>79.542962009551204</v>
      </c>
      <c r="AM5381">
        <v>87.772359938066202</v>
      </c>
      <c r="AN5381">
        <v>0.99999999030918396</v>
      </c>
    </row>
    <row r="5382" spans="1:40" x14ac:dyDescent="0.25">
      <c r="A5382" t="str">
        <f>"20190303171122437"</f>
        <v>20190303171122437</v>
      </c>
      <c r="B5382" t="str">
        <f>"1551604282426689"</f>
        <v>1551604282426689</v>
      </c>
      <c r="C5382" t="s">
        <v>40</v>
      </c>
      <c r="D5382">
        <v>5.2711040000000002</v>
      </c>
      <c r="E5382">
        <v>0.5264626</v>
      </c>
      <c r="F5382" t="s">
        <v>104</v>
      </c>
      <c r="G5382">
        <v>-248.69919999999999</v>
      </c>
      <c r="H5382" s="1">
        <v>-3.4085640000000001E-6</v>
      </c>
      <c r="I5382">
        <v>-63.620249999999999</v>
      </c>
      <c r="J5382">
        <v>-276.21699999999998</v>
      </c>
      <c r="K5382">
        <v>1.1237410000000001</v>
      </c>
      <c r="L5382">
        <v>-64.853909999999999</v>
      </c>
      <c r="M5382">
        <v>0.98950990000000005</v>
      </c>
      <c r="N5382">
        <v>-1.2221269999999999E-2</v>
      </c>
      <c r="O5382">
        <v>0.14394779999999999</v>
      </c>
      <c r="P5382">
        <v>0.98033760000000003</v>
      </c>
      <c r="Q5382">
        <v>0.169346</v>
      </c>
      <c r="R5382">
        <v>0.1012932</v>
      </c>
      <c r="S5382">
        <v>3.0671689999999998</v>
      </c>
      <c r="T5382">
        <v>-0.1246753</v>
      </c>
      <c r="U5382">
        <v>0.13916020000000001</v>
      </c>
      <c r="V5382">
        <v>3.971396E-2</v>
      </c>
      <c r="W5382">
        <v>0.18162900000000001</v>
      </c>
      <c r="X5382">
        <v>0.98256489999999996</v>
      </c>
      <c r="Y5382">
        <v>9.8795480000000005E-2</v>
      </c>
      <c r="Z5382">
        <v>-6.6722639999999998E-3</v>
      </c>
      <c r="AA5382">
        <v>0.99508540000000001</v>
      </c>
      <c r="AB5382">
        <v>26</v>
      </c>
      <c r="AC5382">
        <v>27.517799999999902</v>
      </c>
      <c r="AD5382">
        <v>-1.12374440856399</v>
      </c>
      <c r="AE5382">
        <v>1.23366</v>
      </c>
      <c r="AF5382">
        <v>2.7360587641883698</v>
      </c>
      <c r="AG5382">
        <v>-1.12374440856399</v>
      </c>
      <c r="AH5382">
        <v>27.363221747831901</v>
      </c>
      <c r="AI5382">
        <v>92.340028307112604</v>
      </c>
      <c r="AJ5382">
        <v>84.289952956848296</v>
      </c>
      <c r="AK5382">
        <v>27.522622031301601</v>
      </c>
      <c r="AL5382">
        <v>79.535341554435504</v>
      </c>
      <c r="AM5382">
        <v>87.685441030017003</v>
      </c>
      <c r="AN5382">
        <v>1.0000000374859399</v>
      </c>
    </row>
    <row r="5383" spans="1:40" x14ac:dyDescent="0.25">
      <c r="A5383" t="str">
        <f>"20190303171122448"</f>
        <v>20190303171122448</v>
      </c>
      <c r="B5383" t="str">
        <f>"1551604282436449"</f>
        <v>1551604282436449</v>
      </c>
      <c r="C5383" t="s">
        <v>40</v>
      </c>
      <c r="D5383">
        <v>5.2119689999999999</v>
      </c>
      <c r="E5383">
        <v>0.52671639999999997</v>
      </c>
      <c r="F5383" t="s">
        <v>104</v>
      </c>
      <c r="G5383">
        <v>-248.2364</v>
      </c>
      <c r="H5383" s="1">
        <v>-3.2469359999999999E-6</v>
      </c>
      <c r="I5383">
        <v>-63.596890000000002</v>
      </c>
      <c r="J5383">
        <v>-276.09350000000001</v>
      </c>
      <c r="K5383">
        <v>1.1236079999999999</v>
      </c>
      <c r="L5383">
        <v>-64.833979999999997</v>
      </c>
      <c r="M5383">
        <v>0.98927069999999995</v>
      </c>
      <c r="N5383">
        <v>-1.2183579999999999E-2</v>
      </c>
      <c r="O5383">
        <v>0.14558550000000001</v>
      </c>
      <c r="P5383">
        <v>0.98031659999999998</v>
      </c>
      <c r="Q5383">
        <v>0.16938139999999999</v>
      </c>
      <c r="R5383">
        <v>0.10143580000000001</v>
      </c>
      <c r="S5383">
        <v>3.0672000000000001</v>
      </c>
      <c r="T5383">
        <v>-0.12318369999999999</v>
      </c>
      <c r="U5383">
        <v>0.13778689999999999</v>
      </c>
      <c r="V5383">
        <v>4.1253819999999997E-2</v>
      </c>
      <c r="W5383">
        <v>0.1816239</v>
      </c>
      <c r="X5383">
        <v>0.98250230000000005</v>
      </c>
      <c r="Y5383">
        <v>0.1008887</v>
      </c>
      <c r="Z5383">
        <v>-6.6819490000000004E-3</v>
      </c>
      <c r="AA5383">
        <v>0.99487530000000002</v>
      </c>
      <c r="AB5383">
        <v>26</v>
      </c>
      <c r="AC5383">
        <v>27.857099999999999</v>
      </c>
      <c r="AD5383">
        <v>-1.123611246936</v>
      </c>
      <c r="AE5383">
        <v>1.23709</v>
      </c>
      <c r="AF5383">
        <v>2.82739217853561</v>
      </c>
      <c r="AG5383">
        <v>-1.123611246936</v>
      </c>
      <c r="AH5383">
        <v>27.695403906622801</v>
      </c>
      <c r="AI5383">
        <v>92.311234061988202</v>
      </c>
      <c r="AJ5383">
        <v>84.170933719245298</v>
      </c>
      <c r="AK5383">
        <v>27.8620179871535</v>
      </c>
      <c r="AL5383">
        <v>79.535637717105899</v>
      </c>
      <c r="AM5383">
        <v>87.595647191850802</v>
      </c>
      <c r="AN5383">
        <v>0.99999994411054405</v>
      </c>
    </row>
    <row r="5384" spans="1:40" x14ac:dyDescent="0.25">
      <c r="A5384" t="str">
        <f>"20190303171122459"</f>
        <v>20190303171122459</v>
      </c>
      <c r="B5384" t="str">
        <f>"1551604282446209"</f>
        <v>1551604282446209</v>
      </c>
      <c r="C5384" t="s">
        <v>40</v>
      </c>
      <c r="D5384">
        <v>5.2141799999999998</v>
      </c>
      <c r="E5384">
        <v>0.5269625</v>
      </c>
      <c r="F5384" t="s">
        <v>104</v>
      </c>
      <c r="G5384">
        <v>-247.9367</v>
      </c>
      <c r="H5384" s="1">
        <v>-3.142891E-6</v>
      </c>
      <c r="I5384">
        <v>-63.585340000000002</v>
      </c>
      <c r="J5384">
        <v>-275.96449999999999</v>
      </c>
      <c r="K5384">
        <v>1.1234770000000001</v>
      </c>
      <c r="L5384">
        <v>-64.81317</v>
      </c>
      <c r="M5384">
        <v>0.98902380000000001</v>
      </c>
      <c r="N5384">
        <v>-1.214431E-2</v>
      </c>
      <c r="O5384">
        <v>0.14725559999999999</v>
      </c>
      <c r="P5384">
        <v>0.98026219999999997</v>
      </c>
      <c r="Q5384">
        <v>0.1694234</v>
      </c>
      <c r="R5384">
        <v>0.1018886</v>
      </c>
      <c r="S5384">
        <v>3.0673219999999999</v>
      </c>
      <c r="T5384">
        <v>-0.122403</v>
      </c>
      <c r="U5384">
        <v>0.13601679999999999</v>
      </c>
      <c r="V5384">
        <v>4.2516669999999999E-2</v>
      </c>
      <c r="W5384">
        <v>0.18162059999999999</v>
      </c>
      <c r="X5384">
        <v>0.98244909999999996</v>
      </c>
      <c r="Y5384">
        <v>0.1031421</v>
      </c>
      <c r="Z5384">
        <v>-6.7399319999999997E-3</v>
      </c>
      <c r="AA5384">
        <v>0.99464379999999997</v>
      </c>
      <c r="AB5384">
        <v>26</v>
      </c>
      <c r="AC5384">
        <v>28.0277999999999</v>
      </c>
      <c r="AD5384">
        <v>-1.123480142891</v>
      </c>
      <c r="AE5384">
        <v>1.22782999999999</v>
      </c>
      <c r="AF5384">
        <v>2.9084483247880901</v>
      </c>
      <c r="AG5384">
        <v>-1.123480142891</v>
      </c>
      <c r="AH5384">
        <v>27.858350849151499</v>
      </c>
      <c r="AI5384">
        <v>92.296920000072802</v>
      </c>
      <c r="AJ5384">
        <v>84.039837503340806</v>
      </c>
      <c r="AK5384">
        <v>28.0322848038446</v>
      </c>
      <c r="AL5384">
        <v>79.535830284363001</v>
      </c>
      <c r="AM5384">
        <v>87.522002206047702</v>
      </c>
      <c r="AN5384">
        <v>0.999999971831529</v>
      </c>
    </row>
    <row r="5385" spans="1:40" x14ac:dyDescent="0.25">
      <c r="A5385" t="str">
        <f>"20190303171122470"</f>
        <v>20190303171122470</v>
      </c>
      <c r="B5385" t="str">
        <f>"1551604282455969"</f>
        <v>1551604282455969</v>
      </c>
      <c r="C5385" t="s">
        <v>40</v>
      </c>
      <c r="D5385">
        <v>5.2110059999999896</v>
      </c>
      <c r="E5385">
        <v>0.52720940000000005</v>
      </c>
      <c r="F5385" t="s">
        <v>104</v>
      </c>
      <c r="G5385">
        <v>-247.7175</v>
      </c>
      <c r="H5385" s="1">
        <v>-3.0651609999999999E-6</v>
      </c>
      <c r="I5385">
        <v>-63.567599999999999</v>
      </c>
      <c r="J5385">
        <v>-275.8304</v>
      </c>
      <c r="K5385">
        <v>1.1233409999999999</v>
      </c>
      <c r="L5385">
        <v>-64.791290000000004</v>
      </c>
      <c r="M5385">
        <v>0.98878189999999999</v>
      </c>
      <c r="N5385">
        <v>-1.210279E-2</v>
      </c>
      <c r="O5385">
        <v>0.14887520000000001</v>
      </c>
      <c r="P5385">
        <v>0.98022469999999995</v>
      </c>
      <c r="Q5385">
        <v>0.169562299999999</v>
      </c>
      <c r="R5385">
        <v>0.1020209</v>
      </c>
      <c r="S5385">
        <v>3.0674440000000001</v>
      </c>
      <c r="T5385">
        <v>-0.12200270000000001</v>
      </c>
      <c r="U5385">
        <v>0.13525390000000001</v>
      </c>
      <c r="V5385">
        <v>4.4050579999999999E-2</v>
      </c>
      <c r="W5385">
        <v>0.1817124</v>
      </c>
      <c r="X5385">
        <v>0.98236449999999997</v>
      </c>
      <c r="Y5385">
        <v>0.1050181</v>
      </c>
      <c r="Z5385">
        <v>-6.8104019999999897E-3</v>
      </c>
      <c r="AA5385">
        <v>0.99444699999999997</v>
      </c>
      <c r="AB5385">
        <v>26</v>
      </c>
      <c r="AC5385">
        <v>28.1129</v>
      </c>
      <c r="AD5385">
        <v>-1.1233440651609901</v>
      </c>
      <c r="AE5385">
        <v>1.2236899999999999</v>
      </c>
      <c r="AF5385">
        <v>2.9708346356958302</v>
      </c>
      <c r="AG5385">
        <v>-1.1233440651609901</v>
      </c>
      <c r="AH5385">
        <v>27.937231818881202</v>
      </c>
      <c r="AI5385">
        <v>92.289702351741298</v>
      </c>
      <c r="AJ5385">
        <v>83.930000034122997</v>
      </c>
      <c r="AK5385">
        <v>28.1171954864509</v>
      </c>
      <c r="AL5385">
        <v>79.530481090627902</v>
      </c>
      <c r="AM5385">
        <v>87.432498115146103</v>
      </c>
      <c r="AN5385">
        <v>0.99999993038616997</v>
      </c>
    </row>
    <row r="5386" spans="1:40" x14ac:dyDescent="0.25">
      <c r="A5386" t="str">
        <f>"20190303171122483"</f>
        <v>20190303171122483</v>
      </c>
      <c r="B5386" t="str">
        <f>"1551604282476466"</f>
        <v>1551604282476466</v>
      </c>
      <c r="C5386" t="s">
        <v>40</v>
      </c>
      <c r="D5386">
        <v>5.0253009999999998</v>
      </c>
      <c r="E5386">
        <v>0.52763439999999995</v>
      </c>
      <c r="F5386" t="s">
        <v>104</v>
      </c>
      <c r="G5386">
        <v>-247.35919999999999</v>
      </c>
      <c r="H5386" s="1">
        <v>-2.9402549999999999E-6</v>
      </c>
      <c r="I5386">
        <v>-63.550899999999999</v>
      </c>
      <c r="J5386">
        <v>-275.68740000000003</v>
      </c>
      <c r="K5386">
        <v>1.1231979999999999</v>
      </c>
      <c r="L5386">
        <v>-64.767849999999996</v>
      </c>
      <c r="M5386">
        <v>0.98853650000000004</v>
      </c>
      <c r="N5386">
        <v>-1.2055959999999999E-2</v>
      </c>
      <c r="O5386">
        <v>0.1505001</v>
      </c>
      <c r="P5386">
        <v>0.98012540000000004</v>
      </c>
      <c r="Q5386">
        <v>0.169867299999999</v>
      </c>
      <c r="R5386">
        <v>0.1024675</v>
      </c>
      <c r="S5386">
        <v>3.0675659999999998</v>
      </c>
      <c r="T5386">
        <v>-0.1210321</v>
      </c>
      <c r="U5386">
        <v>0.13363649999999999</v>
      </c>
      <c r="V5386">
        <v>4.5272729999999997E-2</v>
      </c>
      <c r="W5386">
        <v>0.1819605</v>
      </c>
      <c r="X5386">
        <v>0.98226309999999994</v>
      </c>
      <c r="Y5386">
        <v>0.1071772</v>
      </c>
      <c r="Z5386">
        <v>-6.8505140000000003E-3</v>
      </c>
      <c r="AA5386">
        <v>0.99421630000000005</v>
      </c>
      <c r="AB5386">
        <v>26</v>
      </c>
      <c r="AC5386">
        <v>28.328199999999999</v>
      </c>
      <c r="AD5386">
        <v>-1.1232009402549901</v>
      </c>
      <c r="AE5386">
        <v>1.21694999999999</v>
      </c>
      <c r="AF5386">
        <v>3.05582463657157</v>
      </c>
      <c r="AG5386">
        <v>-1.1232009402549901</v>
      </c>
      <c r="AH5386">
        <v>28.144494740788499</v>
      </c>
      <c r="AI5386">
        <v>92.272029554526299</v>
      </c>
      <c r="AJ5386">
        <v>83.803311651661801</v>
      </c>
      <c r="AK5386">
        <v>28.332176562628199</v>
      </c>
      <c r="AL5386">
        <v>79.516025963054105</v>
      </c>
      <c r="AM5386">
        <v>87.361092033878805</v>
      </c>
      <c r="AN5386">
        <v>1.0000000206317501</v>
      </c>
    </row>
    <row r="5387" spans="1:40" x14ac:dyDescent="0.25">
      <c r="A5387" t="str">
        <f>"20190303171122493"</f>
        <v>20190303171122493</v>
      </c>
      <c r="B5387" t="str">
        <f>"1551604282486225"</f>
        <v>1551604282486225</v>
      </c>
      <c r="C5387" t="s">
        <v>40</v>
      </c>
      <c r="D5387">
        <v>5.1457629999999996</v>
      </c>
      <c r="E5387">
        <v>0.52783440000000004</v>
      </c>
      <c r="F5387" t="s">
        <v>104</v>
      </c>
      <c r="G5387">
        <v>-246.78980000000001</v>
      </c>
      <c r="H5387" s="1">
        <v>-2.736702E-6</v>
      </c>
      <c r="I5387">
        <v>-63.528509999999997</v>
      </c>
      <c r="J5387">
        <v>-275.5677</v>
      </c>
      <c r="K5387">
        <v>1.1230770000000001</v>
      </c>
      <c r="L5387">
        <v>-64.748170000000002</v>
      </c>
      <c r="M5387">
        <v>0.98833859999999996</v>
      </c>
      <c r="N5387">
        <v>-1.201525E-2</v>
      </c>
      <c r="O5387">
        <v>0.1517975</v>
      </c>
      <c r="P5387">
        <v>0.98005949999999997</v>
      </c>
      <c r="Q5387">
        <v>0.1702109</v>
      </c>
      <c r="R5387">
        <v>0.10252509999999999</v>
      </c>
      <c r="S5387">
        <v>3.0677490000000001</v>
      </c>
      <c r="T5387">
        <v>-0.1192381</v>
      </c>
      <c r="U5387">
        <v>0.13156129999999999</v>
      </c>
      <c r="V5387">
        <v>4.6548060000000002E-2</v>
      </c>
      <c r="W5387">
        <v>0.1822559</v>
      </c>
      <c r="X5387">
        <v>0.98214869999999999</v>
      </c>
      <c r="Y5387">
        <v>0.10915850000000001</v>
      </c>
      <c r="Z5387">
        <v>-6.8198269999999997E-3</v>
      </c>
      <c r="AA5387">
        <v>0.99400100000000002</v>
      </c>
      <c r="AB5387">
        <v>26</v>
      </c>
      <c r="AC5387">
        <v>28.777899999999899</v>
      </c>
      <c r="AD5387">
        <v>-1.123079736702</v>
      </c>
      <c r="AE5387">
        <v>1.21966</v>
      </c>
      <c r="AF5387">
        <v>3.1584028436085601</v>
      </c>
      <c r="AG5387">
        <v>-1.123079736702</v>
      </c>
      <c r="AH5387">
        <v>28.5860580563151</v>
      </c>
      <c r="AI5387">
        <v>92.236266569309606</v>
      </c>
      <c r="AJ5387">
        <v>83.695103721818199</v>
      </c>
      <c r="AK5387">
        <v>28.781930647830499</v>
      </c>
      <c r="AL5387">
        <v>79.498812764369504</v>
      </c>
      <c r="AM5387">
        <v>87.286548166339003</v>
      </c>
      <c r="AN5387">
        <v>1.0000000019431301</v>
      </c>
    </row>
    <row r="5388" spans="1:40" x14ac:dyDescent="0.25">
      <c r="A5388" t="str">
        <f>"20190303171122504"</f>
        <v>20190303171122504</v>
      </c>
      <c r="B5388" t="str">
        <f>"1551604282495985"</f>
        <v>1551604282495985</v>
      </c>
      <c r="C5388" t="s">
        <v>40</v>
      </c>
      <c r="D5388">
        <v>5.1397680000000001</v>
      </c>
      <c r="E5388">
        <v>0.52803029999999995</v>
      </c>
      <c r="F5388" t="s">
        <v>104</v>
      </c>
      <c r="G5388">
        <v>-246.2758</v>
      </c>
      <c r="H5388" s="1">
        <v>-2.5098370000000001E-6</v>
      </c>
      <c r="I5388">
        <v>-63.5045</v>
      </c>
      <c r="J5388">
        <v>-275.44810000000001</v>
      </c>
      <c r="K5388">
        <v>1.1229559999999901</v>
      </c>
      <c r="L5388">
        <v>-64.728359999999995</v>
      </c>
      <c r="M5388">
        <v>0.98815819999999999</v>
      </c>
      <c r="N5388">
        <v>-1.197026E-2</v>
      </c>
      <c r="O5388">
        <v>0.1529712</v>
      </c>
      <c r="P5388">
        <v>0.98004760000000002</v>
      </c>
      <c r="Q5388">
        <v>0.1702408</v>
      </c>
      <c r="R5388">
        <v>0.1025914</v>
      </c>
      <c r="S5388">
        <v>3.0678709999999998</v>
      </c>
      <c r="T5388">
        <v>-0.1176252</v>
      </c>
      <c r="U5388">
        <v>0.130249</v>
      </c>
      <c r="V5388">
        <v>4.7701689999999998E-2</v>
      </c>
      <c r="W5388">
        <v>0.1822329</v>
      </c>
      <c r="X5388">
        <v>0.98209760000000002</v>
      </c>
      <c r="Y5388">
        <v>0.1107675</v>
      </c>
      <c r="Z5388">
        <v>-6.7867200000000004E-3</v>
      </c>
      <c r="AA5388">
        <v>0.99382320000000002</v>
      </c>
      <c r="AB5388">
        <v>26</v>
      </c>
      <c r="AC5388">
        <v>29.1723</v>
      </c>
      <c r="AD5388">
        <v>-1.1229585098370001</v>
      </c>
      <c r="AE5388">
        <v>1.22385999999999</v>
      </c>
      <c r="AF5388">
        <v>3.2485821149087202</v>
      </c>
      <c r="AG5388">
        <v>-1.1229585098370001</v>
      </c>
      <c r="AH5388">
        <v>28.973283350369101</v>
      </c>
      <c r="AI5388">
        <v>92.205774529486902</v>
      </c>
      <c r="AJ5388">
        <v>83.6025238761747</v>
      </c>
      <c r="AK5388">
        <v>29.176454028426701</v>
      </c>
      <c r="AL5388">
        <v>79.500152869303605</v>
      </c>
      <c r="AM5388">
        <v>87.219258790613694</v>
      </c>
      <c r="AN5388">
        <v>0.99999998849851202</v>
      </c>
    </row>
    <row r="5389" spans="1:40" x14ac:dyDescent="0.25">
      <c r="A5389" t="str">
        <f>"20190303171122515"</f>
        <v>20190303171122515</v>
      </c>
      <c r="B5389" t="str">
        <f>"1551604282505745"</f>
        <v>1551604282505745</v>
      </c>
      <c r="C5389" t="s">
        <v>40</v>
      </c>
      <c r="D5389">
        <v>5.1997920000000004</v>
      </c>
      <c r="E5389">
        <v>0.52823019999999998</v>
      </c>
      <c r="F5389" t="s">
        <v>104</v>
      </c>
      <c r="G5389">
        <v>-246.0872</v>
      </c>
      <c r="H5389" s="1">
        <v>-2.4262109999999998E-6</v>
      </c>
      <c r="I5389">
        <v>-63.494349999999997</v>
      </c>
      <c r="J5389">
        <v>-275.32350000000002</v>
      </c>
      <c r="K5389">
        <v>1.122827</v>
      </c>
      <c r="L5389">
        <v>-64.707729999999998</v>
      </c>
      <c r="M5389">
        <v>0.98797440000000003</v>
      </c>
      <c r="N5389">
        <v>-1.192233E-2</v>
      </c>
      <c r="O5389">
        <v>0.1541582</v>
      </c>
      <c r="P5389">
        <v>0.98001450000000001</v>
      </c>
      <c r="Q5389">
        <v>0.1702968</v>
      </c>
      <c r="R5389">
        <v>0.1028153</v>
      </c>
      <c r="S5389">
        <v>3.0679630000000002</v>
      </c>
      <c r="T5389">
        <v>-0.1173394</v>
      </c>
      <c r="U5389">
        <v>0.12893679999999999</v>
      </c>
      <c r="V5389">
        <v>4.8712159999999997E-2</v>
      </c>
      <c r="W5389">
        <v>0.18223110000000001</v>
      </c>
      <c r="X5389">
        <v>0.98204829999999999</v>
      </c>
      <c r="Y5389">
        <v>0.1123855</v>
      </c>
      <c r="Z5389">
        <v>-6.8431200000000003E-3</v>
      </c>
      <c r="AA5389">
        <v>0.99364110000000005</v>
      </c>
      <c r="AB5389">
        <v>26</v>
      </c>
      <c r="AC5389">
        <v>29.2363</v>
      </c>
      <c r="AD5389">
        <v>-1.1228294262109999</v>
      </c>
      <c r="AE5389">
        <v>1.2133799999999999</v>
      </c>
      <c r="AF5389">
        <v>3.3035973167488799</v>
      </c>
      <c r="AG5389">
        <v>-1.1228294262109999</v>
      </c>
      <c r="AH5389">
        <v>29.031084027610301</v>
      </c>
      <c r="AI5389">
        <v>92.200724377197403</v>
      </c>
      <c r="AJ5389">
        <v>83.507943191398098</v>
      </c>
      <c r="AK5389">
        <v>29.240012670478901</v>
      </c>
      <c r="AL5389">
        <v>79.500257412232898</v>
      </c>
      <c r="AM5389">
        <v>87.160307144380994</v>
      </c>
      <c r="AN5389">
        <v>0.99999995593598101</v>
      </c>
    </row>
    <row r="5390" spans="1:40" x14ac:dyDescent="0.25">
      <c r="A5390" t="str">
        <f>"20190303171122526"</f>
        <v>20190303171122526</v>
      </c>
      <c r="B5390" t="str">
        <f>"1551604282516481"</f>
        <v>1551604282516481</v>
      </c>
      <c r="C5390" t="s">
        <v>40</v>
      </c>
      <c r="D5390">
        <v>5.1446860000000001</v>
      </c>
      <c r="E5390">
        <v>0.52841559999999999</v>
      </c>
      <c r="F5390" t="s">
        <v>104</v>
      </c>
      <c r="G5390">
        <v>-245.86150000000001</v>
      </c>
      <c r="H5390" s="1">
        <v>-2.3253399999999998E-6</v>
      </c>
      <c r="I5390">
        <v>-63.479199999999999</v>
      </c>
      <c r="J5390">
        <v>-275.1961</v>
      </c>
      <c r="K5390">
        <v>1.122689</v>
      </c>
      <c r="L5390">
        <v>-64.686520000000002</v>
      </c>
      <c r="M5390">
        <v>0.98781030000000003</v>
      </c>
      <c r="N5390">
        <v>-1.186881E-2</v>
      </c>
      <c r="O5390">
        <v>0.15520980000000001</v>
      </c>
      <c r="P5390">
        <v>0.97996939999999999</v>
      </c>
      <c r="Q5390">
        <v>0.1704773</v>
      </c>
      <c r="R5390">
        <v>0.1029436</v>
      </c>
      <c r="S5390">
        <v>3.068085</v>
      </c>
      <c r="T5390">
        <v>-0.116928</v>
      </c>
      <c r="U5390">
        <v>0.12792970000000001</v>
      </c>
      <c r="V5390">
        <v>4.9683869999999998E-2</v>
      </c>
      <c r="W5390">
        <v>0.18234590000000001</v>
      </c>
      <c r="X5390">
        <v>0.98197840000000003</v>
      </c>
      <c r="Y5390">
        <v>0.1137698</v>
      </c>
      <c r="Z5390">
        <v>-6.8816509999999999E-3</v>
      </c>
      <c r="AA5390">
        <v>0.99348329999999996</v>
      </c>
      <c r="AB5390">
        <v>26</v>
      </c>
      <c r="AC5390">
        <v>29.334599999999899</v>
      </c>
      <c r="AD5390">
        <v>-1.1226913253399999</v>
      </c>
      <c r="AE5390">
        <v>1.2073199999999999</v>
      </c>
      <c r="AF5390">
        <v>3.3557437682725699</v>
      </c>
      <c r="AG5390">
        <v>-1.1226913253399999</v>
      </c>
      <c r="AH5390">
        <v>29.123873529870099</v>
      </c>
      <c r="AI5390">
        <v>92.193096474961607</v>
      </c>
      <c r="AJ5390">
        <v>83.427186568274493</v>
      </c>
      <c r="AK5390">
        <v>29.338054833853001</v>
      </c>
      <c r="AL5390">
        <v>79.493568730446697</v>
      </c>
      <c r="AM5390">
        <v>87.103550654280994</v>
      </c>
      <c r="AN5390">
        <v>1.0000000461257701</v>
      </c>
    </row>
    <row r="5391" spans="1:40" x14ac:dyDescent="0.25">
      <c r="A5391" t="str">
        <f>"20190303171122538"</f>
        <v>20190303171122538</v>
      </c>
      <c r="B5391" t="str">
        <f>"1551604282526241"</f>
        <v>1551604282526241</v>
      </c>
      <c r="C5391" t="s">
        <v>40</v>
      </c>
      <c r="D5391">
        <v>5.1529420000000004</v>
      </c>
      <c r="E5391">
        <v>0.52856359999999902</v>
      </c>
      <c r="F5391" t="s">
        <v>104</v>
      </c>
      <c r="G5391">
        <v>-245.53</v>
      </c>
      <c r="H5391" s="1">
        <v>-2.1786799999999999E-6</v>
      </c>
      <c r="I5391">
        <v>-63.462490000000003</v>
      </c>
      <c r="J5391">
        <v>-275.06169999999997</v>
      </c>
      <c r="K5391">
        <v>1.122541</v>
      </c>
      <c r="L5391">
        <v>-64.664150000000006</v>
      </c>
      <c r="M5391">
        <v>0.98764320000000005</v>
      </c>
      <c r="N5391">
        <v>-1.1811459999999999E-2</v>
      </c>
      <c r="O5391">
        <v>0.15627339999999901</v>
      </c>
      <c r="P5391">
        <v>0.97993520000000001</v>
      </c>
      <c r="Q5391">
        <v>0.17058309999999999</v>
      </c>
      <c r="R5391">
        <v>0.10309450000000001</v>
      </c>
      <c r="S5391">
        <v>3.0681759999999998</v>
      </c>
      <c r="T5391">
        <v>-0.11611249999999999</v>
      </c>
      <c r="U5391">
        <v>0.1265869</v>
      </c>
      <c r="V5391">
        <v>5.0651109999999999E-2</v>
      </c>
      <c r="W5391">
        <v>0.18238109999999999</v>
      </c>
      <c r="X5391">
        <v>0.98192239999999997</v>
      </c>
      <c r="Y5391">
        <v>0.11527510000000001</v>
      </c>
      <c r="Z5391">
        <v>-6.8954990000000002E-3</v>
      </c>
      <c r="AA5391">
        <v>0.99330969999999996</v>
      </c>
      <c r="AB5391">
        <v>26</v>
      </c>
      <c r="AC5391">
        <v>29.531699999999901</v>
      </c>
      <c r="AD5391">
        <v>-1.12254317867999</v>
      </c>
      <c r="AE5391">
        <v>1.20166</v>
      </c>
      <c r="AF5391">
        <v>3.4235086862913899</v>
      </c>
      <c r="AG5391">
        <v>-1.12254317867999</v>
      </c>
      <c r="AH5391">
        <v>29.3143329466699</v>
      </c>
      <c r="AI5391">
        <v>92.178184789074805</v>
      </c>
      <c r="AJ5391">
        <v>83.338819925024296</v>
      </c>
      <c r="AK5391">
        <v>29.534905299007299</v>
      </c>
      <c r="AL5391">
        <v>79.491517033631098</v>
      </c>
      <c r="AM5391">
        <v>87.047093639639499</v>
      </c>
      <c r="AN5391">
        <v>1.0000000001016001</v>
      </c>
    </row>
    <row r="5392" spans="1:40" x14ac:dyDescent="0.25">
      <c r="A5392" t="str">
        <f>"20190303171122549"</f>
        <v>20190303171122549</v>
      </c>
      <c r="B5392" t="str">
        <f>"1551604282536001"</f>
        <v>1551604282536001</v>
      </c>
      <c r="C5392" t="s">
        <v>40</v>
      </c>
      <c r="D5392">
        <v>5.0194900000000002</v>
      </c>
      <c r="E5392">
        <v>0.52866579999999996</v>
      </c>
      <c r="F5392" t="s">
        <v>104</v>
      </c>
      <c r="G5392">
        <v>-245.23500000000001</v>
      </c>
      <c r="H5392" s="1">
        <v>-2.0479919999999999E-6</v>
      </c>
      <c r="I5392">
        <v>-63.446930000000002</v>
      </c>
      <c r="J5392">
        <v>-274.93020000000001</v>
      </c>
      <c r="K5392">
        <v>1.1223939999999999</v>
      </c>
      <c r="L5392">
        <v>-64.642179999999996</v>
      </c>
      <c r="M5392">
        <v>0.98750329999999997</v>
      </c>
      <c r="N5392">
        <v>-1.1751869999999999E-2</v>
      </c>
      <c r="O5392">
        <v>0.1571594</v>
      </c>
      <c r="P5392">
        <v>0.97990639999999996</v>
      </c>
      <c r="Q5392">
        <v>0.17054259999999999</v>
      </c>
      <c r="R5392">
        <v>0.1034355</v>
      </c>
      <c r="S5392">
        <v>3.0683590000000001</v>
      </c>
      <c r="T5392">
        <v>-0.1154791</v>
      </c>
      <c r="U5392">
        <v>0.12521360000000001</v>
      </c>
      <c r="V5392">
        <v>5.1256089999999997E-2</v>
      </c>
      <c r="W5392">
        <v>0.1822657</v>
      </c>
      <c r="X5392">
        <v>0.98191240000000002</v>
      </c>
      <c r="Y5392">
        <v>0.1166126</v>
      </c>
      <c r="Z5392">
        <v>-6.9125180000000003E-3</v>
      </c>
      <c r="AA5392">
        <v>0.99315350000000002</v>
      </c>
      <c r="AB5392">
        <v>26</v>
      </c>
      <c r="AC5392">
        <v>29.6952</v>
      </c>
      <c r="AD5392">
        <v>-1.1223960479919901</v>
      </c>
      <c r="AE5392">
        <v>1.1952499999999999</v>
      </c>
      <c r="AF5392">
        <v>3.4818411479534999</v>
      </c>
      <c r="AG5392">
        <v>-1.1223960479919901</v>
      </c>
      <c r="AH5392">
        <v>29.471955183312499</v>
      </c>
      <c r="AI5392">
        <v>92.165923172178793</v>
      </c>
      <c r="AJ5392">
        <v>83.262260204152</v>
      </c>
      <c r="AK5392">
        <v>29.698133493459</v>
      </c>
      <c r="AL5392">
        <v>79.498241326395203</v>
      </c>
      <c r="AM5392">
        <v>87.0118571082957</v>
      </c>
      <c r="AN5392">
        <v>0.99999996671616798</v>
      </c>
    </row>
    <row r="5393" spans="1:40" x14ac:dyDescent="0.25">
      <c r="A5393" t="str">
        <f>"20190303171122563"</f>
        <v>20190303171122563</v>
      </c>
      <c r="B5393" t="str">
        <f>"1551604282556499"</f>
        <v>1551604282556499</v>
      </c>
      <c r="C5393" t="s">
        <v>40</v>
      </c>
      <c r="D5393">
        <v>5.1484909999999999</v>
      </c>
      <c r="E5393">
        <v>0.52896569999999898</v>
      </c>
      <c r="F5393" t="s">
        <v>104</v>
      </c>
      <c r="G5393">
        <v>-244.99770000000001</v>
      </c>
      <c r="H5393" s="1">
        <v>-1.9398449999999998E-6</v>
      </c>
      <c r="I5393">
        <v>-63.423029999999997</v>
      </c>
      <c r="J5393">
        <v>-274.77710000000002</v>
      </c>
      <c r="K5393">
        <v>1.1222190000000001</v>
      </c>
      <c r="L5393">
        <v>-64.616640000000004</v>
      </c>
      <c r="M5393">
        <v>0.98735479999999998</v>
      </c>
      <c r="N5393">
        <v>-1.168392E-2</v>
      </c>
      <c r="O5393">
        <v>0.15809570000000001</v>
      </c>
      <c r="P5393">
        <v>0.97987009999999997</v>
      </c>
      <c r="Q5393">
        <v>0.170603799999999</v>
      </c>
      <c r="R5393">
        <v>0.1036778</v>
      </c>
      <c r="S5393">
        <v>3.06839</v>
      </c>
      <c r="T5393">
        <v>-0.11505700000000001</v>
      </c>
      <c r="U5393">
        <v>0.1249695</v>
      </c>
      <c r="V5393">
        <v>5.2017229999999998E-2</v>
      </c>
      <c r="W5393">
        <v>0.1822414</v>
      </c>
      <c r="X5393">
        <v>0.98187690000000005</v>
      </c>
      <c r="Y5393">
        <v>0.1176333</v>
      </c>
      <c r="Z5393">
        <v>-6.9384190000000004E-3</v>
      </c>
      <c r="AA5393">
        <v>0.9930329</v>
      </c>
      <c r="AB5393">
        <v>26</v>
      </c>
      <c r="AC5393">
        <v>29.779399999999999</v>
      </c>
      <c r="AD5393">
        <v>-1.122220939845</v>
      </c>
      <c r="AE5393">
        <v>1.1936099999999901</v>
      </c>
      <c r="AF5393">
        <v>3.5247214969564702</v>
      </c>
      <c r="AG5393">
        <v>-1.122220939845</v>
      </c>
      <c r="AH5393">
        <v>29.5516546842913</v>
      </c>
      <c r="AI5393">
        <v>92.159464632213798</v>
      </c>
      <c r="AJ5393">
        <v>83.198279482366203</v>
      </c>
      <c r="AK5393">
        <v>29.7822654619915</v>
      </c>
      <c r="AL5393">
        <v>79.499657507132397</v>
      </c>
      <c r="AM5393">
        <v>86.967456720369199</v>
      </c>
      <c r="AN5393">
        <v>0.99999998342222096</v>
      </c>
    </row>
    <row r="5394" spans="1:40" x14ac:dyDescent="0.25">
      <c r="A5394" t="str">
        <f>"20190303171122574"</f>
        <v>20190303171122574</v>
      </c>
      <c r="B5394" t="str">
        <f>"1551604282566257"</f>
        <v>1551604282566257</v>
      </c>
      <c r="C5394" t="s">
        <v>40</v>
      </c>
      <c r="D5394">
        <v>5.1448809999999998</v>
      </c>
      <c r="E5394">
        <v>0.52919050000000001</v>
      </c>
      <c r="F5394" t="s">
        <v>104</v>
      </c>
      <c r="G5394">
        <v>-244.6807</v>
      </c>
      <c r="H5394" s="1">
        <v>-1.800969E-6</v>
      </c>
      <c r="I5394">
        <v>-63.412140000000001</v>
      </c>
      <c r="J5394">
        <v>-274.64729999999997</v>
      </c>
      <c r="K5394">
        <v>1.1220699999999999</v>
      </c>
      <c r="L5394">
        <v>-64.594939999999994</v>
      </c>
      <c r="M5394">
        <v>0.98724140000000005</v>
      </c>
      <c r="N5394">
        <v>-1.162754E-2</v>
      </c>
      <c r="O5394">
        <v>0.15880649999999999</v>
      </c>
      <c r="P5394">
        <v>0.97984300000000002</v>
      </c>
      <c r="Q5394">
        <v>0.1705441</v>
      </c>
      <c r="R5394">
        <v>0.1040325</v>
      </c>
      <c r="S5394">
        <v>3.0685730000000002</v>
      </c>
      <c r="T5394">
        <v>-0.1144196</v>
      </c>
      <c r="U5394">
        <v>0.1228027</v>
      </c>
      <c r="V5394">
        <v>5.2432699999999999E-2</v>
      </c>
      <c r="W5394">
        <v>0.1821092</v>
      </c>
      <c r="X5394">
        <v>0.98187939999999996</v>
      </c>
      <c r="Y5394">
        <v>0.1190507</v>
      </c>
      <c r="Z5394">
        <v>-6.9513650000000001E-3</v>
      </c>
      <c r="AA5394">
        <v>0.99286379999999996</v>
      </c>
      <c r="AB5394">
        <v>26</v>
      </c>
      <c r="AC5394">
        <v>29.9665999999999</v>
      </c>
      <c r="AD5394">
        <v>-1.1220718009690001</v>
      </c>
      <c r="AE5394">
        <v>1.1828000000000001</v>
      </c>
      <c r="AF5394">
        <v>3.5864034808691199</v>
      </c>
      <c r="AG5394">
        <v>-1.1220718009690001</v>
      </c>
      <c r="AH5394">
        <v>29.7324911317104</v>
      </c>
      <c r="AI5394">
        <v>92.145715852888202</v>
      </c>
      <c r="AJ5394">
        <v>83.122076332492796</v>
      </c>
      <c r="AK5394">
        <v>29.969023406700401</v>
      </c>
      <c r="AL5394">
        <v>79.507361650151296</v>
      </c>
      <c r="AM5394">
        <v>86.943288828251497</v>
      </c>
      <c r="AN5394">
        <v>1.0000000524491399</v>
      </c>
    </row>
    <row r="5395" spans="1:40" x14ac:dyDescent="0.25">
      <c r="A5395" t="str">
        <f>"20190303171122584"</f>
        <v>20190303171122584</v>
      </c>
      <c r="B5395" t="str">
        <f>"1551604282576017"</f>
        <v>1551604282576017</v>
      </c>
      <c r="C5395" t="s">
        <v>40</v>
      </c>
      <c r="D5395">
        <v>5.0894550000000001</v>
      </c>
      <c r="E5395">
        <v>0.52934289999999995</v>
      </c>
      <c r="F5395" t="s">
        <v>104</v>
      </c>
      <c r="G5395">
        <v>-244.55439999999999</v>
      </c>
      <c r="H5395" s="1">
        <v>-1.7438529999999999E-6</v>
      </c>
      <c r="I5395">
        <v>-63.4011</v>
      </c>
      <c r="J5395">
        <v>-274.52370000000002</v>
      </c>
      <c r="K5395">
        <v>1.121929</v>
      </c>
      <c r="L5395">
        <v>-64.574280000000002</v>
      </c>
      <c r="M5395">
        <v>0.98715330000000001</v>
      </c>
      <c r="N5395">
        <v>-1.1572610000000001E-2</v>
      </c>
      <c r="O5395">
        <v>0.15935669999999999</v>
      </c>
      <c r="P5395">
        <v>0.97987679999999999</v>
      </c>
      <c r="Q5395">
        <v>0.17021600000000001</v>
      </c>
      <c r="R5395">
        <v>0.1042502</v>
      </c>
      <c r="S5395">
        <v>3.068695</v>
      </c>
      <c r="T5395">
        <v>-0.1144222</v>
      </c>
      <c r="U5395">
        <v>0.1217346</v>
      </c>
      <c r="V5395">
        <v>5.28304E-2</v>
      </c>
      <c r="W5395">
        <v>0.1817125</v>
      </c>
      <c r="X5395">
        <v>0.98193149999999996</v>
      </c>
      <c r="Y5395">
        <v>0.1199496</v>
      </c>
      <c r="Z5395">
        <v>-6.9925880000000001E-3</v>
      </c>
      <c r="AA5395">
        <v>0.99275539999999995</v>
      </c>
      <c r="AB5395">
        <v>26</v>
      </c>
      <c r="AC5395">
        <v>29.9693</v>
      </c>
      <c r="AD5395">
        <v>-1.121930743853</v>
      </c>
      <c r="AE5395">
        <v>1.1731799999999999</v>
      </c>
      <c r="AF5395">
        <v>3.6128867493255998</v>
      </c>
      <c r="AG5395">
        <v>-1.121930743853</v>
      </c>
      <c r="AH5395">
        <v>29.731635679245802</v>
      </c>
      <c r="AI5395">
        <v>92.145279340835799</v>
      </c>
      <c r="AJ5395">
        <v>83.071581767777701</v>
      </c>
      <c r="AK5395">
        <v>29.9713503102689</v>
      </c>
      <c r="AL5395">
        <v>79.530475760290699</v>
      </c>
      <c r="AM5395">
        <v>86.920311358612096</v>
      </c>
      <c r="AN5395">
        <v>0.99999997725632905</v>
      </c>
    </row>
    <row r="5396" spans="1:40" x14ac:dyDescent="0.25">
      <c r="A5396" t="str">
        <f>"20190303171122593"</f>
        <v>20190303171122593</v>
      </c>
      <c r="B5396" t="str">
        <f>"1551604282585778"</f>
        <v>1551604282585778</v>
      </c>
      <c r="C5396" t="s">
        <v>40</v>
      </c>
      <c r="D5396">
        <v>5.2017179999999996</v>
      </c>
      <c r="E5396">
        <v>0.52958229999999995</v>
      </c>
      <c r="F5396" t="s">
        <v>104</v>
      </c>
      <c r="G5396">
        <v>-244.65780000000001</v>
      </c>
      <c r="H5396" s="1">
        <v>-1.7867359999999999E-6</v>
      </c>
      <c r="I5396">
        <v>-63.395679999999999</v>
      </c>
      <c r="J5396">
        <v>-274.41640000000001</v>
      </c>
      <c r="K5396">
        <v>1.1218090000000001</v>
      </c>
      <c r="L5396">
        <v>-64.556370000000001</v>
      </c>
      <c r="M5396">
        <v>0.98708119999999999</v>
      </c>
      <c r="N5396">
        <v>-1.1524799999999899E-2</v>
      </c>
      <c r="O5396">
        <v>0.15980629999999901</v>
      </c>
      <c r="P5396">
        <v>0.97990630000000001</v>
      </c>
      <c r="Q5396">
        <v>0.17011699999999999</v>
      </c>
      <c r="R5396">
        <v>0.10413500000000001</v>
      </c>
      <c r="S5396">
        <v>3.068695</v>
      </c>
      <c r="T5396">
        <v>-0.1152773</v>
      </c>
      <c r="U5396">
        <v>0.1210938</v>
      </c>
      <c r="V5396">
        <v>5.344699E-2</v>
      </c>
      <c r="W5396">
        <v>0.18155260000000001</v>
      </c>
      <c r="X5396">
        <v>0.98192780000000002</v>
      </c>
      <c r="Y5396">
        <v>0.1206052</v>
      </c>
      <c r="Z5396">
        <v>-7.0858170000000003E-3</v>
      </c>
      <c r="AA5396">
        <v>0.99267519999999998</v>
      </c>
      <c r="AB5396">
        <v>26</v>
      </c>
      <c r="AC5396">
        <v>29.758600000000001</v>
      </c>
      <c r="AD5396">
        <v>-1.1218107867360001</v>
      </c>
      <c r="AE5396">
        <v>1.16068999999999</v>
      </c>
      <c r="AF5396">
        <v>3.6050407157116098</v>
      </c>
      <c r="AG5396">
        <v>-1.1218107867360001</v>
      </c>
      <c r="AH5396">
        <v>29.519715184724301</v>
      </c>
      <c r="AI5396">
        <v>92.160277693671205</v>
      </c>
      <c r="AJ5396">
        <v>83.0373359868411</v>
      </c>
      <c r="AK5396">
        <v>29.760180822542299</v>
      </c>
      <c r="AL5396">
        <v>79.5397932602216</v>
      </c>
      <c r="AM5396">
        <v>86.8844266261857</v>
      </c>
      <c r="AN5396">
        <v>1.00000006585982</v>
      </c>
    </row>
    <row r="5397" spans="1:40" x14ac:dyDescent="0.25">
      <c r="A5397" t="str">
        <f>"20190303171122604"</f>
        <v>20190303171122604</v>
      </c>
      <c r="B5397" t="str">
        <f>"1551604282596514"</f>
        <v>1551604282596514</v>
      </c>
      <c r="C5397" t="s">
        <v>40</v>
      </c>
      <c r="D5397">
        <v>5.1451120000000001</v>
      </c>
      <c r="E5397">
        <v>0.52972759999999997</v>
      </c>
      <c r="F5397" t="s">
        <v>104</v>
      </c>
      <c r="G5397">
        <v>-244.5855</v>
      </c>
      <c r="H5397" s="1">
        <v>-1.757605E-6</v>
      </c>
      <c r="I5397">
        <v>-63.402669999999901</v>
      </c>
      <c r="J5397">
        <v>-274.30169999999998</v>
      </c>
      <c r="K5397">
        <v>1.121678</v>
      </c>
      <c r="L5397">
        <v>-64.537289999999999</v>
      </c>
      <c r="M5397">
        <v>0.98702500000000004</v>
      </c>
      <c r="N5397">
        <v>-1.147249E-2</v>
      </c>
      <c r="O5397">
        <v>0.160156299999999</v>
      </c>
      <c r="P5397">
        <v>0.97994930000000002</v>
      </c>
      <c r="Q5397">
        <v>0.16992099999999999</v>
      </c>
      <c r="R5397">
        <v>0.1040486</v>
      </c>
      <c r="S5397">
        <v>3.0689090000000001</v>
      </c>
      <c r="T5397">
        <v>-0.115408399999999</v>
      </c>
      <c r="U5397">
        <v>0.11868289999999999</v>
      </c>
      <c r="V5397">
        <v>5.3943060000000001E-2</v>
      </c>
      <c r="W5397">
        <v>0.18129000000000001</v>
      </c>
      <c r="X5397">
        <v>0.98194919999999997</v>
      </c>
      <c r="Y5397">
        <v>0.12173680000000001</v>
      </c>
      <c r="Z5397">
        <v>-7.1367549999999998E-3</v>
      </c>
      <c r="AA5397">
        <v>0.9925368</v>
      </c>
      <c r="AB5397">
        <v>26</v>
      </c>
      <c r="AC5397">
        <v>29.716199999999901</v>
      </c>
      <c r="AD5397">
        <v>-1.1216797576049999</v>
      </c>
      <c r="AE5397">
        <v>1.13462</v>
      </c>
      <c r="AF5397">
        <v>3.6344071119034602</v>
      </c>
      <c r="AG5397">
        <v>-1.1216797576049999</v>
      </c>
      <c r="AH5397">
        <v>29.472360252344298</v>
      </c>
      <c r="AI5397">
        <v>92.1631813220162</v>
      </c>
      <c r="AJ5397">
        <v>82.970017329517006</v>
      </c>
      <c r="AK5397">
        <v>29.716781443784299</v>
      </c>
      <c r="AL5397">
        <v>79.555093115705702</v>
      </c>
      <c r="AM5397">
        <v>86.855635482432604</v>
      </c>
      <c r="AN5397">
        <v>1.00000007460139</v>
      </c>
    </row>
    <row r="5398" spans="1:40" x14ac:dyDescent="0.25">
      <c r="A5398" t="str">
        <f>"20190303171122615"</f>
        <v>20190303171122615</v>
      </c>
      <c r="B5398" t="str">
        <f>"1551604282606273"</f>
        <v>1551604282606273</v>
      </c>
      <c r="C5398" t="s">
        <v>40</v>
      </c>
      <c r="D5398">
        <v>5.1452429999999998</v>
      </c>
      <c r="E5398">
        <v>0.529873699999999</v>
      </c>
      <c r="F5398" t="s">
        <v>104</v>
      </c>
      <c r="G5398">
        <v>-244.60669999999999</v>
      </c>
      <c r="H5398" s="1">
        <v>-1.7676759999999901E-6</v>
      </c>
      <c r="I5398">
        <v>-63.406329999999997</v>
      </c>
      <c r="J5398">
        <v>-274.17020000000002</v>
      </c>
      <c r="K5398">
        <v>1.1215250000000001</v>
      </c>
      <c r="L5398">
        <v>-64.515410000000003</v>
      </c>
      <c r="M5398">
        <v>0.98696700000000004</v>
      </c>
      <c r="N5398">
        <v>-1.1412149999999999E-2</v>
      </c>
      <c r="O5398">
        <v>0.1605181</v>
      </c>
      <c r="P5398">
        <v>0.98000089999999995</v>
      </c>
      <c r="Q5398">
        <v>0.16962839999999901</v>
      </c>
      <c r="R5398">
        <v>0.1040406</v>
      </c>
      <c r="S5398">
        <v>3.069061</v>
      </c>
      <c r="T5398">
        <v>-0.11592860000000001</v>
      </c>
      <c r="U5398">
        <v>0.11688229999999999</v>
      </c>
      <c r="V5398">
        <v>5.4383210000000001E-2</v>
      </c>
      <c r="W5398">
        <v>0.18092050000000001</v>
      </c>
      <c r="X5398">
        <v>0.981993</v>
      </c>
      <c r="Y5398">
        <v>0.122681</v>
      </c>
      <c r="Z5398">
        <v>-7.2123739999999997E-3</v>
      </c>
      <c r="AA5398">
        <v>0.99241999999999997</v>
      </c>
      <c r="AB5398">
        <v>26</v>
      </c>
      <c r="AC5398">
        <v>29.563500000000001</v>
      </c>
      <c r="AD5398">
        <v>-1.1215267676759999</v>
      </c>
      <c r="AE5398">
        <v>1.1090799999999901</v>
      </c>
      <c r="AF5398">
        <v>3.64584939591579</v>
      </c>
      <c r="AG5398">
        <v>-1.1215267676759999</v>
      </c>
      <c r="AH5398">
        <v>29.316004859060499</v>
      </c>
      <c r="AI5398">
        <v>92.174133499352294</v>
      </c>
      <c r="AJ5398">
        <v>82.910877948926299</v>
      </c>
      <c r="AK5398">
        <v>29.563121976624402</v>
      </c>
      <c r="AL5398">
        <v>79.576619158984499</v>
      </c>
      <c r="AM5398">
        <v>86.830172162604796</v>
      </c>
      <c r="AN5398">
        <v>1.00000000644957</v>
      </c>
    </row>
    <row r="5399" spans="1:40" x14ac:dyDescent="0.25">
      <c r="A5399" t="str">
        <f>"20190303171122626"</f>
        <v>20190303171122626</v>
      </c>
      <c r="B5399" t="str">
        <f>"1551604282616034"</f>
        <v>1551604282616034</v>
      </c>
      <c r="C5399" t="s">
        <v>40</v>
      </c>
      <c r="D5399">
        <v>5.084848</v>
      </c>
      <c r="E5399">
        <v>0.53000999999999998</v>
      </c>
      <c r="F5399" t="s">
        <v>104</v>
      </c>
      <c r="G5399">
        <v>-244.65940000000001</v>
      </c>
      <c r="H5399" s="1">
        <v>-1.7906019999999999E-6</v>
      </c>
      <c r="I5399">
        <v>-63.407629999999997</v>
      </c>
      <c r="J5399">
        <v>-274.0453</v>
      </c>
      <c r="K5399">
        <v>1.1213789999999999</v>
      </c>
      <c r="L5399">
        <v>-64.494720000000001</v>
      </c>
      <c r="M5399">
        <v>0.98693839999999999</v>
      </c>
      <c r="N5399">
        <v>-1.135267E-2</v>
      </c>
      <c r="O5399">
        <v>0.16069810000000001</v>
      </c>
      <c r="P5399">
        <v>0.98006000000000004</v>
      </c>
      <c r="Q5399">
        <v>0.1693047</v>
      </c>
      <c r="R5399">
        <v>0.10401199999999999</v>
      </c>
      <c r="S5399">
        <v>3.069153</v>
      </c>
      <c r="T5399">
        <v>-0.1166399</v>
      </c>
      <c r="U5399">
        <v>0.1152039</v>
      </c>
      <c r="V5399">
        <v>5.4660859999999999E-2</v>
      </c>
      <c r="W5399">
        <v>0.18052090000000001</v>
      </c>
      <c r="X5399">
        <v>0.98205109999999995</v>
      </c>
      <c r="Y5399">
        <v>0.12340189999999999</v>
      </c>
      <c r="Z5399">
        <v>-7.2918749999999997E-3</v>
      </c>
      <c r="AA5399">
        <v>0.99233000000000005</v>
      </c>
      <c r="AB5399">
        <v>26</v>
      </c>
      <c r="AC5399">
        <v>29.3858999999999</v>
      </c>
      <c r="AD5399">
        <v>-1.1213807906019999</v>
      </c>
      <c r="AE5399">
        <v>1.0870899999999899</v>
      </c>
      <c r="AF5399">
        <v>3.64430265002269</v>
      </c>
      <c r="AG5399">
        <v>-1.1213807906019999</v>
      </c>
      <c r="AH5399">
        <v>29.136273395467299</v>
      </c>
      <c r="AI5399">
        <v>92.187055910299406</v>
      </c>
      <c r="AJ5399">
        <v>82.870591419884505</v>
      </c>
      <c r="AK5399">
        <v>29.384704593681199</v>
      </c>
      <c r="AL5399">
        <v>79.599897612494502</v>
      </c>
      <c r="AM5399">
        <v>86.814210163883502</v>
      </c>
      <c r="AN5399">
        <v>0.99999998398197898</v>
      </c>
    </row>
    <row r="5400" spans="1:40" x14ac:dyDescent="0.25">
      <c r="A5400" t="str">
        <f>"20190303171122638"</f>
        <v>20190303171122638</v>
      </c>
      <c r="B5400" t="str">
        <f>"1551604282625793"</f>
        <v>1551604282625793</v>
      </c>
      <c r="C5400" t="s">
        <v>40</v>
      </c>
      <c r="D5400">
        <v>5.0807079999999996</v>
      </c>
      <c r="E5400">
        <v>0.53015699999999999</v>
      </c>
      <c r="F5400" t="s">
        <v>104</v>
      </c>
      <c r="G5400">
        <v>-244.7475</v>
      </c>
      <c r="H5400" s="1">
        <v>-1.829076E-6</v>
      </c>
      <c r="I5400">
        <v>-63.410139999999998</v>
      </c>
      <c r="J5400">
        <v>-273.91000000000003</v>
      </c>
      <c r="K5400">
        <v>1.121221</v>
      </c>
      <c r="L5400">
        <v>-64.472350000000006</v>
      </c>
      <c r="M5400">
        <v>0.98691399999999996</v>
      </c>
      <c r="N5400">
        <v>-1.1288650000000001E-2</v>
      </c>
      <c r="O5400">
        <v>0.16085150000000001</v>
      </c>
      <c r="P5400">
        <v>0.98013260000000002</v>
      </c>
      <c r="Q5400">
        <v>0.1688452</v>
      </c>
      <c r="R5400">
        <v>0.10407379999999999</v>
      </c>
      <c r="S5400">
        <v>3.0693049999999999</v>
      </c>
      <c r="T5400">
        <v>-0.117478399999999</v>
      </c>
      <c r="U5400">
        <v>0.11361690000000001</v>
      </c>
      <c r="V5400">
        <v>5.4830339999999998E-2</v>
      </c>
      <c r="W5400">
        <v>0.17997959999999999</v>
      </c>
      <c r="X5400">
        <v>0.98214100000000004</v>
      </c>
      <c r="Y5400">
        <v>0.1240668</v>
      </c>
      <c r="Z5400">
        <v>-7.3789950000000002E-3</v>
      </c>
      <c r="AA5400">
        <v>0.99224639999999997</v>
      </c>
      <c r="AB5400">
        <v>26</v>
      </c>
      <c r="AC5400">
        <v>29.162500000000001</v>
      </c>
      <c r="AD5400">
        <v>-1.121222829076</v>
      </c>
      <c r="AE5400">
        <v>1.0622100000000001</v>
      </c>
      <c r="AF5400">
        <v>3.6373846033120198</v>
      </c>
      <c r="AG5400">
        <v>-1.121222829076</v>
      </c>
      <c r="AH5400">
        <v>28.910904602287498</v>
      </c>
      <c r="AI5400">
        <v>92.203577681617503</v>
      </c>
      <c r="AJ5400">
        <v>82.829090326261607</v>
      </c>
      <c r="AK5400">
        <v>29.160386010946802</v>
      </c>
      <c r="AL5400">
        <v>79.631428258497905</v>
      </c>
      <c r="AM5400">
        <v>86.804644736573707</v>
      </c>
      <c r="AN5400">
        <v>0.99999998324083705</v>
      </c>
    </row>
    <row r="5401" spans="1:40" x14ac:dyDescent="0.25">
      <c r="A5401" t="str">
        <f>"20190303171122651"</f>
        <v>20190303171122651</v>
      </c>
      <c r="B5401" t="str">
        <f>"1551604282636530"</f>
        <v>1551604282636530</v>
      </c>
      <c r="C5401" t="s">
        <v>40</v>
      </c>
      <c r="D5401">
        <v>4.9318730000000004</v>
      </c>
      <c r="E5401">
        <v>0.53032699999999999</v>
      </c>
      <c r="F5401" t="s">
        <v>104</v>
      </c>
      <c r="G5401">
        <v>-244.9211</v>
      </c>
      <c r="H5401" s="1">
        <v>-1.9047219999999999E-6</v>
      </c>
      <c r="I5401">
        <v>-63.414520000000003</v>
      </c>
      <c r="J5401">
        <v>-273.76409999999998</v>
      </c>
      <c r="K5401">
        <v>1.121048</v>
      </c>
      <c r="L5401">
        <v>-64.448390000000003</v>
      </c>
      <c r="M5401">
        <v>0.98691609999999996</v>
      </c>
      <c r="N5401">
        <v>-1.122278E-2</v>
      </c>
      <c r="O5401">
        <v>0.16084399999999999</v>
      </c>
      <c r="P5401">
        <v>0.98014069999999998</v>
      </c>
      <c r="Q5401">
        <v>0.1686974</v>
      </c>
      <c r="R5401">
        <v>0.1042381</v>
      </c>
      <c r="S5401">
        <v>3.0693969999999999</v>
      </c>
      <c r="T5401">
        <v>-0.11871710000000001</v>
      </c>
      <c r="U5401">
        <v>0.1119995</v>
      </c>
      <c r="V5401">
        <v>5.4733329999999997E-2</v>
      </c>
      <c r="W5401">
        <v>0.17974560000000001</v>
      </c>
      <c r="X5401">
        <v>0.98218930000000004</v>
      </c>
      <c r="Y5401">
        <v>0.12457790000000001</v>
      </c>
      <c r="Z5401">
        <v>-7.4875519999999997E-3</v>
      </c>
      <c r="AA5401">
        <v>0.9921816</v>
      </c>
      <c r="AB5401">
        <v>26</v>
      </c>
      <c r="AC5401">
        <v>28.8429999999999</v>
      </c>
      <c r="AD5401">
        <v>-1.1210499047219999</v>
      </c>
      <c r="AE5401">
        <v>1.0338700000000001</v>
      </c>
      <c r="AF5401">
        <v>3.61365619775597</v>
      </c>
      <c r="AG5401">
        <v>-1.1210499047219999</v>
      </c>
      <c r="AH5401">
        <v>28.590578800766799</v>
      </c>
      <c r="AI5401">
        <v>92.227738133793196</v>
      </c>
      <c r="AJ5401">
        <v>82.7963978973727</v>
      </c>
      <c r="AK5401">
        <v>28.839841541993799</v>
      </c>
      <c r="AL5401">
        <v>79.6450581248058</v>
      </c>
      <c r="AM5401">
        <v>86.810443050592497</v>
      </c>
      <c r="AN5401">
        <v>1.00000001958336</v>
      </c>
    </row>
    <row r="5402" spans="1:40" x14ac:dyDescent="0.25">
      <c r="A5402" t="str">
        <f>"20190303171122663"</f>
        <v>20190303171122663</v>
      </c>
      <c r="B5402" t="str">
        <f>"1551604282656049"</f>
        <v>1551604282656049</v>
      </c>
      <c r="C5402" t="s">
        <v>40</v>
      </c>
      <c r="D5402">
        <v>5.0826609999999999</v>
      </c>
      <c r="E5402">
        <v>0.53063680000000002</v>
      </c>
      <c r="F5402" t="s">
        <v>104</v>
      </c>
      <c r="G5402">
        <v>-244.8159</v>
      </c>
      <c r="H5402" s="1">
        <v>-1.856611E-6</v>
      </c>
      <c r="I5402">
        <v>-63.403289999999998</v>
      </c>
      <c r="J5402">
        <v>-273.6277</v>
      </c>
      <c r="K5402">
        <v>1.1208910000000001</v>
      </c>
      <c r="L5402">
        <v>-64.426090000000002</v>
      </c>
      <c r="M5402">
        <v>0.9869329</v>
      </c>
      <c r="N5402">
        <v>-1.116288E-2</v>
      </c>
      <c r="O5402">
        <v>0.1607451</v>
      </c>
      <c r="P5402">
        <v>0.98018810000000001</v>
      </c>
      <c r="Q5402">
        <v>0.1685046</v>
      </c>
      <c r="R5402">
        <v>0.1041043</v>
      </c>
      <c r="S5402">
        <v>3.069458</v>
      </c>
      <c r="T5402">
        <v>-0.11886819999999999</v>
      </c>
      <c r="U5402">
        <v>0.1108093</v>
      </c>
      <c r="V5402">
        <v>5.4839859999999997E-2</v>
      </c>
      <c r="W5402">
        <v>0.17947439999999901</v>
      </c>
      <c r="X5402">
        <v>0.98223289999999996</v>
      </c>
      <c r="Y5402">
        <v>0.1248624</v>
      </c>
      <c r="Z5402">
        <v>-7.5087919999999898E-3</v>
      </c>
      <c r="AA5402">
        <v>0.99214570000000002</v>
      </c>
      <c r="AB5402">
        <v>26</v>
      </c>
      <c r="AC5402">
        <v>28.811800000000002</v>
      </c>
      <c r="AD5402">
        <v>-1.1208928566109999</v>
      </c>
      <c r="AE5402">
        <v>1.0227999999999899</v>
      </c>
      <c r="AF5402">
        <v>3.6166791047458502</v>
      </c>
      <c r="AG5402">
        <v>-1.1208928566109999</v>
      </c>
      <c r="AH5402">
        <v>28.558334262574</v>
      </c>
      <c r="AI5402">
        <v>92.229869811507498</v>
      </c>
      <c r="AJ5402">
        <v>82.782380944952607</v>
      </c>
      <c r="AK5402">
        <v>28.808249242111401</v>
      </c>
      <c r="AL5402">
        <v>79.660853091239503</v>
      </c>
      <c r="AM5402">
        <v>86.804389485114697</v>
      </c>
      <c r="AN5402">
        <v>0.99999997017129405</v>
      </c>
    </row>
    <row r="5403" spans="1:40" x14ac:dyDescent="0.25">
      <c r="A5403" t="str">
        <f>"20190303171122672"</f>
        <v>20190303171122672</v>
      </c>
      <c r="B5403" t="str">
        <f>"1551604282665809"</f>
        <v>1551604282665809</v>
      </c>
      <c r="C5403" t="s">
        <v>40</v>
      </c>
      <c r="D5403">
        <v>5.0799669999999999</v>
      </c>
      <c r="E5403">
        <v>0.53063680000000002</v>
      </c>
      <c r="F5403" t="s">
        <v>104</v>
      </c>
      <c r="G5403">
        <v>-244.76429999999999</v>
      </c>
      <c r="H5403" s="1">
        <v>-1.8378659999999999E-6</v>
      </c>
      <c r="I5403">
        <v>-63.415990000000001</v>
      </c>
      <c r="J5403">
        <v>-273.5052</v>
      </c>
      <c r="K5403">
        <v>1.1207530000000001</v>
      </c>
      <c r="L5403">
        <v>-64.40616</v>
      </c>
      <c r="M5403">
        <v>0.98696019999999896</v>
      </c>
      <c r="N5403">
        <v>-1.111036E-2</v>
      </c>
      <c r="O5403">
        <v>0.16058039999999901</v>
      </c>
      <c r="P5403">
        <v>0.98018499999999997</v>
      </c>
      <c r="Q5403">
        <v>0.16848399999999999</v>
      </c>
      <c r="R5403">
        <v>0.1041651</v>
      </c>
      <c r="S5403">
        <v>3.0697329999999998</v>
      </c>
      <c r="T5403">
        <v>-0.1192112</v>
      </c>
      <c r="U5403">
        <v>0.1074219</v>
      </c>
      <c r="V5403">
        <v>5.4673020000000003E-2</v>
      </c>
      <c r="W5403">
        <v>0.17938479999999901</v>
      </c>
      <c r="X5403">
        <v>0.98225859999999998</v>
      </c>
      <c r="Y5403">
        <v>0.12579129999999999</v>
      </c>
      <c r="Z5403">
        <v>-7.5570619999999998E-3</v>
      </c>
      <c r="AA5403">
        <v>0.99202789999999996</v>
      </c>
      <c r="AB5403">
        <v>26</v>
      </c>
      <c r="AC5403">
        <v>28.7409</v>
      </c>
      <c r="AD5403">
        <v>-1.1207548378659999</v>
      </c>
      <c r="AE5403">
        <v>0.990169999999999</v>
      </c>
      <c r="AF5403">
        <v>3.6326741341103701</v>
      </c>
      <c r="AG5403">
        <v>-1.1207548378659999</v>
      </c>
      <c r="AH5403">
        <v>28.483626472246801</v>
      </c>
      <c r="AI5403">
        <v>92.235187850416196</v>
      </c>
      <c r="AJ5403">
        <v>82.731988929918202</v>
      </c>
      <c r="AK5403">
        <v>28.736203468477001</v>
      </c>
      <c r="AL5403">
        <v>79.666071810070406</v>
      </c>
      <c r="AM5403">
        <v>86.814174658819297</v>
      </c>
      <c r="AN5403">
        <v>1.00000000143046</v>
      </c>
    </row>
    <row r="5404" spans="1:40" x14ac:dyDescent="0.25">
      <c r="A5404" t="str">
        <f>"20190303171122684"</f>
        <v>20190303171122684</v>
      </c>
      <c r="B5404" t="str">
        <f>"1551604282675569"</f>
        <v>1551604282675569</v>
      </c>
      <c r="C5404" t="s">
        <v>40</v>
      </c>
      <c r="D5404">
        <v>4.9327670000000001</v>
      </c>
      <c r="E5404">
        <v>0.53703250000000002</v>
      </c>
      <c r="F5404" t="s">
        <v>104</v>
      </c>
      <c r="G5404">
        <v>-244.63200000000001</v>
      </c>
      <c r="H5404" s="1">
        <v>-1.776167E-6</v>
      </c>
      <c r="I5404">
        <v>-63.39743</v>
      </c>
      <c r="J5404">
        <v>-273.37810000000002</v>
      </c>
      <c r="K5404">
        <v>1.1206100000000001</v>
      </c>
      <c r="L5404">
        <v>-64.385589999999993</v>
      </c>
      <c r="M5404">
        <v>0.98700860000000001</v>
      </c>
      <c r="N5404">
        <v>-1.10542E-2</v>
      </c>
      <c r="O5404">
        <v>0.16028709999999999</v>
      </c>
      <c r="P5404">
        <v>0.98022169999999997</v>
      </c>
      <c r="Q5404">
        <v>0.16839109999999999</v>
      </c>
      <c r="R5404">
        <v>0.1039718</v>
      </c>
      <c r="S5404">
        <v>3.0697019999999999</v>
      </c>
      <c r="T5404">
        <v>-0.11915480000000001</v>
      </c>
      <c r="U5404">
        <v>0.1072388</v>
      </c>
      <c r="V5404">
        <v>5.4637110000000003E-2</v>
      </c>
      <c r="W5404">
        <v>0.17921879999999901</v>
      </c>
      <c r="X5404">
        <v>0.98229089999999997</v>
      </c>
      <c r="Y5404">
        <v>0.12555549999999999</v>
      </c>
      <c r="Z5404">
        <v>-7.5447379999999996E-3</v>
      </c>
      <c r="AA5404">
        <v>0.99205790000000005</v>
      </c>
      <c r="AB5404">
        <v>26</v>
      </c>
      <c r="AC5404">
        <v>28.746099999999998</v>
      </c>
      <c r="AD5404">
        <v>-1.120611776167</v>
      </c>
      <c r="AE5404">
        <v>0.98816000000000004</v>
      </c>
      <c r="AF5404">
        <v>3.62702289060377</v>
      </c>
      <c r="AG5404">
        <v>-1.120611776167</v>
      </c>
      <c r="AH5404">
        <v>28.4895348443284</v>
      </c>
      <c r="AI5404">
        <v>92.234502724854806</v>
      </c>
      <c r="AJ5404">
        <v>82.744663872849699</v>
      </c>
      <c r="AK5404">
        <v>28.741340634146699</v>
      </c>
      <c r="AL5404">
        <v>79.675739591720301</v>
      </c>
      <c r="AM5404">
        <v>86.816367320494507</v>
      </c>
      <c r="AN5404">
        <v>1.0000000021427</v>
      </c>
    </row>
    <row r="5405" spans="1:40" x14ac:dyDescent="0.25">
      <c r="A5405" t="str">
        <f>"20190303171122695"</f>
        <v>20190303171122695</v>
      </c>
      <c r="B5405" t="str">
        <f>"1551604282686306"</f>
        <v>1551604282686306</v>
      </c>
      <c r="C5405" t="s">
        <v>40</v>
      </c>
      <c r="D5405">
        <v>5.0901969999999999</v>
      </c>
      <c r="E5405">
        <v>0.53707469999999902</v>
      </c>
      <c r="F5405" t="s">
        <v>104</v>
      </c>
      <c r="G5405">
        <v>-242.7432</v>
      </c>
      <c r="H5405" s="1">
        <v>-1.08263E-6</v>
      </c>
      <c r="I5405">
        <v>-63.836269999999899</v>
      </c>
      <c r="J5405">
        <v>-273.25330000000002</v>
      </c>
      <c r="K5405">
        <v>1.1204700000000001</v>
      </c>
      <c r="L5405">
        <v>-64.36551</v>
      </c>
      <c r="M5405">
        <v>0.98706439999999995</v>
      </c>
      <c r="N5405">
        <v>-1.0998310000000001E-2</v>
      </c>
      <c r="O5405">
        <v>0.15994710000000001</v>
      </c>
      <c r="P5405">
        <v>0.98020759999999996</v>
      </c>
      <c r="Q5405">
        <v>0.16852879999999901</v>
      </c>
      <c r="R5405">
        <v>0.10388219999999999</v>
      </c>
      <c r="S5405">
        <v>3.0740050000000001</v>
      </c>
      <c r="T5405">
        <v>-0.112446</v>
      </c>
      <c r="U5405">
        <v>5.5114749999999997E-2</v>
      </c>
      <c r="V5405">
        <v>5.4443030000000003E-2</v>
      </c>
      <c r="W5405">
        <v>0.17928350000000001</v>
      </c>
      <c r="X5405">
        <v>0.98228990000000005</v>
      </c>
      <c r="Y5405">
        <v>0.14206060000000001</v>
      </c>
      <c r="Z5405">
        <v>-7.4411759999999999E-3</v>
      </c>
      <c r="AA5405">
        <v>0.98982999999999999</v>
      </c>
      <c r="AB5405">
        <v>26</v>
      </c>
      <c r="AC5405">
        <v>30.510100000000001</v>
      </c>
      <c r="AD5405">
        <v>-1.1204710826299999</v>
      </c>
      <c r="AE5405">
        <v>0.52924000000000804</v>
      </c>
      <c r="AF5405">
        <v>4.3520035023563697</v>
      </c>
      <c r="AG5405">
        <v>-1.1204710826299999</v>
      </c>
      <c r="AH5405">
        <v>30.161242027645699</v>
      </c>
      <c r="AI5405">
        <v>92.105735836732606</v>
      </c>
      <c r="AJ5405">
        <v>81.789388591022004</v>
      </c>
      <c r="AK5405">
        <v>30.494194702955401</v>
      </c>
      <c r="AL5405">
        <v>79.671971839235994</v>
      </c>
      <c r="AM5405">
        <v>86.8276497453395</v>
      </c>
      <c r="AN5405">
        <v>1.0000000322649201</v>
      </c>
    </row>
    <row r="5406" spans="1:40" x14ac:dyDescent="0.25">
      <c r="A5406" t="str">
        <f>"20190303171122705"</f>
        <v>20190303171122705</v>
      </c>
      <c r="B5406" t="str">
        <f>"1551604282696066"</f>
        <v>1551604282696066</v>
      </c>
      <c r="C5406" t="s">
        <v>40</v>
      </c>
      <c r="D5406">
        <v>5.0267160000000004</v>
      </c>
      <c r="E5406">
        <v>0.53762219999999905</v>
      </c>
      <c r="F5406" t="s">
        <v>104</v>
      </c>
      <c r="G5406">
        <v>-242.7354</v>
      </c>
      <c r="H5406" s="1">
        <v>-1.077168E-6</v>
      </c>
      <c r="I5406">
        <v>-63.828330000000001</v>
      </c>
      <c r="J5406">
        <v>-273.12279999999998</v>
      </c>
      <c r="K5406">
        <v>1.1203160000000001</v>
      </c>
      <c r="L5406">
        <v>-64.344790000000003</v>
      </c>
      <c r="M5406">
        <v>0.98714860000000004</v>
      </c>
      <c r="N5406">
        <v>-1.0939870000000001E-2</v>
      </c>
      <c r="O5406">
        <v>0.15943009999999999</v>
      </c>
      <c r="P5406">
        <v>0.98012829999999995</v>
      </c>
      <c r="Q5406">
        <v>0.1691617</v>
      </c>
      <c r="R5406">
        <v>0.1036001</v>
      </c>
      <c r="S5406">
        <v>3.074249</v>
      </c>
      <c r="T5406">
        <v>-0.11287179999999999</v>
      </c>
      <c r="U5406">
        <v>5.4107669999999997E-2</v>
      </c>
      <c r="V5406">
        <v>5.4258069999999999E-2</v>
      </c>
      <c r="W5406">
        <v>0.1798389</v>
      </c>
      <c r="X5406">
        <v>0.98219860000000003</v>
      </c>
      <c r="Y5406">
        <v>0.14186650000000001</v>
      </c>
      <c r="Z5406">
        <v>-7.4600019999999899E-3</v>
      </c>
      <c r="AA5406">
        <v>0.98985769999999995</v>
      </c>
      <c r="AB5406">
        <v>26</v>
      </c>
      <c r="AC5406">
        <v>30.3873999999999</v>
      </c>
      <c r="AD5406">
        <v>-1.120317077168</v>
      </c>
      <c r="AE5406">
        <v>0.51646000000000203</v>
      </c>
      <c r="AF5406">
        <v>4.3292201533231998</v>
      </c>
      <c r="AG5406">
        <v>-1.120317077168</v>
      </c>
      <c r="AH5406">
        <v>30.040198885654199</v>
      </c>
      <c r="AI5406">
        <v>92.113975433714501</v>
      </c>
      <c r="AJ5406">
        <v>81.799324788930207</v>
      </c>
      <c r="AK5406">
        <v>30.3712167451189</v>
      </c>
      <c r="AL5406">
        <v>79.6396239738378</v>
      </c>
      <c r="AM5406">
        <v>86.838112021360004</v>
      </c>
      <c r="AN5406">
        <v>1.0000000289776401</v>
      </c>
    </row>
    <row r="5407" spans="1:40" x14ac:dyDescent="0.25">
      <c r="A5407" t="str">
        <f>"20190303171122715"</f>
        <v>20190303171122715</v>
      </c>
      <c r="B5407" t="str">
        <f>"1551604282705827"</f>
        <v>1551604282705827</v>
      </c>
      <c r="C5407" t="s">
        <v>40</v>
      </c>
      <c r="D5407">
        <v>4.8957490000000004</v>
      </c>
      <c r="E5407">
        <v>0.53751190000000004</v>
      </c>
      <c r="F5407" t="s">
        <v>104</v>
      </c>
      <c r="G5407">
        <v>-241.96459999999999</v>
      </c>
      <c r="H5407" s="1">
        <v>-7.5249829999999997E-7</v>
      </c>
      <c r="I5407">
        <v>-63.850850000000001</v>
      </c>
      <c r="J5407">
        <v>-273.00209999999998</v>
      </c>
      <c r="K5407">
        <v>1.1201779999999999</v>
      </c>
      <c r="L5407">
        <v>-64.325620000000001</v>
      </c>
      <c r="M5407">
        <v>0.98723050000000001</v>
      </c>
      <c r="N5407">
        <v>-1.088562E-2</v>
      </c>
      <c r="O5407">
        <v>0.15892600000000001</v>
      </c>
      <c r="P5407">
        <v>0.98013910000000004</v>
      </c>
      <c r="Q5407">
        <v>0.16923589999999999</v>
      </c>
      <c r="R5407">
        <v>0.1033768</v>
      </c>
      <c r="S5407">
        <v>3.0747680000000002</v>
      </c>
      <c r="T5407">
        <v>-0.1105555</v>
      </c>
      <c r="U5407">
        <v>4.873657E-2</v>
      </c>
      <c r="V5407">
        <v>5.4036880000000002E-2</v>
      </c>
      <c r="W5407">
        <v>0.17984220000000001</v>
      </c>
      <c r="X5407">
        <v>0.98221020000000003</v>
      </c>
      <c r="Y5407">
        <v>0.143099</v>
      </c>
      <c r="Z5407">
        <v>-7.3072709999999997E-3</v>
      </c>
      <c r="AA5407">
        <v>0.98968140000000004</v>
      </c>
      <c r="AB5407">
        <v>26</v>
      </c>
      <c r="AC5407">
        <v>31.037499999999898</v>
      </c>
      <c r="AD5407">
        <v>-1.1201787524983</v>
      </c>
      <c r="AE5407">
        <v>0.47476999999999903</v>
      </c>
      <c r="AF5407">
        <v>4.45841669557025</v>
      </c>
      <c r="AG5407">
        <v>-1.1201787524983</v>
      </c>
      <c r="AH5407">
        <v>30.678488004606901</v>
      </c>
      <c r="AI5407">
        <v>92.069420366025298</v>
      </c>
      <c r="AJ5407">
        <v>81.731256268082305</v>
      </c>
      <c r="AK5407">
        <v>31.020991378705201</v>
      </c>
      <c r="AL5407">
        <v>79.639431870414299</v>
      </c>
      <c r="AM5407">
        <v>86.851012985009604</v>
      </c>
      <c r="AN5407">
        <v>1.0000000391424999</v>
      </c>
    </row>
    <row r="5408" spans="1:40" x14ac:dyDescent="0.25">
      <c r="A5408" t="str">
        <f>"20190303171122727"</f>
        <v>20190303171122727</v>
      </c>
      <c r="B5408" t="str">
        <f>"1551604282716562"</f>
        <v>1551604282716562</v>
      </c>
      <c r="C5408" t="s">
        <v>40</v>
      </c>
      <c r="D5408">
        <v>5.0831549999999996</v>
      </c>
      <c r="E5408">
        <v>0.53778510000000002</v>
      </c>
      <c r="F5408" t="s">
        <v>104</v>
      </c>
      <c r="G5408">
        <v>-241.34440000000001</v>
      </c>
      <c r="H5408" s="1">
        <v>-4.7911130000000001E-7</v>
      </c>
      <c r="I5408">
        <v>-63.823410000000003</v>
      </c>
      <c r="J5408">
        <v>-272.87650000000002</v>
      </c>
      <c r="K5408">
        <v>1.1200209999999999</v>
      </c>
      <c r="L5408">
        <v>-64.305999999999997</v>
      </c>
      <c r="M5408">
        <v>0.98734429999999995</v>
      </c>
      <c r="N5408">
        <v>-1.0829210000000001E-2</v>
      </c>
      <c r="O5408">
        <v>0.15822149999999999</v>
      </c>
      <c r="P5408">
        <v>0.98014369999999995</v>
      </c>
      <c r="Q5408">
        <v>0.1695767</v>
      </c>
      <c r="R5408">
        <v>0.1027728</v>
      </c>
      <c r="S5408">
        <v>3.0744319999999998</v>
      </c>
      <c r="T5408">
        <v>-0.1087856</v>
      </c>
      <c r="U5408">
        <v>4.8767089999999999E-2</v>
      </c>
      <c r="V5408">
        <v>5.3997759999999999E-2</v>
      </c>
      <c r="W5408">
        <v>0.18010770000000001</v>
      </c>
      <c r="X5408">
        <v>0.98216369999999997</v>
      </c>
      <c r="Y5408">
        <v>0.1423874</v>
      </c>
      <c r="Z5408">
        <v>-7.1474819999999897E-3</v>
      </c>
      <c r="AA5408">
        <v>0.98978520000000003</v>
      </c>
      <c r="AB5408">
        <v>26</v>
      </c>
      <c r="AC5408">
        <v>31.5321</v>
      </c>
      <c r="AD5408">
        <v>-1.1200214791112999</v>
      </c>
      <c r="AE5408">
        <v>0.48259000000000102</v>
      </c>
      <c r="AF5408">
        <v>4.5071528895668198</v>
      </c>
      <c r="AG5408">
        <v>-1.1200214791112999</v>
      </c>
      <c r="AH5408">
        <v>31.171904644228501</v>
      </c>
      <c r="AI5408">
        <v>92.036618720906006</v>
      </c>
      <c r="AJ5408">
        <v>81.772608688006301</v>
      </c>
      <c r="AK5408">
        <v>31.515972370093198</v>
      </c>
      <c r="AL5408">
        <v>79.623967308182301</v>
      </c>
      <c r="AM5408">
        <v>86.853139431253098</v>
      </c>
      <c r="AN5408">
        <v>1.0000000376409901</v>
      </c>
    </row>
    <row r="5409" spans="1:40" x14ac:dyDescent="0.25">
      <c r="A5409" t="str">
        <f>"20190303171122739"</f>
        <v>20190303171122739</v>
      </c>
      <c r="B5409" t="str">
        <f>"1551604282726322"</f>
        <v>1551604282726322</v>
      </c>
      <c r="C5409" t="s">
        <v>40</v>
      </c>
      <c r="D5409">
        <v>4.8542239999999897</v>
      </c>
      <c r="E5409">
        <v>0.53794049999999904</v>
      </c>
      <c r="F5409" t="s">
        <v>104</v>
      </c>
      <c r="G5409">
        <v>-240.6362</v>
      </c>
      <c r="H5409" s="1">
        <v>-1.79493E-7</v>
      </c>
      <c r="I5409">
        <v>-63.83905</v>
      </c>
      <c r="J5409">
        <v>-272.73869999999999</v>
      </c>
      <c r="K5409">
        <v>1.11985</v>
      </c>
      <c r="L5409">
        <v>-64.284580000000005</v>
      </c>
      <c r="M5409">
        <v>0.9874752</v>
      </c>
      <c r="N5409">
        <v>-1.076682E-2</v>
      </c>
      <c r="O5409">
        <v>0.15740670000000001</v>
      </c>
      <c r="P5409">
        <v>0.98014210000000002</v>
      </c>
      <c r="Q5409">
        <v>0.17002030000000001</v>
      </c>
      <c r="R5409">
        <v>0.10205210000000001</v>
      </c>
      <c r="S5409">
        <v>3.0745849999999999</v>
      </c>
      <c r="T5409">
        <v>-0.10681060000000001</v>
      </c>
      <c r="U5409">
        <v>4.4525149999999999E-2</v>
      </c>
      <c r="V5409">
        <v>5.3970499999999998E-2</v>
      </c>
      <c r="W5409">
        <v>0.18046789999999999</v>
      </c>
      <c r="X5409">
        <v>0.9820991</v>
      </c>
      <c r="Y5409">
        <v>0.1429424</v>
      </c>
      <c r="Z5409">
        <v>-6.9993709999999999E-3</v>
      </c>
      <c r="AA5409">
        <v>0.98970630000000004</v>
      </c>
      <c r="AB5409">
        <v>26</v>
      </c>
      <c r="AC5409">
        <v>32.1024999999999</v>
      </c>
      <c r="AD5409">
        <v>-1.119850179493</v>
      </c>
      <c r="AE5409">
        <v>0.44553000000000498</v>
      </c>
      <c r="AF5409">
        <v>4.6078599667700404</v>
      </c>
      <c r="AG5409">
        <v>-1.119850179493</v>
      </c>
      <c r="AH5409">
        <v>31.733784373940299</v>
      </c>
      <c r="AI5409">
        <v>92.000108129097399</v>
      </c>
      <c r="AJ5409">
        <v>81.738187481972901</v>
      </c>
      <c r="AK5409">
        <v>32.086126419211297</v>
      </c>
      <c r="AL5409">
        <v>79.602985795273199</v>
      </c>
      <c r="AM5409">
        <v>86.854518415680104</v>
      </c>
      <c r="AN5409">
        <v>1.0000000600107299</v>
      </c>
    </row>
    <row r="5410" spans="1:40" x14ac:dyDescent="0.25">
      <c r="A5410" t="str">
        <f>"20190303171122749"</f>
        <v>20190303171122749</v>
      </c>
      <c r="B5410" t="str">
        <f>"1551604282736082"</f>
        <v>1551604282736082</v>
      </c>
      <c r="C5410" t="s">
        <v>40</v>
      </c>
      <c r="D5410">
        <v>5.027774</v>
      </c>
      <c r="E5410">
        <v>0.53801290000000002</v>
      </c>
      <c r="F5410" t="s">
        <v>106</v>
      </c>
      <c r="G5410">
        <v>-239.46979999999999</v>
      </c>
      <c r="H5410" s="1">
        <v>-3.7106140000000001E-6</v>
      </c>
      <c r="I5410">
        <v>-63.844650000000001</v>
      </c>
      <c r="J5410">
        <v>-272.60550000000001</v>
      </c>
      <c r="K5410">
        <v>1.119678</v>
      </c>
      <c r="L5410">
        <v>-64.264189999999999</v>
      </c>
      <c r="M5410">
        <v>0.98762499999999998</v>
      </c>
      <c r="N5410">
        <v>-1.070519E-2</v>
      </c>
      <c r="O5410">
        <v>0.15646860000000001</v>
      </c>
      <c r="P5410">
        <v>0.98015399999999997</v>
      </c>
      <c r="Q5410">
        <v>0.1703442</v>
      </c>
      <c r="R5410">
        <v>0.10139620000000001</v>
      </c>
      <c r="S5410">
        <v>3.0744929999999999</v>
      </c>
      <c r="T5410">
        <v>-0.1034895</v>
      </c>
      <c r="U5410">
        <v>4.0649409999999997E-2</v>
      </c>
      <c r="V5410">
        <v>5.3757350000000002E-2</v>
      </c>
      <c r="W5410">
        <v>0.18071029999999999</v>
      </c>
      <c r="X5410">
        <v>0.9820662</v>
      </c>
      <c r="Y5410">
        <v>0.143259</v>
      </c>
      <c r="Z5410">
        <v>-6.7445969999999997E-3</v>
      </c>
      <c r="AA5410">
        <v>0.98966220000000005</v>
      </c>
      <c r="AB5410">
        <v>26</v>
      </c>
      <c r="AC5410">
        <v>33.1357</v>
      </c>
      <c r="AD5410">
        <v>-1.119681710614</v>
      </c>
      <c r="AE5410">
        <v>0.41953999999999703</v>
      </c>
      <c r="AF5410">
        <v>4.7651812736830701</v>
      </c>
      <c r="AG5410">
        <v>-1.119681710614</v>
      </c>
      <c r="AH5410">
        <v>32.755771837905698</v>
      </c>
      <c r="AI5410">
        <v>91.937386273458998</v>
      </c>
      <c r="AJ5410">
        <v>81.722898919845093</v>
      </c>
      <c r="AK5410">
        <v>33.119499217244801</v>
      </c>
      <c r="AL5410">
        <v>79.5888649591122</v>
      </c>
      <c r="AM5410">
        <v>86.866811567028293</v>
      </c>
      <c r="AN5410">
        <v>1.0000000431937699</v>
      </c>
    </row>
    <row r="5411" spans="1:40" x14ac:dyDescent="0.25">
      <c r="A5411" t="str">
        <f>"20190303171122762"</f>
        <v>20190303171122762</v>
      </c>
      <c r="B5411" t="str">
        <f>"1551604282755602"</f>
        <v>1551604282755602</v>
      </c>
      <c r="C5411" t="s">
        <v>40</v>
      </c>
      <c r="D5411">
        <v>5.0289419999999998</v>
      </c>
      <c r="E5411">
        <v>0.53782319999999995</v>
      </c>
      <c r="F5411" t="s">
        <v>106</v>
      </c>
      <c r="G5411">
        <v>-238.977</v>
      </c>
      <c r="H5411" s="1">
        <v>-3.5446540000000001E-6</v>
      </c>
      <c r="I5411">
        <v>-63.854579999999999</v>
      </c>
      <c r="J5411">
        <v>-272.47750000000002</v>
      </c>
      <c r="K5411">
        <v>1.1195200000000001</v>
      </c>
      <c r="L5411">
        <v>-64.244780000000006</v>
      </c>
      <c r="M5411">
        <v>0.98777899999999996</v>
      </c>
      <c r="N5411">
        <v>-1.0646060000000001E-2</v>
      </c>
      <c r="O5411">
        <v>0.15549689999999999</v>
      </c>
      <c r="P5411">
        <v>0.98020149999999995</v>
      </c>
      <c r="Q5411">
        <v>0.1704562</v>
      </c>
      <c r="R5411">
        <v>0.100746</v>
      </c>
      <c r="S5411">
        <v>3.0746769999999999</v>
      </c>
      <c r="T5411">
        <v>-0.10237300000000001</v>
      </c>
      <c r="U5411">
        <v>3.7445069999999997E-2</v>
      </c>
      <c r="V5411">
        <v>5.3505860000000002E-2</v>
      </c>
      <c r="W5411">
        <v>0.1807455</v>
      </c>
      <c r="X5411">
        <v>0.98207339999999999</v>
      </c>
      <c r="Y5411">
        <v>0.1433207</v>
      </c>
      <c r="Z5411">
        <v>-6.6465519999999896E-3</v>
      </c>
      <c r="AA5411">
        <v>0.98965400000000003</v>
      </c>
      <c r="AB5411">
        <v>26</v>
      </c>
      <c r="AC5411">
        <v>33.500500000000002</v>
      </c>
      <c r="AD5411">
        <v>-1.1195235446539999</v>
      </c>
      <c r="AE5411">
        <v>0.39019999999999999</v>
      </c>
      <c r="AF5411">
        <v>4.8186853364061601</v>
      </c>
      <c r="AG5411">
        <v>-1.1195235446539999</v>
      </c>
      <c r="AH5411">
        <v>33.116665807842601</v>
      </c>
      <c r="AI5411">
        <v>91.916010384404203</v>
      </c>
      <c r="AJ5411">
        <v>81.721200220436103</v>
      </c>
      <c r="AK5411">
        <v>33.484124829038898</v>
      </c>
      <c r="AL5411">
        <v>79.5868137990268</v>
      </c>
      <c r="AM5411">
        <v>86.881463205251904</v>
      </c>
      <c r="AN5411">
        <v>0.99999998790607403</v>
      </c>
    </row>
    <row r="5412" spans="1:40" x14ac:dyDescent="0.25">
      <c r="A5412" t="str">
        <f>"20190303171122773"</f>
        <v>20190303171122773</v>
      </c>
      <c r="B5412" t="str">
        <f>"1551604282766337"</f>
        <v>1551604282766337</v>
      </c>
      <c r="C5412" t="s">
        <v>40</v>
      </c>
      <c r="D5412">
        <v>4.8780760000000001</v>
      </c>
      <c r="E5412">
        <v>0.53769239999999996</v>
      </c>
      <c r="F5412" t="s">
        <v>106</v>
      </c>
      <c r="G5412">
        <v>-238.37430000000001</v>
      </c>
      <c r="H5412" s="1">
        <v>-3.336885E-6</v>
      </c>
      <c r="I5412">
        <v>-63.839509999999997</v>
      </c>
      <c r="J5412">
        <v>-272.33850000000001</v>
      </c>
      <c r="K5412">
        <v>1.1193550000000001</v>
      </c>
      <c r="L5412">
        <v>-64.223969999999994</v>
      </c>
      <c r="M5412">
        <v>0.98796050000000002</v>
      </c>
      <c r="N5412">
        <v>-1.058218E-2</v>
      </c>
      <c r="O5412">
        <v>0.15434400000000001</v>
      </c>
      <c r="P5412">
        <v>0.98020620000000003</v>
      </c>
      <c r="Q5412">
        <v>0.170992899999999</v>
      </c>
      <c r="R5412">
        <v>9.9786310000000003E-2</v>
      </c>
      <c r="S5412">
        <v>3.0744020000000001</v>
      </c>
      <c r="T5412">
        <v>-0.100925</v>
      </c>
      <c r="U5412">
        <v>3.6529539999999999E-2</v>
      </c>
      <c r="V5412">
        <v>5.3377420000000002E-2</v>
      </c>
      <c r="W5412">
        <v>0.18119850000000001</v>
      </c>
      <c r="X5412">
        <v>0.98199689999999995</v>
      </c>
      <c r="Y5412">
        <v>0.14246420000000001</v>
      </c>
      <c r="Z5412">
        <v>-6.5022409999999998E-3</v>
      </c>
      <c r="AA5412">
        <v>0.98977859999999995</v>
      </c>
      <c r="AB5412">
        <v>26</v>
      </c>
      <c r="AC5412">
        <v>33.964199999999998</v>
      </c>
      <c r="AD5412">
        <v>-1.119358336885</v>
      </c>
      <c r="AE5412">
        <v>0.38445999999999703</v>
      </c>
      <c r="AF5412">
        <v>4.8573362674657599</v>
      </c>
      <c r="AG5412">
        <v>-1.119358336885</v>
      </c>
      <c r="AH5412">
        <v>33.580040584972998</v>
      </c>
      <c r="AI5412">
        <v>91.889541663295802</v>
      </c>
      <c r="AJ5412">
        <v>81.769282074698395</v>
      </c>
      <c r="AK5412">
        <v>33.947986750174501</v>
      </c>
      <c r="AL5412">
        <v>79.560422953477399</v>
      </c>
      <c r="AM5412">
        <v>86.888692598625397</v>
      </c>
      <c r="AN5412">
        <v>0.99999997848885702</v>
      </c>
    </row>
    <row r="5413" spans="1:40" x14ac:dyDescent="0.25">
      <c r="A5413" t="str">
        <f>"20190303171122783"</f>
        <v>20190303171122783</v>
      </c>
      <c r="B5413" t="str">
        <f>"1551604282776098"</f>
        <v>1551604282776098</v>
      </c>
      <c r="C5413" t="s">
        <v>40</v>
      </c>
      <c r="D5413">
        <v>4.9687679999999999</v>
      </c>
      <c r="E5413">
        <v>0.53781330000000005</v>
      </c>
      <c r="F5413" t="s">
        <v>106</v>
      </c>
      <c r="G5413">
        <v>-237.41489999999999</v>
      </c>
      <c r="H5413" s="1">
        <v>-3.0095289999999999E-6</v>
      </c>
      <c r="I5413">
        <v>-63.834589999999999</v>
      </c>
      <c r="J5413">
        <v>-272.20699999999999</v>
      </c>
      <c r="K5413">
        <v>1.119211</v>
      </c>
      <c r="L5413">
        <v>-64.204589999999996</v>
      </c>
      <c r="M5413">
        <v>0.98814800000000003</v>
      </c>
      <c r="N5413">
        <v>-1.0520760000000001E-2</v>
      </c>
      <c r="O5413">
        <v>0.153143899999999</v>
      </c>
      <c r="P5413">
        <v>0.98022560000000003</v>
      </c>
      <c r="Q5413">
        <v>0.1713721</v>
      </c>
      <c r="R5413">
        <v>9.8942740000000001E-2</v>
      </c>
      <c r="S5413">
        <v>3.0743100000000001</v>
      </c>
      <c r="T5413">
        <v>-9.8536490000000004E-2</v>
      </c>
      <c r="U5413">
        <v>3.4271240000000001E-2</v>
      </c>
      <c r="V5413">
        <v>5.3080919999999997E-2</v>
      </c>
      <c r="W5413">
        <v>0.18150050000000001</v>
      </c>
      <c r="X5413">
        <v>0.98195719999999997</v>
      </c>
      <c r="Y5413">
        <v>0.14199579999999901</v>
      </c>
      <c r="Z5413">
        <v>-6.2976409999999997E-3</v>
      </c>
      <c r="AA5413">
        <v>0.98984720000000004</v>
      </c>
      <c r="AB5413">
        <v>26</v>
      </c>
      <c r="AC5413">
        <v>34.792099999999998</v>
      </c>
      <c r="AD5413">
        <v>-1.119214009529</v>
      </c>
      <c r="AE5413">
        <v>0.36999999999999</v>
      </c>
      <c r="AF5413">
        <v>4.9577274915543796</v>
      </c>
      <c r="AG5413">
        <v>-1.119214009529</v>
      </c>
      <c r="AH5413">
        <v>34.4027130253763</v>
      </c>
      <c r="AI5413">
        <v>91.844291958545</v>
      </c>
      <c r="AJ5413">
        <v>81.799639730533002</v>
      </c>
      <c r="AK5413">
        <v>34.776117744596498</v>
      </c>
      <c r="AL5413">
        <v>79.542827885025403</v>
      </c>
      <c r="AM5413">
        <v>86.905816715673396</v>
      </c>
      <c r="AN5413">
        <v>0.99999997910006799</v>
      </c>
    </row>
    <row r="5414" spans="1:40" x14ac:dyDescent="0.25">
      <c r="A5414" t="str">
        <f>"20190303171122793"</f>
        <v>20190303171122793</v>
      </c>
      <c r="B5414" t="str">
        <f>"1551604282785857"</f>
        <v>1551604282785857</v>
      </c>
      <c r="C5414" t="s">
        <v>40</v>
      </c>
      <c r="D5414">
        <v>4.9690589999999997</v>
      </c>
      <c r="E5414">
        <v>0.53788139999999995</v>
      </c>
      <c r="F5414" t="s">
        <v>106</v>
      </c>
      <c r="G5414">
        <v>-236.83850000000001</v>
      </c>
      <c r="H5414" s="1">
        <v>-2.816914E-6</v>
      </c>
      <c r="I5414">
        <v>-63.854520000000001</v>
      </c>
      <c r="J5414">
        <v>-272.08330000000001</v>
      </c>
      <c r="K5414">
        <v>1.1190789999999999</v>
      </c>
      <c r="L5414">
        <v>-64.186490000000006</v>
      </c>
      <c r="M5414">
        <v>0.98832989999999998</v>
      </c>
      <c r="N5414">
        <v>-1.046235E-2</v>
      </c>
      <c r="O5414">
        <v>0.15196879999999999</v>
      </c>
      <c r="P5414">
        <v>0.98026880000000005</v>
      </c>
      <c r="Q5414">
        <v>0.17162289999999999</v>
      </c>
      <c r="R5414">
        <v>9.8075369999999995E-2</v>
      </c>
      <c r="S5414">
        <v>3.0744929999999999</v>
      </c>
      <c r="T5414">
        <v>-9.7290280000000007E-2</v>
      </c>
      <c r="U5414">
        <v>3.042603E-2</v>
      </c>
      <c r="V5414">
        <v>5.2831019999999999E-2</v>
      </c>
      <c r="W5414">
        <v>0.1816787</v>
      </c>
      <c r="X5414">
        <v>0.98193779999999997</v>
      </c>
      <c r="Y5414">
        <v>0.14206079999999999</v>
      </c>
      <c r="Z5414">
        <v>-6.1885719999999998E-3</v>
      </c>
      <c r="AA5414">
        <v>0.98983860000000001</v>
      </c>
      <c r="AB5414">
        <v>26</v>
      </c>
      <c r="AC5414">
        <v>35.244799999999998</v>
      </c>
      <c r="AD5414">
        <v>-1.119081816914</v>
      </c>
      <c r="AE5414">
        <v>0.33197000000001198</v>
      </c>
      <c r="AF5414">
        <v>5.0232255592710704</v>
      </c>
      <c r="AG5414">
        <v>-1.119081816914</v>
      </c>
      <c r="AH5414">
        <v>34.850716351045698</v>
      </c>
      <c r="AI5414">
        <v>91.820377988746102</v>
      </c>
      <c r="AJ5414">
        <v>81.798130734201905</v>
      </c>
      <c r="AK5414">
        <v>35.228646998051303</v>
      </c>
      <c r="AL5414">
        <v>79.532445960109897</v>
      </c>
      <c r="AM5414">
        <v>86.920295007107896</v>
      </c>
      <c r="AN5414">
        <v>1.0000000548883801</v>
      </c>
    </row>
    <row r="5415" spans="1:40" x14ac:dyDescent="0.25">
      <c r="A5415" t="str">
        <f>"20190303171122805"</f>
        <v>20190303171122805</v>
      </c>
      <c r="B5415" t="str">
        <f>"1551604282795618"</f>
        <v>1551604282795618</v>
      </c>
      <c r="C5415" t="s">
        <v>40</v>
      </c>
      <c r="D5415">
        <v>4.8630599999999999</v>
      </c>
      <c r="E5415">
        <v>0.53793369999999996</v>
      </c>
      <c r="F5415" t="s">
        <v>106</v>
      </c>
      <c r="G5415">
        <v>-236.7713</v>
      </c>
      <c r="H5415" s="1">
        <v>-2.7971400000000001E-6</v>
      </c>
      <c r="I5415">
        <v>-63.872039999999998</v>
      </c>
      <c r="J5415">
        <v>-271.9599</v>
      </c>
      <c r="K5415">
        <v>1.1189610000000001</v>
      </c>
      <c r="L5415">
        <v>-64.168790000000001</v>
      </c>
      <c r="M5415">
        <v>0.98852739999999995</v>
      </c>
      <c r="N5415">
        <v>-1.0401860000000001E-2</v>
      </c>
      <c r="O5415">
        <v>0.1506834</v>
      </c>
      <c r="P5415">
        <v>0.98035729999999999</v>
      </c>
      <c r="Q5415">
        <v>0.1716956</v>
      </c>
      <c r="R5415">
        <v>9.7058679999999994E-2</v>
      </c>
      <c r="S5415">
        <v>3.0747070000000001</v>
      </c>
      <c r="T5415">
        <v>-9.7441079999999999E-2</v>
      </c>
      <c r="U5415">
        <v>2.7374269999999999E-2</v>
      </c>
      <c r="V5415">
        <v>5.2618860000000003E-2</v>
      </c>
      <c r="W5415">
        <v>0.1816787</v>
      </c>
      <c r="X5415">
        <v>0.98194919999999997</v>
      </c>
      <c r="Y5415">
        <v>0.14175660000000001</v>
      </c>
      <c r="Z5415">
        <v>-6.1707899999999998E-3</v>
      </c>
      <c r="AA5415">
        <v>0.98988229999999999</v>
      </c>
      <c r="AB5415">
        <v>26</v>
      </c>
      <c r="AC5415">
        <v>35.188600000000001</v>
      </c>
      <c r="AD5415">
        <v>-1.1189637971399999</v>
      </c>
      <c r="AE5415">
        <v>0.29674999999999502</v>
      </c>
      <c r="AF5415">
        <v>5.0042033361796197</v>
      </c>
      <c r="AG5415">
        <v>-1.1189637971399999</v>
      </c>
      <c r="AH5415">
        <v>34.796310327125397</v>
      </c>
      <c r="AI5415">
        <v>91.823112752624596</v>
      </c>
      <c r="AJ5415">
        <v>81.816166549573595</v>
      </c>
      <c r="AK5415">
        <v>35.172110306189403</v>
      </c>
      <c r="AL5415">
        <v>79.532446045140006</v>
      </c>
      <c r="AM5415">
        <v>86.932674433855397</v>
      </c>
      <c r="AN5415">
        <v>1.00000006292101</v>
      </c>
    </row>
    <row r="5416" spans="1:40" x14ac:dyDescent="0.25">
      <c r="A5416" t="str">
        <f>"20190303171122818"</f>
        <v>20190303171122818</v>
      </c>
      <c r="B5416" t="str">
        <f>"1551604282806353"</f>
        <v>1551604282806353</v>
      </c>
      <c r="C5416" t="s">
        <v>40</v>
      </c>
      <c r="D5416">
        <v>5.0293159999999997</v>
      </c>
      <c r="E5416">
        <v>0.5380239</v>
      </c>
      <c r="F5416" t="s">
        <v>106</v>
      </c>
      <c r="G5416">
        <v>-237.2011</v>
      </c>
      <c r="H5416" s="1">
        <v>-2.9476599999999902E-6</v>
      </c>
      <c r="I5416">
        <v>-63.895890000000001</v>
      </c>
      <c r="J5416">
        <v>-271.8075</v>
      </c>
      <c r="K5416">
        <v>1.118822</v>
      </c>
      <c r="L5416">
        <v>-64.147090000000006</v>
      </c>
      <c r="M5416">
        <v>0.98877610000000005</v>
      </c>
      <c r="N5416">
        <v>-1.032551E-2</v>
      </c>
      <c r="O5416">
        <v>0.1490486</v>
      </c>
      <c r="P5416">
        <v>0.98048959999999996</v>
      </c>
      <c r="Q5416">
        <v>0.1717291</v>
      </c>
      <c r="R5416">
        <v>9.5654370000000002E-2</v>
      </c>
      <c r="S5416">
        <v>3.0751040000000001</v>
      </c>
      <c r="T5416">
        <v>-9.8994490000000004E-2</v>
      </c>
      <c r="U5416">
        <v>2.4139399999999998E-2</v>
      </c>
      <c r="V5416">
        <v>5.2457589999999998E-2</v>
      </c>
      <c r="W5416">
        <v>0.18162249999999999</v>
      </c>
      <c r="X5416">
        <v>0.98196819999999896</v>
      </c>
      <c r="Y5416">
        <v>0.14115829999999999</v>
      </c>
      <c r="Z5416">
        <v>-6.2399439999999999E-3</v>
      </c>
      <c r="AA5416">
        <v>0.98996729999999999</v>
      </c>
      <c r="AB5416">
        <v>27</v>
      </c>
      <c r="AC5416">
        <v>34.606400000000001</v>
      </c>
      <c r="AD5416">
        <v>-1.1188249476600001</v>
      </c>
      <c r="AE5416">
        <v>0.25120000000000398</v>
      </c>
      <c r="AF5416">
        <v>4.9047896211289101</v>
      </c>
      <c r="AG5416">
        <v>-1.1188249476600001</v>
      </c>
      <c r="AH5416">
        <v>34.221476328945698</v>
      </c>
      <c r="AI5416">
        <v>91.853612860000993</v>
      </c>
      <c r="AJ5416">
        <v>81.843634952210493</v>
      </c>
      <c r="AK5416">
        <v>34.589278290008203</v>
      </c>
      <c r="AL5416">
        <v>79.535720287068699</v>
      </c>
      <c r="AM5416">
        <v>86.942116576022201</v>
      </c>
      <c r="AN5416">
        <v>1.0000000385330401</v>
      </c>
    </row>
    <row r="5417" spans="1:40" x14ac:dyDescent="0.25">
      <c r="A5417" t="str">
        <f>"20190303171122827"</f>
        <v>20190303171122827</v>
      </c>
      <c r="B5417" t="str">
        <f>"1551604282816113"</f>
        <v>1551604282816113</v>
      </c>
      <c r="C5417" t="s">
        <v>40</v>
      </c>
      <c r="D5417">
        <v>4.8619779999999997</v>
      </c>
      <c r="E5417">
        <v>0.53811609999999999</v>
      </c>
      <c r="F5417" t="s">
        <v>106</v>
      </c>
      <c r="G5417">
        <v>-236.99340000000001</v>
      </c>
      <c r="H5417" s="1">
        <v>-2.8826480000000002E-6</v>
      </c>
      <c r="I5417">
        <v>-63.927990000000001</v>
      </c>
      <c r="J5417">
        <v>-271.6884</v>
      </c>
      <c r="K5417">
        <v>1.1187229999999999</v>
      </c>
      <c r="L5417">
        <v>-64.130519999999905</v>
      </c>
      <c r="M5417">
        <v>0.98898269999999999</v>
      </c>
      <c r="N5417">
        <v>-1.026172E-2</v>
      </c>
      <c r="O5417">
        <v>0.14767469999999999</v>
      </c>
      <c r="P5417">
        <v>0.98059850000000004</v>
      </c>
      <c r="Q5417">
        <v>0.1715892</v>
      </c>
      <c r="R5417">
        <v>9.4782190000000002E-2</v>
      </c>
      <c r="S5417">
        <v>3.0751650000000001</v>
      </c>
      <c r="T5417">
        <v>-9.8826890000000001E-2</v>
      </c>
      <c r="U5417">
        <v>1.934814E-2</v>
      </c>
      <c r="V5417">
        <v>5.2006980000000001E-2</v>
      </c>
      <c r="W5417">
        <v>0.18141099999999999</v>
      </c>
      <c r="X5417">
        <v>0.98203119999999999</v>
      </c>
      <c r="Y5417">
        <v>0.1413259</v>
      </c>
      <c r="Z5417">
        <v>-6.2071180000000002E-3</v>
      </c>
      <c r="AA5417">
        <v>0.98994369999999998</v>
      </c>
      <c r="AB5417">
        <v>27</v>
      </c>
      <c r="AC5417">
        <v>34.694999999999901</v>
      </c>
      <c r="AD5417">
        <v>-1.118725882648</v>
      </c>
      <c r="AE5417">
        <v>0.202529999999988</v>
      </c>
      <c r="AF5417">
        <v>4.9184209591931802</v>
      </c>
      <c r="AG5417">
        <v>-1.118725882648</v>
      </c>
      <c r="AH5417">
        <v>34.308803268005001</v>
      </c>
      <c r="AI5417">
        <v>91.848726068471393</v>
      </c>
      <c r="AJ5417">
        <v>81.841810039229003</v>
      </c>
      <c r="AK5417">
        <v>34.677606520851597</v>
      </c>
      <c r="AL5417">
        <v>79.548042404686996</v>
      </c>
      <c r="AM5417">
        <v>86.9685286691752</v>
      </c>
      <c r="AN5417">
        <v>0.99999997733157897</v>
      </c>
    </row>
    <row r="5418" spans="1:40" x14ac:dyDescent="0.25">
      <c r="A5418" t="str">
        <f>"20190303171122838"</f>
        <v>20190303171122838</v>
      </c>
      <c r="B5418" t="str">
        <f>"1551604282825874"</f>
        <v>1551604282825874</v>
      </c>
      <c r="C5418" t="s">
        <v>40</v>
      </c>
      <c r="D5418">
        <v>4.8790839999999998</v>
      </c>
      <c r="E5418">
        <v>0.53826049999999903</v>
      </c>
      <c r="F5418" t="s">
        <v>106</v>
      </c>
      <c r="G5418">
        <v>-237.1097</v>
      </c>
      <c r="H5418" s="1">
        <v>-2.9266079999999999E-6</v>
      </c>
      <c r="I5418">
        <v>-63.952710000000003</v>
      </c>
      <c r="J5418">
        <v>-271.56299999999999</v>
      </c>
      <c r="K5418">
        <v>1.118625</v>
      </c>
      <c r="L5418">
        <v>-64.113159999999993</v>
      </c>
      <c r="M5418">
        <v>0.98920110000000006</v>
      </c>
      <c r="N5418">
        <v>-1.0194180000000001E-2</v>
      </c>
      <c r="O5418">
        <v>0.1462097</v>
      </c>
      <c r="P5418">
        <v>0.98075259999999997</v>
      </c>
      <c r="Q5418">
        <v>0.17117460000000001</v>
      </c>
      <c r="R5418">
        <v>9.393609E-2</v>
      </c>
      <c r="S5418">
        <v>3.0751949999999999</v>
      </c>
      <c r="T5418">
        <v>-9.9491720000000006E-2</v>
      </c>
      <c r="U5418">
        <v>1.580811E-2</v>
      </c>
      <c r="V5418">
        <v>5.1444910000000003E-2</v>
      </c>
      <c r="W5418">
        <v>0.18092369999999999</v>
      </c>
      <c r="X5418">
        <v>0.98215070000000004</v>
      </c>
      <c r="Y5418">
        <v>0.14099779999999901</v>
      </c>
      <c r="Z5418">
        <v>-6.2205969999999996E-3</v>
      </c>
      <c r="AA5418">
        <v>0.98999040000000005</v>
      </c>
      <c r="AB5418">
        <v>27</v>
      </c>
      <c r="AC5418">
        <v>34.453299999999899</v>
      </c>
      <c r="AD5418">
        <v>-1.1186279266079999</v>
      </c>
      <c r="AE5418">
        <v>0.16044999999999701</v>
      </c>
      <c r="AF5418">
        <v>4.8738051301736602</v>
      </c>
      <c r="AG5418">
        <v>-1.1186279266079999</v>
      </c>
      <c r="AH5418">
        <v>34.070558308580502</v>
      </c>
      <c r="AI5418">
        <v>91.861561839284207</v>
      </c>
      <c r="AJ5418">
        <v>81.859049649230798</v>
      </c>
      <c r="AK5418">
        <v>34.4355666185918</v>
      </c>
      <c r="AL5418">
        <v>79.576432465141707</v>
      </c>
      <c r="AM5418">
        <v>87.001595636526403</v>
      </c>
      <c r="AN5418">
        <v>0.99999998074854302</v>
      </c>
    </row>
    <row r="5419" spans="1:40" x14ac:dyDescent="0.25">
      <c r="A5419" t="str">
        <f>"20190303171122850"</f>
        <v>20190303171122850</v>
      </c>
      <c r="B5419" t="str">
        <f>"1551604282836439"</f>
        <v>1551604282836439</v>
      </c>
      <c r="C5419" t="s">
        <v>40</v>
      </c>
      <c r="D5419">
        <v>4.8478159999999999</v>
      </c>
      <c r="E5419">
        <v>0.53835599999999995</v>
      </c>
      <c r="F5419" t="s">
        <v>106</v>
      </c>
      <c r="G5419">
        <v>-237.3049</v>
      </c>
      <c r="H5419" s="1">
        <v>-2.9983289999999999E-6</v>
      </c>
      <c r="I5419">
        <v>-63.982559999999999</v>
      </c>
      <c r="J5419">
        <v>-271.42860000000002</v>
      </c>
      <c r="K5419">
        <v>1.118533</v>
      </c>
      <c r="L5419">
        <v>-64.094969999999904</v>
      </c>
      <c r="M5419">
        <v>0.98944290000000001</v>
      </c>
      <c r="N5419">
        <v>-1.012127E-2</v>
      </c>
      <c r="O5419">
        <v>0.14456959999999999</v>
      </c>
      <c r="P5419">
        <v>0.98092440000000003</v>
      </c>
      <c r="Q5419">
        <v>0.1706973</v>
      </c>
      <c r="R5419">
        <v>9.3005690000000002E-2</v>
      </c>
      <c r="S5419">
        <v>3.0753170000000001</v>
      </c>
      <c r="T5419">
        <v>-0.1004181</v>
      </c>
      <c r="U5419">
        <v>1.171875E-2</v>
      </c>
      <c r="V5419">
        <v>5.0790259999999997E-2</v>
      </c>
      <c r="W5419">
        <v>0.18037030000000001</v>
      </c>
      <c r="X5419">
        <v>0.98228660000000001</v>
      </c>
      <c r="Y5419">
        <v>0.14067109999999999</v>
      </c>
      <c r="Z5419">
        <v>-6.2477959999999999E-3</v>
      </c>
      <c r="AA5419">
        <v>0.99003669999999999</v>
      </c>
      <c r="AB5419">
        <v>27</v>
      </c>
      <c r="AC5419">
        <v>34.123699999999999</v>
      </c>
      <c r="AD5419">
        <v>-1.118535998329</v>
      </c>
      <c r="AE5419">
        <v>0.112409999999989</v>
      </c>
      <c r="AF5419">
        <v>4.8170975456865301</v>
      </c>
      <c r="AG5419">
        <v>-1.118535998329</v>
      </c>
      <c r="AH5419">
        <v>33.7451758090168</v>
      </c>
      <c r="AI5419">
        <v>91.8794236915395</v>
      </c>
      <c r="AJ5419">
        <v>81.875957557534903</v>
      </c>
      <c r="AK5419">
        <v>34.1056071918632</v>
      </c>
      <c r="AL5419">
        <v>79.6086708464303</v>
      </c>
      <c r="AM5419">
        <v>87.040091649429598</v>
      </c>
      <c r="AN5419">
        <v>1.0000000300862499</v>
      </c>
    </row>
    <row r="5420" spans="1:40" x14ac:dyDescent="0.25">
      <c r="A5420" t="str">
        <f>"20190303171122861"</f>
        <v>20190303171122861</v>
      </c>
      <c r="B5420" t="str">
        <f>"1551604282855943"</f>
        <v>1551604282855943</v>
      </c>
      <c r="C5420" t="s">
        <v>40</v>
      </c>
      <c r="D5420">
        <v>4.7725780000000002</v>
      </c>
      <c r="E5420">
        <v>0.53834819999999906</v>
      </c>
      <c r="F5420" t="s">
        <v>106</v>
      </c>
      <c r="G5420">
        <v>-238.27500000000001</v>
      </c>
      <c r="H5420" s="1">
        <v>-3.3338580000000001E-6</v>
      </c>
      <c r="I5420">
        <v>-64.013009999999994</v>
      </c>
      <c r="J5420">
        <v>-271.28579999999999</v>
      </c>
      <c r="K5420">
        <v>1.1184480000000001</v>
      </c>
      <c r="L5420">
        <v>-64.075810000000004</v>
      </c>
      <c r="M5420">
        <v>0.9897011</v>
      </c>
      <c r="N5420">
        <v>-1.004327E-2</v>
      </c>
      <c r="O5420">
        <v>0.1427969</v>
      </c>
      <c r="P5420">
        <v>0.98114599999999996</v>
      </c>
      <c r="Q5420">
        <v>0.1700344</v>
      </c>
      <c r="R5420">
        <v>9.1875490000000004E-2</v>
      </c>
      <c r="S5420">
        <v>3.0757140000000001</v>
      </c>
      <c r="T5420">
        <v>-0.1037681</v>
      </c>
      <c r="U5420">
        <v>7.59887699999999E-3</v>
      </c>
      <c r="V5420">
        <v>5.0204520000000002E-2</v>
      </c>
      <c r="W5420">
        <v>0.17962690000000001</v>
      </c>
      <c r="X5420">
        <v>0.98245289999999996</v>
      </c>
      <c r="Y5420">
        <v>0.14021529999999999</v>
      </c>
      <c r="Z5420">
        <v>-6.4350120000000004E-3</v>
      </c>
      <c r="AA5420">
        <v>0.99010010000000004</v>
      </c>
      <c r="AB5420">
        <v>27</v>
      </c>
      <c r="AC5420">
        <v>33.010799999999897</v>
      </c>
      <c r="AD5420">
        <v>-1.118451333858</v>
      </c>
      <c r="AE5420">
        <v>6.2800000000009903E-2</v>
      </c>
      <c r="AF5420">
        <v>4.6465870695980396</v>
      </c>
      <c r="AG5420">
        <v>-1.118451333858</v>
      </c>
      <c r="AH5420">
        <v>32.6439661152016</v>
      </c>
      <c r="AI5420">
        <v>91.942739936333297</v>
      </c>
      <c r="AJ5420">
        <v>81.898859948290294</v>
      </c>
      <c r="AK5420">
        <v>32.991972182820398</v>
      </c>
      <c r="AL5420">
        <v>79.651971546546605</v>
      </c>
      <c r="AM5420">
        <v>87.074661609289294</v>
      </c>
      <c r="AN5420">
        <v>1.0000000088752199</v>
      </c>
    </row>
    <row r="5421" spans="1:40" x14ac:dyDescent="0.25">
      <c r="A5421" t="str">
        <f>"20190303171122872"</f>
        <v>20190303171122872</v>
      </c>
      <c r="B5421" t="str">
        <f>"1551604282865703"</f>
        <v>1551604282865703</v>
      </c>
      <c r="C5421" t="s">
        <v>40</v>
      </c>
      <c r="D5421">
        <v>4.8201109999999998</v>
      </c>
      <c r="E5421">
        <v>0.53847599999999995</v>
      </c>
      <c r="F5421" t="s">
        <v>106</v>
      </c>
      <c r="G5421">
        <v>-239.4555</v>
      </c>
      <c r="H5421" s="1">
        <v>-3.739334E-6</v>
      </c>
      <c r="I5421">
        <v>-64.034059999999997</v>
      </c>
      <c r="J5421">
        <v>-271.14920000000001</v>
      </c>
      <c r="K5421">
        <v>1.118377</v>
      </c>
      <c r="L5421">
        <v>-64.057769999999906</v>
      </c>
      <c r="M5421">
        <v>0.98994959999999999</v>
      </c>
      <c r="N5421">
        <v>-9.968233E-3</v>
      </c>
      <c r="O5421">
        <v>0.141069</v>
      </c>
      <c r="P5421">
        <v>0.98130569999999895</v>
      </c>
      <c r="Q5421">
        <v>0.1698684</v>
      </c>
      <c r="R5421">
        <v>9.0465580000000004E-2</v>
      </c>
      <c r="S5421">
        <v>3.0760190000000001</v>
      </c>
      <c r="T5421">
        <v>-0.108085</v>
      </c>
      <c r="U5421">
        <v>4.0283200000000002E-3</v>
      </c>
      <c r="V5421">
        <v>4.9928449999999999E-2</v>
      </c>
      <c r="W5421">
        <v>0.17938200000000001</v>
      </c>
      <c r="X5421">
        <v>0.98251169999999999</v>
      </c>
      <c r="Y5421">
        <v>0.13962469999999999</v>
      </c>
      <c r="Z5421">
        <v>-6.6817819999999998E-3</v>
      </c>
      <c r="AA5421">
        <v>0.99018200000000001</v>
      </c>
      <c r="AB5421">
        <v>27</v>
      </c>
      <c r="AC5421">
        <v>31.6937</v>
      </c>
      <c r="AD5421">
        <v>-1.118380739334</v>
      </c>
      <c r="AE5421">
        <v>2.37099999999941E-2</v>
      </c>
      <c r="AF5421">
        <v>4.4422163829017496</v>
      </c>
      <c r="AG5421">
        <v>-1.118380739334</v>
      </c>
      <c r="AH5421">
        <v>31.341043522732001</v>
      </c>
      <c r="AI5421">
        <v>92.023480747989694</v>
      </c>
      <c r="AJ5421">
        <v>81.932747982615297</v>
      </c>
      <c r="AK5421">
        <v>31.674044120768901</v>
      </c>
      <c r="AL5421">
        <v>79.666234830246296</v>
      </c>
      <c r="AM5421">
        <v>87.090893873884497</v>
      </c>
      <c r="AN5421">
        <v>0.99999999634014602</v>
      </c>
    </row>
    <row r="5422" spans="1:40" x14ac:dyDescent="0.25">
      <c r="A5422" t="str">
        <f>"20190303171122884"</f>
        <v>20190303171122884</v>
      </c>
      <c r="B5422" t="str">
        <f>"1551604282876439"</f>
        <v>1551604282876439</v>
      </c>
      <c r="C5422" t="s">
        <v>40</v>
      </c>
      <c r="D5422">
        <v>4.800287</v>
      </c>
      <c r="E5422">
        <v>0.53849619999999998</v>
      </c>
      <c r="F5422" t="s">
        <v>106</v>
      </c>
      <c r="G5422">
        <v>-239.38980000000001</v>
      </c>
      <c r="H5422" s="1">
        <v>-3.7234089999999998E-6</v>
      </c>
      <c r="I5422">
        <v>-64.070309999999907</v>
      </c>
      <c r="J5422">
        <v>-271.02100000000002</v>
      </c>
      <c r="K5422">
        <v>1.1183289999999999</v>
      </c>
      <c r="L5422">
        <v>-64.041169999999994</v>
      </c>
      <c r="M5422">
        <v>0.99018320000000004</v>
      </c>
      <c r="N5422">
        <v>-9.8977709999999997E-3</v>
      </c>
      <c r="O5422">
        <v>0.1394251</v>
      </c>
      <c r="P5422">
        <v>0.98143820000000004</v>
      </c>
      <c r="Q5422">
        <v>0.16994189999999901</v>
      </c>
      <c r="R5422">
        <v>8.8876440000000001E-2</v>
      </c>
      <c r="S5422">
        <v>3.0760190000000001</v>
      </c>
      <c r="T5422">
        <v>-0.1083195</v>
      </c>
      <c r="U5422">
        <v>-1.2207030000000001E-3</v>
      </c>
      <c r="V5422">
        <v>4.9903799999999998E-2</v>
      </c>
      <c r="W5422">
        <v>0.1793815</v>
      </c>
      <c r="X5422">
        <v>0.98251299999999997</v>
      </c>
      <c r="Y5422">
        <v>0.13966990000000001</v>
      </c>
      <c r="Z5422">
        <v>-6.6630259999999998E-3</v>
      </c>
      <c r="AA5422">
        <v>0.99017569999999999</v>
      </c>
      <c r="AB5422">
        <v>27</v>
      </c>
      <c r="AC5422">
        <v>31.6311999999999</v>
      </c>
      <c r="AD5422">
        <v>-1.1183327234089999</v>
      </c>
      <c r="AE5422">
        <v>-2.9139999999998101E-2</v>
      </c>
      <c r="AF5422">
        <v>4.4337122613099504</v>
      </c>
      <c r="AG5422">
        <v>-1.1183327234089999</v>
      </c>
      <c r="AH5422">
        <v>31.2790537613844</v>
      </c>
      <c r="AI5422">
        <v>92.027398085259506</v>
      </c>
      <c r="AJ5422">
        <v>81.932241272069007</v>
      </c>
      <c r="AK5422">
        <v>31.611511775046601</v>
      </c>
      <c r="AL5422">
        <v>79.666263502738204</v>
      </c>
      <c r="AM5422">
        <v>87.092331493840604</v>
      </c>
      <c r="AN5422">
        <v>0.99999995348284298</v>
      </c>
    </row>
    <row r="5423" spans="1:40" x14ac:dyDescent="0.25">
      <c r="A5423" t="str">
        <f>"20190303171122894"</f>
        <v>20190303171122894</v>
      </c>
      <c r="B5423" t="str">
        <f>"1551604282886199"</f>
        <v>1551604282886199</v>
      </c>
      <c r="C5423" t="s">
        <v>40</v>
      </c>
      <c r="D5423">
        <v>4.7695800000000004</v>
      </c>
      <c r="E5423">
        <v>0.53855390000000003</v>
      </c>
      <c r="F5423" t="s">
        <v>106</v>
      </c>
      <c r="G5423">
        <v>-239.60550000000001</v>
      </c>
      <c r="H5423" s="1">
        <v>-3.8015809999999998E-6</v>
      </c>
      <c r="I5423">
        <v>-64.097210000000004</v>
      </c>
      <c r="J5423">
        <v>-270.89359999999999</v>
      </c>
      <c r="K5423">
        <v>1.118285</v>
      </c>
      <c r="L5423">
        <v>-64.024780000000007</v>
      </c>
      <c r="M5423">
        <v>0.99041380000000001</v>
      </c>
      <c r="N5423">
        <v>-9.8276059999999991E-3</v>
      </c>
      <c r="O5423">
        <v>0.13778180000000001</v>
      </c>
      <c r="P5423">
        <v>0.98148639999999998</v>
      </c>
      <c r="Q5423">
        <v>0.17060919999999999</v>
      </c>
      <c r="R5423">
        <v>8.7047360000000004E-2</v>
      </c>
      <c r="S5423">
        <v>3.0762019999999999</v>
      </c>
      <c r="T5423">
        <v>-0.10950699999999999</v>
      </c>
      <c r="U5423">
        <v>-5.493164E-3</v>
      </c>
      <c r="V5423">
        <v>5.0107520000000003E-2</v>
      </c>
      <c r="W5423">
        <v>0.1799731</v>
      </c>
      <c r="X5423">
        <v>0.98239449999999995</v>
      </c>
      <c r="Y5423">
        <v>0.139399</v>
      </c>
      <c r="Z5423">
        <v>-6.7002779999999996E-3</v>
      </c>
      <c r="AA5423">
        <v>0.99021360000000003</v>
      </c>
      <c r="AB5423">
        <v>27</v>
      </c>
      <c r="AC5423">
        <v>31.288099999999901</v>
      </c>
      <c r="AD5423">
        <v>-1.118288801581</v>
      </c>
      <c r="AE5423">
        <v>-7.2429999999997094E-2</v>
      </c>
      <c r="AF5423">
        <v>4.3772864748491802</v>
      </c>
      <c r="AG5423">
        <v>-1.118288801581</v>
      </c>
      <c r="AH5423">
        <v>30.9401592699909</v>
      </c>
      <c r="AI5423">
        <v>92.049582442773598</v>
      </c>
      <c r="AJ5423">
        <v>81.947469930737697</v>
      </c>
      <c r="AK5423">
        <v>31.2682692578122</v>
      </c>
      <c r="AL5423">
        <v>79.631807216777403</v>
      </c>
      <c r="AM5423">
        <v>87.080130592069594</v>
      </c>
      <c r="AN5423">
        <v>1.0000000169572001</v>
      </c>
    </row>
    <row r="5424" spans="1:40" x14ac:dyDescent="0.25">
      <c r="A5424" t="str">
        <f>"20190303171122905"</f>
        <v>20190303171122905</v>
      </c>
      <c r="B5424" t="str">
        <f>"1551604282895959"</f>
        <v>1551604282895959</v>
      </c>
      <c r="C5424" t="s">
        <v>40</v>
      </c>
      <c r="D5424">
        <v>4.9119820000000001</v>
      </c>
      <c r="E5424">
        <v>0.53852169999999999</v>
      </c>
      <c r="F5424" t="s">
        <v>106</v>
      </c>
      <c r="G5424">
        <v>-238.68879999999999</v>
      </c>
      <c r="H5424" s="1">
        <v>-3.4967619999999999E-6</v>
      </c>
      <c r="I5424">
        <v>-64.137500000000003</v>
      </c>
      <c r="J5424">
        <v>-270.76350000000002</v>
      </c>
      <c r="K5424">
        <v>1.1182540000000001</v>
      </c>
      <c r="L5424">
        <v>-64.008420000000001</v>
      </c>
      <c r="M5424">
        <v>0.99064810000000003</v>
      </c>
      <c r="N5424">
        <v>-9.7550510000000007E-3</v>
      </c>
      <c r="O5424">
        <v>0.13609289999999999</v>
      </c>
      <c r="P5424">
        <v>0.98154870000000005</v>
      </c>
      <c r="Q5424">
        <v>0.1711096</v>
      </c>
      <c r="R5424">
        <v>8.5343520000000006E-2</v>
      </c>
      <c r="S5424">
        <v>3.076111</v>
      </c>
      <c r="T5424">
        <v>-0.1068157</v>
      </c>
      <c r="U5424">
        <v>-1.077271E-2</v>
      </c>
      <c r="V5424">
        <v>5.0138530000000001E-2</v>
      </c>
      <c r="W5424">
        <v>0.18039849999999999</v>
      </c>
      <c r="X5424">
        <v>0.98231489999999999</v>
      </c>
      <c r="Y5424">
        <v>0.1394184</v>
      </c>
      <c r="Z5424">
        <v>-6.4833319999999996E-3</v>
      </c>
      <c r="AA5424">
        <v>0.99021230000000005</v>
      </c>
      <c r="AB5424">
        <v>27</v>
      </c>
      <c r="AC5424">
        <v>32.0747</v>
      </c>
      <c r="AD5424">
        <v>-1.118257496762</v>
      </c>
      <c r="AE5424">
        <v>-0.129080000000001</v>
      </c>
      <c r="AF5424">
        <v>4.4877705343532499</v>
      </c>
      <c r="AG5424">
        <v>-1.118257496762</v>
      </c>
      <c r="AH5424">
        <v>31.720127840861899</v>
      </c>
      <c r="AI5424">
        <v>91.999169400681296</v>
      </c>
      <c r="AJ5424">
        <v>81.947226768570403</v>
      </c>
      <c r="AK5424">
        <v>32.055531417193798</v>
      </c>
      <c r="AL5424">
        <v>79.607028125451095</v>
      </c>
      <c r="AM5424">
        <v>87.078090362832697</v>
      </c>
      <c r="AN5424">
        <v>1.0000000268774101</v>
      </c>
    </row>
    <row r="5425" spans="1:40" x14ac:dyDescent="0.25">
      <c r="A5425" t="str">
        <f>"20190303171122917"</f>
        <v>20190303171122917</v>
      </c>
      <c r="B5425" t="str">
        <f>"1551604282905720"</f>
        <v>1551604282905720</v>
      </c>
      <c r="C5425" t="s">
        <v>40</v>
      </c>
      <c r="D5425">
        <v>4.7811490000000001</v>
      </c>
      <c r="E5425">
        <v>0.53851059999999995</v>
      </c>
      <c r="F5425" t="s">
        <v>106</v>
      </c>
      <c r="G5425">
        <v>-238.0162</v>
      </c>
      <c r="H5425" s="1">
        <v>-3.2734969999999998E-6</v>
      </c>
      <c r="I5425">
        <v>-64.16919</v>
      </c>
      <c r="J5425">
        <v>-270.62900000000002</v>
      </c>
      <c r="K5425">
        <v>1.1182240000000001</v>
      </c>
      <c r="L5425">
        <v>-63.991579999999999</v>
      </c>
      <c r="M5425">
        <v>0.99088739999999997</v>
      </c>
      <c r="N5425">
        <v>-9.6798300000000004E-3</v>
      </c>
      <c r="O5425">
        <v>0.13434479999999999</v>
      </c>
      <c r="P5425">
        <v>0.98169700000000004</v>
      </c>
      <c r="Q5425">
        <v>0.17096600000000001</v>
      </c>
      <c r="R5425">
        <v>8.3915770000000001E-2</v>
      </c>
      <c r="S5425">
        <v>3.0759889999999999</v>
      </c>
      <c r="T5425">
        <v>-0.10503899999999999</v>
      </c>
      <c r="U5425">
        <v>-1.51062E-2</v>
      </c>
      <c r="V5425">
        <v>4.9844369999999999E-2</v>
      </c>
      <c r="W5425">
        <v>0.18018129999999999</v>
      </c>
      <c r="X5425">
        <v>0.98236970000000001</v>
      </c>
      <c r="Y5425">
        <v>0.1390721</v>
      </c>
      <c r="Z5425">
        <v>-6.3203240000000004E-3</v>
      </c>
      <c r="AA5425">
        <v>0.99026210000000003</v>
      </c>
      <c r="AB5425">
        <v>27</v>
      </c>
      <c r="AC5425">
        <v>32.6128</v>
      </c>
      <c r="AD5425">
        <v>-1.11822727349699</v>
      </c>
      <c r="AE5425">
        <v>-0.17760999999999399</v>
      </c>
      <c r="AF5425">
        <v>4.5522132599095899</v>
      </c>
      <c r="AG5425">
        <v>-1.11822727349699</v>
      </c>
      <c r="AH5425">
        <v>32.2553431598038</v>
      </c>
      <c r="AI5425">
        <v>91.966065363852906</v>
      </c>
      <c r="AJ5425">
        <v>81.966870794747194</v>
      </c>
      <c r="AK5425">
        <v>32.594174942090397</v>
      </c>
      <c r="AL5425">
        <v>79.619679752801403</v>
      </c>
      <c r="AM5425">
        <v>87.095365362232002</v>
      </c>
      <c r="AN5425">
        <v>0.99999999478423796</v>
      </c>
    </row>
    <row r="5426" spans="1:40" x14ac:dyDescent="0.25">
      <c r="A5426" t="str">
        <f>"20190303171122927"</f>
        <v>20190303171122927</v>
      </c>
      <c r="B5426" t="str">
        <f>"1551604282916455"</f>
        <v>1551604282916455</v>
      </c>
      <c r="C5426" t="s">
        <v>40</v>
      </c>
      <c r="D5426">
        <v>4.7417999999999996</v>
      </c>
      <c r="E5426">
        <v>0.53848909999999905</v>
      </c>
      <c r="F5426" t="s">
        <v>106</v>
      </c>
      <c r="G5426">
        <v>-237.84739999999999</v>
      </c>
      <c r="H5426" s="1">
        <v>-3.2210050000000001E-6</v>
      </c>
      <c r="I5426">
        <v>-64.197069999999997</v>
      </c>
      <c r="J5426">
        <v>-270.49979999999999</v>
      </c>
      <c r="K5426">
        <v>1.1182030000000001</v>
      </c>
      <c r="L5426">
        <v>-63.975830000000002</v>
      </c>
      <c r="M5426">
        <v>0.9911143</v>
      </c>
      <c r="N5426">
        <v>-9.6080880000000007E-3</v>
      </c>
      <c r="O5426">
        <v>0.13266649999999999</v>
      </c>
      <c r="P5426">
        <v>0.98183640000000005</v>
      </c>
      <c r="Q5426">
        <v>0.17062939999999999</v>
      </c>
      <c r="R5426">
        <v>8.2964579999999996E-2</v>
      </c>
      <c r="S5426">
        <v>3.0758670000000001</v>
      </c>
      <c r="T5426">
        <v>-0.1049221</v>
      </c>
      <c r="U5426">
        <v>-1.928711E-2</v>
      </c>
      <c r="V5426">
        <v>4.914048E-2</v>
      </c>
      <c r="W5426">
        <v>0.17977839999999901</v>
      </c>
      <c r="X5426">
        <v>0.98247899999999999</v>
      </c>
      <c r="Y5426">
        <v>0.138742</v>
      </c>
      <c r="Z5426">
        <v>-6.2698049999999998E-3</v>
      </c>
      <c r="AA5426">
        <v>0.99030870000000004</v>
      </c>
      <c r="AB5426">
        <v>27</v>
      </c>
      <c r="AC5426">
        <v>32.6524</v>
      </c>
      <c r="AD5426">
        <v>-1.1182062210049999</v>
      </c>
      <c r="AE5426">
        <v>-0.221239999999994</v>
      </c>
      <c r="AF5426">
        <v>4.5460320059091703</v>
      </c>
      <c r="AG5426">
        <v>-1.1182062210049999</v>
      </c>
      <c r="AH5426">
        <v>32.296522843384203</v>
      </c>
      <c r="AI5426">
        <v>91.963624246823997</v>
      </c>
      <c r="AJ5426">
        <v>81.987732533989004</v>
      </c>
      <c r="AK5426">
        <v>32.6340647165608</v>
      </c>
      <c r="AL5426">
        <v>79.643147734979493</v>
      </c>
      <c r="AM5426">
        <v>87.136633189366805</v>
      </c>
      <c r="AN5426">
        <v>1.0000000226610899</v>
      </c>
    </row>
    <row r="5427" spans="1:40" x14ac:dyDescent="0.25">
      <c r="A5427" t="str">
        <f>"20190303171122939"</f>
        <v>20190303171122939</v>
      </c>
      <c r="B5427" t="str">
        <f>"1551604282926216"</f>
        <v>1551604282926216</v>
      </c>
      <c r="C5427" t="s">
        <v>40</v>
      </c>
      <c r="D5427">
        <v>4.7527819999999998</v>
      </c>
      <c r="E5427">
        <v>0.53847250000000002</v>
      </c>
      <c r="F5427" t="s">
        <v>106</v>
      </c>
      <c r="G5427">
        <v>-237.7842</v>
      </c>
      <c r="H5427" s="1">
        <v>-3.2028710000000001E-6</v>
      </c>
      <c r="I5427">
        <v>-64.215969999999999</v>
      </c>
      <c r="J5427">
        <v>-270.36279999999999</v>
      </c>
      <c r="K5427">
        <v>1.1181840000000001</v>
      </c>
      <c r="L5427">
        <v>-63.959229999999998</v>
      </c>
      <c r="M5427">
        <v>0.99135139999999999</v>
      </c>
      <c r="N5427">
        <v>-9.5332530000000002E-3</v>
      </c>
      <c r="O5427">
        <v>0.13088849999999999</v>
      </c>
      <c r="P5427">
        <v>0.98205370000000003</v>
      </c>
      <c r="Q5427">
        <v>0.16974939999999999</v>
      </c>
      <c r="R5427">
        <v>8.2195169999999998E-2</v>
      </c>
      <c r="S5427">
        <v>3.0757140000000001</v>
      </c>
      <c r="T5427">
        <v>-0.1051269</v>
      </c>
      <c r="U5427">
        <v>-2.2583010000000001E-2</v>
      </c>
      <c r="V5427">
        <v>4.8163789999999998E-2</v>
      </c>
      <c r="W5427">
        <v>0.1788312</v>
      </c>
      <c r="X5427">
        <v>0.98270020000000002</v>
      </c>
      <c r="Y5427">
        <v>0.1380275</v>
      </c>
      <c r="Z5427">
        <v>-6.2294840000000004E-3</v>
      </c>
      <c r="AA5427">
        <v>0.99040879999999998</v>
      </c>
      <c r="AB5427">
        <v>27</v>
      </c>
      <c r="AC5427">
        <v>32.578599999999902</v>
      </c>
      <c r="AD5427">
        <v>-1.118187202871</v>
      </c>
      <c r="AE5427">
        <v>-0.25673999999999297</v>
      </c>
      <c r="AF5427">
        <v>4.5135714714725896</v>
      </c>
      <c r="AG5427">
        <v>-1.118187202871</v>
      </c>
      <c r="AH5427">
        <v>32.226735677339803</v>
      </c>
      <c r="AI5427">
        <v>91.968029894765394</v>
      </c>
      <c r="AJ5427">
        <v>82.027201281135902</v>
      </c>
      <c r="AK5427">
        <v>32.560484677993998</v>
      </c>
      <c r="AL5427">
        <v>79.698312249135</v>
      </c>
      <c r="AM5427">
        <v>87.194082759923305</v>
      </c>
      <c r="AN5427">
        <v>1.00000001592032</v>
      </c>
    </row>
    <row r="5428" spans="1:40" x14ac:dyDescent="0.25">
      <c r="A5428" t="str">
        <f>"20190303171122952"</f>
        <v>20190303171122952</v>
      </c>
      <c r="B5428" t="str">
        <f>"1551604282946353"</f>
        <v>1551604282946353</v>
      </c>
      <c r="C5428" t="s">
        <v>40</v>
      </c>
      <c r="D5428">
        <v>4.904064</v>
      </c>
      <c r="E5428">
        <v>0.53839079999999995</v>
      </c>
      <c r="F5428" t="s">
        <v>106</v>
      </c>
      <c r="G5428">
        <v>-238.0968</v>
      </c>
      <c r="H5428" s="1">
        <v>-3.3111130000000001E-6</v>
      </c>
      <c r="I5428">
        <v>-64.226519999999994</v>
      </c>
      <c r="J5428">
        <v>-270.20330000000001</v>
      </c>
      <c r="K5428">
        <v>1.118166</v>
      </c>
      <c r="L5428">
        <v>-63.940280000000001</v>
      </c>
      <c r="M5428">
        <v>0.99162189999999995</v>
      </c>
      <c r="N5428">
        <v>-9.4509650000000004E-3</v>
      </c>
      <c r="O5428">
        <v>0.12882930000000001</v>
      </c>
      <c r="P5428">
        <v>0.9822343</v>
      </c>
      <c r="Q5428">
        <v>0.16922129999999999</v>
      </c>
      <c r="R5428">
        <v>8.111902E-2</v>
      </c>
      <c r="S5428">
        <v>3.0753780000000002</v>
      </c>
      <c r="T5428">
        <v>-0.1065782</v>
      </c>
      <c r="U5428">
        <v>-2.548218E-2</v>
      </c>
      <c r="V5428">
        <v>4.7207239999999998E-2</v>
      </c>
      <c r="W5428">
        <v>0.17822929999999901</v>
      </c>
      <c r="X5428">
        <v>0.9828559</v>
      </c>
      <c r="Y5428">
        <v>0.136902</v>
      </c>
      <c r="Z5428">
        <v>-6.2534119999999999E-3</v>
      </c>
      <c r="AA5428">
        <v>0.99056489999999997</v>
      </c>
      <c r="AB5428">
        <v>27</v>
      </c>
      <c r="AC5428">
        <v>32.106499999999997</v>
      </c>
      <c r="AD5428">
        <v>-1.118169311113</v>
      </c>
      <c r="AE5428">
        <v>-0.286239999999992</v>
      </c>
      <c r="AF5428">
        <v>4.4149420129515002</v>
      </c>
      <c r="AG5428">
        <v>-1.118169311113</v>
      </c>
      <c r="AH5428">
        <v>31.7635246659849</v>
      </c>
      <c r="AI5428">
        <v>91.996965080702495</v>
      </c>
      <c r="AJ5428">
        <v>82.086924216325698</v>
      </c>
      <c r="AK5428">
        <v>32.088370397897599</v>
      </c>
      <c r="AL5428">
        <v>79.733361124218604</v>
      </c>
      <c r="AM5428">
        <v>87.250157867003793</v>
      </c>
      <c r="AN5428">
        <v>0.99999996352585796</v>
      </c>
    </row>
    <row r="5429" spans="1:40" x14ac:dyDescent="0.25">
      <c r="A5429" t="str">
        <f>"20190303171122964"</f>
        <v>20190303171122964</v>
      </c>
      <c r="B5429" t="str">
        <f>"1551604282956114"</f>
        <v>1551604282956114</v>
      </c>
      <c r="C5429" t="s">
        <v>40</v>
      </c>
      <c r="D5429">
        <v>4.742324</v>
      </c>
      <c r="E5429">
        <v>0.53839890000000001</v>
      </c>
      <c r="F5429" t="s">
        <v>106</v>
      </c>
      <c r="G5429">
        <v>-237.9</v>
      </c>
      <c r="H5429" s="1">
        <v>-3.248058E-6</v>
      </c>
      <c r="I5429">
        <v>-64.248630000000006</v>
      </c>
      <c r="J5429">
        <v>-270.05829999999997</v>
      </c>
      <c r="K5429">
        <v>1.118153</v>
      </c>
      <c r="L5429">
        <v>-63.923340000000003</v>
      </c>
      <c r="M5429">
        <v>0.99186289999999999</v>
      </c>
      <c r="N5429">
        <v>-9.3786259999999993E-3</v>
      </c>
      <c r="O5429">
        <v>0.1269651</v>
      </c>
      <c r="P5429">
        <v>0.98237450000000004</v>
      </c>
      <c r="Q5429">
        <v>0.16905800000000001</v>
      </c>
      <c r="R5429">
        <v>7.9748360000000004E-2</v>
      </c>
      <c r="S5429">
        <v>3.0750120000000001</v>
      </c>
      <c r="T5429">
        <v>-0.10644049999999999</v>
      </c>
      <c r="U5429">
        <v>-2.9357910000000001E-2</v>
      </c>
      <c r="V5429">
        <v>4.6733009999999998E-2</v>
      </c>
      <c r="W5429">
        <v>0.17799799999999999</v>
      </c>
      <c r="X5429">
        <v>0.98292049999999997</v>
      </c>
      <c r="Y5429">
        <v>0.13629059999999901</v>
      </c>
      <c r="Z5429">
        <v>-6.18989E-3</v>
      </c>
      <c r="AA5429">
        <v>0.99064960000000002</v>
      </c>
      <c r="AB5429">
        <v>27</v>
      </c>
      <c r="AC5429">
        <v>32.158299999999898</v>
      </c>
      <c r="AD5429">
        <v>-1.1181562480580001</v>
      </c>
      <c r="AE5429">
        <v>-0.32529000000000202</v>
      </c>
      <c r="AF5429">
        <v>4.4004988228593902</v>
      </c>
      <c r="AG5429">
        <v>-1.1181562480580001</v>
      </c>
      <c r="AH5429">
        <v>31.818259894223399</v>
      </c>
      <c r="AI5429">
        <v>91.993697108437402</v>
      </c>
      <c r="AJ5429">
        <v>82.125883094532696</v>
      </c>
      <c r="AK5429">
        <v>32.140571338751997</v>
      </c>
      <c r="AL5429">
        <v>79.746829221362205</v>
      </c>
      <c r="AM5429">
        <v>87.277918849592197</v>
      </c>
      <c r="AN5429">
        <v>0.99999998577395499</v>
      </c>
    </row>
    <row r="5430" spans="1:40" x14ac:dyDescent="0.25">
      <c r="A5430" t="str">
        <f>"20190303171122975"</f>
        <v>20190303171122975</v>
      </c>
      <c r="B5430" t="str">
        <f>"1551604282965873"</f>
        <v>1551604282965873</v>
      </c>
      <c r="C5430" t="s">
        <v>40</v>
      </c>
      <c r="D5430">
        <v>4.9043000000000001</v>
      </c>
      <c r="E5430">
        <v>0.53840449999999995</v>
      </c>
      <c r="F5430" t="s">
        <v>106</v>
      </c>
      <c r="G5430">
        <v>-237.6763</v>
      </c>
      <c r="H5430" s="1">
        <v>-3.1786400000000002E-6</v>
      </c>
      <c r="I5430">
        <v>-64.286450000000002</v>
      </c>
      <c r="J5430">
        <v>-269.92020000000002</v>
      </c>
      <c r="K5430">
        <v>1.1181430000000001</v>
      </c>
      <c r="L5430">
        <v>-63.907380000000003</v>
      </c>
      <c r="M5430">
        <v>0.99208839999999998</v>
      </c>
      <c r="N5430">
        <v>-9.3110180000000008E-3</v>
      </c>
      <c r="O5430">
        <v>0.12519539999999901</v>
      </c>
      <c r="P5430">
        <v>0.9824967</v>
      </c>
      <c r="Q5430">
        <v>0.16898650000000001</v>
      </c>
      <c r="R5430">
        <v>7.8384410000000002E-2</v>
      </c>
      <c r="S5430">
        <v>3.0748899999999999</v>
      </c>
      <c r="T5430">
        <v>-0.10617649999999999</v>
      </c>
      <c r="U5430">
        <v>-3.4484859999999999E-2</v>
      </c>
      <c r="V5430">
        <v>4.6343710000000003E-2</v>
      </c>
      <c r="W5430">
        <v>0.17786289999999999</v>
      </c>
      <c r="X5430">
        <v>0.98296340000000004</v>
      </c>
      <c r="Y5430">
        <v>0.13617650000000001</v>
      </c>
      <c r="Z5430">
        <v>-6.1308580000000003E-3</v>
      </c>
      <c r="AA5430">
        <v>0.99066560000000004</v>
      </c>
      <c r="AB5430">
        <v>27</v>
      </c>
      <c r="AC5430">
        <v>32.243899999999996</v>
      </c>
      <c r="AD5430">
        <v>-1.11814617864</v>
      </c>
      <c r="AE5430">
        <v>-0.37906999999999802</v>
      </c>
      <c r="AF5430">
        <v>4.4077504640047804</v>
      </c>
      <c r="AG5430">
        <v>-1.11814617864</v>
      </c>
      <c r="AH5430">
        <v>31.904365186944698</v>
      </c>
      <c r="AI5430">
        <v>91.988342172849698</v>
      </c>
      <c r="AJ5430">
        <v>82.134089281215097</v>
      </c>
      <c r="AK5430">
        <v>32.226806124896598</v>
      </c>
      <c r="AL5430">
        <v>79.754695530058299</v>
      </c>
      <c r="AM5430">
        <v>87.300678559604194</v>
      </c>
      <c r="AN5430">
        <v>0.99999999819626695</v>
      </c>
    </row>
    <row r="5431" spans="1:40" x14ac:dyDescent="0.25">
      <c r="A5431" t="str">
        <f>"20190303171122986"</f>
        <v>20190303171122986</v>
      </c>
      <c r="B5431" t="str">
        <f>"1551604282976610"</f>
        <v>1551604282976610</v>
      </c>
      <c r="C5431" t="s">
        <v>40</v>
      </c>
      <c r="D5431">
        <v>4.8645829999999997</v>
      </c>
      <c r="E5431">
        <v>0.53840449999999995</v>
      </c>
      <c r="F5431" t="s">
        <v>106</v>
      </c>
      <c r="G5431">
        <v>-237.46700000000001</v>
      </c>
      <c r="H5431" s="1">
        <v>-3.1127249999999999E-6</v>
      </c>
      <c r="I5431">
        <v>-64.316400000000002</v>
      </c>
      <c r="J5431">
        <v>-269.79599999999999</v>
      </c>
      <c r="K5431">
        <v>1.118139</v>
      </c>
      <c r="L5431">
        <v>-63.893340000000002</v>
      </c>
      <c r="M5431">
        <v>0.99228709999999998</v>
      </c>
      <c r="N5431">
        <v>-9.2537499999999998E-3</v>
      </c>
      <c r="O5431">
        <v>0.12361510000000001</v>
      </c>
      <c r="P5431">
        <v>0.98255250000000005</v>
      </c>
      <c r="Q5431">
        <v>0.1693257</v>
      </c>
      <c r="R5431">
        <v>7.6938370000000006E-2</v>
      </c>
      <c r="S5431">
        <v>3.074738</v>
      </c>
      <c r="T5431">
        <v>-0.1059372</v>
      </c>
      <c r="U5431">
        <v>-3.8757319999999998E-2</v>
      </c>
      <c r="V5431">
        <v>4.6218719999999998E-2</v>
      </c>
      <c r="W5431">
        <v>0.17814630000000001</v>
      </c>
      <c r="X5431">
        <v>0.98291799999999996</v>
      </c>
      <c r="Y5431">
        <v>0.13597679999999901</v>
      </c>
      <c r="Z5431">
        <v>-6.0757440000000001E-3</v>
      </c>
      <c r="AA5431">
        <v>0.99069339999999995</v>
      </c>
      <c r="AB5431">
        <v>27</v>
      </c>
      <c r="AC5431">
        <v>32.328999999999901</v>
      </c>
      <c r="AD5431">
        <v>-1.118142112725</v>
      </c>
      <c r="AE5431">
        <v>-0.42305999999999899</v>
      </c>
      <c r="AF5431">
        <v>4.4110629330926203</v>
      </c>
      <c r="AG5431">
        <v>-1.118142112725</v>
      </c>
      <c r="AH5431">
        <v>31.9904632626744</v>
      </c>
      <c r="AI5431">
        <v>91.983059885426698</v>
      </c>
      <c r="AJ5431">
        <v>82.149173276269906</v>
      </c>
      <c r="AK5431">
        <v>32.312496928347599</v>
      </c>
      <c r="AL5431">
        <v>79.738194753556996</v>
      </c>
      <c r="AM5431">
        <v>87.307823804180501</v>
      </c>
      <c r="AN5431">
        <v>1.00000003450306</v>
      </c>
    </row>
    <row r="5432" spans="1:40" x14ac:dyDescent="0.25">
      <c r="A5432" t="str">
        <f>"20190303171122995"</f>
        <v>20190303171122995</v>
      </c>
      <c r="B5432" t="str">
        <f>"1551604282986371"</f>
        <v>1551604282986371</v>
      </c>
      <c r="C5432" t="s">
        <v>40</v>
      </c>
      <c r="D5432">
        <v>4.6963730000000004</v>
      </c>
      <c r="E5432">
        <v>0.53837480000000004</v>
      </c>
      <c r="F5432" t="s">
        <v>106</v>
      </c>
      <c r="G5432">
        <v>-237.0831</v>
      </c>
      <c r="H5432" s="1">
        <v>-2.98783E-6</v>
      </c>
      <c r="I5432">
        <v>-64.34881</v>
      </c>
      <c r="J5432">
        <v>-269.67739999999998</v>
      </c>
      <c r="K5432">
        <v>1.1181350000000001</v>
      </c>
      <c r="L5432">
        <v>-63.88</v>
      </c>
      <c r="M5432">
        <v>0.99247419999999997</v>
      </c>
      <c r="N5432">
        <v>-9.1993419999999992E-3</v>
      </c>
      <c r="O5432">
        <v>0.12210839999999901</v>
      </c>
      <c r="P5432">
        <v>0.98257110000000003</v>
      </c>
      <c r="Q5432">
        <v>0.17004269999999999</v>
      </c>
      <c r="R5432">
        <v>7.5097990000000003E-2</v>
      </c>
      <c r="S5432">
        <v>3.074738</v>
      </c>
      <c r="T5432">
        <v>-0.10509599999999999</v>
      </c>
      <c r="U5432">
        <v>-4.2816159999999999E-2</v>
      </c>
      <c r="V5432">
        <v>4.6556189999999997E-2</v>
      </c>
      <c r="W5432">
        <v>0.17880689999999999</v>
      </c>
      <c r="X5432">
        <v>0.98278209999999999</v>
      </c>
      <c r="Y5432">
        <v>0.13578289999999901</v>
      </c>
      <c r="Z5432">
        <v>-5.9850379999999998E-3</v>
      </c>
      <c r="AA5432">
        <v>0.9907205</v>
      </c>
      <c r="AB5432">
        <v>27</v>
      </c>
      <c r="AC5432">
        <v>32.594299999999897</v>
      </c>
      <c r="AD5432">
        <v>-1.11813798783</v>
      </c>
      <c r="AE5432">
        <v>-0.46880999999999701</v>
      </c>
      <c r="AF5432">
        <v>4.4402831781138197</v>
      </c>
      <c r="AG5432">
        <v>-1.11813798783</v>
      </c>
      <c r="AH5432">
        <v>32.255170151916097</v>
      </c>
      <c r="AI5432">
        <v>91.966851159279599</v>
      </c>
      <c r="AJ5432">
        <v>82.161862911537398</v>
      </c>
      <c r="AK5432">
        <v>32.5785565793012</v>
      </c>
      <c r="AL5432">
        <v>79.699727400053106</v>
      </c>
      <c r="AM5432">
        <v>87.287821451935301</v>
      </c>
      <c r="AN5432">
        <v>1.0000000211976601</v>
      </c>
    </row>
    <row r="5433" spans="1:40" x14ac:dyDescent="0.25">
      <c r="A5433" t="str">
        <f>"20190303171123005"</f>
        <v>20190303171123005</v>
      </c>
      <c r="B5433" t="str">
        <f>"1551604282996130"</f>
        <v>1551604282996130</v>
      </c>
      <c r="C5433" t="s">
        <v>40</v>
      </c>
      <c r="D5433">
        <v>4.7954549999999996</v>
      </c>
      <c r="E5433">
        <v>0.53826379999999996</v>
      </c>
      <c r="F5433" t="s">
        <v>106</v>
      </c>
      <c r="G5433">
        <v>-236.32300000000001</v>
      </c>
      <c r="H5433" s="1">
        <v>-2.7374240000000001E-6</v>
      </c>
      <c r="I5433">
        <v>-64.395390000000006</v>
      </c>
      <c r="J5433">
        <v>-269.55779999999999</v>
      </c>
      <c r="K5433">
        <v>1.1181299999999901</v>
      </c>
      <c r="L5433">
        <v>-63.866909999999997</v>
      </c>
      <c r="M5433">
        <v>0.99265840000000005</v>
      </c>
      <c r="N5433">
        <v>-9.1492080000000007E-3</v>
      </c>
      <c r="O5433">
        <v>0.1206052</v>
      </c>
      <c r="P5433">
        <v>0.98259640000000004</v>
      </c>
      <c r="Q5433">
        <v>0.17052329999999999</v>
      </c>
      <c r="R5433">
        <v>7.3663080000000006E-2</v>
      </c>
      <c r="S5433">
        <v>3.0747070000000001</v>
      </c>
      <c r="T5433">
        <v>-0.1030732</v>
      </c>
      <c r="U5433">
        <v>-4.7515870000000002E-2</v>
      </c>
      <c r="V5433">
        <v>4.6494099999999997E-2</v>
      </c>
      <c r="W5433">
        <v>0.17923800000000001</v>
      </c>
      <c r="X5433">
        <v>0.98270650000000004</v>
      </c>
      <c r="Y5433">
        <v>0.13580229999999999</v>
      </c>
      <c r="Z5433">
        <v>-5.82725E-3</v>
      </c>
      <c r="AA5433">
        <v>0.99071880000000001</v>
      </c>
      <c r="AB5433">
        <v>27</v>
      </c>
      <c r="AC5433">
        <v>33.2348</v>
      </c>
      <c r="AD5433">
        <v>-1.11813273742399</v>
      </c>
      <c r="AE5433">
        <v>-0.52848000000000805</v>
      </c>
      <c r="AF5433">
        <v>4.5279556859864698</v>
      </c>
      <c r="AG5433">
        <v>-1.11813273742399</v>
      </c>
      <c r="AH5433">
        <v>32.891224295443003</v>
      </c>
      <c r="AI5433">
        <v>91.928835045356195</v>
      </c>
      <c r="AJ5433">
        <v>82.161670454610203</v>
      </c>
      <c r="AK5433">
        <v>33.220253448248997</v>
      </c>
      <c r="AL5433">
        <v>79.674621525719502</v>
      </c>
      <c r="AM5433">
        <v>87.2912251175797</v>
      </c>
      <c r="AN5433">
        <v>1.00000001356053</v>
      </c>
    </row>
    <row r="5434" spans="1:40" x14ac:dyDescent="0.25">
      <c r="A5434" t="str">
        <f>"20190303171123017"</f>
        <v>20190303171123017</v>
      </c>
      <c r="B5434" t="str">
        <f>"1551604283005890"</f>
        <v>1551604283005890</v>
      </c>
      <c r="C5434" t="s">
        <v>40</v>
      </c>
      <c r="D5434">
        <v>4.7145929999999998</v>
      </c>
      <c r="E5434">
        <v>0.53822749999999997</v>
      </c>
      <c r="F5434" t="s">
        <v>106</v>
      </c>
      <c r="G5434">
        <v>-235.5051</v>
      </c>
      <c r="H5434" s="1">
        <v>-2.424812E-6</v>
      </c>
      <c r="I5434">
        <v>-64.427619999999905</v>
      </c>
      <c r="J5434">
        <v>-269.4171</v>
      </c>
      <c r="K5434">
        <v>1.118128</v>
      </c>
      <c r="L5434">
        <v>-63.851529999999997</v>
      </c>
      <c r="M5434">
        <v>0.99287199999999998</v>
      </c>
      <c r="N5434">
        <v>-9.0907560000000002E-3</v>
      </c>
      <c r="O5434">
        <v>0.118839</v>
      </c>
      <c r="P5434">
        <v>0.98269519999999999</v>
      </c>
      <c r="Q5434">
        <v>0.17056260000000001</v>
      </c>
      <c r="R5434">
        <v>7.2241840000000002E-2</v>
      </c>
      <c r="S5434">
        <v>3.0744319999999998</v>
      </c>
      <c r="T5434">
        <v>-0.10095</v>
      </c>
      <c r="U5434">
        <v>-5.0628659999999999E-2</v>
      </c>
      <c r="V5434">
        <v>4.6164089999999998E-2</v>
      </c>
      <c r="W5434">
        <v>0.17922249999999901</v>
      </c>
      <c r="X5434">
        <v>0.98272479999999995</v>
      </c>
      <c r="Y5434">
        <v>0.13505029999999901</v>
      </c>
      <c r="Z5434">
        <v>-5.6436709999999899E-3</v>
      </c>
      <c r="AA5434">
        <v>0.99082269999999995</v>
      </c>
      <c r="AB5434">
        <v>27</v>
      </c>
      <c r="AC5434">
        <v>33.911999999999999</v>
      </c>
      <c r="AD5434">
        <v>-1.1181304248119901</v>
      </c>
      <c r="AE5434">
        <v>-0.576089999999986</v>
      </c>
      <c r="AF5434">
        <v>4.5972452845783298</v>
      </c>
      <c r="AG5434">
        <v>-1.1181304248119901</v>
      </c>
      <c r="AH5434">
        <v>33.566718614155903</v>
      </c>
      <c r="AI5434">
        <v>91.890223579507406</v>
      </c>
      <c r="AJ5434">
        <v>82.201379279068505</v>
      </c>
      <c r="AK5434">
        <v>33.898517347745297</v>
      </c>
      <c r="AL5434">
        <v>79.675523356710301</v>
      </c>
      <c r="AM5434">
        <v>87.310473381525895</v>
      </c>
      <c r="AN5434">
        <v>0.99999993012340604</v>
      </c>
    </row>
    <row r="5435" spans="1:40" x14ac:dyDescent="0.25">
      <c r="A5435" t="str">
        <f>"20190303171123028"</f>
        <v>20190303171123028</v>
      </c>
      <c r="B5435" t="str">
        <f>"1551604283016626"</f>
        <v>1551604283016626</v>
      </c>
      <c r="C5435" t="s">
        <v>40</v>
      </c>
      <c r="D5435">
        <v>4.727277</v>
      </c>
      <c r="E5435">
        <v>0.53812859999999996</v>
      </c>
      <c r="F5435" t="s">
        <v>106</v>
      </c>
      <c r="G5435">
        <v>-235.14340000000001</v>
      </c>
      <c r="H5435" s="1">
        <v>-2.2791919999999999E-6</v>
      </c>
      <c r="I5435">
        <v>-64.463539999999995</v>
      </c>
      <c r="J5435">
        <v>-269.2833</v>
      </c>
      <c r="K5435">
        <v>1.118128</v>
      </c>
      <c r="L5435">
        <v>-63.83728</v>
      </c>
      <c r="M5435">
        <v>0.99306970000000006</v>
      </c>
      <c r="N5435">
        <v>-9.0374070000000008E-3</v>
      </c>
      <c r="O5435">
        <v>0.1171792</v>
      </c>
      <c r="P5435">
        <v>0.98278180000000004</v>
      </c>
      <c r="Q5435">
        <v>0.1704756</v>
      </c>
      <c r="R5435">
        <v>7.1262339999999993E-2</v>
      </c>
      <c r="S5435">
        <v>3.0743100000000001</v>
      </c>
      <c r="T5435">
        <v>-0.1002948</v>
      </c>
      <c r="U5435">
        <v>-5.4901119999999998E-2</v>
      </c>
      <c r="V5435">
        <v>4.5497360000000001E-2</v>
      </c>
      <c r="W5435">
        <v>0.17908840000000001</v>
      </c>
      <c r="X5435">
        <v>0.9827804</v>
      </c>
      <c r="Y5435">
        <v>0.13477359999999999</v>
      </c>
      <c r="Z5435">
        <v>-5.5624940000000003E-3</v>
      </c>
      <c r="AA5435">
        <v>0.99086079999999999</v>
      </c>
      <c r="AB5435">
        <v>27</v>
      </c>
      <c r="AC5435">
        <v>34.139899999999898</v>
      </c>
      <c r="AD5435">
        <v>-1.118130279192</v>
      </c>
      <c r="AE5435">
        <v>-0.62626000000000204</v>
      </c>
      <c r="AF5435">
        <v>4.6176431451752098</v>
      </c>
      <c r="AG5435">
        <v>-1.118130279192</v>
      </c>
      <c r="AH5435">
        <v>33.795057786528801</v>
      </c>
      <c r="AI5435">
        <v>91.877542123527803</v>
      </c>
      <c r="AJ5435">
        <v>82.219478138938001</v>
      </c>
      <c r="AK5435">
        <v>34.127390382686002</v>
      </c>
      <c r="AL5435">
        <v>79.683333697879604</v>
      </c>
      <c r="AM5435">
        <v>87.349411110138703</v>
      </c>
      <c r="AN5435">
        <v>0.99999998970284398</v>
      </c>
    </row>
    <row r="5436" spans="1:40" x14ac:dyDescent="0.25">
      <c r="A5436" t="str">
        <f>"20190303171123040"</f>
        <v>20190303171123040</v>
      </c>
      <c r="B5436" t="str">
        <f>"1551604283026385"</f>
        <v>1551604283026385</v>
      </c>
      <c r="C5436" t="s">
        <v>40</v>
      </c>
      <c r="D5436">
        <v>4.7116049999999996</v>
      </c>
      <c r="E5436">
        <v>0.53803140000000005</v>
      </c>
      <c r="F5436" t="s">
        <v>106</v>
      </c>
      <c r="G5436">
        <v>-234.87260000000001</v>
      </c>
      <c r="H5436" s="1">
        <v>-2.167447E-6</v>
      </c>
      <c r="I5436">
        <v>-64.480130000000003</v>
      </c>
      <c r="J5436">
        <v>-269.13959999999997</v>
      </c>
      <c r="K5436">
        <v>1.118134</v>
      </c>
      <c r="L5436">
        <v>-63.822110000000002</v>
      </c>
      <c r="M5436">
        <v>0.99327790000000005</v>
      </c>
      <c r="N5436">
        <v>-8.9813589999999995E-3</v>
      </c>
      <c r="O5436">
        <v>0.11540549999999999</v>
      </c>
      <c r="P5436">
        <v>0.98292679999999999</v>
      </c>
      <c r="Q5436">
        <v>0.16999790000000001</v>
      </c>
      <c r="R5436">
        <v>7.039666E-2</v>
      </c>
      <c r="S5436">
        <v>3.0740660000000002</v>
      </c>
      <c r="T5436">
        <v>-9.9887610000000002E-2</v>
      </c>
      <c r="U5436">
        <v>-5.7434079999999998E-2</v>
      </c>
      <c r="V5436">
        <v>4.4608660000000001E-2</v>
      </c>
      <c r="W5436">
        <v>0.1785629</v>
      </c>
      <c r="X5436">
        <v>0.98291680000000003</v>
      </c>
      <c r="Y5436">
        <v>0.13382359999999999</v>
      </c>
      <c r="Z5436">
        <v>-5.4803380000000004E-3</v>
      </c>
      <c r="AA5436">
        <v>0.99099000000000004</v>
      </c>
      <c r="AB5436">
        <v>27</v>
      </c>
      <c r="AC5436">
        <v>34.266999999999904</v>
      </c>
      <c r="AD5436">
        <v>-1.1181361674470001</v>
      </c>
      <c r="AE5436">
        <v>-0.65802000000000704</v>
      </c>
      <c r="AF5436">
        <v>4.6034830426437301</v>
      </c>
      <c r="AG5436">
        <v>-1.1181361674470001</v>
      </c>
      <c r="AH5436">
        <v>33.9259745996413</v>
      </c>
      <c r="AI5436">
        <v>91.870547922797698</v>
      </c>
      <c r="AJ5436">
        <v>82.272617294499</v>
      </c>
      <c r="AK5436">
        <v>34.255131544753603</v>
      </c>
      <c r="AL5436">
        <v>79.713936424754394</v>
      </c>
      <c r="AM5436">
        <v>87.401473530440995</v>
      </c>
      <c r="AN5436">
        <v>1.0000000387628201</v>
      </c>
    </row>
    <row r="5437" spans="1:40" x14ac:dyDescent="0.25">
      <c r="A5437" t="str">
        <f>"20190303171123052"</f>
        <v>20190303171123052</v>
      </c>
      <c r="B5437" t="str">
        <f>"1551604283046143"</f>
        <v>1551604283046143</v>
      </c>
      <c r="C5437" t="s">
        <v>40</v>
      </c>
      <c r="D5437">
        <v>4.7658189999999996</v>
      </c>
      <c r="E5437">
        <v>0.53784219999999905</v>
      </c>
      <c r="F5437" t="s">
        <v>106</v>
      </c>
      <c r="G5437">
        <v>-234.91890000000001</v>
      </c>
      <c r="H5437" s="1">
        <v>-2.1908280000000002E-6</v>
      </c>
      <c r="I5437">
        <v>-64.493409999999997</v>
      </c>
      <c r="J5437">
        <v>-268.98849999999999</v>
      </c>
      <c r="K5437">
        <v>1.118139</v>
      </c>
      <c r="L5437">
        <v>-63.806460000000001</v>
      </c>
      <c r="M5437">
        <v>0.99349149999999997</v>
      </c>
      <c r="N5437">
        <v>-8.9251030000000002E-3</v>
      </c>
      <c r="O5437">
        <v>0.1135563</v>
      </c>
      <c r="P5437">
        <v>0.98307599999999995</v>
      </c>
      <c r="Q5437">
        <v>0.16969589999999901</v>
      </c>
      <c r="R5437">
        <v>6.9030140000000004E-2</v>
      </c>
      <c r="S5437">
        <v>3.0737920000000001</v>
      </c>
      <c r="T5437">
        <v>-0.1004336</v>
      </c>
      <c r="U5437">
        <v>-6.0302729999999999E-2</v>
      </c>
      <c r="V5437">
        <v>4.4142389999999997E-2</v>
      </c>
      <c r="W5437">
        <v>0.17821099999999901</v>
      </c>
      <c r="X5437">
        <v>0.98300160000000003</v>
      </c>
      <c r="Y5437">
        <v>0.13290460000000001</v>
      </c>
      <c r="Z5437">
        <v>-5.4532879999999997E-3</v>
      </c>
      <c r="AA5437">
        <v>0.99111380000000004</v>
      </c>
      <c r="AB5437">
        <v>27</v>
      </c>
      <c r="AC5437">
        <v>34.069599999999902</v>
      </c>
      <c r="AD5437">
        <v>-1.1181411908279999</v>
      </c>
      <c r="AE5437">
        <v>-0.68695000000000295</v>
      </c>
      <c r="AF5437">
        <v>4.5465827006985498</v>
      </c>
      <c r="AG5437">
        <v>-1.1181411908279999</v>
      </c>
      <c r="AH5437">
        <v>33.734873399215999</v>
      </c>
      <c r="AI5437">
        <v>91.881374243755005</v>
      </c>
      <c r="AJ5437">
        <v>82.324271568030198</v>
      </c>
      <c r="AK5437">
        <v>34.058234499721898</v>
      </c>
      <c r="AL5437">
        <v>79.734426331229898</v>
      </c>
      <c r="AM5437">
        <v>87.428819390111897</v>
      </c>
      <c r="AN5437">
        <v>0.99999992835923301</v>
      </c>
    </row>
    <row r="5438" spans="1:40" x14ac:dyDescent="0.25">
      <c r="A5438" t="str">
        <f>"20190303171123064"</f>
        <v>20190303171123064</v>
      </c>
      <c r="B5438" t="str">
        <f>"1551604283055903"</f>
        <v>1551604283055903</v>
      </c>
      <c r="C5438" t="s">
        <v>40</v>
      </c>
      <c r="D5438">
        <v>4.8543310000000002</v>
      </c>
      <c r="E5438">
        <v>0.53773870000000001</v>
      </c>
      <c r="F5438" t="s">
        <v>106</v>
      </c>
      <c r="G5438">
        <v>-234.60769999999999</v>
      </c>
      <c r="H5438" s="1">
        <v>-2.0636660000000002E-6</v>
      </c>
      <c r="I5438">
        <v>-64.517169999999993</v>
      </c>
      <c r="J5438">
        <v>-268.84640000000002</v>
      </c>
      <c r="K5438">
        <v>1.1181490000000001</v>
      </c>
      <c r="L5438">
        <v>-63.792020000000001</v>
      </c>
      <c r="M5438">
        <v>0.99368679999999998</v>
      </c>
      <c r="N5438">
        <v>-8.8757650000000007E-3</v>
      </c>
      <c r="O5438">
        <v>0.1118382</v>
      </c>
      <c r="P5438">
        <v>0.98320099999999999</v>
      </c>
      <c r="Q5438">
        <v>0.1696039</v>
      </c>
      <c r="R5438">
        <v>6.7455730000000005E-2</v>
      </c>
      <c r="S5438">
        <v>3.0733640000000002</v>
      </c>
      <c r="T5438">
        <v>-9.9952819999999998E-2</v>
      </c>
      <c r="U5438">
        <v>-6.35376E-2</v>
      </c>
      <c r="V5438">
        <v>4.4010460000000001E-2</v>
      </c>
      <c r="W5438">
        <v>0.17807310000000001</v>
      </c>
      <c r="X5438">
        <v>0.98303260000000003</v>
      </c>
      <c r="Y5438">
        <v>0.1322382</v>
      </c>
      <c r="Z5438">
        <v>-5.3742420000000004E-3</v>
      </c>
      <c r="AA5438">
        <v>0.99120339999999996</v>
      </c>
      <c r="AB5438">
        <v>27</v>
      </c>
      <c r="AC5438">
        <v>34.238700000000001</v>
      </c>
      <c r="AD5438">
        <v>-1.1181510636659999</v>
      </c>
      <c r="AE5438">
        <v>-0.72514999999999896</v>
      </c>
      <c r="AF5438">
        <v>4.5451005044825203</v>
      </c>
      <c r="AG5438">
        <v>-1.1181510636659999</v>
      </c>
      <c r="AH5438">
        <v>33.9066357931436</v>
      </c>
      <c r="AI5438">
        <v>91.872046403872403</v>
      </c>
      <c r="AJ5438">
        <v>82.365155167603902</v>
      </c>
      <c r="AK5438">
        <v>34.2281777371497</v>
      </c>
      <c r="AL5438">
        <v>79.742456815349996</v>
      </c>
      <c r="AM5438">
        <v>87.436574438951695</v>
      </c>
      <c r="AN5438">
        <v>1.0000000210978901</v>
      </c>
    </row>
    <row r="5439" spans="1:40" x14ac:dyDescent="0.25">
      <c r="A5439" t="str">
        <f>"20190303171123074"</f>
        <v>20190303171123074</v>
      </c>
      <c r="B5439" t="str">
        <f>"1551604283066639"</f>
        <v>1551604283066639</v>
      </c>
      <c r="C5439" t="s">
        <v>40</v>
      </c>
      <c r="D5439">
        <v>4.8582799999999997</v>
      </c>
      <c r="E5439">
        <v>0.53758149999999905</v>
      </c>
      <c r="F5439" t="s">
        <v>106</v>
      </c>
      <c r="G5439">
        <v>-234.45509999999999</v>
      </c>
      <c r="H5439" s="1">
        <v>-2.006232E-6</v>
      </c>
      <c r="I5439">
        <v>-64.547409999999999</v>
      </c>
      <c r="J5439">
        <v>-268.71929999999998</v>
      </c>
      <c r="K5439">
        <v>1.1181589999999999</v>
      </c>
      <c r="L5439">
        <v>-63.779209999999999</v>
      </c>
      <c r="M5439">
        <v>0.99385820000000002</v>
      </c>
      <c r="N5439">
        <v>-8.8332219999999999E-3</v>
      </c>
      <c r="O5439">
        <v>0.110309</v>
      </c>
      <c r="P5439">
        <v>0.98329359999999999</v>
      </c>
      <c r="Q5439">
        <v>0.1697852</v>
      </c>
      <c r="R5439">
        <v>6.5624459999999996E-2</v>
      </c>
      <c r="S5439">
        <v>3.0731199999999999</v>
      </c>
      <c r="T5439">
        <v>-9.9915030000000002E-2</v>
      </c>
      <c r="U5439">
        <v>-6.7504880000000003E-2</v>
      </c>
      <c r="V5439">
        <v>4.431947E-2</v>
      </c>
      <c r="W5439">
        <v>0.17821189999999901</v>
      </c>
      <c r="X5439">
        <v>0.98299349999999996</v>
      </c>
      <c r="Y5439">
        <v>0.13199420000000001</v>
      </c>
      <c r="Z5439">
        <v>-5.3335099999999996E-3</v>
      </c>
      <c r="AA5439">
        <v>0.99123620000000001</v>
      </c>
      <c r="AB5439">
        <v>27</v>
      </c>
      <c r="AC5439">
        <v>34.264199999999903</v>
      </c>
      <c r="AD5439">
        <v>-1.118161006232</v>
      </c>
      <c r="AE5439">
        <v>-0.76819999999999999</v>
      </c>
      <c r="AF5439">
        <v>4.53847744740564</v>
      </c>
      <c r="AG5439">
        <v>-1.118161006232</v>
      </c>
      <c r="AH5439">
        <v>33.934218335720402</v>
      </c>
      <c r="AI5439">
        <v>91.870617240538493</v>
      </c>
      <c r="AJ5439">
        <v>82.382273657609005</v>
      </c>
      <c r="AK5439">
        <v>34.254623565772903</v>
      </c>
      <c r="AL5439">
        <v>79.734374242871695</v>
      </c>
      <c r="AM5439">
        <v>87.418497618181604</v>
      </c>
      <c r="AN5439">
        <v>0.99999995888246895</v>
      </c>
    </row>
    <row r="5440" spans="1:40" x14ac:dyDescent="0.25">
      <c r="A5440" t="str">
        <f>"20190303171123085"</f>
        <v>20190303171123085</v>
      </c>
      <c r="B5440" t="str">
        <f>"1551604283076400"</f>
        <v>1551604283076400</v>
      </c>
      <c r="C5440" t="s">
        <v>40</v>
      </c>
      <c r="D5440">
        <v>4.7016720000000003</v>
      </c>
      <c r="E5440">
        <v>0.53740580000000004</v>
      </c>
      <c r="F5440" t="s">
        <v>106</v>
      </c>
      <c r="G5440">
        <v>-234.0137</v>
      </c>
      <c r="H5440" s="1">
        <v>-1.8266940000000001E-6</v>
      </c>
      <c r="I5440">
        <v>-64.584329999999994</v>
      </c>
      <c r="J5440">
        <v>-268.58929999999998</v>
      </c>
      <c r="K5440">
        <v>1.1181700000000001</v>
      </c>
      <c r="L5440">
        <v>-63.766390000000001</v>
      </c>
      <c r="M5440">
        <v>0.99402769999999996</v>
      </c>
      <c r="N5440">
        <v>-8.7910379999999993E-3</v>
      </c>
      <c r="O5440">
        <v>0.1087741</v>
      </c>
      <c r="P5440">
        <v>0.98342289999999999</v>
      </c>
      <c r="Q5440">
        <v>0.16984639999999901</v>
      </c>
      <c r="R5440">
        <v>6.3495930000000006E-2</v>
      </c>
      <c r="S5440">
        <v>3.072784</v>
      </c>
      <c r="T5440">
        <v>-9.900022E-2</v>
      </c>
      <c r="U5440">
        <v>-7.1289060000000001E-2</v>
      </c>
      <c r="V5440">
        <v>4.4919290000000001E-2</v>
      </c>
      <c r="W5440">
        <v>0.17822979999999899</v>
      </c>
      <c r="X5440">
        <v>0.98296309999999998</v>
      </c>
      <c r="Y5440">
        <v>0.13168869999999999</v>
      </c>
      <c r="Z5440">
        <v>-5.2416559999999999E-3</v>
      </c>
      <c r="AA5440">
        <v>0.99127730000000003</v>
      </c>
      <c r="AB5440">
        <v>27</v>
      </c>
      <c r="AC5440">
        <v>34.575599999999902</v>
      </c>
      <c r="AD5440">
        <v>-1.1181718266939999</v>
      </c>
      <c r="AE5440">
        <v>-0.81794000000000699</v>
      </c>
      <c r="AF5440">
        <v>4.5693848786448603</v>
      </c>
      <c r="AG5440">
        <v>-1.1181718266939999</v>
      </c>
      <c r="AH5440">
        <v>34.245659022624899</v>
      </c>
      <c r="AI5440">
        <v>91.853711397126602</v>
      </c>
      <c r="AJ5440">
        <v>82.399936887214395</v>
      </c>
      <c r="AK5440">
        <v>34.5672496490116</v>
      </c>
      <c r="AL5440">
        <v>79.7333327010018</v>
      </c>
      <c r="AM5440">
        <v>87.383526969736494</v>
      </c>
      <c r="AN5440">
        <v>1.0000000300918701</v>
      </c>
    </row>
    <row r="5441" spans="1:40" x14ac:dyDescent="0.25">
      <c r="A5441" t="str">
        <f>"20190303171123094"</f>
        <v>20190303171123094</v>
      </c>
      <c r="B5441" t="str">
        <f>"1551604283086159"</f>
        <v>1551604283086159</v>
      </c>
      <c r="C5441" t="s">
        <v>40</v>
      </c>
      <c r="D5441">
        <v>4.6581039999999998</v>
      </c>
      <c r="E5441">
        <v>0.53732000000000002</v>
      </c>
      <c r="F5441" t="s">
        <v>106</v>
      </c>
      <c r="G5441">
        <v>-233.70079999999999</v>
      </c>
      <c r="H5441" s="1">
        <v>-1.704947E-6</v>
      </c>
      <c r="I5441">
        <v>-64.631259999999997</v>
      </c>
      <c r="J5441">
        <v>-268.4597</v>
      </c>
      <c r="K5441">
        <v>1.11819</v>
      </c>
      <c r="L5441">
        <v>-63.753689999999999</v>
      </c>
      <c r="M5441">
        <v>0.99419360000000001</v>
      </c>
      <c r="N5441">
        <v>-8.7493520000000002E-3</v>
      </c>
      <c r="O5441">
        <v>0.1072505</v>
      </c>
      <c r="P5441">
        <v>0.98350490000000002</v>
      </c>
      <c r="Q5441">
        <v>0.16999690000000001</v>
      </c>
      <c r="R5441">
        <v>6.1800029999999999E-2</v>
      </c>
      <c r="S5441">
        <v>3.07254</v>
      </c>
      <c r="T5441">
        <v>-9.8474500000000006E-2</v>
      </c>
      <c r="U5441">
        <v>-7.6171879999999997E-2</v>
      </c>
      <c r="V5441">
        <v>4.5095749999999997E-2</v>
      </c>
      <c r="W5441">
        <v>0.178341</v>
      </c>
      <c r="X5441">
        <v>0.9829348</v>
      </c>
      <c r="Y5441">
        <v>0.13174720000000001</v>
      </c>
      <c r="Z5441">
        <v>-5.1800240000000001E-3</v>
      </c>
      <c r="AA5441">
        <v>0.99126979999999998</v>
      </c>
      <c r="AB5441">
        <v>27</v>
      </c>
      <c r="AC5441">
        <v>34.758899999999997</v>
      </c>
      <c r="AD5441">
        <v>-1.118191704947</v>
      </c>
      <c r="AE5441">
        <v>-0.87756999999999796</v>
      </c>
      <c r="AF5441">
        <v>4.5958064702074601</v>
      </c>
      <c r="AG5441">
        <v>-1.118191704947</v>
      </c>
      <c r="AH5441">
        <v>34.428665236953002</v>
      </c>
      <c r="AI5441">
        <v>91.843883478532206</v>
      </c>
      <c r="AJ5441">
        <v>82.396661615120095</v>
      </c>
      <c r="AK5441">
        <v>34.752047131051</v>
      </c>
      <c r="AL5441">
        <v>79.726857152730105</v>
      </c>
      <c r="AM5441">
        <v>87.373187318404405</v>
      </c>
      <c r="AN5441">
        <v>0.99999998000005097</v>
      </c>
    </row>
    <row r="5442" spans="1:40" x14ac:dyDescent="0.25">
      <c r="A5442" t="str">
        <f>"20190303171123106"</f>
        <v>20190303171123106</v>
      </c>
      <c r="B5442" t="str">
        <f>"1551604283095919"</f>
        <v>1551604283095919</v>
      </c>
      <c r="C5442" t="s">
        <v>40</v>
      </c>
      <c r="D5442">
        <v>4.62643</v>
      </c>
      <c r="E5442">
        <v>0.5372519</v>
      </c>
      <c r="F5442" t="s">
        <v>106</v>
      </c>
      <c r="G5442">
        <v>-233.2244</v>
      </c>
      <c r="H5442" s="1">
        <v>-1.513025E-6</v>
      </c>
      <c r="I5442">
        <v>-64.677989999999994</v>
      </c>
      <c r="J5442">
        <v>-268.32139999999998</v>
      </c>
      <c r="K5442">
        <v>1.118217</v>
      </c>
      <c r="L5442">
        <v>-63.740479999999998</v>
      </c>
      <c r="M5442">
        <v>0.99436310000000006</v>
      </c>
      <c r="N5442">
        <v>-8.707144E-3</v>
      </c>
      <c r="O5442">
        <v>0.1056706</v>
      </c>
      <c r="P5442">
        <v>0.98360230000000004</v>
      </c>
      <c r="Q5442">
        <v>0.17007320000000001</v>
      </c>
      <c r="R5442">
        <v>6.0013320000000002E-2</v>
      </c>
      <c r="S5442">
        <v>3.072235</v>
      </c>
      <c r="T5442">
        <v>-9.7497219999999996E-2</v>
      </c>
      <c r="U5442">
        <v>-8.0596920000000002E-2</v>
      </c>
      <c r="V5442">
        <v>4.5303959999999997E-2</v>
      </c>
      <c r="W5442">
        <v>0.1783776</v>
      </c>
      <c r="X5442">
        <v>0.98291859999999998</v>
      </c>
      <c r="Y5442">
        <v>0.1316041</v>
      </c>
      <c r="Z5442">
        <v>-5.088314E-3</v>
      </c>
      <c r="AA5442">
        <v>0.99128930000000004</v>
      </c>
      <c r="AB5442">
        <v>27</v>
      </c>
      <c r="AC5442">
        <v>35.096999999999902</v>
      </c>
      <c r="AD5442">
        <v>-1.118218513025</v>
      </c>
      <c r="AE5442">
        <v>-0.93751000000000295</v>
      </c>
      <c r="AF5442">
        <v>4.6364190607693496</v>
      </c>
      <c r="AG5442">
        <v>-1.118218513025</v>
      </c>
      <c r="AH5442">
        <v>34.766146278721799</v>
      </c>
      <c r="AI5442">
        <v>91.826071034238694</v>
      </c>
      <c r="AJ5442">
        <v>82.403846056894395</v>
      </c>
      <c r="AK5442">
        <v>35.091761446576299</v>
      </c>
      <c r="AL5442">
        <v>79.724726116329606</v>
      </c>
      <c r="AM5442">
        <v>87.361032827339699</v>
      </c>
      <c r="AN5442">
        <v>0.99999999559969999</v>
      </c>
    </row>
    <row r="5443" spans="1:40" x14ac:dyDescent="0.25">
      <c r="A5443" t="str">
        <f>"20190303171123118"</f>
        <v>20190303171123118</v>
      </c>
      <c r="B5443" t="str">
        <f>"1551604283106655"</f>
        <v>1551604283106655</v>
      </c>
      <c r="C5443" t="s">
        <v>40</v>
      </c>
      <c r="D5443">
        <v>4.880878</v>
      </c>
      <c r="E5443">
        <v>0.53712729999999997</v>
      </c>
      <c r="F5443" t="s">
        <v>106</v>
      </c>
      <c r="G5443">
        <v>-232.79560000000001</v>
      </c>
      <c r="H5443" s="1">
        <v>-1.3433619999999999E-6</v>
      </c>
      <c r="I5443">
        <v>-64.731780000000001</v>
      </c>
      <c r="J5443">
        <v>-268.1823</v>
      </c>
      <c r="K5443">
        <v>1.118247</v>
      </c>
      <c r="L5443">
        <v>-63.727260000000001</v>
      </c>
      <c r="M5443">
        <v>0.99452969999999896</v>
      </c>
      <c r="N5443">
        <v>-8.6651530000000001E-3</v>
      </c>
      <c r="O5443">
        <v>0.1040946</v>
      </c>
      <c r="P5443">
        <v>0.98368350000000004</v>
      </c>
      <c r="Q5443">
        <v>0.1701607</v>
      </c>
      <c r="R5443">
        <v>5.8414699999999903E-2</v>
      </c>
      <c r="S5443">
        <v>3.0719599999999998</v>
      </c>
      <c r="T5443">
        <v>-9.6693630000000003E-2</v>
      </c>
      <c r="U5443">
        <v>-8.5723880000000002E-2</v>
      </c>
      <c r="V5443">
        <v>4.5327029999999997E-2</v>
      </c>
      <c r="W5443">
        <v>0.17842729999999901</v>
      </c>
      <c r="X5443">
        <v>0.98290849999999996</v>
      </c>
      <c r="Y5443">
        <v>0.1316908</v>
      </c>
      <c r="Z5443">
        <v>-5.0117149999999999E-3</v>
      </c>
      <c r="AA5443">
        <v>0.9912782</v>
      </c>
      <c r="AB5443">
        <v>27</v>
      </c>
      <c r="AC5443">
        <v>35.386699999999898</v>
      </c>
      <c r="AD5443">
        <v>-1.1182483433620001</v>
      </c>
      <c r="AE5443">
        <v>-1.0045199999999901</v>
      </c>
      <c r="AF5443">
        <v>4.6780971014243597</v>
      </c>
      <c r="AG5443">
        <v>-1.1182483433620001</v>
      </c>
      <c r="AH5443">
        <v>35.054896724320997</v>
      </c>
      <c r="AI5443">
        <v>91.811066402095406</v>
      </c>
      <c r="AJ5443">
        <v>82.398755046621503</v>
      </c>
      <c r="AK5443">
        <v>35.383341506994498</v>
      </c>
      <c r="AL5443">
        <v>79.721831928971497</v>
      </c>
      <c r="AM5443">
        <v>87.359663802729401</v>
      </c>
      <c r="AN5443">
        <v>0.99999998020308001</v>
      </c>
    </row>
    <row r="5444" spans="1:40" x14ac:dyDescent="0.25">
      <c r="A5444" t="str">
        <f>"20190303171123129"</f>
        <v>20190303171123129</v>
      </c>
      <c r="B5444" t="str">
        <f>"1551604283116415"</f>
        <v>1551604283116415</v>
      </c>
      <c r="C5444" t="s">
        <v>40</v>
      </c>
      <c r="D5444">
        <v>4.8016160000000001</v>
      </c>
      <c r="E5444">
        <v>0.53712729999999997</v>
      </c>
      <c r="F5444" t="s">
        <v>106</v>
      </c>
      <c r="G5444">
        <v>-232.34829999999999</v>
      </c>
      <c r="H5444" s="1">
        <v>-1.162996E-6</v>
      </c>
      <c r="I5444">
        <v>-64.774959999999993</v>
      </c>
      <c r="J5444">
        <v>-268.03949999999998</v>
      </c>
      <c r="K5444">
        <v>1.1182859999999999</v>
      </c>
      <c r="L5444">
        <v>-63.713990000000003</v>
      </c>
      <c r="M5444">
        <v>0.99469289999999999</v>
      </c>
      <c r="N5444">
        <v>-8.6230609999999996E-3</v>
      </c>
      <c r="O5444">
        <v>0.10252749999999999</v>
      </c>
      <c r="P5444">
        <v>0.98380670000000003</v>
      </c>
      <c r="Q5444">
        <v>0.16995739999999901</v>
      </c>
      <c r="R5444">
        <v>5.6910259999999997E-2</v>
      </c>
      <c r="S5444">
        <v>3.0716860000000001</v>
      </c>
      <c r="T5444">
        <v>-9.5856189999999994E-2</v>
      </c>
      <c r="U5444">
        <v>-8.9813229999999994E-2</v>
      </c>
      <c r="V5444">
        <v>4.5264690000000003E-2</v>
      </c>
      <c r="W5444">
        <v>0.1781885</v>
      </c>
      <c r="X5444">
        <v>0.98295469999999896</v>
      </c>
      <c r="Y5444">
        <v>0.1314524</v>
      </c>
      <c r="Z5444">
        <v>-4.9276240000000002E-3</v>
      </c>
      <c r="AA5444">
        <v>0.99131020000000003</v>
      </c>
      <c r="AB5444">
        <v>28</v>
      </c>
      <c r="AC5444">
        <v>35.691199999999903</v>
      </c>
      <c r="AD5444">
        <v>-1.1182871629960001</v>
      </c>
      <c r="AE5444">
        <v>-1.06096999999999</v>
      </c>
      <c r="AF5444">
        <v>4.7102236282367302</v>
      </c>
      <c r="AG5444">
        <v>-1.1182871629960001</v>
      </c>
      <c r="AH5444">
        <v>35.3596344837811</v>
      </c>
      <c r="AI5444">
        <v>91.795587527744999</v>
      </c>
      <c r="AJ5444">
        <v>82.412352778995896</v>
      </c>
      <c r="AK5444">
        <v>35.6895015884717</v>
      </c>
      <c r="AL5444">
        <v>79.735737074298399</v>
      </c>
      <c r="AM5444">
        <v>87.363413783444599</v>
      </c>
      <c r="AN5444">
        <v>0.99999998797256695</v>
      </c>
    </row>
    <row r="5445" spans="1:40" x14ac:dyDescent="0.25">
      <c r="A5445" t="str">
        <f>"20190303171123143"</f>
        <v>20190303171123143</v>
      </c>
      <c r="B5445" t="str">
        <f>"1551604283135935"</f>
        <v>1551604283135935</v>
      </c>
      <c r="C5445" t="s">
        <v>40</v>
      </c>
      <c r="D5445">
        <v>4.6323869999999996</v>
      </c>
      <c r="E5445">
        <v>0.53711169999999997</v>
      </c>
      <c r="F5445" t="s">
        <v>106</v>
      </c>
      <c r="G5445">
        <v>-232.41380000000001</v>
      </c>
      <c r="H5445" s="1">
        <v>-1.200906E-6</v>
      </c>
      <c r="I5445">
        <v>-64.811949999999996</v>
      </c>
      <c r="J5445">
        <v>-267.86880000000002</v>
      </c>
      <c r="K5445">
        <v>1.1183459999999901</v>
      </c>
      <c r="L5445">
        <v>-63.698300000000003</v>
      </c>
      <c r="M5445">
        <v>0.99488069999999895</v>
      </c>
      <c r="N5445">
        <v>-8.5744199999999993E-3</v>
      </c>
      <c r="O5445">
        <v>0.1006924</v>
      </c>
      <c r="P5445">
        <v>0.98387219999999997</v>
      </c>
      <c r="Q5445">
        <v>0.17006540000000001</v>
      </c>
      <c r="R5445">
        <v>5.5436579999999999E-2</v>
      </c>
      <c r="S5445">
        <v>3.071472</v>
      </c>
      <c r="T5445">
        <v>-9.6413139999999994E-2</v>
      </c>
      <c r="U5445">
        <v>-9.4665529999999998E-2</v>
      </c>
      <c r="V5445">
        <v>4.4897930000000003E-2</v>
      </c>
      <c r="W5445">
        <v>0.178256</v>
      </c>
      <c r="X5445">
        <v>0.98295929999999998</v>
      </c>
      <c r="Y5445">
        <v>0.13118969999999999</v>
      </c>
      <c r="Z5445">
        <v>-4.9133720000000001E-3</v>
      </c>
      <c r="AA5445">
        <v>0.99134509999999998</v>
      </c>
      <c r="AB5445">
        <v>28</v>
      </c>
      <c r="AC5445">
        <v>35.454999999999998</v>
      </c>
      <c r="AD5445">
        <v>-1.11834720090599</v>
      </c>
      <c r="AE5445">
        <v>-1.11364999999999</v>
      </c>
      <c r="AF5445">
        <v>4.6735243948473002</v>
      </c>
      <c r="AG5445">
        <v>-1.11834720090599</v>
      </c>
      <c r="AH5445">
        <v>35.127734550379301</v>
      </c>
      <c r="AI5445">
        <v>91.807569516175704</v>
      </c>
      <c r="AJ5445">
        <v>82.421661162419099</v>
      </c>
      <c r="AK5445">
        <v>35.454904673019797</v>
      </c>
      <c r="AL5445">
        <v>79.731806867112894</v>
      </c>
      <c r="AM5445">
        <v>87.384759329870704</v>
      </c>
      <c r="AN5445">
        <v>1.0000000055553799</v>
      </c>
    </row>
    <row r="5446" spans="1:40" x14ac:dyDescent="0.25">
      <c r="A5446" t="str">
        <f>"20190303171123155"</f>
        <v>20190303171123155</v>
      </c>
      <c r="B5446" t="str">
        <f>"1551604283146671"</f>
        <v>1551604283146671</v>
      </c>
      <c r="C5446" t="s">
        <v>40</v>
      </c>
      <c r="D5446">
        <v>4.6324449999999997</v>
      </c>
      <c r="E5446">
        <v>0.53708509999999998</v>
      </c>
      <c r="F5446" t="s">
        <v>106</v>
      </c>
      <c r="G5446">
        <v>-231.5137</v>
      </c>
      <c r="H5446" s="1">
        <v>-8.308494E-7</v>
      </c>
      <c r="I5446">
        <v>-64.872339999999994</v>
      </c>
      <c r="J5446">
        <v>-267.72640000000001</v>
      </c>
      <c r="K5446">
        <v>1.11839</v>
      </c>
      <c r="L5446">
        <v>-63.685360000000003</v>
      </c>
      <c r="M5446">
        <v>0.99503200000000003</v>
      </c>
      <c r="N5446">
        <v>-8.5351260000000005E-3</v>
      </c>
      <c r="O5446">
        <v>9.9189879999999994E-2</v>
      </c>
      <c r="P5446">
        <v>0.98395849999999996</v>
      </c>
      <c r="Q5446">
        <v>0.17017539999999901</v>
      </c>
      <c r="R5446">
        <v>5.3536739999999999E-2</v>
      </c>
      <c r="S5446">
        <v>3.0711059999999999</v>
      </c>
      <c r="T5446">
        <v>-9.4472529999999999E-2</v>
      </c>
      <c r="U5446">
        <v>-9.9182129999999993E-2</v>
      </c>
      <c r="V5446">
        <v>4.5290240000000002E-2</v>
      </c>
      <c r="W5446">
        <v>0.17832970000000001</v>
      </c>
      <c r="X5446">
        <v>0.98292789999999997</v>
      </c>
      <c r="Y5446">
        <v>0.13115750000000001</v>
      </c>
      <c r="Z5446">
        <v>-4.7765919999999996E-3</v>
      </c>
      <c r="AA5446">
        <v>0.99135010000000001</v>
      </c>
      <c r="AB5446">
        <v>28</v>
      </c>
      <c r="AC5446">
        <v>36.212699999999998</v>
      </c>
      <c r="AD5446">
        <v>-1.1183908308493999</v>
      </c>
      <c r="AE5446">
        <v>-1.1869800000000099</v>
      </c>
      <c r="AF5446">
        <v>4.7686463898411802</v>
      </c>
      <c r="AG5446">
        <v>-1.1183908308493999</v>
      </c>
      <c r="AH5446">
        <v>35.882175923989998</v>
      </c>
      <c r="AI5446">
        <v>91.7696916654414</v>
      </c>
      <c r="AJ5446">
        <v>82.429901238293894</v>
      </c>
      <c r="AK5446">
        <v>36.214932493131101</v>
      </c>
      <c r="AL5446">
        <v>79.727515061477305</v>
      </c>
      <c r="AM5446">
        <v>87.361855817388303</v>
      </c>
      <c r="AN5446">
        <v>0.99999997216987802</v>
      </c>
    </row>
    <row r="5447" spans="1:40" x14ac:dyDescent="0.25">
      <c r="A5447" t="str">
        <f>"20190303171123165"</f>
        <v>20190303171123165</v>
      </c>
      <c r="B5447" t="str">
        <f>"1551604283156433"</f>
        <v>1551604283156433</v>
      </c>
      <c r="C5447" t="s">
        <v>40</v>
      </c>
      <c r="D5447">
        <v>4.6250450000000001</v>
      </c>
      <c r="E5447">
        <v>0.53699090000000005</v>
      </c>
      <c r="F5447" t="s">
        <v>106</v>
      </c>
      <c r="G5447">
        <v>-231.09370000000001</v>
      </c>
      <c r="H5447" s="1">
        <v>-6.6745469999999996E-7</v>
      </c>
      <c r="I5447">
        <v>-64.935450000000003</v>
      </c>
      <c r="J5447">
        <v>-267.6105</v>
      </c>
      <c r="K5447">
        <v>1.118428</v>
      </c>
      <c r="L5447">
        <v>-63.675080000000001</v>
      </c>
      <c r="M5447">
        <v>0.99514879999999994</v>
      </c>
      <c r="N5447">
        <v>-8.5038010000000001E-3</v>
      </c>
      <c r="O5447">
        <v>9.8013569999999994E-2</v>
      </c>
      <c r="P5447">
        <v>0.98396530000000004</v>
      </c>
      <c r="Q5447">
        <v>0.17053099999999999</v>
      </c>
      <c r="R5447">
        <v>5.2263080000000003E-2</v>
      </c>
      <c r="S5447">
        <v>3.070862</v>
      </c>
      <c r="T5447">
        <v>-9.3752859999999993E-2</v>
      </c>
      <c r="U5447">
        <v>-0.1047974</v>
      </c>
      <c r="V5447">
        <v>4.5379259999999998E-2</v>
      </c>
      <c r="W5447">
        <v>0.1786586</v>
      </c>
      <c r="X5447">
        <v>0.98286410000000002</v>
      </c>
      <c r="Y5447">
        <v>0.13180020000000001</v>
      </c>
      <c r="Z5447">
        <v>-4.7262399999999996E-3</v>
      </c>
      <c r="AA5447">
        <v>0.99126499999999995</v>
      </c>
      <c r="AB5447">
        <v>28</v>
      </c>
      <c r="AC5447">
        <v>36.516799999999897</v>
      </c>
      <c r="AD5447">
        <v>-1.1184286674546999</v>
      </c>
      <c r="AE5447">
        <v>-1.26037</v>
      </c>
      <c r="AF5447">
        <v>4.8290475835151101</v>
      </c>
      <c r="AG5447">
        <v>-1.1184286674546999</v>
      </c>
      <c r="AH5447">
        <v>36.183521946906097</v>
      </c>
      <c r="AI5447">
        <v>91.7548926956527</v>
      </c>
      <c r="AJ5447">
        <v>82.398234228679499</v>
      </c>
      <c r="AK5447">
        <v>36.5214709962546</v>
      </c>
      <c r="AL5447">
        <v>79.708363264303102</v>
      </c>
      <c r="AM5447">
        <v>87.356506433163005</v>
      </c>
      <c r="AN5447">
        <v>1.0000000058304499</v>
      </c>
    </row>
    <row r="5448" spans="1:40" x14ac:dyDescent="0.25">
      <c r="A5448" t="str">
        <f>"20190303171123175"</f>
        <v>20190303171123175</v>
      </c>
      <c r="B5448" t="str">
        <f>"1551604283166191"</f>
        <v>1551604283166191</v>
      </c>
      <c r="C5448" t="s">
        <v>40</v>
      </c>
      <c r="D5448">
        <v>4.6220970000000001</v>
      </c>
      <c r="E5448">
        <v>0.53692109999999904</v>
      </c>
      <c r="F5448" t="s">
        <v>106</v>
      </c>
      <c r="G5448">
        <v>-230.30430000000001</v>
      </c>
      <c r="H5448" s="1">
        <v>-3.4140020000000001E-7</v>
      </c>
      <c r="I5448">
        <v>-64.982730000000004</v>
      </c>
      <c r="J5448">
        <v>-267.47329999999999</v>
      </c>
      <c r="K5448">
        <v>1.118476</v>
      </c>
      <c r="L5448">
        <v>-63.662930000000003</v>
      </c>
      <c r="M5448">
        <v>0.99528439999999996</v>
      </c>
      <c r="N5448">
        <v>-8.4669810000000002E-3</v>
      </c>
      <c r="O5448">
        <v>9.6630049999999995E-2</v>
      </c>
      <c r="P5448">
        <v>0.98397120000000005</v>
      </c>
      <c r="Q5448">
        <v>0.17100570000000001</v>
      </c>
      <c r="R5448">
        <v>5.0574139999999997E-2</v>
      </c>
      <c r="S5448">
        <v>3.0705870000000002</v>
      </c>
      <c r="T5448">
        <v>-9.2055319999999996E-2</v>
      </c>
      <c r="U5448">
        <v>-0.1076355</v>
      </c>
      <c r="V5448">
        <v>4.5674039999999999E-2</v>
      </c>
      <c r="W5448">
        <v>0.1790996</v>
      </c>
      <c r="X5448">
        <v>0.98277009999999998</v>
      </c>
      <c r="Y5448">
        <v>0.13134460000000001</v>
      </c>
      <c r="Z5448">
        <v>-4.5989999999999998E-3</v>
      </c>
      <c r="AA5448">
        <v>0.99132609999999999</v>
      </c>
      <c r="AB5448">
        <v>28</v>
      </c>
      <c r="AC5448">
        <v>37.168999999999897</v>
      </c>
      <c r="AD5448">
        <v>-1.1184763414001999</v>
      </c>
      <c r="AE5448">
        <v>-1.3198000000000001</v>
      </c>
      <c r="AF5448">
        <v>4.9009620198775803</v>
      </c>
      <c r="AG5448">
        <v>-1.1184763414001999</v>
      </c>
      <c r="AH5448">
        <v>36.834201710352303</v>
      </c>
      <c r="AI5448">
        <v>91.724076068851005</v>
      </c>
      <c r="AJ5448">
        <v>82.421045365745599</v>
      </c>
      <c r="AK5448">
        <v>37.175648396302002</v>
      </c>
      <c r="AL5448">
        <v>79.682680785938999</v>
      </c>
      <c r="AM5448">
        <v>87.339104989805193</v>
      </c>
      <c r="AN5448">
        <v>0.99999992705204299</v>
      </c>
    </row>
    <row r="5449" spans="1:40" x14ac:dyDescent="0.25">
      <c r="A5449" t="str">
        <f>"20190303171123186"</f>
        <v>20190303171123186</v>
      </c>
      <c r="B5449" t="str">
        <f>"1551604283175952"</f>
        <v>1551604283175952</v>
      </c>
      <c r="C5449" t="s">
        <v>40</v>
      </c>
      <c r="D5449">
        <v>4.6324360000000002</v>
      </c>
      <c r="E5449">
        <v>0.53684960000000004</v>
      </c>
      <c r="F5449" t="s">
        <v>103</v>
      </c>
      <c r="G5449">
        <v>-229.3982</v>
      </c>
      <c r="H5449" s="1">
        <v>-3.830914E-6</v>
      </c>
      <c r="I5449">
        <v>-65.051469999999995</v>
      </c>
      <c r="J5449">
        <v>-267.3442</v>
      </c>
      <c r="K5449">
        <v>1.1185210000000001</v>
      </c>
      <c r="L5449">
        <v>-63.651699999999998</v>
      </c>
      <c r="M5449">
        <v>0.99540450000000003</v>
      </c>
      <c r="N5449">
        <v>-8.4314349999999993E-3</v>
      </c>
      <c r="O5449">
        <v>9.5388050000000002E-2</v>
      </c>
      <c r="P5449">
        <v>0.98399139999999996</v>
      </c>
      <c r="Q5449">
        <v>0.1713016</v>
      </c>
      <c r="R5449">
        <v>4.9160750000000003E-2</v>
      </c>
      <c r="S5449">
        <v>3.0703130000000001</v>
      </c>
      <c r="T5449">
        <v>-9.0192320000000006E-2</v>
      </c>
      <c r="U5449">
        <v>-0.111969</v>
      </c>
      <c r="V5449">
        <v>4.5836120000000001E-2</v>
      </c>
      <c r="W5449">
        <v>0.17936369999999999</v>
      </c>
      <c r="X5449">
        <v>0.98271450000000005</v>
      </c>
      <c r="Y5449">
        <v>0.1315122</v>
      </c>
      <c r="Z5449">
        <v>-4.4794489999999999E-3</v>
      </c>
      <c r="AA5449">
        <v>0.99130450000000003</v>
      </c>
      <c r="AB5449">
        <v>28</v>
      </c>
      <c r="AC5449">
        <v>37.945999999999998</v>
      </c>
      <c r="AD5449">
        <v>-1.1185248309139999</v>
      </c>
      <c r="AE5449">
        <v>-1.39976999999999</v>
      </c>
      <c r="AF5449">
        <v>5.0087641785317896</v>
      </c>
      <c r="AG5449">
        <v>-1.1185248309139999</v>
      </c>
      <c r="AH5449">
        <v>37.6068027200416</v>
      </c>
      <c r="AI5449">
        <v>91.688720850930807</v>
      </c>
      <c r="AJ5449">
        <v>82.413554285358899</v>
      </c>
      <c r="AK5449">
        <v>37.9553741546259</v>
      </c>
      <c r="AL5449">
        <v>79.667301060480099</v>
      </c>
      <c r="AM5449">
        <v>87.329525254198103</v>
      </c>
      <c r="AN5449">
        <v>1.00000003764229</v>
      </c>
    </row>
    <row r="5450" spans="1:40" x14ac:dyDescent="0.25">
      <c r="A5450" t="str">
        <f>"20190303171123195"</f>
        <v>20190303171123195</v>
      </c>
      <c r="B5450" t="str">
        <f>"1551604283186687"</f>
        <v>1551604283186687</v>
      </c>
      <c r="C5450" t="s">
        <v>40</v>
      </c>
      <c r="D5450">
        <v>4.6412339999999999</v>
      </c>
      <c r="E5450">
        <v>0.53676199999999996</v>
      </c>
      <c r="F5450" t="s">
        <v>103</v>
      </c>
      <c r="G5450">
        <v>-228.74700000000001</v>
      </c>
      <c r="H5450" s="1">
        <v>-3.6160580000000001E-6</v>
      </c>
      <c r="I5450">
        <v>-65.101990000000001</v>
      </c>
      <c r="J5450">
        <v>-267.21660000000003</v>
      </c>
      <c r="K5450">
        <v>1.1185620000000001</v>
      </c>
      <c r="L5450">
        <v>-63.640659999999997</v>
      </c>
      <c r="M5450">
        <v>0.9955212</v>
      </c>
      <c r="N5450">
        <v>-8.3963490000000009E-3</v>
      </c>
      <c r="O5450">
        <v>9.4164739999999997E-2</v>
      </c>
      <c r="P5450">
        <v>0.98402109999999998</v>
      </c>
      <c r="Q5450">
        <v>0.17149719999999999</v>
      </c>
      <c r="R5450">
        <v>4.786696E-2</v>
      </c>
      <c r="S5450">
        <v>3.0700379999999998</v>
      </c>
      <c r="T5450">
        <v>-8.8967920000000006E-2</v>
      </c>
      <c r="U5450">
        <v>-0.115356399999999</v>
      </c>
      <c r="V5450">
        <v>4.5898330000000001E-2</v>
      </c>
      <c r="W5450">
        <v>0.1795293</v>
      </c>
      <c r="X5450">
        <v>0.98268129999999998</v>
      </c>
      <c r="Y5450">
        <v>0.13139229999999999</v>
      </c>
      <c r="Z5450">
        <v>-4.3894140000000003E-3</v>
      </c>
      <c r="AA5450">
        <v>0.99132070000000005</v>
      </c>
      <c r="AB5450">
        <v>28</v>
      </c>
      <c r="AC5450">
        <v>38.4696</v>
      </c>
      <c r="AD5450">
        <v>-1.118565616058</v>
      </c>
      <c r="AE5450">
        <v>-1.46133</v>
      </c>
      <c r="AF5450">
        <v>5.0731610465409203</v>
      </c>
      <c r="AG5450">
        <v>-1.118565616058</v>
      </c>
      <c r="AH5450">
        <v>38.128853035002798</v>
      </c>
      <c r="AI5450">
        <v>91.665702458678894</v>
      </c>
      <c r="AJ5450">
        <v>82.421134489256104</v>
      </c>
      <c r="AK5450">
        <v>38.481132855029202</v>
      </c>
      <c r="AL5450">
        <v>79.657655740049094</v>
      </c>
      <c r="AM5450">
        <v>87.325815858934902</v>
      </c>
      <c r="AN5450">
        <v>0.99999998181248395</v>
      </c>
    </row>
    <row r="5451" spans="1:40" x14ac:dyDescent="0.25">
      <c r="A5451" t="str">
        <f>"20190303171123208"</f>
        <v>20190303171123208</v>
      </c>
      <c r="B5451" t="str">
        <f>"1551604283196447"</f>
        <v>1551604283196447</v>
      </c>
      <c r="C5451" t="s">
        <v>40</v>
      </c>
      <c r="D5451">
        <v>4.6764609999999998</v>
      </c>
      <c r="E5451">
        <v>0.53676579999999996</v>
      </c>
      <c r="F5451" t="s">
        <v>103</v>
      </c>
      <c r="G5451">
        <v>-228.50360000000001</v>
      </c>
      <c r="H5451" s="1">
        <v>-3.5377E-6</v>
      </c>
      <c r="I5451">
        <v>-65.135359999999906</v>
      </c>
      <c r="J5451">
        <v>-267.0752</v>
      </c>
      <c r="K5451">
        <v>1.1186039999999999</v>
      </c>
      <c r="L5451">
        <v>-63.628689999999999</v>
      </c>
      <c r="M5451">
        <v>0.99564249999999999</v>
      </c>
      <c r="N5451">
        <v>-8.3566619999999904E-3</v>
      </c>
      <c r="O5451">
        <v>9.2876600000000004E-2</v>
      </c>
      <c r="P5451">
        <v>0.98405410000000004</v>
      </c>
      <c r="Q5451">
        <v>0.171653</v>
      </c>
      <c r="R5451">
        <v>4.6614379999999997E-2</v>
      </c>
      <c r="S5451">
        <v>3.0699459999999998</v>
      </c>
      <c r="T5451">
        <v>-8.870256E-2</v>
      </c>
      <c r="U5451">
        <v>-0.11853030000000001</v>
      </c>
      <c r="V5451">
        <v>4.5854470000000001E-2</v>
      </c>
      <c r="W5451">
        <v>0.17965130000000001</v>
      </c>
      <c r="X5451">
        <v>0.98266109999999895</v>
      </c>
      <c r="Y5451">
        <v>0.1311351</v>
      </c>
      <c r="Z5451">
        <v>-4.3457469999999996E-3</v>
      </c>
      <c r="AA5451">
        <v>0.99135499999999999</v>
      </c>
      <c r="AB5451">
        <v>28</v>
      </c>
      <c r="AC5451">
        <v>38.571599999999897</v>
      </c>
      <c r="AD5451">
        <v>-1.1186075377</v>
      </c>
      <c r="AE5451">
        <v>-1.50666999999999</v>
      </c>
      <c r="AF5451">
        <v>5.0784168390721796</v>
      </c>
      <c r="AG5451">
        <v>-1.1186075377</v>
      </c>
      <c r="AH5451">
        <v>38.232821588750298</v>
      </c>
      <c r="AI5451">
        <v>91.661286249066507</v>
      </c>
      <c r="AJ5451">
        <v>82.433765578713405</v>
      </c>
      <c r="AK5451">
        <v>38.584844784604002</v>
      </c>
      <c r="AL5451">
        <v>79.650550629573601</v>
      </c>
      <c r="AM5451">
        <v>87.328312739549304</v>
      </c>
      <c r="AN5451">
        <v>1.00000002973193</v>
      </c>
    </row>
    <row r="5452" spans="1:40" x14ac:dyDescent="0.25">
      <c r="A5452" t="str">
        <f>"20190303171123218"</f>
        <v>20190303171123218</v>
      </c>
      <c r="B5452" t="str">
        <f>"1551604283206207"</f>
        <v>1551604283206207</v>
      </c>
      <c r="C5452" t="s">
        <v>40</v>
      </c>
      <c r="D5452">
        <v>4.5633850000000002</v>
      </c>
      <c r="E5452">
        <v>0.53667240000000005</v>
      </c>
      <c r="F5452" t="s">
        <v>103</v>
      </c>
      <c r="G5452">
        <v>-227.78489999999999</v>
      </c>
      <c r="H5452" s="1">
        <v>-3.3011270000000001E-6</v>
      </c>
      <c r="I5452">
        <v>-65.195440000000005</v>
      </c>
      <c r="J5452">
        <v>-266.9341</v>
      </c>
      <c r="K5452">
        <v>1.1186469999999999</v>
      </c>
      <c r="L5452">
        <v>-63.616790000000002</v>
      </c>
      <c r="M5452">
        <v>0.9957608</v>
      </c>
      <c r="N5452">
        <v>-8.3169969999999996E-3</v>
      </c>
      <c r="O5452">
        <v>9.160422E-2</v>
      </c>
      <c r="P5452">
        <v>0.98410580000000003</v>
      </c>
      <c r="Q5452">
        <v>0.1716435</v>
      </c>
      <c r="R5452">
        <v>4.5545530000000001E-2</v>
      </c>
      <c r="S5452">
        <v>3.0696409999999998</v>
      </c>
      <c r="T5452">
        <v>-8.7393520000000002E-2</v>
      </c>
      <c r="U5452">
        <v>-0.122406</v>
      </c>
      <c r="V5452">
        <v>4.5645129999999999E-2</v>
      </c>
      <c r="W5452">
        <v>0.17960950000000001</v>
      </c>
      <c r="X5452">
        <v>0.98267850000000001</v>
      </c>
      <c r="Y5452">
        <v>0.13112470000000001</v>
      </c>
      <c r="Z5452">
        <v>-4.2540599999999996E-3</v>
      </c>
      <c r="AA5452">
        <v>0.99135669999999998</v>
      </c>
      <c r="AB5452">
        <v>28</v>
      </c>
      <c r="AC5452">
        <v>39.1492</v>
      </c>
      <c r="AD5452">
        <v>-1.1186503011269999</v>
      </c>
      <c r="AE5452">
        <v>-1.5786500000000001</v>
      </c>
      <c r="AF5452">
        <v>5.1541665144370903</v>
      </c>
      <c r="AG5452">
        <v>-1.1186503011269999</v>
      </c>
      <c r="AH5452">
        <v>38.808334979368198</v>
      </c>
      <c r="AI5452">
        <v>91.636729840762598</v>
      </c>
      <c r="AJ5452">
        <v>82.434773921916403</v>
      </c>
      <c r="AK5452">
        <v>39.165082341616603</v>
      </c>
      <c r="AL5452">
        <v>79.652985325514393</v>
      </c>
      <c r="AM5452">
        <v>87.340539299144694</v>
      </c>
      <c r="AN5452">
        <v>1.0000000423726001</v>
      </c>
    </row>
    <row r="5453" spans="1:40" x14ac:dyDescent="0.25">
      <c r="A5453" t="str">
        <f>"20190303171123229"</f>
        <v>20190303171123229</v>
      </c>
      <c r="B5453" t="str">
        <f>"1551604283215968"</f>
        <v>1551604283215968</v>
      </c>
      <c r="C5453" t="s">
        <v>40</v>
      </c>
      <c r="D5453">
        <v>4.5701510000000001</v>
      </c>
      <c r="E5453">
        <v>0.53656289999999995</v>
      </c>
      <c r="F5453" t="s">
        <v>103</v>
      </c>
      <c r="G5453">
        <v>-227.44669999999999</v>
      </c>
      <c r="H5453" s="1">
        <v>-3.1902130000000001E-6</v>
      </c>
      <c r="I5453">
        <v>-65.226460000000003</v>
      </c>
      <c r="J5453">
        <v>-266.79320000000001</v>
      </c>
      <c r="K5453">
        <v>1.118684</v>
      </c>
      <c r="L5453">
        <v>-63.605130000000003</v>
      </c>
      <c r="M5453">
        <v>0.99587320000000001</v>
      </c>
      <c r="N5453">
        <v>-8.2768679999999997E-3</v>
      </c>
      <c r="O5453">
        <v>9.0377659999999999E-2</v>
      </c>
      <c r="P5453">
        <v>0.98403819999999997</v>
      </c>
      <c r="Q5453">
        <v>0.17230000000000001</v>
      </c>
      <c r="R5453">
        <v>4.4517090000000002E-2</v>
      </c>
      <c r="S5453">
        <v>3.0693969999999999</v>
      </c>
      <c r="T5453">
        <v>-8.6953999999999906E-2</v>
      </c>
      <c r="U5453">
        <v>-0.12512210000000001</v>
      </c>
      <c r="V5453">
        <v>4.5434969999999998E-2</v>
      </c>
      <c r="W5453">
        <v>0.180231</v>
      </c>
      <c r="X5453">
        <v>0.98257439999999996</v>
      </c>
      <c r="Y5453">
        <v>0.13078380000000001</v>
      </c>
      <c r="Z5453">
        <v>-4.2022400000000003E-3</v>
      </c>
      <c r="AA5453">
        <v>0.99140200000000001</v>
      </c>
      <c r="AB5453">
        <v>28</v>
      </c>
      <c r="AC5453">
        <v>39.346499999999999</v>
      </c>
      <c r="AD5453">
        <v>-1.118687190213</v>
      </c>
      <c r="AE5453">
        <v>-1.6213299999999999</v>
      </c>
      <c r="AF5453">
        <v>5.1666911955997401</v>
      </c>
      <c r="AG5453">
        <v>-1.118687190213</v>
      </c>
      <c r="AH5453">
        <v>39.007450310719101</v>
      </c>
      <c r="AI5453">
        <v>91.628508959751699</v>
      </c>
      <c r="AJ5453">
        <v>82.454866724345493</v>
      </c>
      <c r="AK5453">
        <v>39.364036107638398</v>
      </c>
      <c r="AL5453">
        <v>79.616784820276706</v>
      </c>
      <c r="AM5453">
        <v>87.352486504492106</v>
      </c>
      <c r="AN5453">
        <v>1.00000000069763</v>
      </c>
    </row>
    <row r="5454" spans="1:40" x14ac:dyDescent="0.25">
      <c r="A5454" t="str">
        <f>"20190303171123243"</f>
        <v>20190303171123243</v>
      </c>
      <c r="B5454" t="str">
        <f>"1551604283236464"</f>
        <v>1551604283236464</v>
      </c>
      <c r="C5454" t="s">
        <v>40</v>
      </c>
      <c r="D5454">
        <v>4.7423780000000004</v>
      </c>
      <c r="E5454">
        <v>0.5141791</v>
      </c>
      <c r="F5454" t="s">
        <v>103</v>
      </c>
      <c r="G5454">
        <v>-226.0136</v>
      </c>
      <c r="H5454" s="1">
        <v>-2.7125179999999999E-6</v>
      </c>
      <c r="I5454">
        <v>-65.301240000000007</v>
      </c>
      <c r="J5454">
        <v>-266.62880000000001</v>
      </c>
      <c r="K5454">
        <v>1.1187199999999999</v>
      </c>
      <c r="L5454">
        <v>-63.591669999999901</v>
      </c>
      <c r="M5454">
        <v>0.99600010000000005</v>
      </c>
      <c r="N5454">
        <v>-8.2317050000000006E-3</v>
      </c>
      <c r="O5454">
        <v>8.8971850000000005E-2</v>
      </c>
      <c r="P5454">
        <v>0.98401939999999999</v>
      </c>
      <c r="Q5454">
        <v>0.17272470000000001</v>
      </c>
      <c r="R5454">
        <v>4.3264820000000002E-2</v>
      </c>
      <c r="S5454">
        <v>3.0692140000000001</v>
      </c>
      <c r="T5454">
        <v>-8.419633E-2</v>
      </c>
      <c r="U5454">
        <v>-0.12765499999999999</v>
      </c>
      <c r="V5454">
        <v>4.5274170000000002E-2</v>
      </c>
      <c r="W5454">
        <v>0.18061659999999999</v>
      </c>
      <c r="X5454">
        <v>0.98251100000000002</v>
      </c>
      <c r="Y5454">
        <v>0.1302094</v>
      </c>
      <c r="Z5454">
        <v>-4.0267130000000003E-3</v>
      </c>
      <c r="AA5454">
        <v>0.99147830000000003</v>
      </c>
      <c r="AB5454">
        <v>28</v>
      </c>
      <c r="AC5454">
        <v>40.615200000000002</v>
      </c>
      <c r="AD5454">
        <v>-1.1187227125179999</v>
      </c>
      <c r="AE5454">
        <v>-1.70957000000001</v>
      </c>
      <c r="AF5454">
        <v>5.3124981926945303</v>
      </c>
      <c r="AG5454">
        <v>-1.1187227125179999</v>
      </c>
      <c r="AH5454">
        <v>40.2715063447042</v>
      </c>
      <c r="AI5454">
        <v>91.577579043318295</v>
      </c>
      <c r="AJ5454">
        <v>82.485101189885995</v>
      </c>
      <c r="AK5454">
        <v>40.635801958697002</v>
      </c>
      <c r="AL5454">
        <v>79.594322789168103</v>
      </c>
      <c r="AM5454">
        <v>87.361673126372395</v>
      </c>
      <c r="AN5454">
        <v>0.99999998589287398</v>
      </c>
    </row>
    <row r="5455" spans="1:40" x14ac:dyDescent="0.25">
      <c r="A5455" t="str">
        <f>"20190303171123253"</f>
        <v>20190303171123253</v>
      </c>
      <c r="B5455" t="str">
        <f>"1551604283246223"</f>
        <v>1551604283246223</v>
      </c>
      <c r="C5455" t="s">
        <v>40</v>
      </c>
      <c r="D5455">
        <v>4.6898589999999896</v>
      </c>
      <c r="E5455">
        <v>0.50811759999999995</v>
      </c>
      <c r="F5455" t="s">
        <v>68</v>
      </c>
      <c r="G5455">
        <v>-193.15219999999999</v>
      </c>
      <c r="H5455" s="1">
        <v>-8.6192939999999992E-6</v>
      </c>
      <c r="I5455">
        <v>-62.505339999999997</v>
      </c>
      <c r="J5455">
        <v>-266.5043</v>
      </c>
      <c r="K5455">
        <v>1.1187450000000001</v>
      </c>
      <c r="L5455">
        <v>-63.5815699999999</v>
      </c>
      <c r="M5455">
        <v>0.99609349999999997</v>
      </c>
      <c r="N5455">
        <v>-8.1986079999999996E-3</v>
      </c>
      <c r="O5455">
        <v>8.7924379999999996E-2</v>
      </c>
      <c r="P5455">
        <v>0.98394709999999996</v>
      </c>
      <c r="Q5455">
        <v>0.17343810000000001</v>
      </c>
      <c r="R5455">
        <v>4.2041160000000001E-2</v>
      </c>
      <c r="S5455">
        <v>3.0549010000000001</v>
      </c>
      <c r="T5455">
        <v>-4.651284E-2</v>
      </c>
      <c r="U5455">
        <v>4.5166020000000001E-2</v>
      </c>
      <c r="V5455">
        <v>4.5442049999999998E-2</v>
      </c>
      <c r="W5455">
        <v>0.1812984</v>
      </c>
      <c r="X5455">
        <v>0.98237770000000002</v>
      </c>
      <c r="Y5455">
        <v>7.3176640000000001E-2</v>
      </c>
      <c r="Z5455">
        <v>-1.4724510000000001E-3</v>
      </c>
      <c r="AA5455">
        <v>0.99731789999999998</v>
      </c>
      <c r="AB5455">
        <v>28</v>
      </c>
      <c r="AC5455">
        <v>73.352099999999993</v>
      </c>
      <c r="AD5455">
        <v>-1.118753619294</v>
      </c>
      <c r="AE5455">
        <v>1.07622999999998</v>
      </c>
      <c r="AF5455">
        <v>5.3763421075851499</v>
      </c>
      <c r="AG5455">
        <v>-1.118753619294</v>
      </c>
      <c r="AH5455">
        <v>73.145618082198396</v>
      </c>
      <c r="AI5455">
        <v>90.873906772271894</v>
      </c>
      <c r="AJ5455">
        <v>85.796210675576305</v>
      </c>
      <c r="AK5455">
        <v>73.351469710874298</v>
      </c>
      <c r="AL5455">
        <v>79.554603119351</v>
      </c>
      <c r="AM5455">
        <v>87.351545101978999</v>
      </c>
      <c r="AN5455">
        <v>1.00000001760402</v>
      </c>
    </row>
    <row r="5456" spans="1:40" x14ac:dyDescent="0.25">
      <c r="A5456" t="str">
        <f>"20190303171123264"</f>
        <v>20190303171123264</v>
      </c>
      <c r="B5456" t="str">
        <f>"1551604283255983"</f>
        <v>1551604283255983</v>
      </c>
      <c r="C5456" t="s">
        <v>40</v>
      </c>
      <c r="D5456">
        <v>4.7462949999999999</v>
      </c>
      <c r="E5456">
        <v>0.50366440000000001</v>
      </c>
      <c r="F5456" t="s">
        <v>68</v>
      </c>
      <c r="G5456">
        <v>-180.31729999999999</v>
      </c>
      <c r="H5456" s="1">
        <v>-1.0030419999999999E-5</v>
      </c>
      <c r="I5456">
        <v>-61.045380000000002</v>
      </c>
      <c r="J5456">
        <v>-266.36130000000003</v>
      </c>
      <c r="K5456">
        <v>1.1187659999999999</v>
      </c>
      <c r="L5456">
        <v>-63.570189999999997</v>
      </c>
      <c r="M5456">
        <v>0.99619740000000001</v>
      </c>
      <c r="N5456">
        <v>-8.1589249999999992E-3</v>
      </c>
      <c r="O5456">
        <v>8.6742230000000003E-2</v>
      </c>
      <c r="P5456">
        <v>0.98386130000000005</v>
      </c>
      <c r="Q5456">
        <v>0.17419389999999901</v>
      </c>
      <c r="R5456">
        <v>4.0912660000000003E-2</v>
      </c>
      <c r="S5456">
        <v>3.0521240000000001</v>
      </c>
      <c r="T5456">
        <v>-3.9618250000000001E-2</v>
      </c>
      <c r="U5456">
        <v>8.9813229999999994E-2</v>
      </c>
      <c r="V5456">
        <v>4.5383020000000003E-2</v>
      </c>
      <c r="W5456">
        <v>0.18201729999999999</v>
      </c>
      <c r="X5456">
        <v>0.98224750000000005</v>
      </c>
      <c r="Y5456">
        <v>5.7395870000000002E-2</v>
      </c>
      <c r="Z5456">
        <v>-1.022418E-3</v>
      </c>
      <c r="AA5456">
        <v>0.99835099999999999</v>
      </c>
      <c r="AB5456">
        <v>28</v>
      </c>
      <c r="AC5456">
        <v>86.043999999999997</v>
      </c>
      <c r="AD5456">
        <v>-1.1187760304199901</v>
      </c>
      <c r="AE5456">
        <v>2.52481</v>
      </c>
      <c r="AF5456">
        <v>4.9477681299280603</v>
      </c>
      <c r="AG5456">
        <v>-1.1187760304199901</v>
      </c>
      <c r="AH5456">
        <v>85.924161366813294</v>
      </c>
      <c r="AI5456">
        <v>90.744744318162901</v>
      </c>
      <c r="AJ5456">
        <v>86.704378354860694</v>
      </c>
      <c r="AK5456">
        <v>86.073768221589702</v>
      </c>
      <c r="AL5456">
        <v>79.512716431156093</v>
      </c>
      <c r="AM5456">
        <v>87.354630493481906</v>
      </c>
      <c r="AN5456">
        <v>1.00000003362992</v>
      </c>
    </row>
    <row r="5457" spans="1:40" x14ac:dyDescent="0.25">
      <c r="A5457" t="str">
        <f>"20190303171123274"</f>
        <v>20190303171123274</v>
      </c>
      <c r="B5457" t="str">
        <f>"1551604283266719"</f>
        <v>1551604283266719</v>
      </c>
      <c r="C5457" t="s">
        <v>40</v>
      </c>
      <c r="D5457">
        <v>4.7026669999999999</v>
      </c>
      <c r="E5457">
        <v>0.49989800000000001</v>
      </c>
      <c r="F5457" t="s">
        <v>68</v>
      </c>
      <c r="G5457">
        <v>-179.95429999999999</v>
      </c>
      <c r="H5457">
        <v>5.3365469999999998E-2</v>
      </c>
      <c r="I5457">
        <v>-60.098979999999997</v>
      </c>
      <c r="J5457">
        <v>-266.23099999999999</v>
      </c>
      <c r="K5457">
        <v>1.1187860000000001</v>
      </c>
      <c r="L5457">
        <v>-63.55988</v>
      </c>
      <c r="M5457">
        <v>0.99629040000000002</v>
      </c>
      <c r="N5457">
        <v>-8.1222389999999998E-3</v>
      </c>
      <c r="O5457">
        <v>8.5671739999999996E-2</v>
      </c>
      <c r="P5457">
        <v>0.98384110000000002</v>
      </c>
      <c r="Q5457">
        <v>0.1745891</v>
      </c>
      <c r="R5457">
        <v>3.9692199999999997E-2</v>
      </c>
      <c r="S5457">
        <v>3.0507810000000002</v>
      </c>
      <c r="T5457">
        <v>-3.7616249999999997E-2</v>
      </c>
      <c r="U5457">
        <v>0.1225586</v>
      </c>
      <c r="V5457">
        <v>4.5533009999999999E-2</v>
      </c>
      <c r="W5457">
        <v>0.18237729999999999</v>
      </c>
      <c r="X5457">
        <v>0.98217370000000004</v>
      </c>
      <c r="Y5457">
        <v>4.5606149999999998E-2</v>
      </c>
      <c r="Z5457">
        <v>-8.2427559999999995E-4</v>
      </c>
      <c r="AA5457">
        <v>0.99895919999999905</v>
      </c>
      <c r="AB5457">
        <v>28</v>
      </c>
      <c r="AC5457">
        <v>86.276700000000005</v>
      </c>
      <c r="AD5457">
        <v>-1.0654205299999999</v>
      </c>
      <c r="AE5457">
        <v>3.4609000000000001</v>
      </c>
      <c r="AF5457">
        <v>3.9429429813314001</v>
      </c>
      <c r="AG5457">
        <v>-1.0654205299999999</v>
      </c>
      <c r="AH5457">
        <v>86.242856335438702</v>
      </c>
      <c r="AI5457">
        <v>90.707041818834</v>
      </c>
      <c r="AJ5457">
        <v>87.382313224630806</v>
      </c>
      <c r="AK5457">
        <v>86.339516961556498</v>
      </c>
      <c r="AL5457">
        <v>79.491738000276001</v>
      </c>
      <c r="AM5457">
        <v>87.345700937282004</v>
      </c>
      <c r="AN5457">
        <v>0.99999995576331902</v>
      </c>
    </row>
    <row r="5458" spans="1:40" x14ac:dyDescent="0.25">
      <c r="A5458" t="str">
        <f>"20190303171123286"</f>
        <v>20190303171123286</v>
      </c>
      <c r="B5458" t="str">
        <f>"1551604283276480"</f>
        <v>1551604283276480</v>
      </c>
      <c r="C5458" t="s">
        <v>40</v>
      </c>
      <c r="D5458">
        <v>4.6964079999999999</v>
      </c>
      <c r="E5458">
        <v>0.49760700000000002</v>
      </c>
      <c r="F5458" t="s">
        <v>68</v>
      </c>
      <c r="G5458">
        <v>-179.47640000000001</v>
      </c>
      <c r="H5458">
        <v>7.9986570000000007E-2</v>
      </c>
      <c r="I5458">
        <v>-59.315600000000003</v>
      </c>
      <c r="J5458">
        <v>-266.0899</v>
      </c>
      <c r="K5458">
        <v>1.1187929999999999</v>
      </c>
      <c r="L5458">
        <v>-63.548949999999998</v>
      </c>
      <c r="M5458">
        <v>0.99638839999999995</v>
      </c>
      <c r="N5458">
        <v>-8.0780980000000006E-3</v>
      </c>
      <c r="O5458">
        <v>8.4527989999999997E-2</v>
      </c>
      <c r="P5458">
        <v>0.98387340000000001</v>
      </c>
      <c r="Q5458">
        <v>0.1746685</v>
      </c>
      <c r="R5458">
        <v>3.8522180000000003E-2</v>
      </c>
      <c r="S5458">
        <v>3.0497130000000001</v>
      </c>
      <c r="T5458">
        <v>-3.6517260000000003E-2</v>
      </c>
      <c r="U5458">
        <v>0.14920039999999901</v>
      </c>
      <c r="V5458">
        <v>4.5567089999999998E-2</v>
      </c>
      <c r="W5458">
        <v>0.18241489999999999</v>
      </c>
      <c r="X5458">
        <v>0.98216519999999996</v>
      </c>
      <c r="Y5458">
        <v>3.5735419999999997E-2</v>
      </c>
      <c r="Z5458">
        <v>-6.8492949999999998E-4</v>
      </c>
      <c r="AA5458">
        <v>0.99936100000000005</v>
      </c>
      <c r="AB5458">
        <v>28</v>
      </c>
      <c r="AC5458">
        <v>86.613499999999902</v>
      </c>
      <c r="AD5458">
        <v>-1.0388064299999999</v>
      </c>
      <c r="AE5458">
        <v>4.23334999999999</v>
      </c>
      <c r="AF5458">
        <v>3.10286008912031</v>
      </c>
      <c r="AG5458">
        <v>-1.0388064299999999</v>
      </c>
      <c r="AH5458">
        <v>86.648912980049602</v>
      </c>
      <c r="AI5458">
        <v>90.686428155563902</v>
      </c>
      <c r="AJ5458">
        <v>87.949139245894699</v>
      </c>
      <c r="AK5458">
        <v>86.710673968986498</v>
      </c>
      <c r="AL5458">
        <v>79.489547582896606</v>
      </c>
      <c r="AM5458">
        <v>87.343694168325698</v>
      </c>
      <c r="AN5458">
        <v>1.0000000177620501</v>
      </c>
    </row>
    <row r="5459" spans="1:40" x14ac:dyDescent="0.25">
      <c r="A5459" t="str">
        <f>"20190303171123296"</f>
        <v>20190303171123296</v>
      </c>
      <c r="B5459" t="str">
        <f>"1551604283286240"</f>
        <v>1551604283286240</v>
      </c>
      <c r="C5459" t="s">
        <v>40</v>
      </c>
      <c r="D5459">
        <v>4.754759</v>
      </c>
      <c r="E5459">
        <v>0.49598160000000002</v>
      </c>
      <c r="F5459" t="s">
        <v>41</v>
      </c>
      <c r="G5459">
        <v>-163.00219999999999</v>
      </c>
      <c r="H5459">
        <v>-0.05</v>
      </c>
      <c r="I5459">
        <v>-57.999760000000002</v>
      </c>
      <c r="J5459">
        <v>-265.95549999999997</v>
      </c>
      <c r="K5459">
        <v>1.1187929999999999</v>
      </c>
      <c r="L5459">
        <v>-63.538600000000002</v>
      </c>
      <c r="M5459">
        <v>0.99648049999999999</v>
      </c>
      <c r="N5459">
        <v>-8.0353049999999995E-3</v>
      </c>
      <c r="O5459">
        <v>8.3441310000000005E-2</v>
      </c>
      <c r="P5459">
        <v>0.98395999999999995</v>
      </c>
      <c r="Q5459">
        <v>0.17438389999999901</v>
      </c>
      <c r="R5459">
        <v>3.7595679999999999E-2</v>
      </c>
      <c r="S5459">
        <v>3.0489199999999999</v>
      </c>
      <c r="T5459">
        <v>-3.4568189999999999E-2</v>
      </c>
      <c r="U5459">
        <v>0.16412349999999901</v>
      </c>
      <c r="V5459">
        <v>4.5418640000000003E-2</v>
      </c>
      <c r="W5459">
        <v>0.1820899</v>
      </c>
      <c r="X5459">
        <v>0.98223229999999995</v>
      </c>
      <c r="Y5459">
        <v>2.9754880000000001E-2</v>
      </c>
      <c r="Z5459">
        <v>-5.6120740000000001E-4</v>
      </c>
      <c r="AA5459">
        <v>0.99955709999999998</v>
      </c>
      <c r="AB5459">
        <v>28</v>
      </c>
      <c r="AC5459">
        <v>102.953299999999</v>
      </c>
      <c r="AD5459">
        <v>-1.168793</v>
      </c>
      <c r="AE5459">
        <v>5.5388400000000004</v>
      </c>
      <c r="AF5459">
        <v>3.0709160530956501</v>
      </c>
      <c r="AG5459">
        <v>-1.168793</v>
      </c>
      <c r="AH5459">
        <v>103.04318791872301</v>
      </c>
      <c r="AI5459">
        <v>90.649575388645005</v>
      </c>
      <c r="AJ5459">
        <v>88.292963669863198</v>
      </c>
      <c r="AK5459">
        <v>103.095563332935</v>
      </c>
      <c r="AL5459">
        <v>79.508485046120896</v>
      </c>
      <c r="AM5459">
        <v>87.352516251092794</v>
      </c>
      <c r="AN5459">
        <v>0.99999993785237196</v>
      </c>
    </row>
    <row r="5460" spans="1:40" x14ac:dyDescent="0.25">
      <c r="A5460" t="str">
        <f>"20190303171123307"</f>
        <v>20190303171123307</v>
      </c>
      <c r="B5460" t="str">
        <f>"1551604283296000"</f>
        <v>1551604283296000</v>
      </c>
      <c r="C5460" t="s">
        <v>40</v>
      </c>
      <c r="D5460">
        <v>4.630871</v>
      </c>
      <c r="E5460">
        <v>0.49469350000000001</v>
      </c>
      <c r="F5460" t="s">
        <v>68</v>
      </c>
      <c r="G5460">
        <v>-177.19159999999999</v>
      </c>
      <c r="H5460">
        <v>7.9986580000000002E-2</v>
      </c>
      <c r="I5460">
        <v>-58.463180000000001</v>
      </c>
      <c r="J5460">
        <v>-265.8168</v>
      </c>
      <c r="K5460">
        <v>1.1187849999999999</v>
      </c>
      <c r="L5460">
        <v>-63.528170000000003</v>
      </c>
      <c r="M5460">
        <v>0.99657340000000005</v>
      </c>
      <c r="N5460">
        <v>-7.9868490000000007E-3</v>
      </c>
      <c r="O5460">
        <v>8.2327369999999997E-2</v>
      </c>
      <c r="P5460">
        <v>0.98410770000000003</v>
      </c>
      <c r="Q5460">
        <v>0.17370840000000001</v>
      </c>
      <c r="R5460">
        <v>3.6843969999999997E-2</v>
      </c>
      <c r="S5460">
        <v>3.0486149999999999</v>
      </c>
      <c r="T5460">
        <v>-3.5678029999999999E-2</v>
      </c>
      <c r="U5460">
        <v>0.17431640000000001</v>
      </c>
      <c r="V5460">
        <v>4.5075749999999998E-2</v>
      </c>
      <c r="W5460">
        <v>0.18136969999999999</v>
      </c>
      <c r="X5460">
        <v>0.98238139999999996</v>
      </c>
      <c r="Y5460">
        <v>2.5300429999999999E-2</v>
      </c>
      <c r="Z5460">
        <v>-5.5237310000000003E-4</v>
      </c>
      <c r="AA5460">
        <v>0.99967969999999895</v>
      </c>
      <c r="AB5460">
        <v>28</v>
      </c>
      <c r="AC5460">
        <v>88.625200000000007</v>
      </c>
      <c r="AD5460">
        <v>-1.03879842</v>
      </c>
      <c r="AE5460">
        <v>5.0649899999999901</v>
      </c>
      <c r="AF5460">
        <v>2.2484090088724198</v>
      </c>
      <c r="AG5460">
        <v>-1.03879842</v>
      </c>
      <c r="AH5460">
        <v>88.729178372120501</v>
      </c>
      <c r="AI5460">
        <v>90.670545471814194</v>
      </c>
      <c r="AJ5460">
        <v>88.548428080259299</v>
      </c>
      <c r="AK5460">
        <v>88.763740005816302</v>
      </c>
      <c r="AL5460">
        <v>79.550448910257401</v>
      </c>
      <c r="AM5460">
        <v>87.372873658913804</v>
      </c>
      <c r="AN5460">
        <v>1.0000000031910501</v>
      </c>
    </row>
    <row r="5461" spans="1:40" x14ac:dyDescent="0.25">
      <c r="A5461" t="str">
        <f>"20190303171123320"</f>
        <v>20190303171123320</v>
      </c>
      <c r="B5461" t="str">
        <f>"1551604283306736"</f>
        <v>1551604283306736</v>
      </c>
      <c r="C5461" t="s">
        <v>40</v>
      </c>
      <c r="D5461">
        <v>4.7473510000000001</v>
      </c>
      <c r="E5461">
        <v>0.4936799</v>
      </c>
      <c r="F5461" t="s">
        <v>68</v>
      </c>
      <c r="G5461">
        <v>-179.95769999999999</v>
      </c>
      <c r="H5461">
        <v>4.6055869999999999E-2</v>
      </c>
      <c r="I5461">
        <v>-58.406140000000001</v>
      </c>
      <c r="J5461">
        <v>-265.67110000000002</v>
      </c>
      <c r="K5461">
        <v>1.1187780000000001</v>
      </c>
      <c r="L5461">
        <v>-63.517270000000003</v>
      </c>
      <c r="M5461">
        <v>0.99666969999999999</v>
      </c>
      <c r="N5461">
        <v>-7.9356789999999993E-3</v>
      </c>
      <c r="O5461">
        <v>8.1157000000000007E-2</v>
      </c>
      <c r="P5461">
        <v>0.98417089999999996</v>
      </c>
      <c r="Q5461">
        <v>0.17351140000000001</v>
      </c>
      <c r="R5461">
        <v>3.6074719999999998E-2</v>
      </c>
      <c r="S5461">
        <v>3.0483699999999998</v>
      </c>
      <c r="T5461">
        <v>-3.808653E-2</v>
      </c>
      <c r="U5461">
        <v>0.18185419999999999</v>
      </c>
      <c r="V5461">
        <v>4.4690010000000002E-2</v>
      </c>
      <c r="W5461">
        <v>0.18112539999999999</v>
      </c>
      <c r="X5461">
        <v>0.98244410000000004</v>
      </c>
      <c r="Y5461">
        <v>2.1658050000000002E-2</v>
      </c>
      <c r="Z5461">
        <v>-5.8839739999999997E-4</v>
      </c>
      <c r="AA5461">
        <v>0.99976529999999997</v>
      </c>
      <c r="AB5461">
        <v>28</v>
      </c>
      <c r="AC5461">
        <v>85.713399999999993</v>
      </c>
      <c r="AD5461">
        <v>-1.0727221300000001</v>
      </c>
      <c r="AE5461">
        <v>5.1111299999999904</v>
      </c>
      <c r="AF5461">
        <v>1.86190210918795</v>
      </c>
      <c r="AG5461">
        <v>-1.0727221300000001</v>
      </c>
      <c r="AH5461">
        <v>85.832062675487194</v>
      </c>
      <c r="AI5461">
        <v>90.715872314001103</v>
      </c>
      <c r="AJ5461">
        <v>88.757312813423596</v>
      </c>
      <c r="AK5461">
        <v>85.858956407361205</v>
      </c>
      <c r="AL5461">
        <v>79.564682061526597</v>
      </c>
      <c r="AM5461">
        <v>87.395490449037197</v>
      </c>
      <c r="AN5461">
        <v>1.0000000085718801</v>
      </c>
    </row>
    <row r="5462" spans="1:40" x14ac:dyDescent="0.25">
      <c r="A5462" t="str">
        <f>"20190303171123331"</f>
        <v>20190303171123331</v>
      </c>
      <c r="B5462" t="str">
        <f>"1551604283326255"</f>
        <v>1551604283326255</v>
      </c>
      <c r="C5462" t="s">
        <v>40</v>
      </c>
      <c r="D5462">
        <v>4.7463800000000003</v>
      </c>
      <c r="E5462">
        <v>0.49214469999999999</v>
      </c>
      <c r="F5462" t="s">
        <v>68</v>
      </c>
      <c r="G5462">
        <v>-179.95769999999999</v>
      </c>
      <c r="H5462">
        <v>8.1362269999999993E-3</v>
      </c>
      <c r="I5462">
        <v>-58.258029999999998</v>
      </c>
      <c r="J5462">
        <v>-265.52100000000002</v>
      </c>
      <c r="K5462">
        <v>1.1187670000000001</v>
      </c>
      <c r="L5462">
        <v>-63.50629</v>
      </c>
      <c r="M5462">
        <v>0.99676750000000003</v>
      </c>
      <c r="N5462">
        <v>-7.8822489999999992E-3</v>
      </c>
      <c r="O5462">
        <v>7.9952549999999997E-2</v>
      </c>
      <c r="P5462">
        <v>0.98416820000000005</v>
      </c>
      <c r="Q5462">
        <v>0.1738035</v>
      </c>
      <c r="R5462">
        <v>3.4717619999999998E-2</v>
      </c>
      <c r="S5462">
        <v>3.04834</v>
      </c>
      <c r="T5462">
        <v>-3.9499279999999998E-2</v>
      </c>
      <c r="U5462">
        <v>0.18704219999999999</v>
      </c>
      <c r="V5462">
        <v>4.4855190000000003E-2</v>
      </c>
      <c r="W5462">
        <v>0.18136360000000001</v>
      </c>
      <c r="X5462">
        <v>0.98239259999999995</v>
      </c>
      <c r="Y5462">
        <v>1.8753929999999999E-2</v>
      </c>
      <c r="Z5462">
        <v>-5.9838280000000001E-4</v>
      </c>
      <c r="AA5462">
        <v>0.99982389999999999</v>
      </c>
      <c r="AB5462">
        <v>28</v>
      </c>
      <c r="AC5462">
        <v>85.563299999999899</v>
      </c>
      <c r="AD5462">
        <v>-1.110630773</v>
      </c>
      <c r="AE5462">
        <v>5.2482599999999904</v>
      </c>
      <c r="AF5462">
        <v>1.6094888781655501</v>
      </c>
      <c r="AG5462">
        <v>-1.110630773</v>
      </c>
      <c r="AH5462">
        <v>85.694607211004893</v>
      </c>
      <c r="AI5462">
        <v>90.742399979366994</v>
      </c>
      <c r="AJ5462">
        <v>88.924015384796405</v>
      </c>
      <c r="AK5462">
        <v>85.7169158346898</v>
      </c>
      <c r="AL5462">
        <v>79.550804084731894</v>
      </c>
      <c r="AM5462">
        <v>87.3857403274192</v>
      </c>
      <c r="AN5462">
        <v>0.99999998200482698</v>
      </c>
    </row>
    <row r="5463" spans="1:40" x14ac:dyDescent="0.25">
      <c r="A5463" t="str">
        <f>"20190303171123342"</f>
        <v>20190303171123342</v>
      </c>
      <c r="B5463" t="str">
        <f>"1551604283336016"</f>
        <v>1551604283336016</v>
      </c>
      <c r="C5463" t="s">
        <v>40</v>
      </c>
      <c r="D5463">
        <v>4.743093</v>
      </c>
      <c r="E5463">
        <v>0.49155199999999999</v>
      </c>
      <c r="F5463" t="s">
        <v>68</v>
      </c>
      <c r="G5463">
        <v>-181.18770000000001</v>
      </c>
      <c r="H5463" s="1">
        <v>-1.4081289999999999E-5</v>
      </c>
      <c r="I5463">
        <v>-58.117519999999899</v>
      </c>
      <c r="J5463">
        <v>-265.37639999999999</v>
      </c>
      <c r="K5463">
        <v>1.118757</v>
      </c>
      <c r="L5463">
        <v>-63.495849999999997</v>
      </c>
      <c r="M5463">
        <v>0.99686050000000004</v>
      </c>
      <c r="N5463">
        <v>-7.8308000000000006E-3</v>
      </c>
      <c r="O5463">
        <v>7.8790499999999999E-2</v>
      </c>
      <c r="P5463">
        <v>0.98409970000000002</v>
      </c>
      <c r="Q5463">
        <v>0.17455290000000001</v>
      </c>
      <c r="R5463">
        <v>3.2851030000000003E-2</v>
      </c>
      <c r="S5463">
        <v>3.048492</v>
      </c>
      <c r="T5463">
        <v>-4.0441869999999998E-2</v>
      </c>
      <c r="U5463">
        <v>0.19479369999999999</v>
      </c>
      <c r="V5463">
        <v>4.5567530000000002E-2</v>
      </c>
      <c r="W5463">
        <v>0.18205760000000001</v>
      </c>
      <c r="X5463">
        <v>0.98223139999999998</v>
      </c>
      <c r="Y5463">
        <v>1.505924E-2</v>
      </c>
      <c r="Z5463">
        <v>-5.8425070000000005E-4</v>
      </c>
      <c r="AA5463">
        <v>0.99988650000000001</v>
      </c>
      <c r="AB5463">
        <v>28</v>
      </c>
      <c r="AC5463">
        <v>84.188699999999898</v>
      </c>
      <c r="AD5463">
        <v>-1.11877108129</v>
      </c>
      <c r="AE5463">
        <v>5.3783300000000001</v>
      </c>
      <c r="AF5463">
        <v>1.2716403037067701</v>
      </c>
      <c r="AG5463">
        <v>-1.11877108129</v>
      </c>
      <c r="AH5463">
        <v>84.335899443839693</v>
      </c>
      <c r="AI5463">
        <v>90.759935183310205</v>
      </c>
      <c r="AJ5463">
        <v>89.136143658398396</v>
      </c>
      <c r="AK5463">
        <v>84.352905420001903</v>
      </c>
      <c r="AL5463">
        <v>79.510367249580099</v>
      </c>
      <c r="AM5463">
        <v>87.343847329386406</v>
      </c>
      <c r="AN5463">
        <v>0.99999994632700895</v>
      </c>
    </row>
    <row r="5464" spans="1:40" x14ac:dyDescent="0.25">
      <c r="A5464" t="str">
        <f>"20190303171123354"</f>
        <v>20190303171123354</v>
      </c>
      <c r="B5464" t="str">
        <f>"1551604283346752"</f>
        <v>1551604283346752</v>
      </c>
      <c r="C5464" t="s">
        <v>40</v>
      </c>
      <c r="D5464">
        <v>4.6876699999999998</v>
      </c>
      <c r="E5464">
        <v>0.49098330000000001</v>
      </c>
      <c r="F5464" t="s">
        <v>68</v>
      </c>
      <c r="G5464">
        <v>-179.95769999999999</v>
      </c>
      <c r="H5464">
        <v>2.5700210000000001E-2</v>
      </c>
      <c r="I5464">
        <v>-58.059869999999997</v>
      </c>
      <c r="J5464">
        <v>-265.22969999999998</v>
      </c>
      <c r="K5464">
        <v>1.1187480000000001</v>
      </c>
      <c r="L5464">
        <v>-63.485410000000002</v>
      </c>
      <c r="M5464">
        <v>0.9969536</v>
      </c>
      <c r="N5464">
        <v>-7.77861E-3</v>
      </c>
      <c r="O5464">
        <v>7.7609849999999994E-2</v>
      </c>
      <c r="P5464">
        <v>0.98393399999999998</v>
      </c>
      <c r="Q5464">
        <v>0.17583360000000001</v>
      </c>
      <c r="R5464">
        <v>3.0932009999999999E-2</v>
      </c>
      <c r="S5464">
        <v>3.0489199999999999</v>
      </c>
      <c r="T5464">
        <v>-3.901541E-2</v>
      </c>
      <c r="U5464">
        <v>0.1940308</v>
      </c>
      <c r="V5464">
        <v>4.6309690000000001E-2</v>
      </c>
      <c r="W5464">
        <v>0.18328120000000001</v>
      </c>
      <c r="X5464">
        <v>0.98196919999999999</v>
      </c>
      <c r="Y5464">
        <v>1.413355E-2</v>
      </c>
      <c r="Z5464">
        <v>-5.3217729999999999E-4</v>
      </c>
      <c r="AA5464">
        <v>0.99990000000000001</v>
      </c>
      <c r="AB5464">
        <v>28</v>
      </c>
      <c r="AC5464">
        <v>85.271999999999906</v>
      </c>
      <c r="AD5464">
        <v>-1.09304779</v>
      </c>
      <c r="AE5464">
        <v>5.42553999999999</v>
      </c>
      <c r="AF5464">
        <v>1.2087740898688699</v>
      </c>
      <c r="AG5464">
        <v>-1.09304779</v>
      </c>
      <c r="AH5464">
        <v>85.421896566266994</v>
      </c>
      <c r="AI5464">
        <v>90.733036161631802</v>
      </c>
      <c r="AJ5464">
        <v>89.189282439926004</v>
      </c>
      <c r="AK5464">
        <v>85.437440863181195</v>
      </c>
      <c r="AL5464">
        <v>79.439061425952602</v>
      </c>
      <c r="AM5464">
        <v>87.299930250595295</v>
      </c>
      <c r="AN5464">
        <v>1.00000004770498</v>
      </c>
    </row>
    <row r="5465" spans="1:40" x14ac:dyDescent="0.25">
      <c r="A5465" t="str">
        <f>"20190303171123365"</f>
        <v>20190303171123365</v>
      </c>
      <c r="B5465" t="str">
        <f>"1551604283356511"</f>
        <v>1551604283356511</v>
      </c>
      <c r="C5465" t="s">
        <v>40</v>
      </c>
      <c r="D5465">
        <v>4.7409780000000001</v>
      </c>
      <c r="E5465">
        <v>0.49060769999999998</v>
      </c>
      <c r="F5465" t="s">
        <v>68</v>
      </c>
      <c r="G5465">
        <v>-178.20140000000001</v>
      </c>
      <c r="H5465">
        <v>7.9986570000000007E-2</v>
      </c>
      <c r="I5465">
        <v>-57.965310000000002</v>
      </c>
      <c r="J5465">
        <v>-265.08819999999997</v>
      </c>
      <c r="K5465">
        <v>1.1187370000000001</v>
      </c>
      <c r="L5465">
        <v>-63.475589999999997</v>
      </c>
      <c r="M5465">
        <v>0.99704219999999999</v>
      </c>
      <c r="N5465">
        <v>-7.7281950000000002E-3</v>
      </c>
      <c r="O5465">
        <v>7.6466839999999994E-2</v>
      </c>
      <c r="P5465">
        <v>0.98386629999999997</v>
      </c>
      <c r="Q5465">
        <v>0.1765767</v>
      </c>
      <c r="R5465">
        <v>2.877118E-2</v>
      </c>
      <c r="S5465">
        <v>3.0494080000000001</v>
      </c>
      <c r="T5465">
        <v>-3.639746E-2</v>
      </c>
      <c r="U5465">
        <v>0.19342039999999999</v>
      </c>
      <c r="V5465">
        <v>4.7336309999999999E-2</v>
      </c>
      <c r="W5465">
        <v>0.18396879999999999</v>
      </c>
      <c r="X5465">
        <v>0.98179159999999999</v>
      </c>
      <c r="Y5465">
        <v>1.3197270000000001E-2</v>
      </c>
      <c r="Z5465">
        <v>-4.4911190000000001E-4</v>
      </c>
      <c r="AA5465">
        <v>0.99991280000000005</v>
      </c>
      <c r="AB5465">
        <v>28</v>
      </c>
      <c r="AC5465">
        <v>86.886799999999894</v>
      </c>
      <c r="AD5465">
        <v>-1.0387504299999999</v>
      </c>
      <c r="AE5465">
        <v>5.5102799999999998</v>
      </c>
      <c r="AF5465">
        <v>1.1498479670042201</v>
      </c>
      <c r="AG5465">
        <v>-1.0387504299999999</v>
      </c>
      <c r="AH5465">
        <v>87.041366633199502</v>
      </c>
      <c r="AI5465">
        <v>90.683674911890407</v>
      </c>
      <c r="AJ5465">
        <v>89.243146033468406</v>
      </c>
      <c r="AK5465">
        <v>87.055158710889202</v>
      </c>
      <c r="AL5465">
        <v>79.398982819187793</v>
      </c>
      <c r="AM5465">
        <v>87.239666618718502</v>
      </c>
      <c r="AN5465">
        <v>0.99999999572420795</v>
      </c>
    </row>
    <row r="5466" spans="1:40" x14ac:dyDescent="0.25">
      <c r="A5466" t="str">
        <f>"20190303171123376"</f>
        <v>20190303171123376</v>
      </c>
      <c r="B5466" t="str">
        <f>"1551604283366272"</f>
        <v>1551604283366272</v>
      </c>
      <c r="C5466" t="s">
        <v>40</v>
      </c>
      <c r="D5466">
        <v>4.6850079999999998</v>
      </c>
      <c r="E5466">
        <v>0.49018899999999999</v>
      </c>
      <c r="F5466" t="s">
        <v>41</v>
      </c>
      <c r="G5466">
        <v>-163.0283</v>
      </c>
      <c r="H5466">
        <v>-0.05</v>
      </c>
      <c r="I5466">
        <v>-57.103230000000003</v>
      </c>
      <c r="J5466">
        <v>-264.9479</v>
      </c>
      <c r="K5466">
        <v>1.1187279999999999</v>
      </c>
      <c r="L5466">
        <v>-63.465850000000003</v>
      </c>
      <c r="M5466">
        <v>0.99712900000000004</v>
      </c>
      <c r="N5466">
        <v>-7.6782009999999999E-3</v>
      </c>
      <c r="O5466">
        <v>7.5332709999999997E-2</v>
      </c>
      <c r="P5466">
        <v>0.98380990000000001</v>
      </c>
      <c r="Q5466">
        <v>0.17720449999999999</v>
      </c>
      <c r="R5466">
        <v>2.677525E-2</v>
      </c>
      <c r="S5466">
        <v>3.0499269999999998</v>
      </c>
      <c r="T5466">
        <v>-3.4926180000000001E-2</v>
      </c>
      <c r="U5466">
        <v>0.19042970000000001</v>
      </c>
      <c r="V5466">
        <v>4.8208279999999999E-2</v>
      </c>
      <c r="W5466">
        <v>0.18454200000000001</v>
      </c>
      <c r="X5466">
        <v>0.9816416</v>
      </c>
      <c r="Y5466">
        <v>1.304753E-2</v>
      </c>
      <c r="Z5466">
        <v>-4.0684869999999999E-4</v>
      </c>
      <c r="AA5466">
        <v>0.99991479999999999</v>
      </c>
      <c r="AB5466">
        <v>28</v>
      </c>
      <c r="AC5466">
        <v>101.9196</v>
      </c>
      <c r="AD5466">
        <v>-1.168728</v>
      </c>
      <c r="AE5466">
        <v>6.3626199999999997</v>
      </c>
      <c r="AF5466">
        <v>1.33339126513297</v>
      </c>
      <c r="AG5466">
        <v>-1.168728</v>
      </c>
      <c r="AH5466">
        <v>102.095928182943</v>
      </c>
      <c r="AI5466">
        <v>90.655800371346203</v>
      </c>
      <c r="AJ5466">
        <v>89.251749310079802</v>
      </c>
      <c r="AK5466">
        <v>102.11132360781799</v>
      </c>
      <c r="AL5466">
        <v>79.365568923330002</v>
      </c>
      <c r="AM5466">
        <v>87.188471189227997</v>
      </c>
      <c r="AN5466">
        <v>1.0000000094375501</v>
      </c>
    </row>
    <row r="5467" spans="1:40" x14ac:dyDescent="0.25">
      <c r="A5467" t="str">
        <f>"20190303171123388"</f>
        <v>20190303171123388</v>
      </c>
      <c r="B5467" t="str">
        <f>"1551604283376033"</f>
        <v>1551604283376033</v>
      </c>
      <c r="C5467" t="s">
        <v>40</v>
      </c>
      <c r="D5467">
        <v>4.686769</v>
      </c>
      <c r="E5467">
        <v>0.48991430000000002</v>
      </c>
      <c r="F5467" t="s">
        <v>41</v>
      </c>
      <c r="G5467">
        <v>-158.1456</v>
      </c>
      <c r="H5467">
        <v>-0.05</v>
      </c>
      <c r="I5467">
        <v>-56.885739999999998</v>
      </c>
      <c r="J5467">
        <v>-264.79680000000002</v>
      </c>
      <c r="K5467">
        <v>1.1187149999999999</v>
      </c>
      <c r="L5467">
        <v>-63.455689999999997</v>
      </c>
      <c r="M5467">
        <v>0.99722129999999998</v>
      </c>
      <c r="N5467">
        <v>-7.6239119999999896E-3</v>
      </c>
      <c r="O5467">
        <v>7.4105249999999998E-2</v>
      </c>
      <c r="P5467">
        <v>0.9839097</v>
      </c>
      <c r="Q5467">
        <v>0.17685039999999999</v>
      </c>
      <c r="R5467">
        <v>2.5409950000000001E-2</v>
      </c>
      <c r="S5467">
        <v>3.050262</v>
      </c>
      <c r="T5467">
        <v>-3.3378720000000001E-2</v>
      </c>
      <c r="U5467">
        <v>0.18792719999999999</v>
      </c>
      <c r="V5467">
        <v>4.8367720000000003E-2</v>
      </c>
      <c r="W5467">
        <v>0.18413379999999999</v>
      </c>
      <c r="X5467">
        <v>0.98171039999999998</v>
      </c>
      <c r="Y5467">
        <v>1.264097E-2</v>
      </c>
      <c r="Z5467">
        <v>-3.6129640000000002E-4</v>
      </c>
      <c r="AA5467">
        <v>0.99992000000000003</v>
      </c>
      <c r="AB5467">
        <v>28</v>
      </c>
      <c r="AC5467">
        <v>106.6512</v>
      </c>
      <c r="AD5467">
        <v>-1.1687149999999999</v>
      </c>
      <c r="AE5467">
        <v>6.5699499999999897</v>
      </c>
      <c r="AF5467">
        <v>1.3515973299384301</v>
      </c>
      <c r="AG5467">
        <v>-1.1687149999999999</v>
      </c>
      <c r="AH5467">
        <v>106.83203915364599</v>
      </c>
      <c r="AI5467">
        <v>90.626725919849704</v>
      </c>
      <c r="AJ5467">
        <v>89.275154796191202</v>
      </c>
      <c r="AK5467">
        <v>106.846980770725</v>
      </c>
      <c r="AL5467">
        <v>79.389364763021007</v>
      </c>
      <c r="AM5467">
        <v>87.179384937763601</v>
      </c>
      <c r="AN5467">
        <v>1.00000000105429</v>
      </c>
    </row>
    <row r="5468" spans="1:40" x14ac:dyDescent="0.25">
      <c r="A5468" t="str">
        <f>"20190303171123400"</f>
        <v>20190303171123400</v>
      </c>
      <c r="B5468" t="str">
        <f>"1551604283386768"</f>
        <v>1551604283386768</v>
      </c>
      <c r="C5468" t="s">
        <v>40</v>
      </c>
      <c r="D5468">
        <v>4.6895610000000003</v>
      </c>
      <c r="E5468">
        <v>0.48966789999999999</v>
      </c>
      <c r="F5468" t="s">
        <v>68</v>
      </c>
      <c r="G5468">
        <v>-175.62610000000001</v>
      </c>
      <c r="H5468">
        <v>7.9986580000000002E-2</v>
      </c>
      <c r="I5468">
        <v>-58.01878</v>
      </c>
      <c r="J5468">
        <v>-264.64120000000003</v>
      </c>
      <c r="K5468">
        <v>1.1187</v>
      </c>
      <c r="L5468">
        <v>-63.445369999999997</v>
      </c>
      <c r="M5468">
        <v>0.9973149</v>
      </c>
      <c r="N5468">
        <v>-7.5679850000000002E-3</v>
      </c>
      <c r="O5468">
        <v>7.2839650000000006E-2</v>
      </c>
      <c r="P5468">
        <v>0.98411470000000001</v>
      </c>
      <c r="Q5468">
        <v>0.17587030000000001</v>
      </c>
      <c r="R5468">
        <v>2.4249799999999998E-2</v>
      </c>
      <c r="S5468">
        <v>3.050659</v>
      </c>
      <c r="T5468">
        <v>-3.5536409999999997E-2</v>
      </c>
      <c r="U5468">
        <v>0.18600459999999999</v>
      </c>
      <c r="V5468">
        <v>4.8290130000000001E-2</v>
      </c>
      <c r="W5468">
        <v>0.18310019999999999</v>
      </c>
      <c r="X5468">
        <v>0.98190750000000004</v>
      </c>
      <c r="Y5468">
        <v>1.2007520000000001E-2</v>
      </c>
      <c r="Z5468">
        <v>-4.105817E-4</v>
      </c>
      <c r="AA5468">
        <v>0.99992780000000003</v>
      </c>
      <c r="AB5468">
        <v>29</v>
      </c>
      <c r="AC5468">
        <v>89.015100000000004</v>
      </c>
      <c r="AD5468">
        <v>-1.0387134200000001</v>
      </c>
      <c r="AE5468">
        <v>5.4265899999999903</v>
      </c>
      <c r="AF5468">
        <v>1.07169502815017</v>
      </c>
      <c r="AG5468">
        <v>-1.0387134200000001</v>
      </c>
      <c r="AH5468">
        <v>89.161818984865704</v>
      </c>
      <c r="AI5468">
        <v>90.667403442811107</v>
      </c>
      <c r="AJ5468">
        <v>89.311357193542904</v>
      </c>
      <c r="AK5468">
        <v>89.174309195486401</v>
      </c>
      <c r="AL5468">
        <v>79.449609748231396</v>
      </c>
      <c r="AM5468">
        <v>87.184466762299607</v>
      </c>
      <c r="AN5468">
        <v>0.99999997922585304</v>
      </c>
    </row>
    <row r="5469" spans="1:40" x14ac:dyDescent="0.25">
      <c r="A5469" t="str">
        <f>"20190303171123409"</f>
        <v>20190303171123409</v>
      </c>
      <c r="B5469" t="str">
        <f>"1551604283396528"</f>
        <v>1551604283396528</v>
      </c>
      <c r="C5469" t="s">
        <v>40</v>
      </c>
      <c r="D5469">
        <v>4.6479150000000002</v>
      </c>
      <c r="E5469">
        <v>0.48940280000000003</v>
      </c>
      <c r="F5469" t="s">
        <v>68</v>
      </c>
      <c r="G5469">
        <v>-179.95769999999999</v>
      </c>
      <c r="H5469">
        <v>2.9180569999999999E-2</v>
      </c>
      <c r="I5469">
        <v>-58.33755</v>
      </c>
      <c r="J5469">
        <v>-264.5249</v>
      </c>
      <c r="K5469">
        <v>1.118684</v>
      </c>
      <c r="L5469">
        <v>-63.437769999999901</v>
      </c>
      <c r="M5469">
        <v>0.9973841</v>
      </c>
      <c r="N5469">
        <v>-7.5261939999999999E-3</v>
      </c>
      <c r="O5469">
        <v>7.1891899999999995E-2</v>
      </c>
      <c r="P5469">
        <v>0.98425750000000001</v>
      </c>
      <c r="Q5469">
        <v>0.17513139999999999</v>
      </c>
      <c r="R5469">
        <v>2.379655E-2</v>
      </c>
      <c r="S5469">
        <v>3.0509029999999999</v>
      </c>
      <c r="T5469">
        <v>-3.9252280000000001E-2</v>
      </c>
      <c r="U5469">
        <v>0.18402099999999999</v>
      </c>
      <c r="V5469">
        <v>4.7816570000000003E-2</v>
      </c>
      <c r="W5469">
        <v>0.1823225</v>
      </c>
      <c r="X5469">
        <v>0.98207540000000004</v>
      </c>
      <c r="Y5469">
        <v>1.1709300000000001E-2</v>
      </c>
      <c r="Z5469">
        <v>-5.011064E-4</v>
      </c>
      <c r="AA5469">
        <v>0.99993129999999997</v>
      </c>
      <c r="AB5469">
        <v>29</v>
      </c>
      <c r="AC5469">
        <v>84.5672</v>
      </c>
      <c r="AD5469">
        <v>-1.0895034299999999</v>
      </c>
      <c r="AE5469">
        <v>5.1002199999999904</v>
      </c>
      <c r="AF5469">
        <v>0.992682237987912</v>
      </c>
      <c r="AG5469">
        <v>-1.0895034299999999</v>
      </c>
      <c r="AH5469">
        <v>84.701031252300595</v>
      </c>
      <c r="AI5469">
        <v>90.736900353895393</v>
      </c>
      <c r="AJ5469">
        <v>89.328533573611296</v>
      </c>
      <c r="AK5469">
        <v>84.713854421533696</v>
      </c>
      <c r="AL5469">
        <v>79.494931871077597</v>
      </c>
      <c r="AM5469">
        <v>87.212509568551894</v>
      </c>
      <c r="AN5469">
        <v>1.0000000048289801</v>
      </c>
    </row>
    <row r="5470" spans="1:40" x14ac:dyDescent="0.25">
      <c r="A5470" t="str">
        <f>"20190303171123420"</f>
        <v>20190303171123420</v>
      </c>
      <c r="B5470" t="str">
        <f>"1551604283406289"</f>
        <v>1551604283406289</v>
      </c>
      <c r="C5470" t="s">
        <v>40</v>
      </c>
      <c r="D5470">
        <v>4.792834</v>
      </c>
      <c r="E5470">
        <v>0.4891277</v>
      </c>
      <c r="F5470" t="s">
        <v>68</v>
      </c>
      <c r="G5470">
        <v>-183.90110000000001</v>
      </c>
      <c r="H5470" s="1">
        <v>-1.365676E-5</v>
      </c>
      <c r="I5470">
        <v>-58.574249999999999</v>
      </c>
      <c r="J5470">
        <v>-264.3904</v>
      </c>
      <c r="K5470">
        <v>1.118668</v>
      </c>
      <c r="L5470">
        <v>-63.429139999999997</v>
      </c>
      <c r="M5470">
        <v>0.99746299999999999</v>
      </c>
      <c r="N5470">
        <v>-7.4779360000000001E-3</v>
      </c>
      <c r="O5470">
        <v>7.0795040000000004E-2</v>
      </c>
      <c r="P5470">
        <v>0.98441409999999996</v>
      </c>
      <c r="Q5470">
        <v>0.1743584</v>
      </c>
      <c r="R5470">
        <v>2.2991020000000001E-2</v>
      </c>
      <c r="S5470">
        <v>3.051056</v>
      </c>
      <c r="T5470">
        <v>-4.2335030000000003E-2</v>
      </c>
      <c r="U5470">
        <v>0.18405150000000001</v>
      </c>
      <c r="V5470">
        <v>4.754854E-2</v>
      </c>
      <c r="W5470">
        <v>0.18150379999999999</v>
      </c>
      <c r="X5470">
        <v>0.98224</v>
      </c>
      <c r="Y5470">
        <v>1.0602230000000001E-2</v>
      </c>
      <c r="Z5470">
        <v>-5.6387620000000001E-4</v>
      </c>
      <c r="AA5470">
        <v>0.99994360000000004</v>
      </c>
      <c r="AB5470">
        <v>29</v>
      </c>
      <c r="AC5470">
        <v>80.489299999999901</v>
      </c>
      <c r="AD5470">
        <v>-1.11868165676</v>
      </c>
      <c r="AE5470">
        <v>4.8548900000000001</v>
      </c>
      <c r="AF5470">
        <v>0.85552920633552398</v>
      </c>
      <c r="AG5470">
        <v>-1.11868165676</v>
      </c>
      <c r="AH5470">
        <v>80.615527451531506</v>
      </c>
      <c r="AI5470">
        <v>90.794983516196496</v>
      </c>
      <c r="AJ5470">
        <v>89.391973553577401</v>
      </c>
      <c r="AK5470">
        <v>80.627827982407496</v>
      </c>
      <c r="AL5470">
        <v>79.542635364142896</v>
      </c>
      <c r="AM5470">
        <v>87.228573850322405</v>
      </c>
      <c r="AN5470">
        <v>0.99999995533528396</v>
      </c>
    </row>
    <row r="5471" spans="1:40" x14ac:dyDescent="0.25">
      <c r="A5471" t="str">
        <f>"20190303171123430"</f>
        <v>20190303171123430</v>
      </c>
      <c r="B5471" t="str">
        <f>"1551604283416048"</f>
        <v>1551604283416048</v>
      </c>
      <c r="C5471" t="s">
        <v>40</v>
      </c>
      <c r="D5471">
        <v>4.7331370000000001</v>
      </c>
      <c r="E5471">
        <v>0.48890450000000002</v>
      </c>
      <c r="F5471" t="s">
        <v>68</v>
      </c>
      <c r="G5471">
        <v>-188.62819999999999</v>
      </c>
      <c r="H5471" s="1">
        <v>-1.2704340000000001E-5</v>
      </c>
      <c r="I5471">
        <v>-58.875830000000001</v>
      </c>
      <c r="J5471">
        <v>-264.24900000000002</v>
      </c>
      <c r="K5471">
        <v>1.1186510000000001</v>
      </c>
      <c r="L5471">
        <v>-63.420200000000001</v>
      </c>
      <c r="M5471">
        <v>0.99754449999999995</v>
      </c>
      <c r="N5471">
        <v>-7.42736E-3</v>
      </c>
      <c r="O5471">
        <v>6.9640320000000006E-2</v>
      </c>
      <c r="P5471">
        <v>0.98450079999999995</v>
      </c>
      <c r="Q5471">
        <v>0.174032299999999</v>
      </c>
      <c r="R5471">
        <v>2.170277E-2</v>
      </c>
      <c r="S5471">
        <v>3.0512389999999998</v>
      </c>
      <c r="T5471">
        <v>-4.5053599999999999E-2</v>
      </c>
      <c r="U5471">
        <v>0.18338009999999999</v>
      </c>
      <c r="V5471">
        <v>4.7701979999999998E-2</v>
      </c>
      <c r="W5471">
        <v>0.18112729999999999</v>
      </c>
      <c r="X5471">
        <v>0.98230209999999996</v>
      </c>
      <c r="Y5471">
        <v>9.6670660000000002E-3</v>
      </c>
      <c r="Z5471">
        <v>-6.1602559999999996E-4</v>
      </c>
      <c r="AA5471">
        <v>0.99995310000000004</v>
      </c>
      <c r="AB5471">
        <v>29</v>
      </c>
      <c r="AC5471">
        <v>75.620800000000003</v>
      </c>
      <c r="AD5471">
        <v>-1.1186637043400001</v>
      </c>
      <c r="AE5471">
        <v>4.54436999999999</v>
      </c>
      <c r="AF5471">
        <v>0.73290583449558</v>
      </c>
      <c r="AG5471">
        <v>-1.1186637043400001</v>
      </c>
      <c r="AH5471">
        <v>75.737160903807293</v>
      </c>
      <c r="AI5471">
        <v>90.846177062906193</v>
      </c>
      <c r="AJ5471">
        <v>89.445568068627196</v>
      </c>
      <c r="AK5471">
        <v>75.748967657750001</v>
      </c>
      <c r="AL5471">
        <v>79.564571243210395</v>
      </c>
      <c r="AM5471">
        <v>87.219819913935893</v>
      </c>
      <c r="AN5471">
        <v>0.99999999668281003</v>
      </c>
    </row>
    <row r="5472" spans="1:40" x14ac:dyDescent="0.25">
      <c r="A5472" t="str">
        <f>"20190303171123442"</f>
        <v>20190303171123442</v>
      </c>
      <c r="B5472" t="str">
        <f>"1551604283436543"</f>
        <v>1551604283436543</v>
      </c>
      <c r="C5472" t="s">
        <v>40</v>
      </c>
      <c r="D5472">
        <v>4.7871009999999998</v>
      </c>
      <c r="E5472">
        <v>0.48856450000000001</v>
      </c>
      <c r="F5472" t="s">
        <v>68</v>
      </c>
      <c r="G5472">
        <v>-190.91239999999999</v>
      </c>
      <c r="H5472" s="1">
        <v>-6.7374470000000003E-6</v>
      </c>
      <c r="I5472">
        <v>-59.063569999999999</v>
      </c>
      <c r="J5472">
        <v>-264.09800000000001</v>
      </c>
      <c r="K5472">
        <v>1.1186309999999999</v>
      </c>
      <c r="L5472">
        <v>-63.41086</v>
      </c>
      <c r="M5472">
        <v>0.99763040000000003</v>
      </c>
      <c r="N5472">
        <v>-7.3750500000000002E-3</v>
      </c>
      <c r="O5472">
        <v>6.8407099999999998E-2</v>
      </c>
      <c r="P5472">
        <v>0.98450649999999995</v>
      </c>
      <c r="Q5472">
        <v>0.17421710000000001</v>
      </c>
      <c r="R5472">
        <v>1.9887180000000001E-2</v>
      </c>
      <c r="S5472">
        <v>3.051453</v>
      </c>
      <c r="T5472">
        <v>-4.65461E-2</v>
      </c>
      <c r="U5472">
        <v>0.1812744</v>
      </c>
      <c r="V5472">
        <v>4.8301410000000003E-2</v>
      </c>
      <c r="W5472">
        <v>0.18125669999999999</v>
      </c>
      <c r="X5472">
        <v>0.98224900000000004</v>
      </c>
      <c r="Y5472">
        <v>9.122425E-3</v>
      </c>
      <c r="Z5472">
        <v>-6.3992269999999895E-4</v>
      </c>
      <c r="AA5472">
        <v>0.99995820000000002</v>
      </c>
      <c r="AB5472">
        <v>29</v>
      </c>
      <c r="AC5472">
        <v>73.185599999999994</v>
      </c>
      <c r="AD5472">
        <v>-1.118637737447</v>
      </c>
      <c r="AE5472">
        <v>4.3472900000000001</v>
      </c>
      <c r="AF5472">
        <v>0.66928827365561705</v>
      </c>
      <c r="AG5472">
        <v>-1.118637737447</v>
      </c>
      <c r="AH5472">
        <v>73.294482765332404</v>
      </c>
      <c r="AI5472">
        <v>90.874357407384494</v>
      </c>
      <c r="AJ5472">
        <v>89.476818361917495</v>
      </c>
      <c r="AK5472">
        <v>73.306074107255995</v>
      </c>
      <c r="AL5472">
        <v>79.557033029061998</v>
      </c>
      <c r="AM5472">
        <v>87.184787679468599</v>
      </c>
      <c r="AN5472">
        <v>1.0000000577519299</v>
      </c>
    </row>
    <row r="5473" spans="1:40" x14ac:dyDescent="0.25">
      <c r="A5473" t="str">
        <f>"20190303171123453"</f>
        <v>20190303171123453</v>
      </c>
      <c r="B5473" t="str">
        <f>"1551604283446303"</f>
        <v>1551604283446303</v>
      </c>
      <c r="C5473" t="s">
        <v>40</v>
      </c>
      <c r="D5473">
        <v>4.7343789999999997</v>
      </c>
      <c r="E5473">
        <v>0.48840519999999998</v>
      </c>
      <c r="F5473" t="s">
        <v>68</v>
      </c>
      <c r="G5473">
        <v>-191.44829999999999</v>
      </c>
      <c r="H5473" s="1">
        <v>-6.7642649999999999E-6</v>
      </c>
      <c r="I5473">
        <v>-59.145809999999997</v>
      </c>
      <c r="J5473">
        <v>-263.95690000000002</v>
      </c>
      <c r="K5473">
        <v>1.1186160000000001</v>
      </c>
      <c r="L5473">
        <v>-63.402279999999998</v>
      </c>
      <c r="M5473">
        <v>0.99770899999999996</v>
      </c>
      <c r="N5473">
        <v>-7.3275839999999998E-3</v>
      </c>
      <c r="O5473">
        <v>6.7254919999999996E-2</v>
      </c>
      <c r="P5473">
        <v>0.9844832</v>
      </c>
      <c r="Q5473">
        <v>0.17457429999999999</v>
      </c>
      <c r="R5473">
        <v>1.7800079999999999E-2</v>
      </c>
      <c r="S5473">
        <v>3.0519099999999999</v>
      </c>
      <c r="T5473">
        <v>-4.699242E-2</v>
      </c>
      <c r="U5473">
        <v>0.17916869999999999</v>
      </c>
      <c r="V5473">
        <v>4.9250370000000002E-2</v>
      </c>
      <c r="W5473">
        <v>0.18156149999999999</v>
      </c>
      <c r="X5473">
        <v>0.9821455</v>
      </c>
      <c r="Y5473">
        <v>8.6639799999999999E-3</v>
      </c>
      <c r="Z5473">
        <v>-6.3903250000000005E-4</v>
      </c>
      <c r="AA5473">
        <v>0.99996229999999997</v>
      </c>
      <c r="AB5473">
        <v>29</v>
      </c>
      <c r="AC5473">
        <v>72.508600000000001</v>
      </c>
      <c r="AD5473">
        <v>-1.118622764265</v>
      </c>
      <c r="AE5473">
        <v>4.2564700000000002</v>
      </c>
      <c r="AF5473">
        <v>0.629709162560118</v>
      </c>
      <c r="AG5473">
        <v>-1.118622764265</v>
      </c>
      <c r="AH5473">
        <v>72.613472121416294</v>
      </c>
      <c r="AI5473">
        <v>90.882548137053604</v>
      </c>
      <c r="AJ5473">
        <v>89.5031394055802</v>
      </c>
      <c r="AK5473">
        <v>72.624817962221798</v>
      </c>
      <c r="AL5473">
        <v>79.539273803556597</v>
      </c>
      <c r="AM5473">
        <v>87.129267866776303</v>
      </c>
      <c r="AN5473">
        <v>0.99999998019881797</v>
      </c>
    </row>
    <row r="5474" spans="1:40" x14ac:dyDescent="0.25">
      <c r="A5474" t="str">
        <f>"20190303171123463"</f>
        <v>20190303171123463</v>
      </c>
      <c r="B5474" t="str">
        <f>"1551604283456063"</f>
        <v>1551604283456063</v>
      </c>
      <c r="C5474" t="s">
        <v>40</v>
      </c>
      <c r="D5474">
        <v>4.7317390000000001</v>
      </c>
      <c r="E5474">
        <v>0.48824020000000001</v>
      </c>
      <c r="F5474" t="s">
        <v>68</v>
      </c>
      <c r="G5474">
        <v>-189.83799999999999</v>
      </c>
      <c r="H5474" s="1">
        <v>-1.252115E-5</v>
      </c>
      <c r="I5474">
        <v>-59.1500699999999</v>
      </c>
      <c r="J5474">
        <v>-263.82040000000001</v>
      </c>
      <c r="K5474">
        <v>1.118603</v>
      </c>
      <c r="L5474">
        <v>-63.394170000000003</v>
      </c>
      <c r="M5474">
        <v>0.9977838</v>
      </c>
      <c r="N5474">
        <v>-7.2826999999999996E-3</v>
      </c>
      <c r="O5474">
        <v>6.6139970000000006E-2</v>
      </c>
      <c r="P5474">
        <v>0.9845083</v>
      </c>
      <c r="Q5474">
        <v>0.174602799999999</v>
      </c>
      <c r="R5474">
        <v>1.6043660000000001E-2</v>
      </c>
      <c r="S5474">
        <v>3.0522770000000001</v>
      </c>
      <c r="T5474">
        <v>-4.6066049999999997E-2</v>
      </c>
      <c r="U5474">
        <v>0.17510990000000001</v>
      </c>
      <c r="V5474">
        <v>4.9908340000000002E-2</v>
      </c>
      <c r="W5474">
        <v>0.18154229999999999</v>
      </c>
      <c r="X5474">
        <v>0.98211590000000004</v>
      </c>
      <c r="Y5474">
        <v>8.8790050000000006E-3</v>
      </c>
      <c r="Z5474">
        <v>-6.1385110000000004E-4</v>
      </c>
      <c r="AA5474">
        <v>0.99996039999999997</v>
      </c>
      <c r="AB5474">
        <v>29</v>
      </c>
      <c r="AC5474">
        <v>73.982399999999998</v>
      </c>
      <c r="AD5474">
        <v>-1.11861552115</v>
      </c>
      <c r="AE5474">
        <v>4.2441000000000004</v>
      </c>
      <c r="AF5474">
        <v>0.65836692061478097</v>
      </c>
      <c r="AG5474">
        <v>-1.11861552115</v>
      </c>
      <c r="AH5474">
        <v>74.084227075156207</v>
      </c>
      <c r="AI5474">
        <v>90.865022835095104</v>
      </c>
      <c r="AJ5474">
        <v>89.490840973201202</v>
      </c>
      <c r="AK5474">
        <v>74.095596691096404</v>
      </c>
      <c r="AL5474">
        <v>79.540393159391002</v>
      </c>
      <c r="AM5474">
        <v>87.090893674284402</v>
      </c>
      <c r="AN5474">
        <v>1.0000000450618201</v>
      </c>
    </row>
    <row r="5475" spans="1:40" x14ac:dyDescent="0.25">
      <c r="A5475" t="str">
        <f>"20190303171123473"</f>
        <v>20190303171123473</v>
      </c>
      <c r="B5475" t="str">
        <f>"1551604283465824"</f>
        <v>1551604283465824</v>
      </c>
      <c r="C5475" t="s">
        <v>40</v>
      </c>
      <c r="D5475">
        <v>4.7882759999999998</v>
      </c>
      <c r="E5475">
        <v>0.48805860000000001</v>
      </c>
      <c r="F5475" t="s">
        <v>68</v>
      </c>
      <c r="G5475">
        <v>-190.29599999999999</v>
      </c>
      <c r="H5475" s="1">
        <v>-6.6059259999999899E-6</v>
      </c>
      <c r="I5475">
        <v>-59.255949999999999</v>
      </c>
      <c r="J5475">
        <v>-263.68189999999998</v>
      </c>
      <c r="K5475">
        <v>1.118582</v>
      </c>
      <c r="L5475">
        <v>-63.38599</v>
      </c>
      <c r="M5475">
        <v>0.99785849999999998</v>
      </c>
      <c r="N5475">
        <v>-7.2375809999999999E-3</v>
      </c>
      <c r="O5475">
        <v>6.5009040000000004E-2</v>
      </c>
      <c r="P5475">
        <v>0.98460300000000001</v>
      </c>
      <c r="Q5475">
        <v>0.17419490000000001</v>
      </c>
      <c r="R5475">
        <v>1.460733E-2</v>
      </c>
      <c r="S5475">
        <v>3.0526430000000002</v>
      </c>
      <c r="T5475">
        <v>-4.644334E-2</v>
      </c>
      <c r="U5475">
        <v>0.17181399999999999</v>
      </c>
      <c r="V5475">
        <v>5.0233920000000001E-2</v>
      </c>
      <c r="W5475">
        <v>0.1810879</v>
      </c>
      <c r="X5475">
        <v>0.98218320000000003</v>
      </c>
      <c r="Y5475">
        <v>8.8285959999999993E-3</v>
      </c>
      <c r="Z5475">
        <v>-6.1573110000000004E-4</v>
      </c>
      <c r="AA5475">
        <v>0.99996079999999998</v>
      </c>
      <c r="AB5475">
        <v>29</v>
      </c>
      <c r="AC5475">
        <v>73.385899999999907</v>
      </c>
      <c r="AD5475">
        <v>-1.118588605926</v>
      </c>
      <c r="AE5475">
        <v>4.1300400000000002</v>
      </c>
      <c r="AF5475">
        <v>0.64941794926548801</v>
      </c>
      <c r="AG5475">
        <v>-1.118588605926</v>
      </c>
      <c r="AH5475">
        <v>73.482135201019503</v>
      </c>
      <c r="AI5475">
        <v>90.872088895409505</v>
      </c>
      <c r="AJ5475">
        <v>89.493646464833702</v>
      </c>
      <c r="AK5475">
        <v>73.493517930787903</v>
      </c>
      <c r="AL5475">
        <v>79.566867284504198</v>
      </c>
      <c r="AM5475">
        <v>87.072149148852603</v>
      </c>
      <c r="AN5475">
        <v>1.0000000563036</v>
      </c>
    </row>
    <row r="5476" spans="1:40" x14ac:dyDescent="0.25">
      <c r="A5476" t="str">
        <f>"20190303171123486"</f>
        <v>20190303171123486</v>
      </c>
      <c r="B5476" t="str">
        <f>"1551604283476561"</f>
        <v>1551604283476561</v>
      </c>
      <c r="C5476" t="s">
        <v>40</v>
      </c>
      <c r="D5476">
        <v>4.8526910000000001</v>
      </c>
      <c r="E5476">
        <v>0.48797610000000002</v>
      </c>
      <c r="F5476" t="s">
        <v>68</v>
      </c>
      <c r="G5476">
        <v>-192.67619999999999</v>
      </c>
      <c r="H5476" s="1">
        <v>-6.7950269999999999E-6</v>
      </c>
      <c r="I5476">
        <v>-59.451630000000002</v>
      </c>
      <c r="J5476">
        <v>-263.53489999999999</v>
      </c>
      <c r="K5476">
        <v>1.1185639999999999</v>
      </c>
      <c r="L5476">
        <v>-63.377589999999998</v>
      </c>
      <c r="M5476">
        <v>0.9979363</v>
      </c>
      <c r="N5476">
        <v>-7.1897200000000001E-3</v>
      </c>
      <c r="O5476">
        <v>6.3808920000000005E-2</v>
      </c>
      <c r="P5476">
        <v>0.98478860000000001</v>
      </c>
      <c r="Q5476">
        <v>0.1732062</v>
      </c>
      <c r="R5476">
        <v>1.382296E-2</v>
      </c>
      <c r="S5476">
        <v>3.0529169999999999</v>
      </c>
      <c r="T5476">
        <v>-4.8094150000000002E-2</v>
      </c>
      <c r="U5476">
        <v>0.1691589</v>
      </c>
      <c r="V5476">
        <v>4.9844409999999999E-2</v>
      </c>
      <c r="W5476">
        <v>0.1800551</v>
      </c>
      <c r="X5476">
        <v>0.98239279999999995</v>
      </c>
      <c r="Y5476">
        <v>8.4976459999999993E-3</v>
      </c>
      <c r="Z5476">
        <v>-6.420353E-4</v>
      </c>
      <c r="AA5476">
        <v>0.99996370000000001</v>
      </c>
      <c r="AB5476">
        <v>29</v>
      </c>
      <c r="AC5476">
        <v>70.858699999999999</v>
      </c>
      <c r="AD5476">
        <v>-1.1185707950270001</v>
      </c>
      <c r="AE5476">
        <v>3.9259599999999999</v>
      </c>
      <c r="AF5476">
        <v>0.60342477379384696</v>
      </c>
      <c r="AG5476">
        <v>-1.1185707950270001</v>
      </c>
      <c r="AH5476">
        <v>70.947184138041195</v>
      </c>
      <c r="AI5476">
        <v>90.9032318827701</v>
      </c>
      <c r="AJ5476">
        <v>89.512695823432907</v>
      </c>
      <c r="AK5476">
        <v>70.958567200854901</v>
      </c>
      <c r="AL5476">
        <v>79.627030328559798</v>
      </c>
      <c r="AM5476">
        <v>87.095431217983403</v>
      </c>
      <c r="AN5476">
        <v>0.99999995886804804</v>
      </c>
    </row>
    <row r="5477" spans="1:40" x14ac:dyDescent="0.25">
      <c r="A5477" t="str">
        <f>"20190303171123497"</f>
        <v>20190303171123497</v>
      </c>
      <c r="B5477" t="str">
        <f>"1551604283486320"</f>
        <v>1551604283486320</v>
      </c>
      <c r="C5477" t="s">
        <v>40</v>
      </c>
      <c r="D5477">
        <v>4.7274949999999896</v>
      </c>
      <c r="E5477">
        <v>0.48784699999999998</v>
      </c>
      <c r="F5477" t="s">
        <v>68</v>
      </c>
      <c r="G5477">
        <v>-197.16319999999999</v>
      </c>
      <c r="H5477" s="1">
        <v>-7.1971250000000001E-6</v>
      </c>
      <c r="I5477">
        <v>-59.743929999999999</v>
      </c>
      <c r="J5477">
        <v>-263.392</v>
      </c>
      <c r="K5477">
        <v>1.11854599999999</v>
      </c>
      <c r="L5477">
        <v>-63.369509999999998</v>
      </c>
      <c r="M5477">
        <v>0.99801059999999997</v>
      </c>
      <c r="N5477">
        <v>-7.1431699999999999E-3</v>
      </c>
      <c r="O5477">
        <v>6.2641639999999998E-2</v>
      </c>
      <c r="P5477">
        <v>0.98504329999999996</v>
      </c>
      <c r="Q5477">
        <v>0.17177379999999901</v>
      </c>
      <c r="R5477">
        <v>1.3555599999999999E-2</v>
      </c>
      <c r="S5477">
        <v>3.0530400000000002</v>
      </c>
      <c r="T5477">
        <v>-5.1453230000000003E-2</v>
      </c>
      <c r="U5477">
        <v>0.16714479999999901</v>
      </c>
      <c r="V5477">
        <v>4.8973030000000001E-2</v>
      </c>
      <c r="W5477">
        <v>0.1785822</v>
      </c>
      <c r="X5477">
        <v>0.98270550000000001</v>
      </c>
      <c r="Y5477">
        <v>7.9872350000000005E-3</v>
      </c>
      <c r="Z5477">
        <v>-7.0214979999999995E-4</v>
      </c>
      <c r="AA5477">
        <v>0.99996790000000002</v>
      </c>
      <c r="AB5477">
        <v>29</v>
      </c>
      <c r="AC5477">
        <v>66.228800000000007</v>
      </c>
      <c r="AD5477">
        <v>-1.11855319712499</v>
      </c>
      <c r="AE5477">
        <v>3.62557999999999</v>
      </c>
      <c r="AF5477">
        <v>0.53017608565011098</v>
      </c>
      <c r="AG5477">
        <v>-1.11855319712499</v>
      </c>
      <c r="AH5477">
        <v>66.306986341165199</v>
      </c>
      <c r="AI5477">
        <v>90.966417788797798</v>
      </c>
      <c r="AJ5477">
        <v>89.541885305734993</v>
      </c>
      <c r="AK5477">
        <v>66.318539531446802</v>
      </c>
      <c r="AL5477">
        <v>79.712812458520204</v>
      </c>
      <c r="AM5477">
        <v>87.147030813566801</v>
      </c>
      <c r="AN5477">
        <v>1.00000002977723</v>
      </c>
    </row>
    <row r="5478" spans="1:40" x14ac:dyDescent="0.25">
      <c r="A5478" t="str">
        <f>"20190303171123507"</f>
        <v>20190303171123507</v>
      </c>
      <c r="B5478" t="str">
        <f>"1551604283496080"</f>
        <v>1551604283496080</v>
      </c>
      <c r="C5478" t="s">
        <v>40</v>
      </c>
      <c r="D5478">
        <v>4.7876099999999999</v>
      </c>
      <c r="E5478">
        <v>0.48765920000000001</v>
      </c>
      <c r="F5478" t="s">
        <v>68</v>
      </c>
      <c r="G5478">
        <v>-202.9211</v>
      </c>
      <c r="H5478" s="1">
        <v>-4.2847230000000002E-6</v>
      </c>
      <c r="I5478">
        <v>-60.066180000000003</v>
      </c>
      <c r="J5478">
        <v>-263.24619999999999</v>
      </c>
      <c r="K5478">
        <v>1.1185290000000001</v>
      </c>
      <c r="L5478">
        <v>-63.361539999999998</v>
      </c>
      <c r="M5478">
        <v>0.99808479999999999</v>
      </c>
      <c r="N5478">
        <v>-7.09583E-3</v>
      </c>
      <c r="O5478">
        <v>6.1452060000000003E-2</v>
      </c>
      <c r="P5478">
        <v>0.98522699999999996</v>
      </c>
      <c r="Q5478">
        <v>0.17072809999999999</v>
      </c>
      <c r="R5478">
        <v>1.3405469999999999E-2</v>
      </c>
      <c r="S5478">
        <v>3.05307</v>
      </c>
      <c r="T5478">
        <v>-5.647361E-2</v>
      </c>
      <c r="U5478">
        <v>0.1667786</v>
      </c>
      <c r="V5478">
        <v>4.7959689999999999E-2</v>
      </c>
      <c r="W5478">
        <v>0.17749500000000001</v>
      </c>
      <c r="X5478">
        <v>0.98295239999999995</v>
      </c>
      <c r="Y5478">
        <v>6.9144300000000001E-3</v>
      </c>
      <c r="Z5478">
        <v>-7.8709089999999895E-4</v>
      </c>
      <c r="AA5478">
        <v>0.99997579999999997</v>
      </c>
      <c r="AB5478">
        <v>29</v>
      </c>
      <c r="AC5478">
        <v>60.3250999999999</v>
      </c>
      <c r="AD5478">
        <v>-1.1185332847229901</v>
      </c>
      <c r="AE5478">
        <v>3.2953600000000001</v>
      </c>
      <c r="AF5478">
        <v>0.41792021643963101</v>
      </c>
      <c r="AG5478">
        <v>-1.1185332847229901</v>
      </c>
      <c r="AH5478">
        <v>60.3928926511784</v>
      </c>
      <c r="AI5478">
        <v>91.061025121067402</v>
      </c>
      <c r="AJ5478">
        <v>89.603518206892403</v>
      </c>
      <c r="AK5478">
        <v>60.404695651853899</v>
      </c>
      <c r="AL5478">
        <v>79.7761156317559</v>
      </c>
      <c r="AM5478">
        <v>87.206670042393796</v>
      </c>
      <c r="AN5478">
        <v>1.00000001377782</v>
      </c>
    </row>
    <row r="5479" spans="1:40" x14ac:dyDescent="0.25">
      <c r="A5479" t="str">
        <f>"20190303171123520"</f>
        <v>20190303171123520</v>
      </c>
      <c r="B5479" t="str">
        <f>"1551604283505841"</f>
        <v>1551604283505841</v>
      </c>
      <c r="C5479" t="s">
        <v>40</v>
      </c>
      <c r="D5479">
        <v>4.7899520000000004</v>
      </c>
      <c r="E5479">
        <v>0.48751319999999998</v>
      </c>
      <c r="F5479" t="s">
        <v>68</v>
      </c>
      <c r="G5479">
        <v>-206.4425</v>
      </c>
      <c r="H5479" s="1">
        <v>-2.2671689999999999E-6</v>
      </c>
      <c r="I5479">
        <v>-60.254660000000001</v>
      </c>
      <c r="J5479">
        <v>-263.09230000000002</v>
      </c>
      <c r="K5479">
        <v>1.1185099999999999</v>
      </c>
      <c r="L5479">
        <v>-63.353209999999997</v>
      </c>
      <c r="M5479">
        <v>0.99816170000000004</v>
      </c>
      <c r="N5479">
        <v>-7.0459880000000004E-3</v>
      </c>
      <c r="O5479">
        <v>6.0197229999999997E-2</v>
      </c>
      <c r="P5479">
        <v>0.98533959999999998</v>
      </c>
      <c r="Q5479">
        <v>0.17013780000000001</v>
      </c>
      <c r="R5479">
        <v>1.261425E-2</v>
      </c>
      <c r="S5479">
        <v>3.053131</v>
      </c>
      <c r="T5479">
        <v>-6.011975E-2</v>
      </c>
      <c r="U5479">
        <v>0.16699220000000001</v>
      </c>
      <c r="V5479">
        <v>4.7519260000000001E-2</v>
      </c>
      <c r="W5479">
        <v>0.17685770000000001</v>
      </c>
      <c r="X5479">
        <v>0.98308870000000004</v>
      </c>
      <c r="Y5479">
        <v>5.5879229999999998E-3</v>
      </c>
      <c r="Z5479">
        <v>-8.338261E-4</v>
      </c>
      <c r="AA5479">
        <v>0.99998399999999998</v>
      </c>
      <c r="AB5479">
        <v>29</v>
      </c>
      <c r="AC5479">
        <v>56.649799999999999</v>
      </c>
      <c r="AD5479">
        <v>-1.118512267169</v>
      </c>
      <c r="AE5479">
        <v>3.0985499999999901</v>
      </c>
      <c r="AF5479">
        <v>0.31719167570876</v>
      </c>
      <c r="AG5479">
        <v>-1.118512267169</v>
      </c>
      <c r="AH5479">
        <v>56.7115469743623</v>
      </c>
      <c r="AI5479">
        <v>91.129870829124499</v>
      </c>
      <c r="AJ5479">
        <v>89.679544012082204</v>
      </c>
      <c r="AK5479">
        <v>56.723462874512997</v>
      </c>
      <c r="AL5479">
        <v>79.813217678404399</v>
      </c>
      <c r="AM5479">
        <v>87.232665194777098</v>
      </c>
      <c r="AN5479">
        <v>1.0000000590939599</v>
      </c>
    </row>
    <row r="5480" spans="1:40" x14ac:dyDescent="0.25">
      <c r="A5480" t="str">
        <f>"20190303171123531"</f>
        <v>20190303171123531</v>
      </c>
      <c r="B5480" t="str">
        <f>"1551604283526335"</f>
        <v>1551604283526335</v>
      </c>
      <c r="C5480" t="s">
        <v>40</v>
      </c>
      <c r="D5480">
        <v>4.7876820000000002</v>
      </c>
      <c r="E5480">
        <v>0.48723870000000002</v>
      </c>
      <c r="F5480" t="s">
        <v>68</v>
      </c>
      <c r="G5480">
        <v>-208.1782</v>
      </c>
      <c r="H5480" s="1">
        <v>-1.129979E-6</v>
      </c>
      <c r="I5480">
        <v>-60.382210000000001</v>
      </c>
      <c r="J5480">
        <v>-262.94349999999997</v>
      </c>
      <c r="K5480">
        <v>1.118493</v>
      </c>
      <c r="L5480">
        <v>-63.345399999999998</v>
      </c>
      <c r="M5480">
        <v>0.99823450000000002</v>
      </c>
      <c r="N5480">
        <v>-6.9980750000000003E-3</v>
      </c>
      <c r="O5480">
        <v>5.898453E-2</v>
      </c>
      <c r="P5480">
        <v>0.98537640000000004</v>
      </c>
      <c r="Q5480">
        <v>0.1700073</v>
      </c>
      <c r="R5480">
        <v>1.145755E-2</v>
      </c>
      <c r="S5480">
        <v>3.0532840000000001</v>
      </c>
      <c r="T5480">
        <v>-6.2190410000000002E-2</v>
      </c>
      <c r="U5480">
        <v>0.1651917</v>
      </c>
      <c r="V5480">
        <v>4.7482539999999997E-2</v>
      </c>
      <c r="W5480">
        <v>0.17667939999999999</v>
      </c>
      <c r="X5480">
        <v>0.98312250000000001</v>
      </c>
      <c r="Y5480">
        <v>4.9633400000000001E-3</v>
      </c>
      <c r="Z5480">
        <v>-8.5450520000000005E-4</v>
      </c>
      <c r="AA5480">
        <v>0.99998730000000002</v>
      </c>
      <c r="AB5480">
        <v>29</v>
      </c>
      <c r="AC5480">
        <v>54.765299999999897</v>
      </c>
      <c r="AD5480">
        <v>-1.1184941299790001</v>
      </c>
      <c r="AE5480">
        <v>2.9631899999999902</v>
      </c>
      <c r="AF5480">
        <v>0.272240401509039</v>
      </c>
      <c r="AG5480">
        <v>-1.1184941299790001</v>
      </c>
      <c r="AH5480">
        <v>54.821929608770198</v>
      </c>
      <c r="AI5480">
        <v>91.168789825874498</v>
      </c>
      <c r="AJ5480">
        <v>89.715477037853404</v>
      </c>
      <c r="AK5480">
        <v>54.834014169892399</v>
      </c>
      <c r="AL5480">
        <v>79.823596623238799</v>
      </c>
      <c r="AM5480">
        <v>87.234895223580196</v>
      </c>
      <c r="AN5480">
        <v>1.00000002599773</v>
      </c>
    </row>
    <row r="5481" spans="1:40" x14ac:dyDescent="0.25">
      <c r="A5481" t="str">
        <f>"20190303171123542"</f>
        <v>20190303171123542</v>
      </c>
      <c r="B5481" t="str">
        <f>"1551604283536096"</f>
        <v>1551604283536096</v>
      </c>
      <c r="C5481" t="s">
        <v>40</v>
      </c>
      <c r="D5481">
        <v>4.8442350000000003</v>
      </c>
      <c r="E5481">
        <v>0.48707060000000002</v>
      </c>
      <c r="F5481" t="s">
        <v>68</v>
      </c>
      <c r="G5481">
        <v>-208.2216</v>
      </c>
      <c r="H5481" s="1">
        <v>-1.1049720000000001E-6</v>
      </c>
      <c r="I5481">
        <v>-60.405079999999998</v>
      </c>
      <c r="J5481">
        <v>-262.78719999999998</v>
      </c>
      <c r="K5481">
        <v>1.118479</v>
      </c>
      <c r="L5481">
        <v>-63.3373699999999</v>
      </c>
      <c r="M5481">
        <v>0.99830929999999996</v>
      </c>
      <c r="N5481">
        <v>-6.9479040000000004E-3</v>
      </c>
      <c r="O5481">
        <v>5.7711520000000002E-2</v>
      </c>
      <c r="P5481">
        <v>0.98529420000000001</v>
      </c>
      <c r="Q5481">
        <v>0.1705921</v>
      </c>
      <c r="R5481">
        <v>9.6895550000000007E-3</v>
      </c>
      <c r="S5481">
        <v>3.0533450000000002</v>
      </c>
      <c r="T5481">
        <v>-6.2409159999999998E-2</v>
      </c>
      <c r="U5481">
        <v>0.1640625</v>
      </c>
      <c r="V5481">
        <v>4.7993170000000002E-2</v>
      </c>
      <c r="W5481">
        <v>0.17721099999999901</v>
      </c>
      <c r="X5481">
        <v>0.98300200000000004</v>
      </c>
      <c r="Y5481">
        <v>4.0581920000000004E-3</v>
      </c>
      <c r="Z5481">
        <v>-8.3224500000000001E-4</v>
      </c>
      <c r="AA5481">
        <v>0.99999139999999997</v>
      </c>
      <c r="AB5481">
        <v>29</v>
      </c>
      <c r="AC5481">
        <v>54.565599999999897</v>
      </c>
      <c r="AD5481">
        <v>-1.1184801049719999</v>
      </c>
      <c r="AE5481">
        <v>2.9322899999999801</v>
      </c>
      <c r="AF5481">
        <v>0.22164379296855799</v>
      </c>
      <c r="AG5481">
        <v>-1.1184801049719999</v>
      </c>
      <c r="AH5481">
        <v>54.620998507864698</v>
      </c>
      <c r="AI5481">
        <v>91.173078285205605</v>
      </c>
      <c r="AJ5481">
        <v>89.767503624294704</v>
      </c>
      <c r="AK5481">
        <v>54.6328985292959</v>
      </c>
      <c r="AL5481">
        <v>79.792649677907093</v>
      </c>
      <c r="AM5481">
        <v>87.204863968295101</v>
      </c>
      <c r="AN5481">
        <v>1.00000000744582</v>
      </c>
    </row>
    <row r="5482" spans="1:40" x14ac:dyDescent="0.25">
      <c r="A5482" t="str">
        <f>"20190303171123553"</f>
        <v>20190303171123553</v>
      </c>
      <c r="B5482" t="str">
        <f>"1551604283545855"</f>
        <v>1551604283545855</v>
      </c>
      <c r="C5482" t="s">
        <v>40</v>
      </c>
      <c r="D5482">
        <v>4.7881159999999996</v>
      </c>
      <c r="E5482">
        <v>0.48692249999999998</v>
      </c>
      <c r="F5482" t="s">
        <v>68</v>
      </c>
      <c r="G5482">
        <v>-206.43860000000001</v>
      </c>
      <c r="H5482" s="1">
        <v>-2.2381510000000001E-6</v>
      </c>
      <c r="I5482">
        <v>-60.373049999999999</v>
      </c>
      <c r="J5482">
        <v>-262.64490000000001</v>
      </c>
      <c r="K5482">
        <v>1.1184639999999999</v>
      </c>
      <c r="L5482">
        <v>-63.330170000000003</v>
      </c>
      <c r="M5482">
        <v>0.99837589999999998</v>
      </c>
      <c r="N5482">
        <v>-6.9023210000000003E-3</v>
      </c>
      <c r="O5482">
        <v>5.6552690000000003E-2</v>
      </c>
      <c r="P5482">
        <v>0.98524999999999996</v>
      </c>
      <c r="Q5482">
        <v>0.17092660000000001</v>
      </c>
      <c r="R5482">
        <v>8.1727919999999999E-3</v>
      </c>
      <c r="S5482">
        <v>3.0537109999999998</v>
      </c>
      <c r="T5482">
        <v>-6.061399E-2</v>
      </c>
      <c r="U5482">
        <v>0.1606445</v>
      </c>
      <c r="V5482">
        <v>4.8366640000000002E-2</v>
      </c>
      <c r="W5482">
        <v>0.17749779999999901</v>
      </c>
      <c r="X5482">
        <v>0.98293200000000003</v>
      </c>
      <c r="Y5482">
        <v>4.0205529999999996E-3</v>
      </c>
      <c r="Z5482">
        <v>-7.841813E-4</v>
      </c>
      <c r="AA5482">
        <v>0.99999159999999998</v>
      </c>
      <c r="AB5482">
        <v>29</v>
      </c>
      <c r="AC5482">
        <v>56.206299999999999</v>
      </c>
      <c r="AD5482">
        <v>-1.118466238151</v>
      </c>
      <c r="AE5482">
        <v>2.95711999999999</v>
      </c>
      <c r="AF5482">
        <v>0.22621614669227699</v>
      </c>
      <c r="AG5482">
        <v>-1.118466238151</v>
      </c>
      <c r="AH5482">
        <v>56.261364117728</v>
      </c>
      <c r="AI5482">
        <v>91.138871019133006</v>
      </c>
      <c r="AJ5482">
        <v>89.769625909014394</v>
      </c>
      <c r="AK5482">
        <v>56.2729351718788</v>
      </c>
      <c r="AL5482">
        <v>79.775953079816006</v>
      </c>
      <c r="AM5482">
        <v>87.182947584360207</v>
      </c>
      <c r="AN5482">
        <v>1.00000005874686</v>
      </c>
    </row>
    <row r="5483" spans="1:40" x14ac:dyDescent="0.25">
      <c r="A5483" t="str">
        <f>"20190303171123566"</f>
        <v>20190303171123566</v>
      </c>
      <c r="B5483" t="str">
        <f>"1551604283556591"</f>
        <v>1551604283556591</v>
      </c>
      <c r="C5483" t="s">
        <v>40</v>
      </c>
      <c r="D5483">
        <v>4.8484069999999999</v>
      </c>
      <c r="E5483">
        <v>0.48673319999999998</v>
      </c>
      <c r="F5483" t="s">
        <v>68</v>
      </c>
      <c r="G5483">
        <v>-205.54230000000001</v>
      </c>
      <c r="H5483" s="1">
        <v>-2.805519E-6</v>
      </c>
      <c r="I5483">
        <v>-60.38185</v>
      </c>
      <c r="J5483">
        <v>-262.48630000000003</v>
      </c>
      <c r="K5483">
        <v>1.1184459999999901</v>
      </c>
      <c r="L5483">
        <v>-63.322450000000003</v>
      </c>
      <c r="M5483">
        <v>0.99844849999999996</v>
      </c>
      <c r="N5483">
        <v>-6.8494130000000004E-3</v>
      </c>
      <c r="O5483">
        <v>5.5261159999999997E-2</v>
      </c>
      <c r="P5483">
        <v>0.98527889999999996</v>
      </c>
      <c r="Q5483">
        <v>0.17082530000000001</v>
      </c>
      <c r="R5483">
        <v>6.6415190000000002E-3</v>
      </c>
      <c r="S5483">
        <v>3.0540159999999998</v>
      </c>
      <c r="T5483">
        <v>-5.9818860000000001E-2</v>
      </c>
      <c r="U5483">
        <v>0.157684299999999</v>
      </c>
      <c r="V5483">
        <v>4.8626530000000001E-2</v>
      </c>
      <c r="W5483">
        <v>0.17734249999999999</v>
      </c>
      <c r="X5483">
        <v>0.98294720000000002</v>
      </c>
      <c r="Y5483">
        <v>3.69922E-3</v>
      </c>
      <c r="Z5483">
        <v>-7.5113950000000001E-4</v>
      </c>
      <c r="AA5483">
        <v>0.99999280000000002</v>
      </c>
      <c r="AB5483">
        <v>29</v>
      </c>
      <c r="AC5483">
        <v>56.944000000000003</v>
      </c>
      <c r="AD5483">
        <v>-1.1184488055189901</v>
      </c>
      <c r="AE5483">
        <v>2.9405999999999999</v>
      </c>
      <c r="AF5483">
        <v>0.21067770899604199</v>
      </c>
      <c r="AG5483">
        <v>-1.1184488055189901</v>
      </c>
      <c r="AH5483">
        <v>56.997556675249399</v>
      </c>
      <c r="AI5483">
        <v>91.124148808922499</v>
      </c>
      <c r="AJ5483">
        <v>89.788220946736502</v>
      </c>
      <c r="AK5483">
        <v>57.008918423137203</v>
      </c>
      <c r="AL5483">
        <v>79.784994463263004</v>
      </c>
      <c r="AM5483">
        <v>87.167878930952995</v>
      </c>
      <c r="AN5483">
        <v>1.0000000498569599</v>
      </c>
    </row>
    <row r="5484" spans="1:40" x14ac:dyDescent="0.25">
      <c r="A5484" t="str">
        <f>"20190303171123577"</f>
        <v>20190303171123577</v>
      </c>
      <c r="B5484" t="str">
        <f>"1551604283566352"</f>
        <v>1551604283566352</v>
      </c>
      <c r="C5484" t="s">
        <v>40</v>
      </c>
      <c r="D5484">
        <v>4.7919790000000004</v>
      </c>
      <c r="E5484">
        <v>0.48661589999999999</v>
      </c>
      <c r="F5484" t="s">
        <v>68</v>
      </c>
      <c r="G5484">
        <v>-205.98159999999999</v>
      </c>
      <c r="H5484" s="1">
        <v>-2.5367939999999998E-6</v>
      </c>
      <c r="I5484">
        <v>-60.462809999999998</v>
      </c>
      <c r="J5484">
        <v>-262.34160000000003</v>
      </c>
      <c r="K5484">
        <v>1.11843</v>
      </c>
      <c r="L5484">
        <v>-63.315489999999997</v>
      </c>
      <c r="M5484">
        <v>0.99851330000000005</v>
      </c>
      <c r="N5484">
        <v>-6.800576E-3</v>
      </c>
      <c r="O5484">
        <v>5.408251E-2</v>
      </c>
      <c r="P5484">
        <v>0.98538870000000001</v>
      </c>
      <c r="Q5484">
        <v>0.170214</v>
      </c>
      <c r="R5484">
        <v>6.0181150000000001E-3</v>
      </c>
      <c r="S5484">
        <v>3.05423</v>
      </c>
      <c r="T5484">
        <v>-6.0455080000000001E-2</v>
      </c>
      <c r="U5484">
        <v>0.1545715</v>
      </c>
      <c r="V5484">
        <v>4.8092990000000002E-2</v>
      </c>
      <c r="W5484">
        <v>0.17668539999999999</v>
      </c>
      <c r="X5484">
        <v>0.98309170000000001</v>
      </c>
      <c r="Y5484">
        <v>3.5388279999999999E-3</v>
      </c>
      <c r="Z5484">
        <v>-7.4819890000000003E-4</v>
      </c>
      <c r="AA5484">
        <v>0.99999340000000003</v>
      </c>
      <c r="AB5484">
        <v>29</v>
      </c>
      <c r="AC5484">
        <v>56.36</v>
      </c>
      <c r="AD5484">
        <v>-1.118432536794</v>
      </c>
      <c r="AE5484">
        <v>2.8526799999999999</v>
      </c>
      <c r="AF5484">
        <v>0.199577569078213</v>
      </c>
      <c r="AG5484">
        <v>-1.118432536794</v>
      </c>
      <c r="AH5484">
        <v>56.409637851692999</v>
      </c>
      <c r="AI5484">
        <v>91.135846116747999</v>
      </c>
      <c r="AJ5484">
        <v>89.797288103287698</v>
      </c>
      <c r="AK5484">
        <v>56.421077312513198</v>
      </c>
      <c r="AL5484">
        <v>79.823246864641703</v>
      </c>
      <c r="AM5484">
        <v>87.1993148295292</v>
      </c>
      <c r="AN5484">
        <v>0.99999997843459398</v>
      </c>
    </row>
    <row r="5485" spans="1:40" x14ac:dyDescent="0.25">
      <c r="A5485" t="str">
        <f>"20190303171123588"</f>
        <v>20190303171123588</v>
      </c>
      <c r="B5485" t="str">
        <f>"1551604283576112"</f>
        <v>1551604283576112</v>
      </c>
      <c r="C5485" t="s">
        <v>40</v>
      </c>
      <c r="D5485">
        <v>4.7623030000000002</v>
      </c>
      <c r="E5485">
        <v>0.48645719999999998</v>
      </c>
      <c r="F5485" t="s">
        <v>68</v>
      </c>
      <c r="G5485">
        <v>-207.6189</v>
      </c>
      <c r="H5485" s="1">
        <v>-1.5108180000000001E-6</v>
      </c>
      <c r="I5485">
        <v>-60.568550000000002</v>
      </c>
      <c r="J5485">
        <v>-262.18869999999998</v>
      </c>
      <c r="K5485">
        <v>1.118411</v>
      </c>
      <c r="L5485">
        <v>-63.308410000000002</v>
      </c>
      <c r="M5485">
        <v>0.99858029999999998</v>
      </c>
      <c r="N5485">
        <v>-6.7478540000000002E-3</v>
      </c>
      <c r="O5485">
        <v>5.2838549999999998E-2</v>
      </c>
      <c r="P5485">
        <v>0.98555119999999896</v>
      </c>
      <c r="Q5485">
        <v>0.16927970000000001</v>
      </c>
      <c r="R5485">
        <v>5.7585500000000003E-3</v>
      </c>
      <c r="S5485">
        <v>3.0543209999999998</v>
      </c>
      <c r="T5485">
        <v>-6.2424779999999999E-2</v>
      </c>
      <c r="U5485">
        <v>0.15332029999999999</v>
      </c>
      <c r="V5485">
        <v>4.7132750000000001E-2</v>
      </c>
      <c r="W5485">
        <v>0.17570439999999901</v>
      </c>
      <c r="X5485">
        <v>0.98331400000000002</v>
      </c>
      <c r="Y5485">
        <v>2.7029630000000001E-3</v>
      </c>
      <c r="Z5485">
        <v>-7.5858149999999999E-4</v>
      </c>
      <c r="AA5485">
        <v>0.99999610000000005</v>
      </c>
      <c r="AB5485">
        <v>29</v>
      </c>
      <c r="AC5485">
        <v>54.569800000000001</v>
      </c>
      <c r="AD5485">
        <v>-1.1184125108180001</v>
      </c>
      <c r="AE5485">
        <v>2.73985999999999</v>
      </c>
      <c r="AF5485">
        <v>0.14736049397873899</v>
      </c>
      <c r="AG5485">
        <v>-1.1184125108180001</v>
      </c>
      <c r="AH5485">
        <v>54.615456311033697</v>
      </c>
      <c r="AI5485">
        <v>91.173131797646903</v>
      </c>
      <c r="AJ5485">
        <v>89.845407976904994</v>
      </c>
      <c r="AK5485">
        <v>54.627105265810698</v>
      </c>
      <c r="AL5485">
        <v>79.880347337981505</v>
      </c>
      <c r="AM5485">
        <v>87.255767402112198</v>
      </c>
      <c r="AN5485">
        <v>0.99999997744896096</v>
      </c>
    </row>
    <row r="5486" spans="1:40" x14ac:dyDescent="0.25">
      <c r="A5486" t="str">
        <f>"20190303171123599"</f>
        <v>20190303171123599</v>
      </c>
      <c r="B5486" t="str">
        <f>"1551604283585872"</f>
        <v>1551604283585872</v>
      </c>
      <c r="C5486" t="s">
        <v>40</v>
      </c>
      <c r="D5486">
        <v>4.7819960000000004</v>
      </c>
      <c r="E5486">
        <v>0.4863306</v>
      </c>
      <c r="F5486" t="s">
        <v>102</v>
      </c>
      <c r="G5486">
        <v>-210.1326</v>
      </c>
      <c r="H5486" s="1">
        <v>8.8979950000000003E-7</v>
      </c>
      <c r="I5486">
        <v>-60.700470000000003</v>
      </c>
      <c r="J5486">
        <v>-262.04829999999998</v>
      </c>
      <c r="K5486">
        <v>1.1183959999999999</v>
      </c>
      <c r="L5486">
        <v>-63.301969999999997</v>
      </c>
      <c r="M5486">
        <v>0.99864039999999998</v>
      </c>
      <c r="N5486">
        <v>-6.7002059999999898E-3</v>
      </c>
      <c r="O5486">
        <v>5.169762E-2</v>
      </c>
      <c r="P5486">
        <v>0.98573390000000005</v>
      </c>
      <c r="Q5486">
        <v>0.16822089999999901</v>
      </c>
      <c r="R5486">
        <v>5.5464529999999998E-3</v>
      </c>
      <c r="S5486">
        <v>3.0543520000000002</v>
      </c>
      <c r="T5486">
        <v>-6.5621849999999995E-2</v>
      </c>
      <c r="U5486">
        <v>0.15301509999999999</v>
      </c>
      <c r="V5486">
        <v>4.6226450000000002E-2</v>
      </c>
      <c r="W5486">
        <v>0.17460400000000001</v>
      </c>
      <c r="X5486">
        <v>0.98355309999999996</v>
      </c>
      <c r="Y5486">
        <v>1.6601439999999999E-3</v>
      </c>
      <c r="Z5486">
        <v>-7.8616880000000001E-4</v>
      </c>
      <c r="AA5486">
        <v>0.99999830000000001</v>
      </c>
      <c r="AB5486">
        <v>29</v>
      </c>
      <c r="AC5486">
        <v>51.915700000000001</v>
      </c>
      <c r="AD5486">
        <v>-1.1183951102005001</v>
      </c>
      <c r="AE5486">
        <v>2.6015000000000001</v>
      </c>
      <c r="AF5486">
        <v>8.5917278878346798E-2</v>
      </c>
      <c r="AG5486">
        <v>-1.1183951102005001</v>
      </c>
      <c r="AH5486">
        <v>51.956717060531901</v>
      </c>
      <c r="AI5486">
        <v>91.2331290628441</v>
      </c>
      <c r="AJ5486">
        <v>89.905253964098307</v>
      </c>
      <c r="AK5486">
        <v>51.968823703346402</v>
      </c>
      <c r="AL5486">
        <v>79.944386535820996</v>
      </c>
      <c r="AM5486">
        <v>87.309110331236397</v>
      </c>
      <c r="AN5486">
        <v>1.0000000710076</v>
      </c>
    </row>
    <row r="5487" spans="1:40" x14ac:dyDescent="0.25">
      <c r="A5487" t="str">
        <f>"20190303171123609"</f>
        <v>20190303171123609</v>
      </c>
      <c r="B5487" t="str">
        <f>"1551604283596608"</f>
        <v>1551604283596608</v>
      </c>
      <c r="C5487" t="s">
        <v>40</v>
      </c>
      <c r="D5487">
        <v>4.8423740000000004</v>
      </c>
      <c r="E5487">
        <v>0.48622169999999998</v>
      </c>
      <c r="F5487" t="s">
        <v>102</v>
      </c>
      <c r="G5487">
        <v>-212.71080000000001</v>
      </c>
      <c r="H5487" s="1">
        <v>-2.5394270000000001E-7</v>
      </c>
      <c r="I5487">
        <v>-60.842100000000002</v>
      </c>
      <c r="J5487">
        <v>-261.91480000000001</v>
      </c>
      <c r="K5487">
        <v>1.118379</v>
      </c>
      <c r="L5487">
        <v>-63.296080000000003</v>
      </c>
      <c r="M5487">
        <v>0.99869620000000003</v>
      </c>
      <c r="N5487">
        <v>-6.6568979999999996E-3</v>
      </c>
      <c r="O5487">
        <v>5.0612820000000003E-2</v>
      </c>
      <c r="P5487">
        <v>0.98585230000000001</v>
      </c>
      <c r="Q5487">
        <v>0.16752320000000001</v>
      </c>
      <c r="R5487">
        <v>5.5894169999999898E-3</v>
      </c>
      <c r="S5487">
        <v>3.0544129999999998</v>
      </c>
      <c r="T5487">
        <v>-6.9238190000000005E-2</v>
      </c>
      <c r="U5487">
        <v>0.15228269999999999</v>
      </c>
      <c r="V5487">
        <v>4.5119069999999997E-2</v>
      </c>
      <c r="W5487">
        <v>0.1738691</v>
      </c>
      <c r="X5487">
        <v>0.98373460000000001</v>
      </c>
      <c r="Y5487">
        <v>8.1347319999999996E-4</v>
      </c>
      <c r="Z5487">
        <v>-8.207361E-4</v>
      </c>
      <c r="AA5487">
        <v>0.99999930000000004</v>
      </c>
      <c r="AB5487">
        <v>30</v>
      </c>
      <c r="AC5487">
        <v>49.204000000000001</v>
      </c>
      <c r="AD5487">
        <v>-1.11837925394269</v>
      </c>
      <c r="AE5487">
        <v>2.4539800000000001</v>
      </c>
      <c r="AF5487">
        <v>3.9553186275796702E-2</v>
      </c>
      <c r="AG5487">
        <v>-1.11837925394269</v>
      </c>
      <c r="AH5487">
        <v>49.239765002343603</v>
      </c>
      <c r="AI5487">
        <v>91.301130804087407</v>
      </c>
      <c r="AJ5487">
        <v>89.953975609908795</v>
      </c>
      <c r="AK5487">
        <v>49.2524800806641</v>
      </c>
      <c r="AL5487">
        <v>79.987146345403502</v>
      </c>
      <c r="AM5487">
        <v>87.373964612831202</v>
      </c>
      <c r="AN5487">
        <v>0.99999997882481695</v>
      </c>
    </row>
    <row r="5488" spans="1:40" x14ac:dyDescent="0.25">
      <c r="A5488" t="str">
        <f>"20190303171123621"</f>
        <v>20190303171123621</v>
      </c>
      <c r="B5488" t="str">
        <f>"1551604283606367"</f>
        <v>1551604283606367</v>
      </c>
      <c r="C5488" t="s">
        <v>40</v>
      </c>
      <c r="D5488">
        <v>4.8449960000000001</v>
      </c>
      <c r="E5488">
        <v>0.48608800000000002</v>
      </c>
      <c r="F5488" t="s">
        <v>102</v>
      </c>
      <c r="G5488">
        <v>-214.1472</v>
      </c>
      <c r="H5488" s="1">
        <v>-8.8814650000000003E-7</v>
      </c>
      <c r="I5488">
        <v>-60.909660000000002</v>
      </c>
      <c r="J5488">
        <v>-261.76479999999998</v>
      </c>
      <c r="K5488">
        <v>1.118363</v>
      </c>
      <c r="L5488">
        <v>-63.289580000000001</v>
      </c>
      <c r="M5488">
        <v>0.99875760000000002</v>
      </c>
      <c r="N5488">
        <v>-6.6087680000000001E-3</v>
      </c>
      <c r="O5488">
        <v>4.9394279999999999E-2</v>
      </c>
      <c r="P5488">
        <v>0.98592389999999996</v>
      </c>
      <c r="Q5488">
        <v>0.1671146</v>
      </c>
      <c r="R5488">
        <v>5.2179469999999997E-3</v>
      </c>
      <c r="S5488">
        <v>3.0543520000000002</v>
      </c>
      <c r="T5488">
        <v>-7.1511389999999994E-2</v>
      </c>
      <c r="U5488">
        <v>0.1525879</v>
      </c>
      <c r="V5488">
        <v>4.4292480000000002E-2</v>
      </c>
      <c r="W5488">
        <v>0.17341699999999999</v>
      </c>
      <c r="X5488">
        <v>0.98385199999999995</v>
      </c>
      <c r="Y5488">
        <v>-5.0733949999999897E-4</v>
      </c>
      <c r="Z5488">
        <v>-8.2086189999999997E-4</v>
      </c>
      <c r="AA5488">
        <v>0.99999950000000004</v>
      </c>
      <c r="AB5488">
        <v>30</v>
      </c>
      <c r="AC5488">
        <v>47.617599999999896</v>
      </c>
      <c r="AD5488">
        <v>-1.1183638881464999</v>
      </c>
      <c r="AE5488">
        <v>2.37992000000001</v>
      </c>
      <c r="AF5488">
        <v>-2.4912953780745001E-2</v>
      </c>
      <c r="AG5488">
        <v>-1.1183638881464999</v>
      </c>
      <c r="AH5488">
        <v>47.650811281884998</v>
      </c>
      <c r="AI5488">
        <v>91.344484147633196</v>
      </c>
      <c r="AJ5488">
        <v>90.029955565044602</v>
      </c>
      <c r="AK5488">
        <v>47.663939978388299</v>
      </c>
      <c r="AL5488">
        <v>80.013449749229693</v>
      </c>
      <c r="AM5488">
        <v>87.422315782854895</v>
      </c>
      <c r="AN5488">
        <v>1.0000000187887701</v>
      </c>
    </row>
    <row r="5489" spans="1:40" x14ac:dyDescent="0.25">
      <c r="A5489" t="str">
        <f>"20190303171123631"</f>
        <v>20190303171123631</v>
      </c>
      <c r="B5489" t="str">
        <f>"1551604283625888"</f>
        <v>1551604283625888</v>
      </c>
      <c r="C5489" t="s">
        <v>40</v>
      </c>
      <c r="D5489">
        <v>4.8430099999999996</v>
      </c>
      <c r="E5489">
        <v>0.48586800000000002</v>
      </c>
      <c r="F5489" t="s">
        <v>102</v>
      </c>
      <c r="G5489">
        <v>-214.9066</v>
      </c>
      <c r="H5489" s="1">
        <v>-1.225902E-6</v>
      </c>
      <c r="I5489">
        <v>-60.954709999999999</v>
      </c>
      <c r="J5489">
        <v>-261.60509999999999</v>
      </c>
      <c r="K5489">
        <v>1.1183479999999999</v>
      </c>
      <c r="L5489">
        <v>-63.282899999999998</v>
      </c>
      <c r="M5489">
        <v>0.99882119999999996</v>
      </c>
      <c r="N5489">
        <v>-6.5585499999999998E-3</v>
      </c>
      <c r="O5489">
        <v>4.8097189999999998E-2</v>
      </c>
      <c r="P5489">
        <v>0.98593580000000003</v>
      </c>
      <c r="Q5489">
        <v>0.16707320000000001</v>
      </c>
      <c r="R5489">
        <v>4.1565300000000003E-3</v>
      </c>
      <c r="S5489">
        <v>3.0543819999999999</v>
      </c>
      <c r="T5489">
        <v>-7.2898859999999996E-2</v>
      </c>
      <c r="U5489">
        <v>0.1521912</v>
      </c>
      <c r="V5489">
        <v>4.4076669999999998E-2</v>
      </c>
      <c r="W5489">
        <v>0.173326799999999</v>
      </c>
      <c r="X5489">
        <v>0.98387760000000002</v>
      </c>
      <c r="Y5489">
        <v>-1.675754E-3</v>
      </c>
      <c r="Z5489">
        <v>-8.0549349999999996E-4</v>
      </c>
      <c r="AA5489">
        <v>0.99999830000000001</v>
      </c>
      <c r="AB5489">
        <v>30</v>
      </c>
      <c r="AC5489">
        <v>46.698500000000003</v>
      </c>
      <c r="AD5489">
        <v>-1.11834922590199</v>
      </c>
      <c r="AE5489">
        <v>2.3281900000000002</v>
      </c>
      <c r="AF5489">
        <v>-7.9335216418430596E-2</v>
      </c>
      <c r="AG5489">
        <v>-1.11834922590199</v>
      </c>
      <c r="AH5489">
        <v>46.729699462021301</v>
      </c>
      <c r="AI5489">
        <v>91.370956156315202</v>
      </c>
      <c r="AJ5489">
        <v>90.097273655781393</v>
      </c>
      <c r="AK5489">
        <v>46.743147207676103</v>
      </c>
      <c r="AL5489">
        <v>80.018697429346105</v>
      </c>
      <c r="AM5489">
        <v>87.434925089648004</v>
      </c>
      <c r="AN5489">
        <v>1.00000003210914</v>
      </c>
    </row>
    <row r="5490" spans="1:40" x14ac:dyDescent="0.25">
      <c r="A5490" t="str">
        <f>"20190303171123643"</f>
        <v>20190303171123643</v>
      </c>
      <c r="B5490" t="str">
        <f>"1551604283636624"</f>
        <v>1551604283636624</v>
      </c>
      <c r="C5490" t="s">
        <v>40</v>
      </c>
      <c r="D5490">
        <v>4.8404530000000001</v>
      </c>
      <c r="E5490">
        <v>0.48578329999999997</v>
      </c>
      <c r="F5490" t="s">
        <v>102</v>
      </c>
      <c r="G5490">
        <v>-214.7766</v>
      </c>
      <c r="H5490" s="1">
        <v>-1.1740990000000001E-6</v>
      </c>
      <c r="I5490">
        <v>-60.969720000000002</v>
      </c>
      <c r="J5490">
        <v>-261.4547</v>
      </c>
      <c r="K5490">
        <v>1.118333</v>
      </c>
      <c r="L5490">
        <v>-63.276789999999998</v>
      </c>
      <c r="M5490">
        <v>0.99887939999999997</v>
      </c>
      <c r="N5490">
        <v>-6.5130319999999898E-3</v>
      </c>
      <c r="O5490">
        <v>4.6877210000000002E-2</v>
      </c>
      <c r="P5490">
        <v>0.98589660000000001</v>
      </c>
      <c r="Q5490">
        <v>0.16732559999999999</v>
      </c>
      <c r="R5490">
        <v>3.2115730000000001E-3</v>
      </c>
      <c r="S5490">
        <v>3.0545040000000001</v>
      </c>
      <c r="T5490">
        <v>-7.2947029999999996E-2</v>
      </c>
      <c r="U5490">
        <v>0.15087890000000001</v>
      </c>
      <c r="V5490">
        <v>4.3819280000000002E-2</v>
      </c>
      <c r="W5490">
        <v>0.173534299999999</v>
      </c>
      <c r="X5490">
        <v>0.98385250000000002</v>
      </c>
      <c r="Y5490">
        <v>-2.4661850000000001E-3</v>
      </c>
      <c r="Z5490">
        <v>-7.7530449999999897E-4</v>
      </c>
      <c r="AA5490">
        <v>0.99999669999999896</v>
      </c>
      <c r="AB5490">
        <v>30</v>
      </c>
      <c r="AC5490">
        <v>46.678100000000001</v>
      </c>
      <c r="AD5490">
        <v>-1.118334174099</v>
      </c>
      <c r="AE5490">
        <v>2.30707</v>
      </c>
      <c r="AF5490">
        <v>-0.116281488334972</v>
      </c>
      <c r="AG5490">
        <v>-1.118334174099</v>
      </c>
      <c r="AH5490">
        <v>46.708188515009702</v>
      </c>
      <c r="AI5490">
        <v>91.371566568245697</v>
      </c>
      <c r="AJ5490">
        <v>90.142639330808706</v>
      </c>
      <c r="AK5490">
        <v>46.721719436073499</v>
      </c>
      <c r="AL5490">
        <v>80.006625419162106</v>
      </c>
      <c r="AM5490">
        <v>87.449819289504504</v>
      </c>
      <c r="AN5490">
        <v>1.00000001216622</v>
      </c>
    </row>
    <row r="5491" spans="1:40" x14ac:dyDescent="0.25">
      <c r="A5491" t="str">
        <f>"20190303171123654"</f>
        <v>20190303171123654</v>
      </c>
      <c r="B5491" t="str">
        <f>"1551604283646384"</f>
        <v>1551604283646384</v>
      </c>
      <c r="C5491" t="s">
        <v>40</v>
      </c>
      <c r="D5491">
        <v>4.8450189999999997</v>
      </c>
      <c r="E5491">
        <v>0.48565419999999998</v>
      </c>
      <c r="F5491" t="s">
        <v>102</v>
      </c>
      <c r="G5491">
        <v>-214.08680000000001</v>
      </c>
      <c r="H5491" s="1">
        <v>-8.7821510000000005E-7</v>
      </c>
      <c r="I5491">
        <v>-60.969790000000003</v>
      </c>
      <c r="J5491">
        <v>-261.30779999999999</v>
      </c>
      <c r="K5491">
        <v>1.11832</v>
      </c>
      <c r="L5491">
        <v>-63.270940000000003</v>
      </c>
      <c r="M5491">
        <v>0.99893500000000002</v>
      </c>
      <c r="N5491">
        <v>-6.4694899999999996E-3</v>
      </c>
      <c r="O5491">
        <v>4.5685219999999999E-2</v>
      </c>
      <c r="P5491">
        <v>0.98582740000000002</v>
      </c>
      <c r="Q5491">
        <v>0.16774559999999999</v>
      </c>
      <c r="R5491">
        <v>2.4064690000000001E-3</v>
      </c>
      <c r="S5491">
        <v>3.0547179999999998</v>
      </c>
      <c r="T5491">
        <v>-7.2120429999999999E-2</v>
      </c>
      <c r="U5491">
        <v>0.14877319999999999</v>
      </c>
      <c r="V5491">
        <v>4.3449450000000001E-2</v>
      </c>
      <c r="W5491">
        <v>0.17391280000000001</v>
      </c>
      <c r="X5491">
        <v>0.98380210000000001</v>
      </c>
      <c r="Y5491">
        <v>-2.9678450000000002E-3</v>
      </c>
      <c r="Z5491">
        <v>-7.3710189999999997E-4</v>
      </c>
      <c r="AA5491">
        <v>0.99999539999999998</v>
      </c>
      <c r="AB5491">
        <v>30</v>
      </c>
      <c r="AC5491">
        <v>47.220999999999897</v>
      </c>
      <c r="AD5491">
        <v>-1.1183208782151</v>
      </c>
      <c r="AE5491">
        <v>2.3011499999999998</v>
      </c>
      <c r="AF5491">
        <v>-0.141321376540292</v>
      </c>
      <c r="AG5491">
        <v>-1.1183208782151</v>
      </c>
      <c r="AH5491">
        <v>47.250385979487803</v>
      </c>
      <c r="AI5491">
        <v>91.355815796036495</v>
      </c>
      <c r="AJ5491">
        <v>90.171365674983093</v>
      </c>
      <c r="AK5491">
        <v>47.263829600749702</v>
      </c>
      <c r="AL5491">
        <v>79.9846044465326</v>
      </c>
      <c r="AM5491">
        <v>87.471185107470404</v>
      </c>
      <c r="AN5491">
        <v>1.00000004433677</v>
      </c>
    </row>
    <row r="5492" spans="1:40" x14ac:dyDescent="0.25">
      <c r="A5492" t="str">
        <f>"20190303171123665"</f>
        <v>20190303171123665</v>
      </c>
      <c r="B5492" t="str">
        <f>"1551604283656144"</f>
        <v>1551604283656144</v>
      </c>
      <c r="C5492" t="s">
        <v>40</v>
      </c>
      <c r="D5492">
        <v>4.7889540000000004</v>
      </c>
      <c r="E5492">
        <v>0.48557260000000002</v>
      </c>
      <c r="F5492" t="s">
        <v>102</v>
      </c>
      <c r="G5492">
        <v>-213.1122</v>
      </c>
      <c r="H5492" s="1">
        <v>-4.5375079999999999E-7</v>
      </c>
      <c r="I5492">
        <v>-60.94585</v>
      </c>
      <c r="J5492">
        <v>-261.16129999999998</v>
      </c>
      <c r="K5492">
        <v>1.118312</v>
      </c>
      <c r="L5492">
        <v>-63.265349999999998</v>
      </c>
      <c r="M5492">
        <v>0.99898849999999995</v>
      </c>
      <c r="N5492">
        <v>-6.4290229999999999E-3</v>
      </c>
      <c r="O5492">
        <v>4.4503870000000001E-2</v>
      </c>
      <c r="P5492">
        <v>0.98584620000000001</v>
      </c>
      <c r="Q5492">
        <v>0.16764119999999999</v>
      </c>
      <c r="R5492">
        <v>1.9611339999999998E-3</v>
      </c>
      <c r="S5492">
        <v>3.05484</v>
      </c>
      <c r="T5492">
        <v>-7.0883870000000002E-2</v>
      </c>
      <c r="U5492">
        <v>0.14736939999999901</v>
      </c>
      <c r="V5492">
        <v>4.2731289999999998E-2</v>
      </c>
      <c r="W5492">
        <v>0.1737715</v>
      </c>
      <c r="X5492">
        <v>0.98385849999999997</v>
      </c>
      <c r="Y5492">
        <v>-3.6893749999999999E-3</v>
      </c>
      <c r="Z5492">
        <v>-6.9067279999999998E-4</v>
      </c>
      <c r="AA5492">
        <v>0.99999300000000002</v>
      </c>
      <c r="AB5492">
        <v>30</v>
      </c>
      <c r="AC5492">
        <v>48.049099999999903</v>
      </c>
      <c r="AD5492">
        <v>-1.1183124537508</v>
      </c>
      <c r="AE5492">
        <v>2.3194999999999899</v>
      </c>
      <c r="AF5492">
        <v>-0.17869005439746399</v>
      </c>
      <c r="AG5492">
        <v>-1.1183124537508</v>
      </c>
      <c r="AH5492">
        <v>48.078736897132401</v>
      </c>
      <c r="AI5492">
        <v>91.332451598622498</v>
      </c>
      <c r="AJ5492">
        <v>90.212945253522193</v>
      </c>
      <c r="AK5492">
        <v>48.092073094257799</v>
      </c>
      <c r="AL5492">
        <v>79.992825298847393</v>
      </c>
      <c r="AM5492">
        <v>87.513072428574205</v>
      </c>
      <c r="AN5492">
        <v>1.0000000226897801</v>
      </c>
    </row>
    <row r="5493" spans="1:40" x14ac:dyDescent="0.25">
      <c r="A5493" t="str">
        <f>"20190303171123677"</f>
        <v>20190303171123677</v>
      </c>
      <c r="B5493" t="str">
        <f>"1551604283665904"</f>
        <v>1551604283665904</v>
      </c>
      <c r="C5493" t="s">
        <v>40</v>
      </c>
      <c r="D5493">
        <v>4.730715</v>
      </c>
      <c r="E5493">
        <v>0.48549789999999998</v>
      </c>
      <c r="F5493" t="s">
        <v>102</v>
      </c>
      <c r="G5493">
        <v>-213.30279999999999</v>
      </c>
      <c r="H5493" s="1">
        <v>-5.4282759999999997E-7</v>
      </c>
      <c r="I5493">
        <v>-60.973370000000003</v>
      </c>
      <c r="J5493">
        <v>-261.01</v>
      </c>
      <c r="K5493">
        <v>1.118296</v>
      </c>
      <c r="L5493">
        <v>-63.2596699999999</v>
      </c>
      <c r="M5493">
        <v>0.99904230000000005</v>
      </c>
      <c r="N5493">
        <v>-6.3879890000000002E-3</v>
      </c>
      <c r="O5493">
        <v>4.3287060000000002E-2</v>
      </c>
      <c r="P5493">
        <v>0.98590820000000001</v>
      </c>
      <c r="Q5493">
        <v>0.16727510000000001</v>
      </c>
      <c r="R5493">
        <v>2.031354E-3</v>
      </c>
      <c r="S5493">
        <v>3.0549620000000002</v>
      </c>
      <c r="T5493">
        <v>-7.1385500000000005E-2</v>
      </c>
      <c r="U5493">
        <v>0.1463013</v>
      </c>
      <c r="V5493">
        <v>4.14635E-2</v>
      </c>
      <c r="W5493">
        <v>0.17337139999999901</v>
      </c>
      <c r="X5493">
        <v>0.98398330000000001</v>
      </c>
      <c r="Y5493">
        <v>-4.5563030000000003E-3</v>
      </c>
      <c r="Z5493">
        <v>-6.6604539999999904E-4</v>
      </c>
      <c r="AA5493">
        <v>0.99998940000000003</v>
      </c>
      <c r="AB5493">
        <v>30</v>
      </c>
      <c r="AC5493">
        <v>47.7072</v>
      </c>
      <c r="AD5493">
        <v>-1.1182965428275999</v>
      </c>
      <c r="AE5493">
        <v>2.28629999999999</v>
      </c>
      <c r="AF5493">
        <v>-0.21889044129523599</v>
      </c>
      <c r="AG5493">
        <v>-1.1182965428275999</v>
      </c>
      <c r="AH5493">
        <v>47.735281160308197</v>
      </c>
      <c r="AI5493">
        <v>91.342011179588894</v>
      </c>
      <c r="AJ5493">
        <v>90.262728327044798</v>
      </c>
      <c r="AK5493">
        <v>47.7488802762606</v>
      </c>
      <c r="AL5493">
        <v>80.016102425784297</v>
      </c>
      <c r="AM5493">
        <v>87.587073962092703</v>
      </c>
      <c r="AN5493">
        <v>0.99999999942454998</v>
      </c>
    </row>
    <row r="5494" spans="1:40" x14ac:dyDescent="0.25">
      <c r="A5494" t="str">
        <f>"20190303171123687"</f>
        <v>20190303171123687</v>
      </c>
      <c r="B5494" t="str">
        <f>"1551604283675665"</f>
        <v>1551604283675665</v>
      </c>
      <c r="C5494" t="s">
        <v>40</v>
      </c>
      <c r="D5494">
        <v>4.7843859999999996</v>
      </c>
      <c r="E5494">
        <v>0.48536829999999997</v>
      </c>
      <c r="F5494" t="s">
        <v>102</v>
      </c>
      <c r="G5494">
        <v>-214.06479999999999</v>
      </c>
      <c r="H5494" s="1">
        <v>-8.7999189999999999E-7</v>
      </c>
      <c r="I5494">
        <v>-61.011870000000002</v>
      </c>
      <c r="J5494">
        <v>-260.85989999999998</v>
      </c>
      <c r="K5494">
        <v>1.118296</v>
      </c>
      <c r="L5494">
        <v>-63.254300000000001</v>
      </c>
      <c r="M5494">
        <v>0.99909340000000002</v>
      </c>
      <c r="N5494">
        <v>-6.3508569999999997E-3</v>
      </c>
      <c r="O5494">
        <v>4.2099350000000001E-2</v>
      </c>
      <c r="P5494">
        <v>0.98598830000000004</v>
      </c>
      <c r="Q5494">
        <v>0.16680229999999999</v>
      </c>
      <c r="R5494">
        <v>2.1262469999999999E-3</v>
      </c>
      <c r="S5494">
        <v>3.054932</v>
      </c>
      <c r="T5494">
        <v>-7.2772500000000004E-2</v>
      </c>
      <c r="U5494">
        <v>0.14627079999999901</v>
      </c>
      <c r="V5494">
        <v>4.0196559999999999E-2</v>
      </c>
      <c r="W5494">
        <v>0.1728693</v>
      </c>
      <c r="X5494">
        <v>0.9841242</v>
      </c>
      <c r="Y5494">
        <v>-5.7353309999999998E-3</v>
      </c>
      <c r="Z5494">
        <v>-6.4786740000000002E-4</v>
      </c>
      <c r="AA5494">
        <v>0.99998339999999997</v>
      </c>
      <c r="AB5494">
        <v>30</v>
      </c>
      <c r="AC5494">
        <v>46.795099999999898</v>
      </c>
      <c r="AD5494">
        <v>-1.1182968799919</v>
      </c>
      <c r="AE5494">
        <v>2.2424300000000001</v>
      </c>
      <c r="AF5494">
        <v>-0.270205169007941</v>
      </c>
      <c r="AG5494">
        <v>-1.1182968799919</v>
      </c>
      <c r="AH5494">
        <v>46.821339427282098</v>
      </c>
      <c r="AI5494">
        <v>91.368189082712604</v>
      </c>
      <c r="AJ5494">
        <v>90.330649317420594</v>
      </c>
      <c r="AK5494">
        <v>46.835471861719498</v>
      </c>
      <c r="AL5494">
        <v>80.045311679428494</v>
      </c>
      <c r="AM5494">
        <v>87.661053596609094</v>
      </c>
      <c r="AN5494">
        <v>0.99999999967198105</v>
      </c>
    </row>
    <row r="5495" spans="1:40" x14ac:dyDescent="0.25">
      <c r="A5495" t="str">
        <f>"20190303171123699"</f>
        <v>20190303171123699</v>
      </c>
      <c r="B5495" t="str">
        <f>"1551604283686400"</f>
        <v>1551604283686400</v>
      </c>
      <c r="C5495" t="s">
        <v>40</v>
      </c>
      <c r="D5495">
        <v>4.6956230000000003</v>
      </c>
      <c r="E5495">
        <v>0.48526439999999998</v>
      </c>
      <c r="F5495" t="s">
        <v>102</v>
      </c>
      <c r="G5495">
        <v>-214.99459999999999</v>
      </c>
      <c r="H5495" s="1">
        <v>-1.2891160000000001E-6</v>
      </c>
      <c r="I5495">
        <v>-61.050420000000003</v>
      </c>
      <c r="J5495">
        <v>-260.71289999999999</v>
      </c>
      <c r="K5495">
        <v>1.118296</v>
      </c>
      <c r="L5495">
        <v>-63.249110000000002</v>
      </c>
      <c r="M5495">
        <v>0.99914159999999996</v>
      </c>
      <c r="N5495">
        <v>-6.3152620000000003E-3</v>
      </c>
      <c r="O5495">
        <v>4.0942840000000001E-2</v>
      </c>
      <c r="P5495">
        <v>0.9860641</v>
      </c>
      <c r="Q5495">
        <v>0.16634599999999999</v>
      </c>
      <c r="R5495">
        <v>2.6365529999999998E-3</v>
      </c>
      <c r="S5495">
        <v>3.054932</v>
      </c>
      <c r="T5495">
        <v>-7.448602E-2</v>
      </c>
      <c r="U5495">
        <v>0.14678959999999999</v>
      </c>
      <c r="V5495">
        <v>3.854436E-2</v>
      </c>
      <c r="W5495">
        <v>0.17238699999999901</v>
      </c>
      <c r="X5495">
        <v>0.98427489999999995</v>
      </c>
      <c r="Y5495">
        <v>-7.0619630000000001E-3</v>
      </c>
      <c r="Z5495">
        <v>-6.3024469999999999E-4</v>
      </c>
      <c r="AA5495">
        <v>0.99997480000000005</v>
      </c>
      <c r="AB5495">
        <v>30</v>
      </c>
      <c r="AC5495">
        <v>45.718299999999999</v>
      </c>
      <c r="AD5495">
        <v>-1.1182972891159999</v>
      </c>
      <c r="AE5495">
        <v>2.1986899999999898</v>
      </c>
      <c r="AF5495">
        <v>-0.32477818765099697</v>
      </c>
      <c r="AG5495">
        <v>-1.1182972891159999</v>
      </c>
      <c r="AH5495">
        <v>45.7426799814098</v>
      </c>
      <c r="AI5495">
        <v>91.400428226683502</v>
      </c>
      <c r="AJ5495">
        <v>90.406799661801998</v>
      </c>
      <c r="AK5495">
        <v>45.757500386053501</v>
      </c>
      <c r="AL5495">
        <v>80.073366745916005</v>
      </c>
      <c r="AM5495">
        <v>87.757434126346197</v>
      </c>
      <c r="AN5495">
        <v>1.0000000121134001</v>
      </c>
    </row>
    <row r="5496" spans="1:40" x14ac:dyDescent="0.25">
      <c r="A5496" t="str">
        <f>"20190303171123710"</f>
        <v>20190303171123710</v>
      </c>
      <c r="B5496" t="str">
        <f>"1551604283696160"</f>
        <v>1551604283696160</v>
      </c>
      <c r="C5496" t="s">
        <v>40</v>
      </c>
      <c r="D5496">
        <v>4.7176220000000004</v>
      </c>
      <c r="E5496">
        <v>0.48515449999999999</v>
      </c>
      <c r="F5496" t="s">
        <v>102</v>
      </c>
      <c r="G5496">
        <v>-215.7706</v>
      </c>
      <c r="H5496" s="1">
        <v>-1.627281E-6</v>
      </c>
      <c r="I5496">
        <v>-61.070189999999997</v>
      </c>
      <c r="J5496">
        <v>-260.56110000000001</v>
      </c>
      <c r="K5496">
        <v>1.1183069999999999</v>
      </c>
      <c r="L5496">
        <v>-63.2440199999999</v>
      </c>
      <c r="M5496">
        <v>0.9991892</v>
      </c>
      <c r="N5496">
        <v>-6.2811509999999996E-3</v>
      </c>
      <c r="O5496">
        <v>3.9768989999999997E-2</v>
      </c>
      <c r="P5496">
        <v>0.98606369999999999</v>
      </c>
      <c r="Q5496">
        <v>0.16634170000000001</v>
      </c>
      <c r="R5496">
        <v>2.9340059999999999E-3</v>
      </c>
      <c r="S5496">
        <v>3.0548099999999998</v>
      </c>
      <c r="T5496">
        <v>-7.6012730000000001E-2</v>
      </c>
      <c r="U5496">
        <v>0.14810179999999901</v>
      </c>
      <c r="V5496">
        <v>3.7084209999999999E-2</v>
      </c>
      <c r="W5496">
        <v>0.17235790000000001</v>
      </c>
      <c r="X5496">
        <v>0.98433610000000005</v>
      </c>
      <c r="Y5496">
        <v>-8.6667189999999998E-3</v>
      </c>
      <c r="Z5496">
        <v>-6.0368460000000004E-4</v>
      </c>
      <c r="AA5496">
        <v>0.99996229999999997</v>
      </c>
      <c r="AB5496">
        <v>30</v>
      </c>
      <c r="AC5496">
        <v>44.790500000000002</v>
      </c>
      <c r="AD5496">
        <v>-1.1183086272809999</v>
      </c>
      <c r="AE5496">
        <v>2.1738299999999802</v>
      </c>
      <c r="AF5496">
        <v>-0.390559311082398</v>
      </c>
      <c r="AG5496">
        <v>-1.1183086272809999</v>
      </c>
      <c r="AH5496">
        <v>44.813647402981303</v>
      </c>
      <c r="AI5496">
        <v>91.429444846983998</v>
      </c>
      <c r="AJ5496">
        <v>90.4993307829765</v>
      </c>
      <c r="AK5496">
        <v>44.829300065025002</v>
      </c>
      <c r="AL5496">
        <v>80.075059478345494</v>
      </c>
      <c r="AM5496">
        <v>87.842439886845696</v>
      </c>
      <c r="AN5496">
        <v>1.0000000210434701</v>
      </c>
    </row>
    <row r="5497" spans="1:40" x14ac:dyDescent="0.25">
      <c r="A5497" t="str">
        <f>"20190303171123722"</f>
        <v>20190303171123722</v>
      </c>
      <c r="B5497" t="str">
        <f>"1551604283715680"</f>
        <v>1551604283715680</v>
      </c>
      <c r="C5497" t="s">
        <v>40</v>
      </c>
      <c r="D5497">
        <v>4.7279460000000002</v>
      </c>
      <c r="E5497">
        <v>0.4850254</v>
      </c>
      <c r="F5497" t="s">
        <v>102</v>
      </c>
      <c r="G5497">
        <v>-215.66849999999999</v>
      </c>
      <c r="H5497" s="1">
        <v>-1.579136E-6</v>
      </c>
      <c r="I5497">
        <v>-61.054000000000002</v>
      </c>
      <c r="J5497">
        <v>-260.40929999999997</v>
      </c>
      <c r="K5497">
        <v>1.1183209999999999</v>
      </c>
      <c r="L5497">
        <v>-63.239040000000003</v>
      </c>
      <c r="M5497">
        <v>0.99923470000000003</v>
      </c>
      <c r="N5497">
        <v>-6.2484960000000001E-3</v>
      </c>
      <c r="O5497">
        <v>3.8612819999999999E-2</v>
      </c>
      <c r="P5497">
        <v>0.98601830000000001</v>
      </c>
      <c r="Q5497">
        <v>0.1666125</v>
      </c>
      <c r="R5497">
        <v>2.86002E-3</v>
      </c>
      <c r="S5497">
        <v>3.0547490000000002</v>
      </c>
      <c r="T5497">
        <v>-7.6096059999999993E-2</v>
      </c>
      <c r="U5497">
        <v>0.14901729999999899</v>
      </c>
      <c r="V5497">
        <v>3.6010210000000001E-2</v>
      </c>
      <c r="W5497">
        <v>0.17260259999999999</v>
      </c>
      <c r="X5497">
        <v>0.98433309999999996</v>
      </c>
      <c r="Y5497">
        <v>-1.012298E-2</v>
      </c>
      <c r="Z5497">
        <v>-5.6190069999999996E-4</v>
      </c>
      <c r="AA5497">
        <v>0.99994859999999997</v>
      </c>
      <c r="AB5497">
        <v>30</v>
      </c>
      <c r="AC5497">
        <v>44.740799999999901</v>
      </c>
      <c r="AD5497">
        <v>-1.1183225791360001</v>
      </c>
      <c r="AE5497">
        <v>2.1850399999999999</v>
      </c>
      <c r="AF5497">
        <v>-0.45552430986283599</v>
      </c>
      <c r="AG5497">
        <v>-1.1183225791360001</v>
      </c>
      <c r="AH5497">
        <v>44.763904296602597</v>
      </c>
      <c r="AI5497">
        <v>91.431030740287298</v>
      </c>
      <c r="AJ5497">
        <v>90.583030456781202</v>
      </c>
      <c r="AK5497">
        <v>44.780188428179699</v>
      </c>
      <c r="AL5497">
        <v>80.060825894265406</v>
      </c>
      <c r="AM5497">
        <v>87.904862334109396</v>
      </c>
      <c r="AN5497">
        <v>1.0000000222533001</v>
      </c>
    </row>
    <row r="5498" spans="1:40" x14ac:dyDescent="0.25">
      <c r="A5498" t="str">
        <f>"20190303171123732"</f>
        <v>20190303171123732</v>
      </c>
      <c r="B5498" t="str">
        <f>"1551604283726416"</f>
        <v>1551604283726416</v>
      </c>
      <c r="C5498" t="s">
        <v>40</v>
      </c>
      <c r="D5498">
        <v>4.7865140000000004</v>
      </c>
      <c r="E5498">
        <v>0.48495630000000001</v>
      </c>
      <c r="F5498" t="s">
        <v>102</v>
      </c>
      <c r="G5498">
        <v>-215.13630000000001</v>
      </c>
      <c r="H5498" s="1">
        <v>-1.3443519999999999E-6</v>
      </c>
      <c r="I5498">
        <v>-61.029649999999997</v>
      </c>
      <c r="J5498">
        <v>-260.24770000000001</v>
      </c>
      <c r="K5498">
        <v>1.118344</v>
      </c>
      <c r="L5498">
        <v>-63.233890000000002</v>
      </c>
      <c r="M5498">
        <v>0.99928079999999997</v>
      </c>
      <c r="N5498">
        <v>-6.2157130000000003E-3</v>
      </c>
      <c r="O5498">
        <v>3.7404769999999997E-2</v>
      </c>
      <c r="P5498">
        <v>0.98587440000000004</v>
      </c>
      <c r="Q5498">
        <v>0.16746900000000001</v>
      </c>
      <c r="R5498">
        <v>2.4915530000000001E-3</v>
      </c>
      <c r="S5498">
        <v>3.0548709999999999</v>
      </c>
      <c r="T5498">
        <v>-7.5460550000000001E-2</v>
      </c>
      <c r="U5498">
        <v>0.1490784</v>
      </c>
      <c r="V5498">
        <v>3.5175280000000003E-2</v>
      </c>
      <c r="W5498">
        <v>0.173432</v>
      </c>
      <c r="X5498">
        <v>0.98421749999999997</v>
      </c>
      <c r="Y5498">
        <v>-1.1349120000000001E-2</v>
      </c>
      <c r="Z5498">
        <v>-5.151054E-4</v>
      </c>
      <c r="AA5498">
        <v>0.99993540000000003</v>
      </c>
      <c r="AB5498">
        <v>30</v>
      </c>
      <c r="AC5498">
        <v>45.111400000000003</v>
      </c>
      <c r="AD5498">
        <v>-1.1183453443519999</v>
      </c>
      <c r="AE5498">
        <v>2.20424</v>
      </c>
      <c r="AF5498">
        <v>-0.51496742156227704</v>
      </c>
      <c r="AG5498">
        <v>-1.1183453443519999</v>
      </c>
      <c r="AH5498">
        <v>45.134607547485501</v>
      </c>
      <c r="AI5498">
        <v>91.419292104477407</v>
      </c>
      <c r="AJ5498">
        <v>90.653693057661599</v>
      </c>
      <c r="AK5498">
        <v>45.151397389450104</v>
      </c>
      <c r="AL5498">
        <v>80.012577133052005</v>
      </c>
      <c r="AM5498">
        <v>87.9531580610292</v>
      </c>
      <c r="AN5498">
        <v>1.0000000231266599</v>
      </c>
    </row>
    <row r="5499" spans="1:40" x14ac:dyDescent="0.25">
      <c r="A5499" t="str">
        <f>"20190303171123743"</f>
        <v>20190303171123743</v>
      </c>
      <c r="B5499" t="str">
        <f>"1551604283736176"</f>
        <v>1551604283736176</v>
      </c>
      <c r="C5499" t="s">
        <v>40</v>
      </c>
      <c r="D5499">
        <v>4.7029959999999997</v>
      </c>
      <c r="E5499">
        <v>0.48487989999999997</v>
      </c>
      <c r="F5499" t="s">
        <v>102</v>
      </c>
      <c r="G5499">
        <v>-213.28450000000001</v>
      </c>
      <c r="H5499" s="1">
        <v>-5.2929929999999996E-7</v>
      </c>
      <c r="I5499">
        <v>-60.95196</v>
      </c>
      <c r="J5499">
        <v>-260.1046</v>
      </c>
      <c r="K5499">
        <v>1.1183730000000001</v>
      </c>
      <c r="L5499">
        <v>-63.229520000000001</v>
      </c>
      <c r="M5499">
        <v>0.99931939999999997</v>
      </c>
      <c r="N5499">
        <v>-6.1888239999999999E-3</v>
      </c>
      <c r="O5499">
        <v>3.6365269999999998E-2</v>
      </c>
      <c r="P5499">
        <v>0.98571699999999995</v>
      </c>
      <c r="Q5499">
        <v>0.16839789999999999</v>
      </c>
      <c r="R5499">
        <v>2.061841E-3</v>
      </c>
      <c r="S5499">
        <v>3.0549930000000001</v>
      </c>
      <c r="T5499">
        <v>-7.2749259999999996E-2</v>
      </c>
      <c r="U5499">
        <v>0.1484375</v>
      </c>
      <c r="V5499">
        <v>3.456741E-2</v>
      </c>
      <c r="W5499">
        <v>0.17433870000000001</v>
      </c>
      <c r="X5499">
        <v>0.98407880000000003</v>
      </c>
      <c r="Y5499">
        <v>-1.217732E-2</v>
      </c>
      <c r="Z5499">
        <v>-4.5742109999999999E-4</v>
      </c>
      <c r="AA5499">
        <v>0.99992570000000003</v>
      </c>
      <c r="AB5499">
        <v>30</v>
      </c>
      <c r="AC5499">
        <v>46.820099999999996</v>
      </c>
      <c r="AD5499">
        <v>-1.1183735292993</v>
      </c>
      <c r="AE5499">
        <v>2.27755999999999</v>
      </c>
      <c r="AF5499">
        <v>-0.57306909224666902</v>
      </c>
      <c r="AG5499">
        <v>-1.1183735292993</v>
      </c>
      <c r="AH5499">
        <v>46.845290595117</v>
      </c>
      <c r="AI5499">
        <v>91.367503993485698</v>
      </c>
      <c r="AJ5499">
        <v>90.700877338436101</v>
      </c>
      <c r="AK5499">
        <v>46.862142700440899</v>
      </c>
      <c r="AL5499">
        <v>79.959823020689399</v>
      </c>
      <c r="AM5499">
        <v>87.988217296753902</v>
      </c>
      <c r="AN5499">
        <v>0.99999998638061904</v>
      </c>
    </row>
    <row r="5500" spans="1:40" x14ac:dyDescent="0.25">
      <c r="A5500" t="str">
        <f>"20190303171123753"</f>
        <v>20190303171123753</v>
      </c>
      <c r="B5500" t="str">
        <f>"1551604283745936"</f>
        <v>1551604283745936</v>
      </c>
      <c r="C5500" t="s">
        <v>40</v>
      </c>
      <c r="D5500">
        <v>4.7324270000000004</v>
      </c>
      <c r="E5500">
        <v>0.4847901</v>
      </c>
      <c r="F5500" t="s">
        <v>102</v>
      </c>
      <c r="G5500">
        <v>-211.02209999999999</v>
      </c>
      <c r="H5500" s="1">
        <v>4.6605810000000002E-7</v>
      </c>
      <c r="I5500">
        <v>-60.858879999999999</v>
      </c>
      <c r="J5500">
        <v>-259.95530000000002</v>
      </c>
      <c r="K5500">
        <v>1.118401</v>
      </c>
      <c r="L5500">
        <v>-63.225009999999997</v>
      </c>
      <c r="M5500">
        <v>0.99935810000000003</v>
      </c>
      <c r="N5500">
        <v>-6.1617850000000004E-3</v>
      </c>
      <c r="O5500">
        <v>3.5293619999999998E-2</v>
      </c>
      <c r="P5500">
        <v>0.98553380000000002</v>
      </c>
      <c r="Q5500">
        <v>0.16947229999999999</v>
      </c>
      <c r="R5500">
        <v>1.624915E-3</v>
      </c>
      <c r="S5500">
        <v>3.0550540000000002</v>
      </c>
      <c r="T5500">
        <v>-6.9610950000000005E-2</v>
      </c>
      <c r="U5500">
        <v>0.1475525</v>
      </c>
      <c r="V5500">
        <v>3.3933329999999998E-2</v>
      </c>
      <c r="W5500">
        <v>0.175390299999999</v>
      </c>
      <c r="X5500">
        <v>0.98391399999999996</v>
      </c>
      <c r="Y5500">
        <v>-1.295895E-2</v>
      </c>
      <c r="Z5500">
        <v>-3.9841939999999998E-4</v>
      </c>
      <c r="AA5500">
        <v>0.99991600000000003</v>
      </c>
      <c r="AB5500">
        <v>30</v>
      </c>
      <c r="AC5500">
        <v>48.933199999999999</v>
      </c>
      <c r="AD5500">
        <v>-1.1184005339418901</v>
      </c>
      <c r="AE5500">
        <v>2.3661299999999899</v>
      </c>
      <c r="AF5500">
        <v>-0.63726133236081794</v>
      </c>
      <c r="AG5500">
        <v>-1.1184005339418901</v>
      </c>
      <c r="AH5500">
        <v>48.960707165909099</v>
      </c>
      <c r="AI5500">
        <v>91.308458716775803</v>
      </c>
      <c r="AJ5500">
        <v>90.745706613655798</v>
      </c>
      <c r="AK5500">
        <v>48.977625176665597</v>
      </c>
      <c r="AL5500">
        <v>79.898627987625105</v>
      </c>
      <c r="AM5500">
        <v>88.024759989795498</v>
      </c>
      <c r="AN5500">
        <v>0.99999999380748905</v>
      </c>
    </row>
    <row r="5501" spans="1:40" x14ac:dyDescent="0.25">
      <c r="A5501" t="str">
        <f>"20190303171123767"</f>
        <v>20190303171123767</v>
      </c>
      <c r="B5501" t="str">
        <f>"1551604283755696"</f>
        <v>1551604283755696</v>
      </c>
      <c r="C5501" t="s">
        <v>40</v>
      </c>
      <c r="D5501">
        <v>4.7953960000000002</v>
      </c>
      <c r="E5501">
        <v>0.4847109</v>
      </c>
      <c r="F5501" t="s">
        <v>68</v>
      </c>
      <c r="G5501">
        <v>-208.328</v>
      </c>
      <c r="H5501" s="1">
        <v>-1.0843989999999999E-6</v>
      </c>
      <c r="I5501">
        <v>-60.742919999999998</v>
      </c>
      <c r="J5501">
        <v>-259.7928</v>
      </c>
      <c r="K5501">
        <v>1.1184350000000001</v>
      </c>
      <c r="L5501">
        <v>-63.220370000000003</v>
      </c>
      <c r="M5501">
        <v>0.99939710000000004</v>
      </c>
      <c r="N5501">
        <v>-6.1350440000000001E-3</v>
      </c>
      <c r="O5501">
        <v>3.4172220000000003E-2</v>
      </c>
      <c r="P5501">
        <v>0.98544909999999997</v>
      </c>
      <c r="Q5501">
        <v>0.16996520000000001</v>
      </c>
      <c r="R5501">
        <v>1.3626090000000001E-3</v>
      </c>
      <c r="S5501">
        <v>3.0551149999999998</v>
      </c>
      <c r="T5501">
        <v>-6.6182850000000001E-2</v>
      </c>
      <c r="U5501">
        <v>0.14688109999999999</v>
      </c>
      <c r="V5501">
        <v>3.3074230000000003E-2</v>
      </c>
      <c r="W5501">
        <v>0.17586350000000001</v>
      </c>
      <c r="X5501">
        <v>0.98385880000000003</v>
      </c>
      <c r="Y5501">
        <v>-1.38601E-2</v>
      </c>
      <c r="Z5501">
        <v>-3.3734420000000002E-4</v>
      </c>
      <c r="AA5501">
        <v>0.99990389999999996</v>
      </c>
      <c r="AB5501">
        <v>30</v>
      </c>
      <c r="AC5501">
        <v>51.464799999999997</v>
      </c>
      <c r="AD5501">
        <v>-1.118436084399</v>
      </c>
      <c r="AE5501">
        <v>2.4774499999999899</v>
      </c>
      <c r="AF5501">
        <v>-0.716965570001449</v>
      </c>
      <c r="AG5501">
        <v>-1.118436084399</v>
      </c>
      <c r="AH5501">
        <v>51.495138862706703</v>
      </c>
      <c r="AI5501">
        <v>91.2441055207386</v>
      </c>
      <c r="AJ5501">
        <v>90.797676208837899</v>
      </c>
      <c r="AK5501">
        <v>51.5122729589066</v>
      </c>
      <c r="AL5501">
        <v>79.871087691200401</v>
      </c>
      <c r="AM5501">
        <v>88.074621656665101</v>
      </c>
      <c r="AN5501">
        <v>1.00000000682989</v>
      </c>
    </row>
    <row r="5502" spans="1:40" x14ac:dyDescent="0.25">
      <c r="A5502" t="str">
        <f>"20190303171123778"</f>
        <v>20190303171123778</v>
      </c>
      <c r="B5502" t="str">
        <f>"1551604283766432"</f>
        <v>1551604283766432</v>
      </c>
      <c r="C5502" t="s">
        <v>40</v>
      </c>
      <c r="D5502">
        <v>4.8502999999999998</v>
      </c>
      <c r="E5502">
        <v>0.484626</v>
      </c>
      <c r="F5502" t="s">
        <v>68</v>
      </c>
      <c r="G5502">
        <v>-206.9025</v>
      </c>
      <c r="H5502" s="1">
        <v>-1.9828229999999999E-6</v>
      </c>
      <c r="I5502">
        <v>-60.68824</v>
      </c>
      <c r="J5502">
        <v>-259.64460000000003</v>
      </c>
      <c r="K5502">
        <v>1.118465</v>
      </c>
      <c r="L5502">
        <v>-63.216160000000002</v>
      </c>
      <c r="M5502">
        <v>0.99943150000000003</v>
      </c>
      <c r="N5502">
        <v>-6.1113859999999999E-3</v>
      </c>
      <c r="O5502">
        <v>3.3160019999999998E-2</v>
      </c>
      <c r="P5502">
        <v>0.98539920000000003</v>
      </c>
      <c r="Q5502">
        <v>0.17025570000000001</v>
      </c>
      <c r="R5502">
        <v>1.344828E-3</v>
      </c>
      <c r="S5502">
        <v>3.055237</v>
      </c>
      <c r="T5502">
        <v>-6.4607139999999993E-2</v>
      </c>
      <c r="U5502">
        <v>0.14627079999999901</v>
      </c>
      <c r="V5502">
        <v>3.2079789999999997E-2</v>
      </c>
      <c r="W5502">
        <v>0.17613719999999999</v>
      </c>
      <c r="X5502">
        <v>0.98384269999999996</v>
      </c>
      <c r="Y5502">
        <v>-1.4671170000000001E-2</v>
      </c>
      <c r="Z5502">
        <v>-2.9802950000000001E-4</v>
      </c>
      <c r="AA5502">
        <v>0.99989240000000001</v>
      </c>
      <c r="AB5502">
        <v>30</v>
      </c>
      <c r="AC5502">
        <v>52.742100000000001</v>
      </c>
      <c r="AD5502">
        <v>-1.1184669828230001</v>
      </c>
      <c r="AE5502">
        <v>2.5279199999999902</v>
      </c>
      <c r="AF5502">
        <v>-0.77721948530038698</v>
      </c>
      <c r="AG5502">
        <v>-1.1184669828230001</v>
      </c>
      <c r="AH5502">
        <v>52.773242915938397</v>
      </c>
      <c r="AI5502">
        <v>91.214003463108398</v>
      </c>
      <c r="AJ5502">
        <v>90.8437642752247</v>
      </c>
      <c r="AK5502">
        <v>52.790815549531303</v>
      </c>
      <c r="AL5502">
        <v>79.855156500386997</v>
      </c>
      <c r="AM5502">
        <v>88.132439672899096</v>
      </c>
      <c r="AN5502">
        <v>0.99999994224678501</v>
      </c>
    </row>
    <row r="5503" spans="1:40" x14ac:dyDescent="0.25">
      <c r="A5503" t="str">
        <f>"20190303171123788"</f>
        <v>20190303171123788</v>
      </c>
      <c r="B5503" t="str">
        <f>"1551604283776192"</f>
        <v>1551604283776192</v>
      </c>
      <c r="C5503" t="s">
        <v>40</v>
      </c>
      <c r="D5503">
        <v>4.7035619999999998</v>
      </c>
      <c r="E5503">
        <v>0.484626</v>
      </c>
      <c r="F5503" t="s">
        <v>68</v>
      </c>
      <c r="G5503">
        <v>-206.113</v>
      </c>
      <c r="H5503" s="1">
        <v>-2.478903E-6</v>
      </c>
      <c r="I5503">
        <v>-60.646900000000002</v>
      </c>
      <c r="J5503">
        <v>-259.48989999999998</v>
      </c>
      <c r="K5503">
        <v>1.118495</v>
      </c>
      <c r="L5503">
        <v>-63.211979999999997</v>
      </c>
      <c r="M5503">
        <v>0.99946460000000004</v>
      </c>
      <c r="N5503">
        <v>-6.0893359999999999E-3</v>
      </c>
      <c r="O5503">
        <v>3.2148299999999998E-2</v>
      </c>
      <c r="P5503">
        <v>0.98542280000000004</v>
      </c>
      <c r="Q5503">
        <v>0.1701182</v>
      </c>
      <c r="R5503">
        <v>1.330452E-3</v>
      </c>
      <c r="S5503">
        <v>3.055237</v>
      </c>
      <c r="T5503">
        <v>-6.3834909999999995E-2</v>
      </c>
      <c r="U5503">
        <v>0.14663699999999999</v>
      </c>
      <c r="V5503">
        <v>3.1082599999999901E-2</v>
      </c>
      <c r="W5503">
        <v>0.17598510000000001</v>
      </c>
      <c r="X5503">
        <v>0.98390200000000005</v>
      </c>
      <c r="Y5503">
        <v>-1.5802460000000001E-2</v>
      </c>
      <c r="Z5503">
        <v>-2.6219889999999998E-4</v>
      </c>
      <c r="AA5503">
        <v>0.99987510000000002</v>
      </c>
      <c r="AB5503">
        <v>31</v>
      </c>
      <c r="AC5503">
        <v>53.3768999999999</v>
      </c>
      <c r="AD5503">
        <v>-1.118497478903</v>
      </c>
      <c r="AE5503">
        <v>2.56508</v>
      </c>
      <c r="AF5503">
        <v>-0.84737452064782104</v>
      </c>
      <c r="AG5503">
        <v>-1.118497478903</v>
      </c>
      <c r="AH5503">
        <v>53.408375892276297</v>
      </c>
      <c r="AI5503">
        <v>91.199582583847103</v>
      </c>
      <c r="AJ5503">
        <v>90.908975598274495</v>
      </c>
      <c r="AK5503">
        <v>53.426806901023397</v>
      </c>
      <c r="AL5503">
        <v>79.864010219658397</v>
      </c>
      <c r="AM5503">
        <v>88.1905619629608</v>
      </c>
      <c r="AN5503">
        <v>1.0000000145243799</v>
      </c>
    </row>
    <row r="5504" spans="1:40" x14ac:dyDescent="0.25">
      <c r="A5504" t="str">
        <f>"20190303171123799"</f>
        <v>20190303171123799</v>
      </c>
      <c r="B5504" t="str">
        <f>"1551604283785952"</f>
        <v>1551604283785952</v>
      </c>
      <c r="C5504" t="s">
        <v>40</v>
      </c>
      <c r="D5504">
        <v>4.7312260000000004</v>
      </c>
      <c r="E5504">
        <v>0.48454809999999998</v>
      </c>
      <c r="F5504" t="s">
        <v>68</v>
      </c>
      <c r="G5504">
        <v>-206.3535</v>
      </c>
      <c r="H5504" s="1">
        <v>-2.3287860000000001E-6</v>
      </c>
      <c r="I5504">
        <v>-60.666510000000002</v>
      </c>
      <c r="J5504">
        <v>-259.34190000000001</v>
      </c>
      <c r="K5504">
        <v>1.1185229999999999</v>
      </c>
      <c r="L5504">
        <v>-63.2080699999999</v>
      </c>
      <c r="M5504">
        <v>0.99949509999999997</v>
      </c>
      <c r="N5504">
        <v>-6.0690170000000003E-3</v>
      </c>
      <c r="O5504">
        <v>3.1191429999999999E-2</v>
      </c>
      <c r="P5504">
        <v>0.98549920000000002</v>
      </c>
      <c r="Q5504">
        <v>0.16967670000000001</v>
      </c>
      <c r="R5504">
        <v>1.2208049999999999E-3</v>
      </c>
      <c r="S5504">
        <v>3.0552980000000001</v>
      </c>
      <c r="T5504">
        <v>-6.43127E-2</v>
      </c>
      <c r="U5504">
        <v>0.146362299999999</v>
      </c>
      <c r="V5504">
        <v>3.0236099999999998E-2</v>
      </c>
      <c r="W5504">
        <v>0.17552980000000001</v>
      </c>
      <c r="X5504">
        <v>0.98400969999999999</v>
      </c>
      <c r="Y5504">
        <v>-1.666875E-2</v>
      </c>
      <c r="Z5504">
        <v>-2.407438E-4</v>
      </c>
      <c r="AA5504">
        <v>0.99986109999999995</v>
      </c>
      <c r="AB5504">
        <v>31</v>
      </c>
      <c r="AC5504">
        <v>52.988399999999999</v>
      </c>
      <c r="AD5504">
        <v>-1.118525328786</v>
      </c>
      <c r="AE5504">
        <v>2.5415599999999898</v>
      </c>
      <c r="AF5504">
        <v>-0.88711467894388696</v>
      </c>
      <c r="AG5504">
        <v>-1.118525328786</v>
      </c>
      <c r="AH5504">
        <v>53.018322862018401</v>
      </c>
      <c r="AI5504">
        <v>91.208418269652796</v>
      </c>
      <c r="AJ5504">
        <v>90.958596607967294</v>
      </c>
      <c r="AK5504">
        <v>53.037539822902403</v>
      </c>
      <c r="AL5504">
        <v>79.890509453404903</v>
      </c>
      <c r="AM5504">
        <v>88.240001092103</v>
      </c>
      <c r="AN5504">
        <v>1.0000000110626699</v>
      </c>
    </row>
    <row r="5505" spans="1:40" x14ac:dyDescent="0.25">
      <c r="A5505" t="str">
        <f>"20190303171123810"</f>
        <v>20190303171123810</v>
      </c>
      <c r="B5505" t="str">
        <f>"1551604283795712"</f>
        <v>1551604283795712</v>
      </c>
      <c r="C5505" t="s">
        <v>40</v>
      </c>
      <c r="D5505">
        <v>4.8463059999999896</v>
      </c>
      <c r="E5505">
        <v>0.48445820000000001</v>
      </c>
      <c r="F5505" t="s">
        <v>68</v>
      </c>
      <c r="G5505">
        <v>-207.30529999999999</v>
      </c>
      <c r="H5505" s="1">
        <v>-1.7304420000000001E-6</v>
      </c>
      <c r="I5505">
        <v>-60.714210000000001</v>
      </c>
      <c r="J5505">
        <v>-259.19330000000002</v>
      </c>
      <c r="K5505">
        <v>1.11854599999999</v>
      </c>
      <c r="L5505">
        <v>-63.204320000000003</v>
      </c>
      <c r="M5505">
        <v>0.99952379999999996</v>
      </c>
      <c r="N5505">
        <v>-6.0505189999999999E-3</v>
      </c>
      <c r="O5505">
        <v>3.026146E-2</v>
      </c>
      <c r="P5505">
        <v>0.98557280000000003</v>
      </c>
      <c r="Q5505">
        <v>0.16925009999999999</v>
      </c>
      <c r="R5505">
        <v>9.4703579999999999E-4</v>
      </c>
      <c r="S5505">
        <v>3.0552670000000002</v>
      </c>
      <c r="T5505">
        <v>-6.5672869999999994E-2</v>
      </c>
      <c r="U5505">
        <v>0.14642330000000001</v>
      </c>
      <c r="V5505">
        <v>2.958102E-2</v>
      </c>
      <c r="W5505">
        <v>0.17509040000000001</v>
      </c>
      <c r="X5505">
        <v>0.98410790000000004</v>
      </c>
      <c r="Y5505">
        <v>-1.7619099999999999E-2</v>
      </c>
      <c r="Z5505">
        <v>-2.2422389999999999E-4</v>
      </c>
      <c r="AA5505">
        <v>0.99984470000000003</v>
      </c>
      <c r="AB5505">
        <v>31</v>
      </c>
      <c r="AC5505">
        <v>51.887999999999998</v>
      </c>
      <c r="AD5505">
        <v>-1.11854773044199</v>
      </c>
      <c r="AE5505">
        <v>2.49011</v>
      </c>
      <c r="AF5505">
        <v>-0.91830854229209502</v>
      </c>
      <c r="AG5505">
        <v>-1.11854773044199</v>
      </c>
      <c r="AH5505">
        <v>51.915521208369199</v>
      </c>
      <c r="AI5505">
        <v>91.234084327425805</v>
      </c>
      <c r="AJ5505">
        <v>91.013371648618502</v>
      </c>
      <c r="AK5505">
        <v>51.935688904074098</v>
      </c>
      <c r="AL5505">
        <v>79.916081352600798</v>
      </c>
      <c r="AM5505">
        <v>88.278280843300493</v>
      </c>
      <c r="AN5505">
        <v>1.0000000218794001</v>
      </c>
    </row>
    <row r="5506" spans="1:40" x14ac:dyDescent="0.25">
      <c r="A5506" t="str">
        <f>"20190303171123822"</f>
        <v>20190303171123822</v>
      </c>
      <c r="B5506" t="str">
        <f>"1551604283816208"</f>
        <v>1551604283816208</v>
      </c>
      <c r="C5506" t="s">
        <v>40</v>
      </c>
      <c r="D5506">
        <v>4.7887899999999997</v>
      </c>
      <c r="E5506">
        <v>0.48429529999999898</v>
      </c>
      <c r="F5506" t="s">
        <v>68</v>
      </c>
      <c r="G5506">
        <v>-208.18170000000001</v>
      </c>
      <c r="H5506" s="1">
        <v>-1.1804820000000001E-6</v>
      </c>
      <c r="I5506">
        <v>-60.765189999999997</v>
      </c>
      <c r="J5506">
        <v>-259.03190000000001</v>
      </c>
      <c r="K5506">
        <v>1.1185689999999999</v>
      </c>
      <c r="L5506">
        <v>-63.20035</v>
      </c>
      <c r="M5506">
        <v>0.99955329999999998</v>
      </c>
      <c r="N5506">
        <v>-6.0316669999999897E-3</v>
      </c>
      <c r="O5506">
        <v>2.9269549999999998E-2</v>
      </c>
      <c r="P5506">
        <v>0.98561860000000001</v>
      </c>
      <c r="Q5506">
        <v>0.16898550000000001</v>
      </c>
      <c r="R5506">
        <v>4.6882960000000002E-4</v>
      </c>
      <c r="S5506">
        <v>3.0552670000000002</v>
      </c>
      <c r="T5506">
        <v>-6.6993709999999998E-2</v>
      </c>
      <c r="U5506">
        <v>0.14608759999999901</v>
      </c>
      <c r="V5506">
        <v>2.906897E-2</v>
      </c>
      <c r="W5506">
        <v>0.174812</v>
      </c>
      <c r="X5506">
        <v>0.98417259999999995</v>
      </c>
      <c r="Y5506">
        <v>-1.8501320000000002E-2</v>
      </c>
      <c r="Z5506">
        <v>-2.061586E-4</v>
      </c>
      <c r="AA5506">
        <v>0.99982879999999996</v>
      </c>
      <c r="AB5506">
        <v>31</v>
      </c>
      <c r="AC5506">
        <v>50.850200000000001</v>
      </c>
      <c r="AD5506">
        <v>-1.1185701804819901</v>
      </c>
      <c r="AE5506">
        <v>2.43515999999999</v>
      </c>
      <c r="AF5506">
        <v>-0.94527064477243805</v>
      </c>
      <c r="AG5506">
        <v>-1.1185701804819901</v>
      </c>
      <c r="AH5506">
        <v>50.875128699199699</v>
      </c>
      <c r="AI5506">
        <v>91.259318129130506</v>
      </c>
      <c r="AJ5506">
        <v>91.064445214541394</v>
      </c>
      <c r="AK5506">
        <v>50.896202766028303</v>
      </c>
      <c r="AL5506">
        <v>79.932281871402196</v>
      </c>
      <c r="AM5506">
        <v>88.308177638738499</v>
      </c>
      <c r="AN5506">
        <v>0.99999997347581004</v>
      </c>
    </row>
    <row r="5507" spans="1:40" x14ac:dyDescent="0.25">
      <c r="A5507" t="str">
        <f>"20190303171123832"</f>
        <v>20190303171123832</v>
      </c>
      <c r="B5507" t="str">
        <f>"1551604283825968"</f>
        <v>1551604283825968</v>
      </c>
      <c r="C5507" t="s">
        <v>40</v>
      </c>
      <c r="D5507">
        <v>4.787731</v>
      </c>
      <c r="E5507">
        <v>0.48423749999999999</v>
      </c>
      <c r="F5507" t="s">
        <v>68</v>
      </c>
      <c r="G5507">
        <v>-208.6233</v>
      </c>
      <c r="H5507" s="1">
        <v>-9.0408689999999997E-7</v>
      </c>
      <c r="I5507">
        <v>-60.79616</v>
      </c>
      <c r="J5507">
        <v>-258.8784</v>
      </c>
      <c r="K5507">
        <v>1.1185889999999901</v>
      </c>
      <c r="L5507">
        <v>-63.196660000000001</v>
      </c>
      <c r="M5507">
        <v>0.99958029999999998</v>
      </c>
      <c r="N5507">
        <v>-6.0150489999999997E-3</v>
      </c>
      <c r="O5507">
        <v>2.8345720000000001E-2</v>
      </c>
      <c r="P5507">
        <v>0.98564640000000003</v>
      </c>
      <c r="Q5507">
        <v>0.168824799999999</v>
      </c>
      <c r="R5507">
        <v>1.8297880000000001E-4</v>
      </c>
      <c r="S5507">
        <v>3.0553279999999998</v>
      </c>
      <c r="T5507">
        <v>-6.7797899999999994E-2</v>
      </c>
      <c r="U5507">
        <v>0.1457214</v>
      </c>
      <c r="V5507">
        <v>2.8433489999999999E-2</v>
      </c>
      <c r="W5507">
        <v>0.17463919999999999</v>
      </c>
      <c r="X5507">
        <v>0.98422189999999998</v>
      </c>
      <c r="Y5507">
        <v>-1.930453E-2</v>
      </c>
      <c r="Z5507">
        <v>-1.8581509999999999E-4</v>
      </c>
      <c r="AA5507">
        <v>0.99981359999999997</v>
      </c>
      <c r="AB5507">
        <v>31</v>
      </c>
      <c r="AC5507">
        <v>50.255099999999999</v>
      </c>
      <c r="AD5507">
        <v>-1.1185899040868901</v>
      </c>
      <c r="AE5507">
        <v>2.4004999999999899</v>
      </c>
      <c r="AF5507">
        <v>-0.97451124005163803</v>
      </c>
      <c r="AG5507">
        <v>-1.1185899040868901</v>
      </c>
      <c r="AH5507">
        <v>50.278098329267202</v>
      </c>
      <c r="AI5507">
        <v>91.274270149587394</v>
      </c>
      <c r="AJ5507">
        <v>91.110391851089304</v>
      </c>
      <c r="AK5507">
        <v>50.2999809854633</v>
      </c>
      <c r="AL5507">
        <v>79.942337847220102</v>
      </c>
      <c r="AM5507">
        <v>88.345224807522698</v>
      </c>
      <c r="AN5507">
        <v>1.00000003098491</v>
      </c>
    </row>
    <row r="5508" spans="1:40" x14ac:dyDescent="0.25">
      <c r="A5508" t="str">
        <f>"20190303171123843"</f>
        <v>20190303171123843</v>
      </c>
      <c r="B5508" t="str">
        <f>"1551604283835728"</f>
        <v>1551604283835728</v>
      </c>
      <c r="C5508" t="s">
        <v>40</v>
      </c>
      <c r="D5508">
        <v>4.7312719999999997</v>
      </c>
      <c r="E5508">
        <v>0.4841647</v>
      </c>
      <c r="F5508" t="s">
        <v>68</v>
      </c>
      <c r="G5508">
        <v>-208.91480000000001</v>
      </c>
      <c r="H5508" s="1">
        <v>-7.2303399999999999E-7</v>
      </c>
      <c r="I5508">
        <v>-60.826720000000002</v>
      </c>
      <c r="J5508">
        <v>-258.72640000000001</v>
      </c>
      <c r="K5508">
        <v>1.1186069999999999</v>
      </c>
      <c r="L5508">
        <v>-63.193210000000001</v>
      </c>
      <c r="M5508">
        <v>0.99960519999999997</v>
      </c>
      <c r="N5508">
        <v>-6.0000690000000002E-3</v>
      </c>
      <c r="O5508">
        <v>2.7451799999999998E-2</v>
      </c>
      <c r="P5508">
        <v>0.98567709999999997</v>
      </c>
      <c r="Q5508">
        <v>0.1686443</v>
      </c>
      <c r="R5508">
        <v>-1.6182100000000001E-4</v>
      </c>
      <c r="S5508">
        <v>3.0554049999999999</v>
      </c>
      <c r="T5508">
        <v>-6.8404670000000001E-2</v>
      </c>
      <c r="U5508">
        <v>0.144928</v>
      </c>
      <c r="V5508">
        <v>2.7888139999999999E-2</v>
      </c>
      <c r="W5508">
        <v>0.17444809999999999</v>
      </c>
      <c r="X5508">
        <v>0.98427129999999996</v>
      </c>
      <c r="Y5508">
        <v>-1.9938089999999999E-2</v>
      </c>
      <c r="Z5508">
        <v>-1.6647149999999999E-4</v>
      </c>
      <c r="AA5508">
        <v>0.99980119999999895</v>
      </c>
      <c r="AB5508">
        <v>31</v>
      </c>
      <c r="AC5508">
        <v>49.811599999999999</v>
      </c>
      <c r="AD5508">
        <v>-1.1186077230339999</v>
      </c>
      <c r="AE5508">
        <v>2.3664900000000002</v>
      </c>
      <c r="AF5508">
        <v>-0.99765352716528599</v>
      </c>
      <c r="AG5508">
        <v>-1.1186077230339999</v>
      </c>
      <c r="AH5508">
        <v>49.832717947200699</v>
      </c>
      <c r="AI5508">
        <v>91.285659479775802</v>
      </c>
      <c r="AJ5508">
        <v>91.146911184310298</v>
      </c>
      <c r="AK5508">
        <v>49.855254224640703</v>
      </c>
      <c r="AL5508">
        <v>79.953456843563799</v>
      </c>
      <c r="AM5508">
        <v>88.3770274176279</v>
      </c>
      <c r="AN5508">
        <v>0.99999993997497805</v>
      </c>
    </row>
    <row r="5509" spans="1:40" x14ac:dyDescent="0.25">
      <c r="A5509" t="str">
        <f>"20190303171123854"</f>
        <v>20190303171123854</v>
      </c>
      <c r="B5509" t="str">
        <f>"1551604283846464"</f>
        <v>1551604283846464</v>
      </c>
      <c r="C5509" t="s">
        <v>40</v>
      </c>
      <c r="D5509">
        <v>4.73285</v>
      </c>
      <c r="E5509">
        <v>0.48409760000000002</v>
      </c>
      <c r="F5509" t="s">
        <v>68</v>
      </c>
      <c r="G5509">
        <v>-209.11660000000001</v>
      </c>
      <c r="H5509" s="1">
        <v>-5.9809040000000005E-7</v>
      </c>
      <c r="I5509">
        <v>-60.850470000000001</v>
      </c>
      <c r="J5509">
        <v>-258.57830000000001</v>
      </c>
      <c r="K5509">
        <v>1.1186229999999999</v>
      </c>
      <c r="L5509">
        <v>-63.189880000000002</v>
      </c>
      <c r="M5509">
        <v>0.99962850000000003</v>
      </c>
      <c r="N5509">
        <v>-5.986145E-3</v>
      </c>
      <c r="O5509">
        <v>2.6590340000000001E-2</v>
      </c>
      <c r="P5509">
        <v>0.98567380000000004</v>
      </c>
      <c r="Q5509">
        <v>0.16866249999999999</v>
      </c>
      <c r="R5509">
        <v>-4.8098340000000001E-4</v>
      </c>
      <c r="S5509">
        <v>3.0554049999999999</v>
      </c>
      <c r="T5509">
        <v>-6.8893670000000004E-2</v>
      </c>
      <c r="U5509">
        <v>0.1442871</v>
      </c>
      <c r="V5509">
        <v>2.7349950000000001E-2</v>
      </c>
      <c r="W5509">
        <v>0.17445559999999999</v>
      </c>
      <c r="X5509">
        <v>0.98428510000000002</v>
      </c>
      <c r="Y5509">
        <v>-2.059014E-2</v>
      </c>
      <c r="Z5509">
        <v>-1.4624660000000001E-4</v>
      </c>
      <c r="AA5509">
        <v>0.99978800000000001</v>
      </c>
      <c r="AB5509">
        <v>31</v>
      </c>
      <c r="AC5509">
        <v>49.4617</v>
      </c>
      <c r="AD5509">
        <v>-1.1186235980904</v>
      </c>
      <c r="AE5509">
        <v>2.33941</v>
      </c>
      <c r="AF5509">
        <v>-1.0228338227368099</v>
      </c>
      <c r="AG5509">
        <v>-1.1186235980904</v>
      </c>
      <c r="AH5509">
        <v>49.481165042783701</v>
      </c>
      <c r="AI5509">
        <v>91.294791941076099</v>
      </c>
      <c r="AJ5509">
        <v>91.1842024364678</v>
      </c>
      <c r="AK5509">
        <v>49.504375582107301</v>
      </c>
      <c r="AL5509">
        <v>79.953020708590898</v>
      </c>
      <c r="AM5509">
        <v>88.408353849157805</v>
      </c>
      <c r="AN5509">
        <v>0.99999996710918504</v>
      </c>
    </row>
    <row r="5510" spans="1:40" x14ac:dyDescent="0.25">
      <c r="A5510" t="str">
        <f>"20190303171123865"</f>
        <v>20190303171123865</v>
      </c>
      <c r="B5510" t="str">
        <f>"1551604283856224"</f>
        <v>1551604283856224</v>
      </c>
      <c r="C5510" t="s">
        <v>40</v>
      </c>
      <c r="D5510">
        <v>4.7895729999999999</v>
      </c>
      <c r="E5510">
        <v>0.48402410000000001</v>
      </c>
      <c r="F5510" t="s">
        <v>68</v>
      </c>
      <c r="G5510">
        <v>-208.85679999999999</v>
      </c>
      <c r="H5510" s="1">
        <v>-7.6274169999999999E-7</v>
      </c>
      <c r="I5510">
        <v>-60.846850000000003</v>
      </c>
      <c r="J5510">
        <v>-258.4221</v>
      </c>
      <c r="K5510">
        <v>1.118638</v>
      </c>
      <c r="L5510">
        <v>-63.186579999999999</v>
      </c>
      <c r="M5510">
        <v>0.99965190000000004</v>
      </c>
      <c r="N5510">
        <v>-5.9730340000000003E-3</v>
      </c>
      <c r="O5510">
        <v>2.5700690000000002E-2</v>
      </c>
      <c r="P5510">
        <v>0.98567199999999999</v>
      </c>
      <c r="Q5510">
        <v>0.1686706</v>
      </c>
      <c r="R5510">
        <v>-1.0840089999999999E-3</v>
      </c>
      <c r="S5510">
        <v>3.0554350000000001</v>
      </c>
      <c r="T5510">
        <v>-6.8740490000000001E-2</v>
      </c>
      <c r="U5510">
        <v>0.1439819</v>
      </c>
      <c r="V5510">
        <v>2.7069010000000001E-2</v>
      </c>
      <c r="W5510">
        <v>0.17445279999999999</v>
      </c>
      <c r="X5510">
        <v>0.98429339999999999</v>
      </c>
      <c r="Y5510">
        <v>-2.137944E-2</v>
      </c>
      <c r="Z5510">
        <v>-1.200032E-4</v>
      </c>
      <c r="AA5510">
        <v>0.99977139999999998</v>
      </c>
      <c r="AB5510">
        <v>31</v>
      </c>
      <c r="AC5510">
        <v>49.565300000000001</v>
      </c>
      <c r="AD5510">
        <v>-1.1186387627417</v>
      </c>
      <c r="AE5510">
        <v>2.3397299999999999</v>
      </c>
      <c r="AF5510">
        <v>-1.0645310403137</v>
      </c>
      <c r="AG5510">
        <v>-1.1186387627417</v>
      </c>
      <c r="AH5510">
        <v>49.583861038497602</v>
      </c>
      <c r="AI5510">
        <v>91.292106931194297</v>
      </c>
      <c r="AJ5510">
        <v>91.229911625959602</v>
      </c>
      <c r="AK5510">
        <v>49.607901129783102</v>
      </c>
      <c r="AL5510">
        <v>79.953184009762793</v>
      </c>
      <c r="AM5510">
        <v>88.424708310960099</v>
      </c>
      <c r="AN5510">
        <v>1.0000000040068899</v>
      </c>
    </row>
    <row r="5511" spans="1:40" x14ac:dyDescent="0.25">
      <c r="A5511" t="str">
        <f>"20190303171123877"</f>
        <v>20190303171123877</v>
      </c>
      <c r="B5511" t="str">
        <f>"1551604283865985"</f>
        <v>1551604283865985</v>
      </c>
      <c r="C5511" t="s">
        <v>40</v>
      </c>
      <c r="D5511">
        <v>4.7888289999999998</v>
      </c>
      <c r="E5511">
        <v>0.48394029999999999</v>
      </c>
      <c r="F5511" t="s">
        <v>68</v>
      </c>
      <c r="G5511">
        <v>-208.68299999999999</v>
      </c>
      <c r="H5511" s="1">
        <v>-8.759588E-7</v>
      </c>
      <c r="I5511">
        <v>-60.86665</v>
      </c>
      <c r="J5511">
        <v>-258.267</v>
      </c>
      <c r="K5511">
        <v>1.1186480000000001</v>
      </c>
      <c r="L5511">
        <v>-63.183349999999997</v>
      </c>
      <c r="M5511">
        <v>0.99967410000000001</v>
      </c>
      <c r="N5511">
        <v>-5.9604380000000002E-3</v>
      </c>
      <c r="O5511">
        <v>2.4821650000000001E-2</v>
      </c>
      <c r="P5511">
        <v>0.98563210000000001</v>
      </c>
      <c r="Q5511">
        <v>0.16889889999999999</v>
      </c>
      <c r="R5511">
        <v>-1.5775819999999999E-3</v>
      </c>
      <c r="S5511">
        <v>3.0555270000000001</v>
      </c>
      <c r="T5511">
        <v>-6.8719150000000007E-2</v>
      </c>
      <c r="U5511">
        <v>0.14251710000000001</v>
      </c>
      <c r="V5511">
        <v>2.6689540000000001E-2</v>
      </c>
      <c r="W5511">
        <v>0.1746711</v>
      </c>
      <c r="X5511">
        <v>0.98426499999999995</v>
      </c>
      <c r="Y5511">
        <v>-2.177869E-2</v>
      </c>
      <c r="Z5511">
        <v>-1.001664E-4</v>
      </c>
      <c r="AA5511">
        <v>0.99976279999999995</v>
      </c>
      <c r="AB5511">
        <v>31</v>
      </c>
      <c r="AC5511">
        <v>49.583999999999897</v>
      </c>
      <c r="AD5511">
        <v>-1.11864887595879</v>
      </c>
      <c r="AE5511">
        <v>2.3166999999999902</v>
      </c>
      <c r="AF5511">
        <v>-1.0846567288178299</v>
      </c>
      <c r="AG5511">
        <v>-1.11864887595879</v>
      </c>
      <c r="AH5511">
        <v>49.601036575804201</v>
      </c>
      <c r="AI5511">
        <v>91.291660194300903</v>
      </c>
      <c r="AJ5511">
        <v>91.252722804740998</v>
      </c>
      <c r="AK5511">
        <v>49.625504379515597</v>
      </c>
      <c r="AL5511">
        <v>79.940480833281796</v>
      </c>
      <c r="AM5511">
        <v>88.446736027830397</v>
      </c>
      <c r="AN5511">
        <v>0.99999995747280901</v>
      </c>
    </row>
    <row r="5512" spans="1:40" x14ac:dyDescent="0.25">
      <c r="A5512" t="str">
        <f>"20190303171123887"</f>
        <v>20190303171123887</v>
      </c>
      <c r="B5512" t="str">
        <f>"1551604283875744"</f>
        <v>1551604283875744</v>
      </c>
      <c r="C5512" t="s">
        <v>40</v>
      </c>
      <c r="D5512">
        <v>4.7876830000000004</v>
      </c>
      <c r="E5512">
        <v>0.48384559999999999</v>
      </c>
      <c r="F5512" t="s">
        <v>68</v>
      </c>
      <c r="G5512">
        <v>-208.01679999999999</v>
      </c>
      <c r="H5512" s="1">
        <v>-1.29817999999999E-6</v>
      </c>
      <c r="I5512">
        <v>-60.857700000000001</v>
      </c>
      <c r="J5512">
        <v>-258.11689999999999</v>
      </c>
      <c r="K5512">
        <v>1.1186579999999999</v>
      </c>
      <c r="L5512">
        <v>-63.180419999999998</v>
      </c>
      <c r="M5512">
        <v>0.99969470000000005</v>
      </c>
      <c r="N5512">
        <v>-5.9499590000000003E-3</v>
      </c>
      <c r="O5512">
        <v>2.3984080000000001E-2</v>
      </c>
      <c r="P5512">
        <v>0.98559799999999997</v>
      </c>
      <c r="Q5512">
        <v>0.1690963</v>
      </c>
      <c r="R5512">
        <v>-1.7968210000000001E-3</v>
      </c>
      <c r="S5512">
        <v>3.0556179999999999</v>
      </c>
      <c r="T5512">
        <v>-6.8022849999999996E-2</v>
      </c>
      <c r="U5512">
        <v>0.1414185</v>
      </c>
      <c r="V5512">
        <v>2.607872E-2</v>
      </c>
      <c r="W5512">
        <v>0.17486079999999901</v>
      </c>
      <c r="X5512">
        <v>0.98424769999999995</v>
      </c>
      <c r="Y5512">
        <v>-2.2256020000000001E-2</v>
      </c>
      <c r="Z5512" s="1">
        <v>-7.6991429999999998E-5</v>
      </c>
      <c r="AA5512">
        <v>0.99975230000000004</v>
      </c>
      <c r="AB5512">
        <v>31</v>
      </c>
      <c r="AC5512">
        <v>50.100099999999998</v>
      </c>
      <c r="AD5512">
        <v>-1.1186592981800001</v>
      </c>
      <c r="AE5512">
        <v>2.3227199999999901</v>
      </c>
      <c r="AF5512">
        <v>-1.1198687008371</v>
      </c>
      <c r="AG5512">
        <v>-1.1186592981800001</v>
      </c>
      <c r="AH5512">
        <v>50.116464475204403</v>
      </c>
      <c r="AI5512">
        <v>91.278378831658003</v>
      </c>
      <c r="AJ5512">
        <v>91.280079805307494</v>
      </c>
      <c r="AK5512">
        <v>50.141455064915597</v>
      </c>
      <c r="AL5512">
        <v>79.929442031610904</v>
      </c>
      <c r="AM5512">
        <v>88.482240726646197</v>
      </c>
      <c r="AN5512">
        <v>0.99999996698438298</v>
      </c>
    </row>
    <row r="5513" spans="1:40" x14ac:dyDescent="0.25">
      <c r="A5513" t="str">
        <f>"20190303171123901"</f>
        <v>20190303171123901</v>
      </c>
      <c r="B5513" t="str">
        <f>"1551604283886480"</f>
        <v>1551604283886480</v>
      </c>
      <c r="C5513" t="s">
        <v>40</v>
      </c>
      <c r="D5513">
        <v>4.6588390000000004</v>
      </c>
      <c r="E5513">
        <v>0.48375990000000002</v>
      </c>
      <c r="F5513" t="s">
        <v>68</v>
      </c>
      <c r="G5513">
        <v>-207.48990000000001</v>
      </c>
      <c r="H5513" s="1">
        <v>-1.630473E-6</v>
      </c>
      <c r="I5513">
        <v>-60.838889999999999</v>
      </c>
      <c r="J5513">
        <v>-257.94080000000002</v>
      </c>
      <c r="K5513">
        <v>1.1186659999999999</v>
      </c>
      <c r="L5513">
        <v>-63.17709</v>
      </c>
      <c r="M5513">
        <v>0.99971779999999999</v>
      </c>
      <c r="N5513">
        <v>-5.9382469999999998E-3</v>
      </c>
      <c r="O5513">
        <v>2.3005020000000001E-2</v>
      </c>
      <c r="P5513">
        <v>0.98556670000000002</v>
      </c>
      <c r="Q5513">
        <v>0.169272799999999</v>
      </c>
      <c r="R5513">
        <v>-2.2795570000000002E-3</v>
      </c>
      <c r="S5513">
        <v>3.055679</v>
      </c>
      <c r="T5513">
        <v>-6.7518590000000003E-2</v>
      </c>
      <c r="U5513">
        <v>0.14132690000000001</v>
      </c>
      <c r="V5513">
        <v>2.5591829999999999E-2</v>
      </c>
      <c r="W5513">
        <v>0.17502789999999999</v>
      </c>
      <c r="X5513">
        <v>0.98423079999999996</v>
      </c>
      <c r="Y5513">
        <v>-2.3203919999999999E-2</v>
      </c>
      <c r="Z5513" s="1">
        <v>-4.6200599999999999E-5</v>
      </c>
      <c r="AA5513">
        <v>0.99973080000000003</v>
      </c>
      <c r="AB5513">
        <v>31</v>
      </c>
      <c r="AC5513">
        <v>50.450899999999997</v>
      </c>
      <c r="AD5513">
        <v>-1.1186676304730001</v>
      </c>
      <c r="AE5513">
        <v>2.3382000000000001</v>
      </c>
      <c r="AF5513">
        <v>-1.17635971702501</v>
      </c>
      <c r="AG5513">
        <v>-1.1186676304730001</v>
      </c>
      <c r="AH5513">
        <v>50.466579772993498</v>
      </c>
      <c r="AI5513">
        <v>91.269494434811193</v>
      </c>
      <c r="AJ5513">
        <v>91.335304356110001</v>
      </c>
      <c r="AK5513">
        <v>50.492681780979197</v>
      </c>
      <c r="AL5513">
        <v>79.919718154823002</v>
      </c>
      <c r="AM5513">
        <v>88.510538860771604</v>
      </c>
      <c r="AN5513">
        <v>0.99999998760489905</v>
      </c>
    </row>
    <row r="5514" spans="1:40" x14ac:dyDescent="0.25">
      <c r="A5514" t="str">
        <f>"20190303171123910"</f>
        <v>20190303171123910</v>
      </c>
      <c r="B5514" t="str">
        <f>"1551604283896239"</f>
        <v>1551604283896239</v>
      </c>
      <c r="C5514" t="s">
        <v>40</v>
      </c>
      <c r="D5514">
        <v>4.6606899999999998</v>
      </c>
      <c r="E5514">
        <v>0.48368129999999998</v>
      </c>
      <c r="F5514" t="s">
        <v>68</v>
      </c>
      <c r="G5514">
        <v>-206.9778</v>
      </c>
      <c r="H5514" s="1">
        <v>-1.956129E-6</v>
      </c>
      <c r="I5514">
        <v>-60.839950000000002</v>
      </c>
      <c r="J5514">
        <v>-257.79899999999998</v>
      </c>
      <c r="K5514">
        <v>1.1186700000000001</v>
      </c>
      <c r="L5514">
        <v>-63.174529999999997</v>
      </c>
      <c r="M5514">
        <v>0.99973559999999995</v>
      </c>
      <c r="N5514">
        <v>-5.9297600000000001E-3</v>
      </c>
      <c r="O5514">
        <v>2.2221810000000002E-2</v>
      </c>
      <c r="P5514">
        <v>0.98551330000000004</v>
      </c>
      <c r="Q5514">
        <v>0.16958329999999999</v>
      </c>
      <c r="R5514">
        <v>-2.2630129999999999E-3</v>
      </c>
      <c r="S5514">
        <v>3.0557859999999999</v>
      </c>
      <c r="T5514">
        <v>-6.7076209999999997E-2</v>
      </c>
      <c r="U5514">
        <v>0.1401367</v>
      </c>
      <c r="V5514">
        <v>2.480069E-2</v>
      </c>
      <c r="W5514">
        <v>0.17533309999999999</v>
      </c>
      <c r="X5514">
        <v>0.98419670000000004</v>
      </c>
      <c r="Y5514">
        <v>-2.3596780000000001E-2</v>
      </c>
      <c r="Z5514" s="1">
        <v>-2.6835129999999999E-5</v>
      </c>
      <c r="AA5514">
        <v>0.99972150000000004</v>
      </c>
      <c r="AB5514">
        <v>31</v>
      </c>
      <c r="AC5514">
        <v>50.821199999999997</v>
      </c>
      <c r="AD5514">
        <v>-1.1186719561289999</v>
      </c>
      <c r="AE5514">
        <v>2.3345799999999999</v>
      </c>
      <c r="AF5514">
        <v>-1.20406255150596</v>
      </c>
      <c r="AG5514">
        <v>-1.1186719561289999</v>
      </c>
      <c r="AH5514">
        <v>50.835950141001099</v>
      </c>
      <c r="AI5514">
        <v>91.260267124331193</v>
      </c>
      <c r="AJ5514">
        <v>91.356811589386894</v>
      </c>
      <c r="AK5514">
        <v>50.8625109516991</v>
      </c>
      <c r="AL5514">
        <v>79.901956517488202</v>
      </c>
      <c r="AM5514">
        <v>88.556513942318205</v>
      </c>
      <c r="AN5514">
        <v>0.99999995723548696</v>
      </c>
    </row>
    <row r="5515" spans="1:40" x14ac:dyDescent="0.25">
      <c r="A5515" t="str">
        <f>"20190303171123922"</f>
        <v>20190303171123922</v>
      </c>
      <c r="B5515" t="str">
        <f>"1551604283915760"</f>
        <v>1551604283915760</v>
      </c>
      <c r="C5515" t="s">
        <v>40</v>
      </c>
      <c r="D5515">
        <v>4.7466160000000004</v>
      </c>
      <c r="E5515">
        <v>0.4836667</v>
      </c>
      <c r="F5515" t="s">
        <v>68</v>
      </c>
      <c r="G5515">
        <v>-206.12729999999999</v>
      </c>
      <c r="H5515" s="1">
        <v>-2.491262E-6</v>
      </c>
      <c r="I5515">
        <v>-60.800750000000001</v>
      </c>
      <c r="J5515">
        <v>-257.6309</v>
      </c>
      <c r="K5515">
        <v>1.118673</v>
      </c>
      <c r="L5515">
        <v>-63.171660000000003</v>
      </c>
      <c r="M5515">
        <v>0.99975579999999997</v>
      </c>
      <c r="N5515">
        <v>-5.9205019999999898E-3</v>
      </c>
      <c r="O5515">
        <v>2.1295129999999999E-2</v>
      </c>
      <c r="P5515">
        <v>0.98549739999999997</v>
      </c>
      <c r="Q5515">
        <v>0.16967769999999999</v>
      </c>
      <c r="R5515">
        <v>-2.2333180000000002E-3</v>
      </c>
      <c r="S5515">
        <v>3.0558010000000002</v>
      </c>
      <c r="T5515">
        <v>-6.6156859999999998E-2</v>
      </c>
      <c r="U5515">
        <v>0.1403809</v>
      </c>
      <c r="V5515">
        <v>2.385518E-2</v>
      </c>
      <c r="W5515">
        <v>0.1754223</v>
      </c>
      <c r="X5515">
        <v>0.98420419999999997</v>
      </c>
      <c r="Y5515">
        <v>-2.4602559999999999E-2</v>
      </c>
      <c r="Z5515" s="1">
        <v>4.3985929999999997E-6</v>
      </c>
      <c r="AA5515">
        <v>0.99969730000000001</v>
      </c>
      <c r="AB5515">
        <v>31</v>
      </c>
      <c r="AC5515">
        <v>51.503599999999999</v>
      </c>
      <c r="AD5515">
        <v>-1.1186754912620001</v>
      </c>
      <c r="AE5515">
        <v>2.3709099999999901</v>
      </c>
      <c r="AF5515">
        <v>-1.27297807684294</v>
      </c>
      <c r="AG5515">
        <v>-1.1186754912620001</v>
      </c>
      <c r="AH5515">
        <v>51.5181565141825</v>
      </c>
      <c r="AI5515">
        <v>91.243557012411699</v>
      </c>
      <c r="AJ5515">
        <v>91.415451130996303</v>
      </c>
      <c r="AK5515">
        <v>51.546021753949901</v>
      </c>
      <c r="AL5515">
        <v>79.896765509516598</v>
      </c>
      <c r="AM5515">
        <v>88.611534506190694</v>
      </c>
      <c r="AN5515">
        <v>0.99999998012388103</v>
      </c>
    </row>
    <row r="5516" spans="1:40" x14ac:dyDescent="0.25">
      <c r="A5516" t="str">
        <f>"20190303171123933"</f>
        <v>20190303171123933</v>
      </c>
      <c r="B5516" t="str">
        <f>"1551604283926496"</f>
        <v>1551604283926496</v>
      </c>
      <c r="C5516" t="s">
        <v>40</v>
      </c>
      <c r="D5516">
        <v>4.8600120000000002</v>
      </c>
      <c r="E5516">
        <v>0.4836667</v>
      </c>
      <c r="F5516" t="s">
        <v>68</v>
      </c>
      <c r="G5516">
        <v>-205.9058</v>
      </c>
      <c r="H5516" s="1">
        <v>-2.6319090000000002E-6</v>
      </c>
      <c r="I5516">
        <v>-60.799630000000001</v>
      </c>
      <c r="J5516">
        <v>-257.47919999999999</v>
      </c>
      <c r="K5516">
        <v>1.1186739999999999</v>
      </c>
      <c r="L5516">
        <v>-63.169159999999998</v>
      </c>
      <c r="M5516">
        <v>0.99977329999999998</v>
      </c>
      <c r="N5516">
        <v>-5.9128380000000001E-3</v>
      </c>
      <c r="O5516">
        <v>2.046164E-2</v>
      </c>
      <c r="P5516">
        <v>0.98545579999999999</v>
      </c>
      <c r="Q5516">
        <v>0.1699135</v>
      </c>
      <c r="R5516">
        <v>-2.5191609999999998E-3</v>
      </c>
      <c r="S5516">
        <v>3.055847</v>
      </c>
      <c r="T5516">
        <v>-6.6089750000000003E-2</v>
      </c>
      <c r="U5516">
        <v>0.1401367</v>
      </c>
      <c r="V5516">
        <v>2.3318439999999999E-2</v>
      </c>
      <c r="W5516">
        <v>0.175652799999999</v>
      </c>
      <c r="X5516">
        <v>0.98417600000000005</v>
      </c>
      <c r="Y5516">
        <v>-2.5355289999999999E-2</v>
      </c>
      <c r="Z5516" s="1">
        <v>2.77823E-5</v>
      </c>
      <c r="AA5516">
        <v>0.99967850000000003</v>
      </c>
      <c r="AB5516">
        <v>31</v>
      </c>
      <c r="AC5516">
        <v>51.5733999999999</v>
      </c>
      <c r="AD5516">
        <v>-1.118676631909</v>
      </c>
      <c r="AE5516">
        <v>2.3695299999999899</v>
      </c>
      <c r="AF5516">
        <v>-1.3131227370285099</v>
      </c>
      <c r="AG5516">
        <v>-1.118676631909</v>
      </c>
      <c r="AH5516">
        <v>51.586867082784103</v>
      </c>
      <c r="AI5516">
        <v>91.241879262080005</v>
      </c>
      <c r="AJ5516">
        <v>91.458125913018606</v>
      </c>
      <c r="AK5516">
        <v>51.615700945992302</v>
      </c>
      <c r="AL5516">
        <v>79.883351017320294</v>
      </c>
      <c r="AM5516">
        <v>88.6427241948915</v>
      </c>
      <c r="AN5516">
        <v>1.00000002738393</v>
      </c>
    </row>
    <row r="5517" spans="1:40" x14ac:dyDescent="0.25">
      <c r="A5517" t="str">
        <f>"20190303171123944"</f>
        <v>20190303171123944</v>
      </c>
      <c r="B5517" t="str">
        <f>"1551604283936256"</f>
        <v>1551604283936256</v>
      </c>
      <c r="C5517" t="s">
        <v>40</v>
      </c>
      <c r="D5517">
        <v>4.9162410000000003</v>
      </c>
      <c r="E5517">
        <v>0.49948320000000002</v>
      </c>
      <c r="F5517" t="s">
        <v>68</v>
      </c>
      <c r="G5517">
        <v>-205.2456</v>
      </c>
      <c r="H5517" s="1">
        <v>-3.0509279999999998E-6</v>
      </c>
      <c r="I5517">
        <v>-60.795229999999997</v>
      </c>
      <c r="J5517">
        <v>-257.32229999999998</v>
      </c>
      <c r="K5517">
        <v>1.1186750000000001</v>
      </c>
      <c r="L5517">
        <v>-63.16675</v>
      </c>
      <c r="M5517">
        <v>0.99979050000000003</v>
      </c>
      <c r="N5517">
        <v>-5.905899E-3</v>
      </c>
      <c r="O5517">
        <v>1.9599749999999999E-2</v>
      </c>
      <c r="P5517">
        <v>0.98537889999999995</v>
      </c>
      <c r="Q5517">
        <v>0.17035449999999999</v>
      </c>
      <c r="R5517">
        <v>-2.8741940000000001E-3</v>
      </c>
      <c r="S5517">
        <v>3.0559080000000001</v>
      </c>
      <c r="T5517">
        <v>-6.5447690000000003E-2</v>
      </c>
      <c r="U5517">
        <v>0.1388855</v>
      </c>
      <c r="V5517">
        <v>2.2823070000000001E-2</v>
      </c>
      <c r="W5517">
        <v>0.17608840000000001</v>
      </c>
      <c r="X5517">
        <v>0.98410980000000003</v>
      </c>
      <c r="Y5517">
        <v>-2.580754E-2</v>
      </c>
      <c r="Z5517" s="1">
        <v>4.8714590000000002E-5</v>
      </c>
      <c r="AA5517">
        <v>0.99966690000000002</v>
      </c>
      <c r="AB5517">
        <v>31</v>
      </c>
      <c r="AC5517">
        <v>52.076699999999903</v>
      </c>
      <c r="AD5517">
        <v>-1.1186780509280001</v>
      </c>
      <c r="AE5517">
        <v>2.3715199999999901</v>
      </c>
      <c r="AF5517">
        <v>-1.3497348218595799</v>
      </c>
      <c r="AG5517">
        <v>-1.1186780509280001</v>
      </c>
      <c r="AH5517">
        <v>52.089191321502703</v>
      </c>
      <c r="AI5517">
        <v>91.229893970594901</v>
      </c>
      <c r="AJ5517">
        <v>91.4843157587636</v>
      </c>
      <c r="AK5517">
        <v>52.118682611891501</v>
      </c>
      <c r="AL5517">
        <v>79.857998114849494</v>
      </c>
      <c r="AM5517">
        <v>88.671457982024407</v>
      </c>
      <c r="AN5517">
        <v>1.00000005779741</v>
      </c>
    </row>
    <row r="5518" spans="1:40" x14ac:dyDescent="0.25">
      <c r="A5518" t="str">
        <f>"20190303171123954"</f>
        <v>20190303171123954</v>
      </c>
      <c r="B5518" t="str">
        <f>"1551604283946016"</f>
        <v>1551604283946016</v>
      </c>
      <c r="C5518" t="s">
        <v>40</v>
      </c>
      <c r="D5518">
        <v>4.8578979999999996</v>
      </c>
      <c r="E5518">
        <v>0.5022335</v>
      </c>
      <c r="F5518" t="s">
        <v>68</v>
      </c>
      <c r="G5518">
        <v>-197.0444</v>
      </c>
      <c r="H5518" s="1">
        <v>-7.0595820000000001E-6</v>
      </c>
      <c r="I5518">
        <v>-62.946319999999901</v>
      </c>
      <c r="J5518">
        <v>-257.1712</v>
      </c>
      <c r="K5518">
        <v>1.1186769999999999</v>
      </c>
      <c r="L5518">
        <v>-63.164490000000001</v>
      </c>
      <c r="M5518">
        <v>0.99980650000000004</v>
      </c>
      <c r="N5518">
        <v>-5.8995840000000003E-3</v>
      </c>
      <c r="O5518">
        <v>1.8771179999999998E-2</v>
      </c>
      <c r="P5518">
        <v>0.98527940000000003</v>
      </c>
      <c r="Q5518">
        <v>0.17092489999999999</v>
      </c>
      <c r="R5518">
        <v>-3.048898E-3</v>
      </c>
      <c r="S5518">
        <v>3.0543520000000002</v>
      </c>
      <c r="T5518">
        <v>-5.6684970000000001E-2</v>
      </c>
      <c r="U5518">
        <v>1.1169429999999999E-2</v>
      </c>
      <c r="V5518">
        <v>2.218117E-2</v>
      </c>
      <c r="W5518">
        <v>0.17665439999999999</v>
      </c>
      <c r="X5518">
        <v>0.98402299999999998</v>
      </c>
      <c r="Y5518">
        <v>1.5110220000000001E-2</v>
      </c>
      <c r="Z5518">
        <v>-4.2235679999999998E-4</v>
      </c>
      <c r="AA5518">
        <v>0.99988569999999999</v>
      </c>
      <c r="AB5518">
        <v>31</v>
      </c>
      <c r="AC5518">
        <v>60.126800000000003</v>
      </c>
      <c r="AD5518">
        <v>-1.118684059582</v>
      </c>
      <c r="AE5518">
        <v>0.218170000000007</v>
      </c>
      <c r="AF5518">
        <v>0.91022387613885802</v>
      </c>
      <c r="AG5518">
        <v>-1.118684059582</v>
      </c>
      <c r="AH5518">
        <v>60.099497167885502</v>
      </c>
      <c r="AI5518">
        <v>91.066250632467103</v>
      </c>
      <c r="AJ5518">
        <v>89.132305560159907</v>
      </c>
      <c r="AK5518">
        <v>60.116798994644803</v>
      </c>
      <c r="AL5518">
        <v>79.825051876816801</v>
      </c>
      <c r="AM5518">
        <v>88.708696604925905</v>
      </c>
      <c r="AN5518">
        <v>1.00000002293546</v>
      </c>
    </row>
    <row r="5519" spans="1:40" x14ac:dyDescent="0.25">
      <c r="A5519" t="str">
        <f>"20190303171123967"</f>
        <v>20190303171123967</v>
      </c>
      <c r="B5519" t="str">
        <f>"1551604283955777"</f>
        <v>1551604283955777</v>
      </c>
      <c r="C5519" t="s">
        <v>40</v>
      </c>
      <c r="D5519">
        <v>4.8596789999999999</v>
      </c>
      <c r="E5519">
        <v>0.50370630000000005</v>
      </c>
      <c r="F5519" t="s">
        <v>68</v>
      </c>
      <c r="G5519">
        <v>-196.46090000000001</v>
      </c>
      <c r="H5519" s="1">
        <v>-7.3230949999999999E-6</v>
      </c>
      <c r="I5519">
        <v>-63.39134</v>
      </c>
      <c r="J5519">
        <v>-257.00020000000001</v>
      </c>
      <c r="K5519">
        <v>1.1186769999999999</v>
      </c>
      <c r="L5519">
        <v>-63.162170000000003</v>
      </c>
      <c r="M5519">
        <v>0.99982360000000003</v>
      </c>
      <c r="N5519">
        <v>-5.8935159999999997E-3</v>
      </c>
      <c r="O5519">
        <v>1.7832790000000001E-2</v>
      </c>
      <c r="P5519">
        <v>0.98517659999999996</v>
      </c>
      <c r="Q5519">
        <v>0.17150699999999999</v>
      </c>
      <c r="R5519">
        <v>-3.56983E-3</v>
      </c>
      <c r="S5519">
        <v>3.0545499999999999</v>
      </c>
      <c r="T5519">
        <v>-5.6284899999999999E-2</v>
      </c>
      <c r="U5519">
        <v>-1.141357E-2</v>
      </c>
      <c r="V5519">
        <v>2.1777870000000001E-2</v>
      </c>
      <c r="W5519">
        <v>0.17723120000000001</v>
      </c>
      <c r="X5519">
        <v>0.98392829999999998</v>
      </c>
      <c r="Y5519">
        <v>2.1562709999999999E-2</v>
      </c>
      <c r="Z5519">
        <v>-4.8565629999999999E-4</v>
      </c>
      <c r="AA5519">
        <v>0.99976739999999997</v>
      </c>
      <c r="AB5519">
        <v>31</v>
      </c>
      <c r="AC5519">
        <v>60.539299999999997</v>
      </c>
      <c r="AD5519">
        <v>-1.1186843230949901</v>
      </c>
      <c r="AE5519">
        <v>-0.22917000000000301</v>
      </c>
      <c r="AF5519">
        <v>1.30829022155202</v>
      </c>
      <c r="AG5519">
        <v>-1.1186843230949901</v>
      </c>
      <c r="AH5519">
        <v>60.504926346623499</v>
      </c>
      <c r="AI5519">
        <v>91.058981778722</v>
      </c>
      <c r="AJ5519">
        <v>88.761293774381599</v>
      </c>
      <c r="AK5519">
        <v>60.529407647265899</v>
      </c>
      <c r="AL5519">
        <v>79.791473990433701</v>
      </c>
      <c r="AM5519">
        <v>88.732045478478398</v>
      </c>
      <c r="AN5519">
        <v>1.0000000367080299</v>
      </c>
    </row>
    <row r="5520" spans="1:40" x14ac:dyDescent="0.25">
      <c r="A5520" t="str">
        <f>"20190303171123978"</f>
        <v>20190303171123978</v>
      </c>
      <c r="B5520" t="str">
        <f>"1551604283966512"</f>
        <v>1551604283966512</v>
      </c>
      <c r="C5520" t="s">
        <v>40</v>
      </c>
      <c r="D5520">
        <v>4.9161419999999998</v>
      </c>
      <c r="E5520">
        <v>0.50456449999999997</v>
      </c>
      <c r="F5520" t="s">
        <v>68</v>
      </c>
      <c r="G5520">
        <v>-194.0403</v>
      </c>
      <c r="H5520" s="1">
        <v>-8.3253009999999906E-6</v>
      </c>
      <c r="I5520">
        <v>-63.6723199999999</v>
      </c>
      <c r="J5520">
        <v>-256.84679999999997</v>
      </c>
      <c r="K5520">
        <v>1.1186780000000001</v>
      </c>
      <c r="L5520">
        <v>-63.160130000000002</v>
      </c>
      <c r="M5520">
        <v>0.99983840000000002</v>
      </c>
      <c r="N5520">
        <v>-5.8892129999999999E-3</v>
      </c>
      <c r="O5520">
        <v>1.699107E-2</v>
      </c>
      <c r="P5520">
        <v>0.98507060000000002</v>
      </c>
      <c r="Q5520">
        <v>0.1720979</v>
      </c>
      <c r="R5520">
        <v>-4.3205709999999996E-3</v>
      </c>
      <c r="S5520">
        <v>3.0545040000000001</v>
      </c>
      <c r="T5520">
        <v>-5.4273130000000003E-2</v>
      </c>
      <c r="U5520">
        <v>-2.4749759999999999E-2</v>
      </c>
      <c r="V5520">
        <v>2.1699860000000001E-2</v>
      </c>
      <c r="W5520">
        <v>0.1778178</v>
      </c>
      <c r="X5520">
        <v>0.98382409999999998</v>
      </c>
      <c r="Y5520">
        <v>2.5085610000000001E-2</v>
      </c>
      <c r="Z5520">
        <v>-4.9852589999999997E-4</v>
      </c>
      <c r="AA5520">
        <v>0.99968520000000005</v>
      </c>
      <c r="AB5520">
        <v>31</v>
      </c>
      <c r="AC5520">
        <v>62.8064999999999</v>
      </c>
      <c r="AD5520">
        <v>-1.118686325301</v>
      </c>
      <c r="AE5520">
        <v>-0.51218999999998904</v>
      </c>
      <c r="AF5520">
        <v>1.5787832506935999</v>
      </c>
      <c r="AG5520">
        <v>-1.118686325301</v>
      </c>
      <c r="AH5520">
        <v>62.768817868540602</v>
      </c>
      <c r="AI5520">
        <v>91.020713202833207</v>
      </c>
      <c r="AJ5520">
        <v>88.559180312514599</v>
      </c>
      <c r="AK5520">
        <v>62.798634636918003</v>
      </c>
      <c r="AL5520">
        <v>79.757320999970901</v>
      </c>
      <c r="AM5520">
        <v>88.736452145090695</v>
      </c>
      <c r="AN5520">
        <v>0.99999995683083298</v>
      </c>
    </row>
    <row r="5521" spans="1:40" x14ac:dyDescent="0.25">
      <c r="A5521" t="str">
        <f>"20190303171123988"</f>
        <v>20190303171123988</v>
      </c>
      <c r="B5521" t="str">
        <f>"1551604283976272"</f>
        <v>1551604283976272</v>
      </c>
      <c r="C5521" t="s">
        <v>40</v>
      </c>
      <c r="D5521">
        <v>4.9158770000000001</v>
      </c>
      <c r="E5521">
        <v>0.50522270000000002</v>
      </c>
      <c r="F5521" t="s">
        <v>68</v>
      </c>
      <c r="G5521">
        <v>-195.0968</v>
      </c>
      <c r="H5521" s="1">
        <v>-7.9051479999999996E-6</v>
      </c>
      <c r="I5521">
        <v>-63.847290000000001</v>
      </c>
      <c r="J5521">
        <v>-256.68639999999999</v>
      </c>
      <c r="K5521">
        <v>1.1186799999999999</v>
      </c>
      <c r="L5521">
        <v>-63.158259999999999</v>
      </c>
      <c r="M5521">
        <v>0.99985299999999999</v>
      </c>
      <c r="N5521">
        <v>-5.8901240000000001E-3</v>
      </c>
      <c r="O5521">
        <v>1.6111170000000001E-2</v>
      </c>
      <c r="P5521">
        <v>0.98496600000000001</v>
      </c>
      <c r="Q5521">
        <v>0.17269300000000001</v>
      </c>
      <c r="R5521">
        <v>-4.3710800000000003E-3</v>
      </c>
      <c r="S5521">
        <v>3.0549930000000001</v>
      </c>
      <c r="T5521">
        <v>-5.5345419999999999E-2</v>
      </c>
      <c r="U5521">
        <v>-3.3996579999999998E-2</v>
      </c>
      <c r="V5521">
        <v>2.0884969999999999E-2</v>
      </c>
      <c r="W5521">
        <v>0.17841650000000001</v>
      </c>
      <c r="X5521">
        <v>0.98373339999999998</v>
      </c>
      <c r="Y5521">
        <v>2.7229400000000001E-2</v>
      </c>
      <c r="Z5521">
        <v>-5.2377519999999896E-4</v>
      </c>
      <c r="AA5521">
        <v>0.99962910000000005</v>
      </c>
      <c r="AB5521">
        <v>32</v>
      </c>
      <c r="AC5521">
        <v>61.589599999999898</v>
      </c>
      <c r="AD5521">
        <v>-1.1186879051480001</v>
      </c>
      <c r="AE5521">
        <v>-0.68903000000000203</v>
      </c>
      <c r="AF5521">
        <v>1.68068373845523</v>
      </c>
      <c r="AG5521">
        <v>-1.1186879051480001</v>
      </c>
      <c r="AH5521">
        <v>61.550200692981697</v>
      </c>
      <c r="AI5521">
        <v>91.040860375043906</v>
      </c>
      <c r="AJ5521">
        <v>88.435875734829807</v>
      </c>
      <c r="AK5521">
        <v>61.583304278060297</v>
      </c>
      <c r="AL5521">
        <v>79.722461184896503</v>
      </c>
      <c r="AM5521">
        <v>88.783775256514204</v>
      </c>
      <c r="AN5521">
        <v>1.0000000158598501</v>
      </c>
    </row>
    <row r="5522" spans="1:40" x14ac:dyDescent="0.25">
      <c r="A5522" t="str">
        <f>"20190303171124001"</f>
        <v>20190303171124001</v>
      </c>
      <c r="B5522" t="str">
        <f>"1551604283986032"</f>
        <v>1551604283986032</v>
      </c>
      <c r="C5522" t="s">
        <v>40</v>
      </c>
      <c r="D5522">
        <v>4.914911</v>
      </c>
      <c r="E5522">
        <v>0.50584359999999995</v>
      </c>
      <c r="F5522" t="s">
        <v>68</v>
      </c>
      <c r="G5522">
        <v>-194.61619999999999</v>
      </c>
      <c r="H5522" s="1">
        <v>-8.1074509999999992E-6</v>
      </c>
      <c r="I5522">
        <v>-63.960529999999999</v>
      </c>
      <c r="J5522">
        <v>-256.52749999999997</v>
      </c>
      <c r="K5522">
        <v>1.1186799999999999</v>
      </c>
      <c r="L5522">
        <v>-63.156460000000003</v>
      </c>
      <c r="M5522">
        <v>0.99986660000000005</v>
      </c>
      <c r="N5522">
        <v>-5.8922430000000001E-3</v>
      </c>
      <c r="O5522">
        <v>1.5238710000000001E-2</v>
      </c>
      <c r="P5522">
        <v>0.98487809999999998</v>
      </c>
      <c r="Q5522">
        <v>0.1731811</v>
      </c>
      <c r="R5522">
        <v>-4.858925E-3</v>
      </c>
      <c r="S5522">
        <v>3.0552670000000002</v>
      </c>
      <c r="T5522">
        <v>-5.5064920000000003E-2</v>
      </c>
      <c r="U5522">
        <v>-3.9489749999999997E-2</v>
      </c>
      <c r="V5522">
        <v>2.0514790000000001E-2</v>
      </c>
      <c r="W5522">
        <v>0.1789068</v>
      </c>
      <c r="X5522">
        <v>0.98365210000000003</v>
      </c>
      <c r="Y5522">
        <v>2.8153069999999999E-2</v>
      </c>
      <c r="Z5522">
        <v>-5.2145369999999998E-4</v>
      </c>
      <c r="AA5522">
        <v>0.99960349999999998</v>
      </c>
      <c r="AB5522">
        <v>32</v>
      </c>
      <c r="AC5522">
        <v>61.911299999999898</v>
      </c>
      <c r="AD5522">
        <v>-1.118688107451</v>
      </c>
      <c r="AE5522">
        <v>-0.80407000000000906</v>
      </c>
      <c r="AF5522">
        <v>1.7468710323054699</v>
      </c>
      <c r="AG5522">
        <v>-1.118688107451</v>
      </c>
      <c r="AH5522">
        <v>61.871660206769398</v>
      </c>
      <c r="AI5522">
        <v>91.035427209485704</v>
      </c>
      <c r="AJ5522">
        <v>88.382753026824304</v>
      </c>
      <c r="AK5522">
        <v>61.906424208051298</v>
      </c>
      <c r="AL5522">
        <v>79.6939092797694</v>
      </c>
      <c r="AM5522">
        <v>88.805227468682602</v>
      </c>
      <c r="AN5522">
        <v>0.99999997676469599</v>
      </c>
    </row>
    <row r="5523" spans="1:40" x14ac:dyDescent="0.25">
      <c r="A5523" t="str">
        <f>"20190303171124011"</f>
        <v>20190303171124011</v>
      </c>
      <c r="B5523" t="str">
        <f>"1551604284006527"</f>
        <v>1551604284006527</v>
      </c>
      <c r="C5523" t="s">
        <v>40</v>
      </c>
      <c r="D5523">
        <v>4.9184000000000001</v>
      </c>
      <c r="E5523">
        <v>0.50607380000000002</v>
      </c>
      <c r="F5523" t="s">
        <v>68</v>
      </c>
      <c r="G5523">
        <v>-194.13910000000001</v>
      </c>
      <c r="H5523" s="1">
        <v>-8.309805E-6</v>
      </c>
      <c r="I5523">
        <v>-64.09863</v>
      </c>
      <c r="J5523">
        <v>-256.37360000000001</v>
      </c>
      <c r="K5523">
        <v>1.1186769999999999</v>
      </c>
      <c r="L5523">
        <v>-63.154850000000003</v>
      </c>
      <c r="M5523">
        <v>0.99987910000000002</v>
      </c>
      <c r="N5523">
        <v>-5.8961630000000003E-3</v>
      </c>
      <c r="O5523">
        <v>1.4393110000000001E-2</v>
      </c>
      <c r="P5523">
        <v>0.98478920000000003</v>
      </c>
      <c r="Q5523">
        <v>0.17368</v>
      </c>
      <c r="R5523">
        <v>-5.0625740000000002E-3</v>
      </c>
      <c r="S5523">
        <v>3.055466</v>
      </c>
      <c r="T5523">
        <v>-5.4787639999999999E-2</v>
      </c>
      <c r="U5523">
        <v>-4.6142580000000002E-2</v>
      </c>
      <c r="V5523">
        <v>1.988724E-2</v>
      </c>
      <c r="W5523">
        <v>0.1794116</v>
      </c>
      <c r="X5523">
        <v>0.98357309999999998</v>
      </c>
      <c r="Y5523">
        <v>2.9482749999999999E-2</v>
      </c>
      <c r="Z5523">
        <v>-5.24417E-4</v>
      </c>
      <c r="AA5523">
        <v>0.99956509999999998</v>
      </c>
      <c r="AB5523">
        <v>32</v>
      </c>
      <c r="AC5523">
        <v>62.234499999999997</v>
      </c>
      <c r="AD5523">
        <v>-1.118685309805</v>
      </c>
      <c r="AE5523">
        <v>-0.94377999999999596</v>
      </c>
      <c r="AF5523">
        <v>1.8388517268789399</v>
      </c>
      <c r="AG5523">
        <v>-1.118685309805</v>
      </c>
      <c r="AH5523">
        <v>62.194377831941701</v>
      </c>
      <c r="AI5523">
        <v>91.030013490882894</v>
      </c>
      <c r="AJ5523">
        <v>88.306474591405305</v>
      </c>
      <c r="AK5523">
        <v>62.231611471969302</v>
      </c>
      <c r="AL5523">
        <v>79.664511298900706</v>
      </c>
      <c r="AM5523">
        <v>88.841672593902004</v>
      </c>
      <c r="AN5523">
        <v>1.0000000337864901</v>
      </c>
    </row>
    <row r="5524" spans="1:40" x14ac:dyDescent="0.25">
      <c r="A5524" t="str">
        <f>"20190303171124023"</f>
        <v>20190303171124023</v>
      </c>
      <c r="B5524" t="str">
        <f>"1551604284016288"</f>
        <v>1551604284016288</v>
      </c>
      <c r="C5524" t="s">
        <v>40</v>
      </c>
      <c r="D5524">
        <v>4.9163180000000004</v>
      </c>
      <c r="E5524">
        <v>0.50642349999999903</v>
      </c>
      <c r="F5524" t="s">
        <v>68</v>
      </c>
      <c r="G5524">
        <v>-194.21360000000001</v>
      </c>
      <c r="H5524" s="1">
        <v>-8.2823360000000005E-6</v>
      </c>
      <c r="I5524">
        <v>-64.148089999999996</v>
      </c>
      <c r="J5524">
        <v>-256.20589999999999</v>
      </c>
      <c r="K5524">
        <v>1.1186780000000001</v>
      </c>
      <c r="L5524">
        <v>-63.153289999999998</v>
      </c>
      <c r="M5524">
        <v>0.99989189999999994</v>
      </c>
      <c r="N5524">
        <v>-5.9023649999999997E-3</v>
      </c>
      <c r="O5524">
        <v>1.347132E-2</v>
      </c>
      <c r="P5524">
        <v>0.98468670000000003</v>
      </c>
      <c r="Q5524">
        <v>0.17424679999999901</v>
      </c>
      <c r="R5524">
        <v>-5.503155E-3</v>
      </c>
      <c r="S5524">
        <v>3.0557859999999999</v>
      </c>
      <c r="T5524">
        <v>-5.4994580000000001E-2</v>
      </c>
      <c r="U5524">
        <v>-4.8828129999999997E-2</v>
      </c>
      <c r="V5524">
        <v>1.9422399999999999E-2</v>
      </c>
      <c r="W5524">
        <v>0.17998529999999999</v>
      </c>
      <c r="X5524">
        <v>0.9834775</v>
      </c>
      <c r="Y5524">
        <v>2.9437939999999999E-2</v>
      </c>
      <c r="Z5524">
        <v>-5.146533E-4</v>
      </c>
      <c r="AA5524">
        <v>0.99956650000000002</v>
      </c>
      <c r="AB5524">
        <v>32</v>
      </c>
      <c r="AC5524">
        <v>61.992299999999901</v>
      </c>
      <c r="AD5524">
        <v>-1.118686282336</v>
      </c>
      <c r="AE5524">
        <v>-0.99479999999999003</v>
      </c>
      <c r="AF5524">
        <v>1.8292468046288399</v>
      </c>
      <c r="AG5524">
        <v>-1.118686282336</v>
      </c>
      <c r="AH5524">
        <v>61.953103604265998</v>
      </c>
      <c r="AI5524">
        <v>91.034026089824707</v>
      </c>
      <c r="AJ5524">
        <v>88.3087581724552</v>
      </c>
      <c r="AK5524">
        <v>61.990198008003297</v>
      </c>
      <c r="AL5524">
        <v>79.631096063998996</v>
      </c>
      <c r="AM5524">
        <v>88.868630028696202</v>
      </c>
      <c r="AN5524">
        <v>0.99999996542204905</v>
      </c>
    </row>
    <row r="5525" spans="1:40" x14ac:dyDescent="0.25">
      <c r="A5525" t="str">
        <f>"20190303171124033"</f>
        <v>20190303171124033</v>
      </c>
      <c r="B5525" t="str">
        <f>"1551604284026048"</f>
        <v>1551604284026048</v>
      </c>
      <c r="C5525" t="s">
        <v>40</v>
      </c>
      <c r="D5525">
        <v>4.9724839999999997</v>
      </c>
      <c r="E5525">
        <v>0.50664699999999996</v>
      </c>
      <c r="F5525" t="s">
        <v>68</v>
      </c>
      <c r="G5525">
        <v>-192.0419</v>
      </c>
      <c r="H5525" s="1">
        <v>-9.2276339999999992E-6</v>
      </c>
      <c r="I5525">
        <v>-64.269549999999995</v>
      </c>
      <c r="J5525">
        <v>-256.0521</v>
      </c>
      <c r="K5525">
        <v>1.1186769999999999</v>
      </c>
      <c r="L5525">
        <v>-63.151919999999997</v>
      </c>
      <c r="M5525">
        <v>0.99990279999999998</v>
      </c>
      <c r="N5525">
        <v>-5.9093039999999998E-3</v>
      </c>
      <c r="O5525">
        <v>1.262564E-2</v>
      </c>
      <c r="P5525">
        <v>0.98465930000000002</v>
      </c>
      <c r="Q5525">
        <v>0.17439360000000001</v>
      </c>
      <c r="R5525">
        <v>-5.7357919999999904E-3</v>
      </c>
      <c r="S5525">
        <v>3.0557859999999999</v>
      </c>
      <c r="T5525">
        <v>-5.3277020000000001E-2</v>
      </c>
      <c r="U5525">
        <v>-5.316162E-2</v>
      </c>
      <c r="V5525">
        <v>1.8823949999999999E-2</v>
      </c>
      <c r="W5525">
        <v>0.180141</v>
      </c>
      <c r="X5525">
        <v>0.98346069999999997</v>
      </c>
      <c r="Y5525">
        <v>3.001003E-2</v>
      </c>
      <c r="Z5525">
        <v>-4.9574989999999995E-4</v>
      </c>
      <c r="AA5525">
        <v>0.99954940000000003</v>
      </c>
      <c r="AB5525">
        <v>32</v>
      </c>
      <c r="AC5525">
        <v>64.010199999999998</v>
      </c>
      <c r="AD5525">
        <v>-1.1186862276339999</v>
      </c>
      <c r="AE5525">
        <v>-1.1176299999999899</v>
      </c>
      <c r="AF5525">
        <v>1.92513696852798</v>
      </c>
      <c r="AG5525">
        <v>-1.1186862276339999</v>
      </c>
      <c r="AH5525">
        <v>63.9714536075113</v>
      </c>
      <c r="AI5525">
        <v>91.001391532305007</v>
      </c>
      <c r="AJ5525">
        <v>88.276278910752296</v>
      </c>
      <c r="AK5525">
        <v>64.010190500274703</v>
      </c>
      <c r="AL5525">
        <v>79.622027602418598</v>
      </c>
      <c r="AM5525">
        <v>88.903462835434297</v>
      </c>
      <c r="AN5525">
        <v>1.0000000347095399</v>
      </c>
    </row>
    <row r="5526" spans="1:40" x14ac:dyDescent="0.25">
      <c r="A5526" t="str">
        <f>"20190303171124044"</f>
        <v>20190303171124044</v>
      </c>
      <c r="B5526" t="str">
        <f>"1551604284035808"</f>
        <v>1551604284035808</v>
      </c>
      <c r="C5526" t="s">
        <v>40</v>
      </c>
      <c r="D5526">
        <v>4.9105679999999996</v>
      </c>
      <c r="E5526">
        <v>0.50670369999999998</v>
      </c>
      <c r="F5526" t="s">
        <v>68</v>
      </c>
      <c r="G5526">
        <v>-191.6686</v>
      </c>
      <c r="H5526" s="1">
        <v>-9.3957959999999998E-6</v>
      </c>
      <c r="I5526">
        <v>-64.326639999999998</v>
      </c>
      <c r="J5526">
        <v>-255.89949999999999</v>
      </c>
      <c r="K5526">
        <v>1.118681</v>
      </c>
      <c r="L5526">
        <v>-63.150790000000001</v>
      </c>
      <c r="M5526">
        <v>0.99991300000000005</v>
      </c>
      <c r="N5526">
        <v>-5.9173200000000002E-3</v>
      </c>
      <c r="O5526">
        <v>1.1786929999999999E-2</v>
      </c>
      <c r="P5526">
        <v>0.98457939999999999</v>
      </c>
      <c r="Q5526">
        <v>0.17482639999999999</v>
      </c>
      <c r="R5526">
        <v>-6.256686E-3</v>
      </c>
      <c r="S5526">
        <v>3.0558169999999998</v>
      </c>
      <c r="T5526">
        <v>-5.3095940000000001E-2</v>
      </c>
      <c r="U5526">
        <v>-5.5755619999999999E-2</v>
      </c>
      <c r="V5526">
        <v>1.8521269999999999E-2</v>
      </c>
      <c r="W5526">
        <v>0.18058179999999999</v>
      </c>
      <c r="X5526">
        <v>0.98338559999999997</v>
      </c>
      <c r="Y5526">
        <v>3.001976E-2</v>
      </c>
      <c r="Z5526">
        <v>-4.8463020000000001E-4</v>
      </c>
      <c r="AA5526">
        <v>0.99954920000000003</v>
      </c>
      <c r="AB5526">
        <v>32</v>
      </c>
      <c r="AC5526">
        <v>64.230899999999906</v>
      </c>
      <c r="AD5526">
        <v>-1.1186903957959999</v>
      </c>
      <c r="AE5526">
        <v>-1.1758499999999901</v>
      </c>
      <c r="AF5526">
        <v>1.9322807627838701</v>
      </c>
      <c r="AG5526">
        <v>-1.1186903957959999</v>
      </c>
      <c r="AH5526">
        <v>64.193112019187495</v>
      </c>
      <c r="AI5526">
        <v>90.997937930422793</v>
      </c>
      <c r="AJ5526">
        <v>88.275856869709898</v>
      </c>
      <c r="AK5526">
        <v>64.231929815753006</v>
      </c>
      <c r="AL5526">
        <v>79.596350492147394</v>
      </c>
      <c r="AM5526">
        <v>88.921008044670401</v>
      </c>
      <c r="AN5526">
        <v>1.0000000311105</v>
      </c>
    </row>
    <row r="5527" spans="1:40" x14ac:dyDescent="0.25">
      <c r="A5527" t="str">
        <f>"20190303171124055"</f>
        <v>20190303171124055</v>
      </c>
      <c r="B5527" t="str">
        <f>"1551604284046545"</f>
        <v>1551604284046545</v>
      </c>
      <c r="C5527" t="s">
        <v>40</v>
      </c>
      <c r="D5527">
        <v>4.7315209999999999</v>
      </c>
      <c r="E5527">
        <v>0.5068665</v>
      </c>
      <c r="F5527" t="s">
        <v>68</v>
      </c>
      <c r="G5527">
        <v>-190.99</v>
      </c>
      <c r="H5527" s="1">
        <v>-9.6972469999999995E-6</v>
      </c>
      <c r="I5527">
        <v>-64.381720000000001</v>
      </c>
      <c r="J5527">
        <v>-255.73740000000001</v>
      </c>
      <c r="K5527">
        <v>1.118681</v>
      </c>
      <c r="L5527">
        <v>-63.1496</v>
      </c>
      <c r="M5527">
        <v>0.99992320000000001</v>
      </c>
      <c r="N5527">
        <v>-5.926171E-3</v>
      </c>
      <c r="O5527">
        <v>1.089528E-2</v>
      </c>
      <c r="P5527">
        <v>0.98452539999999999</v>
      </c>
      <c r="Q5527">
        <v>0.1751103</v>
      </c>
      <c r="R5527">
        <v>-6.8017659999999999E-3</v>
      </c>
      <c r="S5527">
        <v>3.0559690000000002</v>
      </c>
      <c r="T5527">
        <v>-5.2668449999999999E-2</v>
      </c>
      <c r="U5527">
        <v>-5.7952879999999998E-2</v>
      </c>
      <c r="V5527">
        <v>1.8190459999999999E-2</v>
      </c>
      <c r="W5527">
        <v>0.18087590000000001</v>
      </c>
      <c r="X5527">
        <v>0.98333769999999998</v>
      </c>
      <c r="Y5527">
        <v>2.984616E-2</v>
      </c>
      <c r="Z5527">
        <v>-4.6879460000000001E-4</v>
      </c>
      <c r="AA5527">
        <v>0.99955439999999995</v>
      </c>
      <c r="AB5527">
        <v>32</v>
      </c>
      <c r="AC5527">
        <v>64.747399999999999</v>
      </c>
      <c r="AD5527">
        <v>-1.1186906972470001</v>
      </c>
      <c r="AE5527">
        <v>-1.2321200000000001</v>
      </c>
      <c r="AF5527">
        <v>1.93692221920167</v>
      </c>
      <c r="AG5527">
        <v>-1.1186906972470001</v>
      </c>
      <c r="AH5527">
        <v>64.710821667925998</v>
      </c>
      <c r="AI5527">
        <v>90.989960952177995</v>
      </c>
      <c r="AJ5527">
        <v>88.285536469176606</v>
      </c>
      <c r="AK5527">
        <v>64.749467777715907</v>
      </c>
      <c r="AL5527">
        <v>79.579217435048804</v>
      </c>
      <c r="AM5527">
        <v>88.940223969028693</v>
      </c>
      <c r="AN5527">
        <v>1.0000000081385501</v>
      </c>
    </row>
    <row r="5528" spans="1:40" x14ac:dyDescent="0.25">
      <c r="A5528" t="str">
        <f>"20190303171124067"</f>
        <v>20190303171124067</v>
      </c>
      <c r="B5528" t="str">
        <f>"1551604284056304"</f>
        <v>1551604284056304</v>
      </c>
      <c r="C5528" t="s">
        <v>40</v>
      </c>
      <c r="D5528">
        <v>4.9144449999999997</v>
      </c>
      <c r="E5528">
        <v>0.50703909999999996</v>
      </c>
      <c r="F5528" t="s">
        <v>68</v>
      </c>
      <c r="G5528">
        <v>-190.91040000000001</v>
      </c>
      <c r="H5528" s="1">
        <v>-9.7373939999999996E-6</v>
      </c>
      <c r="I5528">
        <v>-64.442340000000002</v>
      </c>
      <c r="J5528">
        <v>-255.58099999999999</v>
      </c>
      <c r="K5528">
        <v>1.1186799999999999</v>
      </c>
      <c r="L5528">
        <v>-63.148710000000001</v>
      </c>
      <c r="M5528">
        <v>0.99993209999999999</v>
      </c>
      <c r="N5528">
        <v>-5.9400649999999996E-3</v>
      </c>
      <c r="O5528">
        <v>1.0035189999999999E-2</v>
      </c>
      <c r="P5528">
        <v>0.98449500000000001</v>
      </c>
      <c r="Q5528">
        <v>0.1752649</v>
      </c>
      <c r="R5528">
        <v>-7.2181279999999999E-3</v>
      </c>
      <c r="S5528">
        <v>3.0561219999999998</v>
      </c>
      <c r="T5528">
        <v>-5.2738069999999998E-2</v>
      </c>
      <c r="U5528">
        <v>-6.0943600000000001E-2</v>
      </c>
      <c r="V5528">
        <v>1.776229E-2</v>
      </c>
      <c r="W5528">
        <v>0.18104519999999999</v>
      </c>
      <c r="X5528">
        <v>0.98331429999999997</v>
      </c>
      <c r="Y5528">
        <v>2.996325E-2</v>
      </c>
      <c r="Z5528">
        <v>-4.6104039999999999E-4</v>
      </c>
      <c r="AA5528">
        <v>0.99955090000000002</v>
      </c>
      <c r="AB5528">
        <v>32</v>
      </c>
      <c r="AC5528">
        <v>64.670599999999894</v>
      </c>
      <c r="AD5528">
        <v>-1.1186897373939999</v>
      </c>
      <c r="AE5528">
        <v>-1.2936300000000001</v>
      </c>
      <c r="AF5528">
        <v>1.9419771378347399</v>
      </c>
      <c r="AG5528">
        <v>-1.1186897373939999</v>
      </c>
      <c r="AH5528">
        <v>64.635028404179295</v>
      </c>
      <c r="AI5528">
        <v>90.991117368852898</v>
      </c>
      <c r="AJ5528">
        <v>88.279050325752294</v>
      </c>
      <c r="AK5528">
        <v>64.673871375861594</v>
      </c>
      <c r="AL5528">
        <v>79.569353684933006</v>
      </c>
      <c r="AM5528">
        <v>88.965139038615703</v>
      </c>
      <c r="AN5528">
        <v>0.99999993798678499</v>
      </c>
    </row>
    <row r="5529" spans="1:40" x14ac:dyDescent="0.25">
      <c r="A5529" t="str">
        <f>"20190303171124078"</f>
        <v>20190303171124078</v>
      </c>
      <c r="B5529" t="str">
        <f>"1551604284066065"</f>
        <v>1551604284066065</v>
      </c>
      <c r="C5529" t="s">
        <v>40</v>
      </c>
      <c r="D5529">
        <v>4.9151099999999897</v>
      </c>
      <c r="E5529">
        <v>0.50718319999999995</v>
      </c>
      <c r="F5529" t="s">
        <v>68</v>
      </c>
      <c r="G5529">
        <v>-190.8974</v>
      </c>
      <c r="H5529" s="1">
        <v>-9.7480480000000002E-6</v>
      </c>
      <c r="I5529">
        <v>-64.499279999999999</v>
      </c>
      <c r="J5529">
        <v>-255.4135</v>
      </c>
      <c r="K5529">
        <v>1.118682</v>
      </c>
      <c r="L5529">
        <v>-63.147829999999999</v>
      </c>
      <c r="M5529">
        <v>0.99994079999999996</v>
      </c>
      <c r="N5529">
        <v>-5.9561409999999999E-3</v>
      </c>
      <c r="O5529">
        <v>9.1138150000000008E-3</v>
      </c>
      <c r="P5529">
        <v>0.98438729999999997</v>
      </c>
      <c r="Q5529">
        <v>0.175847799999999</v>
      </c>
      <c r="R5529">
        <v>-7.6865659999999997E-3</v>
      </c>
      <c r="S5529">
        <v>3.0561980000000002</v>
      </c>
      <c r="T5529">
        <v>-5.285633E-2</v>
      </c>
      <c r="U5529">
        <v>-6.3812259999999996E-2</v>
      </c>
      <c r="V5529">
        <v>1.7327189999999999E-2</v>
      </c>
      <c r="W5529">
        <v>0.181645</v>
      </c>
      <c r="X5529">
        <v>0.98321150000000002</v>
      </c>
      <c r="Y5529">
        <v>2.9979579999999999E-2</v>
      </c>
      <c r="Z5529">
        <v>-4.5181900000000001E-4</v>
      </c>
      <c r="AA5529">
        <v>0.99955039999999995</v>
      </c>
      <c r="AB5529">
        <v>32</v>
      </c>
      <c r="AC5529">
        <v>64.516099999999994</v>
      </c>
      <c r="AD5529">
        <v>-1.1186917480480001</v>
      </c>
      <c r="AE5529">
        <v>-1.35144999999999</v>
      </c>
      <c r="AF5529">
        <v>1.93880937963402</v>
      </c>
      <c r="AG5529">
        <v>-1.1186917480480001</v>
      </c>
      <c r="AH5529">
        <v>64.481724387038398</v>
      </c>
      <c r="AI5529">
        <v>90.993474378895499</v>
      </c>
      <c r="AJ5529">
        <v>88.277773463007904</v>
      </c>
      <c r="AK5529">
        <v>64.520564419134601</v>
      </c>
      <c r="AL5529">
        <v>79.534408871868706</v>
      </c>
      <c r="AM5529">
        <v>88.990377857738594</v>
      </c>
      <c r="AN5529">
        <v>0.99999999563527298</v>
      </c>
    </row>
    <row r="5530" spans="1:40" x14ac:dyDescent="0.25">
      <c r="A5530" t="str">
        <f>"20190303171124089"</f>
        <v>20190303171124089</v>
      </c>
      <c r="B5530" t="str">
        <f>"1551604284075826"</f>
        <v>1551604284075826</v>
      </c>
      <c r="C5530" t="s">
        <v>40</v>
      </c>
      <c r="D5530">
        <v>5.0314870000000003</v>
      </c>
      <c r="E5530">
        <v>0.50727009999999995</v>
      </c>
      <c r="F5530" t="s">
        <v>68</v>
      </c>
      <c r="G5530">
        <v>-189.69739999999999</v>
      </c>
      <c r="H5530" s="1">
        <v>-9.7338449999999996E-6</v>
      </c>
      <c r="I5530">
        <v>-64.574340000000007</v>
      </c>
      <c r="J5530">
        <v>-255.2586</v>
      </c>
      <c r="K5530">
        <v>1.1186830000000001</v>
      </c>
      <c r="L5530">
        <v>-63.147190000000002</v>
      </c>
      <c r="M5530">
        <v>0.99994799999999995</v>
      </c>
      <c r="N5530">
        <v>-5.9749989999999999E-3</v>
      </c>
      <c r="O5530">
        <v>8.2622819999999993E-3</v>
      </c>
      <c r="P5530">
        <v>0.98430139999999999</v>
      </c>
      <c r="Q5530">
        <v>0.17630219999999999</v>
      </c>
      <c r="R5530">
        <v>-8.2676780000000005E-3</v>
      </c>
      <c r="S5530">
        <v>3.0563509999999998</v>
      </c>
      <c r="T5530">
        <v>-5.2028659999999997E-2</v>
      </c>
      <c r="U5530">
        <v>-6.6345210000000002E-2</v>
      </c>
      <c r="V5530">
        <v>1.7072940000000002E-2</v>
      </c>
      <c r="W5530">
        <v>0.18211759999999999</v>
      </c>
      <c r="X5530">
        <v>0.98312849999999996</v>
      </c>
      <c r="Y5530">
        <v>2.9955599999999999E-2</v>
      </c>
      <c r="Z5530">
        <v>-4.3569939999999998E-4</v>
      </c>
      <c r="AA5530">
        <v>0.99955110000000003</v>
      </c>
      <c r="AB5530">
        <v>32</v>
      </c>
      <c r="AC5530">
        <v>65.561199999999999</v>
      </c>
      <c r="AD5530">
        <v>-1.1186927338449999</v>
      </c>
      <c r="AE5530">
        <v>-1.4271499999999999</v>
      </c>
      <c r="AF5530">
        <v>1.9682232943005999</v>
      </c>
      <c r="AG5530">
        <v>-1.1186927338449999</v>
      </c>
      <c r="AH5530">
        <v>65.5281004222348</v>
      </c>
      <c r="AI5530">
        <v>90.977615108721906</v>
      </c>
      <c r="AJ5530">
        <v>88.279562626126307</v>
      </c>
      <c r="AK5530">
        <v>65.567196991448995</v>
      </c>
      <c r="AL5530">
        <v>79.506871374632794</v>
      </c>
      <c r="AM5530">
        <v>89.005105549063998</v>
      </c>
      <c r="AN5530">
        <v>0.99999997651112604</v>
      </c>
    </row>
    <row r="5531" spans="1:40" x14ac:dyDescent="0.25">
      <c r="A5531" t="str">
        <f>"20190303171124101"</f>
        <v>20190303171124101</v>
      </c>
      <c r="B5531" t="str">
        <f>"1551604284096320"</f>
        <v>1551604284096320</v>
      </c>
      <c r="C5531" t="s">
        <v>40</v>
      </c>
      <c r="D5531">
        <v>4.9722010000000001</v>
      </c>
      <c r="E5531">
        <v>0.50742189999999998</v>
      </c>
      <c r="F5531" t="s">
        <v>68</v>
      </c>
      <c r="G5531">
        <v>-188.2491</v>
      </c>
      <c r="H5531" s="1">
        <v>-9.5422880000000006E-6</v>
      </c>
      <c r="I5531">
        <v>-64.655950000000004</v>
      </c>
      <c r="J5531">
        <v>-255.08850000000001</v>
      </c>
      <c r="K5531">
        <v>1.118682</v>
      </c>
      <c r="L5531">
        <v>-63.146610000000003</v>
      </c>
      <c r="M5531">
        <v>0.99995509999999999</v>
      </c>
      <c r="N5531">
        <v>-5.9971869999999898E-3</v>
      </c>
      <c r="O5531">
        <v>7.3274580000000002E-3</v>
      </c>
      <c r="P5531">
        <v>0.98417270000000001</v>
      </c>
      <c r="Q5531">
        <v>0.1769877</v>
      </c>
      <c r="R5531">
        <v>-8.9253159999999904E-3</v>
      </c>
      <c r="S5531">
        <v>3.0564119999999999</v>
      </c>
      <c r="T5531">
        <v>-5.1025389999999997E-2</v>
      </c>
      <c r="U5531">
        <v>-6.8817139999999999E-2</v>
      </c>
      <c r="V5531">
        <v>1.6814470000000001E-2</v>
      </c>
      <c r="W5531">
        <v>0.18282509999999999</v>
      </c>
      <c r="X5531">
        <v>0.98300160000000003</v>
      </c>
      <c r="Y5531">
        <v>2.9829020000000001E-2</v>
      </c>
      <c r="Z5531">
        <v>-4.1677769999999998E-4</v>
      </c>
      <c r="AA5531">
        <v>0.99955490000000002</v>
      </c>
      <c r="AB5531">
        <v>32</v>
      </c>
      <c r="AC5531">
        <v>66.839399999999998</v>
      </c>
      <c r="AD5531">
        <v>-1.1186915422879999</v>
      </c>
      <c r="AE5531">
        <v>-1.5093399999999999</v>
      </c>
      <c r="AF5531">
        <v>1.99851166419278</v>
      </c>
      <c r="AG5531">
        <v>-1.1186915422879999</v>
      </c>
      <c r="AH5531">
        <v>66.807840557644397</v>
      </c>
      <c r="AI5531">
        <v>90.958894377546699</v>
      </c>
      <c r="AJ5531">
        <v>88.286546233618196</v>
      </c>
      <c r="AK5531">
        <v>66.847087293421694</v>
      </c>
      <c r="AL5531">
        <v>79.465642082813403</v>
      </c>
      <c r="AM5531">
        <v>89.020037991437704</v>
      </c>
      <c r="AN5531">
        <v>0.99999994459697295</v>
      </c>
    </row>
    <row r="5532" spans="1:40" x14ac:dyDescent="0.25">
      <c r="A5532" t="str">
        <f>"20190303171124112"</f>
        <v>20190303171124112</v>
      </c>
      <c r="B5532" t="str">
        <f>"1551604284106080"</f>
        <v>1551604284106080</v>
      </c>
      <c r="C5532" t="s">
        <v>40</v>
      </c>
      <c r="D5532">
        <v>5.0320210000000003</v>
      </c>
      <c r="E5532">
        <v>0.50752719999999996</v>
      </c>
      <c r="F5532" t="s">
        <v>68</v>
      </c>
      <c r="G5532">
        <v>-187.04150000000001</v>
      </c>
      <c r="H5532" s="1">
        <v>-9.3751350000000002E-6</v>
      </c>
      <c r="I5532">
        <v>-64.745189999999994</v>
      </c>
      <c r="J5532">
        <v>-254.91820000000001</v>
      </c>
      <c r="K5532">
        <v>1.1186799999999999</v>
      </c>
      <c r="L5532">
        <v>-63.146180000000001</v>
      </c>
      <c r="M5532">
        <v>0.99996160000000001</v>
      </c>
      <c r="N5532">
        <v>-6.0216050000000002E-3</v>
      </c>
      <c r="O5532">
        <v>6.391669E-3</v>
      </c>
      <c r="P5532">
        <v>0.98406859999999996</v>
      </c>
      <c r="Q5532">
        <v>0.17751329999999901</v>
      </c>
      <c r="R5532">
        <v>-9.9205149999999995E-3</v>
      </c>
      <c r="S5532">
        <v>3.0566249999999999</v>
      </c>
      <c r="T5532">
        <v>-5.0250889999999999E-2</v>
      </c>
      <c r="U5532">
        <v>-7.1807860000000001E-2</v>
      </c>
      <c r="V5532">
        <v>1.689237E-2</v>
      </c>
      <c r="W5532">
        <v>0.18337349999999999</v>
      </c>
      <c r="X5532">
        <v>0.98289820000000006</v>
      </c>
      <c r="Y5532">
        <v>2.9869730000000001E-2</v>
      </c>
      <c r="Z5532">
        <v>-4.0200979999999999E-4</v>
      </c>
      <c r="AA5532">
        <v>0.99955369999999999</v>
      </c>
      <c r="AB5532">
        <v>32</v>
      </c>
      <c r="AC5532">
        <v>67.8767</v>
      </c>
      <c r="AD5532">
        <v>-1.118689375135</v>
      </c>
      <c r="AE5532">
        <v>-1.5990099999999901</v>
      </c>
      <c r="AF5532">
        <v>2.0322788111733998</v>
      </c>
      <c r="AG5532">
        <v>-1.118689375135</v>
      </c>
      <c r="AH5532">
        <v>67.846673947511505</v>
      </c>
      <c r="AI5532">
        <v>90.944212009860905</v>
      </c>
      <c r="AJ5532">
        <v>88.284275626246497</v>
      </c>
      <c r="AK5532">
        <v>67.886322546035203</v>
      </c>
      <c r="AL5532">
        <v>79.433681685709402</v>
      </c>
      <c r="AM5532">
        <v>89.015395254622803</v>
      </c>
      <c r="AN5532">
        <v>1.0000000321148499</v>
      </c>
    </row>
    <row r="5533" spans="1:40" x14ac:dyDescent="0.25">
      <c r="A5533" t="str">
        <f>"20190303171124123"</f>
        <v>20190303171124123</v>
      </c>
      <c r="B5533" t="str">
        <f>"1551604284115841"</f>
        <v>1551604284115841</v>
      </c>
      <c r="C5533" t="s">
        <v>40</v>
      </c>
      <c r="D5533">
        <v>4.9733739999999997</v>
      </c>
      <c r="E5533">
        <v>0.50751480000000004</v>
      </c>
      <c r="F5533" t="s">
        <v>68</v>
      </c>
      <c r="G5533">
        <v>-185.13059999999999</v>
      </c>
      <c r="H5533" s="1">
        <v>-9.1199239999999995E-6</v>
      </c>
      <c r="I5533">
        <v>-64.872060000000005</v>
      </c>
      <c r="J5533">
        <v>-254.76419999999999</v>
      </c>
      <c r="K5533">
        <v>1.1186799999999999</v>
      </c>
      <c r="L5533">
        <v>-63.145940000000003</v>
      </c>
      <c r="M5533">
        <v>0.99996640000000003</v>
      </c>
      <c r="N5533">
        <v>-6.0474090000000001E-3</v>
      </c>
      <c r="O5533">
        <v>5.5463600000000002E-3</v>
      </c>
      <c r="P5533">
        <v>0.98403439999999998</v>
      </c>
      <c r="Q5533">
        <v>0.17765639999999999</v>
      </c>
      <c r="R5533">
        <v>-1.071721E-2</v>
      </c>
      <c r="S5533">
        <v>3.0566559999999998</v>
      </c>
      <c r="T5533">
        <v>-4.8997880000000001E-2</v>
      </c>
      <c r="U5533">
        <v>-7.5592039999999999E-2</v>
      </c>
      <c r="V5533">
        <v>1.6859799999999901E-2</v>
      </c>
      <c r="W5533">
        <v>0.18354229999999999</v>
      </c>
      <c r="X5533">
        <v>0.98286719999999905</v>
      </c>
      <c r="Y5533">
        <v>3.0261509999999998E-2</v>
      </c>
      <c r="Z5533">
        <v>-3.8937150000000002E-4</v>
      </c>
      <c r="AA5533">
        <v>0.99954189999999998</v>
      </c>
      <c r="AB5533">
        <v>32</v>
      </c>
      <c r="AC5533">
        <v>69.633600000000001</v>
      </c>
      <c r="AD5533">
        <v>-1.1186891199240001</v>
      </c>
      <c r="AE5533">
        <v>-1.7261200000000001</v>
      </c>
      <c r="AF5533">
        <v>2.1117687951530701</v>
      </c>
      <c r="AG5533">
        <v>-1.1186891199240001</v>
      </c>
      <c r="AH5533">
        <v>69.605001322767194</v>
      </c>
      <c r="AI5533">
        <v>90.920353055889706</v>
      </c>
      <c r="AJ5533">
        <v>88.262217756651793</v>
      </c>
      <c r="AK5533">
        <v>69.646013826590604</v>
      </c>
      <c r="AL5533">
        <v>79.4238426259151</v>
      </c>
      <c r="AM5533">
        <v>89.017262299118997</v>
      </c>
      <c r="AN5533">
        <v>0.99999998079058405</v>
      </c>
    </row>
    <row r="5534" spans="1:40" x14ac:dyDescent="0.25">
      <c r="A5534" t="str">
        <f>"20190303171124134"</f>
        <v>20190303171124134</v>
      </c>
      <c r="B5534" t="str">
        <f>"1551604284126576"</f>
        <v>1551604284126576</v>
      </c>
      <c r="C5534" t="s">
        <v>40</v>
      </c>
      <c r="D5534">
        <v>4.9708649999999999</v>
      </c>
      <c r="E5534">
        <v>0.50758649999999905</v>
      </c>
      <c r="F5534" t="s">
        <v>68</v>
      </c>
      <c r="G5534">
        <v>-185.85669999999999</v>
      </c>
      <c r="H5534" s="1">
        <v>-9.1879530000000006E-6</v>
      </c>
      <c r="I5534">
        <v>-64.898809999999997</v>
      </c>
      <c r="J5534">
        <v>-254.6028</v>
      </c>
      <c r="K5534">
        <v>1.118679</v>
      </c>
      <c r="L5534">
        <v>-63.145809999999997</v>
      </c>
      <c r="M5534">
        <v>0.99997069999999999</v>
      </c>
      <c r="N5534">
        <v>-6.0763269999999899E-3</v>
      </c>
      <c r="O5534">
        <v>4.6610410000000003E-3</v>
      </c>
      <c r="P5534">
        <v>0.98406700000000003</v>
      </c>
      <c r="Q5534">
        <v>0.17743419999999999</v>
      </c>
      <c r="R5534">
        <v>-1.136933E-2</v>
      </c>
      <c r="S5534">
        <v>3.0567929999999999</v>
      </c>
      <c r="T5534">
        <v>-4.9625990000000002E-2</v>
      </c>
      <c r="U5534">
        <v>-7.7758789999999994E-2</v>
      </c>
      <c r="V5534">
        <v>1.6641960000000001E-2</v>
      </c>
      <c r="W5534">
        <v>0.1833487</v>
      </c>
      <c r="X5534">
        <v>0.98290710000000003</v>
      </c>
      <c r="Y5534">
        <v>3.0083459999999999E-2</v>
      </c>
      <c r="Z5534">
        <v>-3.8290209999999999E-4</v>
      </c>
      <c r="AA5534">
        <v>0.99954730000000003</v>
      </c>
      <c r="AB5534">
        <v>32</v>
      </c>
      <c r="AC5534">
        <v>68.746099999999998</v>
      </c>
      <c r="AD5534">
        <v>-1.118688187953</v>
      </c>
      <c r="AE5534">
        <v>-1.7529999999999999</v>
      </c>
      <c r="AF5534">
        <v>2.0728667120596</v>
      </c>
      <c r="AG5534">
        <v>-1.118688187953</v>
      </c>
      <c r="AH5534">
        <v>68.718997114738201</v>
      </c>
      <c r="AI5534">
        <v>90.932221374944007</v>
      </c>
      <c r="AJ5534">
        <v>88.272231592072799</v>
      </c>
      <c r="AK5534">
        <v>68.759354302692699</v>
      </c>
      <c r="AL5534">
        <v>79.435127146921701</v>
      </c>
      <c r="AM5534">
        <v>89.029996861860496</v>
      </c>
      <c r="AN5534">
        <v>1.00000003392737</v>
      </c>
    </row>
    <row r="5535" spans="1:40" x14ac:dyDescent="0.25">
      <c r="A5535" t="str">
        <f>"20190303171124145"</f>
        <v>20190303171124145</v>
      </c>
      <c r="B5535" t="str">
        <f>"1551604284136336"</f>
        <v>1551604284136336</v>
      </c>
      <c r="C5535" t="s">
        <v>40</v>
      </c>
      <c r="D5535">
        <v>4.9697050000000003</v>
      </c>
      <c r="E5535">
        <v>0.50761129999999999</v>
      </c>
      <c r="F5535" t="s">
        <v>68</v>
      </c>
      <c r="G5535">
        <v>-187.1472</v>
      </c>
      <c r="H5535" s="1">
        <v>-9.3276709999999995E-6</v>
      </c>
      <c r="I5535">
        <v>-64.914289999999994</v>
      </c>
      <c r="J5535">
        <v>-254.45259999999999</v>
      </c>
      <c r="K5535">
        <v>1.1186799999999999</v>
      </c>
      <c r="L5535">
        <v>-63.145870000000002</v>
      </c>
      <c r="M5535">
        <v>0.99997400000000003</v>
      </c>
      <c r="N5535">
        <v>-6.1106819999999897E-3</v>
      </c>
      <c r="O5535">
        <v>3.839842E-3</v>
      </c>
      <c r="P5535">
        <v>0.98408019999999996</v>
      </c>
      <c r="Q5535">
        <v>0.17733180000000001</v>
      </c>
      <c r="R5535">
        <v>-1.1840689999999999E-2</v>
      </c>
      <c r="S5535">
        <v>3.056778</v>
      </c>
      <c r="T5535">
        <v>-5.0693870000000002E-2</v>
      </c>
      <c r="U5535">
        <v>-8.0139160000000001E-2</v>
      </c>
      <c r="V5535">
        <v>1.630653E-2</v>
      </c>
      <c r="W5535">
        <v>0.18328169999999999</v>
      </c>
      <c r="X5535">
        <v>0.98292520000000005</v>
      </c>
      <c r="Y5535">
        <v>3.004041E-2</v>
      </c>
      <c r="Z5535">
        <v>-3.8105209999999998E-4</v>
      </c>
      <c r="AA5535">
        <v>0.99954860000000001</v>
      </c>
      <c r="AB5535">
        <v>32</v>
      </c>
      <c r="AC5535">
        <v>67.305399999999906</v>
      </c>
      <c r="AD5535">
        <v>-1.1186893276709999</v>
      </c>
      <c r="AE5535">
        <v>-1.7684200000000101</v>
      </c>
      <c r="AF5535">
        <v>2.0262944789066299</v>
      </c>
      <c r="AG5535">
        <v>-1.1186893276709999</v>
      </c>
      <c r="AH5535">
        <v>67.279539338592002</v>
      </c>
      <c r="AI5535">
        <v>90.952165097366105</v>
      </c>
      <c r="AJ5535">
        <v>88.274913309137801</v>
      </c>
      <c r="AK5535">
        <v>67.319341564963594</v>
      </c>
      <c r="AL5535">
        <v>79.439031952527401</v>
      </c>
      <c r="AM5535">
        <v>89.049561809006704</v>
      </c>
      <c r="AN5535">
        <v>1.00000001663528</v>
      </c>
    </row>
    <row r="5536" spans="1:40" x14ac:dyDescent="0.25">
      <c r="A5536" t="str">
        <f>"20190303171124155"</f>
        <v>20190303171124155</v>
      </c>
      <c r="B5536" t="str">
        <f>"1551604284146096"</f>
        <v>1551604284146096</v>
      </c>
      <c r="C5536" t="s">
        <v>40</v>
      </c>
      <c r="D5536">
        <v>5.0824319999999998</v>
      </c>
      <c r="E5536">
        <v>0.50762810000000003</v>
      </c>
      <c r="F5536" t="s">
        <v>68</v>
      </c>
      <c r="G5536">
        <v>-188.24289999999999</v>
      </c>
      <c r="H5536" s="1">
        <v>-9.4512390000000003E-6</v>
      </c>
      <c r="I5536">
        <v>-64.91337</v>
      </c>
      <c r="J5536">
        <v>-254.2903</v>
      </c>
      <c r="K5536">
        <v>1.118682</v>
      </c>
      <c r="L5536">
        <v>-63.145969999999998</v>
      </c>
      <c r="M5536">
        <v>0.9999768</v>
      </c>
      <c r="N5536">
        <v>-6.1493679999999997E-3</v>
      </c>
      <c r="O5536">
        <v>2.9532339999999999E-3</v>
      </c>
      <c r="P5536">
        <v>0.98413640000000002</v>
      </c>
      <c r="Q5536">
        <v>0.17697019999999999</v>
      </c>
      <c r="R5536">
        <v>-1.254073E-2</v>
      </c>
      <c r="S5536">
        <v>3.05687</v>
      </c>
      <c r="T5536">
        <v>-5.164933E-2</v>
      </c>
      <c r="U5536">
        <v>-8.1603999999999996E-2</v>
      </c>
      <c r="V5536">
        <v>1.613471E-2</v>
      </c>
      <c r="W5536">
        <v>0.18295919999999999</v>
      </c>
      <c r="X5536">
        <v>0.98298810000000003</v>
      </c>
      <c r="Y5536">
        <v>2.9631959999999999E-2</v>
      </c>
      <c r="Z5536">
        <v>-3.7313530000000002E-4</v>
      </c>
      <c r="AA5536">
        <v>0.99956080000000003</v>
      </c>
      <c r="AB5536">
        <v>32</v>
      </c>
      <c r="AC5536">
        <v>66.047399999999996</v>
      </c>
      <c r="AD5536">
        <v>-1.118691451239</v>
      </c>
      <c r="AE5536">
        <v>-1.7674000000000001</v>
      </c>
      <c r="AF5536">
        <v>1.9618869594787001</v>
      </c>
      <c r="AG5536">
        <v>-1.118691451239</v>
      </c>
      <c r="AH5536">
        <v>66.022964821778601</v>
      </c>
      <c r="AI5536">
        <v>90.970297145685805</v>
      </c>
      <c r="AJ5536">
        <v>88.297944127199102</v>
      </c>
      <c r="AK5536">
        <v>66.061580020937001</v>
      </c>
      <c r="AL5536">
        <v>79.457827503435297</v>
      </c>
      <c r="AM5536">
        <v>89.059634822627999</v>
      </c>
      <c r="AN5536">
        <v>1.00000000123651</v>
      </c>
    </row>
    <row r="5537" spans="1:40" x14ac:dyDescent="0.25">
      <c r="A5537" t="str">
        <f>"20190303171124168"</f>
        <v>20190303171124168</v>
      </c>
      <c r="B5537" t="str">
        <f>"1551604284155856"</f>
        <v>1551604284155856</v>
      </c>
      <c r="C5537" t="s">
        <v>40</v>
      </c>
      <c r="D5537">
        <v>4.9708709999999998</v>
      </c>
      <c r="E5537">
        <v>0.50759589999999999</v>
      </c>
      <c r="F5537" t="s">
        <v>68</v>
      </c>
      <c r="G5537">
        <v>-189.91579999999999</v>
      </c>
      <c r="H5537" s="1">
        <v>-9.6396500000000001E-6</v>
      </c>
      <c r="I5537">
        <v>-64.912679999999995</v>
      </c>
      <c r="J5537">
        <v>-254.11420000000001</v>
      </c>
      <c r="K5537">
        <v>1.1186860000000001</v>
      </c>
      <c r="L5537">
        <v>-63.146360000000001</v>
      </c>
      <c r="M5537">
        <v>0.99997879999999995</v>
      </c>
      <c r="N5537">
        <v>-6.1994819999999897E-3</v>
      </c>
      <c r="O5537">
        <v>1.9967309999999999E-3</v>
      </c>
      <c r="P5537">
        <v>0.98416689999999996</v>
      </c>
      <c r="Q5537">
        <v>0.17675389999999999</v>
      </c>
      <c r="R5537">
        <v>-1.3189599999999999E-2</v>
      </c>
      <c r="S5537">
        <v>3.0568390000000001</v>
      </c>
      <c r="T5537">
        <v>-5.3121330000000001E-2</v>
      </c>
      <c r="U5537">
        <v>-8.3892820000000007E-2</v>
      </c>
      <c r="V5537">
        <v>1.5842439999999999E-2</v>
      </c>
      <c r="W5537">
        <v>0.18279319999999999</v>
      </c>
      <c r="X5537">
        <v>0.9830238</v>
      </c>
      <c r="Y5537">
        <v>2.9423789999999998E-2</v>
      </c>
      <c r="Z5537">
        <v>-3.6914149999999998E-4</v>
      </c>
      <c r="AA5537">
        <v>0.99956699999999998</v>
      </c>
      <c r="AB5537">
        <v>32</v>
      </c>
      <c r="AC5537">
        <v>64.198400000000007</v>
      </c>
      <c r="AD5537">
        <v>-1.1186956396500001</v>
      </c>
      <c r="AE5537">
        <v>-1.7663200000000101</v>
      </c>
      <c r="AF5537">
        <v>1.8939312161489901</v>
      </c>
      <c r="AG5537">
        <v>-1.1186956396500001</v>
      </c>
      <c r="AH5537">
        <v>64.175272903984805</v>
      </c>
      <c r="AI5537">
        <v>90.998237466161797</v>
      </c>
      <c r="AJ5537">
        <v>88.309586022207696</v>
      </c>
      <c r="AK5537">
        <v>64.212959032321507</v>
      </c>
      <c r="AL5537">
        <v>79.467502419684195</v>
      </c>
      <c r="AM5537">
        <v>89.076699489414906</v>
      </c>
      <c r="AN5537">
        <v>1.00000006411891</v>
      </c>
    </row>
    <row r="5538" spans="1:40" x14ac:dyDescent="0.25">
      <c r="A5538" t="str">
        <f>"20190303171124180"</f>
        <v>20190303171124180</v>
      </c>
      <c r="B5538" t="str">
        <f>"1551604284176353"</f>
        <v>1551604284176353</v>
      </c>
      <c r="C5538" t="s">
        <v>40</v>
      </c>
      <c r="D5538">
        <v>4.9195089999999997</v>
      </c>
      <c r="E5538">
        <v>0.50755669999999997</v>
      </c>
      <c r="F5538" t="s">
        <v>68</v>
      </c>
      <c r="G5538">
        <v>-191.3826</v>
      </c>
      <c r="H5538" s="1">
        <v>-9.5713990000000001E-6</v>
      </c>
      <c r="I5538">
        <v>-64.9024</v>
      </c>
      <c r="J5538">
        <v>-253.9462</v>
      </c>
      <c r="K5538">
        <v>1.11869</v>
      </c>
      <c r="L5538">
        <v>-63.146790000000003</v>
      </c>
      <c r="M5538">
        <v>0.99997990000000003</v>
      </c>
      <c r="N5538">
        <v>-6.24831E-3</v>
      </c>
      <c r="O5538">
        <v>1.0868539999999999E-3</v>
      </c>
      <c r="P5538">
        <v>0.98422600000000005</v>
      </c>
      <c r="Q5538">
        <v>0.17635990000000001</v>
      </c>
      <c r="R5538">
        <v>-1.4022700000000001E-2</v>
      </c>
      <c r="S5538">
        <v>3.0569000000000002</v>
      </c>
      <c r="T5538">
        <v>-5.4513810000000003E-2</v>
      </c>
      <c r="U5538">
        <v>-8.5571289999999994E-2</v>
      </c>
      <c r="V5538">
        <v>1.5779270000000001E-2</v>
      </c>
      <c r="W5538">
        <v>0.1824481</v>
      </c>
      <c r="X5538">
        <v>0.98308890000000004</v>
      </c>
      <c r="Y5538">
        <v>2.9062000000000001E-2</v>
      </c>
      <c r="Z5538">
        <v>-3.6247040000000002E-4</v>
      </c>
      <c r="AA5538">
        <v>0.99957750000000001</v>
      </c>
      <c r="AB5538">
        <v>32</v>
      </c>
      <c r="AC5538">
        <v>62.563600000000001</v>
      </c>
      <c r="AD5538">
        <v>-1.118699571399</v>
      </c>
      <c r="AE5538">
        <v>-1.7556099999999899</v>
      </c>
      <c r="AF5538">
        <v>1.8230253711639499</v>
      </c>
      <c r="AG5538">
        <v>-1.118699571399</v>
      </c>
      <c r="AH5538">
        <v>62.5416741975028</v>
      </c>
      <c r="AI5538">
        <v>91.024320596480905</v>
      </c>
      <c r="AJ5538">
        <v>88.330359824213403</v>
      </c>
      <c r="AK5538">
        <v>62.578238403310401</v>
      </c>
      <c r="AL5538">
        <v>79.487613131915296</v>
      </c>
      <c r="AM5538">
        <v>89.080441302503601</v>
      </c>
      <c r="AN5538">
        <v>1.0000000399292699</v>
      </c>
    </row>
    <row r="5539" spans="1:40" x14ac:dyDescent="0.25">
      <c r="A5539" t="str">
        <f>"20190303171124191"</f>
        <v>20190303171124191</v>
      </c>
      <c r="B5539" t="str">
        <f>"1551604284186112"</f>
        <v>1551604284186112</v>
      </c>
      <c r="C5539" t="s">
        <v>40</v>
      </c>
      <c r="D5539">
        <v>4.772678</v>
      </c>
      <c r="E5539">
        <v>0.50627690000000003</v>
      </c>
      <c r="F5539" t="s">
        <v>68</v>
      </c>
      <c r="G5539">
        <v>-193.09569999999999</v>
      </c>
      <c r="H5539" s="1">
        <v>-8.8213509999999992E-6</v>
      </c>
      <c r="I5539">
        <v>-64.888440000000003</v>
      </c>
      <c r="J5539">
        <v>-253.7715</v>
      </c>
      <c r="K5539">
        <v>1.1186969999999901</v>
      </c>
      <c r="L5539">
        <v>-63.147460000000002</v>
      </c>
      <c r="M5539">
        <v>0.99998030000000004</v>
      </c>
      <c r="N5539">
        <v>-6.3012859999999997E-3</v>
      </c>
      <c r="O5539">
        <v>1.4598169999999999E-4</v>
      </c>
      <c r="P5539">
        <v>0.9841974</v>
      </c>
      <c r="Q5539">
        <v>0.17642650000000001</v>
      </c>
      <c r="R5539">
        <v>-1.5155729999999999E-2</v>
      </c>
      <c r="S5539">
        <v>3.0569000000000002</v>
      </c>
      <c r="T5539">
        <v>-5.6199190000000003E-2</v>
      </c>
      <c r="U5539">
        <v>-8.7493899999999999E-2</v>
      </c>
      <c r="V5539">
        <v>1.5986400000000001E-2</v>
      </c>
      <c r="W5539">
        <v>0.1825658</v>
      </c>
      <c r="X5539">
        <v>0.98306360000000004</v>
      </c>
      <c r="Y5539">
        <v>2.8749449999999999E-2</v>
      </c>
      <c r="Z5539">
        <v>-3.5656620000000001E-4</v>
      </c>
      <c r="AA5539">
        <v>0.99958659999999999</v>
      </c>
      <c r="AB5539">
        <v>32</v>
      </c>
      <c r="AC5539">
        <v>60.675800000000002</v>
      </c>
      <c r="AD5539">
        <v>-1.1187058213509999</v>
      </c>
      <c r="AE5539">
        <v>-1.74098</v>
      </c>
      <c r="AF5539">
        <v>1.7492435656345999</v>
      </c>
      <c r="AG5539">
        <v>-1.1187058213509999</v>
      </c>
      <c r="AH5539">
        <v>60.654943188456897</v>
      </c>
      <c r="AI5539">
        <v>91.056191349919402</v>
      </c>
      <c r="AJ5539">
        <v>88.348090087332807</v>
      </c>
      <c r="AK5539">
        <v>60.690472802257602</v>
      </c>
      <c r="AL5539">
        <v>79.480753146521195</v>
      </c>
      <c r="AM5539">
        <v>89.068348658061296</v>
      </c>
      <c r="AN5539">
        <v>0.99999993897977801</v>
      </c>
    </row>
    <row r="5540" spans="1:40" x14ac:dyDescent="0.25">
      <c r="A5540" t="str">
        <f>"20190303171124203"</f>
        <v>20190303171124203</v>
      </c>
      <c r="B5540" t="str">
        <f>"1551604284195872"</f>
        <v>1551604284195872</v>
      </c>
      <c r="C5540" t="s">
        <v>40</v>
      </c>
      <c r="D5540">
        <v>4.5316219999999996</v>
      </c>
      <c r="E5540">
        <v>0.50627690000000003</v>
      </c>
      <c r="F5540" t="s">
        <v>68</v>
      </c>
      <c r="G5540">
        <v>-192.01859999999999</v>
      </c>
      <c r="H5540" s="1">
        <v>-9.2824680000000005E-6</v>
      </c>
      <c r="I5540">
        <v>-64.778109999999998</v>
      </c>
      <c r="J5540">
        <v>-253.60820000000001</v>
      </c>
      <c r="K5540">
        <v>1.1187049999999901</v>
      </c>
      <c r="L5540">
        <v>-63.148220000000002</v>
      </c>
      <c r="M5540">
        <v>0.99997970000000003</v>
      </c>
      <c r="N5540">
        <v>-6.3500259999999999E-3</v>
      </c>
      <c r="O5540">
        <v>-7.2899649999999896E-4</v>
      </c>
      <c r="P5540">
        <v>0.98416939999999997</v>
      </c>
      <c r="Q5540">
        <v>0.176479</v>
      </c>
      <c r="R5540">
        <v>-1.630825E-2</v>
      </c>
      <c r="S5540">
        <v>3.056854</v>
      </c>
      <c r="T5540">
        <v>-5.537748E-2</v>
      </c>
      <c r="U5540">
        <v>-8.0718990000000004E-2</v>
      </c>
      <c r="V5540">
        <v>1.6277590000000002E-2</v>
      </c>
      <c r="W5540">
        <v>0.1826652</v>
      </c>
      <c r="X5540">
        <v>0.98304040000000004</v>
      </c>
      <c r="Y5540">
        <v>2.5662310000000001E-2</v>
      </c>
      <c r="Z5540">
        <v>-3.0531500000000001E-4</v>
      </c>
      <c r="AA5540">
        <v>0.99967059999999996</v>
      </c>
      <c r="AB5540">
        <v>32</v>
      </c>
      <c r="AC5540">
        <v>61.589599999999997</v>
      </c>
      <c r="AD5540">
        <v>-1.1187142824680001</v>
      </c>
      <c r="AE5540">
        <v>-1.6298900000000001</v>
      </c>
      <c r="AF5540">
        <v>1.58446766480469</v>
      </c>
      <c r="AG5540">
        <v>-1.1187142824680001</v>
      </c>
      <c r="AH5540">
        <v>61.570472028704899</v>
      </c>
      <c r="AI5540">
        <v>91.040585620420799</v>
      </c>
      <c r="AJ5540">
        <v>88.525863542551903</v>
      </c>
      <c r="AK5540">
        <v>61.6010152941016</v>
      </c>
      <c r="AL5540">
        <v>79.474960993567706</v>
      </c>
      <c r="AM5540">
        <v>89.0513594512434</v>
      </c>
      <c r="AN5540">
        <v>0.99999998162970305</v>
      </c>
    </row>
    <row r="5541" spans="1:40" x14ac:dyDescent="0.25">
      <c r="A5541" t="str">
        <f>"20190303171124213"</f>
        <v>20190303171124213</v>
      </c>
      <c r="B5541" t="str">
        <f>"1551604284206609"</f>
        <v>1551604284206609</v>
      </c>
      <c r="C5541" t="s">
        <v>40</v>
      </c>
      <c r="D5541">
        <v>7.9598750000000003</v>
      </c>
      <c r="E5541">
        <v>0.50627690000000003</v>
      </c>
      <c r="F5541" t="s">
        <v>68</v>
      </c>
      <c r="G5541">
        <v>-191.6942</v>
      </c>
      <c r="H5541" s="1">
        <v>-9.4303039999999994E-6</v>
      </c>
      <c r="I5541">
        <v>-64.846819999999994</v>
      </c>
      <c r="J5541">
        <v>-253.4503</v>
      </c>
      <c r="K5541">
        <v>1.1187119999999999</v>
      </c>
      <c r="L5541">
        <v>-63.149050000000003</v>
      </c>
      <c r="M5541">
        <v>0.99997840000000005</v>
      </c>
      <c r="N5541">
        <v>-6.3966120000000003E-3</v>
      </c>
      <c r="O5541">
        <v>-1.57141299999999E-3</v>
      </c>
      <c r="P5541">
        <v>0.98411599999999999</v>
      </c>
      <c r="Q5541">
        <v>0.17669309999999999</v>
      </c>
      <c r="R5541">
        <v>-1.7188809999999999E-2</v>
      </c>
      <c r="S5541">
        <v>3.0567929999999999</v>
      </c>
      <c r="T5541">
        <v>-5.5232759999999999E-2</v>
      </c>
      <c r="U5541">
        <v>-8.3862300000000001E-2</v>
      </c>
      <c r="V5541">
        <v>1.6328949999999998E-2</v>
      </c>
      <c r="W5541">
        <v>0.1829249</v>
      </c>
      <c r="X5541">
        <v>0.98299130000000001</v>
      </c>
      <c r="Y5541">
        <v>2.584792E-2</v>
      </c>
      <c r="Z5541">
        <v>-2.9781700000000003E-4</v>
      </c>
      <c r="AA5541">
        <v>0.9996659</v>
      </c>
      <c r="AB5541">
        <v>33</v>
      </c>
      <c r="AC5541">
        <v>61.756100000000004</v>
      </c>
      <c r="AD5541">
        <v>-1.1187214303039901</v>
      </c>
      <c r="AE5541">
        <v>-1.69776999999999</v>
      </c>
      <c r="AF5541">
        <v>1.6001968667098101</v>
      </c>
      <c r="AG5541">
        <v>-1.1187214303039901</v>
      </c>
      <c r="AH5541">
        <v>61.738446980261003</v>
      </c>
      <c r="AI5541">
        <v>91.0377567475945</v>
      </c>
      <c r="AJ5541">
        <v>88.515284905891306</v>
      </c>
      <c r="AK5541">
        <v>61.769312795152203</v>
      </c>
      <c r="AL5541">
        <v>79.459826734867505</v>
      </c>
      <c r="AM5541">
        <v>89.048319269980595</v>
      </c>
      <c r="AN5541">
        <v>1.0000000247619001</v>
      </c>
    </row>
    <row r="5542" spans="1:40" x14ac:dyDescent="0.25">
      <c r="A5542" t="str">
        <f>"20190303171124224"</f>
        <v>20190303171124224</v>
      </c>
      <c r="B5542" t="str">
        <f>"1551604284216368"</f>
        <v>1551604284216368</v>
      </c>
      <c r="C5542" t="s">
        <v>40</v>
      </c>
      <c r="D5542">
        <v>5.0457859999999997</v>
      </c>
      <c r="E5542">
        <v>0.50627690000000003</v>
      </c>
      <c r="F5542" t="s">
        <v>68</v>
      </c>
      <c r="G5542">
        <v>-190.8073</v>
      </c>
      <c r="H5542" s="1">
        <v>-9.8240930000000005E-6</v>
      </c>
      <c r="I5542">
        <v>-64.916460000000001</v>
      </c>
      <c r="J5542">
        <v>-253.30019999999999</v>
      </c>
      <c r="K5542">
        <v>1.118722</v>
      </c>
      <c r="L5542">
        <v>-63.149990000000003</v>
      </c>
      <c r="M5542">
        <v>0.99997650000000005</v>
      </c>
      <c r="N5542">
        <v>-6.4410219999999898E-3</v>
      </c>
      <c r="O5542">
        <v>-2.3649330000000001E-3</v>
      </c>
      <c r="P5542">
        <v>0.98403169999999995</v>
      </c>
      <c r="Q5542">
        <v>0.1770755</v>
      </c>
      <c r="R5542">
        <v>-1.8065660000000001E-2</v>
      </c>
      <c r="S5542">
        <v>3.0567319999999998</v>
      </c>
      <c r="T5542">
        <v>-5.4589270000000002E-2</v>
      </c>
      <c r="U5542">
        <v>-8.6242680000000002E-2</v>
      </c>
      <c r="V5542">
        <v>1.6425180000000001E-2</v>
      </c>
      <c r="W5542">
        <v>0.18335009999999999</v>
      </c>
      <c r="X5542">
        <v>0.98291050000000002</v>
      </c>
      <c r="Y5542">
        <v>2.583322E-2</v>
      </c>
      <c r="Z5542">
        <v>-2.8683890000000002E-4</v>
      </c>
      <c r="AA5542">
        <v>0.99966619999999995</v>
      </c>
      <c r="AB5542">
        <v>33</v>
      </c>
      <c r="AC5542">
        <v>62.492899999999899</v>
      </c>
      <c r="AD5542">
        <v>-1.118731824093</v>
      </c>
      <c r="AE5542">
        <v>-1.76646999999999</v>
      </c>
      <c r="AF5542">
        <v>1.6181523194601199</v>
      </c>
      <c r="AG5542">
        <v>-1.118731824093</v>
      </c>
      <c r="AH5542">
        <v>62.476896767939898</v>
      </c>
      <c r="AI5542">
        <v>91.025503577404294</v>
      </c>
      <c r="AJ5542">
        <v>88.516370360418705</v>
      </c>
      <c r="AK5542">
        <v>62.507860366317303</v>
      </c>
      <c r="AL5542">
        <v>79.435045703802501</v>
      </c>
      <c r="AM5542">
        <v>89.042633173141894</v>
      </c>
      <c r="AN5542">
        <v>1.00000004835914</v>
      </c>
    </row>
    <row r="5543" spans="1:40" x14ac:dyDescent="0.25">
      <c r="A5543" t="str">
        <f>"20190303171124233"</f>
        <v>20190303171124233</v>
      </c>
      <c r="B5543" t="str">
        <f>"1551604284226129"</f>
        <v>1551604284226129</v>
      </c>
      <c r="C5543" t="s">
        <v>40</v>
      </c>
      <c r="D5543">
        <v>4.9988780000000004</v>
      </c>
      <c r="E5543">
        <v>0.37633529999999998</v>
      </c>
      <c r="F5543" t="s">
        <v>68</v>
      </c>
      <c r="G5543">
        <v>-189.2895</v>
      </c>
      <c r="H5543" s="1">
        <v>-9.5362649999999997E-6</v>
      </c>
      <c r="I5543">
        <v>-65.006519999999995</v>
      </c>
      <c r="J5543">
        <v>-253.14400000000001</v>
      </c>
      <c r="K5543">
        <v>1.118733</v>
      </c>
      <c r="L5543">
        <v>-63.151090000000003</v>
      </c>
      <c r="M5543">
        <v>0.99997389999999997</v>
      </c>
      <c r="N5543">
        <v>-6.4873469999999897E-3</v>
      </c>
      <c r="O5543">
        <v>-3.1889750000000001E-3</v>
      </c>
      <c r="P5543">
        <v>0.98396340000000004</v>
      </c>
      <c r="Q5543">
        <v>0.177339</v>
      </c>
      <c r="R5543">
        <v>-1.91583E-2</v>
      </c>
      <c r="S5543">
        <v>3.0566559999999998</v>
      </c>
      <c r="T5543">
        <v>-5.3421969999999999E-2</v>
      </c>
      <c r="U5543">
        <v>-8.8653560000000006E-2</v>
      </c>
      <c r="V5543">
        <v>1.670686E-2</v>
      </c>
      <c r="W5543">
        <v>0.1836576</v>
      </c>
      <c r="X5543">
        <v>0.98284830000000001</v>
      </c>
      <c r="Y5543">
        <v>2.5798209999999999E-2</v>
      </c>
      <c r="Z5543">
        <v>-2.7404989999999999E-4</v>
      </c>
      <c r="AA5543">
        <v>0.99966710000000003</v>
      </c>
      <c r="AB5543">
        <v>33</v>
      </c>
      <c r="AC5543">
        <v>63.854500000000002</v>
      </c>
      <c r="AD5543">
        <v>-1.1187425362649901</v>
      </c>
      <c r="AE5543">
        <v>-1.8554299999999899</v>
      </c>
      <c r="AF5543">
        <v>1.6512794377014299</v>
      </c>
      <c r="AG5543">
        <v>-1.1187425362649901</v>
      </c>
      <c r="AH5543">
        <v>63.840512594536001</v>
      </c>
      <c r="AI5543">
        <v>91.003614129869703</v>
      </c>
      <c r="AJ5543">
        <v>88.518335022921093</v>
      </c>
      <c r="AK5543">
        <v>63.871663176849701</v>
      </c>
      <c r="AL5543">
        <v>79.417122462574696</v>
      </c>
      <c r="AM5543">
        <v>89.026156542446003</v>
      </c>
      <c r="AN5543">
        <v>1.0000000070108499</v>
      </c>
    </row>
    <row r="5544" spans="1:40" x14ac:dyDescent="0.25">
      <c r="A5544" t="str">
        <f>"20190303171124245"</f>
        <v>20190303171124245</v>
      </c>
      <c r="B5544" t="str">
        <f>"1551604284235889"</f>
        <v>1551604284235889</v>
      </c>
      <c r="C5544" t="s">
        <v>40</v>
      </c>
      <c r="D5544">
        <v>4.8745250000000002</v>
      </c>
      <c r="E5544">
        <v>0.37633529999999998</v>
      </c>
      <c r="F5544" t="s">
        <v>106</v>
      </c>
      <c r="G5544">
        <v>-233.0925</v>
      </c>
      <c r="H5544" s="1">
        <v>-9.3552629999999999E-7</v>
      </c>
      <c r="I5544">
        <v>-57.016219999999997</v>
      </c>
      <c r="J5544">
        <v>-252.98099999999999</v>
      </c>
      <c r="K5544">
        <v>1.118744</v>
      </c>
      <c r="L5544">
        <v>-63.1524</v>
      </c>
      <c r="M5544">
        <v>0.99997049999999998</v>
      </c>
      <c r="N5544">
        <v>-6.5366080000000002E-3</v>
      </c>
      <c r="O5544">
        <v>-4.036609E-3</v>
      </c>
      <c r="P5544">
        <v>0.98389340000000003</v>
      </c>
      <c r="Q5544">
        <v>0.17764949999999999</v>
      </c>
      <c r="R5544">
        <v>-1.9863329999999998E-2</v>
      </c>
      <c r="S5544">
        <v>3.0985109999999998</v>
      </c>
      <c r="T5544">
        <v>-0.17287539999999901</v>
      </c>
      <c r="U5544">
        <v>0.94799800000000001</v>
      </c>
      <c r="V5544">
        <v>1.6576819999999999E-2</v>
      </c>
      <c r="W5544">
        <v>0.18401709999999999</v>
      </c>
      <c r="X5544">
        <v>0.98278330000000003</v>
      </c>
      <c r="Y5544">
        <v>-0.29594520000000002</v>
      </c>
      <c r="Z5544">
        <v>9.2492600000000005E-3</v>
      </c>
      <c r="AA5544">
        <v>0.95516009999999996</v>
      </c>
      <c r="AB5544">
        <v>33</v>
      </c>
      <c r="AC5544">
        <v>19.888500000000001</v>
      </c>
      <c r="AD5544">
        <v>-1.1187449355262999</v>
      </c>
      <c r="AE5544">
        <v>6.1361800000000004</v>
      </c>
      <c r="AF5544">
        <v>-6.1985054686841599</v>
      </c>
      <c r="AG5544">
        <v>-1.1187449355262999</v>
      </c>
      <c r="AH5544">
        <v>19.8063447701714</v>
      </c>
      <c r="AI5544">
        <v>93.085600574882704</v>
      </c>
      <c r="AJ5544">
        <v>107.377800344487</v>
      </c>
      <c r="AK5544">
        <v>20.783752149960101</v>
      </c>
      <c r="AL5544">
        <v>79.3961679422098</v>
      </c>
      <c r="AM5544">
        <v>89.033671240463093</v>
      </c>
      <c r="AN5544">
        <v>1.0000000494062999</v>
      </c>
    </row>
    <row r="5545" spans="1:40" x14ac:dyDescent="0.25">
      <c r="A5545" t="str">
        <f>"20190303171124256"</f>
        <v>20190303171124256</v>
      </c>
      <c r="B5545" t="str">
        <f>"1551604284246624"</f>
        <v>1551604284246624</v>
      </c>
      <c r="C5545" t="s">
        <v>40</v>
      </c>
      <c r="D5545">
        <v>4.9461789999999999</v>
      </c>
      <c r="E5545">
        <v>0.3885998</v>
      </c>
      <c r="F5545" t="s">
        <v>106</v>
      </c>
      <c r="G5545">
        <v>-232.75729999999999</v>
      </c>
      <c r="H5545" s="1">
        <v>-8.3156949999999895E-7</v>
      </c>
      <c r="I5545">
        <v>-56.978270000000002</v>
      </c>
      <c r="J5545">
        <v>-252.82239999999999</v>
      </c>
      <c r="K5545">
        <v>1.1187549999999999</v>
      </c>
      <c r="L5545">
        <v>-63.153689999999997</v>
      </c>
      <c r="M5545">
        <v>0.99996649999999998</v>
      </c>
      <c r="N5545">
        <v>-6.5847519999999897E-3</v>
      </c>
      <c r="O5545">
        <v>-4.8592000000000002E-3</v>
      </c>
      <c r="P5545">
        <v>0.98384830000000001</v>
      </c>
      <c r="Q5545">
        <v>0.177781299999999</v>
      </c>
      <c r="R5545">
        <v>-2.088775E-2</v>
      </c>
      <c r="S5545">
        <v>3.0991520000000001</v>
      </c>
      <c r="T5545">
        <v>-0.1714405</v>
      </c>
      <c r="U5545">
        <v>0.94613650000000005</v>
      </c>
      <c r="V5545">
        <v>1.6789910000000002E-2</v>
      </c>
      <c r="W5545">
        <v>0.18419569999999999</v>
      </c>
      <c r="X5545">
        <v>0.98274620000000001</v>
      </c>
      <c r="Y5545">
        <v>-0.2961568</v>
      </c>
      <c r="Z5545">
        <v>9.2322749999999999E-3</v>
      </c>
      <c r="AA5545">
        <v>0.95509469999999996</v>
      </c>
      <c r="AB5545">
        <v>33</v>
      </c>
      <c r="AC5545">
        <v>20.065100000000001</v>
      </c>
      <c r="AD5545">
        <v>-1.1187558315695001</v>
      </c>
      <c r="AE5545">
        <v>6.1754200000000097</v>
      </c>
      <c r="AF5545">
        <v>-6.2550864912259803</v>
      </c>
      <c r="AG5545">
        <v>-1.1187558315695001</v>
      </c>
      <c r="AH5545">
        <v>19.978121449196099</v>
      </c>
      <c r="AI5545">
        <v>93.059027207250907</v>
      </c>
      <c r="AJ5545">
        <v>107.385172836058</v>
      </c>
      <c r="AK5545">
        <v>20.964328233029999</v>
      </c>
      <c r="AL5545">
        <v>79.385756695512498</v>
      </c>
      <c r="AM5545">
        <v>89.021214836136195</v>
      </c>
      <c r="AN5545">
        <v>1.00000002529536</v>
      </c>
    </row>
    <row r="5546" spans="1:40" x14ac:dyDescent="0.25">
      <c r="A5546" t="str">
        <f>"20190303171124267"</f>
        <v>20190303171124267</v>
      </c>
      <c r="B5546" t="str">
        <f>"1551604284256385"</f>
        <v>1551604284256385</v>
      </c>
      <c r="C5546" t="s">
        <v>40</v>
      </c>
      <c r="D5546">
        <v>5.1257919999999997</v>
      </c>
      <c r="E5546">
        <v>0.39363920000000002</v>
      </c>
      <c r="F5546" t="s">
        <v>49</v>
      </c>
      <c r="G5546">
        <v>-168.45060000000001</v>
      </c>
      <c r="H5546">
        <v>6.5732649999999904</v>
      </c>
      <c r="I5546">
        <v>-39.904780000000002</v>
      </c>
      <c r="J5546">
        <v>-252.6574</v>
      </c>
      <c r="K5546">
        <v>1.1187670000000001</v>
      </c>
      <c r="L5546">
        <v>-63.155270000000002</v>
      </c>
      <c r="M5546">
        <v>0.99996189999999996</v>
      </c>
      <c r="N5546">
        <v>-6.6354680000000003E-3</v>
      </c>
      <c r="O5546">
        <v>-5.6989379999999997E-3</v>
      </c>
      <c r="P5546">
        <v>0.98381269999999998</v>
      </c>
      <c r="Q5546">
        <v>0.17788579999999901</v>
      </c>
      <c r="R5546">
        <v>-2.1666899999999999E-2</v>
      </c>
      <c r="S5546">
        <v>3.0315699999999999</v>
      </c>
      <c r="T5546">
        <v>0.19598560000000001</v>
      </c>
      <c r="U5546">
        <v>0.83535769999999998</v>
      </c>
      <c r="V5546">
        <v>1.6739629999999998E-2</v>
      </c>
      <c r="W5546">
        <v>0.18435029999999999</v>
      </c>
      <c r="X5546">
        <v>0.98271810000000004</v>
      </c>
      <c r="Y5546">
        <v>-0.27066000000000001</v>
      </c>
      <c r="Z5546">
        <v>-8.0635969999999901E-3</v>
      </c>
      <c r="AA5546">
        <v>0.96264119999999997</v>
      </c>
      <c r="AB5546">
        <v>33</v>
      </c>
      <c r="AC5546">
        <v>84.206799999999902</v>
      </c>
      <c r="AD5546">
        <v>5.4544979999999903</v>
      </c>
      <c r="AE5546">
        <v>23.2504899999999</v>
      </c>
      <c r="AF5546">
        <v>-23.6378580350578</v>
      </c>
      <c r="AG5546">
        <v>5.4544979999999903</v>
      </c>
      <c r="AH5546">
        <v>83.746433888126006</v>
      </c>
      <c r="AI5546">
        <v>86.413274236581898</v>
      </c>
      <c r="AJ5546">
        <v>105.76199042001601</v>
      </c>
      <c r="AK5546">
        <v>87.189248591186995</v>
      </c>
      <c r="AL5546">
        <v>79.376744766213406</v>
      </c>
      <c r="AM5546">
        <v>89.024117494708804</v>
      </c>
      <c r="AN5546">
        <v>1.0000000561951099</v>
      </c>
    </row>
    <row r="5547" spans="1:40" x14ac:dyDescent="0.25">
      <c r="A5547" t="str">
        <f>"20190303171124278"</f>
        <v>20190303171124278</v>
      </c>
      <c r="B5547" t="str">
        <f>"1551604284275904"</f>
        <v>1551604284275904</v>
      </c>
      <c r="C5547" t="s">
        <v>40</v>
      </c>
      <c r="D5547">
        <v>4.8391719999999996</v>
      </c>
      <c r="E5547">
        <v>0.4016169</v>
      </c>
      <c r="F5547" t="s">
        <v>49</v>
      </c>
      <c r="G5547">
        <v>-169.244</v>
      </c>
      <c r="H5547">
        <v>6.8467039999999901</v>
      </c>
      <c r="I5547">
        <v>-41.331380000000003</v>
      </c>
      <c r="J5547">
        <v>-252.49270000000001</v>
      </c>
      <c r="K5547">
        <v>1.118776</v>
      </c>
      <c r="L5547">
        <v>-63.156950000000002</v>
      </c>
      <c r="M5547">
        <v>0.99995639999999997</v>
      </c>
      <c r="N5547">
        <v>-6.6855899999999999E-3</v>
      </c>
      <c r="O5547">
        <v>-6.5341380000000001E-3</v>
      </c>
      <c r="P5547">
        <v>0.98382340000000001</v>
      </c>
      <c r="Q5547">
        <v>0.17767359999999999</v>
      </c>
      <c r="R5547">
        <v>-2.288567E-2</v>
      </c>
      <c r="S5547">
        <v>3.0291899999999998</v>
      </c>
      <c r="T5547">
        <v>0.20801120000000001</v>
      </c>
      <c r="U5547">
        <v>0.79254150000000001</v>
      </c>
      <c r="V5547">
        <v>1.7132120000000001E-2</v>
      </c>
      <c r="W5547">
        <v>0.18418670000000001</v>
      </c>
      <c r="X5547">
        <v>0.982742</v>
      </c>
      <c r="Y5547">
        <v>-0.2589012</v>
      </c>
      <c r="Z5547">
        <v>-8.3354409999999903E-3</v>
      </c>
      <c r="AA5547">
        <v>0.96586780000000005</v>
      </c>
      <c r="AB5547">
        <v>33</v>
      </c>
      <c r="AC5547">
        <v>83.2486999999999</v>
      </c>
      <c r="AD5547">
        <v>5.7279279999999897</v>
      </c>
      <c r="AE5547">
        <v>21.825569999999999</v>
      </c>
      <c r="AF5547">
        <v>-22.270424275651202</v>
      </c>
      <c r="AG5547">
        <v>5.7279279999999897</v>
      </c>
      <c r="AH5547">
        <v>82.737808050168198</v>
      </c>
      <c r="AI5547">
        <v>86.175439064623504</v>
      </c>
      <c r="AJ5547">
        <v>105.06516960424899</v>
      </c>
      <c r="AK5547">
        <v>85.873894971272705</v>
      </c>
      <c r="AL5547">
        <v>79.386281537665894</v>
      </c>
      <c r="AM5547">
        <v>89.001265083320305</v>
      </c>
      <c r="AN5547">
        <v>1.0000000442782899</v>
      </c>
    </row>
    <row r="5548" spans="1:40" x14ac:dyDescent="0.25">
      <c r="A5548" t="str">
        <f>"20190303171124290"</f>
        <v>20190303171124290</v>
      </c>
      <c r="B5548" t="str">
        <f>"1551604284286640"</f>
        <v>1551604284286640</v>
      </c>
      <c r="C5548" t="s">
        <v>40</v>
      </c>
      <c r="D5548">
        <v>4.8375579999999996</v>
      </c>
      <c r="E5548">
        <v>0.40298640000000002</v>
      </c>
      <c r="F5548" t="s">
        <v>49</v>
      </c>
      <c r="G5548">
        <v>-157.3501</v>
      </c>
      <c r="H5548">
        <v>5.5004619999999997</v>
      </c>
      <c r="I5548">
        <v>-40.405929999999998</v>
      </c>
      <c r="J5548">
        <v>-252.32239999999999</v>
      </c>
      <c r="K5548">
        <v>1.1187910000000001</v>
      </c>
      <c r="L5548">
        <v>-63.158839999999998</v>
      </c>
      <c r="M5548">
        <v>0.99995020000000001</v>
      </c>
      <c r="N5548">
        <v>-6.7354399999999997E-3</v>
      </c>
      <c r="O5548">
        <v>-7.3840980000000004E-3</v>
      </c>
      <c r="P5548">
        <v>0.98381200000000002</v>
      </c>
      <c r="Q5548">
        <v>0.17762240000000001</v>
      </c>
      <c r="R5548">
        <v>-2.3763260000000001E-2</v>
      </c>
      <c r="S5548">
        <v>3.0409700000000002</v>
      </c>
      <c r="T5548">
        <v>0.14004759999999999</v>
      </c>
      <c r="U5548">
        <v>0.72717290000000001</v>
      </c>
      <c r="V5548">
        <v>1.716846E-2</v>
      </c>
      <c r="W5548">
        <v>0.1841844</v>
      </c>
      <c r="X5548">
        <v>0.9827418</v>
      </c>
      <c r="Y5548">
        <v>-0.23953050000000001</v>
      </c>
      <c r="Z5548">
        <v>-5.0021930000000003E-3</v>
      </c>
      <c r="AA5548">
        <v>0.97087590000000001</v>
      </c>
      <c r="AB5548">
        <v>33</v>
      </c>
      <c r="AC5548">
        <v>94.972300000000004</v>
      </c>
      <c r="AD5548">
        <v>4.3816709999999999</v>
      </c>
      <c r="AE5548">
        <v>22.75291</v>
      </c>
      <c r="AF5548">
        <v>-23.406472546365499</v>
      </c>
      <c r="AG5548">
        <v>4.3816709999999999</v>
      </c>
      <c r="AH5548">
        <v>94.611242862151101</v>
      </c>
      <c r="AI5548">
        <v>87.425886533927198</v>
      </c>
      <c r="AJ5548">
        <v>103.895752653714</v>
      </c>
      <c r="AK5548">
        <v>97.562027827105695</v>
      </c>
      <c r="AL5548">
        <v>79.386415644683396</v>
      </c>
      <c r="AM5548">
        <v>88.999146831703698</v>
      </c>
      <c r="AN5548">
        <v>1.00000004734468</v>
      </c>
    </row>
    <row r="5549" spans="1:40" x14ac:dyDescent="0.25">
      <c r="A5549" t="str">
        <f>"20190303171124302"</f>
        <v>20190303171124302</v>
      </c>
      <c r="B5549" t="str">
        <f>"1551604284296400"</f>
        <v>1551604284296400</v>
      </c>
      <c r="C5549" t="s">
        <v>40</v>
      </c>
      <c r="D5549">
        <v>4.8101820000000002</v>
      </c>
      <c r="E5549">
        <v>0.40399049999999997</v>
      </c>
      <c r="F5549" t="s">
        <v>49</v>
      </c>
      <c r="G5549">
        <v>-157.3501</v>
      </c>
      <c r="H5549">
        <v>4.9268029999999996</v>
      </c>
      <c r="I5549">
        <v>-40.88082</v>
      </c>
      <c r="J5549">
        <v>-252.15270000000001</v>
      </c>
      <c r="K5549">
        <v>1.1188049999999901</v>
      </c>
      <c r="L5549">
        <v>-63.160800000000002</v>
      </c>
      <c r="M5549">
        <v>0.99994309999999997</v>
      </c>
      <c r="N5549">
        <v>-6.7845980000000002E-3</v>
      </c>
      <c r="O5549">
        <v>-8.2217680000000008E-3</v>
      </c>
      <c r="P5549">
        <v>0.98382349999999996</v>
      </c>
      <c r="Q5549">
        <v>0.17742060000000001</v>
      </c>
      <c r="R5549">
        <v>-2.4763239999999999E-2</v>
      </c>
      <c r="S5549">
        <v>3.044556</v>
      </c>
      <c r="T5549">
        <v>0.12207369999999999</v>
      </c>
      <c r="U5549">
        <v>0.71417240000000004</v>
      </c>
      <c r="V5549">
        <v>1.733842E-2</v>
      </c>
      <c r="W5549">
        <v>0.1840311</v>
      </c>
      <c r="X5549">
        <v>0.98276750000000002</v>
      </c>
      <c r="Y5549">
        <v>-0.2362147</v>
      </c>
      <c r="Z5549">
        <v>-4.2382749999999997E-3</v>
      </c>
      <c r="AA5549">
        <v>0.97169170000000005</v>
      </c>
      <c r="AB5549">
        <v>33</v>
      </c>
      <c r="AC5549">
        <v>94.802599999999998</v>
      </c>
      <c r="AD5549">
        <v>3.807998</v>
      </c>
      <c r="AE5549">
        <v>22.279979999999998</v>
      </c>
      <c r="AF5549">
        <v>-23.023487190428298</v>
      </c>
      <c r="AG5549">
        <v>3.807998</v>
      </c>
      <c r="AH5549">
        <v>94.471764010714494</v>
      </c>
      <c r="AI5549">
        <v>87.757322559177993</v>
      </c>
      <c r="AJ5549">
        <v>103.696424066657</v>
      </c>
      <c r="AK5549">
        <v>97.311335446966098</v>
      </c>
      <c r="AL5549">
        <v>79.3953514716152</v>
      </c>
      <c r="AM5549">
        <v>88.989267309309398</v>
      </c>
      <c r="AN5549">
        <v>1.00000001281577</v>
      </c>
    </row>
    <row r="5550" spans="1:40" x14ac:dyDescent="0.25">
      <c r="A5550" t="str">
        <f>"20190303171124312"</f>
        <v>20190303171124312</v>
      </c>
      <c r="B5550" t="str">
        <f>"1551604284306160"</f>
        <v>1551604284306160</v>
      </c>
      <c r="C5550" t="s">
        <v>40</v>
      </c>
      <c r="D5550">
        <v>4.8430460000000002</v>
      </c>
      <c r="E5550">
        <v>0.40545979999999998</v>
      </c>
      <c r="F5550" t="s">
        <v>49</v>
      </c>
      <c r="G5550">
        <v>-157.3501</v>
      </c>
      <c r="H5550">
        <v>4.6061649999999998</v>
      </c>
      <c r="I5550">
        <v>-41.271419999999999</v>
      </c>
      <c r="J5550">
        <v>-251.98349999999999</v>
      </c>
      <c r="K5550">
        <v>1.1188229999999999</v>
      </c>
      <c r="L5550">
        <v>-63.162930000000003</v>
      </c>
      <c r="M5550">
        <v>0.99993569999999998</v>
      </c>
      <c r="N5550">
        <v>-6.8331019999999998E-3</v>
      </c>
      <c r="O5550">
        <v>-9.0481009999999994E-3</v>
      </c>
      <c r="P5550">
        <v>0.98382959999999997</v>
      </c>
      <c r="Q5550">
        <v>0.1772358</v>
      </c>
      <c r="R5550">
        <v>-2.5820329999999999E-2</v>
      </c>
      <c r="S5550">
        <v>3.0468139999999999</v>
      </c>
      <c r="T5550">
        <v>0.112078</v>
      </c>
      <c r="U5550">
        <v>0.70349119999999998</v>
      </c>
      <c r="V5550">
        <v>1.7576629999999999E-2</v>
      </c>
      <c r="W5550">
        <v>0.1838938</v>
      </c>
      <c r="X5550">
        <v>0.98278900000000002</v>
      </c>
      <c r="Y5550">
        <v>-0.23365279999999999</v>
      </c>
      <c r="Z5550">
        <v>-3.8209239999999998E-3</v>
      </c>
      <c r="AA5550">
        <v>0.97231259999999997</v>
      </c>
      <c r="AB5550">
        <v>33</v>
      </c>
      <c r="AC5550">
        <v>94.633399999999995</v>
      </c>
      <c r="AD5550">
        <v>3.4873419999999999</v>
      </c>
      <c r="AE5550">
        <v>21.89151</v>
      </c>
      <c r="AF5550">
        <v>-22.7176029220972</v>
      </c>
      <c r="AG5550">
        <v>3.4873419999999999</v>
      </c>
      <c r="AH5550">
        <v>94.309877337826293</v>
      </c>
      <c r="AI5550">
        <v>87.941147805796206</v>
      </c>
      <c r="AJ5550">
        <v>103.543535620575</v>
      </c>
      <c r="AK5550">
        <v>97.070098383729302</v>
      </c>
      <c r="AL5550">
        <v>79.403355096400801</v>
      </c>
      <c r="AM5550">
        <v>88.975406352221597</v>
      </c>
      <c r="AN5550">
        <v>1.00000004306079</v>
      </c>
    </row>
    <row r="5551" spans="1:40" x14ac:dyDescent="0.25">
      <c r="A5551" t="str">
        <f>"20190303171124323"</f>
        <v>20190303171124323</v>
      </c>
      <c r="B5551" t="str">
        <f>"1551604284315920"</f>
        <v>1551604284315920</v>
      </c>
      <c r="C5551" t="s">
        <v>40</v>
      </c>
      <c r="D5551">
        <v>4.8395809999999999</v>
      </c>
      <c r="E5551">
        <v>0.4060588</v>
      </c>
      <c r="F5551" t="s">
        <v>46</v>
      </c>
      <c r="G5551">
        <v>-177.58760000000001</v>
      </c>
      <c r="H5551">
        <v>3.5989369999999998</v>
      </c>
      <c r="I5551">
        <v>-46.356250000000003</v>
      </c>
      <c r="J5551">
        <v>-251.82499999999999</v>
      </c>
      <c r="K5551">
        <v>1.1188359999999999</v>
      </c>
      <c r="L5551">
        <v>-63.165069999999901</v>
      </c>
      <c r="M5551">
        <v>0.99992820000000004</v>
      </c>
      <c r="N5551">
        <v>-6.8768750000000002E-3</v>
      </c>
      <c r="O5551">
        <v>-9.8088440000000006E-3</v>
      </c>
      <c r="P5551">
        <v>0.98375449999999998</v>
      </c>
      <c r="Q5551">
        <v>0.1775111</v>
      </c>
      <c r="R5551">
        <v>-2.6777530000000001E-2</v>
      </c>
      <c r="S5551">
        <v>3.0490719999999998</v>
      </c>
      <c r="T5551">
        <v>0.1016461</v>
      </c>
      <c r="U5551">
        <v>0.68881230000000004</v>
      </c>
      <c r="V5551">
        <v>1.7781640000000001E-2</v>
      </c>
      <c r="W5551">
        <v>0.1842116</v>
      </c>
      <c r="X5551">
        <v>0.98272570000000004</v>
      </c>
      <c r="Y5551">
        <v>-0.22981009999999999</v>
      </c>
      <c r="Z5551">
        <v>-3.3711879999999998E-3</v>
      </c>
      <c r="AA5551">
        <v>0.97322960000000003</v>
      </c>
      <c r="AB5551">
        <v>33</v>
      </c>
      <c r="AC5551">
        <v>74.237399999999894</v>
      </c>
      <c r="AD5551">
        <v>2.4801009999999999</v>
      </c>
      <c r="AE5551">
        <v>16.808819999999901</v>
      </c>
      <c r="AF5551">
        <v>-17.517614108823398</v>
      </c>
      <c r="AG5551">
        <v>2.4801009999999999</v>
      </c>
      <c r="AH5551">
        <v>73.990397654908804</v>
      </c>
      <c r="AI5551">
        <v>88.131815228405301</v>
      </c>
      <c r="AJ5551">
        <v>103.319818329814</v>
      </c>
      <c r="AK5551">
        <v>76.076255495176596</v>
      </c>
      <c r="AL5551">
        <v>79.384829033025895</v>
      </c>
      <c r="AM5551">
        <v>88.963391554607895</v>
      </c>
      <c r="AN5551">
        <v>0.99999995086806803</v>
      </c>
    </row>
    <row r="5552" spans="1:40" x14ac:dyDescent="0.25">
      <c r="A5552" t="str">
        <f>"20190303171124334"</f>
        <v>20190303171124334</v>
      </c>
      <c r="B5552" t="str">
        <f>"1551604284326657"</f>
        <v>1551604284326657</v>
      </c>
      <c r="C5552" t="s">
        <v>40</v>
      </c>
      <c r="D5552">
        <v>4.8244300000000004</v>
      </c>
      <c r="E5552">
        <v>0.4068407</v>
      </c>
      <c r="F5552" t="s">
        <v>49</v>
      </c>
      <c r="G5552">
        <v>-157.3501</v>
      </c>
      <c r="H5552">
        <v>4.1005260000000003</v>
      </c>
      <c r="I5552">
        <v>-42.061720000000001</v>
      </c>
      <c r="J5552">
        <v>-251.6669</v>
      </c>
      <c r="K5552">
        <v>1.118852</v>
      </c>
      <c r="L5552">
        <v>-63.16724</v>
      </c>
      <c r="M5552">
        <v>0.99992029999999998</v>
      </c>
      <c r="N5552">
        <v>-6.9199119999999899E-3</v>
      </c>
      <c r="O5552">
        <v>-1.0562780000000001E-2</v>
      </c>
      <c r="P5552">
        <v>0.98370829999999998</v>
      </c>
      <c r="Q5552">
        <v>0.1776161</v>
      </c>
      <c r="R5552">
        <v>-2.776383E-2</v>
      </c>
      <c r="S5552">
        <v>3.050735</v>
      </c>
      <c r="T5552">
        <v>9.6282359999999997E-2</v>
      </c>
      <c r="U5552">
        <v>0.68145749999999905</v>
      </c>
      <c r="V5552">
        <v>1.8021479999999999E-2</v>
      </c>
      <c r="W5552">
        <v>0.1843583</v>
      </c>
      <c r="X5552">
        <v>0.98269390000000001</v>
      </c>
      <c r="Y5552">
        <v>-0.22820789999999999</v>
      </c>
      <c r="Z5552">
        <v>-3.1586050000000001E-3</v>
      </c>
      <c r="AA5552">
        <v>0.97360729999999995</v>
      </c>
      <c r="AB5552">
        <v>33</v>
      </c>
      <c r="AC5552">
        <v>94.316800000000001</v>
      </c>
      <c r="AD5552">
        <v>2.9816739999999999</v>
      </c>
      <c r="AE5552">
        <v>21.105519999999999</v>
      </c>
      <c r="AF5552">
        <v>-22.079599718850901</v>
      </c>
      <c r="AG5552">
        <v>2.9816739999999999</v>
      </c>
      <c r="AH5552">
        <v>93.999136194566901</v>
      </c>
      <c r="AI5552">
        <v>88.231280771970802</v>
      </c>
      <c r="AJ5552">
        <v>103.218660737439</v>
      </c>
      <c r="AK5552">
        <v>96.603502570619597</v>
      </c>
      <c r="AL5552">
        <v>79.376278112204901</v>
      </c>
      <c r="AM5552">
        <v>88.949378831114103</v>
      </c>
      <c r="AN5552">
        <v>1.0000000288087401</v>
      </c>
    </row>
    <row r="5553" spans="1:40" x14ac:dyDescent="0.25">
      <c r="A5553" t="str">
        <f>"20190303171124346"</f>
        <v>20190303171124346</v>
      </c>
      <c r="B5553" t="str">
        <f>"1551604284336416"</f>
        <v>1551604284336416</v>
      </c>
      <c r="C5553" t="s">
        <v>40</v>
      </c>
      <c r="D5553">
        <v>4.8175280000000003</v>
      </c>
      <c r="E5553">
        <v>0.40761130000000001</v>
      </c>
      <c r="F5553" t="s">
        <v>49</v>
      </c>
      <c r="G5553">
        <v>-157.3501</v>
      </c>
      <c r="H5553">
        <v>3.9913270000000001</v>
      </c>
      <c r="I5553">
        <v>-42.384399999999999</v>
      </c>
      <c r="J5553">
        <v>-251.49879999999999</v>
      </c>
      <c r="K5553">
        <v>1.118868</v>
      </c>
      <c r="L5553">
        <v>-63.169739999999997</v>
      </c>
      <c r="M5553">
        <v>0.99991149999999995</v>
      </c>
      <c r="N5553">
        <v>-6.9624600000000002E-3</v>
      </c>
      <c r="O5553">
        <v>-1.134746E-2</v>
      </c>
      <c r="P5553">
        <v>0.98360950000000003</v>
      </c>
      <c r="Q5553">
        <v>0.17800829999999901</v>
      </c>
      <c r="R5553">
        <v>-2.8739259999999999E-2</v>
      </c>
      <c r="S5553">
        <v>3.0518800000000001</v>
      </c>
      <c r="T5553">
        <v>9.2946169999999995E-2</v>
      </c>
      <c r="U5553">
        <v>0.67248540000000001</v>
      </c>
      <c r="V5553">
        <v>1.8221069999999999E-2</v>
      </c>
      <c r="W5553">
        <v>0.18479180000000001</v>
      </c>
      <c r="X5553">
        <v>0.98260879999999995</v>
      </c>
      <c r="Y5553">
        <v>-0.22617290000000001</v>
      </c>
      <c r="Z5553">
        <v>-3.025219E-3</v>
      </c>
      <c r="AA5553">
        <v>0.97408249999999996</v>
      </c>
      <c r="AB5553">
        <v>33</v>
      </c>
      <c r="AC5553">
        <v>94.148700000000005</v>
      </c>
      <c r="AD5553">
        <v>2.8724590000000001</v>
      </c>
      <c r="AE5553">
        <v>20.785340000000001</v>
      </c>
      <c r="AF5553">
        <v>-21.832997355946699</v>
      </c>
      <c r="AG5553">
        <v>2.8724590000000001</v>
      </c>
      <c r="AH5553">
        <v>93.823494926293293</v>
      </c>
      <c r="AI5553">
        <v>88.292011830540005</v>
      </c>
      <c r="AJ5553">
        <v>103.099760257223</v>
      </c>
      <c r="AK5553">
        <v>96.373123817979703</v>
      </c>
      <c r="AL5553">
        <v>79.351006250451107</v>
      </c>
      <c r="AM5553">
        <v>88.937653753565897</v>
      </c>
      <c r="AN5553">
        <v>1.0000000352883101</v>
      </c>
    </row>
    <row r="5554" spans="1:40" x14ac:dyDescent="0.25">
      <c r="A5554" t="str">
        <f>"20190303171124356"</f>
        <v>20190303171124356</v>
      </c>
      <c r="B5554" t="str">
        <f>"1551604284346176"</f>
        <v>1551604284346176</v>
      </c>
      <c r="C5554" t="s">
        <v>40</v>
      </c>
      <c r="D5554">
        <v>4.8971629999999999</v>
      </c>
      <c r="E5554">
        <v>0.40836830000000002</v>
      </c>
      <c r="F5554" t="s">
        <v>49</v>
      </c>
      <c r="G5554">
        <v>-157.3501</v>
      </c>
      <c r="H5554">
        <v>3.9046090000000002</v>
      </c>
      <c r="I5554">
        <v>-42.702750000000002</v>
      </c>
      <c r="J5554">
        <v>-251.3356</v>
      </c>
      <c r="K5554">
        <v>1.118886</v>
      </c>
      <c r="L5554">
        <v>-63.17221</v>
      </c>
      <c r="M5554">
        <v>0.99990230000000002</v>
      </c>
      <c r="N5554">
        <v>-7.0030379999999996E-3</v>
      </c>
      <c r="O5554">
        <v>-1.210555E-2</v>
      </c>
      <c r="P5554">
        <v>0.98353520000000005</v>
      </c>
      <c r="Q5554">
        <v>0.1782619</v>
      </c>
      <c r="R5554">
        <v>-2.968581E-2</v>
      </c>
      <c r="S5554">
        <v>3.0530240000000002</v>
      </c>
      <c r="T5554">
        <v>9.0334419999999999E-2</v>
      </c>
      <c r="U5554">
        <v>0.66369630000000002</v>
      </c>
      <c r="V5554">
        <v>1.8417920000000001E-2</v>
      </c>
      <c r="W5554">
        <v>0.18508469999999999</v>
      </c>
      <c r="X5554">
        <v>0.98255000000000003</v>
      </c>
      <c r="Y5554">
        <v>-0.22416359999999999</v>
      </c>
      <c r="Z5554">
        <v>-2.9210849999999999E-3</v>
      </c>
      <c r="AA5554">
        <v>0.9745471</v>
      </c>
      <c r="AB5554">
        <v>33</v>
      </c>
      <c r="AC5554">
        <v>93.985500000000002</v>
      </c>
      <c r="AD5554">
        <v>2.7857229999999999</v>
      </c>
      <c r="AE5554">
        <v>20.469460000000002</v>
      </c>
      <c r="AF5554">
        <v>-21.587627578303799</v>
      </c>
      <c r="AG5554">
        <v>2.7857229999999999</v>
      </c>
      <c r="AH5554">
        <v>93.652262855247699</v>
      </c>
      <c r="AI5554">
        <v>88.3397294254098</v>
      </c>
      <c r="AJ5554">
        <v>102.98042379515201</v>
      </c>
      <c r="AK5554">
        <v>96.148490653783497</v>
      </c>
      <c r="AL5554">
        <v>79.333929738518506</v>
      </c>
      <c r="AM5554">
        <v>88.926115199441398</v>
      </c>
      <c r="AN5554">
        <v>1.0000000342255999</v>
      </c>
    </row>
    <row r="5555" spans="1:40" x14ac:dyDescent="0.25">
      <c r="A5555" t="str">
        <f>"20190303171124368"</f>
        <v>20190303171124368</v>
      </c>
      <c r="B5555" t="str">
        <f>"1551604284355937"</f>
        <v>1551604284355937</v>
      </c>
      <c r="C5555" t="s">
        <v>40</v>
      </c>
      <c r="D5555">
        <v>4.8518540000000003</v>
      </c>
      <c r="E5555">
        <v>0.40887220000000002</v>
      </c>
      <c r="F5555" t="s">
        <v>49</v>
      </c>
      <c r="G5555">
        <v>-157.3501</v>
      </c>
      <c r="H5555">
        <v>3.7703769999999999</v>
      </c>
      <c r="I5555">
        <v>-43.019300000000001</v>
      </c>
      <c r="J5555">
        <v>-251.1634</v>
      </c>
      <c r="K5555">
        <v>1.1189039999999999</v>
      </c>
      <c r="L5555">
        <v>-63.175020000000004</v>
      </c>
      <c r="M5555">
        <v>0.99989220000000001</v>
      </c>
      <c r="N5555">
        <v>-7.0422269999999999E-3</v>
      </c>
      <c r="O5555">
        <v>-1.288685E-2</v>
      </c>
      <c r="P5555">
        <v>0.98350439999999995</v>
      </c>
      <c r="Q5555">
        <v>0.17828139999999901</v>
      </c>
      <c r="R5555">
        <v>-3.0576679999999998E-2</v>
      </c>
      <c r="S5555">
        <v>3.0543819999999999</v>
      </c>
      <c r="T5555">
        <v>8.6168649999999999E-2</v>
      </c>
      <c r="U5555">
        <v>0.65493769999999996</v>
      </c>
      <c r="V5555">
        <v>1.8533919999999999E-2</v>
      </c>
      <c r="W5555">
        <v>0.1851428</v>
      </c>
      <c r="X5555">
        <v>0.98253690000000005</v>
      </c>
      <c r="Y5555">
        <v>-0.2221727</v>
      </c>
      <c r="Z5555">
        <v>-2.7560900000000001E-3</v>
      </c>
      <c r="AA5555">
        <v>0.97500339999999996</v>
      </c>
      <c r="AB5555">
        <v>33</v>
      </c>
      <c r="AC5555">
        <v>93.813299999999998</v>
      </c>
      <c r="AD5555">
        <v>2.6514730000000002</v>
      </c>
      <c r="AE5555">
        <v>20.155719999999899</v>
      </c>
      <c r="AF5555">
        <v>-21.346734395779301</v>
      </c>
      <c r="AG5555">
        <v>2.6514730000000002</v>
      </c>
      <c r="AH5555">
        <v>93.474385293886499</v>
      </c>
      <c r="AI5555">
        <v>88.415956348011093</v>
      </c>
      <c r="AJ5555">
        <v>102.86402670105799</v>
      </c>
      <c r="AK5555">
        <v>95.917537940168302</v>
      </c>
      <c r="AL5555">
        <v>79.330542600659598</v>
      </c>
      <c r="AM5555">
        <v>88.919338837458497</v>
      </c>
      <c r="AN5555">
        <v>1.0000000612219999</v>
      </c>
    </row>
    <row r="5556" spans="1:40" x14ac:dyDescent="0.25">
      <c r="A5556" t="str">
        <f>"20190303171124383"</f>
        <v>20190303171124383</v>
      </c>
      <c r="B5556" t="str">
        <f>"1551604284376433"</f>
        <v>1551604284376433</v>
      </c>
      <c r="C5556" t="s">
        <v>40</v>
      </c>
      <c r="D5556">
        <v>4.8411039999999996</v>
      </c>
      <c r="E5556">
        <v>0.40972520000000001</v>
      </c>
      <c r="F5556" t="s">
        <v>49</v>
      </c>
      <c r="G5556">
        <v>-157.3501</v>
      </c>
      <c r="H5556">
        <v>3.6326689999999999</v>
      </c>
      <c r="I5556">
        <v>-43.267670000000003</v>
      </c>
      <c r="J5556">
        <v>-250.98699999999999</v>
      </c>
      <c r="K5556">
        <v>1.118919</v>
      </c>
      <c r="L5556">
        <v>-63.17801</v>
      </c>
      <c r="M5556">
        <v>0.99988129999999997</v>
      </c>
      <c r="N5556">
        <v>-7.0812289999999996E-3</v>
      </c>
      <c r="O5556">
        <v>-1.368104E-2</v>
      </c>
      <c r="P5556">
        <v>0.98343369999999997</v>
      </c>
      <c r="Q5556">
        <v>0.1784886</v>
      </c>
      <c r="R5556">
        <v>-3.1620040000000002E-2</v>
      </c>
      <c r="S5556">
        <v>3.0556179999999999</v>
      </c>
      <c r="T5556">
        <v>8.1875799999999999E-2</v>
      </c>
      <c r="U5556">
        <v>0.64840699999999996</v>
      </c>
      <c r="V5556">
        <v>1.879111E-2</v>
      </c>
      <c r="W5556">
        <v>0.18538779999999999</v>
      </c>
      <c r="X5556">
        <v>0.98248579999999996</v>
      </c>
      <c r="Y5556">
        <v>-0.22088060000000001</v>
      </c>
      <c r="Z5556">
        <v>-2.59377E-3</v>
      </c>
      <c r="AA5556">
        <v>0.97529739999999998</v>
      </c>
      <c r="AB5556">
        <v>33</v>
      </c>
      <c r="AC5556">
        <v>93.636899999999997</v>
      </c>
      <c r="AD5556">
        <v>2.5137499999999999</v>
      </c>
      <c r="AE5556">
        <v>19.910340000000001</v>
      </c>
      <c r="AF5556">
        <v>-21.1749583361837</v>
      </c>
      <c r="AG5556">
        <v>2.5137499999999999</v>
      </c>
      <c r="AH5556">
        <v>93.291409041307702</v>
      </c>
      <c r="AI5556">
        <v>88.494798256267899</v>
      </c>
      <c r="AJ5556">
        <v>102.78812656926701</v>
      </c>
      <c r="AK5556">
        <v>95.697360467853102</v>
      </c>
      <c r="AL5556">
        <v>79.316257667014995</v>
      </c>
      <c r="AM5556">
        <v>88.904289464651001</v>
      </c>
      <c r="AN5556">
        <v>1.0000000447027499</v>
      </c>
    </row>
    <row r="5557" spans="1:40" x14ac:dyDescent="0.25">
      <c r="A5557" t="str">
        <f>"20190303171124394"</f>
        <v>20190303171124394</v>
      </c>
      <c r="B5557" t="str">
        <f>"1551604284386192"</f>
        <v>1551604284386192</v>
      </c>
      <c r="C5557" t="s">
        <v>40</v>
      </c>
      <c r="D5557">
        <v>4.8505200000000004</v>
      </c>
      <c r="E5557">
        <v>0.41004600000000002</v>
      </c>
      <c r="F5557" t="s">
        <v>49</v>
      </c>
      <c r="G5557">
        <v>-157.3501</v>
      </c>
      <c r="H5557">
        <v>3.4386199999999998</v>
      </c>
      <c r="I5557">
        <v>-43.620150000000002</v>
      </c>
      <c r="J5557">
        <v>-250.78880000000001</v>
      </c>
      <c r="K5557">
        <v>1.1189370000000001</v>
      </c>
      <c r="L5557">
        <v>-63.181489999999997</v>
      </c>
      <c r="M5557">
        <v>0.99986870000000005</v>
      </c>
      <c r="N5557">
        <v>-7.1225269999999896E-3</v>
      </c>
      <c r="O5557">
        <v>-1.4560689999999999E-2</v>
      </c>
      <c r="P5557">
        <v>0.98336480000000004</v>
      </c>
      <c r="Q5557">
        <v>0.17872679999999999</v>
      </c>
      <c r="R5557">
        <v>-3.241057E-2</v>
      </c>
      <c r="S5557">
        <v>3.0573269999999999</v>
      </c>
      <c r="T5557">
        <v>7.5739500000000001E-2</v>
      </c>
      <c r="U5557">
        <v>0.63858029999999999</v>
      </c>
      <c r="V5557">
        <v>1.871103E-2</v>
      </c>
      <c r="W5557">
        <v>0.18566759999999999</v>
      </c>
      <c r="X5557">
        <v>0.98243449999999999</v>
      </c>
      <c r="Y5557">
        <v>-0.218636</v>
      </c>
      <c r="Z5557">
        <v>-2.3513000000000002E-3</v>
      </c>
      <c r="AA5557">
        <v>0.97580370000000005</v>
      </c>
      <c r="AB5557">
        <v>33</v>
      </c>
      <c r="AC5557">
        <v>93.438699999999997</v>
      </c>
      <c r="AD5557">
        <v>2.3196829999999902</v>
      </c>
      <c r="AE5557">
        <v>19.561339999999898</v>
      </c>
      <c r="AF5557">
        <v>-20.907487897616999</v>
      </c>
      <c r="AG5557">
        <v>2.3196829999999902</v>
      </c>
      <c r="AH5557">
        <v>93.088996640260206</v>
      </c>
      <c r="AI5557">
        <v>88.607224954707902</v>
      </c>
      <c r="AJ5557">
        <v>102.65839142557699</v>
      </c>
      <c r="AK5557">
        <v>95.436184306057896</v>
      </c>
      <c r="AL5557">
        <v>79.299943167372504</v>
      </c>
      <c r="AM5557">
        <v>88.9089008447895</v>
      </c>
      <c r="AN5557">
        <v>1.0000000535618301</v>
      </c>
    </row>
    <row r="5558" spans="1:40" x14ac:dyDescent="0.25">
      <c r="A5558" t="str">
        <f>"20190303171124405"</f>
        <v>20190303171124405</v>
      </c>
      <c r="B5558" t="str">
        <f>"1551604284395952"</f>
        <v>1551604284395952</v>
      </c>
      <c r="C5558" t="s">
        <v>40</v>
      </c>
      <c r="D5558">
        <v>4.8644309999999997</v>
      </c>
      <c r="E5558">
        <v>0.41026800000000002</v>
      </c>
      <c r="F5558" t="s">
        <v>49</v>
      </c>
      <c r="G5558">
        <v>-157.3501</v>
      </c>
      <c r="H5558">
        <v>3.379632</v>
      </c>
      <c r="I5558">
        <v>-43.820709999999998</v>
      </c>
      <c r="J5558">
        <v>-250.6199</v>
      </c>
      <c r="K5558">
        <v>1.1189519999999999</v>
      </c>
      <c r="L5558">
        <v>-63.184629999999999</v>
      </c>
      <c r="M5558">
        <v>0.99985740000000001</v>
      </c>
      <c r="N5558">
        <v>-7.1552999999999999E-3</v>
      </c>
      <c r="O5558">
        <v>-1.5297399999999999E-2</v>
      </c>
      <c r="P5558">
        <v>0.98335499999999998</v>
      </c>
      <c r="Q5558">
        <v>0.1786857</v>
      </c>
      <c r="R5558">
        <v>-3.2925980000000001E-2</v>
      </c>
      <c r="S5558">
        <v>3.0581969999999998</v>
      </c>
      <c r="T5558">
        <v>7.399058E-2</v>
      </c>
      <c r="U5558">
        <v>0.63366699999999998</v>
      </c>
      <c r="V5558">
        <v>1.8495689999999999E-2</v>
      </c>
      <c r="W5558">
        <v>0.18565960000000001</v>
      </c>
      <c r="X5558">
        <v>0.98244010000000004</v>
      </c>
      <c r="Y5558">
        <v>-0.2177993</v>
      </c>
      <c r="Z5558">
        <v>-2.2937449999999998E-3</v>
      </c>
      <c r="AA5558">
        <v>0.97599089999999999</v>
      </c>
      <c r="AB5558">
        <v>33</v>
      </c>
      <c r="AC5558">
        <v>93.269800000000004</v>
      </c>
      <c r="AD5558">
        <v>2.2606799999999998</v>
      </c>
      <c r="AE5558">
        <v>19.36392</v>
      </c>
      <c r="AF5558">
        <v>-20.776774364198801</v>
      </c>
      <c r="AG5558">
        <v>2.2606799999999998</v>
      </c>
      <c r="AH5558">
        <v>92.910332672650199</v>
      </c>
      <c r="AI5558">
        <v>88.639745819934504</v>
      </c>
      <c r="AJ5558">
        <v>102.60520041829599</v>
      </c>
      <c r="AK5558">
        <v>95.231900875629705</v>
      </c>
      <c r="AL5558">
        <v>79.300409755466404</v>
      </c>
      <c r="AM5558">
        <v>88.921461162050605</v>
      </c>
      <c r="AN5558">
        <v>1.00000006385437</v>
      </c>
    </row>
    <row r="5559" spans="1:40" x14ac:dyDescent="0.25">
      <c r="A5559" t="str">
        <f>"20190303171124415"</f>
        <v>20190303171124415</v>
      </c>
      <c r="B5559" t="str">
        <f>"1551604284406689"</f>
        <v>1551604284406689</v>
      </c>
      <c r="C5559" t="s">
        <v>40</v>
      </c>
      <c r="D5559">
        <v>4.868125</v>
      </c>
      <c r="E5559">
        <v>0.41040130000000002</v>
      </c>
      <c r="F5559" t="s">
        <v>49</v>
      </c>
      <c r="G5559">
        <v>-157.3501</v>
      </c>
      <c r="H5559">
        <v>3.3115879999999902</v>
      </c>
      <c r="I5559">
        <v>-43.966180000000001</v>
      </c>
      <c r="J5559">
        <v>-250.45750000000001</v>
      </c>
      <c r="K5559">
        <v>1.11897</v>
      </c>
      <c r="L5559">
        <v>-63.18768</v>
      </c>
      <c r="M5559">
        <v>0.99984629999999997</v>
      </c>
      <c r="N5559">
        <v>-7.1860680000000003E-3</v>
      </c>
      <c r="O5559">
        <v>-1.60018E-2</v>
      </c>
      <c r="P5559">
        <v>0.98336040000000002</v>
      </c>
      <c r="Q5559">
        <v>0.1785496</v>
      </c>
      <c r="R5559">
        <v>-3.3512809999999997E-2</v>
      </c>
      <c r="S5559">
        <v>3.0588380000000002</v>
      </c>
      <c r="T5559">
        <v>7.1908E-2</v>
      </c>
      <c r="U5559">
        <v>0.63027949999999999</v>
      </c>
      <c r="V5559">
        <v>1.8383279999999998E-2</v>
      </c>
      <c r="W5559">
        <v>0.18555469999999999</v>
      </c>
      <c r="X5559">
        <v>0.98246199999999995</v>
      </c>
      <c r="Y5559">
        <v>-0.21741260000000001</v>
      </c>
      <c r="Z5559">
        <v>-2.2253099999999999E-3</v>
      </c>
      <c r="AA5559">
        <v>0.97607730000000004</v>
      </c>
      <c r="AB5559">
        <v>33</v>
      </c>
      <c r="AC5559">
        <v>93.107399999999998</v>
      </c>
      <c r="AD5559">
        <v>2.1926179999999902</v>
      </c>
      <c r="AE5559">
        <v>19.221499999999999</v>
      </c>
      <c r="AF5559">
        <v>-20.697953747447201</v>
      </c>
      <c r="AG5559">
        <v>2.1926179999999902</v>
      </c>
      <c r="AH5559">
        <v>92.738563857388598</v>
      </c>
      <c r="AI5559">
        <v>88.678118856674999</v>
      </c>
      <c r="AJ5559">
        <v>102.581421476153</v>
      </c>
      <c r="AK5559">
        <v>95.045536924972595</v>
      </c>
      <c r="AL5559">
        <v>79.306526069040302</v>
      </c>
      <c r="AM5559">
        <v>88.928038480055605</v>
      </c>
      <c r="AN5559">
        <v>1.0000000365598201</v>
      </c>
    </row>
    <row r="5560" spans="1:40" x14ac:dyDescent="0.25">
      <c r="A5560" t="str">
        <f>"20190303171124424"</f>
        <v>20190303171124424</v>
      </c>
      <c r="B5560" t="str">
        <f>"1551604284416449"</f>
        <v>1551604284416449</v>
      </c>
      <c r="C5560" t="s">
        <v>40</v>
      </c>
      <c r="D5560">
        <v>4.8637189999999997</v>
      </c>
      <c r="E5560">
        <v>0.4105509</v>
      </c>
      <c r="F5560" t="s">
        <v>49</v>
      </c>
      <c r="G5560">
        <v>-157.3501</v>
      </c>
      <c r="H5560">
        <v>3.244901</v>
      </c>
      <c r="I5560">
        <v>-44.0929</v>
      </c>
      <c r="J5560">
        <v>-250.32490000000001</v>
      </c>
      <c r="K5560">
        <v>1.1189800000000001</v>
      </c>
      <c r="L5560">
        <v>-63.190339999999999</v>
      </c>
      <c r="M5560">
        <v>0.99983690000000003</v>
      </c>
      <c r="N5560">
        <v>-7.2049150000000001E-3</v>
      </c>
      <c r="O5560">
        <v>-1.656587E-2</v>
      </c>
      <c r="P5560">
        <v>0.98333110000000001</v>
      </c>
      <c r="Q5560">
        <v>0.17865809999999999</v>
      </c>
      <c r="R5560">
        <v>-3.3781440000000003E-2</v>
      </c>
      <c r="S5560">
        <v>3.0594480000000002</v>
      </c>
      <c r="T5560">
        <v>6.9856050000000003E-2</v>
      </c>
      <c r="U5560">
        <v>0.62744140000000004</v>
      </c>
      <c r="V5560">
        <v>1.809361E-2</v>
      </c>
      <c r="W5560">
        <v>0.18568299999999999</v>
      </c>
      <c r="X5560">
        <v>0.98244310000000001</v>
      </c>
      <c r="Y5560">
        <v>-0.2170589</v>
      </c>
      <c r="Z5560">
        <v>-2.1546439999999998E-3</v>
      </c>
      <c r="AA5560">
        <v>0.97615609999999997</v>
      </c>
      <c r="AB5560">
        <v>33</v>
      </c>
      <c r="AC5560">
        <v>92.974800000000002</v>
      </c>
      <c r="AD5560">
        <v>2.1259209999999999</v>
      </c>
      <c r="AE5560">
        <v>19.097439999999999</v>
      </c>
      <c r="AF5560">
        <v>-20.624720785982301</v>
      </c>
      <c r="AG5560">
        <v>2.1259209999999999</v>
      </c>
      <c r="AH5560">
        <v>92.599213059705605</v>
      </c>
      <c r="AI5560">
        <v>88.716263236298303</v>
      </c>
      <c r="AJ5560">
        <v>102.556586950333</v>
      </c>
      <c r="AK5560">
        <v>94.892111931786602</v>
      </c>
      <c r="AL5560">
        <v>79.299044617568001</v>
      </c>
      <c r="AM5560">
        <v>88.944905507852596</v>
      </c>
      <c r="AN5560">
        <v>0.999999999974721</v>
      </c>
    </row>
    <row r="5561" spans="1:40" x14ac:dyDescent="0.25">
      <c r="A5561" t="str">
        <f>"20190303171124434"</f>
        <v>20190303171124434</v>
      </c>
      <c r="B5561" t="str">
        <f>"1551604284426209"</f>
        <v>1551604284426209</v>
      </c>
      <c r="C5561" t="s">
        <v>40</v>
      </c>
      <c r="D5561">
        <v>4.8730219999999997</v>
      </c>
      <c r="E5561">
        <v>0.4106881</v>
      </c>
      <c r="F5561" t="s">
        <v>49</v>
      </c>
      <c r="G5561">
        <v>-157.3501</v>
      </c>
      <c r="H5561">
        <v>3.2037529999999999</v>
      </c>
      <c r="I5561">
        <v>-44.187539999999998</v>
      </c>
      <c r="J5561">
        <v>-250.16059999999999</v>
      </c>
      <c r="K5561">
        <v>1.1189910000000001</v>
      </c>
      <c r="L5561">
        <v>-63.193629999999999</v>
      </c>
      <c r="M5561">
        <v>0.99982499999999996</v>
      </c>
      <c r="N5561">
        <v>-7.2276950000000001E-3</v>
      </c>
      <c r="O5561">
        <v>-1.7263799999999999E-2</v>
      </c>
      <c r="P5561">
        <v>0.98328349999999998</v>
      </c>
      <c r="Q5561">
        <v>0.17886459999999901</v>
      </c>
      <c r="R5561">
        <v>-3.4079940000000003E-2</v>
      </c>
      <c r="S5561">
        <v>3.0598749999999999</v>
      </c>
      <c r="T5561">
        <v>6.8610790000000005E-2</v>
      </c>
      <c r="U5561">
        <v>0.62539669999999903</v>
      </c>
      <c r="V5561">
        <v>1.7701379999999999E-2</v>
      </c>
      <c r="W5561">
        <v>0.185914</v>
      </c>
      <c r="X5561">
        <v>0.98240660000000002</v>
      </c>
      <c r="Y5561">
        <v>-0.217089</v>
      </c>
      <c r="Z5561">
        <v>-2.1227239999999999E-3</v>
      </c>
      <c r="AA5561">
        <v>0.9761495</v>
      </c>
      <c r="AB5561">
        <v>33</v>
      </c>
      <c r="AC5561">
        <v>92.810500000000005</v>
      </c>
      <c r="AD5561">
        <v>2.084762</v>
      </c>
      <c r="AE5561">
        <v>19.00609</v>
      </c>
      <c r="AF5561">
        <v>-20.595587286114402</v>
      </c>
      <c r="AG5561">
        <v>2.084762</v>
      </c>
      <c r="AH5561">
        <v>92.423784798690093</v>
      </c>
      <c r="AI5561">
        <v>88.738749078530603</v>
      </c>
      <c r="AJ5561">
        <v>102.56245751669</v>
      </c>
      <c r="AK5561">
        <v>94.713676123203996</v>
      </c>
      <c r="AL5561">
        <v>79.285575198022002</v>
      </c>
      <c r="AM5561">
        <v>88.9677343088741</v>
      </c>
      <c r="AN5561">
        <v>1.00000004098673</v>
      </c>
    </row>
    <row r="5562" spans="1:40" x14ac:dyDescent="0.25">
      <c r="A5562" t="str">
        <f>"20190303171124447"</f>
        <v>20190303171124447</v>
      </c>
      <c r="B5562" t="str">
        <f>"1551604284435968"</f>
        <v>1551604284435968</v>
      </c>
      <c r="C5562" t="s">
        <v>40</v>
      </c>
      <c r="D5562">
        <v>4.8746999999999998</v>
      </c>
      <c r="E5562">
        <v>0.41081889999999999</v>
      </c>
      <c r="F5562" t="s">
        <v>49</v>
      </c>
      <c r="G5562">
        <v>-157.3501</v>
      </c>
      <c r="H5562">
        <v>3.1566360000000002</v>
      </c>
      <c r="I5562">
        <v>-44.293149999999997</v>
      </c>
      <c r="J5562">
        <v>-249.99440000000001</v>
      </c>
      <c r="K5562">
        <v>1.1190009999999999</v>
      </c>
      <c r="L5562">
        <v>-63.1971699999999</v>
      </c>
      <c r="M5562">
        <v>0.99981260000000005</v>
      </c>
      <c r="N5562">
        <v>-7.2434329999999996E-3</v>
      </c>
      <c r="O5562">
        <v>-1.795681E-2</v>
      </c>
      <c r="P5562">
        <v>0.98320370000000001</v>
      </c>
      <c r="Q5562">
        <v>0.17923420000000001</v>
      </c>
      <c r="R5562">
        <v>-3.4434359999999997E-2</v>
      </c>
      <c r="S5562">
        <v>3.0603639999999999</v>
      </c>
      <c r="T5562">
        <v>6.7189219999999994E-2</v>
      </c>
      <c r="U5562">
        <v>0.62322999999999995</v>
      </c>
      <c r="V5562">
        <v>1.737149E-2</v>
      </c>
      <c r="W5562">
        <v>0.18629960000000001</v>
      </c>
      <c r="X5562">
        <v>0.98233939999999997</v>
      </c>
      <c r="Y5562">
        <v>-0.2170733</v>
      </c>
      <c r="Z5562">
        <v>-2.083189E-3</v>
      </c>
      <c r="AA5562">
        <v>0.9761531</v>
      </c>
      <c r="AB5562">
        <v>33</v>
      </c>
      <c r="AC5562">
        <v>92.644300000000001</v>
      </c>
      <c r="AD5562">
        <v>2.0376349999999999</v>
      </c>
      <c r="AE5562">
        <v>18.904019999999999</v>
      </c>
      <c r="AF5562">
        <v>-20.5550655059508</v>
      </c>
      <c r="AG5562">
        <v>2.0376349999999999</v>
      </c>
      <c r="AH5562">
        <v>92.247056565131203</v>
      </c>
      <c r="AI5562">
        <v>88.7648871078501</v>
      </c>
      <c r="AJ5562">
        <v>102.561782999081</v>
      </c>
      <c r="AK5562">
        <v>94.531381663856294</v>
      </c>
      <c r="AL5562">
        <v>79.263088692935696</v>
      </c>
      <c r="AM5562">
        <v>88.986898693067104</v>
      </c>
      <c r="AN5562">
        <v>1.00000000320867</v>
      </c>
    </row>
    <row r="5563" spans="1:40" x14ac:dyDescent="0.25">
      <c r="A5563" t="str">
        <f>"20190303171124458"</f>
        <v>20190303171124458</v>
      </c>
      <c r="B5563" t="str">
        <f>"1551604284446423"</f>
        <v>1551604284446423</v>
      </c>
      <c r="C5563" t="s">
        <v>40</v>
      </c>
      <c r="D5563">
        <v>4.8814279999999997</v>
      </c>
      <c r="E5563">
        <v>0.41082160000000001</v>
      </c>
      <c r="F5563" t="s">
        <v>49</v>
      </c>
      <c r="G5563">
        <v>-157.3501</v>
      </c>
      <c r="H5563">
        <v>3.1337769999999998</v>
      </c>
      <c r="I5563">
        <v>-44.396549999999998</v>
      </c>
      <c r="J5563">
        <v>-249.82939999999999</v>
      </c>
      <c r="K5563">
        <v>1.1190100000000001</v>
      </c>
      <c r="L5563">
        <v>-63.200650000000003</v>
      </c>
      <c r="M5563">
        <v>0.99980000000000002</v>
      </c>
      <c r="N5563">
        <v>-7.2581169999999997E-3</v>
      </c>
      <c r="O5563">
        <v>-1.8642309999999999E-2</v>
      </c>
      <c r="P5563">
        <v>0.98312169999999999</v>
      </c>
      <c r="Q5563">
        <v>0.179597799999999</v>
      </c>
      <c r="R5563">
        <v>-3.4882450000000002E-2</v>
      </c>
      <c r="S5563">
        <v>3.060883</v>
      </c>
      <c r="T5563">
        <v>6.6565630000000001E-2</v>
      </c>
      <c r="U5563">
        <v>0.62115480000000001</v>
      </c>
      <c r="V5563">
        <v>1.71425999999999E-2</v>
      </c>
      <c r="W5563">
        <v>0.1866786</v>
      </c>
      <c r="X5563">
        <v>0.98227149999999996</v>
      </c>
      <c r="Y5563">
        <v>-0.2170753</v>
      </c>
      <c r="Z5563">
        <v>-2.0758310000000002E-3</v>
      </c>
      <c r="AA5563">
        <v>0.97615269999999998</v>
      </c>
      <c r="AB5563">
        <v>34</v>
      </c>
      <c r="AC5563">
        <v>92.479299999999995</v>
      </c>
      <c r="AD5563">
        <v>2.014767</v>
      </c>
      <c r="AE5563">
        <v>18.804099999999998</v>
      </c>
      <c r="AF5563">
        <v>-20.5155541525091</v>
      </c>
      <c r="AG5563">
        <v>2.014767</v>
      </c>
      <c r="AH5563">
        <v>92.070701736111303</v>
      </c>
      <c r="AI5563">
        <v>88.776405205900801</v>
      </c>
      <c r="AJ5563">
        <v>102.561655610898</v>
      </c>
      <c r="AK5563">
        <v>94.350205969191094</v>
      </c>
      <c r="AL5563">
        <v>79.240986178806693</v>
      </c>
      <c r="AM5563">
        <v>89.000175683309394</v>
      </c>
      <c r="AN5563">
        <v>1.0000000340724799</v>
      </c>
    </row>
    <row r="5564" spans="1:40" x14ac:dyDescent="0.25">
      <c r="A5564" t="str">
        <f>"20190303171124468"</f>
        <v>20190303171124468</v>
      </c>
      <c r="B5564" t="str">
        <f>"1551604284456160"</f>
        <v>1551604284456160</v>
      </c>
      <c r="C5564" t="s">
        <v>40</v>
      </c>
      <c r="D5564">
        <v>4.8994650000000002</v>
      </c>
      <c r="E5564">
        <v>0.41087889999999999</v>
      </c>
      <c r="F5564" t="s">
        <v>49</v>
      </c>
      <c r="G5564">
        <v>-157.3501</v>
      </c>
      <c r="H5564">
        <v>3.1568990000000001</v>
      </c>
      <c r="I5564">
        <v>-44.466819999999998</v>
      </c>
      <c r="J5564">
        <v>-249.65860000000001</v>
      </c>
      <c r="K5564">
        <v>1.119019</v>
      </c>
      <c r="L5564">
        <v>-63.204500000000003</v>
      </c>
      <c r="M5564">
        <v>0.99978650000000002</v>
      </c>
      <c r="N5564">
        <v>-7.2702309999999899E-3</v>
      </c>
      <c r="O5564">
        <v>-1.9341150000000001E-2</v>
      </c>
      <c r="P5564">
        <v>0.98301419999999995</v>
      </c>
      <c r="Q5564">
        <v>0.18004000000000001</v>
      </c>
      <c r="R5564">
        <v>-3.5621180000000002E-2</v>
      </c>
      <c r="S5564">
        <v>3.0612029999999999</v>
      </c>
      <c r="T5564">
        <v>6.7456479999999999E-2</v>
      </c>
      <c r="U5564">
        <v>0.62011719999999904</v>
      </c>
      <c r="V5564">
        <v>1.7192450000000001E-2</v>
      </c>
      <c r="W5564">
        <v>0.18713199999999999</v>
      </c>
      <c r="X5564">
        <v>0.98218430000000001</v>
      </c>
      <c r="Y5564">
        <v>-0.21741830000000001</v>
      </c>
      <c r="Z5564">
        <v>-2.133958E-3</v>
      </c>
      <c r="AA5564">
        <v>0.97607619999999895</v>
      </c>
      <c r="AB5564">
        <v>34</v>
      </c>
      <c r="AC5564">
        <v>92.308499999999995</v>
      </c>
      <c r="AD5564">
        <v>2.0378799999999999</v>
      </c>
      <c r="AE5564">
        <v>18.737680000000001</v>
      </c>
      <c r="AF5564">
        <v>-20.509973839894801</v>
      </c>
      <c r="AG5564">
        <v>2.0378799999999999</v>
      </c>
      <c r="AH5564">
        <v>91.885802579472795</v>
      </c>
      <c r="AI5564">
        <v>88.7599851460228</v>
      </c>
      <c r="AJ5564">
        <v>102.582814033498</v>
      </c>
      <c r="AK5564">
        <v>94.169064439875399</v>
      </c>
      <c r="AL5564">
        <v>79.214541713608099</v>
      </c>
      <c r="AM5564">
        <v>88.997179820668606</v>
      </c>
      <c r="AN5564">
        <v>0.999999982463746</v>
      </c>
    </row>
    <row r="5565" spans="1:40" x14ac:dyDescent="0.25">
      <c r="A5565" t="str">
        <f>"20190303171124481"</f>
        <v>20190303171124481</v>
      </c>
      <c r="B5565" t="str">
        <f>"1551604284476656"</f>
        <v>1551604284476656</v>
      </c>
      <c r="C5565" t="s">
        <v>40</v>
      </c>
      <c r="D5565">
        <v>4.8920510000000004</v>
      </c>
      <c r="E5565">
        <v>0.4109003</v>
      </c>
      <c r="F5565" t="s">
        <v>49</v>
      </c>
      <c r="G5565">
        <v>-157.3501</v>
      </c>
      <c r="H5565">
        <v>3.1779950000000001</v>
      </c>
      <c r="I5565">
        <v>-44.575600000000001</v>
      </c>
      <c r="J5565">
        <v>-249.49019999999999</v>
      </c>
      <c r="K5565">
        <v>1.1190249999999999</v>
      </c>
      <c r="L5565">
        <v>-63.20834</v>
      </c>
      <c r="M5565">
        <v>0.99977300000000002</v>
      </c>
      <c r="N5565">
        <v>-7.2806930000000004E-3</v>
      </c>
      <c r="O5565">
        <v>-2.0026639999999998E-2</v>
      </c>
      <c r="P5565">
        <v>0.98291620000000002</v>
      </c>
      <c r="Q5565">
        <v>0.1803766</v>
      </c>
      <c r="R5565">
        <v>-3.660621E-2</v>
      </c>
      <c r="S5565">
        <v>3.0617220000000001</v>
      </c>
      <c r="T5565">
        <v>6.8292140000000001E-2</v>
      </c>
      <c r="U5565">
        <v>0.61788940000000003</v>
      </c>
      <c r="V5565">
        <v>1.7501619999999999E-2</v>
      </c>
      <c r="W5565">
        <v>0.18747820000000001</v>
      </c>
      <c r="X5565">
        <v>0.98211280000000001</v>
      </c>
      <c r="Y5565">
        <v>-0.2173716</v>
      </c>
      <c r="Z5565">
        <v>-2.1871410000000001E-3</v>
      </c>
      <c r="AA5565">
        <v>0.97608649999999997</v>
      </c>
      <c r="AB5565">
        <v>34</v>
      </c>
      <c r="AC5565">
        <v>92.140100000000004</v>
      </c>
      <c r="AD5565">
        <v>2.05897</v>
      </c>
      <c r="AE5565">
        <v>18.632739999999998</v>
      </c>
      <c r="AF5565">
        <v>-20.464490932847699</v>
      </c>
      <c r="AG5565">
        <v>2.05897</v>
      </c>
      <c r="AH5565">
        <v>91.704465655647596</v>
      </c>
      <c r="AI5565">
        <v>88.744665160735295</v>
      </c>
      <c r="AJ5565">
        <v>102.579834507269</v>
      </c>
      <c r="AK5565">
        <v>93.982678019884901</v>
      </c>
      <c r="AL5565">
        <v>79.194348362457404</v>
      </c>
      <c r="AM5565">
        <v>88.979075690206798</v>
      </c>
      <c r="AN5565">
        <v>0.99999996705085104</v>
      </c>
    </row>
    <row r="5566" spans="1:40" x14ac:dyDescent="0.25">
      <c r="A5566" t="str">
        <f>"20190303171124492"</f>
        <v>20190303171124492</v>
      </c>
      <c r="B5566" t="str">
        <f>"1551604284486416"</f>
        <v>1551604284486416</v>
      </c>
      <c r="C5566" t="s">
        <v>40</v>
      </c>
      <c r="D5566">
        <v>4.9023059999999896</v>
      </c>
      <c r="E5566">
        <v>0.4109236</v>
      </c>
      <c r="F5566" t="s">
        <v>49</v>
      </c>
      <c r="G5566">
        <v>-157.3501</v>
      </c>
      <c r="H5566">
        <v>3.1720470000000001</v>
      </c>
      <c r="I5566">
        <v>-44.70823</v>
      </c>
      <c r="J5566">
        <v>-249.30019999999999</v>
      </c>
      <c r="K5566">
        <v>1.1190340000000001</v>
      </c>
      <c r="L5566">
        <v>-63.212829999999997</v>
      </c>
      <c r="M5566">
        <v>0.99975720000000001</v>
      </c>
      <c r="N5566">
        <v>-7.2891129999999998E-3</v>
      </c>
      <c r="O5566">
        <v>-2.0793059999999999E-2</v>
      </c>
      <c r="P5566">
        <v>0.98289579999999999</v>
      </c>
      <c r="Q5566">
        <v>0.18035129999999999</v>
      </c>
      <c r="R5566">
        <v>-3.7271289999999999E-2</v>
      </c>
      <c r="S5566">
        <v>3.0625149999999999</v>
      </c>
      <c r="T5566">
        <v>6.8236829999999998E-2</v>
      </c>
      <c r="U5566">
        <v>0.61489869999999902</v>
      </c>
      <c r="V5566">
        <v>1.7408429999999999E-2</v>
      </c>
      <c r="W5566">
        <v>0.18746180000000001</v>
      </c>
      <c r="X5566">
        <v>0.98211760000000004</v>
      </c>
      <c r="Y5566">
        <v>-0.2171545</v>
      </c>
      <c r="Z5566">
        <v>-2.2045760000000002E-3</v>
      </c>
      <c r="AA5566">
        <v>0.97613479999999997</v>
      </c>
      <c r="AB5566">
        <v>34</v>
      </c>
      <c r="AC5566">
        <v>91.950100000000006</v>
      </c>
      <c r="AD5566">
        <v>2.053013</v>
      </c>
      <c r="AE5566">
        <v>18.5046</v>
      </c>
      <c r="AF5566">
        <v>-20.4027986836027</v>
      </c>
      <c r="AG5566">
        <v>2.053013</v>
      </c>
      <c r="AH5566">
        <v>91.501602426371207</v>
      </c>
      <c r="AI5566">
        <v>88.745473904724193</v>
      </c>
      <c r="AJ5566">
        <v>102.570038978884</v>
      </c>
      <c r="AK5566">
        <v>93.771169892966</v>
      </c>
      <c r="AL5566">
        <v>79.195305115948102</v>
      </c>
      <c r="AM5566">
        <v>88.984515575455802</v>
      </c>
      <c r="AN5566">
        <v>0.99999998006203195</v>
      </c>
    </row>
    <row r="5567" spans="1:40" x14ac:dyDescent="0.25">
      <c r="A5567" t="str">
        <f>"20190303171124503"</f>
        <v>20190303171124503</v>
      </c>
      <c r="B5567" t="str">
        <f>"1551604284496176"</f>
        <v>1551604284496176</v>
      </c>
      <c r="C5567" t="s">
        <v>40</v>
      </c>
      <c r="D5567">
        <v>4.8925619999999999</v>
      </c>
      <c r="E5567">
        <v>0.41089949999999997</v>
      </c>
      <c r="F5567" t="s">
        <v>49</v>
      </c>
      <c r="G5567">
        <v>-157.3501</v>
      </c>
      <c r="H5567">
        <v>3.1432570000000002</v>
      </c>
      <c r="I5567">
        <v>-44.817570000000003</v>
      </c>
      <c r="J5567">
        <v>-249.14420000000001</v>
      </c>
      <c r="K5567">
        <v>1.1190389999999999</v>
      </c>
      <c r="L5567">
        <v>-63.216610000000003</v>
      </c>
      <c r="M5567">
        <v>0.99974410000000002</v>
      </c>
      <c r="N5567">
        <v>-7.292761E-3</v>
      </c>
      <c r="O5567">
        <v>-2.1417160000000001E-2</v>
      </c>
      <c r="P5567">
        <v>0.98289249999999995</v>
      </c>
      <c r="Q5567">
        <v>0.1802337</v>
      </c>
      <c r="R5567">
        <v>-3.7927950000000002E-2</v>
      </c>
      <c r="S5567">
        <v>3.0630950000000001</v>
      </c>
      <c r="T5567">
        <v>6.7431329999999998E-2</v>
      </c>
      <c r="U5567">
        <v>0.61279300000000003</v>
      </c>
      <c r="V5567">
        <v>1.7447230000000001E-2</v>
      </c>
      <c r="W5567">
        <v>0.18734799999999999</v>
      </c>
      <c r="X5567">
        <v>0.98213859999999997</v>
      </c>
      <c r="Y5567">
        <v>-0.217084</v>
      </c>
      <c r="Z5567">
        <v>-2.1879109999999998E-3</v>
      </c>
      <c r="AA5567">
        <v>0.97615050000000003</v>
      </c>
      <c r="AB5567">
        <v>34</v>
      </c>
      <c r="AC5567">
        <v>91.7941</v>
      </c>
      <c r="AD5567">
        <v>2.0242179999999999</v>
      </c>
      <c r="AE5567">
        <v>18.3990399999999</v>
      </c>
      <c r="AF5567">
        <v>-20.351326411493702</v>
      </c>
      <c r="AG5567">
        <v>2.0242179999999999</v>
      </c>
      <c r="AH5567">
        <v>91.336278701646293</v>
      </c>
      <c r="AI5567">
        <v>88.760783739828</v>
      </c>
      <c r="AJ5567">
        <v>102.56130854954399</v>
      </c>
      <c r="AK5567">
        <v>93.598022160105003</v>
      </c>
      <c r="AL5567">
        <v>79.201942698691099</v>
      </c>
      <c r="AM5567">
        <v>88.982274490784107</v>
      </c>
      <c r="AN5567">
        <v>0.99999995427431498</v>
      </c>
    </row>
    <row r="5568" spans="1:40" x14ac:dyDescent="0.25">
      <c r="A5568" t="str">
        <f>"20190303171124513"</f>
        <v>20190303171124513</v>
      </c>
      <c r="B5568" t="str">
        <f>"1551604284505936"</f>
        <v>1551604284505936</v>
      </c>
      <c r="C5568" t="s">
        <v>40</v>
      </c>
      <c r="D5568">
        <v>4.8636780000000002</v>
      </c>
      <c r="E5568">
        <v>0.41078520000000002</v>
      </c>
      <c r="F5568" t="s">
        <v>49</v>
      </c>
      <c r="G5568">
        <v>-157.3501</v>
      </c>
      <c r="H5568">
        <v>3.1000700000000001</v>
      </c>
      <c r="I5568">
        <v>-44.91272</v>
      </c>
      <c r="J5568">
        <v>-248.97839999999999</v>
      </c>
      <c r="K5568">
        <v>1.1190389999999999</v>
      </c>
      <c r="L5568">
        <v>-63.220730000000003</v>
      </c>
      <c r="M5568">
        <v>0.9997298</v>
      </c>
      <c r="N5568">
        <v>-7.2946719999999899E-3</v>
      </c>
      <c r="O5568">
        <v>-2.2078569999999999E-2</v>
      </c>
      <c r="P5568">
        <v>0.98289380000000004</v>
      </c>
      <c r="Q5568">
        <v>0.18014930000000001</v>
      </c>
      <c r="R5568">
        <v>-3.8298279999999997E-2</v>
      </c>
      <c r="S5568">
        <v>3.0636749999999999</v>
      </c>
      <c r="T5568">
        <v>6.6117170000000003E-2</v>
      </c>
      <c r="U5568">
        <v>0.61090089999999997</v>
      </c>
      <c r="V5568">
        <v>1.716312E-2</v>
      </c>
      <c r="W5568">
        <v>0.18726689999999999</v>
      </c>
      <c r="X5568">
        <v>0.98215909999999995</v>
      </c>
      <c r="Y5568">
        <v>-0.21711610000000001</v>
      </c>
      <c r="Z5568">
        <v>-2.151404E-3</v>
      </c>
      <c r="AA5568">
        <v>0.97614339999999999</v>
      </c>
      <c r="AB5568">
        <v>34</v>
      </c>
      <c r="AC5568">
        <v>91.628299999999996</v>
      </c>
      <c r="AD5568">
        <v>1.981031</v>
      </c>
      <c r="AE5568">
        <v>18.308009999999999</v>
      </c>
      <c r="AF5568">
        <v>-20.317489736905301</v>
      </c>
      <c r="AG5568">
        <v>1.981031</v>
      </c>
      <c r="AH5568">
        <v>91.160761970811706</v>
      </c>
      <c r="AI5568">
        <v>88.784895196932496</v>
      </c>
      <c r="AJ5568">
        <v>102.564465028219</v>
      </c>
      <c r="AK5568">
        <v>93.418463893018497</v>
      </c>
      <c r="AL5568">
        <v>79.206673401767503</v>
      </c>
      <c r="AM5568">
        <v>88.998864583771294</v>
      </c>
      <c r="AN5568">
        <v>0.99999998111827604</v>
      </c>
    </row>
    <row r="5569" spans="1:40" x14ac:dyDescent="0.25">
      <c r="A5569" t="str">
        <f>"20190303171124525"</f>
        <v>20190303171124525</v>
      </c>
      <c r="B5569" t="str">
        <f>"1551604284516672"</f>
        <v>1551604284516672</v>
      </c>
      <c r="C5569" t="s">
        <v>40</v>
      </c>
      <c r="D5569">
        <v>4.849901</v>
      </c>
      <c r="E5569">
        <v>0.41066839999999999</v>
      </c>
      <c r="F5569" t="s">
        <v>49</v>
      </c>
      <c r="G5569">
        <v>-157.3501</v>
      </c>
      <c r="H5569">
        <v>3.05877</v>
      </c>
      <c r="I5569">
        <v>-44.963410000000003</v>
      </c>
      <c r="J5569">
        <v>-248.81270000000001</v>
      </c>
      <c r="K5569">
        <v>1.1190389999999999</v>
      </c>
      <c r="L5569">
        <v>-63.224980000000002</v>
      </c>
      <c r="M5569">
        <v>0.99971489999999996</v>
      </c>
      <c r="N5569">
        <v>-7.2926550000000003E-3</v>
      </c>
      <c r="O5569">
        <v>-2.2734730000000002E-2</v>
      </c>
      <c r="P5569">
        <v>0.98289309999999996</v>
      </c>
      <c r="Q5569">
        <v>0.18004249999999999</v>
      </c>
      <c r="R5569">
        <v>-3.8804699999999998E-2</v>
      </c>
      <c r="S5569">
        <v>3.0641020000000001</v>
      </c>
      <c r="T5569">
        <v>6.4864989999999997E-2</v>
      </c>
      <c r="U5569">
        <v>0.61053469999999999</v>
      </c>
      <c r="V5569">
        <v>1.7021410000000001E-2</v>
      </c>
      <c r="W5569">
        <v>0.18715870000000001</v>
      </c>
      <c r="X5569">
        <v>0.98218220000000001</v>
      </c>
      <c r="Y5569">
        <v>-0.21761990000000001</v>
      </c>
      <c r="Z5569">
        <v>-2.1203210000000001E-3</v>
      </c>
      <c r="AA5569">
        <v>0.97603130000000005</v>
      </c>
      <c r="AB5569">
        <v>34</v>
      </c>
      <c r="AC5569">
        <v>91.462599999999995</v>
      </c>
      <c r="AD5569">
        <v>1.9397310000000001</v>
      </c>
      <c r="AE5569">
        <v>18.261569999999999</v>
      </c>
      <c r="AF5569">
        <v>-20.327490304334599</v>
      </c>
      <c r="AG5569">
        <v>1.9397310000000001</v>
      </c>
      <c r="AH5569">
        <v>90.984421976075396</v>
      </c>
      <c r="AI5569">
        <v>88.808051986682102</v>
      </c>
      <c r="AJ5569">
        <v>102.59403967331799</v>
      </c>
      <c r="AK5569">
        <v>93.247704855110101</v>
      </c>
      <c r="AL5569">
        <v>79.212984491856304</v>
      </c>
      <c r="AM5569">
        <v>89.007152300939694</v>
      </c>
      <c r="AN5569">
        <v>0.99999999069045897</v>
      </c>
    </row>
    <row r="5570" spans="1:40" x14ac:dyDescent="0.25">
      <c r="A5570" t="str">
        <f>"20190303171124535"</f>
        <v>20190303171124535</v>
      </c>
      <c r="B5570" t="str">
        <f>"1551604284526433"</f>
        <v>1551604284526433</v>
      </c>
      <c r="C5570" t="s">
        <v>40</v>
      </c>
      <c r="D5570">
        <v>4.884557</v>
      </c>
      <c r="E5570">
        <v>0.41059370000000001</v>
      </c>
      <c r="F5570" t="s">
        <v>49</v>
      </c>
      <c r="G5570">
        <v>-157.3501</v>
      </c>
      <c r="H5570">
        <v>3.0218539999999998</v>
      </c>
      <c r="I5570">
        <v>-45.029890000000002</v>
      </c>
      <c r="J5570">
        <v>-248.64879999999999</v>
      </c>
      <c r="K5570">
        <v>1.1190389999999999</v>
      </c>
      <c r="L5570">
        <v>-63.229190000000003</v>
      </c>
      <c r="M5570">
        <v>0.99970009999999998</v>
      </c>
      <c r="N5570">
        <v>-7.2895290000000003E-3</v>
      </c>
      <c r="O5570">
        <v>-2.3383020000000001E-2</v>
      </c>
      <c r="P5570">
        <v>0.98294119999999996</v>
      </c>
      <c r="Q5570">
        <v>0.17967069999999999</v>
      </c>
      <c r="R5570">
        <v>-3.9310690000000002E-2</v>
      </c>
      <c r="S5570">
        <v>3.064575</v>
      </c>
      <c r="T5570">
        <v>6.3755629999999994E-2</v>
      </c>
      <c r="U5570">
        <v>0.60964969999999996</v>
      </c>
      <c r="V5570">
        <v>1.6884719999999999E-2</v>
      </c>
      <c r="W5570">
        <v>0.18678539999999999</v>
      </c>
      <c r="X5570">
        <v>0.98225560000000001</v>
      </c>
      <c r="Y5570">
        <v>-0.21795410000000001</v>
      </c>
      <c r="Z5570">
        <v>-2.0933950000000001E-3</v>
      </c>
      <c r="AA5570">
        <v>0.97595679999999996</v>
      </c>
      <c r="AB5570">
        <v>34</v>
      </c>
      <c r="AC5570">
        <v>91.298699999999997</v>
      </c>
      <c r="AD5570">
        <v>1.9028149999999999</v>
      </c>
      <c r="AE5570">
        <v>18.199300000000001</v>
      </c>
      <c r="AF5570">
        <v>-20.3207300596526</v>
      </c>
      <c r="AG5570">
        <v>1.9028149999999999</v>
      </c>
      <c r="AH5570">
        <v>90.810231788895194</v>
      </c>
      <c r="AI5570">
        <v>88.828576261571499</v>
      </c>
      <c r="AJ5570">
        <v>102.613362664281</v>
      </c>
      <c r="AK5570">
        <v>93.0755122072093</v>
      </c>
      <c r="AL5570">
        <v>79.234756750849996</v>
      </c>
      <c r="AM5570">
        <v>89.015197343657306</v>
      </c>
      <c r="AN5570">
        <v>0.99999997157699805</v>
      </c>
    </row>
    <row r="5571" spans="1:40" x14ac:dyDescent="0.25">
      <c r="A5571" t="str">
        <f>"20190303171124547"</f>
        <v>20190303171124547</v>
      </c>
      <c r="B5571" t="str">
        <f>"1551604284536192"</f>
        <v>1551604284536192</v>
      </c>
      <c r="C5571" t="s">
        <v>40</v>
      </c>
      <c r="D5571">
        <v>4.8996399999999998</v>
      </c>
      <c r="E5571">
        <v>0.41048820000000003</v>
      </c>
      <c r="F5571" t="s">
        <v>49</v>
      </c>
      <c r="G5571">
        <v>-157.3501</v>
      </c>
      <c r="H5571">
        <v>2.961557</v>
      </c>
      <c r="I5571">
        <v>-45.102600000000002</v>
      </c>
      <c r="J5571">
        <v>-248.47730000000001</v>
      </c>
      <c r="K5571">
        <v>1.1190420000000001</v>
      </c>
      <c r="L5571">
        <v>-63.233829999999998</v>
      </c>
      <c r="M5571">
        <v>0.99968409999999996</v>
      </c>
      <c r="N5571">
        <v>-7.2818479999999996E-3</v>
      </c>
      <c r="O5571">
        <v>-2.4057289999999999E-2</v>
      </c>
      <c r="P5571">
        <v>0.9829426</v>
      </c>
      <c r="Q5571">
        <v>0.1794896</v>
      </c>
      <c r="R5571">
        <v>-4.0095279999999997E-2</v>
      </c>
      <c r="S5571">
        <v>3.0651090000000001</v>
      </c>
      <c r="T5571">
        <v>6.1856870000000001E-2</v>
      </c>
      <c r="U5571">
        <v>0.60855099999999995</v>
      </c>
      <c r="V5571">
        <v>1.700335E-2</v>
      </c>
      <c r="W5571">
        <v>0.1865966</v>
      </c>
      <c r="X5571">
        <v>0.98228950000000004</v>
      </c>
      <c r="Y5571">
        <v>-0.21824560000000001</v>
      </c>
      <c r="Z5571">
        <v>-2.0327330000000001E-3</v>
      </c>
      <c r="AA5571">
        <v>0.97589179999999998</v>
      </c>
      <c r="AB5571">
        <v>34</v>
      </c>
      <c r="AC5571">
        <v>91.127200000000002</v>
      </c>
      <c r="AD5571">
        <v>1.8425149999999999</v>
      </c>
      <c r="AE5571">
        <v>18.131229999999999</v>
      </c>
      <c r="AF5571">
        <v>-20.310326759369101</v>
      </c>
      <c r="AG5571">
        <v>1.8425149999999999</v>
      </c>
      <c r="AH5571">
        <v>90.628985363316005</v>
      </c>
      <c r="AI5571">
        <v>88.863501428777795</v>
      </c>
      <c r="AJ5571">
        <v>102.63151600357099</v>
      </c>
      <c r="AK5571">
        <v>92.895194830420195</v>
      </c>
      <c r="AL5571">
        <v>79.245768455858794</v>
      </c>
      <c r="AM5571">
        <v>89.008313835018399</v>
      </c>
      <c r="AN5571">
        <v>1.00000003342651</v>
      </c>
    </row>
    <row r="5572" spans="1:40" x14ac:dyDescent="0.25">
      <c r="A5572" t="str">
        <f>"20190303171124558"</f>
        <v>20190303171124558</v>
      </c>
      <c r="B5572" t="str">
        <f>"1551604284546604"</f>
        <v>1551604284546604</v>
      </c>
      <c r="C5572" t="s">
        <v>40</v>
      </c>
      <c r="D5572">
        <v>4.8823559999999997</v>
      </c>
      <c r="E5572">
        <v>0.41044120000000001</v>
      </c>
      <c r="F5572" t="s">
        <v>49</v>
      </c>
      <c r="G5572">
        <v>-157.3501</v>
      </c>
      <c r="H5572">
        <v>2.917681</v>
      </c>
      <c r="I5572">
        <v>-45.195140000000002</v>
      </c>
      <c r="J5572">
        <v>-248.30709999999999</v>
      </c>
      <c r="K5572">
        <v>1.1190389999999999</v>
      </c>
      <c r="L5572">
        <v>-63.238460000000003</v>
      </c>
      <c r="M5572">
        <v>0.99966790000000005</v>
      </c>
      <c r="N5572">
        <v>-7.2732830000000002E-3</v>
      </c>
      <c r="O5572">
        <v>-2.472632E-2</v>
      </c>
      <c r="P5572">
        <v>0.982908</v>
      </c>
      <c r="Q5572">
        <v>0.17947179999999999</v>
      </c>
      <c r="R5572">
        <v>-4.1014229999999999E-2</v>
      </c>
      <c r="S5572">
        <v>3.0657809999999999</v>
      </c>
      <c r="T5572">
        <v>6.0510639999999997E-2</v>
      </c>
      <c r="U5572">
        <v>0.60687259999999998</v>
      </c>
      <c r="V5572">
        <v>1.726306E-2</v>
      </c>
      <c r="W5572">
        <v>0.1865694</v>
      </c>
      <c r="X5572">
        <v>0.98229010000000005</v>
      </c>
      <c r="Y5572">
        <v>-0.21834519999999999</v>
      </c>
      <c r="Z5572">
        <v>-1.993702E-3</v>
      </c>
      <c r="AA5572">
        <v>0.97586949999999995</v>
      </c>
      <c r="AB5572">
        <v>34</v>
      </c>
      <c r="AC5572">
        <v>90.956999999999994</v>
      </c>
      <c r="AD5572">
        <v>1.7986419999999901</v>
      </c>
      <c r="AE5572">
        <v>18.043319999999898</v>
      </c>
      <c r="AF5572">
        <v>-20.279264564693602</v>
      </c>
      <c r="AG5572">
        <v>1.7986419999999901</v>
      </c>
      <c r="AH5572">
        <v>90.449002746683405</v>
      </c>
      <c r="AI5572">
        <v>88.888373501125798</v>
      </c>
      <c r="AJ5572">
        <v>102.637108834427</v>
      </c>
      <c r="AK5572">
        <v>92.711950589978201</v>
      </c>
      <c r="AL5572">
        <v>79.247354365823796</v>
      </c>
      <c r="AM5572">
        <v>88.993170481430298</v>
      </c>
      <c r="AN5572">
        <v>0.99999999740746603</v>
      </c>
    </row>
    <row r="5573" spans="1:40" x14ac:dyDescent="0.25">
      <c r="A5573" t="str">
        <f>"20190303171124569"</f>
        <v>20190303171124569</v>
      </c>
      <c r="B5573" t="str">
        <f>"1551604284556348"</f>
        <v>1551604284556348</v>
      </c>
      <c r="C5573" t="s">
        <v>40</v>
      </c>
      <c r="D5573">
        <v>4.8922429999999997</v>
      </c>
      <c r="E5573">
        <v>0.41034710000000002</v>
      </c>
      <c r="F5573" t="s">
        <v>49</v>
      </c>
      <c r="G5573">
        <v>-157.3501</v>
      </c>
      <c r="H5573">
        <v>2.8971110000000002</v>
      </c>
      <c r="I5573">
        <v>-45.312550000000002</v>
      </c>
      <c r="J5573">
        <v>-248.13409999999999</v>
      </c>
      <c r="K5573">
        <v>1.1190359999999999</v>
      </c>
      <c r="L5573">
        <v>-63.243319999999997</v>
      </c>
      <c r="M5573">
        <v>0.99965090000000001</v>
      </c>
      <c r="N5573">
        <v>-7.2610009999999996E-3</v>
      </c>
      <c r="O5573">
        <v>-2.5403820000000001E-2</v>
      </c>
      <c r="P5573">
        <v>0.98287369999999996</v>
      </c>
      <c r="Q5573">
        <v>0.17953749999999999</v>
      </c>
      <c r="R5573">
        <v>-4.1542099999999998E-2</v>
      </c>
      <c r="S5573">
        <v>3.066452</v>
      </c>
      <c r="T5573">
        <v>5.9943799999999998E-2</v>
      </c>
      <c r="U5573">
        <v>0.60433959999999998</v>
      </c>
      <c r="V5573">
        <v>1.7124360000000002E-2</v>
      </c>
      <c r="W5573">
        <v>0.18662419999999999</v>
      </c>
      <c r="X5573">
        <v>0.98228210000000005</v>
      </c>
      <c r="Y5573">
        <v>-0.21819060000000001</v>
      </c>
      <c r="Z5573">
        <v>-1.987038E-3</v>
      </c>
      <c r="AA5573">
        <v>0.9759042</v>
      </c>
      <c r="AB5573">
        <v>34</v>
      </c>
      <c r="AC5573">
        <v>90.784000000000006</v>
      </c>
      <c r="AD5573">
        <v>1.7780750000000001</v>
      </c>
      <c r="AE5573">
        <v>17.9307699999999</v>
      </c>
      <c r="AF5573">
        <v>-20.223837467893699</v>
      </c>
      <c r="AG5573">
        <v>1.7780750000000001</v>
      </c>
      <c r="AH5573">
        <v>90.265851602166094</v>
      </c>
      <c r="AI5573">
        <v>88.898814961334296</v>
      </c>
      <c r="AJ5573">
        <v>102.62842781477799</v>
      </c>
      <c r="AK5573">
        <v>92.520749662428003</v>
      </c>
      <c r="AL5573">
        <v>79.2441582344224</v>
      </c>
      <c r="AM5573">
        <v>89.001250072373395</v>
      </c>
      <c r="AN5573">
        <v>0.99999997985572897</v>
      </c>
    </row>
    <row r="5574" spans="1:40" x14ac:dyDescent="0.25">
      <c r="A5574" t="str">
        <f>"20190303171124582"</f>
        <v>20190303171124582</v>
      </c>
      <c r="B5574" t="str">
        <f>"1551604284575867"</f>
        <v>1551604284575867</v>
      </c>
      <c r="C5574" t="s">
        <v>40</v>
      </c>
      <c r="D5574">
        <v>4.9332120000000002</v>
      </c>
      <c r="E5574">
        <v>0.41012670000000001</v>
      </c>
      <c r="F5574" t="s">
        <v>49</v>
      </c>
      <c r="G5574">
        <v>-157.3501</v>
      </c>
      <c r="H5574">
        <v>2.87418</v>
      </c>
      <c r="I5574">
        <v>-45.385860000000001</v>
      </c>
      <c r="J5574">
        <v>-247.9366</v>
      </c>
      <c r="K5574">
        <v>1.11904</v>
      </c>
      <c r="L5574">
        <v>-63.249020000000002</v>
      </c>
      <c r="M5574">
        <v>0.99963100000000005</v>
      </c>
      <c r="N5574">
        <v>-7.2463429999999997E-3</v>
      </c>
      <c r="O5574">
        <v>-2.6176789999999998E-2</v>
      </c>
      <c r="P5574">
        <v>0.98280670000000003</v>
      </c>
      <c r="Q5574">
        <v>0.17973420000000001</v>
      </c>
      <c r="R5574">
        <v>-4.226837E-2</v>
      </c>
      <c r="S5574">
        <v>3.0669249999999999</v>
      </c>
      <c r="T5574">
        <v>5.9292669999999999E-2</v>
      </c>
      <c r="U5574">
        <v>0.60327149999999996</v>
      </c>
      <c r="V5574">
        <v>1.7091450000000001E-2</v>
      </c>
      <c r="W5574">
        <v>0.186806</v>
      </c>
      <c r="X5574">
        <v>0.98224809999999996</v>
      </c>
      <c r="Y5574">
        <v>-0.21859000000000001</v>
      </c>
      <c r="Z5574">
        <v>-1.9824539999999998E-3</v>
      </c>
      <c r="AA5574">
        <v>0.97581479999999998</v>
      </c>
      <c r="AB5574">
        <v>34</v>
      </c>
      <c r="AC5574">
        <v>90.586500000000001</v>
      </c>
      <c r="AD5574">
        <v>1.7551399999999999</v>
      </c>
      <c r="AE5574">
        <v>17.863159999999901</v>
      </c>
      <c r="AF5574">
        <v>-20.221057801961098</v>
      </c>
      <c r="AG5574">
        <v>1.7551399999999999</v>
      </c>
      <c r="AH5574">
        <v>90.055302974325301</v>
      </c>
      <c r="AI5574">
        <v>88.910589387605995</v>
      </c>
      <c r="AJ5574">
        <v>102.655319217211</v>
      </c>
      <c r="AK5574">
        <v>92.314296232205393</v>
      </c>
      <c r="AL5574">
        <v>79.233555235224301</v>
      </c>
      <c r="AM5574">
        <v>89.003134608114095</v>
      </c>
      <c r="AN5574">
        <v>0.99999996462635499</v>
      </c>
    </row>
    <row r="5575" spans="1:40" x14ac:dyDescent="0.25">
      <c r="A5575" t="str">
        <f>"20190303171124592"</f>
        <v>20190303171124592</v>
      </c>
      <c r="B5575" t="str">
        <f>"1551604284586604"</f>
        <v>1551604284586604</v>
      </c>
      <c r="C5575" t="s">
        <v>40</v>
      </c>
      <c r="D5575">
        <v>4.9200210000000002</v>
      </c>
      <c r="E5575">
        <v>0.4100279</v>
      </c>
      <c r="F5575" t="s">
        <v>49</v>
      </c>
      <c r="G5575">
        <v>-157.3501</v>
      </c>
      <c r="H5575">
        <v>2.845113</v>
      </c>
      <c r="I5575">
        <v>-45.461089999999999</v>
      </c>
      <c r="J5575">
        <v>-247.7791</v>
      </c>
      <c r="K5575">
        <v>1.119038</v>
      </c>
      <c r="L5575">
        <v>-63.253630000000001</v>
      </c>
      <c r="M5575">
        <v>0.99961489999999997</v>
      </c>
      <c r="N5575">
        <v>-7.2340740000000001E-3</v>
      </c>
      <c r="O5575">
        <v>-2.679231E-2</v>
      </c>
      <c r="P5575">
        <v>0.98276909999999895</v>
      </c>
      <c r="Q5575">
        <v>0.17987040000000001</v>
      </c>
      <c r="R5575">
        <v>-4.256443E-2</v>
      </c>
      <c r="S5575">
        <v>3.0677029999999998</v>
      </c>
      <c r="T5575">
        <v>5.8452610000000002E-2</v>
      </c>
      <c r="U5575">
        <v>0.60238649999999905</v>
      </c>
      <c r="V5575">
        <v>1.6783019999999999E-2</v>
      </c>
      <c r="W5575">
        <v>0.18693109999999999</v>
      </c>
      <c r="X5575">
        <v>0.98222969999999998</v>
      </c>
      <c r="Y5575">
        <v>-0.2188737</v>
      </c>
      <c r="Z5575">
        <v>-1.9638820000000001E-3</v>
      </c>
      <c r="AA5575">
        <v>0.97575120000000004</v>
      </c>
      <c r="AB5575">
        <v>34</v>
      </c>
      <c r="AC5575">
        <v>90.429000000000002</v>
      </c>
      <c r="AD5575">
        <v>1.726075</v>
      </c>
      <c r="AE5575">
        <v>17.792539999999899</v>
      </c>
      <c r="AF5575">
        <v>-20.2019315981955</v>
      </c>
      <c r="AG5575">
        <v>1.726075</v>
      </c>
      <c r="AH5575">
        <v>89.888291474237406</v>
      </c>
      <c r="AI5575">
        <v>88.926682486276704</v>
      </c>
      <c r="AJ5575">
        <v>102.666468755092</v>
      </c>
      <c r="AK5575">
        <v>92.146634878118405</v>
      </c>
      <c r="AL5575">
        <v>79.226259882774997</v>
      </c>
      <c r="AM5575">
        <v>89.021102040262406</v>
      </c>
      <c r="AN5575">
        <v>1.0000000447348001</v>
      </c>
    </row>
    <row r="5576" spans="1:40" x14ac:dyDescent="0.25">
      <c r="A5576" t="str">
        <f>"20190303171124604"</f>
        <v>20190303171124604</v>
      </c>
      <c r="B5576" t="str">
        <f>"1551604284596364"</f>
        <v>1551604284596364</v>
      </c>
      <c r="C5576" t="s">
        <v>40</v>
      </c>
      <c r="D5576">
        <v>4.9092140000000004</v>
      </c>
      <c r="E5576">
        <v>0.40991650000000002</v>
      </c>
      <c r="F5576" t="s">
        <v>49</v>
      </c>
      <c r="G5576">
        <v>-157.3501</v>
      </c>
      <c r="H5576">
        <v>2.8311060000000001</v>
      </c>
      <c r="I5576">
        <v>-45.507559999999998</v>
      </c>
      <c r="J5576">
        <v>-247.6035</v>
      </c>
      <c r="K5576">
        <v>1.1190340000000001</v>
      </c>
      <c r="L5576">
        <v>-63.25891</v>
      </c>
      <c r="M5576">
        <v>0.99959659999999995</v>
      </c>
      <c r="N5576">
        <v>-7.2188690000000002E-3</v>
      </c>
      <c r="O5576">
        <v>-2.74772E-2</v>
      </c>
      <c r="P5576">
        <v>0.98271209999999998</v>
      </c>
      <c r="Q5576">
        <v>0.1800908</v>
      </c>
      <c r="R5576">
        <v>-4.2951499999999997E-2</v>
      </c>
      <c r="S5576">
        <v>3.0680390000000002</v>
      </c>
      <c r="T5576">
        <v>5.8085680000000001E-2</v>
      </c>
      <c r="U5576">
        <v>0.60208130000000004</v>
      </c>
      <c r="V5576">
        <v>1.6498200000000001E-2</v>
      </c>
      <c r="W5576">
        <v>0.18713669999999999</v>
      </c>
      <c r="X5576">
        <v>0.98219529999999999</v>
      </c>
      <c r="Y5576">
        <v>-0.21942880000000001</v>
      </c>
      <c r="Z5576">
        <v>-1.9697130000000001E-3</v>
      </c>
      <c r="AA5576">
        <v>0.97562649999999995</v>
      </c>
      <c r="AB5576">
        <v>34</v>
      </c>
      <c r="AC5576">
        <v>90.253399999999999</v>
      </c>
      <c r="AD5576">
        <v>1.712072</v>
      </c>
      <c r="AE5576">
        <v>17.751349999999999</v>
      </c>
      <c r="AF5576">
        <v>-20.217617765351601</v>
      </c>
      <c r="AG5576">
        <v>1.712072</v>
      </c>
      <c r="AH5576">
        <v>89.700475106242195</v>
      </c>
      <c r="AI5576">
        <v>88.933306771744199</v>
      </c>
      <c r="AJ5576">
        <v>102.70166717065401</v>
      </c>
      <c r="AK5576">
        <v>91.966616187204707</v>
      </c>
      <c r="AL5576">
        <v>79.214267457930205</v>
      </c>
      <c r="AM5576">
        <v>89.0376778001026</v>
      </c>
      <c r="AN5576">
        <v>0.99999997121610895</v>
      </c>
    </row>
    <row r="5577" spans="1:40" x14ac:dyDescent="0.25">
      <c r="A5577" t="str">
        <f>"20190303171124614"</f>
        <v>20190303171124614</v>
      </c>
      <c r="B5577" t="str">
        <f>"1551604284606124"</f>
        <v>1551604284606124</v>
      </c>
      <c r="C5577" t="s">
        <v>40</v>
      </c>
      <c r="D5577">
        <v>4.9111459999999996</v>
      </c>
      <c r="E5577">
        <v>0.40979939999999998</v>
      </c>
      <c r="F5577" t="s">
        <v>49</v>
      </c>
      <c r="G5577">
        <v>-157.3501</v>
      </c>
      <c r="H5577">
        <v>2.821672</v>
      </c>
      <c r="I5577">
        <v>-45.566890000000001</v>
      </c>
      <c r="J5577">
        <v>-247.42740000000001</v>
      </c>
      <c r="K5577">
        <v>1.11903</v>
      </c>
      <c r="L5577">
        <v>-63.264339999999997</v>
      </c>
      <c r="M5577">
        <v>0.99957759999999996</v>
      </c>
      <c r="N5577">
        <v>-7.2028609999999996E-3</v>
      </c>
      <c r="O5577">
        <v>-2.8164000000000002E-2</v>
      </c>
      <c r="P5577">
        <v>0.98268440000000001</v>
      </c>
      <c r="Q5577">
        <v>0.1801933</v>
      </c>
      <c r="R5577">
        <v>-4.315484E-2</v>
      </c>
      <c r="S5577">
        <v>3.0684809999999998</v>
      </c>
      <c r="T5577">
        <v>5.7886479999999997E-2</v>
      </c>
      <c r="U5577">
        <v>0.60150150000000002</v>
      </c>
      <c r="V5577">
        <v>1.602663E-2</v>
      </c>
      <c r="W5577">
        <v>0.18722530000000001</v>
      </c>
      <c r="X5577">
        <v>0.98218629999999996</v>
      </c>
      <c r="Y5577">
        <v>-0.2198949</v>
      </c>
      <c r="Z5577">
        <v>-1.9823340000000001E-3</v>
      </c>
      <c r="AA5577">
        <v>0.97552159999999999</v>
      </c>
      <c r="AB5577">
        <v>34</v>
      </c>
      <c r="AC5577">
        <v>90.077299999999994</v>
      </c>
      <c r="AD5577">
        <v>1.70264199999999</v>
      </c>
      <c r="AE5577">
        <v>17.69745</v>
      </c>
      <c r="AF5577">
        <v>-20.220475645006001</v>
      </c>
      <c r="AG5577">
        <v>1.70264199999999</v>
      </c>
      <c r="AH5577">
        <v>89.512329247820304</v>
      </c>
      <c r="AI5577">
        <v>88.937066877106005</v>
      </c>
      <c r="AJ5577">
        <v>102.729236515799</v>
      </c>
      <c r="AK5577">
        <v>91.783569948333493</v>
      </c>
      <c r="AL5577">
        <v>79.209100540270597</v>
      </c>
      <c r="AM5577">
        <v>89.065170451787793</v>
      </c>
      <c r="AN5577">
        <v>1.00000004686846</v>
      </c>
    </row>
    <row r="5578" spans="1:40" x14ac:dyDescent="0.25">
      <c r="A5578" t="str">
        <f>"20190303171124627"</f>
        <v>20190303171124627</v>
      </c>
      <c r="B5578" t="str">
        <f>"1551604284615884"</f>
        <v>1551604284615884</v>
      </c>
      <c r="C5578" t="s">
        <v>40</v>
      </c>
      <c r="D5578">
        <v>4.9113550000000004</v>
      </c>
      <c r="E5578">
        <v>0.40966720000000001</v>
      </c>
      <c r="F5578" t="s">
        <v>49</v>
      </c>
      <c r="G5578">
        <v>-157.3501</v>
      </c>
      <c r="H5578">
        <v>2.8101189999999998</v>
      </c>
      <c r="I5578">
        <v>-45.60566</v>
      </c>
      <c r="J5578">
        <v>-247.25790000000001</v>
      </c>
      <c r="K5578">
        <v>1.1190290000000001</v>
      </c>
      <c r="L5578">
        <v>-63.269710000000003</v>
      </c>
      <c r="M5578">
        <v>0.99955890000000003</v>
      </c>
      <c r="N5578">
        <v>-7.1869029999999997E-3</v>
      </c>
      <c r="O5578">
        <v>-2.8819899999999999E-2</v>
      </c>
      <c r="P5578">
        <v>0.98273410000000005</v>
      </c>
      <c r="Q5578">
        <v>0.17983729999999901</v>
      </c>
      <c r="R5578">
        <v>-4.3506780000000002E-2</v>
      </c>
      <c r="S5578">
        <v>3.0687410000000002</v>
      </c>
      <c r="T5578">
        <v>5.761111E-2</v>
      </c>
      <c r="U5578">
        <v>0.60159300000000004</v>
      </c>
      <c r="V5578">
        <v>1.5729770000000001E-2</v>
      </c>
      <c r="W5578">
        <v>0.18685470000000001</v>
      </c>
      <c r="X5578">
        <v>0.98226159999999996</v>
      </c>
      <c r="Y5578">
        <v>-0.22054760000000001</v>
      </c>
      <c r="Z5578">
        <v>-1.9917379999999998E-3</v>
      </c>
      <c r="AA5578">
        <v>0.97537419999999997</v>
      </c>
      <c r="AB5578">
        <v>34</v>
      </c>
      <c r="AC5578">
        <v>89.907799999999995</v>
      </c>
      <c r="AD5578">
        <v>1.69108999999999</v>
      </c>
      <c r="AE5578">
        <v>17.6640499999999</v>
      </c>
      <c r="AF5578">
        <v>-20.2410179433957</v>
      </c>
      <c r="AG5578">
        <v>1.69108999999999</v>
      </c>
      <c r="AH5578">
        <v>89.330933646702306</v>
      </c>
      <c r="AI5578">
        <v>88.942290453905102</v>
      </c>
      <c r="AJ5578">
        <v>102.76677267510701</v>
      </c>
      <c r="AK5578">
        <v>91.610994421873301</v>
      </c>
      <c r="AL5578">
        <v>79.230715061452301</v>
      </c>
      <c r="AM5578">
        <v>89.082553562169494</v>
      </c>
      <c r="AN5578">
        <v>0.99999997770545102</v>
      </c>
    </row>
    <row r="5579" spans="1:40" x14ac:dyDescent="0.25">
      <c r="A5579" t="str">
        <f>"20190303171124635"</f>
        <v>20190303171124635</v>
      </c>
      <c r="B5579" t="str">
        <f>"1551604284626621"</f>
        <v>1551604284626621</v>
      </c>
      <c r="C5579" t="s">
        <v>40</v>
      </c>
      <c r="D5579">
        <v>4.9220879999999996</v>
      </c>
      <c r="E5579">
        <v>0.4095317</v>
      </c>
      <c r="F5579" t="s">
        <v>49</v>
      </c>
      <c r="G5579">
        <v>-157.3501</v>
      </c>
      <c r="H5579">
        <v>2.7583920000000002</v>
      </c>
      <c r="I5579">
        <v>-45.65334</v>
      </c>
      <c r="J5579">
        <v>-247.10769999999999</v>
      </c>
      <c r="K5579">
        <v>1.1190260000000001</v>
      </c>
      <c r="L5579">
        <v>-63.274439999999998</v>
      </c>
      <c r="M5579">
        <v>0.99954209999999999</v>
      </c>
      <c r="N5579">
        <v>-7.1727319999999898E-3</v>
      </c>
      <c r="O5579">
        <v>-2.9400599999999898E-2</v>
      </c>
      <c r="P5579">
        <v>0.98272409999999999</v>
      </c>
      <c r="Q5579">
        <v>0.17981710000000001</v>
      </c>
      <c r="R5579">
        <v>-4.3810849999999998E-2</v>
      </c>
      <c r="S5579">
        <v>3.0690770000000001</v>
      </c>
      <c r="T5579">
        <v>5.5960299999999998E-2</v>
      </c>
      <c r="U5579">
        <v>0.60134889999999996</v>
      </c>
      <c r="V5579">
        <v>1.5462099999999999E-2</v>
      </c>
      <c r="W5579">
        <v>0.18682199999999999</v>
      </c>
      <c r="X5579">
        <v>0.98227209999999998</v>
      </c>
      <c r="Y5579">
        <v>-0.2210211</v>
      </c>
      <c r="Z5579">
        <v>-1.935745E-3</v>
      </c>
      <c r="AA5579">
        <v>0.97526710000000005</v>
      </c>
      <c r="AB5579">
        <v>34</v>
      </c>
      <c r="AC5579">
        <v>89.757599999999996</v>
      </c>
      <c r="AD5579">
        <v>1.6393659999999901</v>
      </c>
      <c r="AE5579">
        <v>17.621099999999998</v>
      </c>
      <c r="AF5579">
        <v>-20.245973853539599</v>
      </c>
      <c r="AG5579">
        <v>1.6393659999999901</v>
      </c>
      <c r="AH5579">
        <v>89.172069688748394</v>
      </c>
      <c r="AI5579">
        <v>88.9729101353185</v>
      </c>
      <c r="AJ5579">
        <v>102.791798184076</v>
      </c>
      <c r="AK5579">
        <v>91.456246318855506</v>
      </c>
      <c r="AL5579">
        <v>79.232622539999795</v>
      </c>
      <c r="AM5579">
        <v>89.098172582141302</v>
      </c>
      <c r="AN5579">
        <v>1.00000000732941</v>
      </c>
    </row>
    <row r="5580" spans="1:40" x14ac:dyDescent="0.25">
      <c r="A5580" t="str">
        <f>"20190303171124648"</f>
        <v>20190303171124648</v>
      </c>
      <c r="B5580" t="str">
        <f>"1551604284636380"</f>
        <v>1551604284636380</v>
      </c>
      <c r="C5580" t="s">
        <v>40</v>
      </c>
      <c r="D5580">
        <v>4.9532559999999997</v>
      </c>
      <c r="E5580">
        <v>0.4094023</v>
      </c>
      <c r="F5580" t="s">
        <v>49</v>
      </c>
      <c r="G5580">
        <v>-157.3501</v>
      </c>
      <c r="H5580">
        <v>2.7444090000000001</v>
      </c>
      <c r="I5580">
        <v>-45.689149999999998</v>
      </c>
      <c r="J5580">
        <v>-246.92679999999999</v>
      </c>
      <c r="K5580">
        <v>1.1190279999999999</v>
      </c>
      <c r="L5580">
        <v>-63.2804</v>
      </c>
      <c r="M5580">
        <v>0.99952169999999896</v>
      </c>
      <c r="N5580">
        <v>-7.15382E-3</v>
      </c>
      <c r="O5580">
        <v>-3.008802E-2</v>
      </c>
      <c r="P5580">
        <v>0.98274649999999997</v>
      </c>
      <c r="Q5580">
        <v>0.17967839999999999</v>
      </c>
      <c r="R5580">
        <v>-4.3873889999999999E-2</v>
      </c>
      <c r="S5580">
        <v>3.069366</v>
      </c>
      <c r="T5580">
        <v>5.558109E-2</v>
      </c>
      <c r="U5580">
        <v>0.60134889999999996</v>
      </c>
      <c r="V5580">
        <v>1.484488E-2</v>
      </c>
      <c r="W5580">
        <v>0.1866669</v>
      </c>
      <c r="X5580">
        <v>0.98231109999999999</v>
      </c>
      <c r="Y5580">
        <v>-0.2216746</v>
      </c>
      <c r="Z5580">
        <v>-1.940663E-3</v>
      </c>
      <c r="AA5580">
        <v>0.97511879999999995</v>
      </c>
      <c r="AB5580">
        <v>34</v>
      </c>
      <c r="AC5580">
        <v>89.576699999999903</v>
      </c>
      <c r="AD5580">
        <v>1.625381</v>
      </c>
      <c r="AE5580">
        <v>17.591249999999999</v>
      </c>
      <c r="AF5580">
        <v>-20.272112931684401</v>
      </c>
      <c r="AG5580">
        <v>1.625381</v>
      </c>
      <c r="AH5580">
        <v>88.978634971848393</v>
      </c>
      <c r="AI5580">
        <v>88.979630501146104</v>
      </c>
      <c r="AJ5580">
        <v>102.83469120009801</v>
      </c>
      <c r="AK5580">
        <v>91.273204762205907</v>
      </c>
      <c r="AL5580">
        <v>79.241668158452995</v>
      </c>
      <c r="AM5580">
        <v>89.134200732123503</v>
      </c>
      <c r="AN5580">
        <v>0.999999999600517</v>
      </c>
    </row>
    <row r="5581" spans="1:40" x14ac:dyDescent="0.25">
      <c r="A5581" t="str">
        <f>"20190303171124660"</f>
        <v>20190303171124660</v>
      </c>
      <c r="B5581" t="str">
        <f>"1551604284646780"</f>
        <v>1551604284646780</v>
      </c>
      <c r="C5581" t="s">
        <v>40</v>
      </c>
      <c r="D5581">
        <v>4.9427919999999999</v>
      </c>
      <c r="E5581">
        <v>0.40925739999999999</v>
      </c>
      <c r="F5581" t="s">
        <v>49</v>
      </c>
      <c r="G5581">
        <v>-157.3501</v>
      </c>
      <c r="H5581">
        <v>2.7171569999999998</v>
      </c>
      <c r="I5581">
        <v>-45.705860000000001</v>
      </c>
      <c r="J5581">
        <v>-246.75630000000001</v>
      </c>
      <c r="K5581">
        <v>1.1190340000000001</v>
      </c>
      <c r="L5581">
        <v>-63.28604</v>
      </c>
      <c r="M5581">
        <v>0.99950220000000001</v>
      </c>
      <c r="N5581">
        <v>-7.1359469999999897E-3</v>
      </c>
      <c r="O5581">
        <v>-3.0730009999999999E-2</v>
      </c>
      <c r="P5581">
        <v>0.9827494</v>
      </c>
      <c r="Q5581">
        <v>0.179507</v>
      </c>
      <c r="R5581">
        <v>-4.4508199999999998E-2</v>
      </c>
      <c r="S5581">
        <v>3.0695649999999999</v>
      </c>
      <c r="T5581">
        <v>5.4763079999999999E-2</v>
      </c>
      <c r="U5581">
        <v>0.60223389999999999</v>
      </c>
      <c r="V5581">
        <v>1.4842910000000001E-2</v>
      </c>
      <c r="W5581">
        <v>0.18647859999999999</v>
      </c>
      <c r="X5581">
        <v>0.98234690000000002</v>
      </c>
      <c r="Y5581">
        <v>-0.22256039999999999</v>
      </c>
      <c r="Z5581">
        <v>-1.9252049999999999E-3</v>
      </c>
      <c r="AA5581">
        <v>0.97491700000000003</v>
      </c>
      <c r="AB5581">
        <v>34</v>
      </c>
      <c r="AC5581">
        <v>89.406199999999998</v>
      </c>
      <c r="AD5581">
        <v>1.59812299999999</v>
      </c>
      <c r="AE5581">
        <v>17.580179999999999</v>
      </c>
      <c r="AF5581">
        <v>-20.313151683284399</v>
      </c>
      <c r="AG5581">
        <v>1.59812299999999</v>
      </c>
      <c r="AH5581">
        <v>88.796405094508302</v>
      </c>
      <c r="AI5581">
        <v>88.994883054454505</v>
      </c>
      <c r="AJ5581">
        <v>102.88532180535201</v>
      </c>
      <c r="AK5581">
        <v>91.1042243045802</v>
      </c>
      <c r="AL5581">
        <v>79.252649848945595</v>
      </c>
      <c r="AM5581">
        <v>89.134347154751794</v>
      </c>
      <c r="AN5581">
        <v>1.0000000060874099</v>
      </c>
    </row>
    <row r="5582" spans="1:40" x14ac:dyDescent="0.25">
      <c r="A5582" t="str">
        <f>"20190303171124670"</f>
        <v>20190303171124670</v>
      </c>
      <c r="B5582" t="str">
        <f>"1551604284666274"</f>
        <v>1551604284666274</v>
      </c>
      <c r="C5582" t="s">
        <v>40</v>
      </c>
      <c r="D5582">
        <v>4.9404070000000004</v>
      </c>
      <c r="E5582">
        <v>0.40895939999999997</v>
      </c>
      <c r="F5582" t="s">
        <v>49</v>
      </c>
      <c r="G5582">
        <v>-157.3501</v>
      </c>
      <c r="H5582">
        <v>2.6738279999999999</v>
      </c>
      <c r="I5582">
        <v>-45.778480000000002</v>
      </c>
      <c r="J5582">
        <v>-246.5787</v>
      </c>
      <c r="K5582">
        <v>1.1190439999999999</v>
      </c>
      <c r="L5582">
        <v>-63.292050000000003</v>
      </c>
      <c r="M5582">
        <v>0.99948219999999999</v>
      </c>
      <c r="N5582">
        <v>-7.1171359999999996E-3</v>
      </c>
      <c r="O5582">
        <v>-3.1381819999999998E-2</v>
      </c>
      <c r="P5582">
        <v>0.98271350000000002</v>
      </c>
      <c r="Q5582">
        <v>0.17962059999999999</v>
      </c>
      <c r="R5582">
        <v>-4.4840539999999998E-2</v>
      </c>
      <c r="S5582">
        <v>3.0701450000000001</v>
      </c>
      <c r="T5582">
        <v>5.3389789999999999E-2</v>
      </c>
      <c r="U5582">
        <v>0.60119630000000002</v>
      </c>
      <c r="V5582">
        <v>1.4529169999999999E-2</v>
      </c>
      <c r="W5582">
        <v>0.18657509999999999</v>
      </c>
      <c r="X5582">
        <v>0.98233320000000002</v>
      </c>
      <c r="Y5582">
        <v>-0.2228455</v>
      </c>
      <c r="Z5582">
        <v>-1.880743E-3</v>
      </c>
      <c r="AA5582">
        <v>0.97485200000000005</v>
      </c>
      <c r="AB5582">
        <v>34</v>
      </c>
      <c r="AC5582">
        <v>89.2286</v>
      </c>
      <c r="AD5582">
        <v>1.55478399999999</v>
      </c>
      <c r="AE5582">
        <v>17.513570000000001</v>
      </c>
      <c r="AF5582">
        <v>-20.299235539078499</v>
      </c>
      <c r="AG5582">
        <v>1.55478399999999</v>
      </c>
      <c r="AH5582">
        <v>88.609122788980002</v>
      </c>
      <c r="AI5582">
        <v>89.020138320671904</v>
      </c>
      <c r="AJ5582">
        <v>102.903094783744</v>
      </c>
      <c r="AK5582">
        <v>90.917836303940803</v>
      </c>
      <c r="AL5582">
        <v>79.247021321249704</v>
      </c>
      <c r="AM5582">
        <v>89.152630261957697</v>
      </c>
      <c r="AN5582">
        <v>0.99999994027156702</v>
      </c>
    </row>
    <row r="5583" spans="1:40" x14ac:dyDescent="0.25">
      <c r="A5583" t="str">
        <f>"20190303171124682"</f>
        <v>20190303171124682</v>
      </c>
      <c r="B5583" t="str">
        <f>"1551604284676033"</f>
        <v>1551604284676033</v>
      </c>
      <c r="C5583" t="s">
        <v>40</v>
      </c>
      <c r="D5583">
        <v>4.9425019999999904</v>
      </c>
      <c r="E5583">
        <v>0.40881319999999999</v>
      </c>
      <c r="F5583" t="s">
        <v>49</v>
      </c>
      <c r="G5583">
        <v>-157.3501</v>
      </c>
      <c r="H5583">
        <v>2.663859</v>
      </c>
      <c r="I5583">
        <v>-45.789610000000003</v>
      </c>
      <c r="J5583">
        <v>-246.3973</v>
      </c>
      <c r="K5583">
        <v>1.1190580000000001</v>
      </c>
      <c r="L5583">
        <v>-63.298340000000003</v>
      </c>
      <c r="M5583">
        <v>0.99946179999999996</v>
      </c>
      <c r="N5583">
        <v>-7.0986010000000004E-3</v>
      </c>
      <c r="O5583">
        <v>-3.2031919999999998E-2</v>
      </c>
      <c r="P5583">
        <v>0.98260590000000003</v>
      </c>
      <c r="Q5583">
        <v>0.18004500000000001</v>
      </c>
      <c r="R5583">
        <v>-4.549566E-2</v>
      </c>
      <c r="S5583">
        <v>3.070541</v>
      </c>
      <c r="T5583">
        <v>5.315959E-2</v>
      </c>
      <c r="U5583">
        <v>0.60229489999999997</v>
      </c>
      <c r="V5583">
        <v>1.454076E-2</v>
      </c>
      <c r="W5583">
        <v>0.1869807</v>
      </c>
      <c r="X5583">
        <v>0.98225589999999996</v>
      </c>
      <c r="Y5583">
        <v>-0.22379160000000001</v>
      </c>
      <c r="Z5583">
        <v>-1.89167E-3</v>
      </c>
      <c r="AA5583">
        <v>0.97463520000000003</v>
      </c>
      <c r="AB5583">
        <v>34</v>
      </c>
      <c r="AC5583">
        <v>89.047200000000004</v>
      </c>
      <c r="AD5583">
        <v>1.5448010000000001</v>
      </c>
      <c r="AE5583">
        <v>17.50873</v>
      </c>
      <c r="AF5583">
        <v>-20.346273641087301</v>
      </c>
      <c r="AG5583">
        <v>1.5448010000000001</v>
      </c>
      <c r="AH5583">
        <v>88.415031846044599</v>
      </c>
      <c r="AI5583">
        <v>89.024512003426295</v>
      </c>
      <c r="AJ5583">
        <v>102.959421492239</v>
      </c>
      <c r="AK5583">
        <v>90.739049573734704</v>
      </c>
      <c r="AL5583">
        <v>79.223365803531905</v>
      </c>
      <c r="AM5583">
        <v>89.151887680683004</v>
      </c>
      <c r="AN5583">
        <v>0.99999993447933599</v>
      </c>
    </row>
    <row r="5584" spans="1:40" x14ac:dyDescent="0.25">
      <c r="A5584" t="str">
        <f>"20190303171124693"</f>
        <v>20190303171124693</v>
      </c>
      <c r="B5584" t="str">
        <f>"1551604284686769"</f>
        <v>1551604284686769</v>
      </c>
      <c r="C5584" t="s">
        <v>40</v>
      </c>
      <c r="D5584">
        <v>4.9715540000000003</v>
      </c>
      <c r="E5584">
        <v>0.4086804</v>
      </c>
      <c r="F5584" t="s">
        <v>49</v>
      </c>
      <c r="G5584">
        <v>-157.3501</v>
      </c>
      <c r="H5584">
        <v>2.6925439999999998</v>
      </c>
      <c r="I5584">
        <v>-45.862479999999998</v>
      </c>
      <c r="J5584">
        <v>-246.21870000000001</v>
      </c>
      <c r="K5584">
        <v>1.1190789999999999</v>
      </c>
      <c r="L5584">
        <v>-63.304569999999998</v>
      </c>
      <c r="M5584">
        <v>0.99944160000000004</v>
      </c>
      <c r="N5584">
        <v>-7.0809810000000001E-3</v>
      </c>
      <c r="O5584">
        <v>-3.2657659999999998E-2</v>
      </c>
      <c r="P5584">
        <v>0.98249140000000001</v>
      </c>
      <c r="Q5584">
        <v>0.18050749999999999</v>
      </c>
      <c r="R5584">
        <v>-4.612699E-2</v>
      </c>
      <c r="S5584">
        <v>3.0710139999999999</v>
      </c>
      <c r="T5584">
        <v>5.4264899999999998E-2</v>
      </c>
      <c r="U5584">
        <v>0.60131840000000003</v>
      </c>
      <c r="V5584">
        <v>1.455184E-2</v>
      </c>
      <c r="W5584">
        <v>0.18742619999999999</v>
      </c>
      <c r="X5584">
        <v>0.98217089999999996</v>
      </c>
      <c r="Y5584">
        <v>-0.22407340000000001</v>
      </c>
      <c r="Z5584">
        <v>-1.9609520000000002E-3</v>
      </c>
      <c r="AA5584">
        <v>0.9745703</v>
      </c>
      <c r="AB5584">
        <v>35</v>
      </c>
      <c r="AC5584">
        <v>88.868600000000001</v>
      </c>
      <c r="AD5584">
        <v>1.5734649999999899</v>
      </c>
      <c r="AE5584">
        <v>17.44209</v>
      </c>
      <c r="AF5584">
        <v>-20.3289624410349</v>
      </c>
      <c r="AG5584">
        <v>1.5734649999999899</v>
      </c>
      <c r="AH5584">
        <v>88.224931354433906</v>
      </c>
      <c r="AI5584">
        <v>89.004340037867493</v>
      </c>
      <c r="AJ5584">
        <v>102.97572475779801</v>
      </c>
      <c r="AK5584">
        <v>90.550433563455698</v>
      </c>
      <c r="AL5584">
        <v>79.197381942409606</v>
      </c>
      <c r="AM5584">
        <v>89.151168073704198</v>
      </c>
      <c r="AN5584">
        <v>1.0000000066503101</v>
      </c>
    </row>
    <row r="5585" spans="1:40" x14ac:dyDescent="0.25">
      <c r="A5585" t="str">
        <f>"20190303171124704"</f>
        <v>20190303171124704</v>
      </c>
      <c r="B5585" t="str">
        <f>"1551604284696531"</f>
        <v>1551604284696531</v>
      </c>
      <c r="C5585" t="s">
        <v>40</v>
      </c>
      <c r="D5585">
        <v>4.9613310000000004</v>
      </c>
      <c r="E5585">
        <v>0.40850979999999998</v>
      </c>
      <c r="F5585" t="s">
        <v>49</v>
      </c>
      <c r="G5585">
        <v>-157.3501</v>
      </c>
      <c r="H5585">
        <v>2.7304369999999998</v>
      </c>
      <c r="I5585">
        <v>-45.930819999999997</v>
      </c>
      <c r="J5585">
        <v>-246.0574</v>
      </c>
      <c r="K5585">
        <v>1.1191040000000001</v>
      </c>
      <c r="L5585">
        <v>-63.310299999999998</v>
      </c>
      <c r="M5585">
        <v>0.99942399999999998</v>
      </c>
      <c r="N5585">
        <v>-7.0642469999999897E-3</v>
      </c>
      <c r="O5585">
        <v>-3.3193830000000001E-2</v>
      </c>
      <c r="P5585">
        <v>0.98233090000000001</v>
      </c>
      <c r="Q5585">
        <v>0.18113650000000001</v>
      </c>
      <c r="R5585">
        <v>-4.7074659999999997E-2</v>
      </c>
      <c r="S5585">
        <v>3.0714419999999998</v>
      </c>
      <c r="T5585">
        <v>5.5690410000000003E-2</v>
      </c>
      <c r="U5585">
        <v>0.60046390000000005</v>
      </c>
      <c r="V5585">
        <v>1.496682E-2</v>
      </c>
      <c r="W5585">
        <v>0.18803739999999999</v>
      </c>
      <c r="X5585">
        <v>0.98204780000000003</v>
      </c>
      <c r="Y5585">
        <v>-0.22430749999999999</v>
      </c>
      <c r="Z5585">
        <v>-2.043226E-3</v>
      </c>
      <c r="AA5585">
        <v>0.9745163</v>
      </c>
      <c r="AB5585">
        <v>35</v>
      </c>
      <c r="AC5585">
        <v>88.707300000000004</v>
      </c>
      <c r="AD5585">
        <v>1.6113329999999899</v>
      </c>
      <c r="AE5585">
        <v>17.379479999999901</v>
      </c>
      <c r="AF5585">
        <v>-20.308057671161102</v>
      </c>
      <c r="AG5585">
        <v>1.6113329999999899</v>
      </c>
      <c r="AH5585">
        <v>88.053528480818699</v>
      </c>
      <c r="AI5585">
        <v>88.978445716444597</v>
      </c>
      <c r="AJ5585">
        <v>102.987210869211</v>
      </c>
      <c r="AK5585">
        <v>90.379408486305394</v>
      </c>
      <c r="AL5585">
        <v>79.161728519688197</v>
      </c>
      <c r="AM5585">
        <v>89.126855908021398</v>
      </c>
      <c r="AN5585">
        <v>0.99999997549225506</v>
      </c>
    </row>
    <row r="5586" spans="1:40" x14ac:dyDescent="0.25">
      <c r="A5586" t="str">
        <f>"20190303171124714"</f>
        <v>20190303171124714</v>
      </c>
      <c r="B5586" t="str">
        <f>"1551604284706290"</f>
        <v>1551604284706290</v>
      </c>
      <c r="C5586" t="s">
        <v>40</v>
      </c>
      <c r="D5586">
        <v>4.9782869999999999</v>
      </c>
      <c r="E5586">
        <v>0.40840579999999999</v>
      </c>
      <c r="F5586" t="s">
        <v>49</v>
      </c>
      <c r="G5586">
        <v>-157.3501</v>
      </c>
      <c r="H5586">
        <v>2.7854410000000001</v>
      </c>
      <c r="I5586">
        <v>-46.012700000000002</v>
      </c>
      <c r="J5586">
        <v>-245.89830000000001</v>
      </c>
      <c r="K5586">
        <v>1.1191279999999999</v>
      </c>
      <c r="L5586">
        <v>-63.315980000000003</v>
      </c>
      <c r="M5586">
        <v>0.99940680000000004</v>
      </c>
      <c r="N5586">
        <v>-7.0475140000000004E-3</v>
      </c>
      <c r="O5586">
        <v>-3.3714500000000001E-2</v>
      </c>
      <c r="P5586">
        <v>0.98220949999999996</v>
      </c>
      <c r="Q5586">
        <v>0.1816323</v>
      </c>
      <c r="R5586">
        <v>-4.7688689999999999E-2</v>
      </c>
      <c r="S5586">
        <v>3.072006</v>
      </c>
      <c r="T5586">
        <v>5.7705880000000001E-2</v>
      </c>
      <c r="U5586">
        <v>0.59902949999999999</v>
      </c>
      <c r="V5586">
        <v>1.506188E-2</v>
      </c>
      <c r="W5586">
        <v>0.18851699999999999</v>
      </c>
      <c r="X5586">
        <v>0.98195449999999995</v>
      </c>
      <c r="Y5586">
        <v>-0.2243404</v>
      </c>
      <c r="Z5586">
        <v>-2.1522379999999999E-3</v>
      </c>
      <c r="AA5586">
        <v>0.9745085</v>
      </c>
      <c r="AB5586">
        <v>35</v>
      </c>
      <c r="AC5586">
        <v>88.548199999999994</v>
      </c>
      <c r="AD5586">
        <v>1.6663129999999999</v>
      </c>
      <c r="AE5586">
        <v>17.303279999999901</v>
      </c>
      <c r="AF5586">
        <v>-20.271959962314099</v>
      </c>
      <c r="AG5586">
        <v>1.6663129999999999</v>
      </c>
      <c r="AH5586">
        <v>87.884495238008995</v>
      </c>
      <c r="AI5586">
        <v>88.941573452323098</v>
      </c>
      <c r="AJ5586">
        <v>102.988997929646</v>
      </c>
      <c r="AK5586">
        <v>90.207613109799397</v>
      </c>
      <c r="AL5586">
        <v>79.133750223611699</v>
      </c>
      <c r="AM5586">
        <v>89.121227627418605</v>
      </c>
      <c r="AN5586">
        <v>1.0000000797941799</v>
      </c>
    </row>
    <row r="5587" spans="1:40" x14ac:dyDescent="0.25">
      <c r="A5587" t="str">
        <f>"20190303171124725"</f>
        <v>20190303171124725</v>
      </c>
      <c r="B5587" t="str">
        <f>"1551604284716049"</f>
        <v>1551604284716049</v>
      </c>
      <c r="C5587" t="s">
        <v>40</v>
      </c>
      <c r="D5587">
        <v>5.1825380000000001</v>
      </c>
      <c r="E5587">
        <v>0.40840579999999999</v>
      </c>
      <c r="F5587" t="s">
        <v>49</v>
      </c>
      <c r="G5587">
        <v>-157.3501</v>
      </c>
      <c r="H5587">
        <v>2.8301319999999999</v>
      </c>
      <c r="I5587">
        <v>-46.075380000000003</v>
      </c>
      <c r="J5587">
        <v>-245.72460000000001</v>
      </c>
      <c r="K5587">
        <v>1.1191660000000001</v>
      </c>
      <c r="L5587">
        <v>-63.322330000000001</v>
      </c>
      <c r="M5587">
        <v>0.99938919999999998</v>
      </c>
      <c r="N5587">
        <v>-7.029291E-3</v>
      </c>
      <c r="O5587">
        <v>-3.4235849999999998E-2</v>
      </c>
      <c r="P5587">
        <v>0.98217989999999999</v>
      </c>
      <c r="Q5587">
        <v>0.18158579999999999</v>
      </c>
      <c r="R5587">
        <v>-4.8472380000000002E-2</v>
      </c>
      <c r="S5587">
        <v>3.072403</v>
      </c>
      <c r="T5587">
        <v>5.9366820000000001E-2</v>
      </c>
      <c r="U5587">
        <v>0.5982056</v>
      </c>
      <c r="V5587">
        <v>1.531532E-2</v>
      </c>
      <c r="W5587">
        <v>0.18845319999999999</v>
      </c>
      <c r="X5587">
        <v>0.98196269999999997</v>
      </c>
      <c r="Y5587">
        <v>-0.22457079999999999</v>
      </c>
      <c r="Z5587">
        <v>-2.2465689999999999E-3</v>
      </c>
      <c r="AA5587">
        <v>0.97445519999999997</v>
      </c>
      <c r="AB5587">
        <v>35</v>
      </c>
      <c r="AC5587">
        <v>88.374499999999998</v>
      </c>
      <c r="AD5587">
        <v>1.710966</v>
      </c>
      <c r="AE5587">
        <v>17.246949999999998</v>
      </c>
      <c r="AF5587">
        <v>-20.2551758766005</v>
      </c>
      <c r="AG5587">
        <v>1.710966</v>
      </c>
      <c r="AH5587">
        <v>87.700545864610106</v>
      </c>
      <c r="AI5587">
        <v>88.911007819512093</v>
      </c>
      <c r="AJ5587">
        <v>103.004905781632</v>
      </c>
      <c r="AK5587">
        <v>90.025470281447298</v>
      </c>
      <c r="AL5587">
        <v>79.137471048215005</v>
      </c>
      <c r="AM5587">
        <v>89.106450727849094</v>
      </c>
      <c r="AN5587">
        <v>0.99999995590411495</v>
      </c>
    </row>
    <row r="5588" spans="1:40" x14ac:dyDescent="0.25">
      <c r="A5588" t="str">
        <f>"20190303171124736"</f>
        <v>20190303171124736</v>
      </c>
      <c r="B5588" t="str">
        <f>"1551604284726786"</f>
        <v>1551604284726786</v>
      </c>
      <c r="C5588" t="s">
        <v>40</v>
      </c>
      <c r="D5588">
        <v>5.1395540000000004</v>
      </c>
      <c r="E5588">
        <v>0.43399070000000001</v>
      </c>
      <c r="F5588" t="s">
        <v>49</v>
      </c>
      <c r="G5588">
        <v>-157.3501</v>
      </c>
      <c r="H5588">
        <v>2.8233929999999998</v>
      </c>
      <c r="I5588">
        <v>-46.187519999999999</v>
      </c>
      <c r="J5588">
        <v>-245.5498</v>
      </c>
      <c r="K5588">
        <v>1.119202</v>
      </c>
      <c r="L5588">
        <v>-63.328699999999998</v>
      </c>
      <c r="M5588">
        <v>0.99937160000000003</v>
      </c>
      <c r="N5588">
        <v>-7.011074E-3</v>
      </c>
      <c r="O5588">
        <v>-3.4748349999999997E-2</v>
      </c>
      <c r="P5588">
        <v>0.98211740000000003</v>
      </c>
      <c r="Q5588">
        <v>0.1817378</v>
      </c>
      <c r="R5588">
        <v>-4.9161910000000003E-2</v>
      </c>
      <c r="S5588">
        <v>3.0728759999999999</v>
      </c>
      <c r="T5588">
        <v>5.9257030000000002E-2</v>
      </c>
      <c r="U5588">
        <v>0.59579469999999901</v>
      </c>
      <c r="V5588">
        <v>1.5484360000000001E-2</v>
      </c>
      <c r="W5588">
        <v>0.18858810000000001</v>
      </c>
      <c r="X5588">
        <v>0.98193419999999998</v>
      </c>
      <c r="Y5588">
        <v>-0.22430559999999999</v>
      </c>
      <c r="Z5588">
        <v>-2.2544549999999998E-3</v>
      </c>
      <c r="AA5588">
        <v>0.97451620000000005</v>
      </c>
      <c r="AB5588">
        <v>35</v>
      </c>
      <c r="AC5588">
        <v>88.199700000000007</v>
      </c>
      <c r="AD5588">
        <v>1.70419099999999</v>
      </c>
      <c r="AE5588">
        <v>17.141179999999999</v>
      </c>
      <c r="AF5588">
        <v>-20.188434101493499</v>
      </c>
      <c r="AG5588">
        <v>1.70419099999999</v>
      </c>
      <c r="AH5588">
        <v>87.519305638317604</v>
      </c>
      <c r="AI5588">
        <v>88.913005534882899</v>
      </c>
      <c r="AJ5588">
        <v>102.98943984475601</v>
      </c>
      <c r="AK5588">
        <v>89.833768694450796</v>
      </c>
      <c r="AL5588">
        <v>79.129601266399405</v>
      </c>
      <c r="AM5588">
        <v>89.096563752787603</v>
      </c>
      <c r="AN5588">
        <v>1.0000000049979201</v>
      </c>
    </row>
    <row r="5589" spans="1:40" x14ac:dyDescent="0.25">
      <c r="A5589" t="str">
        <f>"20190303171124748"</f>
        <v>20190303171124748</v>
      </c>
      <c r="B5589" t="str">
        <f>"1551604284736545"</f>
        <v>1551604284736545</v>
      </c>
      <c r="C5589" t="s">
        <v>40</v>
      </c>
      <c r="D5589">
        <v>5.0764180000000003</v>
      </c>
      <c r="E5589">
        <v>0.44567250000000003</v>
      </c>
      <c r="F5589" t="s">
        <v>49</v>
      </c>
      <c r="G5589">
        <v>-157.9383</v>
      </c>
      <c r="H5589">
        <v>0.37333189999999999</v>
      </c>
      <c r="I5589">
        <v>-52.183610000000002</v>
      </c>
      <c r="J5589">
        <v>-245.37819999999999</v>
      </c>
      <c r="K5589">
        <v>1.1192409999999999</v>
      </c>
      <c r="L5589">
        <v>-63.335079999999998</v>
      </c>
      <c r="M5589">
        <v>0.99935620000000003</v>
      </c>
      <c r="N5589">
        <v>-6.9946560000000001E-3</v>
      </c>
      <c r="O5589">
        <v>-3.5187209999999997E-2</v>
      </c>
      <c r="P5589">
        <v>0.98212489999999997</v>
      </c>
      <c r="Q5589">
        <v>0.1815234</v>
      </c>
      <c r="R5589">
        <v>-4.9797309999999997E-2</v>
      </c>
      <c r="S5589">
        <v>3.0791019999999998</v>
      </c>
      <c r="T5589">
        <v>-2.621424E-2</v>
      </c>
      <c r="U5589">
        <v>0.39169310000000002</v>
      </c>
      <c r="V5589">
        <v>1.56633999999999E-2</v>
      </c>
      <c r="W5589">
        <v>0.18835959999999999</v>
      </c>
      <c r="X5589">
        <v>0.98197520000000005</v>
      </c>
      <c r="Y5589">
        <v>-0.1610113</v>
      </c>
      <c r="Z5589">
        <v>1.3014700000000001E-3</v>
      </c>
      <c r="AA5589">
        <v>0.98695169999999999</v>
      </c>
      <c r="AB5589">
        <v>35</v>
      </c>
      <c r="AC5589">
        <v>87.439899999999994</v>
      </c>
      <c r="AD5589">
        <v>-0.74590909999999899</v>
      </c>
      <c r="AE5589">
        <v>11.15147</v>
      </c>
      <c r="AF5589">
        <v>-14.2203873051835</v>
      </c>
      <c r="AG5589">
        <v>-0.74590909999999899</v>
      </c>
      <c r="AH5589">
        <v>86.987121683606901</v>
      </c>
      <c r="AI5589">
        <v>90.4848598289568</v>
      </c>
      <c r="AJ5589">
        <v>99.284411532630102</v>
      </c>
      <c r="AK5589">
        <v>88.144966585129097</v>
      </c>
      <c r="AL5589">
        <v>79.142932071969</v>
      </c>
      <c r="AM5589">
        <v>89.086157561300894</v>
      </c>
      <c r="AN5589">
        <v>0.99999998721338001</v>
      </c>
    </row>
    <row r="5590" spans="1:40" x14ac:dyDescent="0.25">
      <c r="A5590" t="str">
        <f>"20190303171124759"</f>
        <v>20190303171124759</v>
      </c>
      <c r="B5590" t="str">
        <f>"1551604284746306"</f>
        <v>1551604284746306</v>
      </c>
      <c r="C5590" t="s">
        <v>40</v>
      </c>
      <c r="D5590">
        <v>5.0810329999999997</v>
      </c>
      <c r="E5590">
        <v>0.45443299999999998</v>
      </c>
      <c r="F5590" t="s">
        <v>41</v>
      </c>
      <c r="G5590">
        <v>-163.27719999999999</v>
      </c>
      <c r="H5590">
        <v>-0.05</v>
      </c>
      <c r="I5590">
        <v>-55.413350000000001</v>
      </c>
      <c r="J5590">
        <v>-245.20089999999999</v>
      </c>
      <c r="K5590">
        <v>1.119291</v>
      </c>
      <c r="L5590">
        <v>-63.341709999999999</v>
      </c>
      <c r="M5590">
        <v>0.99934100000000003</v>
      </c>
      <c r="N5590">
        <v>-6.9781729999999998E-3</v>
      </c>
      <c r="O5590">
        <v>-3.5622460000000002E-2</v>
      </c>
      <c r="P5590">
        <v>0.9821299</v>
      </c>
      <c r="Q5590">
        <v>0.18133540000000001</v>
      </c>
      <c r="R5590">
        <v>-5.0383150000000002E-2</v>
      </c>
      <c r="S5590">
        <v>3.0777589999999999</v>
      </c>
      <c r="T5590">
        <v>-4.3831830000000002E-2</v>
      </c>
      <c r="U5590">
        <v>0.29696660000000002</v>
      </c>
      <c r="V5590">
        <v>1.579525E-2</v>
      </c>
      <c r="W5590">
        <v>0.18815680000000001</v>
      </c>
      <c r="X5590">
        <v>0.982012</v>
      </c>
      <c r="Y5590">
        <v>-0.13141889999999901</v>
      </c>
      <c r="Z5590">
        <v>1.6515379999999999E-3</v>
      </c>
      <c r="AA5590">
        <v>0.99132560000000003</v>
      </c>
      <c r="AB5590">
        <v>35</v>
      </c>
      <c r="AC5590">
        <v>81.923699999999997</v>
      </c>
      <c r="AD5590">
        <v>-1.1692910000000001</v>
      </c>
      <c r="AE5590">
        <v>7.9283599999999899</v>
      </c>
      <c r="AF5590">
        <v>-10.839534725169001</v>
      </c>
      <c r="AG5590">
        <v>-1.1692910000000001</v>
      </c>
      <c r="AH5590">
        <v>81.572803958480506</v>
      </c>
      <c r="AI5590">
        <v>90.814085073593404</v>
      </c>
      <c r="AJ5590">
        <v>97.569218461226598</v>
      </c>
      <c r="AK5590">
        <v>82.298147610681497</v>
      </c>
      <c r="AL5590">
        <v>79.154763558803793</v>
      </c>
      <c r="AM5590">
        <v>89.078500946965505</v>
      </c>
      <c r="AN5590">
        <v>1.0000000197264001</v>
      </c>
    </row>
    <row r="5591" spans="1:40" x14ac:dyDescent="0.25">
      <c r="A5591" t="str">
        <f>"20190303171124770"</f>
        <v>20190303171124770</v>
      </c>
      <c r="B5591" t="str">
        <f>"1551604284755879"</f>
        <v>1551604284755879</v>
      </c>
      <c r="C5591" t="s">
        <v>40</v>
      </c>
      <c r="D5591">
        <v>5.1443199999999996</v>
      </c>
      <c r="E5591">
        <v>0.45890439999999999</v>
      </c>
      <c r="F5591" t="s">
        <v>68</v>
      </c>
      <c r="G5591">
        <v>-190.66640000000001</v>
      </c>
      <c r="H5591" s="1">
        <v>-6.6132270000000002E-6</v>
      </c>
      <c r="I5591">
        <v>-59.337620000000001</v>
      </c>
      <c r="J5591">
        <v>-245.0205</v>
      </c>
      <c r="K5591">
        <v>1.119346</v>
      </c>
      <c r="L5591">
        <v>-63.348480000000002</v>
      </c>
      <c r="M5591">
        <v>0.99932730000000003</v>
      </c>
      <c r="N5591">
        <v>-6.9627140000000001E-3</v>
      </c>
      <c r="O5591">
        <v>-3.6010439999999998E-2</v>
      </c>
      <c r="P5591">
        <v>0.98205600000000004</v>
      </c>
      <c r="Q5591">
        <v>0.1815783</v>
      </c>
      <c r="R5591">
        <v>-5.0946489999999997E-2</v>
      </c>
      <c r="S5591">
        <v>3.07782</v>
      </c>
      <c r="T5591">
        <v>-6.3170909999999997E-2</v>
      </c>
      <c r="U5591">
        <v>0.22598270000000001</v>
      </c>
      <c r="V5591">
        <v>1.5951710000000001E-2</v>
      </c>
      <c r="W5591">
        <v>0.18838630000000001</v>
      </c>
      <c r="X5591">
        <v>0.98196539999999999</v>
      </c>
      <c r="Y5591">
        <v>-0.10905910000000001</v>
      </c>
      <c r="Z5591">
        <v>1.9856299999999999E-3</v>
      </c>
      <c r="AA5591">
        <v>0.99403330000000001</v>
      </c>
      <c r="AB5591">
        <v>35</v>
      </c>
      <c r="AC5591">
        <v>54.354099999999903</v>
      </c>
      <c r="AD5591">
        <v>-1.119352613227</v>
      </c>
      <c r="AE5591">
        <v>4.0108600000000001</v>
      </c>
      <c r="AF5591">
        <v>-5.9631054490828701</v>
      </c>
      <c r="AG5591">
        <v>-1.119352613227</v>
      </c>
      <c r="AH5591">
        <v>54.151567310788202</v>
      </c>
      <c r="AI5591">
        <v>91.1770640440877</v>
      </c>
      <c r="AJ5591">
        <v>96.2840235958395</v>
      </c>
      <c r="AK5591">
        <v>54.490401164649498</v>
      </c>
      <c r="AL5591">
        <v>79.141373989627496</v>
      </c>
      <c r="AM5591">
        <v>89.069330470882093</v>
      </c>
      <c r="AN5591">
        <v>0.99999995093838501</v>
      </c>
    </row>
    <row r="5592" spans="1:40" x14ac:dyDescent="0.25">
      <c r="A5592" t="str">
        <f>"20190303171124783"</f>
        <v>20190303171124783</v>
      </c>
      <c r="B5592" t="str">
        <f>"1551604284776374"</f>
        <v>1551604284776374</v>
      </c>
      <c r="C5592" t="s">
        <v>40</v>
      </c>
      <c r="D5592">
        <v>5.0047649999999999</v>
      </c>
      <c r="E5592">
        <v>0.46462170000000003</v>
      </c>
      <c r="F5592" t="s">
        <v>68</v>
      </c>
      <c r="G5592">
        <v>-197.37909999999999</v>
      </c>
      <c r="H5592" s="1">
        <v>-6.7767760000000003E-6</v>
      </c>
      <c r="I5592">
        <v>-60.422249999999998</v>
      </c>
      <c r="J5592">
        <v>-244.83260000000001</v>
      </c>
      <c r="K5592">
        <v>1.119418</v>
      </c>
      <c r="L5592">
        <v>-63.355559999999997</v>
      </c>
      <c r="M5592">
        <v>0.99931440000000005</v>
      </c>
      <c r="N5592">
        <v>-6.9476039999999996E-3</v>
      </c>
      <c r="O5592">
        <v>-3.6367610000000002E-2</v>
      </c>
      <c r="P5592">
        <v>0.98200229999999999</v>
      </c>
      <c r="Q5592">
        <v>0.18163090000000001</v>
      </c>
      <c r="R5592">
        <v>-5.1788239999999999E-2</v>
      </c>
      <c r="S5592">
        <v>3.0779879999999999</v>
      </c>
      <c r="T5592">
        <v>-7.2318430000000003E-2</v>
      </c>
      <c r="U5592">
        <v>0.18905640000000001</v>
      </c>
      <c r="V5592">
        <v>1.6412639999999999E-2</v>
      </c>
      <c r="W5592">
        <v>0.18842610000000001</v>
      </c>
      <c r="X5592">
        <v>0.9819502</v>
      </c>
      <c r="Y5592">
        <v>-9.7526329999999994E-2</v>
      </c>
      <c r="Z5592">
        <v>2.0849089999999998E-3</v>
      </c>
      <c r="AA5592">
        <v>0.99523070000000002</v>
      </c>
      <c r="AB5592">
        <v>35</v>
      </c>
      <c r="AC5592">
        <v>47.453499999999998</v>
      </c>
      <c r="AD5592">
        <v>-1.1194247767759999</v>
      </c>
      <c r="AE5592">
        <v>2.9333099999999899</v>
      </c>
      <c r="AF5592">
        <v>-4.6546010177203101</v>
      </c>
      <c r="AG5592">
        <v>-1.1194247767759999</v>
      </c>
      <c r="AH5592">
        <v>47.289211433696202</v>
      </c>
      <c r="AI5592">
        <v>91.349526831716901</v>
      </c>
      <c r="AJ5592">
        <v>95.621424351330404</v>
      </c>
      <c r="AK5592">
        <v>47.5309156285238</v>
      </c>
      <c r="AL5592">
        <v>79.139052382038599</v>
      </c>
      <c r="AM5592">
        <v>89.042428580540303</v>
      </c>
      <c r="AN5592">
        <v>0.99999998259650902</v>
      </c>
    </row>
    <row r="5593" spans="1:40" x14ac:dyDescent="0.25">
      <c r="A5593" t="str">
        <f>"20190303171124793"</f>
        <v>20190303171124793</v>
      </c>
      <c r="B5593" t="str">
        <f>"1551604284786134"</f>
        <v>1551604284786134</v>
      </c>
      <c r="C5593" t="s">
        <v>40</v>
      </c>
      <c r="D5593">
        <v>5.1373569999999997</v>
      </c>
      <c r="E5593">
        <v>0.46651239999999999</v>
      </c>
      <c r="F5593" t="s">
        <v>68</v>
      </c>
      <c r="G5593">
        <v>-204.8141</v>
      </c>
      <c r="H5593" s="1">
        <v>-3.3836020000000002E-6</v>
      </c>
      <c r="I5593">
        <v>-61.512369999999997</v>
      </c>
      <c r="J5593">
        <v>-244.6567</v>
      </c>
      <c r="K5593">
        <v>1.1194809999999999</v>
      </c>
      <c r="L5593">
        <v>-63.362209999999997</v>
      </c>
      <c r="M5593">
        <v>0.99930359999999996</v>
      </c>
      <c r="N5593">
        <v>-6.9342559999999998E-3</v>
      </c>
      <c r="O5593">
        <v>-3.6664500000000003E-2</v>
      </c>
      <c r="P5593">
        <v>0.98195809999999994</v>
      </c>
      <c r="Q5593">
        <v>0.1816518</v>
      </c>
      <c r="R5593">
        <v>-5.2547280000000002E-2</v>
      </c>
      <c r="S5593">
        <v>3.0783839999999998</v>
      </c>
      <c r="T5593">
        <v>-8.6110229999999996E-2</v>
      </c>
      <c r="U5593">
        <v>0.14178470000000001</v>
      </c>
      <c r="V5593">
        <v>1.685037E-2</v>
      </c>
      <c r="W5593">
        <v>0.18843550000000001</v>
      </c>
      <c r="X5593">
        <v>0.98194099999999995</v>
      </c>
      <c r="Y5593">
        <v>-8.2556660000000004E-2</v>
      </c>
      <c r="Z5593">
        <v>2.21112E-3</v>
      </c>
      <c r="AA5593">
        <v>0.99658389999999997</v>
      </c>
      <c r="AB5593">
        <v>35</v>
      </c>
      <c r="AC5593">
        <v>39.842599999999997</v>
      </c>
      <c r="AD5593">
        <v>-1.1194843836020001</v>
      </c>
      <c r="AE5593">
        <v>1.8498399999999999</v>
      </c>
      <c r="AF5593">
        <v>-3.30683519306884</v>
      </c>
      <c r="AG5593">
        <v>-1.1194843836020001</v>
      </c>
      <c r="AH5593">
        <v>39.7166966396018</v>
      </c>
      <c r="AI5593">
        <v>91.608989564453594</v>
      </c>
      <c r="AJ5593">
        <v>94.759501947937693</v>
      </c>
      <c r="AK5593">
        <v>39.869843193087704</v>
      </c>
      <c r="AL5593">
        <v>79.138504169778301</v>
      </c>
      <c r="AM5593">
        <v>89.016885603528607</v>
      </c>
      <c r="AN5593">
        <v>1.0000000000551901</v>
      </c>
    </row>
    <row r="5594" spans="1:40" x14ac:dyDescent="0.25">
      <c r="A5594" t="str">
        <f>"20190303171124805"</f>
        <v>20190303171124805</v>
      </c>
      <c r="B5594" t="str">
        <f>"1551604284795895"</f>
        <v>1551604284795895</v>
      </c>
      <c r="C5594" t="s">
        <v>40</v>
      </c>
      <c r="D5594">
        <v>5.0555519999999996</v>
      </c>
      <c r="E5594">
        <v>0.46756180000000003</v>
      </c>
      <c r="F5594" t="s">
        <v>68</v>
      </c>
      <c r="G5594">
        <v>-206.1908</v>
      </c>
      <c r="H5594" s="1">
        <v>-2.5903E-6</v>
      </c>
      <c r="I5594">
        <v>-61.802199999999999</v>
      </c>
      <c r="J5594">
        <v>-244.4819</v>
      </c>
      <c r="K5594">
        <v>1.119548</v>
      </c>
      <c r="L5594">
        <v>-63.368839999999999</v>
      </c>
      <c r="M5594">
        <v>0.9992955</v>
      </c>
      <c r="N5594">
        <v>-6.9222529999999997E-3</v>
      </c>
      <c r="O5594">
        <v>-3.6891630000000002E-2</v>
      </c>
      <c r="P5594">
        <v>0.98194409999999999</v>
      </c>
      <c r="Q5594">
        <v>0.18155569999999999</v>
      </c>
      <c r="R5594">
        <v>-5.3137799999999999E-2</v>
      </c>
      <c r="S5594">
        <v>3.0783839999999998</v>
      </c>
      <c r="T5594">
        <v>-8.9591149999999994E-2</v>
      </c>
      <c r="U5594">
        <v>0.1248474</v>
      </c>
      <c r="V5594">
        <v>1.7185180000000001E-2</v>
      </c>
      <c r="W5594">
        <v>0.18832960000000001</v>
      </c>
      <c r="X5594">
        <v>0.98195549999999998</v>
      </c>
      <c r="Y5594">
        <v>-7.7307920000000002E-2</v>
      </c>
      <c r="Z5594">
        <v>2.2098059999999999E-3</v>
      </c>
      <c r="AA5594">
        <v>0.99700480000000002</v>
      </c>
      <c r="AB5594">
        <v>35</v>
      </c>
      <c r="AC5594">
        <v>38.2911</v>
      </c>
      <c r="AD5594">
        <v>-1.1195505903</v>
      </c>
      <c r="AE5594">
        <v>1.56664</v>
      </c>
      <c r="AF5594">
        <v>-2.9756886190421299</v>
      </c>
      <c r="AG5594">
        <v>-1.1195505903</v>
      </c>
      <c r="AH5594">
        <v>38.174656457893697</v>
      </c>
      <c r="AI5594">
        <v>91.674758118569201</v>
      </c>
      <c r="AJ5594">
        <v>94.457154425554606</v>
      </c>
      <c r="AK5594">
        <v>38.306820697624403</v>
      </c>
      <c r="AL5594">
        <v>79.144682258757598</v>
      </c>
      <c r="AM5594">
        <v>88.997370271597902</v>
      </c>
      <c r="AN5594">
        <v>0.99999998631402098</v>
      </c>
    </row>
    <row r="5595" spans="1:40" x14ac:dyDescent="0.25">
      <c r="A5595" t="str">
        <f>"20190303171124818"</f>
        <v>20190303171124818</v>
      </c>
      <c r="B5595" t="str">
        <f>"1551604284806631"</f>
        <v>1551604284806631</v>
      </c>
      <c r="C5595" t="s">
        <v>40</v>
      </c>
      <c r="D5595">
        <v>5.0443100000000003</v>
      </c>
      <c r="E5595">
        <v>0.46849020000000002</v>
      </c>
      <c r="F5595" t="s">
        <v>68</v>
      </c>
      <c r="G5595">
        <v>-206.76050000000001</v>
      </c>
      <c r="H5595" s="1">
        <v>-2.2502090000000001E-6</v>
      </c>
      <c r="I5595">
        <v>-61.960120000000003</v>
      </c>
      <c r="J5595">
        <v>-244.28389999999999</v>
      </c>
      <c r="K5595">
        <v>1.1196269999999999</v>
      </c>
      <c r="L5595">
        <v>-63.376370000000001</v>
      </c>
      <c r="M5595">
        <v>0.99928709999999998</v>
      </c>
      <c r="N5595">
        <v>-6.9092669999999898E-3</v>
      </c>
      <c r="O5595">
        <v>-3.7116639999999999E-2</v>
      </c>
      <c r="P5595">
        <v>0.98194709999999996</v>
      </c>
      <c r="Q5595">
        <v>0.18136869999999999</v>
      </c>
      <c r="R5595">
        <v>-5.3714520000000002E-2</v>
      </c>
      <c r="S5595">
        <v>3.0782780000000001</v>
      </c>
      <c r="T5595">
        <v>-9.1361520000000002E-2</v>
      </c>
      <c r="U5595">
        <v>0.1149597</v>
      </c>
      <c r="V5595">
        <v>1.7502609999999998E-2</v>
      </c>
      <c r="W5595">
        <v>0.18813299999999999</v>
      </c>
      <c r="X5595">
        <v>0.98198759999999996</v>
      </c>
      <c r="Y5595">
        <v>-7.4335479999999995E-2</v>
      </c>
      <c r="Z5595">
        <v>2.2041109999999999E-3</v>
      </c>
      <c r="AA5595">
        <v>0.99723079999999997</v>
      </c>
      <c r="AB5595">
        <v>35</v>
      </c>
      <c r="AC5595">
        <v>37.523399999999903</v>
      </c>
      <c r="AD5595">
        <v>-1.1196292502089999</v>
      </c>
      <c r="AE5595">
        <v>1.41624999999999</v>
      </c>
      <c r="AF5595">
        <v>-2.8055555055192301</v>
      </c>
      <c r="AG5595">
        <v>-1.1196292502089999</v>
      </c>
      <c r="AH5595">
        <v>37.411714343358902</v>
      </c>
      <c r="AI5595">
        <v>91.709395771393005</v>
      </c>
      <c r="AJ5595">
        <v>94.2886613162635</v>
      </c>
      <c r="AK5595">
        <v>37.533466153042099</v>
      </c>
      <c r="AL5595">
        <v>79.156151852129597</v>
      </c>
      <c r="AM5595">
        <v>88.978887808533301</v>
      </c>
      <c r="AN5595">
        <v>1.0000000067997801</v>
      </c>
    </row>
    <row r="5596" spans="1:40" x14ac:dyDescent="0.25">
      <c r="A5596" t="str">
        <f>"20190303171124837"</f>
        <v>20190303171124837</v>
      </c>
      <c r="B5596" t="str">
        <f>"1551604284826151"</f>
        <v>1551604284826151</v>
      </c>
      <c r="C5596" t="s">
        <v>40</v>
      </c>
      <c r="D5596">
        <v>4.7594570000000003</v>
      </c>
      <c r="E5596">
        <v>0.4693213</v>
      </c>
      <c r="F5596" t="s">
        <v>68</v>
      </c>
      <c r="G5596">
        <v>-207.4477</v>
      </c>
      <c r="H5596" s="1">
        <v>-1.8339890000000001E-6</v>
      </c>
      <c r="I5596">
        <v>-62.108069999999998</v>
      </c>
      <c r="J5596">
        <v>-243.96950000000001</v>
      </c>
      <c r="K5596">
        <v>1.119758</v>
      </c>
      <c r="L5596">
        <v>-63.388240000000003</v>
      </c>
      <c r="M5596">
        <v>0.99927969999999999</v>
      </c>
      <c r="N5596">
        <v>-6.8913439999999998E-3</v>
      </c>
      <c r="O5596">
        <v>-3.7316759999999997E-2</v>
      </c>
      <c r="P5596">
        <v>0.98209029999999997</v>
      </c>
      <c r="Q5596">
        <v>0.1805601</v>
      </c>
      <c r="R5596">
        <v>-5.3819859999999997E-2</v>
      </c>
      <c r="S5596">
        <v>3.0782470000000002</v>
      </c>
      <c r="T5596">
        <v>-9.3562599999999996E-2</v>
      </c>
      <c r="U5596">
        <v>0.1059875</v>
      </c>
      <c r="V5596">
        <v>1.734138E-2</v>
      </c>
      <c r="W5596">
        <v>0.1873138</v>
      </c>
      <c r="X5596">
        <v>0.98214699999999999</v>
      </c>
      <c r="Y5596">
        <v>-7.1631479999999997E-2</v>
      </c>
      <c r="Z5596">
        <v>2.2115759999999998E-3</v>
      </c>
      <c r="AA5596">
        <v>0.99742869999999995</v>
      </c>
      <c r="AB5596">
        <v>35</v>
      </c>
      <c r="AC5596">
        <v>36.521799999999999</v>
      </c>
      <c r="AD5596">
        <v>-1.119759833989</v>
      </c>
      <c r="AE5596">
        <v>1.28017</v>
      </c>
      <c r="AF5596">
        <v>-2.6397075647923902</v>
      </c>
      <c r="AG5596">
        <v>-1.119759833989</v>
      </c>
      <c r="AH5596">
        <v>36.414399041430997</v>
      </c>
      <c r="AI5596">
        <v>91.756710315863202</v>
      </c>
      <c r="AJ5596">
        <v>94.146162342531596</v>
      </c>
      <c r="AK5596">
        <v>36.5271183596791</v>
      </c>
      <c r="AL5596">
        <v>79.203937552089499</v>
      </c>
      <c r="AM5596">
        <v>88.988456257533201</v>
      </c>
      <c r="AN5596">
        <v>0.99999995636987105</v>
      </c>
    </row>
    <row r="5597" spans="1:40" x14ac:dyDescent="0.25">
      <c r="A5597" t="str">
        <f>"20190303171124848"</f>
        <v>20190303171124848</v>
      </c>
      <c r="B5597" t="str">
        <f>"1551604284835911"</f>
        <v>1551604284835911</v>
      </c>
      <c r="C5597" t="s">
        <v>40</v>
      </c>
      <c r="D5597">
        <v>5.0811650000000004</v>
      </c>
      <c r="E5597">
        <v>0.46991260000000001</v>
      </c>
      <c r="F5597" t="s">
        <v>68</v>
      </c>
      <c r="G5597">
        <v>-208.60560000000001</v>
      </c>
      <c r="H5597" s="1">
        <v>-1.1178990000000001E-6</v>
      </c>
      <c r="I5597">
        <v>-62.251190000000001</v>
      </c>
      <c r="J5597">
        <v>-243.79239999999999</v>
      </c>
      <c r="K5597">
        <v>1.119834</v>
      </c>
      <c r="L5597">
        <v>-63.394930000000002</v>
      </c>
      <c r="M5597">
        <v>0.99927869999999996</v>
      </c>
      <c r="N5597">
        <v>-6.8826989999999999E-3</v>
      </c>
      <c r="O5597">
        <v>-3.7347430000000001E-2</v>
      </c>
      <c r="P5597">
        <v>0.98218090000000002</v>
      </c>
      <c r="Q5597">
        <v>0.18009510000000001</v>
      </c>
      <c r="R5597">
        <v>-5.3724599999999997E-2</v>
      </c>
      <c r="S5597">
        <v>3.0780639999999999</v>
      </c>
      <c r="T5597">
        <v>-9.7463610000000006E-2</v>
      </c>
      <c r="U5597">
        <v>9.8968509999999996E-2</v>
      </c>
      <c r="V5597">
        <v>1.7175860000000001E-2</v>
      </c>
      <c r="W5597">
        <v>0.1868445</v>
      </c>
      <c r="X5597">
        <v>0.98223939999999998</v>
      </c>
      <c r="Y5597">
        <v>-6.9389069999999997E-2</v>
      </c>
      <c r="Z5597">
        <v>2.2619279999999999E-3</v>
      </c>
      <c r="AA5597">
        <v>0.99758709999999995</v>
      </c>
      <c r="AB5597">
        <v>35</v>
      </c>
      <c r="AC5597">
        <v>35.186799999999899</v>
      </c>
      <c r="AD5597">
        <v>-1.119835117899</v>
      </c>
      <c r="AE5597">
        <v>1.14374</v>
      </c>
      <c r="AF5597">
        <v>-2.45462605524934</v>
      </c>
      <c r="AG5597">
        <v>-1.119835117899</v>
      </c>
      <c r="AH5597">
        <v>35.084036060424097</v>
      </c>
      <c r="AI5597">
        <v>91.8237282393561</v>
      </c>
      <c r="AJ5597">
        <v>94.002131000167594</v>
      </c>
      <c r="AK5597">
        <v>35.187622909931399</v>
      </c>
      <c r="AL5597">
        <v>79.231310831779794</v>
      </c>
      <c r="AM5597">
        <v>88.998203491933097</v>
      </c>
      <c r="AN5597">
        <v>1.00000005812967</v>
      </c>
    </row>
    <row r="5598" spans="1:40" x14ac:dyDescent="0.25">
      <c r="A5598" t="str">
        <f>"20190303171124860"</f>
        <v>20190303171124860</v>
      </c>
      <c r="B5598" t="str">
        <f>"1551604284846647"</f>
        <v>1551604284846647</v>
      </c>
      <c r="C5598" t="s">
        <v>40</v>
      </c>
      <c r="D5598">
        <v>5.0314100000000002</v>
      </c>
      <c r="E5598">
        <v>0.47023189999999998</v>
      </c>
      <c r="F5598" t="s">
        <v>68</v>
      </c>
      <c r="G5598">
        <v>-209.7912</v>
      </c>
      <c r="H5598" s="1">
        <v>-5.8585019999999995E-7</v>
      </c>
      <c r="I5598">
        <v>-62.352290000000004</v>
      </c>
      <c r="J5598">
        <v>-243.61449999999999</v>
      </c>
      <c r="K5598">
        <v>1.1199140000000001</v>
      </c>
      <c r="L5598">
        <v>-63.401609999999998</v>
      </c>
      <c r="M5598">
        <v>0.99927869999999996</v>
      </c>
      <c r="N5598">
        <v>-6.874509E-3</v>
      </c>
      <c r="O5598">
        <v>-3.7349269999999997E-2</v>
      </c>
      <c r="P5598">
        <v>0.98227850000000005</v>
      </c>
      <c r="Q5598">
        <v>0.17969379999999999</v>
      </c>
      <c r="R5598">
        <v>-5.3283879999999999E-2</v>
      </c>
      <c r="S5598">
        <v>3.0781860000000001</v>
      </c>
      <c r="T5598">
        <v>-0.10138030000000001</v>
      </c>
      <c r="U5598">
        <v>9.4390870000000002E-2</v>
      </c>
      <c r="V5598">
        <v>1.6693429999999999E-2</v>
      </c>
      <c r="W5598">
        <v>0.1864392</v>
      </c>
      <c r="X5598">
        <v>0.98232470000000005</v>
      </c>
      <c r="Y5598">
        <v>-6.7904129999999993E-2</v>
      </c>
      <c r="Z5598">
        <v>2.3239739999999999E-3</v>
      </c>
      <c r="AA5598">
        <v>0.9976891</v>
      </c>
      <c r="AB5598">
        <v>35</v>
      </c>
      <c r="AC5598">
        <v>33.823299999999897</v>
      </c>
      <c r="AD5598">
        <v>-1.11991458585019</v>
      </c>
      <c r="AE5598">
        <v>1.04931999999999</v>
      </c>
      <c r="AF5598">
        <v>-2.3093637785460399</v>
      </c>
      <c r="AG5598">
        <v>-1.11991458585019</v>
      </c>
      <c r="AH5598">
        <v>33.723570866712102</v>
      </c>
      <c r="AI5598">
        <v>91.897576267588803</v>
      </c>
      <c r="AJ5598">
        <v>93.917454336249506</v>
      </c>
      <c r="AK5598">
        <v>33.821096992016898</v>
      </c>
      <c r="AL5598">
        <v>79.254947870418107</v>
      </c>
      <c r="AM5598">
        <v>89.026420664715204</v>
      </c>
      <c r="AN5598">
        <v>1.00000003106594</v>
      </c>
    </row>
    <row r="5599" spans="1:40" x14ac:dyDescent="0.25">
      <c r="A5599" t="str">
        <f>"20190303171124871"</f>
        <v>20190303171124871</v>
      </c>
      <c r="B5599" t="str">
        <f>"1551604284866167"</f>
        <v>1551604284866167</v>
      </c>
      <c r="C5599" t="s">
        <v>40</v>
      </c>
      <c r="D5599">
        <v>4.8776349999999997</v>
      </c>
      <c r="E5599">
        <v>0.47093119999999999</v>
      </c>
      <c r="F5599" t="s">
        <v>102</v>
      </c>
      <c r="G5599">
        <v>-210.36920000000001</v>
      </c>
      <c r="H5599" s="1">
        <v>3.3670809999999899E-7</v>
      </c>
      <c r="I5599">
        <v>-62.397579999999998</v>
      </c>
      <c r="J5599">
        <v>-243.4306</v>
      </c>
      <c r="K5599">
        <v>1.119993</v>
      </c>
      <c r="L5599">
        <v>-63.408479999999997</v>
      </c>
      <c r="M5599">
        <v>0.99928079999999997</v>
      </c>
      <c r="N5599">
        <v>-6.8670270000000004E-3</v>
      </c>
      <c r="O5599">
        <v>-3.7292819999999997E-2</v>
      </c>
      <c r="P5599">
        <v>0.98229770000000005</v>
      </c>
      <c r="Q5599">
        <v>0.1797087</v>
      </c>
      <c r="R5599">
        <v>-5.2876739999999998E-2</v>
      </c>
      <c r="S5599">
        <v>3.0781559999999999</v>
      </c>
      <c r="T5599">
        <v>-0.1036918</v>
      </c>
      <c r="U5599">
        <v>9.2956540000000004E-2</v>
      </c>
      <c r="V5599">
        <v>1.6303910000000001E-2</v>
      </c>
      <c r="W5599">
        <v>0.18645049999999999</v>
      </c>
      <c r="X5599">
        <v>0.98232909999999996</v>
      </c>
      <c r="Y5599">
        <v>-6.7381350000000007E-2</v>
      </c>
      <c r="Z5599">
        <v>2.3654140000000001E-3</v>
      </c>
      <c r="AA5599">
        <v>0.99772450000000001</v>
      </c>
      <c r="AB5599">
        <v>35</v>
      </c>
      <c r="AC5599">
        <v>33.0613999999999</v>
      </c>
      <c r="AD5599">
        <v>-1.1199926632918999</v>
      </c>
      <c r="AE5599">
        <v>1.0108999999999899</v>
      </c>
      <c r="AF5599">
        <v>-2.2406097528601499</v>
      </c>
      <c r="AG5599">
        <v>-1.1199926632918999</v>
      </c>
      <c r="AH5599">
        <v>32.962907904477703</v>
      </c>
      <c r="AI5599">
        <v>91.941534081599698</v>
      </c>
      <c r="AJ5599">
        <v>93.888622623833498</v>
      </c>
      <c r="AK5599">
        <v>33.057949318575702</v>
      </c>
      <c r="AL5599">
        <v>79.254288900109898</v>
      </c>
      <c r="AM5599">
        <v>89.049137940276594</v>
      </c>
      <c r="AN5599">
        <v>1.0000000335691701</v>
      </c>
    </row>
    <row r="5600" spans="1:40" x14ac:dyDescent="0.25">
      <c r="A5600" t="str">
        <f>"20190303171124882"</f>
        <v>20190303171124882</v>
      </c>
      <c r="B5600" t="str">
        <f>"1551604284875926"</f>
        <v>1551604284875926</v>
      </c>
      <c r="C5600" t="s">
        <v>40</v>
      </c>
      <c r="D5600">
        <v>5.1037330000000001</v>
      </c>
      <c r="E5600">
        <v>0.47128690000000001</v>
      </c>
      <c r="F5600" t="s">
        <v>102</v>
      </c>
      <c r="G5600">
        <v>-211.13050000000001</v>
      </c>
      <c r="H5600" s="1">
        <v>-1.107912E-8</v>
      </c>
      <c r="I5600">
        <v>-62.477260000000001</v>
      </c>
      <c r="J5600">
        <v>-243.251</v>
      </c>
      <c r="K5600">
        <v>1.120072</v>
      </c>
      <c r="L5600">
        <v>-63.415100000000002</v>
      </c>
      <c r="M5600">
        <v>0.99928510000000004</v>
      </c>
      <c r="N5600">
        <v>-6.8605380000000002E-3</v>
      </c>
      <c r="O5600">
        <v>-3.7178919999999997E-2</v>
      </c>
      <c r="P5600">
        <v>0.98228950000000004</v>
      </c>
      <c r="Q5600">
        <v>0.17985470000000001</v>
      </c>
      <c r="R5600">
        <v>-5.2534980000000002E-2</v>
      </c>
      <c r="S5600">
        <v>3.0783839999999998</v>
      </c>
      <c r="T5600">
        <v>-0.1067419</v>
      </c>
      <c r="U5600">
        <v>8.8745119999999997E-2</v>
      </c>
      <c r="V5600">
        <v>1.603661E-2</v>
      </c>
      <c r="W5600">
        <v>0.18659339999999999</v>
      </c>
      <c r="X5600">
        <v>0.98230640000000002</v>
      </c>
      <c r="Y5600">
        <v>-6.5899150000000004E-2</v>
      </c>
      <c r="Z5600">
        <v>2.4016129999999999E-3</v>
      </c>
      <c r="AA5600">
        <v>0.99782340000000003</v>
      </c>
      <c r="AB5600">
        <v>35</v>
      </c>
      <c r="AC5600">
        <v>32.1204999999999</v>
      </c>
      <c r="AD5600">
        <v>-1.12007201107912</v>
      </c>
      <c r="AE5600">
        <v>0.93784000000000101</v>
      </c>
      <c r="AF5600">
        <v>-2.12883871951927</v>
      </c>
      <c r="AG5600">
        <v>-1.12007201107912</v>
      </c>
      <c r="AH5600">
        <v>32.024514867222997</v>
      </c>
      <c r="AI5600">
        <v>91.998721803048497</v>
      </c>
      <c r="AJ5600">
        <v>93.803157794019796</v>
      </c>
      <c r="AK5600">
        <v>32.114732882039</v>
      </c>
      <c r="AL5600">
        <v>79.245955441392795</v>
      </c>
      <c r="AM5600">
        <v>89.064702770311897</v>
      </c>
      <c r="AN5600">
        <v>1.0000000666324</v>
      </c>
    </row>
    <row r="5601" spans="1:40" x14ac:dyDescent="0.25">
      <c r="A5601" t="str">
        <f>"20190303171124893"</f>
        <v>20190303171124893</v>
      </c>
      <c r="B5601" t="str">
        <f>"1551604284885687"</f>
        <v>1551604284885687</v>
      </c>
      <c r="C5601" t="s">
        <v>40</v>
      </c>
      <c r="D5601">
        <v>4.9594649999999998</v>
      </c>
      <c r="E5601">
        <v>0.47152139999999998</v>
      </c>
      <c r="F5601" t="s">
        <v>102</v>
      </c>
      <c r="G5601">
        <v>-211.18279999999999</v>
      </c>
      <c r="H5601" s="1">
        <v>-4.1174419999999997E-8</v>
      </c>
      <c r="I5601">
        <v>-62.506160000000001</v>
      </c>
      <c r="J5601">
        <v>-243.08600000000001</v>
      </c>
      <c r="K5601">
        <v>1.1201540000000001</v>
      </c>
      <c r="L5601">
        <v>-63.421199999999999</v>
      </c>
      <c r="M5601">
        <v>0.99929040000000002</v>
      </c>
      <c r="N5601">
        <v>-6.8550520000000004E-3</v>
      </c>
      <c r="O5601">
        <v>-3.7037790000000001E-2</v>
      </c>
      <c r="P5601">
        <v>0.98232120000000001</v>
      </c>
      <c r="Q5601">
        <v>0.17976310000000001</v>
      </c>
      <c r="R5601">
        <v>-5.2253899999999999E-2</v>
      </c>
      <c r="S5601">
        <v>3.0784609999999999</v>
      </c>
      <c r="T5601">
        <v>-0.1075237</v>
      </c>
      <c r="U5601">
        <v>8.7249759999999996E-2</v>
      </c>
      <c r="V5601">
        <v>1.5857030000000001E-2</v>
      </c>
      <c r="W5601">
        <v>0.18649959999999999</v>
      </c>
      <c r="X5601">
        <v>0.98232699999999995</v>
      </c>
      <c r="Y5601">
        <v>-6.5272810000000001E-2</v>
      </c>
      <c r="Z5601">
        <v>2.402338E-3</v>
      </c>
      <c r="AA5601">
        <v>0.99786450000000004</v>
      </c>
      <c r="AB5601">
        <v>35</v>
      </c>
      <c r="AC5601">
        <v>31.903199999999998</v>
      </c>
      <c r="AD5601">
        <v>-1.12015404117442</v>
      </c>
      <c r="AE5601">
        <v>0.91504000000000396</v>
      </c>
      <c r="AF5601">
        <v>-2.0934851675494599</v>
      </c>
      <c r="AG5601">
        <v>-1.12015404117442</v>
      </c>
      <c r="AH5601">
        <v>31.808236782543698</v>
      </c>
      <c r="AI5601">
        <v>92.012535434167901</v>
      </c>
      <c r="AJ5601">
        <v>93.7655378553644</v>
      </c>
      <c r="AK5601">
        <v>31.896729494371002</v>
      </c>
      <c r="AL5601">
        <v>79.251424440120303</v>
      </c>
      <c r="AM5601">
        <v>89.075193909135706</v>
      </c>
      <c r="AN5601">
        <v>0.99999994056478803</v>
      </c>
    </row>
    <row r="5602" spans="1:40" x14ac:dyDescent="0.25">
      <c r="A5602" t="str">
        <f>"20190303171124904"</f>
        <v>20190303171124904</v>
      </c>
      <c r="B5602" t="str">
        <f>"1551604284896423"</f>
        <v>1551604284896423</v>
      </c>
      <c r="C5602" t="s">
        <v>40</v>
      </c>
      <c r="D5602">
        <v>4.9286629999999896</v>
      </c>
      <c r="E5602">
        <v>0.47171299999999999</v>
      </c>
      <c r="F5602" t="s">
        <v>102</v>
      </c>
      <c r="G5602">
        <v>-211.30439999999999</v>
      </c>
      <c r="H5602" s="1">
        <v>-9.8762259999999905E-8</v>
      </c>
      <c r="I5602">
        <v>-62.526380000000003</v>
      </c>
      <c r="J5602">
        <v>-242.9128</v>
      </c>
      <c r="K5602">
        <v>1.120242</v>
      </c>
      <c r="L5602">
        <v>-63.427460000000004</v>
      </c>
      <c r="M5602">
        <v>0.99929880000000004</v>
      </c>
      <c r="N5602">
        <v>-6.8503119999999999E-3</v>
      </c>
      <c r="O5602">
        <v>-3.6815540000000001E-2</v>
      </c>
      <c r="P5602">
        <v>0.98234549999999998</v>
      </c>
      <c r="Q5602">
        <v>0.1797984</v>
      </c>
      <c r="R5602">
        <v>-5.167327E-2</v>
      </c>
      <c r="S5602">
        <v>3.0784760000000002</v>
      </c>
      <c r="T5602">
        <v>-0.1085021</v>
      </c>
      <c r="U5602">
        <v>8.6669919999999998E-2</v>
      </c>
      <c r="V5602">
        <v>1.545437E-2</v>
      </c>
      <c r="W5602">
        <v>0.18653339999999999</v>
      </c>
      <c r="X5602">
        <v>0.98232699999999995</v>
      </c>
      <c r="Y5602">
        <v>-6.4862199999999995E-2</v>
      </c>
      <c r="Z5602">
        <v>2.4095280000000002E-3</v>
      </c>
      <c r="AA5602">
        <v>0.99789130000000004</v>
      </c>
      <c r="AB5602">
        <v>35</v>
      </c>
      <c r="AC5602">
        <v>31.6084</v>
      </c>
      <c r="AD5602">
        <v>-1.1202420987622601</v>
      </c>
      <c r="AE5602">
        <v>0.901079999999993</v>
      </c>
      <c r="AF5602">
        <v>-2.0615890683152802</v>
      </c>
      <c r="AG5602">
        <v>-1.1202420987622601</v>
      </c>
      <c r="AH5602">
        <v>31.514244060825</v>
      </c>
      <c r="AI5602">
        <v>92.0315068368634</v>
      </c>
      <c r="AJ5602">
        <v>93.742824550660501</v>
      </c>
      <c r="AK5602">
        <v>31.601466272495699</v>
      </c>
      <c r="AL5602">
        <v>79.249453255532799</v>
      </c>
      <c r="AM5602">
        <v>89.098673727764194</v>
      </c>
      <c r="AN5602">
        <v>0.999999940898326</v>
      </c>
    </row>
    <row r="5603" spans="1:40" x14ac:dyDescent="0.25">
      <c r="A5603" t="str">
        <f>"20190303171124915"</f>
        <v>20190303171124915</v>
      </c>
      <c r="B5603" t="str">
        <f>"1551604284906183"</f>
        <v>1551604284906183</v>
      </c>
      <c r="C5603" t="s">
        <v>40</v>
      </c>
      <c r="D5603">
        <v>5.0925159999999998</v>
      </c>
      <c r="E5603">
        <v>0.47193669999999999</v>
      </c>
      <c r="F5603" t="s">
        <v>102</v>
      </c>
      <c r="G5603">
        <v>-211.26990000000001</v>
      </c>
      <c r="H5603" s="1">
        <v>-8.6041720000000001E-8</v>
      </c>
      <c r="I5603">
        <v>-62.534320000000001</v>
      </c>
      <c r="J5603">
        <v>-242.72669999999999</v>
      </c>
      <c r="K5603">
        <v>1.1203399999999999</v>
      </c>
      <c r="L5603">
        <v>-63.434170000000002</v>
      </c>
      <c r="M5603">
        <v>0.99930850000000004</v>
      </c>
      <c r="N5603">
        <v>-6.8455490000000003E-3</v>
      </c>
      <c r="O5603">
        <v>-3.6549020000000002E-2</v>
      </c>
      <c r="P5603">
        <v>0.98239650000000001</v>
      </c>
      <c r="Q5603">
        <v>0.17975189999999999</v>
      </c>
      <c r="R5603">
        <v>-5.0858889999999997E-2</v>
      </c>
      <c r="S5603">
        <v>3.0784150000000001</v>
      </c>
      <c r="T5603">
        <v>-0.108984</v>
      </c>
      <c r="U5603">
        <v>8.6883539999999995E-2</v>
      </c>
      <c r="V5603">
        <v>1.485643E-2</v>
      </c>
      <c r="W5603">
        <v>0.18648609999999999</v>
      </c>
      <c r="X5603">
        <v>0.98234529999999998</v>
      </c>
      <c r="Y5603">
        <v>-6.4665500000000001E-2</v>
      </c>
      <c r="Z5603">
        <v>2.4086649999999999E-3</v>
      </c>
      <c r="AA5603">
        <v>0.99790409999999996</v>
      </c>
      <c r="AB5603">
        <v>36</v>
      </c>
      <c r="AC5603">
        <v>31.456799999999902</v>
      </c>
      <c r="AD5603">
        <v>-1.1203400860417201</v>
      </c>
      <c r="AE5603">
        <v>0.89985000000000004</v>
      </c>
      <c r="AF5603">
        <v>-2.0463971871771598</v>
      </c>
      <c r="AG5603">
        <v>-1.1203400860417201</v>
      </c>
      <c r="AH5603">
        <v>31.363142306561802</v>
      </c>
      <c r="AI5603">
        <v>92.041486850829102</v>
      </c>
      <c r="AJ5603">
        <v>93.7331703817094</v>
      </c>
      <c r="AK5603">
        <v>31.449794891186901</v>
      </c>
      <c r="AL5603">
        <v>79.252212758536103</v>
      </c>
      <c r="AM5603">
        <v>89.133557364440307</v>
      </c>
      <c r="AN5603">
        <v>1.00000003371882</v>
      </c>
    </row>
    <row r="5604" spans="1:40" x14ac:dyDescent="0.25">
      <c r="A5604" t="str">
        <f>"20190303171124926"</f>
        <v>20190303171124926</v>
      </c>
      <c r="B5604" t="str">
        <f>"1551604284915943"</f>
        <v>1551604284915943</v>
      </c>
      <c r="C5604" t="s">
        <v>40</v>
      </c>
      <c r="D5604">
        <v>5.0686249999999999</v>
      </c>
      <c r="E5604">
        <v>0.4720799</v>
      </c>
      <c r="F5604" t="s">
        <v>102</v>
      </c>
      <c r="G5604">
        <v>-211.27109999999999</v>
      </c>
      <c r="H5604" s="1">
        <v>-8.7706550000000001E-8</v>
      </c>
      <c r="I5604">
        <v>-62.538510000000002</v>
      </c>
      <c r="J5604">
        <v>-242.5599</v>
      </c>
      <c r="K5604">
        <v>1.12043</v>
      </c>
      <c r="L5604">
        <v>-63.44003</v>
      </c>
      <c r="M5604">
        <v>0.9993206</v>
      </c>
      <c r="N5604">
        <v>-6.8425179999999997E-3</v>
      </c>
      <c r="O5604">
        <v>-3.6218559999999997E-2</v>
      </c>
      <c r="P5604">
        <v>0.98250230000000005</v>
      </c>
      <c r="Q5604">
        <v>0.17939169999999999</v>
      </c>
      <c r="R5604">
        <v>-5.008025E-2</v>
      </c>
      <c r="S5604">
        <v>3.0783390000000002</v>
      </c>
      <c r="T5604">
        <v>-0.109639899999999</v>
      </c>
      <c r="U5604">
        <v>8.7646479999999999E-2</v>
      </c>
      <c r="V5604">
        <v>1.43579E-2</v>
      </c>
      <c r="W5604">
        <v>0.18612629999999999</v>
      </c>
      <c r="X5604">
        <v>0.98242090000000004</v>
      </c>
      <c r="Y5604">
        <v>-6.4582769999999998E-2</v>
      </c>
      <c r="Z5604">
        <v>2.4121379999999999E-3</v>
      </c>
      <c r="AA5604">
        <v>0.99790939999999995</v>
      </c>
      <c r="AB5604">
        <v>36</v>
      </c>
      <c r="AC5604">
        <v>31.288799999999998</v>
      </c>
      <c r="AD5604">
        <v>-1.1204300877065501</v>
      </c>
      <c r="AE5604">
        <v>0.90152000000001198</v>
      </c>
      <c r="AF5604">
        <v>-2.0315871824395599</v>
      </c>
      <c r="AG5604">
        <v>-1.1204300877065501</v>
      </c>
      <c r="AH5604">
        <v>31.195648529130299</v>
      </c>
      <c r="AI5604">
        <v>92.052619831153393</v>
      </c>
      <c r="AJ5604">
        <v>93.726071934850296</v>
      </c>
      <c r="AK5604">
        <v>31.281802972564101</v>
      </c>
      <c r="AL5604">
        <v>79.273194635443005</v>
      </c>
      <c r="AM5604">
        <v>89.162692375873206</v>
      </c>
      <c r="AN5604">
        <v>0.99999998680045499</v>
      </c>
    </row>
    <row r="5605" spans="1:40" x14ac:dyDescent="0.25">
      <c r="A5605" t="str">
        <f>"20190303171124938"</f>
        <v>20190303171124938</v>
      </c>
      <c r="B5605" t="str">
        <f>"1551604284925704"</f>
        <v>1551604284925704</v>
      </c>
      <c r="C5605" t="s">
        <v>40</v>
      </c>
      <c r="D5605">
        <v>5.1129470000000001</v>
      </c>
      <c r="E5605">
        <v>0.47214499999999998</v>
      </c>
      <c r="F5605" t="s">
        <v>102</v>
      </c>
      <c r="G5605">
        <v>-211.6044</v>
      </c>
      <c r="H5605" s="1">
        <v>-2.331732E-7</v>
      </c>
      <c r="I5605">
        <v>-62.547849999999997</v>
      </c>
      <c r="J5605">
        <v>-242.37950000000001</v>
      </c>
      <c r="K5605">
        <v>1.120525</v>
      </c>
      <c r="L5605">
        <v>-63.446379999999998</v>
      </c>
      <c r="M5605">
        <v>0.9993339</v>
      </c>
      <c r="N5605">
        <v>-6.8393500000000001E-3</v>
      </c>
      <c r="O5605">
        <v>-3.5845639999999998E-2</v>
      </c>
      <c r="P5605">
        <v>0.98263199999999995</v>
      </c>
      <c r="Q5605">
        <v>0.17893510000000001</v>
      </c>
      <c r="R5605">
        <v>-4.9159990000000001E-2</v>
      </c>
      <c r="S5605">
        <v>3.0782929999999999</v>
      </c>
      <c r="T5605">
        <v>-0.1114184</v>
      </c>
      <c r="U5605">
        <v>8.8714600000000005E-2</v>
      </c>
      <c r="V5605">
        <v>1.375558E-2</v>
      </c>
      <c r="W5605">
        <v>0.18567030000000001</v>
      </c>
      <c r="X5605">
        <v>0.98251580000000005</v>
      </c>
      <c r="Y5605">
        <v>-6.4554890000000004E-2</v>
      </c>
      <c r="Z5605">
        <v>2.4401819999999999E-3</v>
      </c>
      <c r="AA5605">
        <v>0.9979112</v>
      </c>
      <c r="AB5605">
        <v>36</v>
      </c>
      <c r="AC5605">
        <v>30.775099999999998</v>
      </c>
      <c r="AD5605">
        <v>-1.1205252331731901</v>
      </c>
      <c r="AE5605">
        <v>0.89853000000000705</v>
      </c>
      <c r="AF5605">
        <v>-1.99848438957607</v>
      </c>
      <c r="AG5605">
        <v>-1.1205252331731901</v>
      </c>
      <c r="AH5605">
        <v>30.682470943732699</v>
      </c>
      <c r="AI5605">
        <v>92.087096340895002</v>
      </c>
      <c r="AJ5605">
        <v>93.726662161888299</v>
      </c>
      <c r="AK5605">
        <v>30.767897878577202</v>
      </c>
      <c r="AL5605">
        <v>79.299785008182695</v>
      </c>
      <c r="AM5605">
        <v>89.197890567737304</v>
      </c>
      <c r="AN5605">
        <v>0.99999998676643298</v>
      </c>
    </row>
    <row r="5606" spans="1:40" x14ac:dyDescent="0.25">
      <c r="A5606" t="str">
        <f>"20190303171124949"</f>
        <v>20190303171124949</v>
      </c>
      <c r="B5606" t="str">
        <f>"1551604284936439"</f>
        <v>1551604284936439</v>
      </c>
      <c r="C5606" t="s">
        <v>40</v>
      </c>
      <c r="D5606">
        <v>5.0958379999999996</v>
      </c>
      <c r="E5606">
        <v>0.47225640000000002</v>
      </c>
      <c r="F5606" t="s">
        <v>102</v>
      </c>
      <c r="G5606">
        <v>-212.09450000000001</v>
      </c>
      <c r="H5606" s="1">
        <v>-4.4471029999999999E-7</v>
      </c>
      <c r="I5606">
        <v>-62.552810000000001</v>
      </c>
      <c r="J5606">
        <v>-242.19569999999999</v>
      </c>
      <c r="K5606">
        <v>1.120627</v>
      </c>
      <c r="L5606">
        <v>-63.45261</v>
      </c>
      <c r="M5606">
        <v>0.99935070000000004</v>
      </c>
      <c r="N5606">
        <v>-6.8370499999999999E-3</v>
      </c>
      <c r="O5606">
        <v>-3.5379140000000003E-2</v>
      </c>
      <c r="P5606">
        <v>0.98267930000000003</v>
      </c>
      <c r="Q5606">
        <v>0.17890120000000001</v>
      </c>
      <c r="R5606">
        <v>-4.8334630000000003E-2</v>
      </c>
      <c r="S5606">
        <v>3.0783079999999998</v>
      </c>
      <c r="T5606">
        <v>-0.1138951</v>
      </c>
      <c r="U5606">
        <v>9.0820310000000001E-2</v>
      </c>
      <c r="V5606">
        <v>1.33413E-2</v>
      </c>
      <c r="W5606">
        <v>0.1856371</v>
      </c>
      <c r="X5606">
        <v>0.98252779999999995</v>
      </c>
      <c r="Y5606">
        <v>-6.4768049999999994E-2</v>
      </c>
      <c r="Z5606">
        <v>2.4855229999999999E-3</v>
      </c>
      <c r="AA5606">
        <v>0.99789729999999999</v>
      </c>
      <c r="AB5606">
        <v>36</v>
      </c>
      <c r="AC5606">
        <v>30.101199999999899</v>
      </c>
      <c r="AD5606">
        <v>-1.1206274447103</v>
      </c>
      <c r="AE5606">
        <v>0.89979999999999805</v>
      </c>
      <c r="AF5606">
        <v>-1.9614998328300399</v>
      </c>
      <c r="AG5606">
        <v>-1.1206274447103</v>
      </c>
      <c r="AH5606">
        <v>30.008965250566401</v>
      </c>
      <c r="AI5606">
        <v>92.134057914162995</v>
      </c>
      <c r="AJ5606">
        <v>93.739749668609903</v>
      </c>
      <c r="AK5606">
        <v>30.093874507509501</v>
      </c>
      <c r="AL5606">
        <v>79.301721031223906</v>
      </c>
      <c r="AM5606">
        <v>89.2220543691909</v>
      </c>
      <c r="AN5606">
        <v>1.0000000004774601</v>
      </c>
    </row>
    <row r="5607" spans="1:40" x14ac:dyDescent="0.25">
      <c r="A5607" t="str">
        <f>"20190303171124962"</f>
        <v>20190303171124962</v>
      </c>
      <c r="B5607" t="str">
        <f>"1551604284956469"</f>
        <v>1551604284956469</v>
      </c>
      <c r="C5607" t="s">
        <v>40</v>
      </c>
      <c r="D5607">
        <v>5.1270100000000003</v>
      </c>
      <c r="E5607">
        <v>0.47247549999999999</v>
      </c>
      <c r="F5607" t="s">
        <v>102</v>
      </c>
      <c r="G5607">
        <v>-212.05430000000001</v>
      </c>
      <c r="H5607" s="1">
        <v>-4.2634759999999998E-7</v>
      </c>
      <c r="I5607">
        <v>-62.5486199999999</v>
      </c>
      <c r="J5607">
        <v>-241.99780000000001</v>
      </c>
      <c r="K5607">
        <v>1.120733</v>
      </c>
      <c r="L5607">
        <v>-63.459229999999998</v>
      </c>
      <c r="M5607">
        <v>0.99936970000000003</v>
      </c>
      <c r="N5607">
        <v>-6.8349569999999896E-3</v>
      </c>
      <c r="O5607">
        <v>-3.4835280000000003E-2</v>
      </c>
      <c r="P5607">
        <v>0.98271189999999997</v>
      </c>
      <c r="Q5607">
        <v>0.17891940000000001</v>
      </c>
      <c r="R5607">
        <v>-4.7594230000000001E-2</v>
      </c>
      <c r="S5607">
        <v>3.0782780000000001</v>
      </c>
      <c r="T5607">
        <v>-0.11444699999999999</v>
      </c>
      <c r="U5607">
        <v>9.2315670000000002E-2</v>
      </c>
      <c r="V5607">
        <v>1.3085879999999999E-2</v>
      </c>
      <c r="W5607">
        <v>0.18565680000000001</v>
      </c>
      <c r="X5607">
        <v>0.9825275</v>
      </c>
      <c r="Y5607">
        <v>-6.4709240000000001E-2</v>
      </c>
      <c r="Z5607">
        <v>2.4798960000000001E-3</v>
      </c>
      <c r="AA5607">
        <v>0.99790109999999999</v>
      </c>
      <c r="AB5607">
        <v>36</v>
      </c>
      <c r="AC5607">
        <v>29.9435</v>
      </c>
      <c r="AD5607">
        <v>-1.1207334263476001</v>
      </c>
      <c r="AE5607">
        <v>0.91061000000001202</v>
      </c>
      <c r="AF5607">
        <v>-1.95044206032426</v>
      </c>
      <c r="AG5607">
        <v>-1.1207334263476001</v>
      </c>
      <c r="AH5607">
        <v>29.8518233236274</v>
      </c>
      <c r="AI5607">
        <v>92.145487635496593</v>
      </c>
      <c r="AJ5607">
        <v>93.738246757181699</v>
      </c>
      <c r="AK5607">
        <v>29.936459767124699</v>
      </c>
      <c r="AL5607">
        <v>79.300572200410897</v>
      </c>
      <c r="AM5607">
        <v>89.236946174450196</v>
      </c>
      <c r="AN5607">
        <v>0.99999998794893197</v>
      </c>
    </row>
    <row r="5608" spans="1:40" x14ac:dyDescent="0.25">
      <c r="A5608" t="str">
        <f>"20190303171124972"</f>
        <v>20190303171124972</v>
      </c>
      <c r="B5608" t="str">
        <f>"1551604284966228"</f>
        <v>1551604284966228</v>
      </c>
      <c r="C5608" t="s">
        <v>40</v>
      </c>
      <c r="D5608">
        <v>5.0908100000000003</v>
      </c>
      <c r="E5608">
        <v>0.47252040000000001</v>
      </c>
      <c r="F5608" t="s">
        <v>102</v>
      </c>
      <c r="G5608">
        <v>-211.94980000000001</v>
      </c>
      <c r="H5608" s="1">
        <v>-3.822835E-7</v>
      </c>
      <c r="I5608">
        <v>-62.551459999999999</v>
      </c>
      <c r="J5608">
        <v>-241.82599999999999</v>
      </c>
      <c r="K5608">
        <v>1.1208309999999999</v>
      </c>
      <c r="L5608">
        <v>-63.464840000000002</v>
      </c>
      <c r="M5608">
        <v>0.99938769999999999</v>
      </c>
      <c r="N5608">
        <v>-6.8336029999999997E-3</v>
      </c>
      <c r="O5608">
        <v>-3.4317180000000003E-2</v>
      </c>
      <c r="P5608">
        <v>0.98268460000000002</v>
      </c>
      <c r="Q5608">
        <v>0.1792318</v>
      </c>
      <c r="R5608">
        <v>-4.6979720000000003E-2</v>
      </c>
      <c r="S5608">
        <v>3.078201</v>
      </c>
      <c r="T5608">
        <v>-0.1148108</v>
      </c>
      <c r="U5608">
        <v>9.2987059999999996E-2</v>
      </c>
      <c r="V5608">
        <v>1.294029E-2</v>
      </c>
      <c r="W5608">
        <v>0.1859702</v>
      </c>
      <c r="X5608">
        <v>0.98247019999999996</v>
      </c>
      <c r="Y5608">
        <v>-6.4410159999999994E-2</v>
      </c>
      <c r="Z5608">
        <v>2.4655219999999999E-3</v>
      </c>
      <c r="AA5608">
        <v>0.99792049999999999</v>
      </c>
      <c r="AB5608">
        <v>36</v>
      </c>
      <c r="AC5608">
        <v>29.876199999999901</v>
      </c>
      <c r="AD5608">
        <v>-1.1208313822835001</v>
      </c>
      <c r="AE5608">
        <v>0.91338000000000297</v>
      </c>
      <c r="AF5608">
        <v>-1.9354113556652699</v>
      </c>
      <c r="AG5608">
        <v>-1.1208313822835001</v>
      </c>
      <c r="AH5608">
        <v>29.785374529228498</v>
      </c>
      <c r="AI5608">
        <v>92.150507349543901</v>
      </c>
      <c r="AJ5608">
        <v>93.717771886084705</v>
      </c>
      <c r="AK5608">
        <v>29.869225231826199</v>
      </c>
      <c r="AL5608">
        <v>79.282297906114707</v>
      </c>
      <c r="AM5608">
        <v>89.245390717117502</v>
      </c>
      <c r="AN5608">
        <v>1.00000003014068</v>
      </c>
    </row>
    <row r="5609" spans="1:40" x14ac:dyDescent="0.25">
      <c r="A5609" t="str">
        <f>"20190303171124983"</f>
        <v>20190303171124983</v>
      </c>
      <c r="B5609" t="str">
        <f>"1551604284975988"</f>
        <v>1551604284975988</v>
      </c>
      <c r="C5609" t="s">
        <v>40</v>
      </c>
      <c r="D5609">
        <v>5.1138709999999996</v>
      </c>
      <c r="E5609">
        <v>0.47254479999999999</v>
      </c>
      <c r="F5609" t="s">
        <v>102</v>
      </c>
      <c r="G5609">
        <v>-211.57550000000001</v>
      </c>
      <c r="H5609" s="1">
        <v>-2.1767679999999999E-7</v>
      </c>
      <c r="I5609">
        <v>-62.536270000000002</v>
      </c>
      <c r="J5609">
        <v>-241.6525</v>
      </c>
      <c r="K5609">
        <v>1.120922</v>
      </c>
      <c r="L5609">
        <v>-63.470399999999998</v>
      </c>
      <c r="M5609">
        <v>0.99940720000000005</v>
      </c>
      <c r="N5609">
        <v>-6.8326389999999997E-3</v>
      </c>
      <c r="O5609">
        <v>-3.374514E-2</v>
      </c>
      <c r="P5609">
        <v>0.98266520000000002</v>
      </c>
      <c r="Q5609">
        <v>0.17952679999999999</v>
      </c>
      <c r="R5609">
        <v>-4.625634E-2</v>
      </c>
      <c r="S5609">
        <v>3.078217</v>
      </c>
      <c r="T5609">
        <v>-0.1140528</v>
      </c>
      <c r="U5609">
        <v>9.4482419999999998E-2</v>
      </c>
      <c r="V5609">
        <v>1.2740049999999999E-2</v>
      </c>
      <c r="W5609">
        <v>0.18626680000000001</v>
      </c>
      <c r="X5609">
        <v>0.98241659999999997</v>
      </c>
      <c r="Y5609">
        <v>-6.4324359999999997E-2</v>
      </c>
      <c r="Z5609">
        <v>2.4299830000000001E-3</v>
      </c>
      <c r="AA5609">
        <v>0.99792610000000004</v>
      </c>
      <c r="AB5609">
        <v>36</v>
      </c>
      <c r="AC5609">
        <v>30.077000000000002</v>
      </c>
      <c r="AD5609">
        <v>-1.1209222176767999</v>
      </c>
      <c r="AE5609">
        <v>0.93413000000000301</v>
      </c>
      <c r="AF5609">
        <v>-1.9458740540519499</v>
      </c>
      <c r="AG5609">
        <v>-1.1209222176767999</v>
      </c>
      <c r="AH5609">
        <v>29.986736893708599</v>
      </c>
      <c r="AI5609">
        <v>92.136265031574197</v>
      </c>
      <c r="AJ5609">
        <v>93.712783926682505</v>
      </c>
      <c r="AK5609">
        <v>30.0707047138044</v>
      </c>
      <c r="AL5609">
        <v>79.265001471296898</v>
      </c>
      <c r="AM5609">
        <v>89.2570258064993</v>
      </c>
      <c r="AN5609">
        <v>1.0000000028059</v>
      </c>
    </row>
    <row r="5610" spans="1:40" x14ac:dyDescent="0.25">
      <c r="A5610" t="str">
        <f>"20190303171124995"</f>
        <v>20190303171124995</v>
      </c>
      <c r="B5610" t="str">
        <f>"1551604284986724"</f>
        <v>1551604284986724</v>
      </c>
      <c r="C5610" t="s">
        <v>40</v>
      </c>
      <c r="D5610">
        <v>5.11348</v>
      </c>
      <c r="E5610">
        <v>0.47254620000000003</v>
      </c>
      <c r="F5610" t="s">
        <v>102</v>
      </c>
      <c r="G5610">
        <v>-211.11859999999999</v>
      </c>
      <c r="H5610" s="1">
        <v>-1.51648E-8</v>
      </c>
      <c r="I5610">
        <v>-62.51191</v>
      </c>
      <c r="J5610">
        <v>-241.46080000000001</v>
      </c>
      <c r="K5610">
        <v>1.121019</v>
      </c>
      <c r="L5610">
        <v>-63.476410000000001</v>
      </c>
      <c r="M5610">
        <v>0.99942929999999996</v>
      </c>
      <c r="N5610">
        <v>-6.8317450000000002E-3</v>
      </c>
      <c r="O5610">
        <v>-3.3082970000000003E-2</v>
      </c>
      <c r="P5610">
        <v>0.98265579999999997</v>
      </c>
      <c r="Q5610">
        <v>0.1797475</v>
      </c>
      <c r="R5610">
        <v>-4.5591180000000002E-2</v>
      </c>
      <c r="S5610">
        <v>3.0781100000000001</v>
      </c>
      <c r="T5610">
        <v>-0.1129993</v>
      </c>
      <c r="U5610">
        <v>9.661865E-2</v>
      </c>
      <c r="V5610">
        <v>1.2683379999999999E-2</v>
      </c>
      <c r="W5610">
        <v>0.18648890000000001</v>
      </c>
      <c r="X5610">
        <v>0.9823752</v>
      </c>
      <c r="Y5610">
        <v>-6.4357650000000002E-2</v>
      </c>
      <c r="Z5610">
        <v>2.388477E-3</v>
      </c>
      <c r="AA5610">
        <v>0.99792400000000003</v>
      </c>
      <c r="AB5610">
        <v>36</v>
      </c>
      <c r="AC5610">
        <v>30.342199999999998</v>
      </c>
      <c r="AD5610">
        <v>-1.1210190151648001</v>
      </c>
      <c r="AE5610">
        <v>0.96449999999999403</v>
      </c>
      <c r="AF5610">
        <v>-1.9651258101517699</v>
      </c>
      <c r="AG5610">
        <v>-1.1210190151648001</v>
      </c>
      <c r="AH5610">
        <v>30.252428100229501</v>
      </c>
      <c r="AI5610">
        <v>92.117694092091995</v>
      </c>
      <c r="AJ5610">
        <v>93.716576141133999</v>
      </c>
      <c r="AK5610">
        <v>30.336905066958298</v>
      </c>
      <c r="AL5610">
        <v>79.252049161728607</v>
      </c>
      <c r="AM5610">
        <v>89.260299151112704</v>
      </c>
      <c r="AN5610">
        <v>1.0000000057632299</v>
      </c>
    </row>
    <row r="5611" spans="1:40" x14ac:dyDescent="0.25">
      <c r="A5611" t="str">
        <f>"20190303171125007"</f>
        <v>20190303171125007</v>
      </c>
      <c r="B5611" t="str">
        <f>"1551604284996484"</f>
        <v>1551604284996484</v>
      </c>
      <c r="C5611" t="s">
        <v>40</v>
      </c>
      <c r="D5611">
        <v>5.1107550000000002</v>
      </c>
      <c r="E5611">
        <v>0.47260150000000001</v>
      </c>
      <c r="F5611" t="s">
        <v>102</v>
      </c>
      <c r="G5611">
        <v>-210.68780000000001</v>
      </c>
      <c r="H5611" s="1">
        <v>1.759529E-7</v>
      </c>
      <c r="I5611">
        <v>-62.488120000000002</v>
      </c>
      <c r="J5611">
        <v>-241.28039999999999</v>
      </c>
      <c r="K5611">
        <v>1.121102</v>
      </c>
      <c r="L5611">
        <v>-63.481870000000001</v>
      </c>
      <c r="M5611">
        <v>0.99945189999999995</v>
      </c>
      <c r="N5611">
        <v>-6.8314539999999998E-3</v>
      </c>
      <c r="O5611">
        <v>-3.2395739999999999E-2</v>
      </c>
      <c r="P5611">
        <v>0.98267519999999997</v>
      </c>
      <c r="Q5611">
        <v>0.17985429999999999</v>
      </c>
      <c r="R5611">
        <v>-4.4745779999999999E-2</v>
      </c>
      <c r="S5611">
        <v>3.078049</v>
      </c>
      <c r="T5611">
        <v>-0.1121292</v>
      </c>
      <c r="U5611">
        <v>9.8846439999999994E-2</v>
      </c>
      <c r="V5611">
        <v>1.2476340000000001E-2</v>
      </c>
      <c r="W5611">
        <v>0.1865976</v>
      </c>
      <c r="X5611">
        <v>0.98235720000000004</v>
      </c>
      <c r="Y5611">
        <v>-6.4394880000000002E-2</v>
      </c>
      <c r="Z5611">
        <v>2.3505610000000001E-3</v>
      </c>
      <c r="AA5611">
        <v>0.99792170000000002</v>
      </c>
      <c r="AB5611">
        <v>36</v>
      </c>
      <c r="AC5611">
        <v>30.592599999999901</v>
      </c>
      <c r="AD5611">
        <v>-1.1211018240471</v>
      </c>
      <c r="AE5611">
        <v>0.99374999999999802</v>
      </c>
      <c r="AF5611">
        <v>-1.98166283976585</v>
      </c>
      <c r="AG5611">
        <v>-1.1211018240471</v>
      </c>
      <c r="AH5611">
        <v>30.503426642768002</v>
      </c>
      <c r="AI5611">
        <v>92.100438212351193</v>
      </c>
      <c r="AJ5611">
        <v>93.717011507965296</v>
      </c>
      <c r="AK5611">
        <v>30.588280335140102</v>
      </c>
      <c r="AL5611">
        <v>79.245709727276804</v>
      </c>
      <c r="AM5611">
        <v>89.272359183874698</v>
      </c>
      <c r="AN5611">
        <v>0.99999999588869704</v>
      </c>
    </row>
    <row r="5612" spans="1:40" x14ac:dyDescent="0.25">
      <c r="A5612" t="str">
        <f>"20190303171125019"</f>
        <v>20190303171125019</v>
      </c>
      <c r="B5612" t="str">
        <f>"1551604285006244"</f>
        <v>1551604285006244</v>
      </c>
      <c r="C5612" t="s">
        <v>40</v>
      </c>
      <c r="D5612">
        <v>5.0994830000000002</v>
      </c>
      <c r="E5612">
        <v>0.47258790000000001</v>
      </c>
      <c r="F5612" t="s">
        <v>102</v>
      </c>
      <c r="G5612">
        <v>-210.34030000000001</v>
      </c>
      <c r="H5612" s="1">
        <v>3.301693E-7</v>
      </c>
      <c r="I5612">
        <v>-62.468850000000003</v>
      </c>
      <c r="J5612">
        <v>-241.07220000000001</v>
      </c>
      <c r="K5612">
        <v>1.121197</v>
      </c>
      <c r="L5612">
        <v>-63.488010000000003</v>
      </c>
      <c r="M5612">
        <v>0.99947799999999998</v>
      </c>
      <c r="N5612">
        <v>-6.8312030000000001E-3</v>
      </c>
      <c r="O5612">
        <v>-3.1578309999999998E-2</v>
      </c>
      <c r="P5612">
        <v>0.98271830000000004</v>
      </c>
      <c r="Q5612">
        <v>0.17988879999999999</v>
      </c>
      <c r="R5612">
        <v>-4.3645719999999999E-2</v>
      </c>
      <c r="S5612">
        <v>3.077896</v>
      </c>
      <c r="T5612">
        <v>-0.11152629999999999</v>
      </c>
      <c r="U5612">
        <v>0.100769</v>
      </c>
      <c r="V5612">
        <v>1.213786E-2</v>
      </c>
      <c r="W5612">
        <v>0.1866341</v>
      </c>
      <c r="X5612">
        <v>0.98235450000000002</v>
      </c>
      <c r="Y5612">
        <v>-6.4204189999999994E-2</v>
      </c>
      <c r="Z5612">
        <v>2.3099010000000001E-3</v>
      </c>
      <c r="AA5612">
        <v>0.99793410000000005</v>
      </c>
      <c r="AB5612">
        <v>36</v>
      </c>
      <c r="AC5612">
        <v>30.7319</v>
      </c>
      <c r="AD5612">
        <v>-1.1211966698307001</v>
      </c>
      <c r="AE5612">
        <v>1.0191599999999901</v>
      </c>
      <c r="AF5612">
        <v>-1.9864945886471601</v>
      </c>
      <c r="AG5612">
        <v>-1.1211966698307001</v>
      </c>
      <c r="AH5612">
        <v>30.643646082632301</v>
      </c>
      <c r="AI5612">
        <v>92.091031135377804</v>
      </c>
      <c r="AJ5612">
        <v>93.709046952715994</v>
      </c>
      <c r="AK5612">
        <v>30.728428009919298</v>
      </c>
      <c r="AL5612">
        <v>79.243580964800003</v>
      </c>
      <c r="AM5612">
        <v>89.292095915792601</v>
      </c>
      <c r="AN5612">
        <v>0.99999998929921896</v>
      </c>
    </row>
    <row r="5613" spans="1:40" x14ac:dyDescent="0.25">
      <c r="A5613" t="str">
        <f>"20190303171125029"</f>
        <v>20190303171125029</v>
      </c>
      <c r="B5613" t="str">
        <f>"1551604285006244"</f>
        <v>1551604285006244</v>
      </c>
      <c r="C5613" t="s">
        <v>40</v>
      </c>
      <c r="D5613">
        <v>5.0994830000000002</v>
      </c>
      <c r="E5613">
        <v>0.47258790000000001</v>
      </c>
      <c r="F5613" t="s">
        <v>68</v>
      </c>
      <c r="G5613">
        <v>-209.84729999999999</v>
      </c>
      <c r="H5613" s="1">
        <v>-5.8502709999999995E-7</v>
      </c>
      <c r="I5613">
        <v>-62.429699999999997</v>
      </c>
      <c r="J5613">
        <v>-240.8999</v>
      </c>
      <c r="K5613">
        <v>1.121267</v>
      </c>
      <c r="L5613">
        <v>-63.492919999999998</v>
      </c>
      <c r="M5613">
        <v>0.99950050000000001</v>
      </c>
      <c r="N5613">
        <v>-6.8313260000000004E-3</v>
      </c>
      <c r="O5613">
        <v>-3.0858400000000001E-2</v>
      </c>
      <c r="P5613">
        <v>0.98279879999999997</v>
      </c>
      <c r="Q5613">
        <v>0.17972299999999999</v>
      </c>
      <c r="R5613">
        <v>-4.2499960000000003E-2</v>
      </c>
      <c r="S5613">
        <v>3.0776210000000002</v>
      </c>
      <c r="T5613">
        <v>-0.1105083</v>
      </c>
      <c r="U5613">
        <v>0.1043091</v>
      </c>
      <c r="V5613">
        <v>1.166733E-2</v>
      </c>
      <c r="W5613">
        <v>0.1864692</v>
      </c>
      <c r="X5613">
        <v>0.98239149999999997</v>
      </c>
      <c r="Y5613">
        <v>-6.4636029999999997E-2</v>
      </c>
      <c r="Z5613">
        <v>2.2773479999999998E-3</v>
      </c>
      <c r="AA5613">
        <v>0.99790630000000002</v>
      </c>
      <c r="AB5613">
        <v>36</v>
      </c>
      <c r="AC5613">
        <v>31.052600000000002</v>
      </c>
      <c r="AD5613">
        <v>-1.1212675850271001</v>
      </c>
      <c r="AE5613">
        <v>1.0632200000000001</v>
      </c>
      <c r="AF5613">
        <v>-2.0183409693982202</v>
      </c>
      <c r="AG5613">
        <v>-1.1212675850271001</v>
      </c>
      <c r="AH5613">
        <v>30.9646754333946</v>
      </c>
      <c r="AI5613">
        <v>92.069454182299395</v>
      </c>
      <c r="AJ5613">
        <v>93.729380565496598</v>
      </c>
      <c r="AK5613">
        <v>31.050637126498</v>
      </c>
      <c r="AL5613">
        <v>79.2531976979609</v>
      </c>
      <c r="AM5613">
        <v>89.3195611528771</v>
      </c>
      <c r="AN5613">
        <v>0.999999974205109</v>
      </c>
    </row>
    <row r="5614" spans="1:40" x14ac:dyDescent="0.25">
      <c r="A5614" t="str">
        <f>"20190303171125042"</f>
        <v>20190303171125042</v>
      </c>
      <c r="B5614" t="str">
        <f>"1551604285036500"</f>
        <v>1551604285036500</v>
      </c>
      <c r="C5614" t="s">
        <v>40</v>
      </c>
      <c r="D5614">
        <v>5.0990029999999997</v>
      </c>
      <c r="E5614">
        <v>0.4725763</v>
      </c>
      <c r="F5614" t="s">
        <v>68</v>
      </c>
      <c r="G5614">
        <v>-209.8312</v>
      </c>
      <c r="H5614" s="1">
        <v>-5.8451449999999995E-7</v>
      </c>
      <c r="I5614">
        <v>-62.40475</v>
      </c>
      <c r="J5614">
        <v>-240.71979999999999</v>
      </c>
      <c r="K5614">
        <v>1.121335</v>
      </c>
      <c r="L5614">
        <v>-63.497919999999901</v>
      </c>
      <c r="M5614">
        <v>0.99952390000000002</v>
      </c>
      <c r="N5614">
        <v>-6.8316590000000003E-3</v>
      </c>
      <c r="O5614">
        <v>-3.0086069999999999E-2</v>
      </c>
      <c r="P5614">
        <v>0.98284510000000003</v>
      </c>
      <c r="Q5614">
        <v>0.179690299999999</v>
      </c>
      <c r="R5614">
        <v>-4.1553909999999999E-2</v>
      </c>
      <c r="S5614">
        <v>3.077499</v>
      </c>
      <c r="T5614">
        <v>-0.1110667</v>
      </c>
      <c r="U5614">
        <v>0.1077881</v>
      </c>
      <c r="V5614">
        <v>1.1449279999999999E-2</v>
      </c>
      <c r="W5614">
        <v>0.18643879999999999</v>
      </c>
      <c r="X5614">
        <v>0.98239989999999999</v>
      </c>
      <c r="Y5614">
        <v>-6.4992469999999997E-2</v>
      </c>
      <c r="Z5614">
        <v>2.2739240000000001E-3</v>
      </c>
      <c r="AA5614">
        <v>0.99788310000000002</v>
      </c>
      <c r="AB5614">
        <v>36</v>
      </c>
      <c r="AC5614">
        <v>30.8886</v>
      </c>
      <c r="AD5614">
        <v>-1.1213355845145001</v>
      </c>
      <c r="AE5614">
        <v>1.09316999999999</v>
      </c>
      <c r="AF5614">
        <v>-2.0193555085948902</v>
      </c>
      <c r="AG5614">
        <v>-1.1213355845145001</v>
      </c>
      <c r="AH5614">
        <v>30.801185095758701</v>
      </c>
      <c r="AI5614">
        <v>92.080503845745397</v>
      </c>
      <c r="AJ5614">
        <v>93.750998678388001</v>
      </c>
      <c r="AK5614">
        <v>30.887670573650901</v>
      </c>
      <c r="AL5614">
        <v>79.254971271379603</v>
      </c>
      <c r="AM5614">
        <v>89.332282378398403</v>
      </c>
      <c r="AN5614">
        <v>1.0000000378389799</v>
      </c>
    </row>
    <row r="5615" spans="1:40" x14ac:dyDescent="0.25">
      <c r="A5615" t="str">
        <f>"20190303171125052"</f>
        <v>20190303171125052</v>
      </c>
      <c r="B5615" t="str">
        <f>"1551604285046261"</f>
        <v>1551604285046261</v>
      </c>
      <c r="C5615" t="s">
        <v>40</v>
      </c>
      <c r="D5615">
        <v>4.792414</v>
      </c>
      <c r="E5615">
        <v>0.4726359</v>
      </c>
      <c r="F5615" t="s">
        <v>68</v>
      </c>
      <c r="G5615">
        <v>-209.63460000000001</v>
      </c>
      <c r="H5615" s="1">
        <v>-6.5240740000000005E-7</v>
      </c>
      <c r="I5615">
        <v>-62.377679999999998</v>
      </c>
      <c r="J5615">
        <v>-240.53399999999999</v>
      </c>
      <c r="K5615">
        <v>1.1213979999999999</v>
      </c>
      <c r="L5615">
        <v>-63.502929999999999</v>
      </c>
      <c r="M5615">
        <v>0.9995484</v>
      </c>
      <c r="N5615">
        <v>-6.8323139999999999E-3</v>
      </c>
      <c r="O5615">
        <v>-2.9262630000000001E-2</v>
      </c>
      <c r="P5615">
        <v>0.98288039999999999</v>
      </c>
      <c r="Q5615">
        <v>0.1797561</v>
      </c>
      <c r="R5615">
        <v>-4.0423750000000001E-2</v>
      </c>
      <c r="S5615">
        <v>3.0773470000000001</v>
      </c>
      <c r="T5615">
        <v>-0.11100889999999999</v>
      </c>
      <c r="U5615">
        <v>0.1109009</v>
      </c>
      <c r="V5615">
        <v>1.109888E-2</v>
      </c>
      <c r="W5615">
        <v>0.1865057</v>
      </c>
      <c r="X5615">
        <v>0.98239120000000002</v>
      </c>
      <c r="Y5615">
        <v>-6.5180479999999999E-2</v>
      </c>
      <c r="Z5615">
        <v>2.2528069999999999E-3</v>
      </c>
      <c r="AA5615">
        <v>0.99787090000000001</v>
      </c>
      <c r="AB5615">
        <v>36</v>
      </c>
      <c r="AC5615">
        <v>30.8994</v>
      </c>
      <c r="AD5615">
        <v>-1.12139865240739</v>
      </c>
      <c r="AE5615">
        <v>1.1252500000000001</v>
      </c>
      <c r="AF5615">
        <v>-2.0263215774393002</v>
      </c>
      <c r="AG5615">
        <v>-1.12139865240739</v>
      </c>
      <c r="AH5615">
        <v>30.8127086208629</v>
      </c>
      <c r="AI5615">
        <v>92.079815934357001</v>
      </c>
      <c r="AJ5615">
        <v>93.762497575047504</v>
      </c>
      <c r="AK5615">
        <v>30.899620169623699</v>
      </c>
      <c r="AL5615">
        <v>79.2510695097276</v>
      </c>
      <c r="AM5615">
        <v>89.352710074153904</v>
      </c>
      <c r="AN5615">
        <v>1.00000001555359</v>
      </c>
    </row>
    <row r="5616" spans="1:40" x14ac:dyDescent="0.25">
      <c r="A5616" t="str">
        <f>"20190303171125062"</f>
        <v>20190303171125062</v>
      </c>
      <c r="B5616" t="str">
        <f>"1551604285056531"</f>
        <v>1551604285056531</v>
      </c>
      <c r="C5616" t="s">
        <v>40</v>
      </c>
      <c r="D5616">
        <v>4.897443</v>
      </c>
      <c r="E5616">
        <v>0.47266799999999998</v>
      </c>
      <c r="F5616" t="s">
        <v>68</v>
      </c>
      <c r="G5616">
        <v>-209.4701</v>
      </c>
      <c r="H5616" s="1">
        <v>-7.090718E-7</v>
      </c>
      <c r="I5616">
        <v>-62.354460000000003</v>
      </c>
      <c r="J5616">
        <v>-240.38839999999999</v>
      </c>
      <c r="K5616">
        <v>1.121443</v>
      </c>
      <c r="L5616">
        <v>-63.506680000000003</v>
      </c>
      <c r="M5616">
        <v>0.9995676</v>
      </c>
      <c r="N5616">
        <v>-6.8329749999999998E-3</v>
      </c>
      <c r="O5616">
        <v>-2.860188E-2</v>
      </c>
      <c r="P5616">
        <v>0.98283339999999997</v>
      </c>
      <c r="Q5616">
        <v>0.18017810000000001</v>
      </c>
      <c r="R5616">
        <v>-3.9678919999999999E-2</v>
      </c>
      <c r="S5616">
        <v>3.0772400000000002</v>
      </c>
      <c r="T5616">
        <v>-0.1110873</v>
      </c>
      <c r="U5616">
        <v>0.1137695</v>
      </c>
      <c r="V5616">
        <v>1.098346E-2</v>
      </c>
      <c r="W5616">
        <v>0.18692919999999999</v>
      </c>
      <c r="X5616">
        <v>0.98231199999999996</v>
      </c>
      <c r="Y5616">
        <v>-6.5451079999999995E-2</v>
      </c>
      <c r="Z5616">
        <v>2.2409180000000002E-3</v>
      </c>
      <c r="AA5616">
        <v>0.99785330000000005</v>
      </c>
      <c r="AB5616">
        <v>36</v>
      </c>
      <c r="AC5616">
        <v>30.918299999999899</v>
      </c>
      <c r="AD5616">
        <v>-1.1214437090717999</v>
      </c>
      <c r="AE5616">
        <v>1.15222</v>
      </c>
      <c r="AF5616">
        <v>-2.0334192169833298</v>
      </c>
      <c r="AG5616">
        <v>-1.1214437090717999</v>
      </c>
      <c r="AH5616">
        <v>30.832187210852901</v>
      </c>
      <c r="AI5616">
        <v>92.078560887645395</v>
      </c>
      <c r="AJ5616">
        <v>93.773260091326406</v>
      </c>
      <c r="AK5616">
        <v>30.919511605290499</v>
      </c>
      <c r="AL5616">
        <v>79.226370360533394</v>
      </c>
      <c r="AM5616">
        <v>89.3593891969699</v>
      </c>
      <c r="AN5616">
        <v>1.0000000137750999</v>
      </c>
    </row>
    <row r="5617" spans="1:40" x14ac:dyDescent="0.25">
      <c r="A5617" t="str">
        <f>"20190303171125072"</f>
        <v>20190303171125072</v>
      </c>
      <c r="B5617" t="str">
        <f>"1551604285066291"</f>
        <v>1551604285066291</v>
      </c>
      <c r="C5617" t="s">
        <v>40</v>
      </c>
      <c r="D5617">
        <v>5.1080220000000001</v>
      </c>
      <c r="E5617">
        <v>0.47270129999999999</v>
      </c>
      <c r="F5617" t="s">
        <v>68</v>
      </c>
      <c r="G5617">
        <v>-209.07910000000001</v>
      </c>
      <c r="H5617" s="1">
        <v>-8.5072699999999997E-7</v>
      </c>
      <c r="I5617">
        <v>-62.3255699999999</v>
      </c>
      <c r="J5617">
        <v>-240.20769999999999</v>
      </c>
      <c r="K5617">
        <v>1.1214980000000001</v>
      </c>
      <c r="L5617">
        <v>-63.511290000000002</v>
      </c>
      <c r="M5617">
        <v>0.99959120000000001</v>
      </c>
      <c r="N5617">
        <v>-6.8338979999999997E-3</v>
      </c>
      <c r="O5617">
        <v>-2.7768620000000001E-2</v>
      </c>
      <c r="P5617">
        <v>0.98280699999999999</v>
      </c>
      <c r="Q5617">
        <v>0.18055350000000001</v>
      </c>
      <c r="R5617">
        <v>-3.8614799999999998E-2</v>
      </c>
      <c r="S5617">
        <v>3.077286</v>
      </c>
      <c r="T5617">
        <v>-0.1102228</v>
      </c>
      <c r="U5617">
        <v>0.11608889999999999</v>
      </c>
      <c r="V5617">
        <v>1.071457E-2</v>
      </c>
      <c r="W5617">
        <v>0.18730530000000001</v>
      </c>
      <c r="X5617">
        <v>0.98224330000000004</v>
      </c>
      <c r="Y5617">
        <v>-6.5371100000000001E-2</v>
      </c>
      <c r="Z5617">
        <v>2.1978200000000001E-3</v>
      </c>
      <c r="AA5617">
        <v>0.99785860000000004</v>
      </c>
      <c r="AB5617">
        <v>36</v>
      </c>
      <c r="AC5617">
        <v>31.128599999999899</v>
      </c>
      <c r="AD5617">
        <v>-1.1214988507269901</v>
      </c>
      <c r="AE5617">
        <v>1.1857200000000101</v>
      </c>
      <c r="AF5617">
        <v>-2.0470278146908201</v>
      </c>
      <c r="AG5617">
        <v>-1.1214988507269901</v>
      </c>
      <c r="AH5617">
        <v>31.043432636946701</v>
      </c>
      <c r="AI5617">
        <v>92.064531736047797</v>
      </c>
      <c r="AJ5617">
        <v>93.772665993574606</v>
      </c>
      <c r="AK5617">
        <v>31.131058324942099</v>
      </c>
      <c r="AL5617">
        <v>79.2044336967097</v>
      </c>
      <c r="AM5617">
        <v>89.375027253756301</v>
      </c>
      <c r="AN5617">
        <v>0.999999988906632</v>
      </c>
    </row>
    <row r="5618" spans="1:40" x14ac:dyDescent="0.25">
      <c r="A5618" t="str">
        <f>"20190303171125083"</f>
        <v>20190303171125083</v>
      </c>
      <c r="B5618" t="str">
        <f>"1551604285076051"</f>
        <v>1551604285076051</v>
      </c>
      <c r="C5618" t="s">
        <v>40</v>
      </c>
      <c r="D5618">
        <v>5.1093840000000004</v>
      </c>
      <c r="E5618">
        <v>0.47266459999999999</v>
      </c>
      <c r="F5618" t="s">
        <v>68</v>
      </c>
      <c r="G5618">
        <v>-208.59</v>
      </c>
      <c r="H5618" s="1">
        <v>-1.1329439999999999E-6</v>
      </c>
      <c r="I5618">
        <v>-62.287779999999998</v>
      </c>
      <c r="J5618">
        <v>-240.0274</v>
      </c>
      <c r="K5618">
        <v>1.121548</v>
      </c>
      <c r="L5618">
        <v>-63.515659999999997</v>
      </c>
      <c r="M5618">
        <v>0.99961420000000001</v>
      </c>
      <c r="N5618">
        <v>-6.8350470000000003E-3</v>
      </c>
      <c r="O5618">
        <v>-2.692228E-2</v>
      </c>
      <c r="P5618">
        <v>0.98275089999999998</v>
      </c>
      <c r="Q5618">
        <v>0.18095449999999999</v>
      </c>
      <c r="R5618">
        <v>-3.816174E-2</v>
      </c>
      <c r="S5618">
        <v>3.0772249999999999</v>
      </c>
      <c r="T5618">
        <v>-0.1091511</v>
      </c>
      <c r="U5618">
        <v>0.11907959999999999</v>
      </c>
      <c r="V5618">
        <v>1.1072830000000001E-2</v>
      </c>
      <c r="W5618">
        <v>0.1877096</v>
      </c>
      <c r="X5618">
        <v>0.98216219999999999</v>
      </c>
      <c r="Y5618">
        <v>-6.5496789999999999E-2</v>
      </c>
      <c r="Z5618">
        <v>2.155251E-3</v>
      </c>
      <c r="AA5618">
        <v>0.99785049999999997</v>
      </c>
      <c r="AB5618">
        <v>36</v>
      </c>
      <c r="AC5618">
        <v>31.4374</v>
      </c>
      <c r="AD5618">
        <v>-1.1215491329439999</v>
      </c>
      <c r="AE5618">
        <v>1.2278799999999901</v>
      </c>
      <c r="AF5618">
        <v>-2.0711890411959102</v>
      </c>
      <c r="AG5618">
        <v>-1.1215491329439999</v>
      </c>
      <c r="AH5618">
        <v>31.353102343160302</v>
      </c>
      <c r="AI5618">
        <v>92.044233618038206</v>
      </c>
      <c r="AJ5618">
        <v>93.779473449465002</v>
      </c>
      <c r="AK5618">
        <v>31.441449124406802</v>
      </c>
      <c r="AL5618">
        <v>79.180851332273804</v>
      </c>
      <c r="AM5618">
        <v>89.354078634409206</v>
      </c>
      <c r="AN5618">
        <v>1.0000000443026</v>
      </c>
    </row>
    <row r="5619" spans="1:40" x14ac:dyDescent="0.25">
      <c r="A5619" t="str">
        <f>"20190303171125094"</f>
        <v>20190303171125094</v>
      </c>
      <c r="B5619" t="str">
        <f>"1551604285085811"</f>
        <v>1551604285085811</v>
      </c>
      <c r="C5619" t="s">
        <v>40</v>
      </c>
      <c r="D5619">
        <v>4.990945</v>
      </c>
      <c r="E5619">
        <v>0.47260970000000002</v>
      </c>
      <c r="F5619" t="s">
        <v>68</v>
      </c>
      <c r="G5619">
        <v>-208.0274</v>
      </c>
      <c r="H5619" s="1">
        <v>-1.486681E-6</v>
      </c>
      <c r="I5619">
        <v>-62.260190000000001</v>
      </c>
      <c r="J5619">
        <v>-239.85560000000001</v>
      </c>
      <c r="K5619">
        <v>1.1215919999999999</v>
      </c>
      <c r="L5619">
        <v>-63.519739999999999</v>
      </c>
      <c r="M5619">
        <v>0.99963579999999996</v>
      </c>
      <c r="N5619">
        <v>-6.8362049999999997E-3</v>
      </c>
      <c r="O5619">
        <v>-2.6109460000000001E-2</v>
      </c>
      <c r="P5619">
        <v>0.98271189999999997</v>
      </c>
      <c r="Q5619">
        <v>0.18133969999999999</v>
      </c>
      <c r="R5619">
        <v>-3.7327920000000001E-2</v>
      </c>
      <c r="S5619">
        <v>3.0771790000000001</v>
      </c>
      <c r="T5619">
        <v>-0.1078504</v>
      </c>
      <c r="U5619">
        <v>0.1207275</v>
      </c>
      <c r="V5619">
        <v>1.101917E-2</v>
      </c>
      <c r="W5619">
        <v>0.1880964</v>
      </c>
      <c r="X5619">
        <v>0.98208870000000004</v>
      </c>
      <c r="Y5619">
        <v>-6.5221479999999998E-2</v>
      </c>
      <c r="Z5619">
        <v>2.101403E-3</v>
      </c>
      <c r="AA5619">
        <v>0.99786859999999999</v>
      </c>
      <c r="AB5619">
        <v>36</v>
      </c>
      <c r="AC5619">
        <v>31.828199999999999</v>
      </c>
      <c r="AD5619">
        <v>-1.121593486681</v>
      </c>
      <c r="AE5619">
        <v>1.2595499999999999</v>
      </c>
      <c r="AF5619">
        <v>-2.0875687891105899</v>
      </c>
      <c r="AG5619">
        <v>-1.121593486681</v>
      </c>
      <c r="AH5619">
        <v>31.745103015111098</v>
      </c>
      <c r="AI5619">
        <v>92.019131127588594</v>
      </c>
      <c r="AJ5619">
        <v>93.762372856975702</v>
      </c>
      <c r="AK5619">
        <v>31.8334333812526</v>
      </c>
      <c r="AL5619">
        <v>79.158286331644305</v>
      </c>
      <c r="AM5619">
        <v>89.357160465449695</v>
      </c>
      <c r="AN5619">
        <v>0.99999994623406796</v>
      </c>
    </row>
    <row r="5620" spans="1:40" x14ac:dyDescent="0.25">
      <c r="A5620" t="str">
        <f>"20190303171125105"</f>
        <v>20190303171125105</v>
      </c>
      <c r="B5620" t="str">
        <f>"1551604285096547"</f>
        <v>1551604285096547</v>
      </c>
      <c r="C5620" t="s">
        <v>40</v>
      </c>
      <c r="D5620">
        <v>5.1054690000000003</v>
      </c>
      <c r="E5620">
        <v>0.4726496</v>
      </c>
      <c r="F5620" t="s">
        <v>68</v>
      </c>
      <c r="G5620">
        <v>-207.67320000000001</v>
      </c>
      <c r="H5620" s="1">
        <v>-1.7071050000000001E-6</v>
      </c>
      <c r="I5620">
        <v>-62.226199999999999</v>
      </c>
      <c r="J5620">
        <v>-239.67769999999999</v>
      </c>
      <c r="K5620">
        <v>1.121629</v>
      </c>
      <c r="L5620">
        <v>-63.523739999999997</v>
      </c>
      <c r="M5620">
        <v>0.99965780000000004</v>
      </c>
      <c r="N5620">
        <v>-6.837681E-3</v>
      </c>
      <c r="O5620">
        <v>-2.5256489999999999E-2</v>
      </c>
      <c r="P5620">
        <v>0.98270670000000004</v>
      </c>
      <c r="Q5620">
        <v>0.1815515</v>
      </c>
      <c r="R5620">
        <v>-3.6424539999999998E-2</v>
      </c>
      <c r="S5620">
        <v>3.0772550000000001</v>
      </c>
      <c r="T5620">
        <v>-0.10724589999999901</v>
      </c>
      <c r="U5620">
        <v>0.1236877</v>
      </c>
      <c r="V5620">
        <v>1.09373E-2</v>
      </c>
      <c r="W5620">
        <v>0.18831039999999999</v>
      </c>
      <c r="X5620">
        <v>0.98204860000000005</v>
      </c>
      <c r="Y5620">
        <v>-6.5328360000000002E-2</v>
      </c>
      <c r="Z5620">
        <v>2.0681609999999998E-3</v>
      </c>
      <c r="AA5620">
        <v>0.99786169999999996</v>
      </c>
      <c r="AB5620">
        <v>36</v>
      </c>
      <c r="AC5620">
        <v>32.004499999999901</v>
      </c>
      <c r="AD5620">
        <v>-1.121630707105</v>
      </c>
      <c r="AE5620">
        <v>1.2975399999999999</v>
      </c>
      <c r="AF5620">
        <v>-2.1028875763661001</v>
      </c>
      <c r="AG5620">
        <v>-1.121630707105</v>
      </c>
      <c r="AH5620">
        <v>31.922374655054799</v>
      </c>
      <c r="AI5620">
        <v>92.007979171589596</v>
      </c>
      <c r="AJ5620">
        <v>93.768916064105795</v>
      </c>
      <c r="AK5620">
        <v>32.011219833359</v>
      </c>
      <c r="AL5620">
        <v>79.145801892643604</v>
      </c>
      <c r="AM5620">
        <v>89.361910172985901</v>
      </c>
      <c r="AN5620">
        <v>0.99999994202070297</v>
      </c>
    </row>
    <row r="5621" spans="1:40" x14ac:dyDescent="0.25">
      <c r="A5621" t="str">
        <f>"20190303171125117"</f>
        <v>20190303171125117</v>
      </c>
      <c r="B5621" t="str">
        <f>"1551604285106307"</f>
        <v>1551604285106307</v>
      </c>
      <c r="C5621" t="s">
        <v>40</v>
      </c>
      <c r="D5621">
        <v>5.1363269999999996</v>
      </c>
      <c r="E5621">
        <v>0.47273910000000002</v>
      </c>
      <c r="F5621" t="s">
        <v>68</v>
      </c>
      <c r="G5621">
        <v>-207.37010000000001</v>
      </c>
      <c r="H5621" s="1">
        <v>-1.895964E-6</v>
      </c>
      <c r="I5621">
        <v>-62.1988699999999</v>
      </c>
      <c r="J5621">
        <v>-239.49700000000001</v>
      </c>
      <c r="K5621">
        <v>1.1216630000000001</v>
      </c>
      <c r="L5621">
        <v>-63.527740000000001</v>
      </c>
      <c r="M5621">
        <v>0.99967930000000005</v>
      </c>
      <c r="N5621">
        <v>-6.8391789999999999E-3</v>
      </c>
      <c r="O5621">
        <v>-2.4387800000000001E-2</v>
      </c>
      <c r="P5621">
        <v>0.98274220000000001</v>
      </c>
      <c r="Q5621">
        <v>0.18154400000000001</v>
      </c>
      <c r="R5621">
        <v>-3.549426E-2</v>
      </c>
      <c r="S5621">
        <v>3.0772089999999999</v>
      </c>
      <c r="T5621">
        <v>-0.10683230000000001</v>
      </c>
      <c r="U5621">
        <v>0.1261902</v>
      </c>
      <c r="V5621">
        <v>1.084386E-2</v>
      </c>
      <c r="W5621">
        <v>0.18830479999999999</v>
      </c>
      <c r="X5621">
        <v>0.9820508</v>
      </c>
      <c r="Y5621">
        <v>-6.5272769999999994E-2</v>
      </c>
      <c r="Z5621">
        <v>2.035046E-3</v>
      </c>
      <c r="AA5621">
        <v>0.99786540000000001</v>
      </c>
      <c r="AB5621">
        <v>36</v>
      </c>
      <c r="AC5621">
        <v>32.126899999999999</v>
      </c>
      <c r="AD5621">
        <v>-1.1216648959640001</v>
      </c>
      <c r="AE5621">
        <v>1.32887</v>
      </c>
      <c r="AF5621">
        <v>-2.1094304672753998</v>
      </c>
      <c r="AG5621">
        <v>-1.1216648959640001</v>
      </c>
      <c r="AH5621">
        <v>32.0459392660498</v>
      </c>
      <c r="AI5621">
        <v>92.000310440248199</v>
      </c>
      <c r="AJ5621">
        <v>93.766073194158395</v>
      </c>
      <c r="AK5621">
        <v>32.134872840552198</v>
      </c>
      <c r="AL5621">
        <v>79.146129564484994</v>
      </c>
      <c r="AM5621">
        <v>89.367362500906793</v>
      </c>
      <c r="AN5621">
        <v>1.0000000303916801</v>
      </c>
    </row>
    <row r="5622" spans="1:40" x14ac:dyDescent="0.25">
      <c r="A5622" t="str">
        <f>"20190303171125127"</f>
        <v>20190303171125127</v>
      </c>
      <c r="B5622" t="str">
        <f>"1551604285116067"</f>
        <v>1551604285116067</v>
      </c>
      <c r="C5622" t="s">
        <v>40</v>
      </c>
      <c r="D5622">
        <v>5.1260919999999999</v>
      </c>
      <c r="E5622">
        <v>0.47282249999999998</v>
      </c>
      <c r="F5622" t="s">
        <v>68</v>
      </c>
      <c r="G5622">
        <v>-207.2354</v>
      </c>
      <c r="H5622" s="1">
        <v>-1.9796110000000002E-6</v>
      </c>
      <c r="I5622">
        <v>-62.18486</v>
      </c>
      <c r="J5622">
        <v>-239.3158</v>
      </c>
      <c r="K5622">
        <v>1.121691</v>
      </c>
      <c r="L5622">
        <v>-63.53143</v>
      </c>
      <c r="M5622">
        <v>0.99970029999999999</v>
      </c>
      <c r="N5622">
        <v>-6.8410629999999997E-3</v>
      </c>
      <c r="O5622">
        <v>-2.3508999999999999E-2</v>
      </c>
      <c r="P5622">
        <v>0.98278980000000005</v>
      </c>
      <c r="Q5622">
        <v>0.1815039</v>
      </c>
      <c r="R5622">
        <v>-3.4360219999999997E-2</v>
      </c>
      <c r="S5622">
        <v>3.0770569999999999</v>
      </c>
      <c r="T5622">
        <v>-0.1069826</v>
      </c>
      <c r="U5622">
        <v>0.12808230000000001</v>
      </c>
      <c r="V5622">
        <v>1.055967E-2</v>
      </c>
      <c r="W5622">
        <v>0.1882664</v>
      </c>
      <c r="X5622">
        <v>0.98206119999999997</v>
      </c>
      <c r="Y5622">
        <v>-6.5010529999999997E-2</v>
      </c>
      <c r="Z5622">
        <v>2.007946E-3</v>
      </c>
      <c r="AA5622">
        <v>0.99788250000000001</v>
      </c>
      <c r="AB5622">
        <v>37</v>
      </c>
      <c r="AC5622">
        <v>32.080399999999997</v>
      </c>
      <c r="AD5622">
        <v>-1.121692979611</v>
      </c>
      <c r="AE5622">
        <v>1.34657</v>
      </c>
      <c r="AF5622">
        <v>-2.0978333291607698</v>
      </c>
      <c r="AG5622">
        <v>-1.121692979611</v>
      </c>
      <c r="AH5622">
        <v>32.000822161394701</v>
      </c>
      <c r="AI5622">
        <v>92.003213736195605</v>
      </c>
      <c r="AJ5622">
        <v>93.750692847638703</v>
      </c>
      <c r="AK5622">
        <v>32.0891215028186</v>
      </c>
      <c r="AL5622">
        <v>79.148369151977505</v>
      </c>
      <c r="AM5622">
        <v>89.383947549779293</v>
      </c>
      <c r="AN5622">
        <v>0.99999997227245396</v>
      </c>
    </row>
    <row r="5623" spans="1:40" x14ac:dyDescent="0.25">
      <c r="A5623" t="str">
        <f>"20190303171125139"</f>
        <v>20190303171125139</v>
      </c>
      <c r="B5623" t="str">
        <f>"1551604285125827"</f>
        <v>1551604285125827</v>
      </c>
      <c r="C5623" t="s">
        <v>40</v>
      </c>
      <c r="D5623">
        <v>4.9117259999999998</v>
      </c>
      <c r="E5623">
        <v>0.47290100000000002</v>
      </c>
      <c r="F5623" t="s">
        <v>68</v>
      </c>
      <c r="G5623">
        <v>-207.16849999999999</v>
      </c>
      <c r="H5623" s="1">
        <v>-2.019573E-6</v>
      </c>
      <c r="I5623">
        <v>-62.166469999999997</v>
      </c>
      <c r="J5623">
        <v>-239.13589999999999</v>
      </c>
      <c r="K5623">
        <v>1.1217200000000001</v>
      </c>
      <c r="L5623">
        <v>-63.535060000000001</v>
      </c>
      <c r="M5623">
        <v>0.99972050000000001</v>
      </c>
      <c r="N5623">
        <v>-6.8429509999999999E-3</v>
      </c>
      <c r="O5623">
        <v>-2.2635809999999999E-2</v>
      </c>
      <c r="P5623">
        <v>0.98284050000000001</v>
      </c>
      <c r="Q5623">
        <v>0.1814183</v>
      </c>
      <c r="R5623">
        <v>-3.3347660000000001E-2</v>
      </c>
      <c r="S5623">
        <v>3.0769199999999999</v>
      </c>
      <c r="T5623">
        <v>-0.10736080000000001</v>
      </c>
      <c r="U5623">
        <v>0.13064580000000001</v>
      </c>
      <c r="V5623">
        <v>1.0391920000000001E-2</v>
      </c>
      <c r="W5623">
        <v>0.18818309999999999</v>
      </c>
      <c r="X5623">
        <v>0.98207900000000004</v>
      </c>
      <c r="Y5623">
        <v>-6.4970680000000003E-2</v>
      </c>
      <c r="Z5623">
        <v>1.9895970000000001E-3</v>
      </c>
      <c r="AA5623">
        <v>0.99788520000000003</v>
      </c>
      <c r="AB5623">
        <v>37</v>
      </c>
      <c r="AC5623">
        <v>31.967400000000001</v>
      </c>
      <c r="AD5623">
        <v>-1.121722019573</v>
      </c>
      <c r="AE5623">
        <v>1.36858999999999</v>
      </c>
      <c r="AF5623">
        <v>-2.0892963553545001</v>
      </c>
      <c r="AG5623">
        <v>-1.121722019573</v>
      </c>
      <c r="AH5623">
        <v>31.889036567715099</v>
      </c>
      <c r="AI5623">
        <v>92.010287130851296</v>
      </c>
      <c r="AJ5623">
        <v>93.748530254404102</v>
      </c>
      <c r="AK5623">
        <v>31.977086683542101</v>
      </c>
      <c r="AL5623">
        <v>79.153229238674498</v>
      </c>
      <c r="AM5623">
        <v>89.3937443567401</v>
      </c>
      <c r="AN5623">
        <v>1.00000001668394</v>
      </c>
    </row>
    <row r="5624" spans="1:40" x14ac:dyDescent="0.25">
      <c r="A5624" t="str">
        <f>"20190303171125151"</f>
        <v>20190303171125151</v>
      </c>
      <c r="B5624" t="str">
        <f>"1551604285146323"</f>
        <v>1551604285146323</v>
      </c>
      <c r="C5624" t="s">
        <v>40</v>
      </c>
      <c r="D5624">
        <v>5.1109249999999999</v>
      </c>
      <c r="E5624">
        <v>0.4730106</v>
      </c>
      <c r="F5624" t="s">
        <v>68</v>
      </c>
      <c r="G5624">
        <v>-207.15989999999999</v>
      </c>
      <c r="H5624" s="1">
        <v>-2.0229620000000002E-6</v>
      </c>
      <c r="I5624">
        <v>-62.151629999999997</v>
      </c>
      <c r="J5624">
        <v>-238.93510000000001</v>
      </c>
      <c r="K5624">
        <v>1.121745</v>
      </c>
      <c r="L5624">
        <v>-63.538910000000001</v>
      </c>
      <c r="M5624">
        <v>0.99974209999999997</v>
      </c>
      <c r="N5624">
        <v>-6.8453460000000004E-3</v>
      </c>
      <c r="O5624">
        <v>-2.1658090000000001E-2</v>
      </c>
      <c r="P5624">
        <v>0.9828732</v>
      </c>
      <c r="Q5624">
        <v>0.18137</v>
      </c>
      <c r="R5624">
        <v>-3.2647099999999998E-2</v>
      </c>
      <c r="S5624">
        <v>3.076813</v>
      </c>
      <c r="T5624">
        <v>-0.10793510000000001</v>
      </c>
      <c r="U5624">
        <v>0.13311770000000001</v>
      </c>
      <c r="V5624">
        <v>1.0639590000000001E-2</v>
      </c>
      <c r="W5624">
        <v>0.18813859999999999</v>
      </c>
      <c r="X5624">
        <v>0.98208490000000004</v>
      </c>
      <c r="Y5624">
        <v>-6.4796400000000004E-2</v>
      </c>
      <c r="Z5624">
        <v>1.968699E-3</v>
      </c>
      <c r="AA5624">
        <v>0.99789660000000002</v>
      </c>
      <c r="AB5624">
        <v>37</v>
      </c>
      <c r="AC5624">
        <v>31.775200000000002</v>
      </c>
      <c r="AD5624">
        <v>-1.1217470229619999</v>
      </c>
      <c r="AE5624">
        <v>1.3872799999999901</v>
      </c>
      <c r="AF5624">
        <v>-2.07258268642122</v>
      </c>
      <c r="AG5624">
        <v>-1.1217470229619999</v>
      </c>
      <c r="AH5624">
        <v>31.6982702520339</v>
      </c>
      <c r="AI5624">
        <v>92.022437965143197</v>
      </c>
      <c r="AJ5624">
        <v>93.7409438093446</v>
      </c>
      <c r="AK5624">
        <v>31.785755494349299</v>
      </c>
      <c r="AL5624">
        <v>79.155825551119094</v>
      </c>
      <c r="AM5624">
        <v>89.379300348676693</v>
      </c>
      <c r="AN5624">
        <v>1.0000000422466599</v>
      </c>
    </row>
    <row r="5625" spans="1:40" x14ac:dyDescent="0.25">
      <c r="A5625" t="str">
        <f>"20190303171125161"</f>
        <v>20190303171125161</v>
      </c>
      <c r="B5625" t="str">
        <f>"1551604285156083"</f>
        <v>1551604285156083</v>
      </c>
      <c r="C5625" t="s">
        <v>40</v>
      </c>
      <c r="D5625">
        <v>5.1120919999999996</v>
      </c>
      <c r="E5625">
        <v>0.47306870000000001</v>
      </c>
      <c r="F5625" t="s">
        <v>68</v>
      </c>
      <c r="G5625">
        <v>-207.02709999999999</v>
      </c>
      <c r="H5625" s="1">
        <v>-2.1059719999999999E-6</v>
      </c>
      <c r="I5625">
        <v>-62.141620000000003</v>
      </c>
      <c r="J5625">
        <v>-238.75319999999999</v>
      </c>
      <c r="K5625">
        <v>1.1217649999999999</v>
      </c>
      <c r="L5625">
        <v>-63.542209999999997</v>
      </c>
      <c r="M5625">
        <v>0.99976089999999995</v>
      </c>
      <c r="N5625">
        <v>-6.846403E-3</v>
      </c>
      <c r="O5625">
        <v>-2.07724E-2</v>
      </c>
      <c r="P5625">
        <v>0.98292429999999997</v>
      </c>
      <c r="Q5625">
        <v>0.18122269999999999</v>
      </c>
      <c r="R5625">
        <v>-3.1916710000000001E-2</v>
      </c>
      <c r="S5625">
        <v>3.0767519999999999</v>
      </c>
      <c r="T5625">
        <v>-0.1081655</v>
      </c>
      <c r="U5625">
        <v>0.1347351</v>
      </c>
      <c r="V5625">
        <v>1.0769249999999999E-2</v>
      </c>
      <c r="W5625">
        <v>0.18799379999999999</v>
      </c>
      <c r="X5625">
        <v>0.98211119999999996</v>
      </c>
      <c r="Y5625">
        <v>-6.4437179999999997E-2</v>
      </c>
      <c r="Z5625">
        <v>1.9401799999999999E-3</v>
      </c>
      <c r="AA5625">
        <v>0.99791989999999997</v>
      </c>
      <c r="AB5625">
        <v>37</v>
      </c>
      <c r="AC5625">
        <v>31.726099999999999</v>
      </c>
      <c r="AD5625">
        <v>-1.12176710597199</v>
      </c>
      <c r="AE5625">
        <v>1.40059</v>
      </c>
      <c r="AF5625">
        <v>-2.05676407252788</v>
      </c>
      <c r="AG5625">
        <v>-1.12176710597199</v>
      </c>
      <c r="AH5625">
        <v>31.650667840552799</v>
      </c>
      <c r="AI5625">
        <v>92.025566136702395</v>
      </c>
      <c r="AJ5625">
        <v>93.718039768492304</v>
      </c>
      <c r="AK5625">
        <v>31.737255940661999</v>
      </c>
      <c r="AL5625">
        <v>79.164272544608806</v>
      </c>
      <c r="AM5625">
        <v>89.371753580852797</v>
      </c>
      <c r="AN5625">
        <v>1.00000002737472</v>
      </c>
    </row>
    <row r="5626" spans="1:40" x14ac:dyDescent="0.25">
      <c r="A5626" t="str">
        <f>"20190303171125172"</f>
        <v>20190303171125172</v>
      </c>
      <c r="B5626" t="str">
        <f>"1551604285165843"</f>
        <v>1551604285165843</v>
      </c>
      <c r="C5626" t="s">
        <v>40</v>
      </c>
      <c r="D5626">
        <v>5.1230630000000001</v>
      </c>
      <c r="E5626">
        <v>0.47310950000000002</v>
      </c>
      <c r="F5626" t="s">
        <v>68</v>
      </c>
      <c r="G5626">
        <v>-206.9434</v>
      </c>
      <c r="H5626" s="1">
        <v>-2.1567130000000002E-6</v>
      </c>
      <c r="I5626">
        <v>-62.123899999999999</v>
      </c>
      <c r="J5626">
        <v>-238.57069999999999</v>
      </c>
      <c r="K5626">
        <v>1.121777</v>
      </c>
      <c r="L5626">
        <v>-63.545349999999999</v>
      </c>
      <c r="M5626">
        <v>0.99977890000000003</v>
      </c>
      <c r="N5626">
        <v>-6.8464240000000003E-3</v>
      </c>
      <c r="O5626">
        <v>-1.9883029999999999E-2</v>
      </c>
      <c r="P5626">
        <v>0.98297440000000003</v>
      </c>
      <c r="Q5626">
        <v>0.18103050000000001</v>
      </c>
      <c r="R5626">
        <v>-3.1459279999999999E-2</v>
      </c>
      <c r="S5626">
        <v>3.0765989999999999</v>
      </c>
      <c r="T5626">
        <v>-0.1084958</v>
      </c>
      <c r="U5626">
        <v>0.13717650000000001</v>
      </c>
      <c r="V5626">
        <v>1.117664E-2</v>
      </c>
      <c r="W5626">
        <v>0.18780369999999999</v>
      </c>
      <c r="X5626">
        <v>0.98214299999999999</v>
      </c>
      <c r="Y5626">
        <v>-6.4342070000000001E-2</v>
      </c>
      <c r="Z5626">
        <v>1.918672E-3</v>
      </c>
      <c r="AA5626">
        <v>0.99792610000000004</v>
      </c>
      <c r="AB5626">
        <v>37</v>
      </c>
      <c r="AC5626">
        <v>31.627299999999899</v>
      </c>
      <c r="AD5626">
        <v>-1.121779156713</v>
      </c>
      <c r="AE5626">
        <v>1.4214500000000001</v>
      </c>
      <c r="AF5626">
        <v>-2.04745968969595</v>
      </c>
      <c r="AG5626">
        <v>-1.121779156713</v>
      </c>
      <c r="AH5626">
        <v>31.553169239062399</v>
      </c>
      <c r="AI5626">
        <v>92.031854013409202</v>
      </c>
      <c r="AJ5626">
        <v>93.712671867250194</v>
      </c>
      <c r="AK5626">
        <v>31.6394211180653</v>
      </c>
      <c r="AL5626">
        <v>79.175361799502497</v>
      </c>
      <c r="AM5626">
        <v>89.348010768034399</v>
      </c>
      <c r="AN5626">
        <v>1.00000000973218</v>
      </c>
    </row>
    <row r="5627" spans="1:40" x14ac:dyDescent="0.25">
      <c r="A5627" t="str">
        <f>"20190303171125183"</f>
        <v>20190303171125183</v>
      </c>
      <c r="B5627" t="str">
        <f>"1551604285176579"</f>
        <v>1551604285176579</v>
      </c>
      <c r="C5627" t="s">
        <v>40</v>
      </c>
      <c r="D5627">
        <v>5.124053</v>
      </c>
      <c r="E5627">
        <v>0.47317310000000001</v>
      </c>
      <c r="F5627" t="s">
        <v>68</v>
      </c>
      <c r="G5627">
        <v>-206.8706</v>
      </c>
      <c r="H5627" s="1">
        <v>-2.2017029999999999E-6</v>
      </c>
      <c r="I5627">
        <v>-62.114579999999997</v>
      </c>
      <c r="J5627">
        <v>-238.3964</v>
      </c>
      <c r="K5627">
        <v>1.121791</v>
      </c>
      <c r="L5627">
        <v>-63.548189999999998</v>
      </c>
      <c r="M5627">
        <v>0.99979560000000001</v>
      </c>
      <c r="N5627">
        <v>-6.8456159999999997E-3</v>
      </c>
      <c r="O5627">
        <v>-1.9033970000000001E-2</v>
      </c>
      <c r="P5627">
        <v>0.98304139999999995</v>
      </c>
      <c r="Q5627">
        <v>0.1807581</v>
      </c>
      <c r="R5627">
        <v>-3.09292E-2</v>
      </c>
      <c r="S5627">
        <v>3.0764619999999998</v>
      </c>
      <c r="T5627">
        <v>-0.10886750000000001</v>
      </c>
      <c r="U5627">
        <v>0.13885500000000001</v>
      </c>
      <c r="V5627">
        <v>1.1473260000000001E-2</v>
      </c>
      <c r="W5627">
        <v>0.18753300000000001</v>
      </c>
      <c r="X5627">
        <v>0.98219129999999999</v>
      </c>
      <c r="Y5627">
        <v>-6.4040109999999997E-2</v>
      </c>
      <c r="Z5627">
        <v>1.8944190000000001E-3</v>
      </c>
      <c r="AA5627">
        <v>0.99794550000000004</v>
      </c>
      <c r="AB5627">
        <v>37</v>
      </c>
      <c r="AC5627">
        <v>31.5258</v>
      </c>
      <c r="AD5627">
        <v>-1.1217932017029999</v>
      </c>
      <c r="AE5627">
        <v>1.4336100000000001</v>
      </c>
      <c r="AF5627">
        <v>-2.03085923028299</v>
      </c>
      <c r="AG5627">
        <v>-1.1217932017029999</v>
      </c>
      <c r="AH5627">
        <v>31.453057662673299</v>
      </c>
      <c r="AI5627">
        <v>92.038383403823403</v>
      </c>
      <c r="AJ5627">
        <v>93.694342385338004</v>
      </c>
      <c r="AK5627">
        <v>31.538510515432701</v>
      </c>
      <c r="AL5627">
        <v>79.191152282719401</v>
      </c>
      <c r="AM5627">
        <v>89.330741905568502</v>
      </c>
      <c r="AN5627">
        <v>1.0000000057898499</v>
      </c>
    </row>
    <row r="5628" spans="1:40" x14ac:dyDescent="0.25">
      <c r="A5628" t="str">
        <f>"20190303171125195"</f>
        <v>20190303171125195</v>
      </c>
      <c r="B5628" t="str">
        <f>"1551604285186339"</f>
        <v>1551604285186339</v>
      </c>
      <c r="C5628" t="s">
        <v>40</v>
      </c>
      <c r="D5628">
        <v>5.114852</v>
      </c>
      <c r="E5628">
        <v>0.47324919999999998</v>
      </c>
      <c r="F5628" t="s">
        <v>68</v>
      </c>
      <c r="G5628">
        <v>-207.0505</v>
      </c>
      <c r="H5628" s="1">
        <v>-2.0877130000000001E-6</v>
      </c>
      <c r="I5628">
        <v>-62.11721</v>
      </c>
      <c r="J5628">
        <v>-238.2003</v>
      </c>
      <c r="K5628">
        <v>1.1218060000000001</v>
      </c>
      <c r="L5628">
        <v>-63.551299999999998</v>
      </c>
      <c r="M5628">
        <v>0.99981330000000002</v>
      </c>
      <c r="N5628">
        <v>-6.8442829999999996E-3</v>
      </c>
      <c r="O5628">
        <v>-1.8078919999999998E-2</v>
      </c>
      <c r="P5628">
        <v>0.98314710000000005</v>
      </c>
      <c r="Q5628">
        <v>0.18028079999999999</v>
      </c>
      <c r="R5628">
        <v>-3.0346830000000002E-2</v>
      </c>
      <c r="S5628">
        <v>3.076416</v>
      </c>
      <c r="T5628">
        <v>-0.1100976</v>
      </c>
      <c r="U5628">
        <v>0.14044189999999901</v>
      </c>
      <c r="V5628">
        <v>1.1821689999999999E-2</v>
      </c>
      <c r="W5628">
        <v>0.18705659999999999</v>
      </c>
      <c r="X5628">
        <v>0.98227799999999998</v>
      </c>
      <c r="Y5628">
        <v>-6.3600729999999994E-2</v>
      </c>
      <c r="Z5628">
        <v>1.8778169999999999E-3</v>
      </c>
      <c r="AA5628">
        <v>0.99797369999999996</v>
      </c>
      <c r="AB5628">
        <v>37</v>
      </c>
      <c r="AC5628">
        <v>31.149799999999999</v>
      </c>
      <c r="AD5628">
        <v>-1.1218080877129999</v>
      </c>
      <c r="AE5628">
        <v>1.4340899999999901</v>
      </c>
      <c r="AF5628">
        <v>-1.99444220584854</v>
      </c>
      <c r="AG5628">
        <v>-1.1218080877129999</v>
      </c>
      <c r="AH5628">
        <v>31.078558933794501</v>
      </c>
      <c r="AI5628">
        <v>92.063004340461205</v>
      </c>
      <c r="AJ5628">
        <v>93.671876682937196</v>
      </c>
      <c r="AK5628">
        <v>31.162687279813699</v>
      </c>
      <c r="AL5628">
        <v>79.2189396257087</v>
      </c>
      <c r="AM5628">
        <v>89.310480083250397</v>
      </c>
      <c r="AN5628">
        <v>0.99999999662100802</v>
      </c>
    </row>
    <row r="5629" spans="1:40" x14ac:dyDescent="0.25">
      <c r="A5629" t="str">
        <f>"20190303171125207"</f>
        <v>20190303171125207</v>
      </c>
      <c r="B5629" t="str">
        <f>"1551604285197076"</f>
        <v>1551604285197076</v>
      </c>
      <c r="C5629" t="s">
        <v>40</v>
      </c>
      <c r="D5629">
        <v>5.1234390000000003</v>
      </c>
      <c r="E5629">
        <v>0.47333249999999999</v>
      </c>
      <c r="F5629" t="s">
        <v>68</v>
      </c>
      <c r="G5629">
        <v>-207.4014</v>
      </c>
      <c r="H5629" s="1">
        <v>-1.866821E-6</v>
      </c>
      <c r="I5629">
        <v>-62.132739999999998</v>
      </c>
      <c r="J5629">
        <v>-238.00540000000001</v>
      </c>
      <c r="K5629">
        <v>1.121821</v>
      </c>
      <c r="L5629">
        <v>-63.554049999999997</v>
      </c>
      <c r="M5629">
        <v>0.99983</v>
      </c>
      <c r="N5629">
        <v>-6.8431660000000004E-3</v>
      </c>
      <c r="O5629">
        <v>-1.7131400000000001E-2</v>
      </c>
      <c r="P5629">
        <v>0.98319080000000003</v>
      </c>
      <c r="Q5629">
        <v>0.18015020000000001</v>
      </c>
      <c r="R5629">
        <v>-2.9698760000000001E-2</v>
      </c>
      <c r="S5629">
        <v>3.076355</v>
      </c>
      <c r="T5629">
        <v>-0.11205229999999999</v>
      </c>
      <c r="U5629">
        <v>0.14169309999999999</v>
      </c>
      <c r="V5629">
        <v>1.2097979999999999E-2</v>
      </c>
      <c r="W5629">
        <v>0.18692690000000001</v>
      </c>
      <c r="X5629">
        <v>0.98229929999999999</v>
      </c>
      <c r="Y5629">
        <v>-6.3059820000000003E-2</v>
      </c>
      <c r="Z5629">
        <v>1.869772E-3</v>
      </c>
      <c r="AA5629">
        <v>0.99800800000000001</v>
      </c>
      <c r="AB5629">
        <v>37</v>
      </c>
      <c r="AC5629">
        <v>30.603999999999999</v>
      </c>
      <c r="AD5629">
        <v>-1.121822866821</v>
      </c>
      <c r="AE5629">
        <v>1.4213099999999901</v>
      </c>
      <c r="AF5629">
        <v>-1.94279810202444</v>
      </c>
      <c r="AG5629">
        <v>-1.121822866821</v>
      </c>
      <c r="AH5629">
        <v>30.534219387045599</v>
      </c>
      <c r="AI5629">
        <v>92.099850003924999</v>
      </c>
      <c r="AJ5629">
        <v>93.640645925475098</v>
      </c>
      <c r="AK5629">
        <v>30.616523391560701</v>
      </c>
      <c r="AL5629">
        <v>79.226504038117</v>
      </c>
      <c r="AM5629">
        <v>89.294381915261198</v>
      </c>
      <c r="AN5629">
        <v>0.99999997092208903</v>
      </c>
    </row>
    <row r="5630" spans="1:40" x14ac:dyDescent="0.25">
      <c r="A5630" t="str">
        <f>"20190303171125240"</f>
        <v>20190303171125240</v>
      </c>
      <c r="B5630" t="str">
        <f>"1551604285226355"</f>
        <v>1551604285226355</v>
      </c>
      <c r="C5630" t="s">
        <v>40</v>
      </c>
      <c r="D5630">
        <v>5.0928170000000001</v>
      </c>
      <c r="E5630">
        <v>0.4735239</v>
      </c>
      <c r="F5630" t="s">
        <v>68</v>
      </c>
      <c r="G5630">
        <v>-207.37639999999999</v>
      </c>
      <c r="H5630" s="1">
        <v>-1.882364E-6</v>
      </c>
      <c r="I5630">
        <v>-62.12988</v>
      </c>
      <c r="J5630">
        <v>-237.4607</v>
      </c>
      <c r="K5630">
        <v>1.1218379999999999</v>
      </c>
      <c r="L5630">
        <v>-63.560969999999998</v>
      </c>
      <c r="M5630">
        <v>0.99987170000000003</v>
      </c>
      <c r="N5630">
        <v>-6.8411829999999998E-3</v>
      </c>
      <c r="O5630">
        <v>-1.448555E-2</v>
      </c>
      <c r="P5630">
        <v>0.98351140000000004</v>
      </c>
      <c r="Q5630">
        <v>0.17862140000000001</v>
      </c>
      <c r="R5630">
        <v>-2.8278020000000001E-2</v>
      </c>
      <c r="S5630">
        <v>3.0762179999999999</v>
      </c>
      <c r="T5630">
        <v>-0.1126699</v>
      </c>
      <c r="U5630">
        <v>0.14303589999999999</v>
      </c>
      <c r="V5630">
        <v>1.3263530000000001E-2</v>
      </c>
      <c r="W5630">
        <v>0.18540419999999999</v>
      </c>
      <c r="X5630">
        <v>0.98257280000000002</v>
      </c>
      <c r="Y5630">
        <v>-6.0857769999999999E-2</v>
      </c>
      <c r="Z5630">
        <v>1.7529879999999901E-3</v>
      </c>
      <c r="AA5630">
        <v>0.9981449</v>
      </c>
      <c r="AB5630">
        <v>37</v>
      </c>
      <c r="AC5630">
        <v>30.084299999999999</v>
      </c>
      <c r="AD5630">
        <v>-1.1218398823639999</v>
      </c>
      <c r="AE5630">
        <v>1.43108999999999</v>
      </c>
      <c r="AF5630">
        <v>-1.86415134544372</v>
      </c>
      <c r="AG5630">
        <v>-1.1218398823639999</v>
      </c>
      <c r="AH5630">
        <v>30.018764863626402</v>
      </c>
      <c r="AI5630">
        <v>92.136110037086695</v>
      </c>
      <c r="AJ5630">
        <v>93.553478143671299</v>
      </c>
      <c r="AK5630">
        <v>30.0975053600473</v>
      </c>
      <c r="AL5630">
        <v>79.315300663362507</v>
      </c>
      <c r="AM5630">
        <v>89.226624086024501</v>
      </c>
      <c r="AN5630">
        <v>0.99999997295276999</v>
      </c>
    </row>
    <row r="5631" spans="1:40" x14ac:dyDescent="0.25">
      <c r="A5631" t="str">
        <f>"20190303171125250"</f>
        <v>20190303171125250</v>
      </c>
      <c r="B5631" t="str">
        <f>"1551604285245875"</f>
        <v>1551604285245875</v>
      </c>
      <c r="C5631" t="s">
        <v>40</v>
      </c>
      <c r="D5631">
        <v>5.1079889999999999</v>
      </c>
      <c r="E5631">
        <v>0.47365279999999998</v>
      </c>
      <c r="F5631" t="s">
        <v>68</v>
      </c>
      <c r="G5631">
        <v>-208.29759999999999</v>
      </c>
      <c r="H5631" s="1">
        <v>-1.302836E-6</v>
      </c>
      <c r="I5631">
        <v>-62.173050000000003</v>
      </c>
      <c r="J5631">
        <v>-237.28440000000001</v>
      </c>
      <c r="K5631">
        <v>1.1218429999999999</v>
      </c>
      <c r="L5631">
        <v>-63.562869999999997</v>
      </c>
      <c r="M5631">
        <v>0.99988379999999999</v>
      </c>
      <c r="N5631">
        <v>-6.8409289999999999E-3</v>
      </c>
      <c r="O5631">
        <v>-1.363055E-2</v>
      </c>
      <c r="P5631">
        <v>0.98359079999999999</v>
      </c>
      <c r="Q5631">
        <v>0.17824419999999999</v>
      </c>
      <c r="R5631">
        <v>-2.790248E-2</v>
      </c>
      <c r="S5631">
        <v>3.0759889999999999</v>
      </c>
      <c r="T5631">
        <v>-0.118326399999999</v>
      </c>
      <c r="U5631">
        <v>0.14639279999999999</v>
      </c>
      <c r="V5631">
        <v>1.3724800000000001E-2</v>
      </c>
      <c r="W5631">
        <v>0.18502940000000001</v>
      </c>
      <c r="X5631">
        <v>0.98263719999999999</v>
      </c>
      <c r="Y5631">
        <v>-6.108943E-2</v>
      </c>
      <c r="Z5631">
        <v>1.813772E-3</v>
      </c>
      <c r="AA5631">
        <v>0.99813059999999998</v>
      </c>
      <c r="AB5631">
        <v>37</v>
      </c>
      <c r="AC5631">
        <v>28.986799999999999</v>
      </c>
      <c r="AD5631">
        <v>-1.1218443028359999</v>
      </c>
      <c r="AE5631">
        <v>1.3898199999999901</v>
      </c>
      <c r="AF5631">
        <v>-1.7821428738025</v>
      </c>
      <c r="AG5631">
        <v>-1.1218443028359999</v>
      </c>
      <c r="AH5631">
        <v>28.9219415395638</v>
      </c>
      <c r="AI5631">
        <v>92.217113902468299</v>
      </c>
      <c r="AJ5631">
        <v>93.526053928655401</v>
      </c>
      <c r="AK5631">
        <v>28.998504621452401</v>
      </c>
      <c r="AL5631">
        <v>79.337154138668296</v>
      </c>
      <c r="AM5631">
        <v>89.1997840261851</v>
      </c>
      <c r="AN5631">
        <v>1.00000005791161</v>
      </c>
    </row>
    <row r="5632" spans="1:40" x14ac:dyDescent="0.25">
      <c r="A5632" t="str">
        <f>"20190303171125263"</f>
        <v>20190303171125263</v>
      </c>
      <c r="B5632" t="str">
        <f>"1551604285256611"</f>
        <v>1551604285256611</v>
      </c>
      <c r="C5632" t="s">
        <v>40</v>
      </c>
      <c r="D5632">
        <v>5.1192469999999997</v>
      </c>
      <c r="E5632">
        <v>0.47373419999999999</v>
      </c>
      <c r="F5632" t="s">
        <v>68</v>
      </c>
      <c r="G5632">
        <v>-208.6114</v>
      </c>
      <c r="H5632" s="1">
        <v>-1.1062070000000001E-6</v>
      </c>
      <c r="I5632">
        <v>-62.193440000000002</v>
      </c>
      <c r="J5632">
        <v>-237.09039999999999</v>
      </c>
      <c r="K5632">
        <v>1.1218509999999999</v>
      </c>
      <c r="L5632">
        <v>-63.564819999999997</v>
      </c>
      <c r="M5632">
        <v>0.99989620000000001</v>
      </c>
      <c r="N5632">
        <v>-6.8408160000000004E-3</v>
      </c>
      <c r="O5632">
        <v>-1.2690079999999999E-2</v>
      </c>
      <c r="P5632">
        <v>0.98368219999999995</v>
      </c>
      <c r="Q5632">
        <v>0.1778303</v>
      </c>
      <c r="R5632">
        <v>-2.7315160000000002E-2</v>
      </c>
      <c r="S5632">
        <v>3.0760350000000001</v>
      </c>
      <c r="T5632">
        <v>-0.12035129999999999</v>
      </c>
      <c r="U5632">
        <v>0.1469116</v>
      </c>
      <c r="V5632">
        <v>1.4058579999999999E-2</v>
      </c>
      <c r="W5632">
        <v>0.18461749999999999</v>
      </c>
      <c r="X5632">
        <v>0.98270990000000003</v>
      </c>
      <c r="Y5632">
        <v>-6.0317059999999999E-2</v>
      </c>
      <c r="Z5632">
        <v>1.7946959999999999E-3</v>
      </c>
      <c r="AA5632">
        <v>0.9981776</v>
      </c>
      <c r="AB5632">
        <v>37</v>
      </c>
      <c r="AC5632">
        <v>28.4789999999999</v>
      </c>
      <c r="AD5632">
        <v>-1.1218521062069999</v>
      </c>
      <c r="AE5632">
        <v>1.3713799999999901</v>
      </c>
      <c r="AF5632">
        <v>-1.73000045097802</v>
      </c>
      <c r="AG5632">
        <v>-1.1218521062069999</v>
      </c>
      <c r="AH5632">
        <v>28.4153119202564</v>
      </c>
      <c r="AI5632">
        <v>92.256720312698206</v>
      </c>
      <c r="AJ5632">
        <v>93.484020333716202</v>
      </c>
      <c r="AK5632">
        <v>28.4900229068712</v>
      </c>
      <c r="AL5632">
        <v>79.361167430004699</v>
      </c>
      <c r="AM5632">
        <v>89.180386443894605</v>
      </c>
      <c r="AN5632">
        <v>1.00000000626793</v>
      </c>
    </row>
    <row r="5633" spans="1:40" x14ac:dyDescent="0.25">
      <c r="A5633" t="str">
        <f>"20190303171125273"</f>
        <v>20190303171125273</v>
      </c>
      <c r="B5633" t="str">
        <f>"1551604285266371"</f>
        <v>1551604285266371</v>
      </c>
      <c r="C5633" t="s">
        <v>40</v>
      </c>
      <c r="D5633">
        <v>5.1177320000000002</v>
      </c>
      <c r="E5633">
        <v>0.47382760000000002</v>
      </c>
      <c r="F5633" t="s">
        <v>68</v>
      </c>
      <c r="G5633">
        <v>-208.80099999999999</v>
      </c>
      <c r="H5633" s="1">
        <v>-9.870262E-7</v>
      </c>
      <c r="I5633">
        <v>-62.203009999999999</v>
      </c>
      <c r="J5633">
        <v>-236.90700000000001</v>
      </c>
      <c r="K5633">
        <v>1.1218539999999999</v>
      </c>
      <c r="L5633">
        <v>-63.566560000000003</v>
      </c>
      <c r="M5633">
        <v>0.99990710000000005</v>
      </c>
      <c r="N5633">
        <v>-6.8408310000000003E-3</v>
      </c>
      <c r="O5633">
        <v>-1.1801229999999999E-2</v>
      </c>
      <c r="P5633">
        <v>0.98372079999999995</v>
      </c>
      <c r="Q5633">
        <v>0.17774000000000001</v>
      </c>
      <c r="R5633">
        <v>-2.6492189999999999E-2</v>
      </c>
      <c r="S5633">
        <v>3.0759280000000002</v>
      </c>
      <c r="T5633">
        <v>-0.1219797</v>
      </c>
      <c r="U5633">
        <v>0.14807129999999999</v>
      </c>
      <c r="V5633">
        <v>1.4105990000000001E-2</v>
      </c>
      <c r="W5633">
        <v>0.18452789999999999</v>
      </c>
      <c r="X5633">
        <v>0.98272599999999999</v>
      </c>
      <c r="Y5633">
        <v>-5.9806209999999999E-2</v>
      </c>
      <c r="Z5633">
        <v>1.7763799999999999E-3</v>
      </c>
      <c r="AA5633">
        <v>0.9982084</v>
      </c>
      <c r="AB5633">
        <v>37</v>
      </c>
      <c r="AC5633">
        <v>28.106000000000002</v>
      </c>
      <c r="AD5633">
        <v>-1.1218549870262</v>
      </c>
      <c r="AE5633">
        <v>1.36354999999999</v>
      </c>
      <c r="AF5633">
        <v>-1.6924580042795501</v>
      </c>
      <c r="AG5633">
        <v>-1.1218549870262</v>
      </c>
      <c r="AH5633">
        <v>28.043376436169201</v>
      </c>
      <c r="AI5633">
        <v>92.286698478737407</v>
      </c>
      <c r="AJ5633">
        <v>93.453693441732696</v>
      </c>
      <c r="AK5633">
        <v>28.1167909735242</v>
      </c>
      <c r="AL5633">
        <v>79.366390356835197</v>
      </c>
      <c r="AM5633">
        <v>89.177636296601804</v>
      </c>
      <c r="AN5633">
        <v>0.99999995795414398</v>
      </c>
    </row>
    <row r="5634" spans="1:40" x14ac:dyDescent="0.25">
      <c r="A5634" t="str">
        <f>"20190303171125284"</f>
        <v>20190303171125284</v>
      </c>
      <c r="B5634" t="str">
        <f>"1551604285276132"</f>
        <v>1551604285276132</v>
      </c>
      <c r="C5634" t="s">
        <v>40</v>
      </c>
      <c r="D5634">
        <v>5.1459539999999997</v>
      </c>
      <c r="E5634">
        <v>0.47391889999999998</v>
      </c>
      <c r="F5634" t="s">
        <v>68</v>
      </c>
      <c r="G5634">
        <v>-208.73939999999999</v>
      </c>
      <c r="H5634" s="1">
        <v>-1.0249849999999999E-6</v>
      </c>
      <c r="I5634">
        <v>-62.19464</v>
      </c>
      <c r="J5634">
        <v>-236.7251</v>
      </c>
      <c r="K5634">
        <v>1.1218600000000001</v>
      </c>
      <c r="L5634">
        <v>-63.567990000000002</v>
      </c>
      <c r="M5634">
        <v>0.9999171</v>
      </c>
      <c r="N5634">
        <v>-6.8410919999999896E-3</v>
      </c>
      <c r="O5634">
        <v>-1.092049E-2</v>
      </c>
      <c r="P5634">
        <v>0.98367590000000005</v>
      </c>
      <c r="Q5634">
        <v>0.17810909999999999</v>
      </c>
      <c r="R5634">
        <v>-2.567405E-2</v>
      </c>
      <c r="S5634">
        <v>3.0758209999999999</v>
      </c>
      <c r="T5634">
        <v>-0.1225036</v>
      </c>
      <c r="U5634">
        <v>0.14981079999999999</v>
      </c>
      <c r="V5634">
        <v>1.414983E-2</v>
      </c>
      <c r="W5634">
        <v>0.1848977</v>
      </c>
      <c r="X5634">
        <v>0.98265590000000003</v>
      </c>
      <c r="Y5634">
        <v>-5.9492110000000001E-2</v>
      </c>
      <c r="Z5634">
        <v>1.7471639999999901E-3</v>
      </c>
      <c r="AA5634">
        <v>0.99822719999999998</v>
      </c>
      <c r="AB5634">
        <v>37</v>
      </c>
      <c r="AC5634">
        <v>27.985700000000001</v>
      </c>
      <c r="AD5634">
        <v>-1.1218610249850001</v>
      </c>
      <c r="AE5634">
        <v>1.3733500000000001</v>
      </c>
      <c r="AF5634">
        <v>-1.6762056425434499</v>
      </c>
      <c r="AG5634">
        <v>-1.1218610249850001</v>
      </c>
      <c r="AH5634">
        <v>27.9242676714093</v>
      </c>
      <c r="AI5634">
        <v>92.296498793291306</v>
      </c>
      <c r="AJ5634">
        <v>93.435162856473895</v>
      </c>
      <c r="AK5634">
        <v>27.997017028604802</v>
      </c>
      <c r="AL5634">
        <v>79.344831827778805</v>
      </c>
      <c r="AM5634">
        <v>89.175021986093995</v>
      </c>
      <c r="AN5634">
        <v>0.99999999747956403</v>
      </c>
    </row>
    <row r="5635" spans="1:40" x14ac:dyDescent="0.25">
      <c r="A5635" t="str">
        <f>"20190303171125295"</f>
        <v>20190303171125295</v>
      </c>
      <c r="B5635" t="str">
        <f>"1551604285285892"</f>
        <v>1551604285285892</v>
      </c>
      <c r="C5635" t="s">
        <v>40</v>
      </c>
      <c r="D5635">
        <v>5.1219429999999999</v>
      </c>
      <c r="E5635">
        <v>0.47399540000000001</v>
      </c>
      <c r="F5635" t="s">
        <v>68</v>
      </c>
      <c r="G5635">
        <v>-208.2758</v>
      </c>
      <c r="H5635" s="1">
        <v>-1.315863E-6</v>
      </c>
      <c r="I5635">
        <v>-62.16733</v>
      </c>
      <c r="J5635">
        <v>-236.54169999999999</v>
      </c>
      <c r="K5635">
        <v>1.1218649999999999</v>
      </c>
      <c r="L5635">
        <v>-63.569400000000002</v>
      </c>
      <c r="M5635">
        <v>0.99992630000000005</v>
      </c>
      <c r="N5635">
        <v>-6.8414139999999997E-3</v>
      </c>
      <c r="O5635">
        <v>-1.003213E-2</v>
      </c>
      <c r="P5635">
        <v>0.98369189999999995</v>
      </c>
      <c r="Q5635">
        <v>0.17816189999999901</v>
      </c>
      <c r="R5635">
        <v>-2.4671579999999999E-2</v>
      </c>
      <c r="S5635">
        <v>3.0756990000000002</v>
      </c>
      <c r="T5635">
        <v>-0.1212863</v>
      </c>
      <c r="U5635">
        <v>0.15142820000000001</v>
      </c>
      <c r="V5635">
        <v>1.4017409999999999E-2</v>
      </c>
      <c r="W5635">
        <v>0.18495020000000001</v>
      </c>
      <c r="X5635">
        <v>0.98264799999999997</v>
      </c>
      <c r="Y5635">
        <v>-5.9132820000000003E-2</v>
      </c>
      <c r="Z5635">
        <v>1.6939119999999999E-3</v>
      </c>
      <c r="AA5635">
        <v>0.99824869999999999</v>
      </c>
      <c r="AB5635">
        <v>37</v>
      </c>
      <c r="AC5635">
        <v>28.265899999999899</v>
      </c>
      <c r="AD5635">
        <v>-1.12186631586299</v>
      </c>
      <c r="AE5635">
        <v>1.4020699999999899</v>
      </c>
      <c r="AF5635">
        <v>-1.6829286824515099</v>
      </c>
      <c r="AG5635">
        <v>-1.12186631586299</v>
      </c>
      <c r="AH5635">
        <v>28.206088118143299</v>
      </c>
      <c r="AI5635">
        <v>92.273637241019003</v>
      </c>
      <c r="AJ5635">
        <v>93.414529914531101</v>
      </c>
      <c r="AK5635">
        <v>28.2785119818803</v>
      </c>
      <c r="AL5635">
        <v>79.341771878039097</v>
      </c>
      <c r="AM5635">
        <v>89.182734852246298</v>
      </c>
      <c r="AN5635">
        <v>1.0000000780835701</v>
      </c>
    </row>
    <row r="5636" spans="1:40" x14ac:dyDescent="0.25">
      <c r="A5636" t="str">
        <f>"20190303171125306"</f>
        <v>20190303171125306</v>
      </c>
      <c r="B5636" t="str">
        <f>"1551604285296628"</f>
        <v>1551604285296628</v>
      </c>
      <c r="C5636" t="s">
        <v>40</v>
      </c>
      <c r="D5636">
        <v>5.1038370000000004</v>
      </c>
      <c r="E5636">
        <v>0.47399540000000001</v>
      </c>
      <c r="F5636" t="s">
        <v>68</v>
      </c>
      <c r="G5636">
        <v>-208.05160000000001</v>
      </c>
      <c r="H5636" s="1">
        <v>-1.455076E-6</v>
      </c>
      <c r="I5636">
        <v>-62.14376</v>
      </c>
      <c r="J5636">
        <v>-236.36009999999999</v>
      </c>
      <c r="K5636">
        <v>1.121875</v>
      </c>
      <c r="L5636">
        <v>-63.570500000000003</v>
      </c>
      <c r="M5636">
        <v>0.99993469999999995</v>
      </c>
      <c r="N5636">
        <v>-6.8420149999999999E-3</v>
      </c>
      <c r="O5636">
        <v>-9.1580749999999999E-3</v>
      </c>
      <c r="P5636">
        <v>0.98376600000000003</v>
      </c>
      <c r="Q5636">
        <v>0.17787979999999901</v>
      </c>
      <c r="R5636">
        <v>-2.3734669999999999E-2</v>
      </c>
      <c r="S5636">
        <v>3.0755460000000001</v>
      </c>
      <c r="T5636">
        <v>-0.121107199999999</v>
      </c>
      <c r="U5636">
        <v>0.15390009999999901</v>
      </c>
      <c r="V5636">
        <v>1.3938590000000001E-2</v>
      </c>
      <c r="W5636">
        <v>0.18466850000000001</v>
      </c>
      <c r="X5636">
        <v>0.98270199999999996</v>
      </c>
      <c r="Y5636">
        <v>-5.9063709999999998E-2</v>
      </c>
      <c r="Z5636">
        <v>1.6616669999999999E-3</v>
      </c>
      <c r="AA5636">
        <v>0.99825280000000005</v>
      </c>
      <c r="AB5636">
        <v>37</v>
      </c>
      <c r="AC5636">
        <v>28.308499999999899</v>
      </c>
      <c r="AD5636">
        <v>-1.1218764550760001</v>
      </c>
      <c r="AE5636">
        <v>1.4267399999999999</v>
      </c>
      <c r="AF5636">
        <v>-1.68330055135741</v>
      </c>
      <c r="AG5636">
        <v>-1.1218764550760001</v>
      </c>
      <c r="AH5636">
        <v>28.249990226390299</v>
      </c>
      <c r="AI5636">
        <v>92.270138792664994</v>
      </c>
      <c r="AJ5636">
        <v>93.409987610159902</v>
      </c>
      <c r="AK5636">
        <v>28.3223243276007</v>
      </c>
      <c r="AL5636">
        <v>79.358193940065206</v>
      </c>
      <c r="AM5636">
        <v>89.187374372825602</v>
      </c>
      <c r="AN5636">
        <v>0.99999997999371804</v>
      </c>
    </row>
    <row r="5637" spans="1:40" x14ac:dyDescent="0.25">
      <c r="A5637" t="str">
        <f>"20190303171125318"</f>
        <v>20190303171125318</v>
      </c>
      <c r="B5637" t="str">
        <f>"1551604285296628"</f>
        <v>1551604285296628</v>
      </c>
      <c r="C5637" t="s">
        <v>40</v>
      </c>
      <c r="D5637">
        <v>5.1038370000000004</v>
      </c>
      <c r="E5637">
        <v>0.47399540000000001</v>
      </c>
      <c r="F5637" t="s">
        <v>68</v>
      </c>
      <c r="G5637">
        <v>-208.07419999999999</v>
      </c>
      <c r="H5637" s="1">
        <v>-1.438536E-6</v>
      </c>
      <c r="I5637">
        <v>-62.127749999999999</v>
      </c>
      <c r="J5637">
        <v>-236.1737</v>
      </c>
      <c r="K5637">
        <v>1.121877</v>
      </c>
      <c r="L5637">
        <v>-63.57159</v>
      </c>
      <c r="M5637">
        <v>0.99994249999999996</v>
      </c>
      <c r="N5637">
        <v>-6.8426590000000001E-3</v>
      </c>
      <c r="O5637">
        <v>-8.2618529999999996E-3</v>
      </c>
      <c r="P5637">
        <v>0.98379760000000005</v>
      </c>
      <c r="Q5637">
        <v>0.17785179999999901</v>
      </c>
      <c r="R5637">
        <v>-2.2609560000000001E-2</v>
      </c>
      <c r="S5637">
        <v>3.0753629999999998</v>
      </c>
      <c r="T5637">
        <v>-0.12197479999999999</v>
      </c>
      <c r="U5637">
        <v>0.15686040000000001</v>
      </c>
      <c r="V5637">
        <v>1.369328E-2</v>
      </c>
      <c r="W5637">
        <v>0.18464040000000001</v>
      </c>
      <c r="X5637">
        <v>0.98271070000000005</v>
      </c>
      <c r="Y5637">
        <v>-5.9130009999999997E-2</v>
      </c>
      <c r="Z5637">
        <v>1.644792E-3</v>
      </c>
      <c r="AA5637">
        <v>0.99824889999999999</v>
      </c>
      <c r="AB5637">
        <v>37</v>
      </c>
      <c r="AC5637">
        <v>28.099499999999999</v>
      </c>
      <c r="AD5637">
        <v>-1.1218784385359899</v>
      </c>
      <c r="AE5637">
        <v>1.44384</v>
      </c>
      <c r="AF5637">
        <v>-1.6732898458507399</v>
      </c>
      <c r="AG5637">
        <v>-1.1218784385359899</v>
      </c>
      <c r="AH5637">
        <v>28.042029937944001</v>
      </c>
      <c r="AI5637">
        <v>92.286948894592896</v>
      </c>
      <c r="AJ5637">
        <v>93.414834834583402</v>
      </c>
      <c r="AK5637">
        <v>28.114301577304499</v>
      </c>
      <c r="AL5637">
        <v>79.3598318164494</v>
      </c>
      <c r="AM5637">
        <v>89.201681247624506</v>
      </c>
      <c r="AN5637">
        <v>0.99999995156190302</v>
      </c>
    </row>
    <row r="5638" spans="1:40" x14ac:dyDescent="0.25">
      <c r="A5638" t="str">
        <f>"20190303171125351"</f>
        <v>20190303171125351</v>
      </c>
      <c r="B5638" t="str">
        <f>"1551604285346403"</f>
        <v>1551604285346403</v>
      </c>
      <c r="C5638" t="s">
        <v>40</v>
      </c>
      <c r="D5638">
        <v>5.1207549999999999</v>
      </c>
      <c r="E5638">
        <v>0.47422740000000002</v>
      </c>
      <c r="F5638" t="s">
        <v>68</v>
      </c>
      <c r="G5638">
        <v>-207.90090000000001</v>
      </c>
      <c r="H5638" s="1">
        <v>-1.5443129999999999E-6</v>
      </c>
      <c r="I5638">
        <v>-62.096339999999998</v>
      </c>
      <c r="J5638">
        <v>-235.60230000000001</v>
      </c>
      <c r="K5638">
        <v>1.1218669999999999</v>
      </c>
      <c r="L5638">
        <v>-63.57376</v>
      </c>
      <c r="M5638">
        <v>0.99996110000000005</v>
      </c>
      <c r="N5638">
        <v>-6.8453230000000004E-3</v>
      </c>
      <c r="O5638">
        <v>-5.5632310000000001E-3</v>
      </c>
      <c r="P5638">
        <v>0.98396859999999997</v>
      </c>
      <c r="Q5638">
        <v>0.17733460000000001</v>
      </c>
      <c r="R5638">
        <v>-1.893278E-2</v>
      </c>
      <c r="S5638">
        <v>3.0751650000000001</v>
      </c>
      <c r="T5638">
        <v>-0.1220238</v>
      </c>
      <c r="U5638">
        <v>0.1604614</v>
      </c>
      <c r="V5638">
        <v>1.267546E-2</v>
      </c>
      <c r="W5638">
        <v>0.18412210000000001</v>
      </c>
      <c r="X5638">
        <v>0.98282159999999996</v>
      </c>
      <c r="Y5638">
        <v>-5.7607869999999999E-2</v>
      </c>
      <c r="Z5638">
        <v>1.5216050000000001E-3</v>
      </c>
      <c r="AA5638">
        <v>0.99833810000000001</v>
      </c>
      <c r="AB5638">
        <v>38</v>
      </c>
      <c r="AC5638">
        <v>27.7014</v>
      </c>
      <c r="AD5638">
        <v>-1.1218685443130001</v>
      </c>
      <c r="AE5638">
        <v>1.47741999999999</v>
      </c>
      <c r="AF5638">
        <v>-1.62884607783952</v>
      </c>
      <c r="AG5638">
        <v>-1.1218685443130001</v>
      </c>
      <c r="AH5638">
        <v>27.647534718063898</v>
      </c>
      <c r="AI5638">
        <v>92.319628435251204</v>
      </c>
      <c r="AJ5638">
        <v>93.371666032307402</v>
      </c>
      <c r="AK5638">
        <v>27.718187252462201</v>
      </c>
      <c r="AL5638">
        <v>79.390046303349607</v>
      </c>
      <c r="AM5638">
        <v>89.261096725010802</v>
      </c>
      <c r="AN5638">
        <v>0.99999995621058901</v>
      </c>
    </row>
    <row r="5639" spans="1:40" x14ac:dyDescent="0.25">
      <c r="A5639" t="str">
        <f>"20190303171125373"</f>
        <v>20190303171125373</v>
      </c>
      <c r="B5639" t="str">
        <f>"1551604285365923"</f>
        <v>1551604285365923</v>
      </c>
      <c r="C5639" t="s">
        <v>40</v>
      </c>
      <c r="D5639">
        <v>5.0634069999999998</v>
      </c>
      <c r="E5639">
        <v>0.47433779999999998</v>
      </c>
      <c r="F5639" t="s">
        <v>68</v>
      </c>
      <c r="G5639">
        <v>-207.86490000000001</v>
      </c>
      <c r="H5639" s="1">
        <v>-1.55955E-6</v>
      </c>
      <c r="I5639">
        <v>-62.041609999999999</v>
      </c>
      <c r="J5639">
        <v>-235.2303</v>
      </c>
      <c r="K5639">
        <v>1.1218520000000001</v>
      </c>
      <c r="L5639">
        <v>-63.574399999999997</v>
      </c>
      <c r="M5639">
        <v>0.99996929999999995</v>
      </c>
      <c r="N5639">
        <v>-6.8476750000000001E-3</v>
      </c>
      <c r="O5639">
        <v>-3.8545570000000002E-3</v>
      </c>
      <c r="P5639">
        <v>0.98405560000000003</v>
      </c>
      <c r="Q5639">
        <v>0.1771556</v>
      </c>
      <c r="R5639">
        <v>-1.5836329999999999E-2</v>
      </c>
      <c r="S5639">
        <v>3.0745390000000001</v>
      </c>
      <c r="T5639">
        <v>-0.1243529</v>
      </c>
      <c r="U5639">
        <v>0.16983029999999999</v>
      </c>
      <c r="V5639">
        <v>1.126884E-2</v>
      </c>
      <c r="W5639">
        <v>0.1839392</v>
      </c>
      <c r="X5639">
        <v>0.982873</v>
      </c>
      <c r="Y5639">
        <v>-5.8943559999999999E-2</v>
      </c>
      <c r="Z5639">
        <v>1.522046E-3</v>
      </c>
      <c r="AA5639">
        <v>0.99826009999999998</v>
      </c>
      <c r="AB5639">
        <v>38</v>
      </c>
      <c r="AC5639">
        <v>27.365399999999902</v>
      </c>
      <c r="AD5639">
        <v>-1.1218535595499901</v>
      </c>
      <c r="AE5639">
        <v>1.5327899999999901</v>
      </c>
      <c r="AF5639">
        <v>-1.6355224712841201</v>
      </c>
      <c r="AG5639">
        <v>-1.1218535595499901</v>
      </c>
      <c r="AH5639">
        <v>27.313528319758799</v>
      </c>
      <c r="AI5639">
        <v>92.347797442136596</v>
      </c>
      <c r="AJ5639">
        <v>93.426755226906494</v>
      </c>
      <c r="AK5639">
        <v>27.385439898555902</v>
      </c>
      <c r="AL5639">
        <v>79.400707997226206</v>
      </c>
      <c r="AM5639">
        <v>89.343120948987305</v>
      </c>
      <c r="AN5639">
        <v>0.99999997509029204</v>
      </c>
    </row>
    <row r="5640" spans="1:40" x14ac:dyDescent="0.25">
      <c r="A5640" t="str">
        <f>"20190303171125385"</f>
        <v>20190303171125385</v>
      </c>
      <c r="B5640" t="str">
        <f>"1551604285376659"</f>
        <v>1551604285376659</v>
      </c>
      <c r="C5640" t="s">
        <v>40</v>
      </c>
      <c r="D5640">
        <v>4.9373149999999999</v>
      </c>
      <c r="E5640">
        <v>0.4744468</v>
      </c>
      <c r="F5640" t="s">
        <v>68</v>
      </c>
      <c r="G5640">
        <v>-207.7089</v>
      </c>
      <c r="H5640" s="1">
        <v>-1.6503169999999999E-6</v>
      </c>
      <c r="I5640">
        <v>-61.981529999999999</v>
      </c>
      <c r="J5640">
        <v>-235.0471</v>
      </c>
      <c r="K5640">
        <v>1.1218349999999999</v>
      </c>
      <c r="L5640">
        <v>-63.574460000000002</v>
      </c>
      <c r="M5640">
        <v>0.99997190000000002</v>
      </c>
      <c r="N5640">
        <v>-6.8489519999999898E-3</v>
      </c>
      <c r="O5640">
        <v>-3.043161E-3</v>
      </c>
      <c r="P5640">
        <v>0.98404689999999995</v>
      </c>
      <c r="Q5640">
        <v>0.17731060000000001</v>
      </c>
      <c r="R5640">
        <v>-1.4583769999999999E-2</v>
      </c>
      <c r="S5640">
        <v>3.07402</v>
      </c>
      <c r="T5640">
        <v>-0.12530639999999901</v>
      </c>
      <c r="U5640">
        <v>0.17791750000000001</v>
      </c>
      <c r="V5640">
        <v>1.0821799999999999E-2</v>
      </c>
      <c r="W5640">
        <v>0.18409349999999999</v>
      </c>
      <c r="X5640">
        <v>0.98284919999999998</v>
      </c>
      <c r="Y5640">
        <v>-6.075846E-2</v>
      </c>
      <c r="Z5640">
        <v>1.5482229999999901E-3</v>
      </c>
      <c r="AA5640">
        <v>0.99815129999999996</v>
      </c>
      <c r="AB5640">
        <v>38</v>
      </c>
      <c r="AC5640">
        <v>27.338200000000001</v>
      </c>
      <c r="AD5640">
        <v>-1.1218366503170001</v>
      </c>
      <c r="AE5640">
        <v>1.59292999999998</v>
      </c>
      <c r="AF5640">
        <v>-1.6733109458561399</v>
      </c>
      <c r="AG5640">
        <v>-1.1218366503170001</v>
      </c>
      <c r="AH5640">
        <v>27.287431590412101</v>
      </c>
      <c r="AI5640">
        <v>92.349800512657396</v>
      </c>
      <c r="AJ5640">
        <v>93.509078981950793</v>
      </c>
      <c r="AK5640">
        <v>27.361696032829101</v>
      </c>
      <c r="AL5640">
        <v>79.391714349648694</v>
      </c>
      <c r="AM5640">
        <v>89.369162215599204</v>
      </c>
      <c r="AN5640">
        <v>1.00000003901906</v>
      </c>
    </row>
    <row r="5641" spans="1:40" x14ac:dyDescent="0.25">
      <c r="A5641" t="str">
        <f>"20190303171125395"</f>
        <v>20190303171125395</v>
      </c>
      <c r="B5641" t="str">
        <f>"1551604285386420"</f>
        <v>1551604285386420</v>
      </c>
      <c r="C5641" t="s">
        <v>40</v>
      </c>
      <c r="D5641">
        <v>5.056095</v>
      </c>
      <c r="E5641">
        <v>0.47458529999999999</v>
      </c>
      <c r="F5641" t="s">
        <v>68</v>
      </c>
      <c r="G5641">
        <v>-207.4572</v>
      </c>
      <c r="H5641" s="1">
        <v>-1.8064730000000001E-6</v>
      </c>
      <c r="I5641">
        <v>-61.953690000000002</v>
      </c>
      <c r="J5641">
        <v>-234.8595</v>
      </c>
      <c r="K5641">
        <v>1.121815</v>
      </c>
      <c r="L5641">
        <v>-63.574489999999997</v>
      </c>
      <c r="M5641">
        <v>0.99997409999999998</v>
      </c>
      <c r="N5641">
        <v>-6.8503100000000001E-3</v>
      </c>
      <c r="O5641">
        <v>-2.2198529999999999E-3</v>
      </c>
      <c r="P5641">
        <v>0.98395999999999995</v>
      </c>
      <c r="Q5641">
        <v>0.17790420000000001</v>
      </c>
      <c r="R5641">
        <v>-1.3163680000000001E-2</v>
      </c>
      <c r="S5641">
        <v>3.0738370000000002</v>
      </c>
      <c r="T5641">
        <v>-0.1249855</v>
      </c>
      <c r="U5641">
        <v>0.1805725</v>
      </c>
      <c r="V5641">
        <v>1.021818E-2</v>
      </c>
      <c r="W5641">
        <v>0.1846845</v>
      </c>
      <c r="X5641">
        <v>0.98274479999999997</v>
      </c>
      <c r="Y5641">
        <v>-6.0800020000000003E-2</v>
      </c>
      <c r="Z5641">
        <v>1.518014E-3</v>
      </c>
      <c r="AA5641">
        <v>0.99814879999999995</v>
      </c>
      <c r="AB5641">
        <v>38</v>
      </c>
      <c r="AC5641">
        <v>27.4023</v>
      </c>
      <c r="AD5641">
        <v>-1.1218168064730001</v>
      </c>
      <c r="AE5641">
        <v>1.6208</v>
      </c>
      <c r="AF5641">
        <v>-1.67882263948814</v>
      </c>
      <c r="AG5641">
        <v>-1.1218168064730001</v>
      </c>
      <c r="AH5641">
        <v>27.352951176242001</v>
      </c>
      <c r="AI5641">
        <v>92.344128995425194</v>
      </c>
      <c r="AJ5641">
        <v>93.512196544551699</v>
      </c>
      <c r="AK5641">
        <v>27.427374217230899</v>
      </c>
      <c r="AL5641">
        <v>79.3572620120908</v>
      </c>
      <c r="AM5641">
        <v>89.404283297443001</v>
      </c>
      <c r="AN5641">
        <v>1.0000000588348901</v>
      </c>
    </row>
    <row r="5642" spans="1:40" x14ac:dyDescent="0.25">
      <c r="A5642" t="str">
        <f>"20190303171125408"</f>
        <v>20190303171125408</v>
      </c>
      <c r="B5642" t="str">
        <f>"1551604285396180"</f>
        <v>1551604285396180</v>
      </c>
      <c r="C5642" t="s">
        <v>40</v>
      </c>
      <c r="D5642">
        <v>5.0610019999999896</v>
      </c>
      <c r="E5642">
        <v>0.47466510000000001</v>
      </c>
      <c r="F5642" t="s">
        <v>68</v>
      </c>
      <c r="G5642">
        <v>-206.98840000000001</v>
      </c>
      <c r="H5642" s="1">
        <v>-2.0978550000000001E-6</v>
      </c>
      <c r="I5642">
        <v>-61.906440000000003</v>
      </c>
      <c r="J5642">
        <v>-234.65710000000001</v>
      </c>
      <c r="K5642">
        <v>1.1217820000000001</v>
      </c>
      <c r="L5642">
        <v>-63.574249999999999</v>
      </c>
      <c r="M5642">
        <v>0.99997570000000002</v>
      </c>
      <c r="N5642">
        <v>-6.8566269999999997E-3</v>
      </c>
      <c r="O5642">
        <v>-1.38134E-3</v>
      </c>
      <c r="P5642">
        <v>0.9839002</v>
      </c>
      <c r="Q5642">
        <v>0.17831559999999999</v>
      </c>
      <c r="R5642">
        <v>-1.201202E-2</v>
      </c>
      <c r="S5642">
        <v>3.0737459999999999</v>
      </c>
      <c r="T5642">
        <v>-0.1237186</v>
      </c>
      <c r="U5642">
        <v>0.18396000000000001</v>
      </c>
      <c r="V5642">
        <v>9.9046580000000002E-3</v>
      </c>
      <c r="W5642">
        <v>0.18509970000000001</v>
      </c>
      <c r="X5642">
        <v>0.98266980000000004</v>
      </c>
      <c r="Y5642">
        <v>-6.1062289999999998E-2</v>
      </c>
      <c r="Z5642">
        <v>1.482985E-3</v>
      </c>
      <c r="AA5642">
        <v>0.99813289999999999</v>
      </c>
      <c r="AB5642">
        <v>38</v>
      </c>
      <c r="AC5642">
        <v>27.668700000000001</v>
      </c>
      <c r="AD5642">
        <v>-1.121784097855</v>
      </c>
      <c r="AE5642">
        <v>1.66780999999999</v>
      </c>
      <c r="AF5642">
        <v>-1.7032395847622399</v>
      </c>
      <c r="AG5642">
        <v>-1.121784097855</v>
      </c>
      <c r="AH5642">
        <v>27.621131318183998</v>
      </c>
      <c r="AI5642">
        <v>92.321285759582196</v>
      </c>
      <c r="AJ5642">
        <v>93.528639970131493</v>
      </c>
      <c r="AK5642">
        <v>27.696323220631101</v>
      </c>
      <c r="AL5642">
        <v>79.333054481498294</v>
      </c>
      <c r="AM5642">
        <v>89.422516206104902</v>
      </c>
      <c r="AN5642">
        <v>0.99999996851111295</v>
      </c>
    </row>
    <row r="5643" spans="1:40" x14ac:dyDescent="0.25">
      <c r="A5643" t="str">
        <f>"20190303171125419"</f>
        <v>20190303171125419</v>
      </c>
      <c r="B5643" t="str">
        <f>"1551604285405939"</f>
        <v>1551604285405939</v>
      </c>
      <c r="C5643" t="s">
        <v>40</v>
      </c>
      <c r="D5643">
        <v>5.0597190000000003</v>
      </c>
      <c r="E5643">
        <v>0.4747555</v>
      </c>
      <c r="F5643" t="s">
        <v>68</v>
      </c>
      <c r="G5643">
        <v>-206.44909999999999</v>
      </c>
      <c r="H5643" s="1">
        <v>-2.4340369999999999E-6</v>
      </c>
      <c r="I5643">
        <v>-61.85904</v>
      </c>
      <c r="J5643">
        <v>-234.4597</v>
      </c>
      <c r="K5643">
        <v>1.1217490000000001</v>
      </c>
      <c r="L5643">
        <v>-63.57394</v>
      </c>
      <c r="M5643">
        <v>0.99997630000000004</v>
      </c>
      <c r="N5643">
        <v>-6.8645059999999898E-3</v>
      </c>
      <c r="O5643">
        <v>-5.834945E-4</v>
      </c>
      <c r="P5643">
        <v>0.98384720000000003</v>
      </c>
      <c r="Q5643">
        <v>0.17869019999999999</v>
      </c>
      <c r="R5643">
        <v>-1.071276E-2</v>
      </c>
      <c r="S5643">
        <v>3.0735320000000002</v>
      </c>
      <c r="T5643">
        <v>-0.1222293</v>
      </c>
      <c r="U5643">
        <v>0.18688959999999999</v>
      </c>
      <c r="V5643">
        <v>9.4051039999999992E-3</v>
      </c>
      <c r="W5643">
        <v>0.18547830000000001</v>
      </c>
      <c r="X5643">
        <v>0.98260340000000002</v>
      </c>
      <c r="Y5643">
        <v>-6.1219599999999999E-2</v>
      </c>
      <c r="Z5643">
        <v>1.4452880000000001E-3</v>
      </c>
      <c r="AA5643">
        <v>0.99812330000000005</v>
      </c>
      <c r="AB5643">
        <v>38</v>
      </c>
      <c r="AC5643">
        <v>28.0106</v>
      </c>
      <c r="AD5643">
        <v>-1.1217514340369901</v>
      </c>
      <c r="AE5643">
        <v>1.7149000000000001</v>
      </c>
      <c r="AF5643">
        <v>-1.72848234688936</v>
      </c>
      <c r="AG5643">
        <v>-1.1217514340369901</v>
      </c>
      <c r="AH5643">
        <v>27.9649121121566</v>
      </c>
      <c r="AI5643">
        <v>92.292693105093406</v>
      </c>
      <c r="AJ5643">
        <v>93.5368935041285</v>
      </c>
      <c r="AK5643">
        <v>28.0407255067325</v>
      </c>
      <c r="AL5643">
        <v>79.3109809268894</v>
      </c>
      <c r="AM5643">
        <v>89.451603455112206</v>
      </c>
      <c r="AN5643">
        <v>1.0000000487218399</v>
      </c>
    </row>
    <row r="5644" spans="1:40" x14ac:dyDescent="0.25">
      <c r="A5644" t="str">
        <f>"20190303171125434"</f>
        <v>20190303171125434</v>
      </c>
      <c r="B5644" t="str">
        <f>"1551604285426436"</f>
        <v>1551604285426436</v>
      </c>
      <c r="C5644" t="s">
        <v>40</v>
      </c>
      <c r="D5644">
        <v>5.1942309999999896</v>
      </c>
      <c r="E5644">
        <v>0.47497889999999998</v>
      </c>
      <c r="F5644" t="s">
        <v>68</v>
      </c>
      <c r="G5644">
        <v>-205.91540000000001</v>
      </c>
      <c r="H5644" s="1">
        <v>-2.7664650000000002E-6</v>
      </c>
      <c r="I5644">
        <v>-61.810079999999999</v>
      </c>
      <c r="J5644">
        <v>-234.21559999999999</v>
      </c>
      <c r="K5644">
        <v>1.1216980000000001</v>
      </c>
      <c r="L5644">
        <v>-63.573360000000001</v>
      </c>
      <c r="M5644">
        <v>0.99997630000000004</v>
      </c>
      <c r="N5644">
        <v>-6.8790530000000004E-3</v>
      </c>
      <c r="O5644">
        <v>3.4610620000000001E-4</v>
      </c>
      <c r="P5644">
        <v>0.98382320000000001</v>
      </c>
      <c r="Q5644">
        <v>0.1789046</v>
      </c>
      <c r="R5644">
        <v>-9.2322849999999998E-3</v>
      </c>
      <c r="S5644">
        <v>3.0732879999999998</v>
      </c>
      <c r="T5644">
        <v>-0.1207762</v>
      </c>
      <c r="U5644">
        <v>0.18991089999999999</v>
      </c>
      <c r="V5644">
        <v>8.8634990000000004E-3</v>
      </c>
      <c r="W5644">
        <v>0.1857036</v>
      </c>
      <c r="X5644">
        <v>0.98256580000000004</v>
      </c>
      <c r="Y5644">
        <v>-6.127573E-2</v>
      </c>
      <c r="Z5644">
        <v>1.4022710000000001E-3</v>
      </c>
      <c r="AA5644">
        <v>0.99811989999999995</v>
      </c>
      <c r="AB5644">
        <v>38</v>
      </c>
      <c r="AC5644">
        <v>28.300199999999901</v>
      </c>
      <c r="AD5644">
        <v>-1.1217007664649901</v>
      </c>
      <c r="AE5644">
        <v>1.76327999999999</v>
      </c>
      <c r="AF5644">
        <v>-1.7507450110979901</v>
      </c>
      <c r="AG5644">
        <v>-1.1217007664649901</v>
      </c>
      <c r="AH5644">
        <v>28.256589280962601</v>
      </c>
      <c r="AI5644">
        <v>92.268928444626496</v>
      </c>
      <c r="AJ5644">
        <v>93.545446824134103</v>
      </c>
      <c r="AK5644">
        <v>28.332987108605099</v>
      </c>
      <c r="AL5644">
        <v>79.297843108622899</v>
      </c>
      <c r="AM5644">
        <v>89.483162033499497</v>
      </c>
      <c r="AN5644">
        <v>0.999999969998561</v>
      </c>
    </row>
    <row r="5645" spans="1:40" x14ac:dyDescent="0.25">
      <c r="A5645" t="str">
        <f>"20190303171125446"</f>
        <v>20190303171125446</v>
      </c>
      <c r="B5645" t="str">
        <f>"1551604285436195"</f>
        <v>1551604285436195</v>
      </c>
      <c r="C5645" t="s">
        <v>40</v>
      </c>
      <c r="D5645">
        <v>5.0545809999999998</v>
      </c>
      <c r="E5645">
        <v>0.4750955</v>
      </c>
      <c r="F5645" t="s">
        <v>68</v>
      </c>
      <c r="G5645">
        <v>-205.6311</v>
      </c>
      <c r="H5645" s="1">
        <v>-2.9433720000000001E-6</v>
      </c>
      <c r="I5645">
        <v>-61.78275</v>
      </c>
      <c r="J5645">
        <v>-234.0018</v>
      </c>
      <c r="K5645">
        <v>1.1216410000000001</v>
      </c>
      <c r="L5645">
        <v>-63.572690000000001</v>
      </c>
      <c r="M5645">
        <v>0.99997559999999996</v>
      </c>
      <c r="N5645">
        <v>-6.89779E-3</v>
      </c>
      <c r="O5645">
        <v>1.0996720000000001E-3</v>
      </c>
      <c r="P5645">
        <v>0.98383509999999996</v>
      </c>
      <c r="Q5645">
        <v>0.17891699999999999</v>
      </c>
      <c r="R5645">
        <v>-7.5608019999999897E-3</v>
      </c>
      <c r="S5645">
        <v>3.0730439999999999</v>
      </c>
      <c r="T5645">
        <v>-0.1205912</v>
      </c>
      <c r="U5645">
        <v>0.19250490000000001</v>
      </c>
      <c r="V5645">
        <v>7.9591519999999902E-3</v>
      </c>
      <c r="W5645">
        <v>0.1857299</v>
      </c>
      <c r="X5645">
        <v>0.98256860000000001</v>
      </c>
      <c r="Y5645">
        <v>-6.1368159999999998E-2</v>
      </c>
      <c r="Z5645">
        <v>1.3788920000000001E-3</v>
      </c>
      <c r="AA5645">
        <v>0.99811419999999995</v>
      </c>
      <c r="AB5645">
        <v>38</v>
      </c>
      <c r="AC5645">
        <v>28.370699999999999</v>
      </c>
      <c r="AD5645">
        <v>-1.12164394337199</v>
      </c>
      <c r="AE5645">
        <v>1.7899400000000001</v>
      </c>
      <c r="AF5645">
        <v>-1.75600588643761</v>
      </c>
      <c r="AG5645">
        <v>-1.12164394337199</v>
      </c>
      <c r="AH5645">
        <v>28.328548153698001</v>
      </c>
      <c r="AI5645">
        <v>92.263052536150695</v>
      </c>
      <c r="AJ5645">
        <v>93.547063481990193</v>
      </c>
      <c r="AK5645">
        <v>28.405074939265599</v>
      </c>
      <c r="AL5645">
        <v>79.296309862467893</v>
      </c>
      <c r="AM5645">
        <v>89.535894140782503</v>
      </c>
      <c r="AN5645">
        <v>0.99999999878026402</v>
      </c>
    </row>
    <row r="5646" spans="1:40" x14ac:dyDescent="0.25">
      <c r="A5646" t="str">
        <f>"20190303171125458"</f>
        <v>20190303171125458</v>
      </c>
      <c r="B5646" t="str">
        <f>"1551604285446932"</f>
        <v>1551604285446932</v>
      </c>
      <c r="C5646" t="s">
        <v>40</v>
      </c>
      <c r="D5646">
        <v>5.049798</v>
      </c>
      <c r="E5646">
        <v>0.47523890000000002</v>
      </c>
      <c r="F5646" t="s">
        <v>68</v>
      </c>
      <c r="G5646">
        <v>-205.5085</v>
      </c>
      <c r="H5646" s="1">
        <v>-3.0170379999999999E-6</v>
      </c>
      <c r="I5646">
        <v>-61.751989999999999</v>
      </c>
      <c r="J5646">
        <v>-233.81020000000001</v>
      </c>
      <c r="K5646">
        <v>1.1215900000000001</v>
      </c>
      <c r="L5646">
        <v>-63.572020000000002</v>
      </c>
      <c r="M5646">
        <v>0.99997449999999999</v>
      </c>
      <c r="N5646">
        <v>-6.916859E-3</v>
      </c>
      <c r="O5646">
        <v>1.7510749999999999E-3</v>
      </c>
      <c r="P5646">
        <v>0.98382919999999996</v>
      </c>
      <c r="Q5646">
        <v>0.17901020000000001</v>
      </c>
      <c r="R5646">
        <v>-5.9473410000000001E-3</v>
      </c>
      <c r="S5646">
        <v>3.0728</v>
      </c>
      <c r="T5646">
        <v>-0.12096129999999999</v>
      </c>
      <c r="U5646">
        <v>0.1963501</v>
      </c>
      <c r="V5646">
        <v>7.0106819999999999E-3</v>
      </c>
      <c r="W5646">
        <v>0.18583720000000001</v>
      </c>
      <c r="X5646">
        <v>0.98255559999999997</v>
      </c>
      <c r="Y5646">
        <v>-6.1966390000000003E-2</v>
      </c>
      <c r="Z5646">
        <v>1.375834E-3</v>
      </c>
      <c r="AA5646">
        <v>0.99807729999999995</v>
      </c>
      <c r="AB5646">
        <v>38</v>
      </c>
      <c r="AC5646">
        <v>28.3017</v>
      </c>
      <c r="AD5646">
        <v>-1.121593017038</v>
      </c>
      <c r="AE5646">
        <v>1.82002999999999</v>
      </c>
      <c r="AF5646">
        <v>-1.7677028303882001</v>
      </c>
      <c r="AG5646">
        <v>-1.121593017038</v>
      </c>
      <c r="AH5646">
        <v>28.260642373102101</v>
      </c>
      <c r="AI5646">
        <v>92.268302614998603</v>
      </c>
      <c r="AJ5646">
        <v>93.579187301122801</v>
      </c>
      <c r="AK5646">
        <v>28.338077767075301</v>
      </c>
      <c r="AL5646">
        <v>79.290053771798696</v>
      </c>
      <c r="AM5646">
        <v>89.591192932272804</v>
      </c>
      <c r="AN5646">
        <v>1.0000000608286499</v>
      </c>
    </row>
    <row r="5647" spans="1:40" x14ac:dyDescent="0.25">
      <c r="A5647" t="str">
        <f>"20190303171125469"</f>
        <v>20190303171125469</v>
      </c>
      <c r="B5647" t="str">
        <f>"1551604285456691"</f>
        <v>1551604285456691</v>
      </c>
      <c r="C5647" t="s">
        <v>40</v>
      </c>
      <c r="D5647">
        <v>5.0340860000000003</v>
      </c>
      <c r="E5647">
        <v>0.47539049999999999</v>
      </c>
      <c r="F5647" t="s">
        <v>68</v>
      </c>
      <c r="G5647">
        <v>-205.42250000000001</v>
      </c>
      <c r="H5647" s="1">
        <v>-3.0682440000000001E-6</v>
      </c>
      <c r="I5647">
        <v>-61.727200000000003</v>
      </c>
      <c r="J5647">
        <v>-233.61770000000001</v>
      </c>
      <c r="K5647">
        <v>1.1215269999999999</v>
      </c>
      <c r="L5647">
        <v>-63.57123</v>
      </c>
      <c r="M5647">
        <v>0.99997320000000001</v>
      </c>
      <c r="N5647">
        <v>-6.9423569999999997E-3</v>
      </c>
      <c r="O5647">
        <v>2.337507E-3</v>
      </c>
      <c r="P5647">
        <v>0.98384139999999998</v>
      </c>
      <c r="Q5647">
        <v>0.1789859</v>
      </c>
      <c r="R5647">
        <v>-4.5048379999999997E-3</v>
      </c>
      <c r="S5647">
        <v>3.0726010000000001</v>
      </c>
      <c r="T5647">
        <v>-0.12139759999999999</v>
      </c>
      <c r="U5647">
        <v>0.19967650000000001</v>
      </c>
      <c r="V5647">
        <v>6.1737149999999998E-3</v>
      </c>
      <c r="W5647">
        <v>0.1858339</v>
      </c>
      <c r="X5647">
        <v>0.98256180000000004</v>
      </c>
      <c r="Y5647">
        <v>-6.2460689999999999E-2</v>
      </c>
      <c r="Z5647">
        <v>1.3732519999999999E-3</v>
      </c>
      <c r="AA5647">
        <v>0.99804649999999995</v>
      </c>
      <c r="AB5647">
        <v>38</v>
      </c>
      <c r="AC5647">
        <v>28.1952</v>
      </c>
      <c r="AD5647">
        <v>-1.1215300682439999</v>
      </c>
      <c r="AE5647">
        <v>1.8440300000000001</v>
      </c>
      <c r="AF5647">
        <v>-1.7753198859039201</v>
      </c>
      <c r="AG5647">
        <v>-1.1215300682439999</v>
      </c>
      <c r="AH5647">
        <v>28.155075248608799</v>
      </c>
      <c r="AI5647">
        <v>92.2765991509212</v>
      </c>
      <c r="AJ5647">
        <v>93.608011978598</v>
      </c>
      <c r="AK5647">
        <v>28.2332756272822</v>
      </c>
      <c r="AL5647">
        <v>79.290245778844394</v>
      </c>
      <c r="AM5647">
        <v>89.639999073331595</v>
      </c>
      <c r="AN5647">
        <v>1.0000000219826699</v>
      </c>
    </row>
    <row r="5648" spans="1:40" x14ac:dyDescent="0.25">
      <c r="A5648" t="str">
        <f>"20190303171125479"</f>
        <v>20190303171125479</v>
      </c>
      <c r="B5648" t="str">
        <f>"1551604285466452"</f>
        <v>1551604285466452</v>
      </c>
      <c r="C5648" t="s">
        <v>40</v>
      </c>
      <c r="D5648">
        <v>5.0318269999999998</v>
      </c>
      <c r="E5648">
        <v>0.47539049999999999</v>
      </c>
      <c r="F5648" t="s">
        <v>68</v>
      </c>
      <c r="G5648">
        <v>-205.44640000000001</v>
      </c>
      <c r="H5648" s="1">
        <v>-3.051311E-6</v>
      </c>
      <c r="I5648">
        <v>-61.714660000000002</v>
      </c>
      <c r="J5648">
        <v>-233.45500000000001</v>
      </c>
      <c r="K5648">
        <v>1.1214789999999999</v>
      </c>
      <c r="L5648">
        <v>-63.570500000000003</v>
      </c>
      <c r="M5648">
        <v>0.99997179999999997</v>
      </c>
      <c r="N5648">
        <v>-6.9645189999999997E-3</v>
      </c>
      <c r="O5648">
        <v>2.814534E-3</v>
      </c>
      <c r="P5648">
        <v>0.98383279999999995</v>
      </c>
      <c r="Q5648">
        <v>0.17906169999999999</v>
      </c>
      <c r="R5648">
        <v>-3.1311450000000001E-3</v>
      </c>
      <c r="S5648">
        <v>3.0724640000000001</v>
      </c>
      <c r="T5648">
        <v>-0.12231789999999899</v>
      </c>
      <c r="U5648">
        <v>0.2024841</v>
      </c>
      <c r="V5648">
        <v>5.2939379999999998E-3</v>
      </c>
      <c r="W5648">
        <v>0.1859276</v>
      </c>
      <c r="X5648">
        <v>0.98254920000000001</v>
      </c>
      <c r="Y5648">
        <v>-6.2894619999999998E-2</v>
      </c>
      <c r="Z5648">
        <v>1.3771499999999999E-3</v>
      </c>
      <c r="AA5648">
        <v>0.9980192</v>
      </c>
      <c r="AB5648">
        <v>38</v>
      </c>
      <c r="AC5648">
        <v>28.008600000000001</v>
      </c>
      <c r="AD5648">
        <v>-1.121482051311</v>
      </c>
      <c r="AE5648">
        <v>1.8558399999999999</v>
      </c>
      <c r="AF5648">
        <v>-1.77416757652868</v>
      </c>
      <c r="AG5648">
        <v>-1.121482051311</v>
      </c>
      <c r="AH5648">
        <v>27.969067049049201</v>
      </c>
      <c r="AI5648">
        <v>92.291571035786703</v>
      </c>
      <c r="AJ5648">
        <v>93.629591949964194</v>
      </c>
      <c r="AK5648">
        <v>28.0477112109924</v>
      </c>
      <c r="AL5648">
        <v>79.284781859315103</v>
      </c>
      <c r="AM5648">
        <v>89.691295490025595</v>
      </c>
      <c r="AN5648">
        <v>1.00000001432097</v>
      </c>
    </row>
    <row r="5649" spans="1:40" x14ac:dyDescent="0.25">
      <c r="A5649" t="str">
        <f>"20190303171125488"</f>
        <v>20190303171125488</v>
      </c>
      <c r="B5649" t="str">
        <f>"1551604285476212"</f>
        <v>1551604285476212</v>
      </c>
      <c r="C5649" t="s">
        <v>40</v>
      </c>
      <c r="D5649">
        <v>4.7907510000000002</v>
      </c>
      <c r="E5649">
        <v>0.48663040000000002</v>
      </c>
      <c r="F5649" t="s">
        <v>68</v>
      </c>
      <c r="G5649">
        <v>-205.26060000000001</v>
      </c>
      <c r="H5649" s="1">
        <v>-3.1641189999999998E-6</v>
      </c>
      <c r="I5649">
        <v>-61.676650000000002</v>
      </c>
      <c r="J5649">
        <v>-233.28370000000001</v>
      </c>
      <c r="K5649">
        <v>1.1214200000000001</v>
      </c>
      <c r="L5649">
        <v>-63.569670000000002</v>
      </c>
      <c r="M5649">
        <v>0.99997020000000003</v>
      </c>
      <c r="N5649">
        <v>-6.9895230000000001E-3</v>
      </c>
      <c r="O5649">
        <v>3.2629590000000002E-3</v>
      </c>
      <c r="P5649">
        <v>0.98382179999999997</v>
      </c>
      <c r="Q5649">
        <v>0.1791374</v>
      </c>
      <c r="R5649">
        <v>-2.019065E-3</v>
      </c>
      <c r="S5649">
        <v>3.072174</v>
      </c>
      <c r="T5649">
        <v>-0.122201</v>
      </c>
      <c r="U5649">
        <v>0.20635990000000001</v>
      </c>
      <c r="V5649">
        <v>4.6507730000000004E-3</v>
      </c>
      <c r="W5649">
        <v>0.1860251</v>
      </c>
      <c r="X5649">
        <v>0.98253400000000002</v>
      </c>
      <c r="Y5649">
        <v>-6.3706299999999993E-2</v>
      </c>
      <c r="Z5649">
        <v>1.3812690000000001E-3</v>
      </c>
      <c r="AA5649">
        <v>0.99796770000000001</v>
      </c>
      <c r="AB5649">
        <v>38</v>
      </c>
      <c r="AC5649">
        <v>28.023099999999999</v>
      </c>
      <c r="AD5649">
        <v>-1.121423164119</v>
      </c>
      <c r="AE5649">
        <v>1.8930199999999899</v>
      </c>
      <c r="AF5649">
        <v>-1.79870205535852</v>
      </c>
      <c r="AG5649">
        <v>-1.121423164119</v>
      </c>
      <c r="AH5649">
        <v>27.984516272857199</v>
      </c>
      <c r="AI5649">
        <v>92.290064704686202</v>
      </c>
      <c r="AJ5649">
        <v>93.677621802230902</v>
      </c>
      <c r="AK5649">
        <v>28.064676552969299</v>
      </c>
      <c r="AL5649">
        <v>79.279096332629805</v>
      </c>
      <c r="AM5649">
        <v>89.728795467363597</v>
      </c>
      <c r="AN5649">
        <v>1.0000000143377501</v>
      </c>
    </row>
    <row r="5650" spans="1:40" x14ac:dyDescent="0.25">
      <c r="A5650" t="str">
        <f>"20190303171125499"</f>
        <v>20190303171125499</v>
      </c>
      <c r="B5650" t="str">
        <f>"1551604285485972"</f>
        <v>1551604285485972</v>
      </c>
      <c r="C5650" t="s">
        <v>40</v>
      </c>
      <c r="D5650">
        <v>5.021541</v>
      </c>
      <c r="E5650">
        <v>0.48588290000000001</v>
      </c>
      <c r="F5650" t="s">
        <v>102</v>
      </c>
      <c r="G5650">
        <v>-211.02119999999999</v>
      </c>
      <c r="H5650" s="1">
        <v>-2.2027619999999998E-8</v>
      </c>
      <c r="I5650">
        <v>-62.694600000000001</v>
      </c>
      <c r="J5650">
        <v>-233.11760000000001</v>
      </c>
      <c r="K5650">
        <v>1.121364</v>
      </c>
      <c r="L5650">
        <v>-63.568849999999998</v>
      </c>
      <c r="M5650">
        <v>0.99996870000000004</v>
      </c>
      <c r="N5650">
        <v>-7.0146260000000004E-3</v>
      </c>
      <c r="O5650">
        <v>3.6791850000000002E-3</v>
      </c>
      <c r="P5650">
        <v>0.98383640000000006</v>
      </c>
      <c r="Q5650">
        <v>0.17906830000000001</v>
      </c>
      <c r="R5650">
        <v>-8.7089179999999902E-4</v>
      </c>
      <c r="S5650">
        <v>3.0778050000000001</v>
      </c>
      <c r="T5650">
        <v>-0.15503729999999999</v>
      </c>
      <c r="U5650">
        <v>0.1209717</v>
      </c>
      <c r="V5650">
        <v>3.939695E-3</v>
      </c>
      <c r="W5650">
        <v>0.1859778</v>
      </c>
      <c r="X5650">
        <v>0.98254600000000003</v>
      </c>
      <c r="Y5650">
        <v>-3.5549669999999998E-2</v>
      </c>
      <c r="Z5650">
        <v>8.5992449999999895E-4</v>
      </c>
      <c r="AA5650">
        <v>0.99936749999999996</v>
      </c>
      <c r="AB5650">
        <v>38</v>
      </c>
      <c r="AC5650">
        <v>22.096399999999999</v>
      </c>
      <c r="AD5650">
        <v>-1.12136402202762</v>
      </c>
      <c r="AE5650">
        <v>0.87424999999999597</v>
      </c>
      <c r="AF5650">
        <v>-0.79091158893454205</v>
      </c>
      <c r="AG5650">
        <v>-1.12136402202762</v>
      </c>
      <c r="AH5650">
        <v>22.042786064702799</v>
      </c>
      <c r="AI5650">
        <v>92.9103795852904</v>
      </c>
      <c r="AJ5650">
        <v>92.054933705140797</v>
      </c>
      <c r="AK5650">
        <v>22.085457113351001</v>
      </c>
      <c r="AL5650">
        <v>79.281853886982702</v>
      </c>
      <c r="AM5650">
        <v>89.770263492635905</v>
      </c>
      <c r="AN5650">
        <v>0.99999995270276498</v>
      </c>
    </row>
    <row r="5651" spans="1:40" x14ac:dyDescent="0.25">
      <c r="A5651" t="str">
        <f>"20190303171125508"</f>
        <v>20190303171125508</v>
      </c>
      <c r="B5651" t="str">
        <f>"1551604285496708"</f>
        <v>1551604285496708</v>
      </c>
      <c r="C5651" t="s">
        <v>40</v>
      </c>
      <c r="D5651">
        <v>5.0398820000000004</v>
      </c>
      <c r="E5651">
        <v>0.48556129999999997</v>
      </c>
      <c r="F5651" t="s">
        <v>102</v>
      </c>
      <c r="G5651">
        <v>-210.81800000000001</v>
      </c>
      <c r="H5651" s="1">
        <v>8.4013659999999998E-8</v>
      </c>
      <c r="I5651">
        <v>-62.623699999999999</v>
      </c>
      <c r="J5651">
        <v>-232.94220000000001</v>
      </c>
      <c r="K5651">
        <v>1.1212979999999999</v>
      </c>
      <c r="L5651">
        <v>-63.567900000000002</v>
      </c>
      <c r="M5651">
        <v>0.9999671</v>
      </c>
      <c r="N5651">
        <v>-7.0439680000000003E-3</v>
      </c>
      <c r="O5651">
        <v>4.0561269999999996E-3</v>
      </c>
      <c r="P5651">
        <v>0.98380789999999996</v>
      </c>
      <c r="Q5651">
        <v>0.179227</v>
      </c>
      <c r="R5651" s="1">
        <v>8.5853969999999898E-5</v>
      </c>
      <c r="S5651">
        <v>3.0775760000000001</v>
      </c>
      <c r="T5651">
        <v>-0.1547598</v>
      </c>
      <c r="U5651">
        <v>0.1304321</v>
      </c>
      <c r="V5651">
        <v>3.3845500000000001E-3</v>
      </c>
      <c r="W5651">
        <v>0.1861623</v>
      </c>
      <c r="X5651">
        <v>0.98251319999999998</v>
      </c>
      <c r="Y5651">
        <v>-3.8239290000000002E-2</v>
      </c>
      <c r="Z5651">
        <v>9.2005630000000004E-4</v>
      </c>
      <c r="AA5651">
        <v>0.99926820000000005</v>
      </c>
      <c r="AB5651">
        <v>38</v>
      </c>
      <c r="AC5651">
        <v>22.124199999999998</v>
      </c>
      <c r="AD5651">
        <v>-1.1212979159863401</v>
      </c>
      <c r="AE5651">
        <v>0.94420000000000204</v>
      </c>
      <c r="AF5651">
        <v>-0.85226624980986498</v>
      </c>
      <c r="AG5651">
        <v>-1.1212979159863401</v>
      </c>
      <c r="AH5651">
        <v>22.0712573660646</v>
      </c>
      <c r="AI5651">
        <v>92.906165664481705</v>
      </c>
      <c r="AJ5651">
        <v>92.211338023489404</v>
      </c>
      <c r="AK5651">
        <v>22.116149495244802</v>
      </c>
      <c r="AL5651">
        <v>79.271095685126596</v>
      </c>
      <c r="AM5651">
        <v>89.802628948394897</v>
      </c>
      <c r="AN5651">
        <v>1.00000002264711</v>
      </c>
    </row>
    <row r="5652" spans="1:40" x14ac:dyDescent="0.25">
      <c r="A5652" t="str">
        <f>"20190303171125519"</f>
        <v>20190303171125519</v>
      </c>
      <c r="B5652" t="str">
        <f>"1551604285506468"</f>
        <v>1551604285506468</v>
      </c>
      <c r="C5652" t="s">
        <v>40</v>
      </c>
      <c r="D5652">
        <v>4.8971179999999999</v>
      </c>
      <c r="E5652">
        <v>0.4851181</v>
      </c>
      <c r="F5652" t="s">
        <v>68</v>
      </c>
      <c r="G5652">
        <v>-209.5436</v>
      </c>
      <c r="H5652" s="1">
        <v>-7.2957349999999998E-7</v>
      </c>
      <c r="I5652">
        <v>-62.537019999999998</v>
      </c>
      <c r="J5652">
        <v>-232.7724</v>
      </c>
      <c r="K5652">
        <v>1.121235</v>
      </c>
      <c r="L5652">
        <v>-63.566960000000002</v>
      </c>
      <c r="M5652">
        <v>0.9999654</v>
      </c>
      <c r="N5652">
        <v>-7.0732950000000003E-3</v>
      </c>
      <c r="O5652">
        <v>4.4000920000000004E-3</v>
      </c>
      <c r="P5652">
        <v>0.98375270000000004</v>
      </c>
      <c r="Q5652">
        <v>0.1795264</v>
      </c>
      <c r="R5652">
        <v>1.175211E-3</v>
      </c>
      <c r="S5652">
        <v>3.0762019999999999</v>
      </c>
      <c r="T5652">
        <v>-0.14741650000000001</v>
      </c>
      <c r="U5652">
        <v>0.1355286</v>
      </c>
      <c r="V5652">
        <v>2.6634459999999999E-3</v>
      </c>
      <c r="W5652">
        <v>0.18648790000000001</v>
      </c>
      <c r="X5652">
        <v>0.98245360000000004</v>
      </c>
      <c r="Y5652">
        <v>-3.9569680000000003E-2</v>
      </c>
      <c r="Z5652">
        <v>9.0768730000000001E-4</v>
      </c>
      <c r="AA5652">
        <v>0.9992164</v>
      </c>
      <c r="AB5652">
        <v>38</v>
      </c>
      <c r="AC5652">
        <v>23.2288</v>
      </c>
      <c r="AD5652">
        <v>-1.1212357295735</v>
      </c>
      <c r="AE5652">
        <v>1.0299399999999901</v>
      </c>
      <c r="AF5652">
        <v>-0.92556636424796002</v>
      </c>
      <c r="AG5652">
        <v>-1.1212357295735</v>
      </c>
      <c r="AH5652">
        <v>23.179207418976599</v>
      </c>
      <c r="AI5652">
        <v>92.767178440340103</v>
      </c>
      <c r="AJ5652">
        <v>92.286656602673702</v>
      </c>
      <c r="AK5652">
        <v>23.224760477297501</v>
      </c>
      <c r="AL5652">
        <v>79.252106911878798</v>
      </c>
      <c r="AM5652">
        <v>89.844670688872498</v>
      </c>
      <c r="AN5652">
        <v>0.99999995347198101</v>
      </c>
    </row>
    <row r="5653" spans="1:40" x14ac:dyDescent="0.25">
      <c r="A5653" t="str">
        <f>"20190303171125530"</f>
        <v>20190303171125530</v>
      </c>
      <c r="B5653" t="str">
        <f>"1551604285516227"</f>
        <v>1551604285516227</v>
      </c>
      <c r="C5653" t="s">
        <v>40</v>
      </c>
      <c r="D5653">
        <v>5.0301929999999997</v>
      </c>
      <c r="E5653">
        <v>0.48501139999999998</v>
      </c>
      <c r="F5653" t="s">
        <v>68</v>
      </c>
      <c r="G5653">
        <v>-209.03579999999999</v>
      </c>
      <c r="H5653" s="1">
        <v>-9.0548739999999998E-7</v>
      </c>
      <c r="I5653">
        <v>-62.469270000000002</v>
      </c>
      <c r="J5653">
        <v>-232.56899999999999</v>
      </c>
      <c r="K5653">
        <v>1.121154</v>
      </c>
      <c r="L5653">
        <v>-63.565769999999901</v>
      </c>
      <c r="M5653">
        <v>0.99996359999999995</v>
      </c>
      <c r="N5653">
        <v>-7.1115889999999998E-3</v>
      </c>
      <c r="O5653">
        <v>4.7361010000000004E-3</v>
      </c>
      <c r="P5653">
        <v>0.98373809999999995</v>
      </c>
      <c r="Q5653">
        <v>0.17959439999999999</v>
      </c>
      <c r="R5653">
        <v>2.2989070000000002E-3</v>
      </c>
      <c r="S5653">
        <v>3.0758969999999999</v>
      </c>
      <c r="T5653">
        <v>-0.14529489999999901</v>
      </c>
      <c r="U5653">
        <v>0.14224239999999999</v>
      </c>
      <c r="V5653">
        <v>1.9098030000000001E-3</v>
      </c>
      <c r="W5653">
        <v>0.18659100000000001</v>
      </c>
      <c r="X5653">
        <v>0.98243579999999997</v>
      </c>
      <c r="Y5653">
        <v>-4.141392E-2</v>
      </c>
      <c r="Z5653">
        <v>9.3467639999999998E-4</v>
      </c>
      <c r="AA5653">
        <v>0.99914159999999996</v>
      </c>
      <c r="AB5653">
        <v>38</v>
      </c>
      <c r="AC5653">
        <v>23.533200000000001</v>
      </c>
      <c r="AD5653">
        <v>-1.1211549054873999</v>
      </c>
      <c r="AE5653">
        <v>1.09649999999999</v>
      </c>
      <c r="AF5653">
        <v>-0.98280344174613499</v>
      </c>
      <c r="AG5653">
        <v>-1.1211549054873999</v>
      </c>
      <c r="AH5653">
        <v>23.484940918766402</v>
      </c>
      <c r="AI5653">
        <v>92.730799444693801</v>
      </c>
      <c r="AJ5653">
        <v>92.396329302003807</v>
      </c>
      <c r="AK5653">
        <v>23.5322192086755</v>
      </c>
      <c r="AL5653">
        <v>79.246094410947293</v>
      </c>
      <c r="AM5653">
        <v>89.888620188955798</v>
      </c>
      <c r="AN5653">
        <v>0.99999997487506898</v>
      </c>
    </row>
    <row r="5654" spans="1:40" x14ac:dyDescent="0.25">
      <c r="A5654" t="str">
        <f>"20190303171125541"</f>
        <v>20190303171125541</v>
      </c>
      <c r="B5654" t="str">
        <f>"1551604285536724"</f>
        <v>1551604285536724</v>
      </c>
      <c r="C5654" t="s">
        <v>40</v>
      </c>
      <c r="D5654">
        <v>5.0762239999999998</v>
      </c>
      <c r="E5654">
        <v>0.48511929999999998</v>
      </c>
      <c r="F5654" t="s">
        <v>68</v>
      </c>
      <c r="G5654">
        <v>-208.88829999999999</v>
      </c>
      <c r="H5654" s="1">
        <v>-9.6470019999999993E-7</v>
      </c>
      <c r="I5654">
        <v>-62.441519999999997</v>
      </c>
      <c r="J5654">
        <v>-232.38149999999999</v>
      </c>
      <c r="K5654">
        <v>1.1210819999999999</v>
      </c>
      <c r="L5654">
        <v>-63.5646699999999</v>
      </c>
      <c r="M5654">
        <v>0.99996189999999996</v>
      </c>
      <c r="N5654">
        <v>-7.1481869999999899E-3</v>
      </c>
      <c r="O5654">
        <v>5.002556E-3</v>
      </c>
      <c r="P5654">
        <v>0.98377250000000005</v>
      </c>
      <c r="Q5654">
        <v>0.17939469999999999</v>
      </c>
      <c r="R5654">
        <v>3.0387959999999999E-3</v>
      </c>
      <c r="S5654">
        <v>3.0758510000000001</v>
      </c>
      <c r="T5654">
        <v>-0.14562559999999999</v>
      </c>
      <c r="U5654">
        <v>0.14602660000000001</v>
      </c>
      <c r="V5654">
        <v>1.469641E-3</v>
      </c>
      <c r="W5654">
        <v>0.18642610000000001</v>
      </c>
      <c r="X5654">
        <v>0.98246789999999995</v>
      </c>
      <c r="Y5654">
        <v>-4.2373630000000002E-2</v>
      </c>
      <c r="Z5654">
        <v>9.5274490000000003E-4</v>
      </c>
      <c r="AA5654">
        <v>0.99910140000000003</v>
      </c>
      <c r="AB5654">
        <v>38</v>
      </c>
      <c r="AC5654">
        <v>23.493200000000002</v>
      </c>
      <c r="AD5654">
        <v>-1.1210829647002001</v>
      </c>
      <c r="AE5654">
        <v>1.1231499999999901</v>
      </c>
      <c r="AF5654">
        <v>-1.0033273752120799</v>
      </c>
      <c r="AG5654">
        <v>-1.1210829647002001</v>
      </c>
      <c r="AH5654">
        <v>23.4452582156663</v>
      </c>
      <c r="AI5654">
        <v>92.735130068895799</v>
      </c>
      <c r="AJ5654">
        <v>92.450447299251294</v>
      </c>
      <c r="AK5654">
        <v>23.493480492146301</v>
      </c>
      <c r="AL5654">
        <v>79.255711638093601</v>
      </c>
      <c r="AM5654">
        <v>89.914293216201898</v>
      </c>
      <c r="AN5654">
        <v>1.0000000125681401</v>
      </c>
    </row>
    <row r="5655" spans="1:40" x14ac:dyDescent="0.25">
      <c r="A5655" t="str">
        <f>"20190303171125554"</f>
        <v>20190303171125554</v>
      </c>
      <c r="B5655" t="str">
        <f>"1551604285546484"</f>
        <v>1551604285546484</v>
      </c>
      <c r="C5655" t="s">
        <v>40</v>
      </c>
      <c r="D5655">
        <v>5.0463779999999998</v>
      </c>
      <c r="E5655">
        <v>0.4852399</v>
      </c>
      <c r="F5655" t="s">
        <v>68</v>
      </c>
      <c r="G5655">
        <v>-208.39519999999999</v>
      </c>
      <c r="H5655" s="1">
        <v>-1.2748770000000001E-6</v>
      </c>
      <c r="I5655">
        <v>-62.417839999999998</v>
      </c>
      <c r="J5655">
        <v>-232.16759999999999</v>
      </c>
      <c r="K5655">
        <v>1.120992</v>
      </c>
      <c r="L5655">
        <v>-63.563420000000001</v>
      </c>
      <c r="M5655">
        <v>0.99996050000000003</v>
      </c>
      <c r="N5655">
        <v>-7.1914850000000001E-3</v>
      </c>
      <c r="O5655">
        <v>5.253265E-3</v>
      </c>
      <c r="P5655">
        <v>0.98371790000000003</v>
      </c>
      <c r="Q5655">
        <v>0.1796807</v>
      </c>
      <c r="R5655">
        <v>3.7940439999999999E-3</v>
      </c>
      <c r="S5655">
        <v>3.075256</v>
      </c>
      <c r="T5655">
        <v>-0.14373279999999999</v>
      </c>
      <c r="U5655">
        <v>0.14703369999999999</v>
      </c>
      <c r="V5655">
        <v>1.003515E-3</v>
      </c>
      <c r="W5655">
        <v>0.18675259999999999</v>
      </c>
      <c r="X5655">
        <v>0.98240640000000001</v>
      </c>
      <c r="Y5655">
        <v>-4.2459940000000002E-2</v>
      </c>
      <c r="Z5655">
        <v>9.3650440000000003E-4</v>
      </c>
      <c r="AA5655">
        <v>0.99909769999999998</v>
      </c>
      <c r="AB5655">
        <v>38</v>
      </c>
      <c r="AC5655">
        <v>23.772400000000001</v>
      </c>
      <c r="AD5655">
        <v>-1.120993274877</v>
      </c>
      <c r="AE5655">
        <v>1.1455799999999801</v>
      </c>
      <c r="AF5655">
        <v>-1.0184189384742099</v>
      </c>
      <c r="AG5655">
        <v>-1.120993274877</v>
      </c>
      <c r="AH5655">
        <v>23.725456054409001</v>
      </c>
      <c r="AI5655">
        <v>92.702645341307999</v>
      </c>
      <c r="AJ5655">
        <v>92.457921472036602</v>
      </c>
      <c r="AK5655">
        <v>23.773747454834599</v>
      </c>
      <c r="AL5655">
        <v>79.236669344305596</v>
      </c>
      <c r="AM5655">
        <v>89.941473147793104</v>
      </c>
      <c r="AN5655">
        <v>0.99999993770503504</v>
      </c>
    </row>
    <row r="5656" spans="1:40" x14ac:dyDescent="0.25">
      <c r="A5656" t="str">
        <f>"20190303171125564"</f>
        <v>20190303171125564</v>
      </c>
      <c r="B5656" t="str">
        <f>"1551604285556243"</f>
        <v>1551604285556243</v>
      </c>
      <c r="C5656" t="s">
        <v>40</v>
      </c>
      <c r="D5656">
        <v>5.0423660000000003</v>
      </c>
      <c r="E5656">
        <v>0.48525420000000002</v>
      </c>
      <c r="F5656" t="s">
        <v>68</v>
      </c>
      <c r="G5656">
        <v>-207.95060000000001</v>
      </c>
      <c r="H5656" s="1">
        <v>-1.5546089999999999E-6</v>
      </c>
      <c r="I5656">
        <v>-62.397319999999901</v>
      </c>
      <c r="J5656">
        <v>-231.99629999999999</v>
      </c>
      <c r="K5656">
        <v>1.1209199999999999</v>
      </c>
      <c r="L5656">
        <v>-63.562379999999997</v>
      </c>
      <c r="M5656">
        <v>0.9999593</v>
      </c>
      <c r="N5656">
        <v>-7.23079E-3</v>
      </c>
      <c r="O5656">
        <v>5.3970880000000004E-3</v>
      </c>
      <c r="P5656">
        <v>0.9836859</v>
      </c>
      <c r="Q5656">
        <v>0.17985190000000001</v>
      </c>
      <c r="R5656">
        <v>3.9243180000000004E-3</v>
      </c>
      <c r="S5656">
        <v>3.0750730000000002</v>
      </c>
      <c r="T5656">
        <v>-0.14234359999999999</v>
      </c>
      <c r="U5656">
        <v>0.14807129999999999</v>
      </c>
      <c r="V5656">
        <v>1.048705E-3</v>
      </c>
      <c r="W5656">
        <v>0.18696199999999999</v>
      </c>
      <c r="X5656">
        <v>0.98236659999999998</v>
      </c>
      <c r="Y5656">
        <v>-4.2656109999999997E-2</v>
      </c>
      <c r="Z5656">
        <v>9.3001719999999996E-4</v>
      </c>
      <c r="AA5656">
        <v>0.99908940000000002</v>
      </c>
      <c r="AB5656">
        <v>38</v>
      </c>
      <c r="AC5656">
        <v>24.045699999999901</v>
      </c>
      <c r="AD5656">
        <v>-1.1209215546089999</v>
      </c>
      <c r="AE5656">
        <v>1.16506000000001</v>
      </c>
      <c r="AF5656">
        <v>-1.03302329596318</v>
      </c>
      <c r="AG5656">
        <v>-1.1209215546089999</v>
      </c>
      <c r="AH5656">
        <v>23.999606962463801</v>
      </c>
      <c r="AI5656">
        <v>92.671633414797995</v>
      </c>
      <c r="AJ5656">
        <v>92.464680468850304</v>
      </c>
      <c r="AK5656">
        <v>24.0479674112872</v>
      </c>
      <c r="AL5656">
        <v>79.224457324491894</v>
      </c>
      <c r="AM5656">
        <v>89.938835107352901</v>
      </c>
      <c r="AN5656">
        <v>1.0000000130108599</v>
      </c>
    </row>
    <row r="5657" spans="1:40" x14ac:dyDescent="0.25">
      <c r="A5657" t="str">
        <f>"20190303171125574"</f>
        <v>20190303171125574</v>
      </c>
      <c r="B5657" t="str">
        <f>"1551604285566004"</f>
        <v>1551604285566004</v>
      </c>
      <c r="C5657" t="s">
        <v>40</v>
      </c>
      <c r="D5657">
        <v>5.0245800000000003</v>
      </c>
      <c r="E5657">
        <v>0.48554269999999999</v>
      </c>
      <c r="F5657" t="s">
        <v>68</v>
      </c>
      <c r="G5657">
        <v>-207.5369</v>
      </c>
      <c r="H5657" s="1">
        <v>-1.8156250000000001E-6</v>
      </c>
      <c r="I5657">
        <v>-62.383580000000002</v>
      </c>
      <c r="J5657">
        <v>-231.81290000000001</v>
      </c>
      <c r="K5657">
        <v>1.1208480000000001</v>
      </c>
      <c r="L5657">
        <v>-63.561279999999996</v>
      </c>
      <c r="M5657">
        <v>0.99995820000000002</v>
      </c>
      <c r="N5657">
        <v>-7.2742930000000003E-3</v>
      </c>
      <c r="O5657">
        <v>5.5330910000000004E-3</v>
      </c>
      <c r="P5657">
        <v>0.98366889999999996</v>
      </c>
      <c r="Q5657">
        <v>0.1799354</v>
      </c>
      <c r="R5657">
        <v>4.3052109999999998E-3</v>
      </c>
      <c r="S5657">
        <v>3.0749360000000001</v>
      </c>
      <c r="T5657">
        <v>-0.14091809999999999</v>
      </c>
      <c r="U5657">
        <v>0.1481934</v>
      </c>
      <c r="V5657">
        <v>8.3816899999999896E-4</v>
      </c>
      <c r="W5657">
        <v>0.18708749999999999</v>
      </c>
      <c r="X5657">
        <v>0.98234290000000002</v>
      </c>
      <c r="Y5657">
        <v>-4.256298E-2</v>
      </c>
      <c r="Z5657">
        <v>9.1613429999999997E-4</v>
      </c>
      <c r="AA5657">
        <v>0.99909340000000002</v>
      </c>
      <c r="AB5657">
        <v>38</v>
      </c>
      <c r="AC5657">
        <v>24.276</v>
      </c>
      <c r="AD5657">
        <v>-1.120849815625</v>
      </c>
      <c r="AE5657">
        <v>1.1777</v>
      </c>
      <c r="AF5657">
        <v>-1.04114282855162</v>
      </c>
      <c r="AG5657">
        <v>-1.120849815625</v>
      </c>
      <c r="AH5657">
        <v>24.230612027104101</v>
      </c>
      <c r="AI5657">
        <v>92.646038917777005</v>
      </c>
      <c r="AJ5657">
        <v>92.460376109104701</v>
      </c>
      <c r="AK5657">
        <v>24.2788558607417</v>
      </c>
      <c r="AL5657">
        <v>79.217137451940999</v>
      </c>
      <c r="AM5657">
        <v>89.951113267510905</v>
      </c>
      <c r="AN5657">
        <v>1.0000000041819599</v>
      </c>
    </row>
    <row r="5658" spans="1:40" x14ac:dyDescent="0.25">
      <c r="A5658" t="str">
        <f>"20190303171125585"</f>
        <v>20190303171125585</v>
      </c>
      <c r="B5658" t="str">
        <f>"1551604285576740"</f>
        <v>1551604285576740</v>
      </c>
      <c r="C5658" t="s">
        <v>40</v>
      </c>
      <c r="D5658">
        <v>5.0151409999999998</v>
      </c>
      <c r="E5658">
        <v>0.4855178</v>
      </c>
      <c r="F5658" t="s">
        <v>68</v>
      </c>
      <c r="G5658">
        <v>-207.29249999999999</v>
      </c>
      <c r="H5658" s="1">
        <v>-1.9716829999999999E-6</v>
      </c>
      <c r="I5658">
        <v>-62.388530000000003</v>
      </c>
      <c r="J5658">
        <v>-231.62540000000001</v>
      </c>
      <c r="K5658">
        <v>1.1207750000000001</v>
      </c>
      <c r="L5658">
        <v>-63.56015</v>
      </c>
      <c r="M5658">
        <v>0.99995750000000005</v>
      </c>
      <c r="N5658">
        <v>-7.3246309999999999E-3</v>
      </c>
      <c r="O5658">
        <v>5.6063369999999899E-3</v>
      </c>
      <c r="P5658">
        <v>0.98365550000000002</v>
      </c>
      <c r="Q5658">
        <v>0.18000969999999999</v>
      </c>
      <c r="R5658">
        <v>4.2985250000000001E-3</v>
      </c>
      <c r="S5658">
        <v>3.0748899999999999</v>
      </c>
      <c r="T5658">
        <v>-0.14055589999999901</v>
      </c>
      <c r="U5658">
        <v>0.14706420000000001</v>
      </c>
      <c r="V5658">
        <v>9.5366540000000005E-4</v>
      </c>
      <c r="W5658">
        <v>0.18721170000000001</v>
      </c>
      <c r="X5658">
        <v>0.9823191</v>
      </c>
      <c r="Y5658">
        <v>-4.2125200000000002E-2</v>
      </c>
      <c r="Z5658">
        <v>9.0124140000000003E-4</v>
      </c>
      <c r="AA5658">
        <v>0.999112</v>
      </c>
      <c r="AB5658">
        <v>38</v>
      </c>
      <c r="AC5658">
        <v>24.332899999999999</v>
      </c>
      <c r="AD5658">
        <v>-1.1207769716830001</v>
      </c>
      <c r="AE5658">
        <v>1.1716199999999899</v>
      </c>
      <c r="AF5658">
        <v>-1.0329930306624899</v>
      </c>
      <c r="AG5658">
        <v>-1.1207769716830001</v>
      </c>
      <c r="AH5658">
        <v>24.287678215480799</v>
      </c>
      <c r="AI5658">
        <v>92.639708384372994</v>
      </c>
      <c r="AJ5658">
        <v>92.435411534073197</v>
      </c>
      <c r="AK5658">
        <v>24.335458259921801</v>
      </c>
      <c r="AL5658">
        <v>79.209892973038194</v>
      </c>
      <c r="AM5658">
        <v>89.944375523879003</v>
      </c>
      <c r="AN5658">
        <v>0.99999997215969705</v>
      </c>
    </row>
    <row r="5659" spans="1:40" x14ac:dyDescent="0.25">
      <c r="A5659" t="str">
        <f>"20190303171125597"</f>
        <v>20190303171125597</v>
      </c>
      <c r="B5659" t="str">
        <f>"1551604285586500"</f>
        <v>1551604285586500</v>
      </c>
      <c r="C5659" t="s">
        <v>40</v>
      </c>
      <c r="D5659">
        <v>5.0132830000000004</v>
      </c>
      <c r="E5659">
        <v>0.4855178</v>
      </c>
      <c r="F5659" t="s">
        <v>68</v>
      </c>
      <c r="G5659">
        <v>-206.9735</v>
      </c>
      <c r="H5659" s="1">
        <v>-2.1732760000000002E-6</v>
      </c>
      <c r="I5659">
        <v>-62.380090000000003</v>
      </c>
      <c r="J5659">
        <v>-231.4349</v>
      </c>
      <c r="K5659">
        <v>1.1207049999999901</v>
      </c>
      <c r="L5659">
        <v>-63.559019999999997</v>
      </c>
      <c r="M5659">
        <v>0.99995670000000003</v>
      </c>
      <c r="N5659">
        <v>-7.3769389999999999E-3</v>
      </c>
      <c r="O5659">
        <v>5.6669629999999997E-3</v>
      </c>
      <c r="P5659">
        <v>0.98368370000000005</v>
      </c>
      <c r="Q5659">
        <v>0.17985329999999999</v>
      </c>
      <c r="R5659">
        <v>4.4112730000000003E-3</v>
      </c>
      <c r="S5659">
        <v>3.0747680000000002</v>
      </c>
      <c r="T5659">
        <v>-0.13979179999999999</v>
      </c>
      <c r="U5659">
        <v>0.14718629999999999</v>
      </c>
      <c r="V5659">
        <v>9.3823159999999997E-4</v>
      </c>
      <c r="W5659">
        <v>0.1871063</v>
      </c>
      <c r="X5659">
        <v>0.98233919999999997</v>
      </c>
      <c r="Y5659">
        <v>-4.210655E-2</v>
      </c>
      <c r="Z5659">
        <v>8.9603320000000003E-4</v>
      </c>
      <c r="AA5659">
        <v>0.99911269999999996</v>
      </c>
      <c r="AB5659">
        <v>38</v>
      </c>
      <c r="AC5659">
        <v>24.461400000000001</v>
      </c>
      <c r="AD5659">
        <v>-1.1207071732759999</v>
      </c>
      <c r="AE5659">
        <v>1.17892999999999</v>
      </c>
      <c r="AF5659">
        <v>-1.0381114507082201</v>
      </c>
      <c r="AG5659">
        <v>-1.1207071732759999</v>
      </c>
      <c r="AH5659">
        <v>24.416555657655401</v>
      </c>
      <c r="AI5659">
        <v>92.625633171173206</v>
      </c>
      <c r="AJ5659">
        <v>92.434561398913402</v>
      </c>
      <c r="AK5659">
        <v>24.4642974584538</v>
      </c>
      <c r="AL5659">
        <v>79.216040618741403</v>
      </c>
      <c r="AM5659">
        <v>89.945276850867799</v>
      </c>
      <c r="AN5659">
        <v>0.99999997581743205</v>
      </c>
    </row>
    <row r="5660" spans="1:40" x14ac:dyDescent="0.25">
      <c r="A5660" t="str">
        <f>"20190303171125608"</f>
        <v>20190303171125608</v>
      </c>
      <c r="B5660" t="str">
        <f>"1551604285596259"</f>
        <v>1551604285596259</v>
      </c>
      <c r="C5660" t="s">
        <v>40</v>
      </c>
      <c r="D5660">
        <v>4.7185739999999896</v>
      </c>
      <c r="E5660">
        <v>0.4857725</v>
      </c>
      <c r="F5660" t="s">
        <v>68</v>
      </c>
      <c r="G5660">
        <v>-206.87280000000001</v>
      </c>
      <c r="H5660" s="1">
        <v>-2.237395E-6</v>
      </c>
      <c r="I5660">
        <v>-62.380809999999997</v>
      </c>
      <c r="J5660">
        <v>-231.22040000000001</v>
      </c>
      <c r="K5660">
        <v>1.120622</v>
      </c>
      <c r="L5660">
        <v>-63.557769999999998</v>
      </c>
      <c r="M5660">
        <v>0.99995639999999997</v>
      </c>
      <c r="N5660">
        <v>-7.4416959999999898E-3</v>
      </c>
      <c r="O5660">
        <v>5.6566539999999997E-3</v>
      </c>
      <c r="P5660">
        <v>0.98372199999999999</v>
      </c>
      <c r="Q5660">
        <v>0.17964379999999999</v>
      </c>
      <c r="R5660">
        <v>4.41159E-3</v>
      </c>
      <c r="S5660">
        <v>3.0747529999999998</v>
      </c>
      <c r="T5660">
        <v>-0.140293</v>
      </c>
      <c r="U5660">
        <v>0.1474915</v>
      </c>
      <c r="V5660">
        <v>9.6874289999999996E-4</v>
      </c>
      <c r="W5660">
        <v>0.1869606</v>
      </c>
      <c r="X5660">
        <v>0.98236690000000004</v>
      </c>
      <c r="Y5660">
        <v>-4.2215509999999998E-2</v>
      </c>
      <c r="Z5660">
        <v>9.0355239999999999E-4</v>
      </c>
      <c r="AA5660">
        <v>0.99910810000000005</v>
      </c>
      <c r="AB5660">
        <v>39</v>
      </c>
      <c r="AC5660">
        <v>24.3476</v>
      </c>
      <c r="AD5660">
        <v>-1.1206242373949999</v>
      </c>
      <c r="AE5660">
        <v>1.17696</v>
      </c>
      <c r="AF5660">
        <v>-1.0370197186257</v>
      </c>
      <c r="AG5660">
        <v>-1.1206242373949999</v>
      </c>
      <c r="AH5660">
        <v>24.302505903818101</v>
      </c>
      <c r="AI5660">
        <v>92.637725442572204</v>
      </c>
      <c r="AJ5660">
        <v>92.4434035675215</v>
      </c>
      <c r="AK5660">
        <v>24.350420977538999</v>
      </c>
      <c r="AL5660">
        <v>79.224538458275006</v>
      </c>
      <c r="AM5660">
        <v>89.943498847924005</v>
      </c>
      <c r="AN5660">
        <v>0.99999996531538704</v>
      </c>
    </row>
    <row r="5661" spans="1:40" x14ac:dyDescent="0.25">
      <c r="A5661" t="str">
        <f>"20190303171125619"</f>
        <v>20190303171125619</v>
      </c>
      <c r="B5661" t="str">
        <f>"1551604285606021"</f>
        <v>1551604285606021</v>
      </c>
      <c r="C5661" t="s">
        <v>40</v>
      </c>
      <c r="D5661">
        <v>4.7851710000000001</v>
      </c>
      <c r="E5661">
        <v>0.48601480000000002</v>
      </c>
      <c r="F5661" t="s">
        <v>68</v>
      </c>
      <c r="G5661">
        <v>-206.965</v>
      </c>
      <c r="H5661" s="1">
        <v>-2.1830020000000002E-6</v>
      </c>
      <c r="I5661">
        <v>-62.410960000000003</v>
      </c>
      <c r="J5661">
        <v>-231.03479999999999</v>
      </c>
      <c r="K5661">
        <v>1.120557</v>
      </c>
      <c r="L5661">
        <v>-63.556699999999999</v>
      </c>
      <c r="M5661">
        <v>0.99995610000000001</v>
      </c>
      <c r="N5661">
        <v>-7.4975509999999999E-3</v>
      </c>
      <c r="O5661">
        <v>5.629284E-3</v>
      </c>
      <c r="P5661">
        <v>0.98371059999999999</v>
      </c>
      <c r="Q5661">
        <v>0.179706</v>
      </c>
      <c r="R5661">
        <v>4.3923779999999997E-3</v>
      </c>
      <c r="S5661">
        <v>3.074951</v>
      </c>
      <c r="T5661">
        <v>-0.14206579999999999</v>
      </c>
      <c r="U5661">
        <v>0.14538570000000001</v>
      </c>
      <c r="V5661">
        <v>9.9513029999999999E-4</v>
      </c>
      <c r="W5661">
        <v>0.1870772</v>
      </c>
      <c r="X5661">
        <v>0.98234469999999996</v>
      </c>
      <c r="Y5661">
        <v>-4.1556780000000001E-2</v>
      </c>
      <c r="Z5661">
        <v>8.9728839999999904E-4</v>
      </c>
      <c r="AA5661">
        <v>0.99913569999999996</v>
      </c>
      <c r="AB5661">
        <v>39</v>
      </c>
      <c r="AC5661">
        <v>24.069799999999901</v>
      </c>
      <c r="AD5661">
        <v>-1.1205591830020001</v>
      </c>
      <c r="AE5661">
        <v>1.14574</v>
      </c>
      <c r="AF5661">
        <v>-1.0080424842217399</v>
      </c>
      <c r="AG5661">
        <v>-1.1205591830020001</v>
      </c>
      <c r="AH5661">
        <v>24.023918479868499</v>
      </c>
      <c r="AI5661">
        <v>92.668194601083997</v>
      </c>
      <c r="AJ5661">
        <v>92.402718756742203</v>
      </c>
      <c r="AK5661">
        <v>24.071154140588501</v>
      </c>
      <c r="AL5661">
        <v>79.217738043183701</v>
      </c>
      <c r="AM5661">
        <v>89.941958513389295</v>
      </c>
      <c r="AN5661">
        <v>0.999999989331121</v>
      </c>
    </row>
    <row r="5662" spans="1:40" x14ac:dyDescent="0.25">
      <c r="A5662" t="str">
        <f>"20190303171125631"</f>
        <v>20190303171125631</v>
      </c>
      <c r="B5662" t="str">
        <f>"1551604285616757"</f>
        <v>1551604285616757</v>
      </c>
      <c r="C5662" t="s">
        <v>40</v>
      </c>
      <c r="D5662">
        <v>4.9976129999999896</v>
      </c>
      <c r="E5662">
        <v>0.48615399999999998</v>
      </c>
      <c r="F5662" t="s">
        <v>68</v>
      </c>
      <c r="G5662">
        <v>-206.80279999999999</v>
      </c>
      <c r="H5662" s="1">
        <v>-2.2887210000000002E-6</v>
      </c>
      <c r="I5662">
        <v>-62.429769999999998</v>
      </c>
      <c r="J5662">
        <v>-230.8442</v>
      </c>
      <c r="K5662">
        <v>1.120495</v>
      </c>
      <c r="L5662">
        <v>-63.555630000000001</v>
      </c>
      <c r="M5662">
        <v>0.99995610000000001</v>
      </c>
      <c r="N5662">
        <v>-7.5546229999999999E-3</v>
      </c>
      <c r="O5662">
        <v>5.5610729999999997E-3</v>
      </c>
      <c r="P5662">
        <v>0.98373500000000003</v>
      </c>
      <c r="Q5662">
        <v>0.17957790000000001</v>
      </c>
      <c r="R5662">
        <v>4.223053E-3</v>
      </c>
      <c r="S5662">
        <v>3.0750120000000001</v>
      </c>
      <c r="T5662">
        <v>-0.1421973</v>
      </c>
      <c r="U5662">
        <v>0.14300539999999901</v>
      </c>
      <c r="V5662">
        <v>1.1305999999999901E-3</v>
      </c>
      <c r="W5662">
        <v>0.18700559999999999</v>
      </c>
      <c r="X5662">
        <v>0.98235819999999996</v>
      </c>
      <c r="Y5662">
        <v>-4.0852930000000003E-2</v>
      </c>
      <c r="Z5662">
        <v>8.831574E-4</v>
      </c>
      <c r="AA5662">
        <v>0.99916479999999996</v>
      </c>
      <c r="AB5662">
        <v>39</v>
      </c>
      <c r="AC5662">
        <v>24.041399999999999</v>
      </c>
      <c r="AD5662">
        <v>-1.1204972887209901</v>
      </c>
      <c r="AE5662">
        <v>1.1258600000000101</v>
      </c>
      <c r="AF5662">
        <v>-0.98999703042161702</v>
      </c>
      <c r="AG5662">
        <v>-1.1204972887209901</v>
      </c>
      <c r="AH5662">
        <v>23.995280630269502</v>
      </c>
      <c r="AI5662">
        <v>92.671304858080404</v>
      </c>
      <c r="AJ5662">
        <v>92.362568724921999</v>
      </c>
      <c r="AK5662">
        <v>24.0418198316945</v>
      </c>
      <c r="AL5662">
        <v>79.221914268287904</v>
      </c>
      <c r="AM5662">
        <v>89.934058086229598</v>
      </c>
      <c r="AN5662">
        <v>1.00000000289747</v>
      </c>
    </row>
    <row r="5663" spans="1:40" x14ac:dyDescent="0.25">
      <c r="A5663" t="str">
        <f>"20190303171125642"</f>
        <v>20190303171125642</v>
      </c>
      <c r="B5663" t="str">
        <f>"1551604285636275"</f>
        <v>1551604285636275</v>
      </c>
      <c r="C5663" t="s">
        <v>40</v>
      </c>
      <c r="D5663">
        <v>5.1360830000000002</v>
      </c>
      <c r="E5663">
        <v>0.48650710000000003</v>
      </c>
      <c r="F5663" t="s">
        <v>68</v>
      </c>
      <c r="G5663">
        <v>-206.8246</v>
      </c>
      <c r="H5663" s="1">
        <v>-2.2780320000000001E-6</v>
      </c>
      <c r="I5663">
        <v>-62.4527199999999</v>
      </c>
      <c r="J5663">
        <v>-230.65110000000001</v>
      </c>
      <c r="K5663">
        <v>1.1204320000000001</v>
      </c>
      <c r="L5663">
        <v>-63.554600000000001</v>
      </c>
      <c r="M5663">
        <v>0.99995610000000001</v>
      </c>
      <c r="N5663">
        <v>-7.61313099999999E-3</v>
      </c>
      <c r="O5663">
        <v>5.4669840000000003E-3</v>
      </c>
      <c r="P5663">
        <v>0.98373200000000005</v>
      </c>
      <c r="Q5663">
        <v>0.179606399999999</v>
      </c>
      <c r="R5663">
        <v>3.597004E-3</v>
      </c>
      <c r="S5663">
        <v>3.07518</v>
      </c>
      <c r="T5663">
        <v>-0.1434551</v>
      </c>
      <c r="U5663">
        <v>0.14120479999999899</v>
      </c>
      <c r="V5663">
        <v>1.696122E-3</v>
      </c>
      <c r="W5663">
        <v>0.18709129999999999</v>
      </c>
      <c r="X5663">
        <v>0.98234109999999997</v>
      </c>
      <c r="Y5663">
        <v>-4.036037E-2</v>
      </c>
      <c r="Z5663">
        <v>8.8103309999999996E-4</v>
      </c>
      <c r="AA5663">
        <v>0.99918479999999998</v>
      </c>
      <c r="AB5663">
        <v>39</v>
      </c>
      <c r="AC5663">
        <v>23.826499999999999</v>
      </c>
      <c r="AD5663">
        <v>-1.12043427803199</v>
      </c>
      <c r="AE5663">
        <v>1.10188</v>
      </c>
      <c r="AF5663">
        <v>-0.96946144866455497</v>
      </c>
      <c r="AG5663">
        <v>-1.12043427803199</v>
      </c>
      <c r="AH5663">
        <v>23.779695672823699</v>
      </c>
      <c r="AI5663">
        <v>92.695389741615102</v>
      </c>
      <c r="AJ5663">
        <v>92.334567568700606</v>
      </c>
      <c r="AK5663">
        <v>23.825808585732101</v>
      </c>
      <c r="AL5663">
        <v>79.216916140510506</v>
      </c>
      <c r="AM5663">
        <v>89.901072513846501</v>
      </c>
      <c r="AN5663">
        <v>1.00000003405736</v>
      </c>
    </row>
    <row r="5664" spans="1:40" x14ac:dyDescent="0.25">
      <c r="A5664" t="str">
        <f>"20190303171125654"</f>
        <v>20190303171125654</v>
      </c>
      <c r="B5664" t="str">
        <f>"1551604285636275"</f>
        <v>1551604285636275</v>
      </c>
      <c r="C5664" t="s">
        <v>40</v>
      </c>
      <c r="D5664">
        <v>5.1360830000000002</v>
      </c>
      <c r="E5664">
        <v>0.48650710000000003</v>
      </c>
      <c r="F5664" t="s">
        <v>68</v>
      </c>
      <c r="G5664">
        <v>-206.81899999999999</v>
      </c>
      <c r="H5664" s="1">
        <v>-2.2878459999999999E-6</v>
      </c>
      <c r="I5664">
        <v>-62.497770000000003</v>
      </c>
      <c r="J5664">
        <v>-230.4297</v>
      </c>
      <c r="K5664">
        <v>1.1203639999999999</v>
      </c>
      <c r="L5664">
        <v>-63.553440000000002</v>
      </c>
      <c r="M5664">
        <v>0.99995639999999997</v>
      </c>
      <c r="N5664">
        <v>-7.6810180000000004E-3</v>
      </c>
      <c r="O5664">
        <v>5.3308740000000002E-3</v>
      </c>
      <c r="P5664">
        <v>0.98370310000000005</v>
      </c>
      <c r="Q5664">
        <v>0.17977309999999999</v>
      </c>
      <c r="R5664">
        <v>3.2287470000000001E-3</v>
      </c>
      <c r="S5664">
        <v>3.0755309999999998</v>
      </c>
      <c r="T5664">
        <v>-0.144592</v>
      </c>
      <c r="U5664">
        <v>0.13638310000000001</v>
      </c>
      <c r="V5664">
        <v>1.9649469999999999E-3</v>
      </c>
      <c r="W5664">
        <v>0.18732409999999999</v>
      </c>
      <c r="X5664">
        <v>0.98229619999999995</v>
      </c>
      <c r="Y5664">
        <v>-3.8928770000000001E-2</v>
      </c>
      <c r="Z5664">
        <v>8.5437160000000002E-4</v>
      </c>
      <c r="AA5664">
        <v>0.99924170000000001</v>
      </c>
      <c r="AB5664">
        <v>39</v>
      </c>
      <c r="AC5664">
        <v>23.610699999999898</v>
      </c>
      <c r="AD5664">
        <v>-1.1203662878459999</v>
      </c>
      <c r="AE5664">
        <v>1.0556700000000001</v>
      </c>
      <c r="AF5664">
        <v>-0.92770093553289401</v>
      </c>
      <c r="AG5664">
        <v>-1.1203662878459999</v>
      </c>
      <c r="AH5664">
        <v>23.563042251718802</v>
      </c>
      <c r="AI5664">
        <v>92.720122816796305</v>
      </c>
      <c r="AJ5664">
        <v>92.254628637347807</v>
      </c>
      <c r="AK5664">
        <v>23.6078971914277</v>
      </c>
      <c r="AL5664">
        <v>79.203337269722994</v>
      </c>
      <c r="AM5664">
        <v>89.885387910589301</v>
      </c>
      <c r="AN5664">
        <v>1.00000000199598</v>
      </c>
    </row>
    <row r="5665" spans="1:40" x14ac:dyDescent="0.25">
      <c r="A5665" t="str">
        <f>"20190303171125666"</f>
        <v>20190303171125666</v>
      </c>
      <c r="B5665" t="str">
        <f>"1551604285656772"</f>
        <v>1551604285656772</v>
      </c>
      <c r="C5665" t="s">
        <v>40</v>
      </c>
      <c r="D5665">
        <v>4.8989779999999996</v>
      </c>
      <c r="E5665">
        <v>0.48668879999999998</v>
      </c>
      <c r="F5665" t="s">
        <v>68</v>
      </c>
      <c r="G5665">
        <v>-206.51900000000001</v>
      </c>
      <c r="H5665" s="1">
        <v>-2.4793050000000001E-6</v>
      </c>
      <c r="I5665">
        <v>-62.503349999999998</v>
      </c>
      <c r="J5665">
        <v>-230.2379</v>
      </c>
      <c r="K5665">
        <v>1.1203149999999999</v>
      </c>
      <c r="L5665">
        <v>-63.552520000000001</v>
      </c>
      <c r="M5665">
        <v>0.99995670000000003</v>
      </c>
      <c r="N5665">
        <v>-7.7411099999999998E-3</v>
      </c>
      <c r="O5665">
        <v>5.1814549999999997E-3</v>
      </c>
      <c r="P5665">
        <v>0.98367649999999995</v>
      </c>
      <c r="Q5665">
        <v>0.1799325</v>
      </c>
      <c r="R5665">
        <v>2.2737429999999999E-3</v>
      </c>
      <c r="S5665">
        <v>3.0755919999999999</v>
      </c>
      <c r="T5665">
        <v>-0.14411089999999999</v>
      </c>
      <c r="U5665">
        <v>0.13507079999999999</v>
      </c>
      <c r="V5665">
        <v>2.7998860000000001E-3</v>
      </c>
      <c r="W5665">
        <v>0.1875424</v>
      </c>
      <c r="X5665">
        <v>0.98225249999999997</v>
      </c>
      <c r="Y5665">
        <v>-3.8652140000000001E-2</v>
      </c>
      <c r="Z5665">
        <v>8.5193970000000004E-4</v>
      </c>
      <c r="AA5665">
        <v>0.99925240000000004</v>
      </c>
      <c r="AB5665">
        <v>39</v>
      </c>
      <c r="AC5665">
        <v>23.718899999999898</v>
      </c>
      <c r="AD5665">
        <v>-1.1203174793049999</v>
      </c>
      <c r="AE5665">
        <v>1.0491699999999899</v>
      </c>
      <c r="AF5665">
        <v>-0.92419600609089603</v>
      </c>
      <c r="AG5665">
        <v>-1.1203174793049999</v>
      </c>
      <c r="AH5665">
        <v>23.671311185531199</v>
      </c>
      <c r="AI5665">
        <v>92.7076168964049</v>
      </c>
      <c r="AJ5665">
        <v>92.235856255135005</v>
      </c>
      <c r="AK5665">
        <v>23.715822202790399</v>
      </c>
      <c r="AL5665">
        <v>79.190603718734806</v>
      </c>
      <c r="AM5665">
        <v>89.836680266597895</v>
      </c>
      <c r="AN5665">
        <v>0.99999998245781097</v>
      </c>
    </row>
    <row r="5666" spans="1:40" x14ac:dyDescent="0.25">
      <c r="A5666" t="str">
        <f>"20190303171125679"</f>
        <v>20190303171125679</v>
      </c>
      <c r="B5666" t="str">
        <f>"1551604285666532"</f>
        <v>1551604285666532</v>
      </c>
      <c r="C5666" t="s">
        <v>40</v>
      </c>
      <c r="D5666">
        <v>5.1364470000000004</v>
      </c>
      <c r="E5666">
        <v>0.48683900000000002</v>
      </c>
      <c r="F5666" t="s">
        <v>68</v>
      </c>
      <c r="G5666">
        <v>-206.26159999999999</v>
      </c>
      <c r="H5666" s="1">
        <v>-2.6471859999999999E-6</v>
      </c>
      <c r="I5666">
        <v>-62.533869999999901</v>
      </c>
      <c r="J5666">
        <v>-230.01900000000001</v>
      </c>
      <c r="K5666">
        <v>1.12026</v>
      </c>
      <c r="L5666">
        <v>-63.551479999999998</v>
      </c>
      <c r="M5666">
        <v>0.99995699999999998</v>
      </c>
      <c r="N5666">
        <v>-7.8108530000000004E-3</v>
      </c>
      <c r="O5666">
        <v>5.0003369999999997E-3</v>
      </c>
      <c r="P5666">
        <v>0.98358319999999999</v>
      </c>
      <c r="Q5666">
        <v>0.18044969999999999</v>
      </c>
      <c r="R5666">
        <v>1.483846E-3</v>
      </c>
      <c r="S5666">
        <v>3.0757599999999998</v>
      </c>
      <c r="T5666">
        <v>-0.1437184</v>
      </c>
      <c r="U5666">
        <v>0.1306763</v>
      </c>
      <c r="V5666">
        <v>3.4405529999999998E-3</v>
      </c>
      <c r="W5666">
        <v>0.18812680000000001</v>
      </c>
      <c r="X5666">
        <v>0.98213870000000003</v>
      </c>
      <c r="Y5666">
        <v>-3.7407259999999998E-2</v>
      </c>
      <c r="Z5666">
        <v>8.2494729999999905E-4</v>
      </c>
      <c r="AA5666">
        <v>0.99929979999999996</v>
      </c>
      <c r="AB5666">
        <v>39</v>
      </c>
      <c r="AC5666">
        <v>23.757400000000001</v>
      </c>
      <c r="AD5666">
        <v>-1.120262647186</v>
      </c>
      <c r="AE5666">
        <v>1.0176100000000099</v>
      </c>
      <c r="AF5666">
        <v>-0.89680822485322897</v>
      </c>
      <c r="AG5666">
        <v>-1.120262647186</v>
      </c>
      <c r="AH5666">
        <v>23.709569261874801</v>
      </c>
      <c r="AI5666">
        <v>92.703248408195805</v>
      </c>
      <c r="AJ5666">
        <v>92.166165140807095</v>
      </c>
      <c r="AK5666">
        <v>23.752956194429402</v>
      </c>
      <c r="AL5666">
        <v>79.156513229967203</v>
      </c>
      <c r="AM5666">
        <v>89.799286638724595</v>
      </c>
      <c r="AN5666">
        <v>0.99999997816043695</v>
      </c>
    </row>
    <row r="5667" spans="1:40" x14ac:dyDescent="0.25">
      <c r="A5667" t="str">
        <f>"20190303171125689"</f>
        <v>20190303171125689</v>
      </c>
      <c r="B5667" t="str">
        <f>"1551604285676292"</f>
        <v>1551604285676292</v>
      </c>
      <c r="C5667" t="s">
        <v>40</v>
      </c>
      <c r="D5667">
        <v>5.0212250000000003</v>
      </c>
      <c r="E5667">
        <v>0.48705660000000001</v>
      </c>
      <c r="F5667" t="s">
        <v>68</v>
      </c>
      <c r="G5667">
        <v>-205.81729999999999</v>
      </c>
      <c r="H5667" s="1">
        <v>-2.9323709999999999E-6</v>
      </c>
      <c r="I5667">
        <v>-62.55359</v>
      </c>
      <c r="J5667">
        <v>-229.82650000000001</v>
      </c>
      <c r="K5667">
        <v>1.120223</v>
      </c>
      <c r="L5667">
        <v>-63.550600000000003</v>
      </c>
      <c r="M5667">
        <v>0.9999574</v>
      </c>
      <c r="N5667">
        <v>-7.8763549999999998E-3</v>
      </c>
      <c r="O5667">
        <v>4.8199559999999898E-3</v>
      </c>
      <c r="P5667">
        <v>0.98355000000000004</v>
      </c>
      <c r="Q5667">
        <v>0.18063709999999999</v>
      </c>
      <c r="R5667">
        <v>3.755074E-4</v>
      </c>
      <c r="S5667">
        <v>3.0760040000000002</v>
      </c>
      <c r="T5667">
        <v>-0.14238410000000001</v>
      </c>
      <c r="U5667">
        <v>0.1268311</v>
      </c>
      <c r="V5667">
        <v>4.3937819999999997E-3</v>
      </c>
      <c r="W5667">
        <v>0.18837789999999999</v>
      </c>
      <c r="X5667">
        <v>0.98208680000000004</v>
      </c>
      <c r="Y5667">
        <v>-3.6339000000000003E-2</v>
      </c>
      <c r="Z5667">
        <v>7.985402E-4</v>
      </c>
      <c r="AA5667">
        <v>0.99933919999999998</v>
      </c>
      <c r="AB5667">
        <v>39</v>
      </c>
      <c r="AC5667">
        <v>24.0092</v>
      </c>
      <c r="AD5667">
        <v>-1.120225932371</v>
      </c>
      <c r="AE5667">
        <v>0.99701000000000295</v>
      </c>
      <c r="AF5667">
        <v>-0.87936048373434195</v>
      </c>
      <c r="AG5667">
        <v>-1.120225932371</v>
      </c>
      <c r="AH5667">
        <v>23.961652372746599</v>
      </c>
      <c r="AI5667">
        <v>92.674875400339005</v>
      </c>
      <c r="AJ5667">
        <v>92.101735018548396</v>
      </c>
      <c r="AK5667">
        <v>24.0039364570118</v>
      </c>
      <c r="AL5667">
        <v>79.141864704330303</v>
      </c>
      <c r="AM5667">
        <v>89.743664729963697</v>
      </c>
      <c r="AN5667">
        <v>1.0000000106314499</v>
      </c>
    </row>
    <row r="5668" spans="1:40" x14ac:dyDescent="0.25">
      <c r="A5668" t="str">
        <f>"20190303171125700"</f>
        <v>20190303171125700</v>
      </c>
      <c r="B5668" t="str">
        <f>"1551604285686052"</f>
        <v>1551604285686052</v>
      </c>
      <c r="C5668" t="s">
        <v>40</v>
      </c>
      <c r="D5668">
        <v>5.0792419999999998</v>
      </c>
      <c r="E5668">
        <v>0.48717759999999999</v>
      </c>
      <c r="F5668" t="s">
        <v>68</v>
      </c>
      <c r="G5668">
        <v>-205.4452</v>
      </c>
      <c r="H5668" s="1">
        <v>-3.173356E-6</v>
      </c>
      <c r="I5668">
        <v>-62.58596</v>
      </c>
      <c r="J5668">
        <v>-229.63640000000001</v>
      </c>
      <c r="K5668">
        <v>1.120187</v>
      </c>
      <c r="L5668">
        <v>-63.549770000000002</v>
      </c>
      <c r="M5668">
        <v>0.99995789999999996</v>
      </c>
      <c r="N5668">
        <v>-7.9428780000000004E-3</v>
      </c>
      <c r="O5668">
        <v>4.6354200000000003E-3</v>
      </c>
      <c r="P5668">
        <v>0.98353769999999996</v>
      </c>
      <c r="Q5668">
        <v>0.18070359999999999</v>
      </c>
      <c r="R5668">
        <v>-3.7385149999999998E-4</v>
      </c>
      <c r="S5668">
        <v>3.0760960000000002</v>
      </c>
      <c r="T5668">
        <v>-0.14133479999999901</v>
      </c>
      <c r="U5668">
        <v>0.1217041</v>
      </c>
      <c r="V5668">
        <v>4.982368E-3</v>
      </c>
      <c r="W5668">
        <v>0.1885085</v>
      </c>
      <c r="X5668">
        <v>0.98205889999999996</v>
      </c>
      <c r="Y5668">
        <v>-3.4861429999999999E-2</v>
      </c>
      <c r="Z5668">
        <v>7.6274239999999998E-4</v>
      </c>
      <c r="AA5668">
        <v>0.9993919</v>
      </c>
      <c r="AB5668">
        <v>39</v>
      </c>
      <c r="AC5668">
        <v>24.191199999999998</v>
      </c>
      <c r="AD5668">
        <v>-1.120190173356</v>
      </c>
      <c r="AE5668">
        <v>0.96380999999999495</v>
      </c>
      <c r="AF5668">
        <v>-0.84984040183649301</v>
      </c>
      <c r="AG5668">
        <v>-1.120190173356</v>
      </c>
      <c r="AH5668">
        <v>24.1437205608546</v>
      </c>
      <c r="AI5668">
        <v>92.654791174489304</v>
      </c>
      <c r="AJ5668">
        <v>92.015935092556802</v>
      </c>
      <c r="AK5668">
        <v>24.1846293594446</v>
      </c>
      <c r="AL5668">
        <v>79.134245040359104</v>
      </c>
      <c r="AM5668">
        <v>89.709318647623306</v>
      </c>
      <c r="AN5668">
        <v>0.99999998081617303</v>
      </c>
    </row>
    <row r="5669" spans="1:40" x14ac:dyDescent="0.25">
      <c r="A5669" t="str">
        <f>"20190303171125710"</f>
        <v>20190303171125710</v>
      </c>
      <c r="B5669" t="str">
        <f>"1551604285706548"</f>
        <v>1551604285706548</v>
      </c>
      <c r="C5669" t="s">
        <v>40</v>
      </c>
      <c r="D5669">
        <v>4.9952880000000004</v>
      </c>
      <c r="E5669">
        <v>0.48728270000000001</v>
      </c>
      <c r="F5669" t="s">
        <v>68</v>
      </c>
      <c r="G5669">
        <v>-205.3023</v>
      </c>
      <c r="H5669" s="1">
        <v>-3.268441E-6</v>
      </c>
      <c r="I5669">
        <v>-62.616280000000003</v>
      </c>
      <c r="J5669">
        <v>-229.45869999999999</v>
      </c>
      <c r="K5669">
        <v>1.12016</v>
      </c>
      <c r="L5669">
        <v>-63.549039999999998</v>
      </c>
      <c r="M5669">
        <v>0.99995800000000001</v>
      </c>
      <c r="N5669">
        <v>-8.0078830000000004E-3</v>
      </c>
      <c r="O5669">
        <v>4.4538149999999999E-3</v>
      </c>
      <c r="P5669">
        <v>0.98356060000000001</v>
      </c>
      <c r="Q5669">
        <v>0.1805737</v>
      </c>
      <c r="R5669">
        <v>-1.3529200000000001E-3</v>
      </c>
      <c r="S5669">
        <v>3.076279</v>
      </c>
      <c r="T5669">
        <v>-0.141612299999999</v>
      </c>
      <c r="U5669">
        <v>0.11801150000000001</v>
      </c>
      <c r="V5669">
        <v>5.8001119999999996E-3</v>
      </c>
      <c r="W5669">
        <v>0.188442</v>
      </c>
      <c r="X5669">
        <v>0.98206720000000003</v>
      </c>
      <c r="Y5669">
        <v>-3.3843699999999997E-2</v>
      </c>
      <c r="Z5669">
        <v>7.447221E-4</v>
      </c>
      <c r="AA5669">
        <v>0.99942679999999995</v>
      </c>
      <c r="AB5669">
        <v>39</v>
      </c>
      <c r="AC5669">
        <v>24.156399999999898</v>
      </c>
      <c r="AD5669">
        <v>-1.1201632684409999</v>
      </c>
      <c r="AE5669">
        <v>0.93276000000000103</v>
      </c>
      <c r="AF5669">
        <v>-0.82339126073162805</v>
      </c>
      <c r="AG5669">
        <v>-1.1201632684409999</v>
      </c>
      <c r="AH5669">
        <v>24.108551527201801</v>
      </c>
      <c r="AI5669">
        <v>92.658690763971705</v>
      </c>
      <c r="AJ5669">
        <v>91.956090708469006</v>
      </c>
      <c r="AK5669">
        <v>24.148602354089899</v>
      </c>
      <c r="AL5669">
        <v>79.138125029766599</v>
      </c>
      <c r="AM5669">
        <v>89.661613711908601</v>
      </c>
      <c r="AN5669">
        <v>1.0000000069895201</v>
      </c>
    </row>
    <row r="5670" spans="1:40" x14ac:dyDescent="0.25">
      <c r="A5670" t="str">
        <f>"20190303171125721"</f>
        <v>20190303171125721</v>
      </c>
      <c r="B5670" t="str">
        <f>"1551604285716308"</f>
        <v>1551604285716308</v>
      </c>
      <c r="C5670" t="s">
        <v>40</v>
      </c>
      <c r="D5670">
        <v>5.0347970000000002</v>
      </c>
      <c r="E5670">
        <v>0.48728270000000001</v>
      </c>
      <c r="F5670" t="s">
        <v>68</v>
      </c>
      <c r="G5670">
        <v>-205.297</v>
      </c>
      <c r="H5670" s="1">
        <v>-3.2769599999999999E-6</v>
      </c>
      <c r="I5670">
        <v>-62.653379999999999</v>
      </c>
      <c r="J5670">
        <v>-229.28100000000001</v>
      </c>
      <c r="K5670">
        <v>1.120131</v>
      </c>
      <c r="L5670">
        <v>-63.548369999999998</v>
      </c>
      <c r="M5670">
        <v>0.99995829999999997</v>
      </c>
      <c r="N5670">
        <v>-8.0752459999999995E-3</v>
      </c>
      <c r="O5670">
        <v>4.267987E-3</v>
      </c>
      <c r="P5670">
        <v>0.98358950000000001</v>
      </c>
      <c r="Q5670">
        <v>0.18040980000000001</v>
      </c>
      <c r="R5670">
        <v>-2.0694390000000002E-3</v>
      </c>
      <c r="S5670">
        <v>3.076508</v>
      </c>
      <c r="T5670">
        <v>-0.14263029999999999</v>
      </c>
      <c r="U5670">
        <v>0.1140442</v>
      </c>
      <c r="V5670">
        <v>6.3496159999999998E-3</v>
      </c>
      <c r="W5670">
        <v>0.1883437</v>
      </c>
      <c r="X5670">
        <v>0.98208269999999998</v>
      </c>
      <c r="Y5670">
        <v>-3.274026E-2</v>
      </c>
      <c r="Z5670">
        <v>7.2734269999999998E-4</v>
      </c>
      <c r="AA5670">
        <v>0.99946360000000001</v>
      </c>
      <c r="AB5670">
        <v>39</v>
      </c>
      <c r="AC5670">
        <v>23.983999999999899</v>
      </c>
      <c r="AD5670">
        <v>-1.12013427696</v>
      </c>
      <c r="AE5670">
        <v>0.89498999999999196</v>
      </c>
      <c r="AF5670">
        <v>-0.79089241001501598</v>
      </c>
      <c r="AG5670">
        <v>-1.12013427696</v>
      </c>
      <c r="AH5670">
        <v>23.935465857656499</v>
      </c>
      <c r="AI5670">
        <v>92.677919269230998</v>
      </c>
      <c r="AJ5670">
        <v>91.892518672506597</v>
      </c>
      <c r="AK5670">
        <v>23.9747103720916</v>
      </c>
      <c r="AL5670">
        <v>79.143860348655494</v>
      </c>
      <c r="AM5670">
        <v>89.629561615167404</v>
      </c>
      <c r="AN5670">
        <v>1.00000004829616</v>
      </c>
    </row>
    <row r="5671" spans="1:40" x14ac:dyDescent="0.25">
      <c r="A5671" t="str">
        <f>"20190303171125731"</f>
        <v>20190303171125731</v>
      </c>
      <c r="B5671" t="str">
        <f>"1551604285726068"</f>
        <v>1551604285726068</v>
      </c>
      <c r="C5671" t="s">
        <v>40</v>
      </c>
      <c r="D5671">
        <v>5.205616</v>
      </c>
      <c r="E5671">
        <v>0.45593889999999998</v>
      </c>
      <c r="F5671" t="s">
        <v>68</v>
      </c>
      <c r="G5671">
        <v>-205.21090000000001</v>
      </c>
      <c r="H5671" s="1">
        <v>-3.3347469999999998E-6</v>
      </c>
      <c r="I5671">
        <v>-62.675449999999998</v>
      </c>
      <c r="J5671">
        <v>-229.09360000000001</v>
      </c>
      <c r="K5671">
        <v>1.1201049999999999</v>
      </c>
      <c r="L5671">
        <v>-63.547699999999999</v>
      </c>
      <c r="M5671">
        <v>0.99995869999999998</v>
      </c>
      <c r="N5671">
        <v>-8.1493469999999995E-3</v>
      </c>
      <c r="O5671">
        <v>4.0665839999999998E-3</v>
      </c>
      <c r="P5671">
        <v>0.98368230000000001</v>
      </c>
      <c r="Q5671">
        <v>0.1798931</v>
      </c>
      <c r="R5671">
        <v>-2.7988549999999998E-3</v>
      </c>
      <c r="S5671">
        <v>3.0765229999999999</v>
      </c>
      <c r="T5671">
        <v>-0.1431702</v>
      </c>
      <c r="U5671">
        <v>0.1115723</v>
      </c>
      <c r="V5671">
        <v>6.8960849999999997E-3</v>
      </c>
      <c r="W5671">
        <v>0.18790019999999999</v>
      </c>
      <c r="X5671">
        <v>0.98216389999999998</v>
      </c>
      <c r="Y5671">
        <v>-3.2139689999999999E-2</v>
      </c>
      <c r="Z5671">
        <v>7.2230969999999999E-4</v>
      </c>
      <c r="AA5671">
        <v>0.99948309999999996</v>
      </c>
      <c r="AB5671">
        <v>39</v>
      </c>
      <c r="AC5671">
        <v>23.8827</v>
      </c>
      <c r="AD5671">
        <v>-1.120108334747</v>
      </c>
      <c r="AE5671">
        <v>0.87225000000000097</v>
      </c>
      <c r="AF5671">
        <v>-0.77341958872031302</v>
      </c>
      <c r="AG5671">
        <v>-1.120108334747</v>
      </c>
      <c r="AH5671">
        <v>23.833693802395999</v>
      </c>
      <c r="AI5671">
        <v>92.689327288300305</v>
      </c>
      <c r="AJ5671">
        <v>91.858634822770696</v>
      </c>
      <c r="AK5671">
        <v>23.872531931241799</v>
      </c>
      <c r="AL5671">
        <v>79.169732256964195</v>
      </c>
      <c r="AM5671">
        <v>89.597714726719801</v>
      </c>
      <c r="AN5671">
        <v>0.99999998380578803</v>
      </c>
    </row>
    <row r="5672" spans="1:40" x14ac:dyDescent="0.25">
      <c r="A5672" t="str">
        <f>"20190303171125742"</f>
        <v>20190303171125742</v>
      </c>
      <c r="B5672" t="str">
        <f>"1551604285736804"</f>
        <v>1551604285736804</v>
      </c>
      <c r="C5672" t="s">
        <v>40</v>
      </c>
      <c r="D5672">
        <v>5.1326669999999996</v>
      </c>
      <c r="E5672">
        <v>0.44602540000000002</v>
      </c>
      <c r="F5672" t="s">
        <v>68</v>
      </c>
      <c r="G5672">
        <v>-200.2518</v>
      </c>
      <c r="H5672" s="1">
        <v>-5.6196509999999999E-6</v>
      </c>
      <c r="I5672">
        <v>-60.179479999999998</v>
      </c>
      <c r="J5672">
        <v>-228.89510000000001</v>
      </c>
      <c r="K5672">
        <v>1.120077</v>
      </c>
      <c r="L5672">
        <v>-63.546999999999997</v>
      </c>
      <c r="M5672">
        <v>0.99995860000000003</v>
      </c>
      <c r="N5672">
        <v>-8.2304379999999996E-3</v>
      </c>
      <c r="O5672">
        <v>3.8503750000000001E-3</v>
      </c>
      <c r="P5672">
        <v>0.98374930000000005</v>
      </c>
      <c r="Q5672">
        <v>0.179507</v>
      </c>
      <c r="R5672">
        <v>-3.8072650000000002E-3</v>
      </c>
      <c r="S5672">
        <v>3.0726010000000001</v>
      </c>
      <c r="T5672">
        <v>-0.1193287</v>
      </c>
      <c r="U5672">
        <v>0.35882570000000003</v>
      </c>
      <c r="V5672">
        <v>7.7058369999999897E-3</v>
      </c>
      <c r="W5672">
        <v>0.18759290000000001</v>
      </c>
      <c r="X5672">
        <v>0.98221670000000005</v>
      </c>
      <c r="Y5672">
        <v>-0.1120693</v>
      </c>
      <c r="Z5672">
        <v>2.513585E-3</v>
      </c>
      <c r="AA5672">
        <v>0.99369719999999995</v>
      </c>
      <c r="AB5672">
        <v>39</v>
      </c>
      <c r="AC5672">
        <v>28.6433</v>
      </c>
      <c r="AD5672">
        <v>-1.1200826196510001</v>
      </c>
      <c r="AE5672">
        <v>3.3675199999999901</v>
      </c>
      <c r="AF5672">
        <v>-3.2522983483981802</v>
      </c>
      <c r="AG5672">
        <v>-1.1200826196510001</v>
      </c>
      <c r="AH5672">
        <v>28.612897034022101</v>
      </c>
      <c r="AI5672">
        <v>92.227431993570306</v>
      </c>
      <c r="AJ5672">
        <v>96.484720017713897</v>
      </c>
      <c r="AK5672">
        <v>28.818915772481599</v>
      </c>
      <c r="AL5672">
        <v>79.187658858712695</v>
      </c>
      <c r="AM5672">
        <v>89.550503590744697</v>
      </c>
      <c r="AN5672">
        <v>1.00000006090658</v>
      </c>
    </row>
    <row r="5673" spans="1:40" x14ac:dyDescent="0.25">
      <c r="A5673" t="str">
        <f>"20190303171125753"</f>
        <v>20190303171125753</v>
      </c>
      <c r="B5673" t="str">
        <f>"1551604285746563"</f>
        <v>1551604285746563</v>
      </c>
      <c r="C5673" t="s">
        <v>40</v>
      </c>
      <c r="D5673">
        <v>5.0334289999999999</v>
      </c>
      <c r="E5673">
        <v>0.43575439999999999</v>
      </c>
      <c r="F5673" t="s">
        <v>68</v>
      </c>
      <c r="G5673">
        <v>-193.08949999999999</v>
      </c>
      <c r="H5673" s="1">
        <v>-7.1826630000000003E-6</v>
      </c>
      <c r="I5673">
        <v>-58.479719999999901</v>
      </c>
      <c r="J5673">
        <v>-228.7039</v>
      </c>
      <c r="K5673">
        <v>1.1200570000000001</v>
      </c>
      <c r="L5673">
        <v>-63.546390000000002</v>
      </c>
      <c r="M5673">
        <v>0.99995880000000004</v>
      </c>
      <c r="N5673">
        <v>-8.3102920000000004E-3</v>
      </c>
      <c r="O5673">
        <v>3.639921E-3</v>
      </c>
      <c r="P5673">
        <v>0.98380489999999998</v>
      </c>
      <c r="Q5673">
        <v>0.1791895</v>
      </c>
      <c r="R5673">
        <v>-4.4119800000000002E-3</v>
      </c>
      <c r="S5673">
        <v>3.068756</v>
      </c>
      <c r="T5673">
        <v>-9.5997810000000003E-2</v>
      </c>
      <c r="U5673">
        <v>0.43429570000000001</v>
      </c>
      <c r="V5673">
        <v>8.1158240000000006E-3</v>
      </c>
      <c r="W5673">
        <v>0.18735360000000001</v>
      </c>
      <c r="X5673">
        <v>0.98225899999999999</v>
      </c>
      <c r="Y5673">
        <v>-0.13643820000000001</v>
      </c>
      <c r="Z5673">
        <v>2.6097049999999999E-3</v>
      </c>
      <c r="AA5673">
        <v>0.9906452</v>
      </c>
      <c r="AB5673">
        <v>39</v>
      </c>
      <c r="AC5673">
        <v>35.614400000000003</v>
      </c>
      <c r="AD5673">
        <v>-1.120064182663</v>
      </c>
      <c r="AE5673">
        <v>5.0666700000000002</v>
      </c>
      <c r="AF5673">
        <v>-4.9322167327022202</v>
      </c>
      <c r="AG5673">
        <v>-1.120064182663</v>
      </c>
      <c r="AH5673">
        <v>35.598095831174703</v>
      </c>
      <c r="AI5673">
        <v>91.785127221545096</v>
      </c>
      <c r="AJ5673">
        <v>97.888271184120995</v>
      </c>
      <c r="AK5673">
        <v>35.955607802916298</v>
      </c>
      <c r="AL5673">
        <v>79.201616455011703</v>
      </c>
      <c r="AM5673">
        <v>89.526609701305702</v>
      </c>
      <c r="AN5673">
        <v>0.99999999055657895</v>
      </c>
    </row>
    <row r="5674" spans="1:40" x14ac:dyDescent="0.25">
      <c r="A5674" t="str">
        <f>"20190303171125765"</f>
        <v>20190303171125765</v>
      </c>
      <c r="B5674" t="str">
        <f>"1551604285756323"</f>
        <v>1551604285756323</v>
      </c>
      <c r="C5674" t="s">
        <v>40</v>
      </c>
      <c r="D5674">
        <v>5.043622</v>
      </c>
      <c r="E5674">
        <v>0.42804419999999999</v>
      </c>
      <c r="F5674" t="s">
        <v>68</v>
      </c>
      <c r="G5674">
        <v>-181.6035</v>
      </c>
      <c r="H5674" s="1">
        <v>-1.3160600000000001E-5</v>
      </c>
      <c r="I5674">
        <v>-55.647480000000002</v>
      </c>
      <c r="J5674">
        <v>-228.5127</v>
      </c>
      <c r="K5674">
        <v>1.120042</v>
      </c>
      <c r="L5674">
        <v>-63.545839999999998</v>
      </c>
      <c r="M5674">
        <v>0.99995909999999999</v>
      </c>
      <c r="N5674">
        <v>-8.3921269999999992E-3</v>
      </c>
      <c r="O5674">
        <v>3.4277600000000002E-3</v>
      </c>
      <c r="P5674">
        <v>0.98386839999999998</v>
      </c>
      <c r="Q5674">
        <v>0.17881929999999999</v>
      </c>
      <c r="R5674">
        <v>-5.1894510000000003E-3</v>
      </c>
      <c r="S5674">
        <v>3.064972</v>
      </c>
      <c r="T5674">
        <v>-7.2886590000000001E-2</v>
      </c>
      <c r="U5674">
        <v>0.51400760000000001</v>
      </c>
      <c r="V5674">
        <v>8.6954419999999994E-3</v>
      </c>
      <c r="W5674">
        <v>0.1870637</v>
      </c>
      <c r="X5674">
        <v>0.98230930000000005</v>
      </c>
      <c r="Y5674">
        <v>-0.16195229999999999</v>
      </c>
      <c r="Z5674">
        <v>2.5440850000000002E-3</v>
      </c>
      <c r="AA5674">
        <v>0.98679530000000004</v>
      </c>
      <c r="AB5674">
        <v>39</v>
      </c>
      <c r="AC5674">
        <v>46.909199999999998</v>
      </c>
      <c r="AD5674">
        <v>-1.1200551606</v>
      </c>
      <c r="AE5674">
        <v>7.8983600000000003</v>
      </c>
      <c r="AF5674">
        <v>-7.7332271981791596</v>
      </c>
      <c r="AG5674">
        <v>-1.1200551606</v>
      </c>
      <c r="AH5674">
        <v>46.909992222130001</v>
      </c>
      <c r="AI5674">
        <v>91.349565147728896</v>
      </c>
      <c r="AJ5674">
        <v>99.361155029627895</v>
      </c>
      <c r="AK5674">
        <v>47.556331825969799</v>
      </c>
      <c r="AL5674">
        <v>79.218525549787898</v>
      </c>
      <c r="AM5674">
        <v>89.492828668994605</v>
      </c>
      <c r="AN5674">
        <v>0.99999999971787701</v>
      </c>
    </row>
    <row r="5675" spans="1:40" x14ac:dyDescent="0.25">
      <c r="A5675" t="str">
        <f>"20190303171125774"</f>
        <v>20190303171125774</v>
      </c>
      <c r="B5675" t="str">
        <f>"1551604285766084"</f>
        <v>1551604285766084</v>
      </c>
      <c r="C5675" t="s">
        <v>40</v>
      </c>
      <c r="D5675">
        <v>5.003031</v>
      </c>
      <c r="E5675">
        <v>0.42193619999999998</v>
      </c>
      <c r="F5675" t="s">
        <v>41</v>
      </c>
      <c r="G5675">
        <v>-165.22450000000001</v>
      </c>
      <c r="H5675">
        <v>-0.05</v>
      </c>
      <c r="I5675">
        <v>-51.704439999999998</v>
      </c>
      <c r="J5675">
        <v>-228.33070000000001</v>
      </c>
      <c r="K5675">
        <v>1.1200300000000001</v>
      </c>
      <c r="L5675">
        <v>-63.545319999999997</v>
      </c>
      <c r="M5675">
        <v>0.99995889999999998</v>
      </c>
      <c r="N5675">
        <v>-8.4705590000000008E-3</v>
      </c>
      <c r="O5675">
        <v>3.2258790000000001E-3</v>
      </c>
      <c r="P5675">
        <v>0.98397100000000004</v>
      </c>
      <c r="Q5675">
        <v>0.1782396</v>
      </c>
      <c r="R5675">
        <v>-5.6353879999999999E-3</v>
      </c>
      <c r="S5675">
        <v>3.0624690000000001</v>
      </c>
      <c r="T5675">
        <v>-5.6617500000000001E-2</v>
      </c>
      <c r="U5675">
        <v>0.57299800000000001</v>
      </c>
      <c r="V5675">
        <v>8.9524549999999998E-3</v>
      </c>
      <c r="W5675">
        <v>0.18656149999999999</v>
      </c>
      <c r="X5675">
        <v>0.98240249999999996</v>
      </c>
      <c r="Y5675">
        <v>-0.1806961</v>
      </c>
      <c r="Z5675">
        <v>2.3957710000000001E-3</v>
      </c>
      <c r="AA5675">
        <v>0.98353610000000002</v>
      </c>
      <c r="AB5675">
        <v>39</v>
      </c>
      <c r="AC5675">
        <v>63.106200000000001</v>
      </c>
      <c r="AD5675">
        <v>-1.1700299999999999</v>
      </c>
      <c r="AE5675">
        <v>11.840879999999901</v>
      </c>
      <c r="AF5675">
        <v>-11.6333750773916</v>
      </c>
      <c r="AG5675">
        <v>-1.1700299999999999</v>
      </c>
      <c r="AH5675">
        <v>63.123109276068</v>
      </c>
      <c r="AI5675">
        <v>91.044311789748605</v>
      </c>
      <c r="AJ5675">
        <v>100.442245656827</v>
      </c>
      <c r="AK5675">
        <v>64.196816981612102</v>
      </c>
      <c r="AL5675">
        <v>79.247815183730097</v>
      </c>
      <c r="AM5675">
        <v>89.4778884522607</v>
      </c>
      <c r="AN5675">
        <v>1.00000000586951</v>
      </c>
    </row>
    <row r="5676" spans="1:40" x14ac:dyDescent="0.25">
      <c r="A5676" t="str">
        <f>"20190303171125786"</f>
        <v>20190303171125786</v>
      </c>
      <c r="B5676" t="str">
        <f>"1551604285775844"</f>
        <v>1551604285775844</v>
      </c>
      <c r="C5676" t="s">
        <v>40</v>
      </c>
      <c r="D5676">
        <v>5.0046290000000004</v>
      </c>
      <c r="E5676">
        <v>0.41744209999999898</v>
      </c>
      <c r="F5676" t="s">
        <v>49</v>
      </c>
      <c r="G5676">
        <v>-157.3501</v>
      </c>
      <c r="H5676">
        <v>6.8272109999999997E-2</v>
      </c>
      <c r="I5676">
        <v>-49.164679999999997</v>
      </c>
      <c r="J5676">
        <v>-228.1371</v>
      </c>
      <c r="K5676">
        <v>1.12002</v>
      </c>
      <c r="L5676">
        <v>-63.544829999999997</v>
      </c>
      <c r="M5676">
        <v>0.99995900000000004</v>
      </c>
      <c r="N5676">
        <v>-8.5559609999999904E-3</v>
      </c>
      <c r="O5676">
        <v>3.010988E-3</v>
      </c>
      <c r="P5676">
        <v>0.98407049999999996</v>
      </c>
      <c r="Q5676">
        <v>0.177677</v>
      </c>
      <c r="R5676">
        <v>-6.0285269999999997E-3</v>
      </c>
      <c r="S5676">
        <v>3.060654</v>
      </c>
      <c r="T5676">
        <v>-4.5352219999999999E-2</v>
      </c>
      <c r="U5676">
        <v>0.62008669999999899</v>
      </c>
      <c r="V5676">
        <v>9.1427190000000005E-3</v>
      </c>
      <c r="W5676">
        <v>0.1860822</v>
      </c>
      <c r="X5676">
        <v>0.98249160000000002</v>
      </c>
      <c r="Y5676">
        <v>-0.19558020000000001</v>
      </c>
      <c r="Z5676">
        <v>2.2609190000000001E-3</v>
      </c>
      <c r="AA5676">
        <v>0.98068509999999998</v>
      </c>
      <c r="AB5676">
        <v>39</v>
      </c>
      <c r="AC5676">
        <v>70.786999999999907</v>
      </c>
      <c r="AD5676">
        <v>-1.0517478899999999</v>
      </c>
      <c r="AE5676">
        <v>14.38015</v>
      </c>
      <c r="AF5676">
        <v>-14.1639353528778</v>
      </c>
      <c r="AG5676">
        <v>-1.0517478899999999</v>
      </c>
      <c r="AH5676">
        <v>70.814965751950695</v>
      </c>
      <c r="AI5676">
        <v>90.834373975686304</v>
      </c>
      <c r="AJ5676">
        <v>101.310665479766</v>
      </c>
      <c r="AK5676">
        <v>72.225221444828904</v>
      </c>
      <c r="AL5676">
        <v>79.275766007686997</v>
      </c>
      <c r="AM5676">
        <v>89.466841149448399</v>
      </c>
      <c r="AN5676">
        <v>0.99999995926905505</v>
      </c>
    </row>
    <row r="5677" spans="1:40" x14ac:dyDescent="0.25">
      <c r="A5677" t="str">
        <f>"20190303171125798"</f>
        <v>20190303171125798</v>
      </c>
      <c r="B5677" t="str">
        <f>"1551604285786581"</f>
        <v>1551604285786581</v>
      </c>
      <c r="C5677" t="s">
        <v>40</v>
      </c>
      <c r="D5677">
        <v>4.9907170000000001</v>
      </c>
      <c r="E5677">
        <v>0.41434399999999899</v>
      </c>
      <c r="F5677" t="s">
        <v>49</v>
      </c>
      <c r="G5677">
        <v>-157.3501</v>
      </c>
      <c r="H5677">
        <v>0.28980590000000001</v>
      </c>
      <c r="I5677">
        <v>-48.403489999999998</v>
      </c>
      <c r="J5677">
        <v>-227.94149999999999</v>
      </c>
      <c r="K5677">
        <v>1.12001</v>
      </c>
      <c r="L5677">
        <v>-63.544370000000001</v>
      </c>
      <c r="M5677">
        <v>0.99995889999999998</v>
      </c>
      <c r="N5677">
        <v>-8.6423779999999992E-3</v>
      </c>
      <c r="O5677">
        <v>2.7938849999999999E-3</v>
      </c>
      <c r="P5677">
        <v>0.98422189999999998</v>
      </c>
      <c r="Q5677">
        <v>0.17683189999999999</v>
      </c>
      <c r="R5677">
        <v>-6.1583030000000004E-3</v>
      </c>
      <c r="S5677">
        <v>3.0590359999999999</v>
      </c>
      <c r="T5677">
        <v>-3.5878300000000002E-2</v>
      </c>
      <c r="U5677">
        <v>0.6543274</v>
      </c>
      <c r="V5677">
        <v>9.0670920000000006E-3</v>
      </c>
      <c r="W5677">
        <v>0.1853236</v>
      </c>
      <c r="X5677">
        <v>0.9826357</v>
      </c>
      <c r="Y5677">
        <v>-0.20641129999999999</v>
      </c>
      <c r="Z5677">
        <v>2.090349E-3</v>
      </c>
      <c r="AA5677">
        <v>0.97846310000000003</v>
      </c>
      <c r="AB5677">
        <v>39</v>
      </c>
      <c r="AC5677">
        <v>70.591399999999993</v>
      </c>
      <c r="AD5677">
        <v>-0.830204099999999</v>
      </c>
      <c r="AE5677">
        <v>15.1408799999999</v>
      </c>
      <c r="AF5677">
        <v>-14.941613570440101</v>
      </c>
      <c r="AG5677">
        <v>-0.830204099999999</v>
      </c>
      <c r="AH5677">
        <v>70.624089238151399</v>
      </c>
      <c r="AI5677">
        <v>90.658911744311197</v>
      </c>
      <c r="AJ5677">
        <v>101.945654438972</v>
      </c>
      <c r="AK5677">
        <v>72.192125856317503</v>
      </c>
      <c r="AL5677">
        <v>79.320000263827694</v>
      </c>
      <c r="AM5677">
        <v>89.471328631110396</v>
      </c>
      <c r="AN5677">
        <v>0.99999998389439304</v>
      </c>
    </row>
    <row r="5678" spans="1:40" x14ac:dyDescent="0.25">
      <c r="A5678" t="str">
        <f>"20190303171125809"</f>
        <v>20190303171125809</v>
      </c>
      <c r="B5678" t="str">
        <f>"1551604285796340"</f>
        <v>1551604285796340</v>
      </c>
      <c r="C5678" t="s">
        <v>40</v>
      </c>
      <c r="D5678">
        <v>5.0033969999999997</v>
      </c>
      <c r="E5678">
        <v>0.41186329999999999</v>
      </c>
      <c r="F5678" t="s">
        <v>49</v>
      </c>
      <c r="G5678">
        <v>-157.3501</v>
      </c>
      <c r="H5678">
        <v>0.42310330000000002</v>
      </c>
      <c r="I5678">
        <v>-47.891190000000002</v>
      </c>
      <c r="J5678">
        <v>-227.73779999999999</v>
      </c>
      <c r="K5678">
        <v>1.120009</v>
      </c>
      <c r="L5678">
        <v>-63.543950000000002</v>
      </c>
      <c r="M5678">
        <v>0.99995860000000003</v>
      </c>
      <c r="N5678">
        <v>-8.7319919999999992E-3</v>
      </c>
      <c r="O5678">
        <v>2.568678E-3</v>
      </c>
      <c r="P5678">
        <v>0.98437090000000005</v>
      </c>
      <c r="Q5678">
        <v>0.17600350000000001</v>
      </c>
      <c r="R5678">
        <v>-6.0784749999999999E-3</v>
      </c>
      <c r="S5678">
        <v>3.0577700000000001</v>
      </c>
      <c r="T5678">
        <v>-3.018844E-2</v>
      </c>
      <c r="U5678">
        <v>0.67803959999999996</v>
      </c>
      <c r="V5678">
        <v>8.7725619999999994E-3</v>
      </c>
      <c r="W5678">
        <v>0.18458459999999999</v>
      </c>
      <c r="X5678">
        <v>0.98277749999999997</v>
      </c>
      <c r="Y5678">
        <v>-0.21395710000000001</v>
      </c>
      <c r="Z5678">
        <v>1.9859830000000002E-3</v>
      </c>
      <c r="AA5678">
        <v>0.97684099999999996</v>
      </c>
      <c r="AB5678">
        <v>39</v>
      </c>
      <c r="AC5678">
        <v>70.387699999999995</v>
      </c>
      <c r="AD5678">
        <v>-0.69690569999999996</v>
      </c>
      <c r="AE5678">
        <v>15.652760000000001</v>
      </c>
      <c r="AF5678">
        <v>-15.470453041771499</v>
      </c>
      <c r="AG5678">
        <v>-0.69690569999999996</v>
      </c>
      <c r="AH5678">
        <v>70.421098191980093</v>
      </c>
      <c r="AI5678">
        <v>90.553790525300698</v>
      </c>
      <c r="AJ5678">
        <v>102.390197833125</v>
      </c>
      <c r="AK5678">
        <v>72.103756250537003</v>
      </c>
      <c r="AL5678">
        <v>79.363085609612597</v>
      </c>
      <c r="AM5678">
        <v>89.488574546026996</v>
      </c>
      <c r="AN5678">
        <v>1.0000000234537201</v>
      </c>
    </row>
    <row r="5679" spans="1:40" x14ac:dyDescent="0.25">
      <c r="A5679" t="str">
        <f>"20190303171125821"</f>
        <v>20190303171125821</v>
      </c>
      <c r="B5679" t="str">
        <f>"1551604285815859"</f>
        <v>1551604285815859</v>
      </c>
      <c r="C5679" t="s">
        <v>40</v>
      </c>
      <c r="D5679">
        <v>4.982958</v>
      </c>
      <c r="E5679">
        <v>0.40808830000000001</v>
      </c>
      <c r="F5679" t="s">
        <v>49</v>
      </c>
      <c r="G5679">
        <v>-157.3501</v>
      </c>
      <c r="H5679">
        <v>0.47801450000000001</v>
      </c>
      <c r="I5679">
        <v>-47.481850000000001</v>
      </c>
      <c r="J5679">
        <v>-227.53270000000001</v>
      </c>
      <c r="K5679">
        <v>1.1200000000000001</v>
      </c>
      <c r="L5679">
        <v>-63.543579999999999</v>
      </c>
      <c r="M5679">
        <v>0.99995849999999997</v>
      </c>
      <c r="N5679">
        <v>-8.8202430000000002E-3</v>
      </c>
      <c r="O5679">
        <v>2.3419339999999999E-3</v>
      </c>
      <c r="P5679">
        <v>0.98443400000000003</v>
      </c>
      <c r="Q5679">
        <v>0.1756453</v>
      </c>
      <c r="R5679">
        <v>-6.2234880000000001E-3</v>
      </c>
      <c r="S5679">
        <v>3.056915</v>
      </c>
      <c r="T5679">
        <v>-2.7882460000000001E-2</v>
      </c>
      <c r="U5679">
        <v>0.69757080000000005</v>
      </c>
      <c r="V5679">
        <v>8.7012809999999999E-3</v>
      </c>
      <c r="W5679">
        <v>0.18431330000000001</v>
      </c>
      <c r="X5679">
        <v>0.98282899999999995</v>
      </c>
      <c r="Y5679">
        <v>-0.22017400000000001</v>
      </c>
      <c r="Z5679">
        <v>1.9740349999999999E-3</v>
      </c>
      <c r="AA5679">
        <v>0.97545859999999995</v>
      </c>
      <c r="AB5679">
        <v>39</v>
      </c>
      <c r="AC5679">
        <v>70.182599999999994</v>
      </c>
      <c r="AD5679">
        <v>-0.64198549999999999</v>
      </c>
      <c r="AE5679">
        <v>16.061730000000001</v>
      </c>
      <c r="AF5679">
        <v>-15.896052669560801</v>
      </c>
      <c r="AG5679">
        <v>-0.64198549999999999</v>
      </c>
      <c r="AH5679">
        <v>70.214441751063205</v>
      </c>
      <c r="AI5679">
        <v>90.510923775168905</v>
      </c>
      <c r="AJ5679">
        <v>102.756323749587</v>
      </c>
      <c r="AK5679">
        <v>71.994197448607693</v>
      </c>
      <c r="AL5679">
        <v>79.378900787820896</v>
      </c>
      <c r="AM5679">
        <v>89.492756468570803</v>
      </c>
      <c r="AN5679">
        <v>0.99999997404446495</v>
      </c>
    </row>
    <row r="5680" spans="1:40" x14ac:dyDescent="0.25">
      <c r="A5680" t="str">
        <f>"20190303171125833"</f>
        <v>20190303171125833</v>
      </c>
      <c r="B5680" t="str">
        <f>"1551604285826595"</f>
        <v>1551604285826595</v>
      </c>
      <c r="C5680" t="s">
        <v>40</v>
      </c>
      <c r="D5680">
        <v>4.9552269999999998</v>
      </c>
      <c r="E5680">
        <v>0.40651589999999999</v>
      </c>
      <c r="F5680" t="s">
        <v>49</v>
      </c>
      <c r="G5680">
        <v>-157.3501</v>
      </c>
      <c r="H5680">
        <v>0.65455010000000002</v>
      </c>
      <c r="I5680">
        <v>-46.852969999999999</v>
      </c>
      <c r="J5680">
        <v>-227.32830000000001</v>
      </c>
      <c r="K5680">
        <v>1.1199920000000001</v>
      </c>
      <c r="L5680">
        <v>-63.543239999999997</v>
      </c>
      <c r="M5680">
        <v>0.99995820000000002</v>
      </c>
      <c r="N5680">
        <v>-8.9051689999999992E-3</v>
      </c>
      <c r="O5680">
        <v>2.1168900000000002E-3</v>
      </c>
      <c r="P5680">
        <v>0.98446440000000002</v>
      </c>
      <c r="Q5680">
        <v>0.17547750000000001</v>
      </c>
      <c r="R5680">
        <v>-6.1273400000000002E-3</v>
      </c>
      <c r="S5680">
        <v>3.0556489999999998</v>
      </c>
      <c r="T5680">
        <v>-2.026582E-2</v>
      </c>
      <c r="U5680">
        <v>0.72668459999999901</v>
      </c>
      <c r="V5680">
        <v>8.3895900000000006E-3</v>
      </c>
      <c r="W5680">
        <v>0.18422939999999999</v>
      </c>
      <c r="X5680">
        <v>0.98284749999999999</v>
      </c>
      <c r="Y5680">
        <v>-0.22929250000000001</v>
      </c>
      <c r="Z5680">
        <v>1.7896769999999999E-3</v>
      </c>
      <c r="AA5680">
        <v>0.97335590000000005</v>
      </c>
      <c r="AB5680">
        <v>39</v>
      </c>
      <c r="AC5680">
        <v>69.978200000000001</v>
      </c>
      <c r="AD5680">
        <v>-0.46544190000000002</v>
      </c>
      <c r="AE5680">
        <v>16.690270000000002</v>
      </c>
      <c r="AF5680">
        <v>-16.541398200099898</v>
      </c>
      <c r="AG5680">
        <v>-0.46544190000000002</v>
      </c>
      <c r="AH5680">
        <v>70.010445566189404</v>
      </c>
      <c r="AI5680">
        <v>90.370700780930804</v>
      </c>
      <c r="AJ5680">
        <v>103.293512554091</v>
      </c>
      <c r="AK5680">
        <v>71.939536966489499</v>
      </c>
      <c r="AL5680">
        <v>79.383792287397398</v>
      </c>
      <c r="AM5680">
        <v>89.510934886128894</v>
      </c>
      <c r="AN5680">
        <v>1.0000000326504801</v>
      </c>
    </row>
    <row r="5681" spans="1:40" x14ac:dyDescent="0.25">
      <c r="A5681" t="str">
        <f>"20190303171125845"</f>
        <v>20190303171125845</v>
      </c>
      <c r="B5681" t="str">
        <f>"1551604285836356"</f>
        <v>1551604285836356</v>
      </c>
      <c r="C5681" t="s">
        <v>40</v>
      </c>
      <c r="D5681">
        <v>4.98644</v>
      </c>
      <c r="E5681">
        <v>0.40543950000000001</v>
      </c>
      <c r="F5681" t="s">
        <v>49</v>
      </c>
      <c r="G5681">
        <v>-157.3501</v>
      </c>
      <c r="H5681">
        <v>0.72051100000000001</v>
      </c>
      <c r="I5681">
        <v>-46.611989999999999</v>
      </c>
      <c r="J5681">
        <v>-227.1302</v>
      </c>
      <c r="K5681">
        <v>1.11999</v>
      </c>
      <c r="L5681">
        <v>-63.542999999999999</v>
      </c>
      <c r="M5681">
        <v>0.99995789999999996</v>
      </c>
      <c r="N5681">
        <v>-8.9848099999999993E-3</v>
      </c>
      <c r="O5681">
        <v>1.8989269999999999E-3</v>
      </c>
      <c r="P5681">
        <v>0.9844193</v>
      </c>
      <c r="Q5681">
        <v>0.1757242</v>
      </c>
      <c r="R5681">
        <v>-6.2941369999999896E-3</v>
      </c>
      <c r="S5681">
        <v>3.0550380000000001</v>
      </c>
      <c r="T5681">
        <v>-1.744103E-2</v>
      </c>
      <c r="U5681">
        <v>0.73916630000000005</v>
      </c>
      <c r="V5681">
        <v>8.3470349999999992E-3</v>
      </c>
      <c r="W5681">
        <v>0.18455369999999999</v>
      </c>
      <c r="X5681">
        <v>0.98278699999999997</v>
      </c>
      <c r="Y5681">
        <v>-0.23330880000000001</v>
      </c>
      <c r="Z5681">
        <v>1.7256979999999999E-3</v>
      </c>
      <c r="AA5681">
        <v>0.97240110000000002</v>
      </c>
      <c r="AB5681">
        <v>39</v>
      </c>
      <c r="AC5681">
        <v>69.780100000000004</v>
      </c>
      <c r="AD5681">
        <v>-0.39947899999999997</v>
      </c>
      <c r="AE5681">
        <v>16.931009999999901</v>
      </c>
      <c r="AF5681">
        <v>-16.797946894185401</v>
      </c>
      <c r="AG5681">
        <v>-0.39947899999999997</v>
      </c>
      <c r="AH5681">
        <v>69.809965503821601</v>
      </c>
      <c r="AI5681">
        <v>90.318766299652495</v>
      </c>
      <c r="AJ5681">
        <v>103.529529022153</v>
      </c>
      <c r="AK5681">
        <v>71.803634218443804</v>
      </c>
      <c r="AL5681">
        <v>79.364886899077803</v>
      </c>
      <c r="AM5681">
        <v>89.513385527141395</v>
      </c>
      <c r="AN5681">
        <v>1.0000000142729899</v>
      </c>
    </row>
    <row r="5682" spans="1:40" x14ac:dyDescent="0.25">
      <c r="A5682" t="str">
        <f>"20190303171125857"</f>
        <v>20190303171125857</v>
      </c>
      <c r="B5682" t="str">
        <f>"1551604285846116"</f>
        <v>1551604285846116</v>
      </c>
      <c r="C5682" t="s">
        <v>40</v>
      </c>
      <c r="D5682">
        <v>4.9727540000000001</v>
      </c>
      <c r="E5682">
        <v>0.40428579999999997</v>
      </c>
      <c r="F5682" t="s">
        <v>49</v>
      </c>
      <c r="G5682">
        <v>-157.3501</v>
      </c>
      <c r="H5682">
        <v>0.77665660000000003</v>
      </c>
      <c r="I5682">
        <v>-46.475149999999999</v>
      </c>
      <c r="J5682">
        <v>-226.91470000000001</v>
      </c>
      <c r="K5682">
        <v>1.1199889999999999</v>
      </c>
      <c r="L5682">
        <v>-63.542760000000001</v>
      </c>
      <c r="M5682">
        <v>0.9999574</v>
      </c>
      <c r="N5682">
        <v>-9.0700880000000005E-3</v>
      </c>
      <c r="O5682">
        <v>1.6620350000000001E-3</v>
      </c>
      <c r="P5682">
        <v>0.98431619999999997</v>
      </c>
      <c r="Q5682">
        <v>0.17629359999999999</v>
      </c>
      <c r="R5682">
        <v>-6.5119150000000001E-3</v>
      </c>
      <c r="S5682">
        <v>3.0549469999999999</v>
      </c>
      <c r="T5682">
        <v>-1.503181E-2</v>
      </c>
      <c r="U5682">
        <v>0.74722290000000002</v>
      </c>
      <c r="V5682">
        <v>8.3369769999999902E-3</v>
      </c>
      <c r="W5682">
        <v>0.1852055</v>
      </c>
      <c r="X5682">
        <v>0.98266450000000005</v>
      </c>
      <c r="Y5682">
        <v>-0.2359677</v>
      </c>
      <c r="Z5682">
        <v>1.6646089999999901E-3</v>
      </c>
      <c r="AA5682">
        <v>0.9717595</v>
      </c>
      <c r="AB5682">
        <v>39</v>
      </c>
      <c r="AC5682">
        <v>69.564599999999999</v>
      </c>
      <c r="AD5682">
        <v>-0.34333239999999898</v>
      </c>
      <c r="AE5682">
        <v>17.067609999999899</v>
      </c>
      <c r="AF5682">
        <v>-16.951573386292001</v>
      </c>
      <c r="AG5682">
        <v>-0.34333239999999898</v>
      </c>
      <c r="AH5682">
        <v>69.591273144354204</v>
      </c>
      <c r="AI5682">
        <v>90.2746392893078</v>
      </c>
      <c r="AJ5682">
        <v>103.689935372523</v>
      </c>
      <c r="AK5682">
        <v>71.626943361139297</v>
      </c>
      <c r="AL5682">
        <v>79.3268868228716</v>
      </c>
      <c r="AM5682">
        <v>89.513911273229894</v>
      </c>
      <c r="AN5682">
        <v>1.0000000509879901</v>
      </c>
    </row>
    <row r="5683" spans="1:40" x14ac:dyDescent="0.25">
      <c r="A5683" t="str">
        <f>"20190303171125867"</f>
        <v>20190303171125867</v>
      </c>
      <c r="B5683" t="str">
        <f>"1551604285856852"</f>
        <v>1551604285856852</v>
      </c>
      <c r="C5683" t="s">
        <v>40</v>
      </c>
      <c r="D5683">
        <v>4.9735379999999996</v>
      </c>
      <c r="E5683">
        <v>0.40350170000000002</v>
      </c>
      <c r="F5683" t="s">
        <v>49</v>
      </c>
      <c r="G5683">
        <v>-157.3501</v>
      </c>
      <c r="H5683">
        <v>0.89108129999999997</v>
      </c>
      <c r="I5683">
        <v>-46.318649999999998</v>
      </c>
      <c r="J5683">
        <v>-226.71080000000001</v>
      </c>
      <c r="K5683">
        <v>1.119993</v>
      </c>
      <c r="L5683">
        <v>-63.5426</v>
      </c>
      <c r="M5683">
        <v>0.99995730000000005</v>
      </c>
      <c r="N5683">
        <v>-9.1482830000000001E-3</v>
      </c>
      <c r="O5683">
        <v>1.4380249999999999E-3</v>
      </c>
      <c r="P5683">
        <v>0.98428530000000003</v>
      </c>
      <c r="Q5683">
        <v>0.17646819999999999</v>
      </c>
      <c r="R5683">
        <v>-6.4663319999999896E-3</v>
      </c>
      <c r="S5683">
        <v>3.054611</v>
      </c>
      <c r="T5683">
        <v>-1.0052200000000001E-2</v>
      </c>
      <c r="U5683">
        <v>0.75631709999999996</v>
      </c>
      <c r="V5683">
        <v>8.074711E-3</v>
      </c>
      <c r="W5683">
        <v>0.18545719999999999</v>
      </c>
      <c r="X5683">
        <v>0.98261920000000003</v>
      </c>
      <c r="Y5683">
        <v>-0.23894000000000001</v>
      </c>
      <c r="Z5683">
        <v>1.504841E-3</v>
      </c>
      <c r="AA5683">
        <v>0.97103320000000004</v>
      </c>
      <c r="AB5683">
        <v>39</v>
      </c>
      <c r="AC5683">
        <v>69.360699999999994</v>
      </c>
      <c r="AD5683">
        <v>-0.2289117</v>
      </c>
      <c r="AE5683">
        <v>17.223949999999999</v>
      </c>
      <c r="AF5683">
        <v>-17.124009931105601</v>
      </c>
      <c r="AG5683">
        <v>-0.2289117</v>
      </c>
      <c r="AH5683">
        <v>69.384685936104603</v>
      </c>
      <c r="AI5683">
        <v>90.183521259223994</v>
      </c>
      <c r="AJ5683">
        <v>103.863450936755</v>
      </c>
      <c r="AK5683">
        <v>71.4669067410845</v>
      </c>
      <c r="AL5683">
        <v>79.312211043867507</v>
      </c>
      <c r="AM5683">
        <v>89.5291803298296</v>
      </c>
      <c r="AN5683">
        <v>1.0000000330990999</v>
      </c>
    </row>
    <row r="5684" spans="1:40" x14ac:dyDescent="0.25">
      <c r="A5684" t="str">
        <f>"20190303171125877"</f>
        <v>20190303171125877</v>
      </c>
      <c r="B5684" t="str">
        <f>"1551604285866611"</f>
        <v>1551604285866611</v>
      </c>
      <c r="C5684" t="s">
        <v>40</v>
      </c>
      <c r="D5684">
        <v>4.9680849999999896</v>
      </c>
      <c r="E5684">
        <v>0.40281070000000002</v>
      </c>
      <c r="F5684" t="s">
        <v>49</v>
      </c>
      <c r="G5684">
        <v>-157.3501</v>
      </c>
      <c r="H5684">
        <v>0.93958430000000004</v>
      </c>
      <c r="I5684">
        <v>-46.212989999999998</v>
      </c>
      <c r="J5684">
        <v>-226.554</v>
      </c>
      <c r="K5684">
        <v>1.11999</v>
      </c>
      <c r="L5684">
        <v>-63.54251</v>
      </c>
      <c r="M5684">
        <v>0.99995690000000004</v>
      </c>
      <c r="N5684">
        <v>-9.2082710000000005E-3</v>
      </c>
      <c r="O5684">
        <v>1.2658039999999999E-3</v>
      </c>
      <c r="P5684">
        <v>0.98425390000000001</v>
      </c>
      <c r="Q5684">
        <v>0.17664179999999999</v>
      </c>
      <c r="R5684">
        <v>-6.4885469999999999E-3</v>
      </c>
      <c r="S5684">
        <v>3.0543520000000002</v>
      </c>
      <c r="T5684">
        <v>-7.9452989999999994E-3</v>
      </c>
      <c r="U5684">
        <v>0.76312259999999998</v>
      </c>
      <c r="V5684">
        <v>7.9305720000000003E-3</v>
      </c>
      <c r="W5684">
        <v>0.18568960000000001</v>
      </c>
      <c r="X5684">
        <v>0.98257640000000002</v>
      </c>
      <c r="Y5684">
        <v>-0.2411645</v>
      </c>
      <c r="Z5684">
        <v>1.4443539999999999E-3</v>
      </c>
      <c r="AA5684">
        <v>0.97048319999999999</v>
      </c>
      <c r="AB5684">
        <v>39</v>
      </c>
      <c r="AC5684">
        <v>69.203900000000004</v>
      </c>
      <c r="AD5684">
        <v>-0.1804057</v>
      </c>
      <c r="AE5684">
        <v>17.329519999999899</v>
      </c>
      <c r="AF5684">
        <v>-17.2417935791192</v>
      </c>
      <c r="AG5684">
        <v>-0.1804057</v>
      </c>
      <c r="AH5684">
        <v>69.225338576323495</v>
      </c>
      <c r="AI5684">
        <v>90.144889702052694</v>
      </c>
      <c r="AJ5684">
        <v>103.985955984371</v>
      </c>
      <c r="AK5684">
        <v>71.340447805211994</v>
      </c>
      <c r="AL5684">
        <v>79.298659249687006</v>
      </c>
      <c r="AM5684">
        <v>89.537564266579594</v>
      </c>
      <c r="AN5684">
        <v>0.99999995167868205</v>
      </c>
    </row>
    <row r="5685" spans="1:40" x14ac:dyDescent="0.25">
      <c r="A5685" t="str">
        <f>"20190303171125887"</f>
        <v>20190303171125887</v>
      </c>
      <c r="B5685" t="str">
        <f>"1551604285876372"</f>
        <v>1551604285876372</v>
      </c>
      <c r="C5685" t="s">
        <v>40</v>
      </c>
      <c r="D5685">
        <v>4.9862799999999998</v>
      </c>
      <c r="E5685">
        <v>0.40209030000000001</v>
      </c>
      <c r="F5685" t="s">
        <v>49</v>
      </c>
      <c r="G5685">
        <v>-157.3501</v>
      </c>
      <c r="H5685">
        <v>0.98696139999999999</v>
      </c>
      <c r="I5685">
        <v>-46.123019999999997</v>
      </c>
      <c r="J5685">
        <v>-226.3768</v>
      </c>
      <c r="K5685">
        <v>1.1199939999999999</v>
      </c>
      <c r="L5685">
        <v>-63.542450000000002</v>
      </c>
      <c r="M5685">
        <v>0.99995639999999997</v>
      </c>
      <c r="N5685">
        <v>-9.2743579999999999E-3</v>
      </c>
      <c r="O5685">
        <v>1.0713280000000001E-3</v>
      </c>
      <c r="P5685">
        <v>0.98426599999999997</v>
      </c>
      <c r="Q5685">
        <v>0.17658699999999999</v>
      </c>
      <c r="R5685">
        <v>-6.1338790000000001E-3</v>
      </c>
      <c r="S5685">
        <v>3.0541529999999999</v>
      </c>
      <c r="T5685">
        <v>-5.8717730000000003E-3</v>
      </c>
      <c r="U5685">
        <v>0.76876829999999996</v>
      </c>
      <c r="V5685">
        <v>7.3867840000000004E-3</v>
      </c>
      <c r="W5685">
        <v>0.1856999</v>
      </c>
      <c r="X5685">
        <v>0.98257879999999997</v>
      </c>
      <c r="Y5685">
        <v>-0.24305640000000001</v>
      </c>
      <c r="Z5685">
        <v>1.382248E-3</v>
      </c>
      <c r="AA5685">
        <v>0.97001119999999996</v>
      </c>
      <c r="AB5685">
        <v>39</v>
      </c>
      <c r="AC5685">
        <v>69.026700000000005</v>
      </c>
      <c r="AD5685">
        <v>-0.1330326</v>
      </c>
      <c r="AE5685">
        <v>17.419429999999998</v>
      </c>
      <c r="AF5685">
        <v>-17.345406014788399</v>
      </c>
      <c r="AG5685">
        <v>-0.1330326</v>
      </c>
      <c r="AH5685">
        <v>69.045082007606496</v>
      </c>
      <c r="AI5685">
        <v>90.107067632203098</v>
      </c>
      <c r="AJ5685">
        <v>104.101935938794</v>
      </c>
      <c r="AK5685">
        <v>71.1906184614773</v>
      </c>
      <c r="AL5685">
        <v>79.298059806668306</v>
      </c>
      <c r="AM5685">
        <v>89.569272638039195</v>
      </c>
      <c r="AN5685">
        <v>1.0000000578236501</v>
      </c>
    </row>
    <row r="5686" spans="1:40" x14ac:dyDescent="0.25">
      <c r="A5686" t="str">
        <f>"20190303171125898"</f>
        <v>20190303171125898</v>
      </c>
      <c r="B5686" t="str">
        <f>"1551604285886132"</f>
        <v>1551604285886132</v>
      </c>
      <c r="C5686" t="s">
        <v>40</v>
      </c>
      <c r="D5686">
        <v>4.9503709999999996</v>
      </c>
      <c r="E5686">
        <v>0.40137010000000001</v>
      </c>
      <c r="F5686" t="s">
        <v>49</v>
      </c>
      <c r="G5686">
        <v>-157.3501</v>
      </c>
      <c r="H5686">
        <v>1.000289</v>
      </c>
      <c r="I5686">
        <v>-46.01473</v>
      </c>
      <c r="J5686">
        <v>-226.17740000000001</v>
      </c>
      <c r="K5686">
        <v>1.1199950000000001</v>
      </c>
      <c r="L5686">
        <v>-63.542389999999997</v>
      </c>
      <c r="M5686">
        <v>0.99995599999999996</v>
      </c>
      <c r="N5686">
        <v>-9.3483200000000002E-3</v>
      </c>
      <c r="O5686">
        <v>8.5230579999999998E-4</v>
      </c>
      <c r="P5686">
        <v>0.98424979999999995</v>
      </c>
      <c r="Q5686">
        <v>0.17667579999999999</v>
      </c>
      <c r="R5686">
        <v>-6.1851129999999999E-3</v>
      </c>
      <c r="S5686">
        <v>3.0537260000000002</v>
      </c>
      <c r="T5686">
        <v>-5.2964689999999998E-3</v>
      </c>
      <c r="U5686">
        <v>0.77542109999999997</v>
      </c>
      <c r="V5686">
        <v>7.2252100000000001E-3</v>
      </c>
      <c r="W5686">
        <v>0.18586159999999999</v>
      </c>
      <c r="X5686">
        <v>0.98254940000000002</v>
      </c>
      <c r="Y5686">
        <v>-0.2452869</v>
      </c>
      <c r="Z5686">
        <v>1.3802319999999999E-3</v>
      </c>
      <c r="AA5686">
        <v>0.96944949999999996</v>
      </c>
      <c r="AB5686">
        <v>39</v>
      </c>
      <c r="AC5686">
        <v>68.827299999999994</v>
      </c>
      <c r="AD5686">
        <v>-0.11970600000000001</v>
      </c>
      <c r="AE5686">
        <v>17.527660000000001</v>
      </c>
      <c r="AF5686">
        <v>-17.468939542750402</v>
      </c>
      <c r="AG5686">
        <v>-0.11970600000000001</v>
      </c>
      <c r="AH5686">
        <v>68.842019019538995</v>
      </c>
      <c r="AI5686">
        <v>90.096568152492793</v>
      </c>
      <c r="AJ5686">
        <v>104.238501520398</v>
      </c>
      <c r="AK5686">
        <v>71.023952022970903</v>
      </c>
      <c r="AL5686">
        <v>79.288630640869897</v>
      </c>
      <c r="AM5686">
        <v>89.578681155847406</v>
      </c>
      <c r="AN5686">
        <v>1.0000000307272301</v>
      </c>
    </row>
    <row r="5687" spans="1:40" x14ac:dyDescent="0.25">
      <c r="A5687" t="str">
        <f>"20190303171125909"</f>
        <v>20190303171125909</v>
      </c>
      <c r="B5687" t="str">
        <f>"1551604285895892"</f>
        <v>1551604285895892</v>
      </c>
      <c r="C5687" t="s">
        <v>40</v>
      </c>
      <c r="D5687">
        <v>4.9803790000000001</v>
      </c>
      <c r="E5687">
        <v>0.40077560000000001</v>
      </c>
      <c r="F5687" t="s">
        <v>49</v>
      </c>
      <c r="G5687">
        <v>-157.3501</v>
      </c>
      <c r="H5687">
        <v>1.02721</v>
      </c>
      <c r="I5687">
        <v>-45.94173</v>
      </c>
      <c r="J5687">
        <v>-225.9854</v>
      </c>
      <c r="K5687">
        <v>1.119999</v>
      </c>
      <c r="L5687">
        <v>-63.542389999999997</v>
      </c>
      <c r="M5687">
        <v>0.9999555</v>
      </c>
      <c r="N5687">
        <v>-9.4177540000000004E-3</v>
      </c>
      <c r="O5687">
        <v>6.4107019999999995E-4</v>
      </c>
      <c r="P5687">
        <v>0.98425660000000004</v>
      </c>
      <c r="Q5687">
        <v>0.17664440000000001</v>
      </c>
      <c r="R5687">
        <v>-5.9846179999999997E-3</v>
      </c>
      <c r="S5687">
        <v>3.0536500000000002</v>
      </c>
      <c r="T5687">
        <v>-4.117608E-3</v>
      </c>
      <c r="U5687">
        <v>0.78088380000000002</v>
      </c>
      <c r="V5687">
        <v>6.8188190000000003E-3</v>
      </c>
      <c r="W5687">
        <v>0.18589849999999999</v>
      </c>
      <c r="X5687">
        <v>0.98254529999999995</v>
      </c>
      <c r="Y5687">
        <v>-0.24712609999999999</v>
      </c>
      <c r="Z5687">
        <v>1.3512120000000001E-3</v>
      </c>
      <c r="AA5687">
        <v>0.96898240000000002</v>
      </c>
      <c r="AB5687">
        <v>39</v>
      </c>
      <c r="AC5687">
        <v>68.635300000000001</v>
      </c>
      <c r="AD5687">
        <v>-9.2788999999999996E-2</v>
      </c>
      <c r="AE5687">
        <v>17.600660000000001</v>
      </c>
      <c r="AF5687">
        <v>-17.556624280624401</v>
      </c>
      <c r="AG5687">
        <v>-9.2788999999999996E-2</v>
      </c>
      <c r="AH5687">
        <v>68.646451931923195</v>
      </c>
      <c r="AI5687">
        <v>90.075031278550497</v>
      </c>
      <c r="AJ5687">
        <v>104.346123267097</v>
      </c>
      <c r="AK5687">
        <v>70.856044405339006</v>
      </c>
      <c r="AL5687">
        <v>79.286478676577602</v>
      </c>
      <c r="AM5687">
        <v>89.602376320063797</v>
      </c>
      <c r="AN5687">
        <v>1.0000000075734401</v>
      </c>
    </row>
    <row r="5688" spans="1:40" x14ac:dyDescent="0.25">
      <c r="A5688" t="str">
        <f>"20190303171125922"</f>
        <v>20190303171125922</v>
      </c>
      <c r="B5688" t="str">
        <f>"1551604285916388"</f>
        <v>1551604285916388</v>
      </c>
      <c r="C5688" t="s">
        <v>40</v>
      </c>
      <c r="D5688">
        <v>4.9542390000000003</v>
      </c>
      <c r="E5688">
        <v>0.39965679999999998</v>
      </c>
      <c r="F5688" t="s">
        <v>49</v>
      </c>
      <c r="G5688">
        <v>-157.3501</v>
      </c>
      <c r="H5688">
        <v>1.061145</v>
      </c>
      <c r="I5688">
        <v>-45.86157</v>
      </c>
      <c r="J5688">
        <v>-225.75919999999999</v>
      </c>
      <c r="K5688">
        <v>1.120001</v>
      </c>
      <c r="L5688">
        <v>-63.542450000000002</v>
      </c>
      <c r="M5688">
        <v>0.99995489999999998</v>
      </c>
      <c r="N5688">
        <v>-9.4969789999999991E-3</v>
      </c>
      <c r="O5688">
        <v>3.9198869999999998E-4</v>
      </c>
      <c r="P5688">
        <v>0.98422909999999997</v>
      </c>
      <c r="Q5688">
        <v>0.17677470000000001</v>
      </c>
      <c r="R5688">
        <v>-6.6268610000000004E-3</v>
      </c>
      <c r="S5688">
        <v>3.0532379999999999</v>
      </c>
      <c r="T5688">
        <v>-2.6191470000000001E-3</v>
      </c>
      <c r="U5688">
        <v>0.78652949999999999</v>
      </c>
      <c r="V5688">
        <v>7.2181260000000001E-3</v>
      </c>
      <c r="W5688">
        <v>0.1861061</v>
      </c>
      <c r="X5688">
        <v>0.98250309999999996</v>
      </c>
      <c r="Y5688">
        <v>-0.24908</v>
      </c>
      <c r="Z5688">
        <v>1.3102299999999999E-3</v>
      </c>
      <c r="AA5688">
        <v>0.96848199999999995</v>
      </c>
      <c r="AB5688">
        <v>39</v>
      </c>
      <c r="AC5688">
        <v>68.409099999999995</v>
      </c>
      <c r="AD5688">
        <v>-5.8855999999999999E-2</v>
      </c>
      <c r="AE5688">
        <v>17.680879999999998</v>
      </c>
      <c r="AF5688">
        <v>-17.654049590543099</v>
      </c>
      <c r="AG5688">
        <v>-5.8855999999999999E-2</v>
      </c>
      <c r="AH5688">
        <v>68.415978290080503</v>
      </c>
      <c r="AI5688">
        <v>90.047726334994707</v>
      </c>
      <c r="AJ5688">
        <v>104.468969709858</v>
      </c>
      <c r="AK5688">
        <v>70.657023828936303</v>
      </c>
      <c r="AL5688">
        <v>79.274372318866796</v>
      </c>
      <c r="AM5688">
        <v>89.579074391263703</v>
      </c>
      <c r="AN5688">
        <v>0.99999996165488503</v>
      </c>
    </row>
    <row r="5689" spans="1:40" x14ac:dyDescent="0.25">
      <c r="A5689" t="str">
        <f>"20190303171125932"</f>
        <v>20190303171125932</v>
      </c>
      <c r="B5689" t="str">
        <f>"1551604285926148"</f>
        <v>1551604285926148</v>
      </c>
      <c r="C5689" t="s">
        <v>40</v>
      </c>
      <c r="D5689">
        <v>4.9600730000000004</v>
      </c>
      <c r="E5689">
        <v>0.3991516</v>
      </c>
      <c r="F5689" t="s">
        <v>49</v>
      </c>
      <c r="G5689">
        <v>-157.3501</v>
      </c>
      <c r="H5689">
        <v>1.136395</v>
      </c>
      <c r="I5689">
        <v>-45.755470000000003</v>
      </c>
      <c r="J5689">
        <v>-225.5633</v>
      </c>
      <c r="K5689">
        <v>1.1200030000000001</v>
      </c>
      <c r="L5689">
        <v>-63.542540000000002</v>
      </c>
      <c r="M5689">
        <v>0.99995420000000002</v>
      </c>
      <c r="N5689">
        <v>-9.5630530000000002E-3</v>
      </c>
      <c r="O5689">
        <v>1.76188E-4</v>
      </c>
      <c r="P5689">
        <v>0.98418300000000003</v>
      </c>
      <c r="Q5689">
        <v>0.1770062</v>
      </c>
      <c r="R5689">
        <v>-7.2487609999999899E-3</v>
      </c>
      <c r="S5689">
        <v>3.053299</v>
      </c>
      <c r="T5689">
        <v>7.3087219999999999E-4</v>
      </c>
      <c r="U5689">
        <v>0.79388429999999999</v>
      </c>
      <c r="V5689">
        <v>7.6295619999999899E-3</v>
      </c>
      <c r="W5689">
        <v>0.1864017</v>
      </c>
      <c r="X5689">
        <v>0.98244399999999998</v>
      </c>
      <c r="Y5689">
        <v>-0.25147129999999901</v>
      </c>
      <c r="Z5689">
        <v>1.194201E-3</v>
      </c>
      <c r="AA5689">
        <v>0.96786399999999995</v>
      </c>
      <c r="AB5689">
        <v>39</v>
      </c>
      <c r="AC5689">
        <v>68.213200000000001</v>
      </c>
      <c r="AD5689">
        <v>1.63919999999999E-2</v>
      </c>
      <c r="AE5689">
        <v>17.78707</v>
      </c>
      <c r="AF5689">
        <v>-17.775049865238302</v>
      </c>
      <c r="AG5689">
        <v>1.63919999999999E-2</v>
      </c>
      <c r="AH5689">
        <v>68.216329264465003</v>
      </c>
      <c r="AI5689">
        <v>89.986677009467996</v>
      </c>
      <c r="AJ5689">
        <v>104.60474043990099</v>
      </c>
      <c r="AK5689">
        <v>70.494114965203096</v>
      </c>
      <c r="AL5689">
        <v>79.257134554129394</v>
      </c>
      <c r="AM5689">
        <v>89.555055642294207</v>
      </c>
      <c r="AN5689">
        <v>1.0000000085576</v>
      </c>
    </row>
    <row r="5690" spans="1:40" x14ac:dyDescent="0.25">
      <c r="A5690" t="str">
        <f>"20190303171125943"</f>
        <v>20190303171125943</v>
      </c>
      <c r="B5690" t="str">
        <f>"1551604285935908"</f>
        <v>1551604285935908</v>
      </c>
      <c r="C5690" t="s">
        <v>40</v>
      </c>
      <c r="D5690">
        <v>4.9197449999999998</v>
      </c>
      <c r="E5690">
        <v>0.39857130000000002</v>
      </c>
      <c r="F5690" t="s">
        <v>49</v>
      </c>
      <c r="G5690">
        <v>-157.3501</v>
      </c>
      <c r="H5690">
        <v>1.1950769999999999</v>
      </c>
      <c r="I5690">
        <v>-45.749099999999999</v>
      </c>
      <c r="J5690">
        <v>-225.38820000000001</v>
      </c>
      <c r="K5690">
        <v>1.1200049999999999</v>
      </c>
      <c r="L5690">
        <v>-63.542659999999998</v>
      </c>
      <c r="M5690">
        <v>0.99995369999999995</v>
      </c>
      <c r="N5690">
        <v>-9.6199509999999998E-3</v>
      </c>
      <c r="O5690" s="1">
        <v>-1.6964810000000001E-5</v>
      </c>
      <c r="P5690">
        <v>0.98415710000000001</v>
      </c>
      <c r="Q5690">
        <v>0.17711060000000001</v>
      </c>
      <c r="R5690">
        <v>-8.1544579999999998E-3</v>
      </c>
      <c r="S5690">
        <v>3.0535130000000001</v>
      </c>
      <c r="T5690">
        <v>3.3600330000000001E-3</v>
      </c>
      <c r="U5690">
        <v>0.79650880000000002</v>
      </c>
      <c r="V5690">
        <v>8.3463419999999997E-3</v>
      </c>
      <c r="W5690">
        <v>0.18656059999999999</v>
      </c>
      <c r="X5690">
        <v>0.98240799999999995</v>
      </c>
      <c r="Y5690">
        <v>-0.25242160000000002</v>
      </c>
      <c r="Z5690">
        <v>1.097373E-3</v>
      </c>
      <c r="AA5690">
        <v>0.9676167</v>
      </c>
      <c r="AB5690">
        <v>39</v>
      </c>
      <c r="AC5690">
        <v>68.0381</v>
      </c>
      <c r="AD5690">
        <v>7.5072E-2</v>
      </c>
      <c r="AE5690">
        <v>17.793559999999999</v>
      </c>
      <c r="AF5690">
        <v>-17.7946940270058</v>
      </c>
      <c r="AG5690">
        <v>7.5072E-2</v>
      </c>
      <c r="AH5690">
        <v>68.037720581878204</v>
      </c>
      <c r="AI5690">
        <v>89.938837821731397</v>
      </c>
      <c r="AJ5690">
        <v>104.65691920734101</v>
      </c>
      <c r="AK5690">
        <v>70.3262980207097</v>
      </c>
      <c r="AL5690">
        <v>79.247867593221898</v>
      </c>
      <c r="AM5690">
        <v>89.513238220826395</v>
      </c>
      <c r="AN5690">
        <v>0.99999999868056999</v>
      </c>
    </row>
    <row r="5691" spans="1:40" x14ac:dyDescent="0.25">
      <c r="A5691" t="str">
        <f>"20190303171125953"</f>
        <v>20190303171125953</v>
      </c>
      <c r="B5691" t="str">
        <f>"1551604285946645"</f>
        <v>1551604285946645</v>
      </c>
      <c r="C5691" t="s">
        <v>40</v>
      </c>
      <c r="D5691">
        <v>4.9236500000000003</v>
      </c>
      <c r="E5691">
        <v>0.39807680000000001</v>
      </c>
      <c r="F5691" t="s">
        <v>49</v>
      </c>
      <c r="G5691">
        <v>-157.3501</v>
      </c>
      <c r="H5691">
        <v>1.261998</v>
      </c>
      <c r="I5691">
        <v>-45.74465</v>
      </c>
      <c r="J5691">
        <v>-225.19919999999999</v>
      </c>
      <c r="K5691">
        <v>1.120012</v>
      </c>
      <c r="L5691">
        <v>-63.542850000000001</v>
      </c>
      <c r="M5691">
        <v>0.99995319999999999</v>
      </c>
      <c r="N5691">
        <v>-9.6804089999999992E-3</v>
      </c>
      <c r="O5691">
        <v>-2.2539660000000001E-4</v>
      </c>
      <c r="P5691">
        <v>0.98409519999999995</v>
      </c>
      <c r="Q5691">
        <v>0.17740400000000001</v>
      </c>
      <c r="R5691">
        <v>-9.1838409999999999E-3</v>
      </c>
      <c r="S5691">
        <v>3.0537570000000001</v>
      </c>
      <c r="T5691">
        <v>6.3722129999999998E-3</v>
      </c>
      <c r="U5691">
        <v>0.79882810000000004</v>
      </c>
      <c r="V5691">
        <v>9.172141E-3</v>
      </c>
      <c r="W5691">
        <v>0.18691189999999999</v>
      </c>
      <c r="X5691">
        <v>0.98233380000000003</v>
      </c>
      <c r="Y5691">
        <v>-0.25329309999999999</v>
      </c>
      <c r="Z5691">
        <v>9.8379340000000009E-4</v>
      </c>
      <c r="AA5691">
        <v>0.9673891</v>
      </c>
      <c r="AB5691">
        <v>39</v>
      </c>
      <c r="AC5691">
        <v>67.849099999999893</v>
      </c>
      <c r="AD5691">
        <v>0.141985999999999</v>
      </c>
      <c r="AE5691">
        <v>17.798200000000001</v>
      </c>
      <c r="AF5691">
        <v>-17.813420232095101</v>
      </c>
      <c r="AG5691">
        <v>0.141985999999999</v>
      </c>
      <c r="AH5691">
        <v>67.844808451967694</v>
      </c>
      <c r="AI5691">
        <v>89.884022271712098</v>
      </c>
      <c r="AJ5691">
        <v>104.711588978157</v>
      </c>
      <c r="AK5691">
        <v>70.144537451419595</v>
      </c>
      <c r="AL5691">
        <v>79.227378563147894</v>
      </c>
      <c r="AM5691">
        <v>89.465039585101394</v>
      </c>
      <c r="AN5691">
        <v>0.99999994057728503</v>
      </c>
    </row>
    <row r="5692" spans="1:40" x14ac:dyDescent="0.25">
      <c r="A5692" t="str">
        <f>"20190303171125965"</f>
        <v>20190303171125965</v>
      </c>
      <c r="B5692" t="str">
        <f>"1551604285956404"</f>
        <v>1551604285956404</v>
      </c>
      <c r="C5692" t="s">
        <v>40</v>
      </c>
      <c r="D5692">
        <v>4.9202250000000003</v>
      </c>
      <c r="E5692">
        <v>0.3975398</v>
      </c>
      <c r="F5692" t="s">
        <v>49</v>
      </c>
      <c r="G5692">
        <v>-157.3501</v>
      </c>
      <c r="H5692">
        <v>1.317788</v>
      </c>
      <c r="I5692">
        <v>-45.77129</v>
      </c>
      <c r="J5692">
        <v>-225.00319999999999</v>
      </c>
      <c r="K5692">
        <v>1.1200159999999999</v>
      </c>
      <c r="L5692">
        <v>-63.543089999999999</v>
      </c>
      <c r="M5692">
        <v>0.99995250000000002</v>
      </c>
      <c r="N5692">
        <v>-9.7396280000000002E-3</v>
      </c>
      <c r="O5692">
        <v>-4.4150839999999999E-4</v>
      </c>
      <c r="P5692">
        <v>0.98402540000000005</v>
      </c>
      <c r="Q5692">
        <v>0.17775199999999999</v>
      </c>
      <c r="R5692">
        <v>-9.9121299999999999E-3</v>
      </c>
      <c r="S5692">
        <v>3.0543520000000002</v>
      </c>
      <c r="T5692">
        <v>8.9023109999999996E-3</v>
      </c>
      <c r="U5692">
        <v>0.80001829999999996</v>
      </c>
      <c r="V5692">
        <v>9.6891019999999998E-3</v>
      </c>
      <c r="W5692">
        <v>0.1873166</v>
      </c>
      <c r="X5692">
        <v>0.98225180000000001</v>
      </c>
      <c r="Y5692">
        <v>-0.25380920000000001</v>
      </c>
      <c r="Z5692">
        <v>8.8729089999999998E-4</v>
      </c>
      <c r="AA5692">
        <v>0.9672539</v>
      </c>
      <c r="AB5692">
        <v>39</v>
      </c>
      <c r="AC5692">
        <v>67.653099999999995</v>
      </c>
      <c r="AD5692">
        <v>0.197772</v>
      </c>
      <c r="AE5692">
        <v>17.771799999999999</v>
      </c>
      <c r="AF5692">
        <v>-17.801526786955201</v>
      </c>
      <c r="AG5692">
        <v>0.197772</v>
      </c>
      <c r="AH5692">
        <v>67.644705870551107</v>
      </c>
      <c r="AI5692">
        <v>89.838001139130398</v>
      </c>
      <c r="AJ5692">
        <v>104.743791292944</v>
      </c>
      <c r="AK5692">
        <v>69.948121504612601</v>
      </c>
      <c r="AL5692">
        <v>79.203774632998602</v>
      </c>
      <c r="AM5692">
        <v>89.434842830140994</v>
      </c>
      <c r="AN5692">
        <v>0.99999999296818298</v>
      </c>
    </row>
    <row r="5693" spans="1:40" x14ac:dyDescent="0.25">
      <c r="A5693" t="str">
        <f>"20190303171125976"</f>
        <v>20190303171125976</v>
      </c>
      <c r="B5693" t="str">
        <f>"1551604285966164"</f>
        <v>1551604285966164</v>
      </c>
      <c r="C5693" t="s">
        <v>40</v>
      </c>
      <c r="D5693">
        <v>4.9399989999999896</v>
      </c>
      <c r="E5693">
        <v>0.39702100000000001</v>
      </c>
      <c r="F5693" t="s">
        <v>49</v>
      </c>
      <c r="G5693">
        <v>-157.3501</v>
      </c>
      <c r="H5693">
        <v>1.3814900000000001</v>
      </c>
      <c r="I5693">
        <v>-45.781379999999999</v>
      </c>
      <c r="J5693">
        <v>-224.80670000000001</v>
      </c>
      <c r="K5693">
        <v>1.120025</v>
      </c>
      <c r="L5693">
        <v>-63.543300000000002</v>
      </c>
      <c r="M5693">
        <v>0.99995179999999995</v>
      </c>
      <c r="N5693">
        <v>-9.7980930000000008E-3</v>
      </c>
      <c r="O5693">
        <v>-6.5821269999999995E-4</v>
      </c>
      <c r="P5693">
        <v>0.98398549999999996</v>
      </c>
      <c r="Q5693">
        <v>0.17794019999999999</v>
      </c>
      <c r="R5693">
        <v>-1.0476289999999999E-2</v>
      </c>
      <c r="S5693">
        <v>3.0546570000000002</v>
      </c>
      <c r="T5693">
        <v>1.1805059999999999E-2</v>
      </c>
      <c r="U5693">
        <v>0.8019714</v>
      </c>
      <c r="V5693">
        <v>1.004125E-2</v>
      </c>
      <c r="W5693">
        <v>0.18756149999999999</v>
      </c>
      <c r="X5693">
        <v>0.98220149999999995</v>
      </c>
      <c r="Y5693">
        <v>-0.25457419999999997</v>
      </c>
      <c r="Z5693">
        <v>7.7541509999999895E-4</v>
      </c>
      <c r="AA5693">
        <v>0.96705289999999999</v>
      </c>
      <c r="AB5693">
        <v>39</v>
      </c>
      <c r="AC5693">
        <v>67.456599999999995</v>
      </c>
      <c r="AD5693">
        <v>0.261464999999999</v>
      </c>
      <c r="AE5693">
        <v>17.76192</v>
      </c>
      <c r="AF5693">
        <v>-17.8060689041959</v>
      </c>
      <c r="AG5693">
        <v>0.261464999999999</v>
      </c>
      <c r="AH5693">
        <v>67.443946139104199</v>
      </c>
      <c r="AI5693">
        <v>89.785236920092899</v>
      </c>
      <c r="AJ5693">
        <v>104.789366264641</v>
      </c>
      <c r="AK5693">
        <v>69.755360543699993</v>
      </c>
      <c r="AL5693">
        <v>79.189489405654896</v>
      </c>
      <c r="AM5693">
        <v>89.414273747031103</v>
      </c>
      <c r="AN5693">
        <v>0.99999996479302999</v>
      </c>
    </row>
    <row r="5694" spans="1:40" x14ac:dyDescent="0.25">
      <c r="A5694" t="str">
        <f>"20190303171125986"</f>
        <v>20190303171125986</v>
      </c>
      <c r="B5694" t="str">
        <f>"1551604285975924"</f>
        <v>1551604285975924</v>
      </c>
      <c r="C5694" t="s">
        <v>40</v>
      </c>
      <c r="D5694">
        <v>4.9593129999999999</v>
      </c>
      <c r="E5694">
        <v>0.39662229999999998</v>
      </c>
      <c r="F5694" t="s">
        <v>49</v>
      </c>
      <c r="G5694">
        <v>-157.3501</v>
      </c>
      <c r="H5694">
        <v>1.4376949999999999</v>
      </c>
      <c r="I5694">
        <v>-45.782940000000004</v>
      </c>
      <c r="J5694">
        <v>-224.61519999999999</v>
      </c>
      <c r="K5694">
        <v>1.1200289999999999</v>
      </c>
      <c r="L5694">
        <v>-63.543669999999999</v>
      </c>
      <c r="M5694">
        <v>0.99995120000000004</v>
      </c>
      <c r="N5694">
        <v>-9.8500159999999996E-3</v>
      </c>
      <c r="O5694">
        <v>-8.6951149999999996E-4</v>
      </c>
      <c r="P5694">
        <v>0.98395069999999996</v>
      </c>
      <c r="Q5694">
        <v>0.178095899999999</v>
      </c>
      <c r="R5694">
        <v>-1.1084500000000001E-2</v>
      </c>
      <c r="S5694">
        <v>3.0548250000000001</v>
      </c>
      <c r="T5694">
        <v>1.43851E-2</v>
      </c>
      <c r="U5694">
        <v>0.80429079999999997</v>
      </c>
      <c r="V5694">
        <v>1.04425E-2</v>
      </c>
      <c r="W5694">
        <v>0.1877672</v>
      </c>
      <c r="X5694">
        <v>0.98215810000000003</v>
      </c>
      <c r="Y5694">
        <v>-0.25545230000000002</v>
      </c>
      <c r="Z5694">
        <v>6.7537949999999999E-4</v>
      </c>
      <c r="AA5694">
        <v>0.96682140000000005</v>
      </c>
      <c r="AB5694">
        <v>39</v>
      </c>
      <c r="AC5694">
        <v>67.265099999999904</v>
      </c>
      <c r="AD5694">
        <v>0.317666</v>
      </c>
      <c r="AE5694">
        <v>17.760729999999899</v>
      </c>
      <c r="AF5694">
        <v>-17.818842384080501</v>
      </c>
      <c r="AG5694">
        <v>0.317666</v>
      </c>
      <c r="AH5694">
        <v>67.248228580169595</v>
      </c>
      <c r="AI5694">
        <v>89.738377523074206</v>
      </c>
      <c r="AJ5694">
        <v>104.840684057419</v>
      </c>
      <c r="AK5694">
        <v>69.569650730523307</v>
      </c>
      <c r="AL5694">
        <v>79.177491417612899</v>
      </c>
      <c r="AM5694">
        <v>89.390842844953596</v>
      </c>
      <c r="AN5694">
        <v>1.00000005029884</v>
      </c>
    </row>
    <row r="5695" spans="1:40" x14ac:dyDescent="0.25">
      <c r="A5695" t="str">
        <f>"20190303171125999"</f>
        <v>20190303171125999</v>
      </c>
      <c r="B5695" t="str">
        <f>"1551604285996421"</f>
        <v>1551604285996421</v>
      </c>
      <c r="C5695" t="s">
        <v>40</v>
      </c>
      <c r="D5695">
        <v>4.9155170000000004</v>
      </c>
      <c r="E5695">
        <v>0.39564779999999999</v>
      </c>
      <c r="F5695" t="s">
        <v>49</v>
      </c>
      <c r="G5695">
        <v>-157.3501</v>
      </c>
      <c r="H5695">
        <v>1.454283</v>
      </c>
      <c r="I5695">
        <v>-45.811929999999997</v>
      </c>
      <c r="J5695">
        <v>-224.4127</v>
      </c>
      <c r="K5695">
        <v>1.120031</v>
      </c>
      <c r="L5695">
        <v>-63.54401</v>
      </c>
      <c r="M5695">
        <v>0.99995040000000002</v>
      </c>
      <c r="N5695">
        <v>-9.9037269999999993E-3</v>
      </c>
      <c r="O5695">
        <v>-1.092981E-3</v>
      </c>
      <c r="P5695">
        <v>0.98387579999999997</v>
      </c>
      <c r="Q5695">
        <v>0.1784655</v>
      </c>
      <c r="R5695">
        <v>-1.1779609999999999E-2</v>
      </c>
      <c r="S5695">
        <v>3.055237</v>
      </c>
      <c r="T5695">
        <v>1.5181180000000001E-2</v>
      </c>
      <c r="U5695">
        <v>0.80538940000000003</v>
      </c>
      <c r="V5695">
        <v>1.091876E-2</v>
      </c>
      <c r="W5695">
        <v>0.1881882</v>
      </c>
      <c r="X5695">
        <v>0.98207230000000001</v>
      </c>
      <c r="Y5695">
        <v>-0.25596140000000001</v>
      </c>
      <c r="Z5695">
        <v>6.4757249999999997E-4</v>
      </c>
      <c r="AA5695">
        <v>0.96668679999999996</v>
      </c>
      <c r="AB5695">
        <v>39</v>
      </c>
      <c r="AC5695">
        <v>67.062600000000003</v>
      </c>
      <c r="AD5695">
        <v>0.33425199999999999</v>
      </c>
      <c r="AE5695">
        <v>17.73208</v>
      </c>
      <c r="AF5695">
        <v>-17.804957738333002</v>
      </c>
      <c r="AG5695">
        <v>0.33425199999999999</v>
      </c>
      <c r="AH5695">
        <v>67.041621540693797</v>
      </c>
      <c r="AI5695">
        <v>89.723911238346702</v>
      </c>
      <c r="AJ5695">
        <v>104.873308630061</v>
      </c>
      <c r="AK5695">
        <v>69.3664707424916</v>
      </c>
      <c r="AL5695">
        <v>79.152931643111998</v>
      </c>
      <c r="AM5695">
        <v>89.363007091935401</v>
      </c>
      <c r="AN5695">
        <v>1.00000001018323</v>
      </c>
    </row>
    <row r="5696" spans="1:40" x14ac:dyDescent="0.25">
      <c r="A5696" t="str">
        <f>"20190303171126010"</f>
        <v>20190303171126010</v>
      </c>
      <c r="B5696" t="str">
        <f>"1551604286006179"</f>
        <v>1551604286006179</v>
      </c>
      <c r="C5696" t="s">
        <v>40</v>
      </c>
      <c r="D5696">
        <v>4.9353930000000004</v>
      </c>
      <c r="E5696">
        <v>0.3953082</v>
      </c>
      <c r="F5696" t="s">
        <v>49</v>
      </c>
      <c r="G5696">
        <v>-157.3501</v>
      </c>
      <c r="H5696">
        <v>1.549674</v>
      </c>
      <c r="I5696">
        <v>-45.738909999999997</v>
      </c>
      <c r="J5696">
        <v>-224.21129999999999</v>
      </c>
      <c r="K5696">
        <v>1.1200380000000001</v>
      </c>
      <c r="L5696">
        <v>-63.544400000000003</v>
      </c>
      <c r="M5696">
        <v>0.99994959999999999</v>
      </c>
      <c r="N5696">
        <v>-9.9528770000000006E-3</v>
      </c>
      <c r="O5696">
        <v>-1.3148739999999999E-3</v>
      </c>
      <c r="P5696">
        <v>0.98385080000000003</v>
      </c>
      <c r="Q5696">
        <v>0.1785505</v>
      </c>
      <c r="R5696">
        <v>-1.2541190000000001E-2</v>
      </c>
      <c r="S5696">
        <v>3.0553279999999998</v>
      </c>
      <c r="T5696">
        <v>1.957333E-2</v>
      </c>
      <c r="U5696">
        <v>0.81118769999999996</v>
      </c>
      <c r="V5696">
        <v>1.146279E-2</v>
      </c>
      <c r="W5696">
        <v>0.18832119999999999</v>
      </c>
      <c r="X5696">
        <v>0.98204060000000004</v>
      </c>
      <c r="Y5696">
        <v>-0.25788270000000002</v>
      </c>
      <c r="Z5696">
        <v>4.721072E-4</v>
      </c>
      <c r="AA5696">
        <v>0.96617620000000004</v>
      </c>
      <c r="AB5696">
        <v>39</v>
      </c>
      <c r="AC5696">
        <v>66.861199999999997</v>
      </c>
      <c r="AD5696">
        <v>0.42963600000000002</v>
      </c>
      <c r="AE5696">
        <v>17.805489999999999</v>
      </c>
      <c r="AF5696">
        <v>-17.892703136765899</v>
      </c>
      <c r="AG5696">
        <v>0.42963600000000002</v>
      </c>
      <c r="AH5696">
        <v>66.835152137214493</v>
      </c>
      <c r="AI5696">
        <v>89.644219547900803</v>
      </c>
      <c r="AJ5696">
        <v>104.987424190989</v>
      </c>
      <c r="AK5696">
        <v>69.190107485373602</v>
      </c>
      <c r="AL5696">
        <v>79.145172517131897</v>
      </c>
      <c r="AM5696">
        <v>89.3312499874107</v>
      </c>
      <c r="AN5696">
        <v>1.0000000049861899</v>
      </c>
    </row>
    <row r="5697" spans="1:40" x14ac:dyDescent="0.25">
      <c r="A5697" t="str">
        <f>"20190303171126022"</f>
        <v>20190303171126022</v>
      </c>
      <c r="B5697" t="str">
        <f>"1551604286015940"</f>
        <v>1551604286015940</v>
      </c>
      <c r="C5697" t="s">
        <v>40</v>
      </c>
      <c r="D5697">
        <v>4.9470669999999997</v>
      </c>
      <c r="E5697">
        <v>0.39491850000000001</v>
      </c>
      <c r="F5697" t="s">
        <v>49</v>
      </c>
      <c r="G5697">
        <v>-157.3501</v>
      </c>
      <c r="H5697">
        <v>1.586076</v>
      </c>
      <c r="I5697">
        <v>-45.778950000000002</v>
      </c>
      <c r="J5697">
        <v>-224.00149999999999</v>
      </c>
      <c r="K5697">
        <v>1.1200410000000001</v>
      </c>
      <c r="L5697">
        <v>-63.54486</v>
      </c>
      <c r="M5697">
        <v>0.99994879999999997</v>
      </c>
      <c r="N5697">
        <v>-1.0001629999999999E-2</v>
      </c>
      <c r="O5697">
        <v>-1.546181E-3</v>
      </c>
      <c r="P5697">
        <v>0.98378399999999999</v>
      </c>
      <c r="Q5697">
        <v>0.17883479999999999</v>
      </c>
      <c r="R5697">
        <v>-1.3686139999999999E-2</v>
      </c>
      <c r="S5697">
        <v>3.0557099999999999</v>
      </c>
      <c r="T5697">
        <v>2.1298049999999999E-2</v>
      </c>
      <c r="U5697">
        <v>0.81192019999999998</v>
      </c>
      <c r="V5697">
        <v>1.238126E-2</v>
      </c>
      <c r="W5697">
        <v>0.1886514</v>
      </c>
      <c r="X5697">
        <v>0.98196609999999995</v>
      </c>
      <c r="Y5697">
        <v>-0.25829229999999997</v>
      </c>
      <c r="Z5697">
        <v>4.0315389999999999E-4</v>
      </c>
      <c r="AA5697">
        <v>0.96606669999999994</v>
      </c>
      <c r="AB5697">
        <v>39</v>
      </c>
      <c r="AC5697">
        <v>66.651399999999995</v>
      </c>
      <c r="AD5697">
        <v>0.46603499999999998</v>
      </c>
      <c r="AE5697">
        <v>17.765909999999899</v>
      </c>
      <c r="AF5697">
        <v>-17.868133422258701</v>
      </c>
      <c r="AG5697">
        <v>0.46603499999999998</v>
      </c>
      <c r="AH5697">
        <v>66.620808615552093</v>
      </c>
      <c r="AI5697">
        <v>89.612884564053303</v>
      </c>
      <c r="AJ5697">
        <v>105.013753795166</v>
      </c>
      <c r="AK5697">
        <v>68.976949201939107</v>
      </c>
      <c r="AL5697">
        <v>79.1259084714153</v>
      </c>
      <c r="AM5697">
        <v>89.277616249693693</v>
      </c>
      <c r="AN5697">
        <v>1.00000003393517</v>
      </c>
    </row>
    <row r="5698" spans="1:40" x14ac:dyDescent="0.25">
      <c r="A5698" t="str">
        <f>"20190303171126033"</f>
        <v>20190303171126033</v>
      </c>
      <c r="B5698" t="str">
        <f>"1551604286026675"</f>
        <v>1551604286026675</v>
      </c>
      <c r="C5698" t="s">
        <v>40</v>
      </c>
      <c r="D5698">
        <v>4.9247500000000004</v>
      </c>
      <c r="E5698">
        <v>0.39457150000000002</v>
      </c>
      <c r="F5698" t="s">
        <v>49</v>
      </c>
      <c r="G5698">
        <v>-157.3501</v>
      </c>
      <c r="H5698">
        <v>1.6369260000000001</v>
      </c>
      <c r="I5698">
        <v>-45.840739999999997</v>
      </c>
      <c r="J5698">
        <v>-223.8031</v>
      </c>
      <c r="K5698">
        <v>1.1200460000000001</v>
      </c>
      <c r="L5698">
        <v>-63.545349999999999</v>
      </c>
      <c r="M5698">
        <v>0.99994810000000001</v>
      </c>
      <c r="N5698">
        <v>-1.004534E-2</v>
      </c>
      <c r="O5698">
        <v>-1.7650610000000001E-3</v>
      </c>
      <c r="P5698">
        <v>0.98375239999999997</v>
      </c>
      <c r="Q5698">
        <v>0.17891989999999999</v>
      </c>
      <c r="R5698">
        <v>-1.480064E-2</v>
      </c>
      <c r="S5698">
        <v>3.0564420000000001</v>
      </c>
      <c r="T5698">
        <v>2.370191E-2</v>
      </c>
      <c r="U5698">
        <v>0.81185909999999994</v>
      </c>
      <c r="V5698">
        <v>1.328089E-2</v>
      </c>
      <c r="W5698">
        <v>0.1887778</v>
      </c>
      <c r="X5698">
        <v>0.98192999999999997</v>
      </c>
      <c r="Y5698">
        <v>-0.25842789999999999</v>
      </c>
      <c r="Z5698">
        <v>3.0433499999999998E-4</v>
      </c>
      <c r="AA5698">
        <v>0.96603050000000001</v>
      </c>
      <c r="AB5698">
        <v>39</v>
      </c>
      <c r="AC5698">
        <v>66.453000000000003</v>
      </c>
      <c r="AD5698">
        <v>0.51688000000000001</v>
      </c>
      <c r="AE5698">
        <v>17.704609999999899</v>
      </c>
      <c r="AF5698">
        <v>-17.820875228212699</v>
      </c>
      <c r="AG5698">
        <v>0.51688000000000001</v>
      </c>
      <c r="AH5698">
        <v>66.417893264966395</v>
      </c>
      <c r="AI5698">
        <v>89.569351248901398</v>
      </c>
      <c r="AJ5698">
        <v>105.01951979875599</v>
      </c>
      <c r="AK5698">
        <v>68.769086838421799</v>
      </c>
      <c r="AL5698">
        <v>79.118533208325999</v>
      </c>
      <c r="AM5698">
        <v>89.225105099288697</v>
      </c>
      <c r="AN5698">
        <v>0.99999998235601495</v>
      </c>
    </row>
    <row r="5699" spans="1:40" x14ac:dyDescent="0.25">
      <c r="A5699" t="str">
        <f>"20190303171126045"</f>
        <v>20190303171126045</v>
      </c>
      <c r="B5699" t="str">
        <f>"1551604286036436"</f>
        <v>1551604286036436</v>
      </c>
      <c r="C5699" t="s">
        <v>40</v>
      </c>
      <c r="D5699">
        <v>4.9545849999999998</v>
      </c>
      <c r="E5699">
        <v>0.39411819999999997</v>
      </c>
      <c r="F5699" t="s">
        <v>49</v>
      </c>
      <c r="G5699">
        <v>-157.3501</v>
      </c>
      <c r="H5699">
        <v>1.6686380000000001</v>
      </c>
      <c r="I5699">
        <v>-45.898820000000001</v>
      </c>
      <c r="J5699">
        <v>-223.59979999999999</v>
      </c>
      <c r="K5699">
        <v>1.1200479999999999</v>
      </c>
      <c r="L5699">
        <v>-63.545929999999998</v>
      </c>
      <c r="M5699">
        <v>0.99994729999999998</v>
      </c>
      <c r="N5699">
        <v>-1.008276E-2</v>
      </c>
      <c r="O5699">
        <v>-1.9893889999999998E-3</v>
      </c>
      <c r="P5699">
        <v>0.98376110000000005</v>
      </c>
      <c r="Q5699">
        <v>0.17880309999999999</v>
      </c>
      <c r="R5699">
        <v>-1.56154E-2</v>
      </c>
      <c r="S5699">
        <v>3.057175</v>
      </c>
      <c r="T5699">
        <v>2.5237079999999999E-2</v>
      </c>
      <c r="U5699">
        <v>0.81182860000000001</v>
      </c>
      <c r="V5699">
        <v>1.3875210000000001E-2</v>
      </c>
      <c r="W5699">
        <v>0.18869720000000001</v>
      </c>
      <c r="X5699">
        <v>0.98193730000000001</v>
      </c>
      <c r="Y5699">
        <v>-0.25857790000000003</v>
      </c>
      <c r="Z5699">
        <v>2.4087420000000001E-4</v>
      </c>
      <c r="AA5699">
        <v>0.96599040000000003</v>
      </c>
      <c r="AB5699">
        <v>39</v>
      </c>
      <c r="AC5699">
        <v>66.249699999999905</v>
      </c>
      <c r="AD5699">
        <v>0.54859000000000002</v>
      </c>
      <c r="AE5699">
        <v>17.647110000000001</v>
      </c>
      <c r="AF5699">
        <v>-17.777739946218201</v>
      </c>
      <c r="AG5699">
        <v>0.54859000000000002</v>
      </c>
      <c r="AH5699">
        <v>66.210220960753006</v>
      </c>
      <c r="AI5699">
        <v>89.541520788669899</v>
      </c>
      <c r="AJ5699">
        <v>105.029679457798</v>
      </c>
      <c r="AK5699">
        <v>68.557584177501496</v>
      </c>
      <c r="AL5699">
        <v>79.123236046201797</v>
      </c>
      <c r="AM5699">
        <v>89.190439076514195</v>
      </c>
      <c r="AN5699">
        <v>1.00000000793583</v>
      </c>
    </row>
    <row r="5700" spans="1:40" x14ac:dyDescent="0.25">
      <c r="A5700" t="str">
        <f>"20190303171126057"</f>
        <v>20190303171126057</v>
      </c>
      <c r="B5700" t="str">
        <f>"1551604286046196"</f>
        <v>1551604286046196</v>
      </c>
      <c r="C5700" t="s">
        <v>40</v>
      </c>
      <c r="D5700">
        <v>4.948353</v>
      </c>
      <c r="E5700">
        <v>0.393596</v>
      </c>
      <c r="F5700" t="s">
        <v>49</v>
      </c>
      <c r="G5700">
        <v>-157.3501</v>
      </c>
      <c r="H5700">
        <v>1.708752</v>
      </c>
      <c r="I5700">
        <v>-45.922170000000001</v>
      </c>
      <c r="J5700">
        <v>-223.3766</v>
      </c>
      <c r="K5700">
        <v>1.12005</v>
      </c>
      <c r="L5700">
        <v>-63.546570000000003</v>
      </c>
      <c r="M5700">
        <v>0.99994629999999995</v>
      </c>
      <c r="N5700">
        <v>-1.012034E-2</v>
      </c>
      <c r="O5700">
        <v>-2.2355330000000001E-3</v>
      </c>
      <c r="P5700">
        <v>0.9838095</v>
      </c>
      <c r="Q5700">
        <v>0.17848339999999999</v>
      </c>
      <c r="R5700">
        <v>-1.620162E-2</v>
      </c>
      <c r="S5700">
        <v>3.0574949999999999</v>
      </c>
      <c r="T5700">
        <v>2.7168390000000001E-2</v>
      </c>
      <c r="U5700">
        <v>0.81335449999999998</v>
      </c>
      <c r="V5700">
        <v>1.4219320000000001E-2</v>
      </c>
      <c r="W5700">
        <v>0.1884149</v>
      </c>
      <c r="X5700">
        <v>0.98198660000000004</v>
      </c>
      <c r="Y5700">
        <v>-0.25924019999999998</v>
      </c>
      <c r="Z5700">
        <v>1.604133E-4</v>
      </c>
      <c r="AA5700">
        <v>0.96581289999999997</v>
      </c>
      <c r="AB5700">
        <v>39</v>
      </c>
      <c r="AC5700">
        <v>66.026499999999999</v>
      </c>
      <c r="AD5700">
        <v>0.58870199999999995</v>
      </c>
      <c r="AE5700">
        <v>17.624399999999898</v>
      </c>
      <c r="AF5700">
        <v>-17.770649170967999</v>
      </c>
      <c r="AG5700">
        <v>0.58870199999999995</v>
      </c>
      <c r="AH5700">
        <v>65.982036515343594</v>
      </c>
      <c r="AI5700">
        <v>89.506399385191202</v>
      </c>
      <c r="AJ5700">
        <v>105.07355227330299</v>
      </c>
      <c r="AK5700">
        <v>68.335727732384399</v>
      </c>
      <c r="AL5700">
        <v>79.139706243615194</v>
      </c>
      <c r="AM5700">
        <v>89.170406103818195</v>
      </c>
      <c r="AN5700">
        <v>1.0000000230914099</v>
      </c>
    </row>
    <row r="5701" spans="1:40" x14ac:dyDescent="0.25">
      <c r="A5701" t="str">
        <f>"20190303171126068"</f>
        <v>20190303171126068</v>
      </c>
      <c r="B5701" t="str">
        <f>"1551604286055956"</f>
        <v>1551604286055956</v>
      </c>
      <c r="C5701" t="s">
        <v>40</v>
      </c>
      <c r="D5701">
        <v>4.8627729999999998</v>
      </c>
      <c r="E5701">
        <v>0.39314090000000002</v>
      </c>
      <c r="F5701" t="s">
        <v>49</v>
      </c>
      <c r="G5701">
        <v>-157.3501</v>
      </c>
      <c r="H5701">
        <v>1.7490889999999999</v>
      </c>
      <c r="I5701">
        <v>-45.92709</v>
      </c>
      <c r="J5701">
        <v>-223.1875</v>
      </c>
      <c r="K5701">
        <v>1.1200479999999999</v>
      </c>
      <c r="L5701">
        <v>-63.547179999999997</v>
      </c>
      <c r="M5701">
        <v>0.99994559999999999</v>
      </c>
      <c r="N5701">
        <v>-1.014616E-2</v>
      </c>
      <c r="O5701">
        <v>-2.444295E-3</v>
      </c>
      <c r="P5701">
        <v>0.98385639999999996</v>
      </c>
      <c r="Q5701">
        <v>0.17819119999999999</v>
      </c>
      <c r="R5701">
        <v>-1.6574910000000002E-2</v>
      </c>
      <c r="S5701">
        <v>3.0575410000000001</v>
      </c>
      <c r="T5701">
        <v>2.912843E-2</v>
      </c>
      <c r="U5701">
        <v>0.81591800000000003</v>
      </c>
      <c r="V5701">
        <v>1.438681E-2</v>
      </c>
      <c r="W5701">
        <v>0.18814790000000001</v>
      </c>
      <c r="X5701">
        <v>0.98203530000000006</v>
      </c>
      <c r="Y5701">
        <v>-0.26019369999999997</v>
      </c>
      <c r="Z5701" s="1">
        <v>7.7391740000000002E-5</v>
      </c>
      <c r="AA5701">
        <v>0.96555639999999998</v>
      </c>
      <c r="AB5701">
        <v>39</v>
      </c>
      <c r="AC5701">
        <v>65.837400000000002</v>
      </c>
      <c r="AD5701">
        <v>0.62904099999999996</v>
      </c>
      <c r="AE5701">
        <v>17.620090000000001</v>
      </c>
      <c r="AF5701">
        <v>-17.779457095280801</v>
      </c>
      <c r="AG5701">
        <v>0.62904099999999996</v>
      </c>
      <c r="AH5701">
        <v>65.788528116359103</v>
      </c>
      <c r="AI5701">
        <v>89.471150684362499</v>
      </c>
      <c r="AJ5701">
        <v>105.123012108756</v>
      </c>
      <c r="AK5701">
        <v>68.151560649038601</v>
      </c>
      <c r="AL5701">
        <v>79.155282235102504</v>
      </c>
      <c r="AM5701">
        <v>89.1606772893509</v>
      </c>
      <c r="AN5701">
        <v>0.99999997151123698</v>
      </c>
    </row>
    <row r="5702" spans="1:40" x14ac:dyDescent="0.25">
      <c r="A5702" t="str">
        <f>"20190303171126078"</f>
        <v>20190303171126078</v>
      </c>
      <c r="B5702" t="str">
        <f>"1551604286066692"</f>
        <v>1551604286066692</v>
      </c>
      <c r="C5702" t="s">
        <v>40</v>
      </c>
      <c r="D5702">
        <v>4.9009650000000002</v>
      </c>
      <c r="E5702">
        <v>0.39269229999999999</v>
      </c>
      <c r="F5702" t="s">
        <v>49</v>
      </c>
      <c r="G5702">
        <v>-157.3501</v>
      </c>
      <c r="H5702">
        <v>1.7657</v>
      </c>
      <c r="I5702">
        <v>-45.92389</v>
      </c>
      <c r="J5702">
        <v>-223.02029999999999</v>
      </c>
      <c r="K5702">
        <v>1.120047</v>
      </c>
      <c r="L5702">
        <v>-63.547699999999999</v>
      </c>
      <c r="M5702">
        <v>0.99994490000000003</v>
      </c>
      <c r="N5702">
        <v>-1.0168150000000001E-2</v>
      </c>
      <c r="O5702">
        <v>-2.628717E-3</v>
      </c>
      <c r="P5702">
        <v>0.98393580000000003</v>
      </c>
      <c r="Q5702">
        <v>0.17773340000000001</v>
      </c>
      <c r="R5702">
        <v>-1.67657999999999E-2</v>
      </c>
      <c r="S5702">
        <v>3.0575869999999998</v>
      </c>
      <c r="T5702">
        <v>2.998412E-2</v>
      </c>
      <c r="U5702">
        <v>0.81845089999999998</v>
      </c>
      <c r="V5702">
        <v>1.439582E-2</v>
      </c>
      <c r="W5702">
        <v>0.18771280000000001</v>
      </c>
      <c r="X5702">
        <v>0.98211839999999995</v>
      </c>
      <c r="Y5702">
        <v>-0.26111420000000002</v>
      </c>
      <c r="Z5702" s="1">
        <v>4.0794490000000003E-5</v>
      </c>
      <c r="AA5702">
        <v>0.9653079</v>
      </c>
      <c r="AB5702">
        <v>39</v>
      </c>
      <c r="AC5702">
        <v>65.670199999999994</v>
      </c>
      <c r="AD5702">
        <v>0.64565299999999903</v>
      </c>
      <c r="AE5702">
        <v>17.623809999999999</v>
      </c>
      <c r="AF5702">
        <v>-17.794781848039701</v>
      </c>
      <c r="AG5702">
        <v>0.64565299999999903</v>
      </c>
      <c r="AH5702">
        <v>65.617725982361506</v>
      </c>
      <c r="AI5702">
        <v>89.455901164508603</v>
      </c>
      <c r="AJ5702">
        <v>105.173032707906</v>
      </c>
      <c r="AK5702">
        <v>67.990860355727307</v>
      </c>
      <c r="AL5702">
        <v>79.180663561378495</v>
      </c>
      <c r="AM5702">
        <v>89.160222775505801</v>
      </c>
      <c r="AN5702">
        <v>0.99999994326793396</v>
      </c>
    </row>
    <row r="5703" spans="1:40" x14ac:dyDescent="0.25">
      <c r="A5703" t="str">
        <f>"20190303171126088"</f>
        <v>20190303171126088</v>
      </c>
      <c r="B5703" t="str">
        <f>"1551604286076452"</f>
        <v>1551604286076452</v>
      </c>
      <c r="C5703" t="s">
        <v>40</v>
      </c>
      <c r="D5703">
        <v>4.8782050000000003</v>
      </c>
      <c r="E5703">
        <v>0.39269229999999999</v>
      </c>
      <c r="F5703" t="s">
        <v>49</v>
      </c>
      <c r="G5703">
        <v>-157.3501</v>
      </c>
      <c r="H5703">
        <v>1.7607109999999999</v>
      </c>
      <c r="I5703">
        <v>-45.907640000000001</v>
      </c>
      <c r="J5703">
        <v>-222.834</v>
      </c>
      <c r="K5703">
        <v>1.120047</v>
      </c>
      <c r="L5703">
        <v>-63.548369999999998</v>
      </c>
      <c r="M5703">
        <v>0.9999441</v>
      </c>
      <c r="N5703">
        <v>-1.0187720000000001E-2</v>
      </c>
      <c r="O5703">
        <v>-2.8344640000000001E-3</v>
      </c>
      <c r="P5703">
        <v>0.98394289999999995</v>
      </c>
      <c r="Q5703">
        <v>0.1776799</v>
      </c>
      <c r="R5703">
        <v>-1.693105E-2</v>
      </c>
      <c r="S5703">
        <v>3.0576020000000002</v>
      </c>
      <c r="T5703">
        <v>2.982831E-2</v>
      </c>
      <c r="U5703">
        <v>0.82131960000000004</v>
      </c>
      <c r="V5703">
        <v>1.435846E-2</v>
      </c>
      <c r="W5703">
        <v>0.1876787</v>
      </c>
      <c r="X5703">
        <v>0.98212549999999998</v>
      </c>
      <c r="Y5703">
        <v>-0.26215640000000001</v>
      </c>
      <c r="Z5703" s="1">
        <v>4.6705359999999999E-5</v>
      </c>
      <c r="AA5703">
        <v>0.96502540000000003</v>
      </c>
      <c r="AB5703">
        <v>39</v>
      </c>
      <c r="AC5703">
        <v>65.483900000000006</v>
      </c>
      <c r="AD5703">
        <v>0.64066400000000001</v>
      </c>
      <c r="AE5703">
        <v>17.640729999999898</v>
      </c>
      <c r="AF5703">
        <v>-17.824689818808501</v>
      </c>
      <c r="AG5703">
        <v>0.64066400000000001</v>
      </c>
      <c r="AH5703">
        <v>65.427793453230194</v>
      </c>
      <c r="AI5703">
        <v>89.458708515799103</v>
      </c>
      <c r="AJ5703">
        <v>105.23942402546101</v>
      </c>
      <c r="AK5703">
        <v>67.815383016364294</v>
      </c>
      <c r="AL5703">
        <v>79.182653088869301</v>
      </c>
      <c r="AM5703">
        <v>89.162407906909706</v>
      </c>
      <c r="AN5703">
        <v>0.99999997877875502</v>
      </c>
    </row>
    <row r="5704" spans="1:40" x14ac:dyDescent="0.25">
      <c r="A5704" t="str">
        <f>"20190303171126099"</f>
        <v>20190303171126099</v>
      </c>
      <c r="B5704" t="str">
        <f>"1551604286086211"</f>
        <v>1551604286086211</v>
      </c>
      <c r="C5704" t="s">
        <v>40</v>
      </c>
      <c r="D5704">
        <v>4.906936</v>
      </c>
      <c r="E5704">
        <v>0.37440950000000001</v>
      </c>
      <c r="F5704" t="s">
        <v>49</v>
      </c>
      <c r="G5704">
        <v>-157.3501</v>
      </c>
      <c r="H5704">
        <v>1.7530490000000001</v>
      </c>
      <c r="I5704">
        <v>-45.97296</v>
      </c>
      <c r="J5704">
        <v>-222.63079999999999</v>
      </c>
      <c r="K5704">
        <v>1.1200460000000001</v>
      </c>
      <c r="L5704">
        <v>-63.549129999999998</v>
      </c>
      <c r="M5704">
        <v>0.99994329999999998</v>
      </c>
      <c r="N5704">
        <v>-1.0206939999999999E-2</v>
      </c>
      <c r="O5704">
        <v>-3.0586849999999998E-3</v>
      </c>
      <c r="P5704">
        <v>0.98388500000000001</v>
      </c>
      <c r="Q5704">
        <v>0.1779664</v>
      </c>
      <c r="R5704">
        <v>-1.7272650000000001E-2</v>
      </c>
      <c r="S5704">
        <v>3.0577549999999998</v>
      </c>
      <c r="T5704">
        <v>2.9556990000000002E-2</v>
      </c>
      <c r="U5704">
        <v>0.82067869999999998</v>
      </c>
      <c r="V5704">
        <v>1.44803E-2</v>
      </c>
      <c r="W5704">
        <v>0.1879835</v>
      </c>
      <c r="X5704">
        <v>0.98206539999999998</v>
      </c>
      <c r="Y5704">
        <v>-0.26217220000000002</v>
      </c>
      <c r="Z5704" s="1">
        <v>5.6508000000000002E-5</v>
      </c>
      <c r="AA5704">
        <v>0.96502109999999997</v>
      </c>
      <c r="AB5704">
        <v>39</v>
      </c>
      <c r="AC5704">
        <v>65.280699999999996</v>
      </c>
      <c r="AD5704">
        <v>0.63300299999999998</v>
      </c>
      <c r="AE5704">
        <v>17.576170000000001</v>
      </c>
      <c r="AF5704">
        <v>-17.774213002941998</v>
      </c>
      <c r="AG5704">
        <v>0.63300299999999998</v>
      </c>
      <c r="AH5704">
        <v>65.220913948381906</v>
      </c>
      <c r="AI5704">
        <v>89.463496789356</v>
      </c>
      <c r="AJ5704">
        <v>105.24423579070501</v>
      </c>
      <c r="AK5704">
        <v>67.6024478619983</v>
      </c>
      <c r="AL5704">
        <v>79.164872693592997</v>
      </c>
      <c r="AM5704">
        <v>89.155249783587095</v>
      </c>
      <c r="AN5704">
        <v>0.99999996261874902</v>
      </c>
    </row>
    <row r="5705" spans="1:40" x14ac:dyDescent="0.25">
      <c r="A5705" t="str">
        <f>"20190303171126111"</f>
        <v>20190303171126111</v>
      </c>
      <c r="B5705" t="str">
        <f>"1551604286106710"</f>
        <v>1551604286106710</v>
      </c>
      <c r="C5705" t="s">
        <v>40</v>
      </c>
      <c r="D5705">
        <v>4.8888129999999999</v>
      </c>
      <c r="E5705">
        <v>0.37347089999999999</v>
      </c>
      <c r="F5705" t="s">
        <v>49</v>
      </c>
      <c r="G5705">
        <v>-157.3501</v>
      </c>
      <c r="H5705">
        <v>3.2619509999999998</v>
      </c>
      <c r="I5705">
        <v>-42.911110000000001</v>
      </c>
      <c r="J5705">
        <v>-222.4307</v>
      </c>
      <c r="K5705">
        <v>1.120044</v>
      </c>
      <c r="L5705">
        <v>-63.549930000000003</v>
      </c>
      <c r="M5705">
        <v>0.99994249999999996</v>
      </c>
      <c r="N5705">
        <v>-1.022119E-2</v>
      </c>
      <c r="O5705">
        <v>-3.2798979999999998E-3</v>
      </c>
      <c r="P5705">
        <v>0.98376459999999999</v>
      </c>
      <c r="Q5705">
        <v>0.1785688</v>
      </c>
      <c r="R5705">
        <v>-1.790081E-2</v>
      </c>
      <c r="S5705">
        <v>3.047974</v>
      </c>
      <c r="T5705">
        <v>0.1000048</v>
      </c>
      <c r="U5705">
        <v>0.96359249999999996</v>
      </c>
      <c r="V5705">
        <v>1.489206E-2</v>
      </c>
      <c r="W5705">
        <v>0.18859799999999999</v>
      </c>
      <c r="X5705">
        <v>0.98194150000000002</v>
      </c>
      <c r="Y5705">
        <v>-0.30446060000000003</v>
      </c>
      <c r="Z5705">
        <v>-3.4190000000000002E-3</v>
      </c>
      <c r="AA5705">
        <v>0.9525188</v>
      </c>
      <c r="AB5705">
        <v>40</v>
      </c>
      <c r="AC5705">
        <v>65.080600000000004</v>
      </c>
      <c r="AD5705">
        <v>2.1419069999999998</v>
      </c>
      <c r="AE5705">
        <v>20.638819999999999</v>
      </c>
      <c r="AF5705">
        <v>-20.8316754250855</v>
      </c>
      <c r="AG5705">
        <v>2.1419069999999998</v>
      </c>
      <c r="AH5705">
        <v>64.948631110597802</v>
      </c>
      <c r="AI5705">
        <v>88.201346671148499</v>
      </c>
      <c r="AJ5705">
        <v>107.783165059336</v>
      </c>
      <c r="AK5705">
        <v>68.241271601233194</v>
      </c>
      <c r="AL5705">
        <v>79.129024105246302</v>
      </c>
      <c r="AM5705">
        <v>89.131122599766698</v>
      </c>
      <c r="AN5705">
        <v>1.0000000442386401</v>
      </c>
    </row>
    <row r="5706" spans="1:40" x14ac:dyDescent="0.25">
      <c r="A5706" t="str">
        <f>"20190303171126122"</f>
        <v>20190303171126122</v>
      </c>
      <c r="B5706" t="str">
        <f>"1551604286116468"</f>
        <v>1551604286116468</v>
      </c>
      <c r="C5706" t="s">
        <v>40</v>
      </c>
      <c r="D5706">
        <v>4.8607209999999998</v>
      </c>
      <c r="E5706">
        <v>0.37324990000000002</v>
      </c>
      <c r="F5706" t="s">
        <v>49</v>
      </c>
      <c r="G5706">
        <v>-157.3501</v>
      </c>
      <c r="H5706">
        <v>3.4150510000000001</v>
      </c>
      <c r="I5706">
        <v>-42.853549999999998</v>
      </c>
      <c r="J5706">
        <v>-222.23390000000001</v>
      </c>
      <c r="K5706">
        <v>1.1200490000000001</v>
      </c>
      <c r="L5706">
        <v>-63.550750000000001</v>
      </c>
      <c r="M5706">
        <v>0.99994159999999999</v>
      </c>
      <c r="N5706">
        <v>-1.023163E-2</v>
      </c>
      <c r="O5706">
        <v>-3.4972739999999999E-3</v>
      </c>
      <c r="P5706">
        <v>0.98361089999999995</v>
      </c>
      <c r="Q5706">
        <v>0.1793196</v>
      </c>
      <c r="R5706">
        <v>-1.882149E-2</v>
      </c>
      <c r="S5706">
        <v>3.0476230000000002</v>
      </c>
      <c r="T5706">
        <v>0.10747039999999999</v>
      </c>
      <c r="U5706">
        <v>0.96917719999999896</v>
      </c>
      <c r="V5706">
        <v>1.560038E-2</v>
      </c>
      <c r="W5706">
        <v>0.189357</v>
      </c>
      <c r="X5706">
        <v>0.9817844</v>
      </c>
      <c r="Y5706">
        <v>-0.30626419999999999</v>
      </c>
      <c r="Z5706">
        <v>-3.8188279999999998E-3</v>
      </c>
      <c r="AA5706">
        <v>0.95193890000000003</v>
      </c>
      <c r="AB5706">
        <v>40</v>
      </c>
      <c r="AC5706">
        <v>64.883799999999994</v>
      </c>
      <c r="AD5706">
        <v>2.2950020000000002</v>
      </c>
      <c r="AE5706">
        <v>20.697199999999999</v>
      </c>
      <c r="AF5706">
        <v>-20.900268254287202</v>
      </c>
      <c r="AG5706">
        <v>2.2950020000000002</v>
      </c>
      <c r="AH5706">
        <v>64.737502459906196</v>
      </c>
      <c r="AI5706">
        <v>88.067785439306306</v>
      </c>
      <c r="AJ5706">
        <v>107.89248594476599</v>
      </c>
      <c r="AK5706">
        <v>68.066382833433494</v>
      </c>
      <c r="AL5706">
        <v>79.084738454378893</v>
      </c>
      <c r="AM5706">
        <v>89.089656836025696</v>
      </c>
      <c r="AN5706">
        <v>1.0000000266942499</v>
      </c>
    </row>
    <row r="5707" spans="1:40" x14ac:dyDescent="0.25">
      <c r="A5707" t="str">
        <f>"20190303171126133"</f>
        <v>20190303171126133</v>
      </c>
      <c r="B5707" t="str">
        <f>"1551604286126228"</f>
        <v>1551604286126228</v>
      </c>
      <c r="C5707" t="s">
        <v>40</v>
      </c>
      <c r="D5707">
        <v>4.8084850000000001</v>
      </c>
      <c r="E5707">
        <v>0.37309720000000002</v>
      </c>
      <c r="F5707" t="s">
        <v>49</v>
      </c>
      <c r="G5707">
        <v>-157.3501</v>
      </c>
      <c r="H5707">
        <v>3.4378860000000002</v>
      </c>
      <c r="I5707">
        <v>-42.93965</v>
      </c>
      <c r="J5707">
        <v>-222.03620000000001</v>
      </c>
      <c r="K5707">
        <v>1.120052</v>
      </c>
      <c r="L5707">
        <v>-63.551639999999999</v>
      </c>
      <c r="M5707">
        <v>0.99994079999999996</v>
      </c>
      <c r="N5707">
        <v>-1.023903E-2</v>
      </c>
      <c r="O5707">
        <v>-3.715706E-3</v>
      </c>
      <c r="P5707">
        <v>0.98338029999999998</v>
      </c>
      <c r="Q5707">
        <v>0.1804608</v>
      </c>
      <c r="R5707">
        <v>-1.993669E-2</v>
      </c>
      <c r="S5707">
        <v>3.0486759999999999</v>
      </c>
      <c r="T5707">
        <v>0.108906</v>
      </c>
      <c r="U5707">
        <v>0.96844479999999999</v>
      </c>
      <c r="V5707">
        <v>1.6502949999999999E-2</v>
      </c>
      <c r="W5707">
        <v>0.19050210000000001</v>
      </c>
      <c r="X5707">
        <v>0.98154810000000003</v>
      </c>
      <c r="Y5707">
        <v>-0.30616539999999998</v>
      </c>
      <c r="Z5707">
        <v>-3.8966970000000002E-3</v>
      </c>
      <c r="AA5707">
        <v>0.95197030000000005</v>
      </c>
      <c r="AB5707">
        <v>40</v>
      </c>
      <c r="AC5707">
        <v>64.686099999999996</v>
      </c>
      <c r="AD5707">
        <v>2.3178339999999999</v>
      </c>
      <c r="AE5707">
        <v>20.611989999999999</v>
      </c>
      <c r="AF5707">
        <v>-20.8279380478779</v>
      </c>
      <c r="AG5707">
        <v>2.3178339999999999</v>
      </c>
      <c r="AH5707">
        <v>64.533841582592103</v>
      </c>
      <c r="AI5707">
        <v>88.042365484078601</v>
      </c>
      <c r="AJ5707">
        <v>107.887196008467</v>
      </c>
      <c r="AK5707">
        <v>67.851249562442803</v>
      </c>
      <c r="AL5707">
        <v>79.017912766241906</v>
      </c>
      <c r="AM5707">
        <v>89.036766203663504</v>
      </c>
      <c r="AN5707">
        <v>1.00000003503836</v>
      </c>
    </row>
    <row r="5708" spans="1:40" x14ac:dyDescent="0.25">
      <c r="A5708" t="str">
        <f>"20190303171126143"</f>
        <v>20190303171126143</v>
      </c>
      <c r="B5708" t="str">
        <f>"1551604286135989"</f>
        <v>1551604286135989</v>
      </c>
      <c r="C5708" t="s">
        <v>40</v>
      </c>
      <c r="D5708">
        <v>4.8256500000000004</v>
      </c>
      <c r="E5708">
        <v>0.37324819999999997</v>
      </c>
      <c r="F5708" t="s">
        <v>49</v>
      </c>
      <c r="G5708">
        <v>-157.3501</v>
      </c>
      <c r="H5708">
        <v>3.480721</v>
      </c>
      <c r="I5708">
        <v>-43.045160000000003</v>
      </c>
      <c r="J5708">
        <v>-221.8486</v>
      </c>
      <c r="K5708">
        <v>1.1200490000000001</v>
      </c>
      <c r="L5708">
        <v>-63.552489999999999</v>
      </c>
      <c r="M5708">
        <v>0.99993989999999999</v>
      </c>
      <c r="N5708">
        <v>-1.024191E-2</v>
      </c>
      <c r="O5708">
        <v>-3.9229069999999998E-3</v>
      </c>
      <c r="P5708">
        <v>0.98319089999999998</v>
      </c>
      <c r="Q5708">
        <v>0.18133759999999999</v>
      </c>
      <c r="R5708">
        <v>-2.127515E-2</v>
      </c>
      <c r="S5708">
        <v>3.0498810000000001</v>
      </c>
      <c r="T5708">
        <v>0.111302</v>
      </c>
      <c r="U5708">
        <v>0.96685790000000005</v>
      </c>
      <c r="V5708">
        <v>1.7639410000000001E-2</v>
      </c>
      <c r="W5708">
        <v>0.1913783</v>
      </c>
      <c r="X5708">
        <v>0.98135779999999995</v>
      </c>
      <c r="Y5708">
        <v>-0.3057974</v>
      </c>
      <c r="Z5708">
        <v>-4.019702E-3</v>
      </c>
      <c r="AA5708">
        <v>0.95208809999999999</v>
      </c>
      <c r="AB5708">
        <v>40</v>
      </c>
      <c r="AC5708">
        <v>64.498500000000007</v>
      </c>
      <c r="AD5708">
        <v>2.3606720000000001</v>
      </c>
      <c r="AE5708">
        <v>20.50733</v>
      </c>
      <c r="AF5708">
        <v>-20.734980861015899</v>
      </c>
      <c r="AG5708">
        <v>2.3606720000000001</v>
      </c>
      <c r="AH5708">
        <v>64.339275848200501</v>
      </c>
      <c r="AI5708">
        <v>87.999915489826904</v>
      </c>
      <c r="AJ5708">
        <v>107.862866401069</v>
      </c>
      <c r="AK5708">
        <v>67.639150055785805</v>
      </c>
      <c r="AL5708">
        <v>78.966768489483201</v>
      </c>
      <c r="AM5708">
        <v>88.970248237059096</v>
      </c>
      <c r="AN5708">
        <v>0.99999996705843797</v>
      </c>
    </row>
    <row r="5709" spans="1:40" x14ac:dyDescent="0.25">
      <c r="A5709" t="str">
        <f>"20190303171126154"</f>
        <v>20190303171126154</v>
      </c>
      <c r="B5709" t="str">
        <f>"1551604286146725"</f>
        <v>1551604286146725</v>
      </c>
      <c r="C5709" t="s">
        <v>40</v>
      </c>
      <c r="D5709">
        <v>4.8886390000000004</v>
      </c>
      <c r="E5709">
        <v>0.37346600000000002</v>
      </c>
      <c r="F5709" t="s">
        <v>49</v>
      </c>
      <c r="G5709">
        <v>-157.3501</v>
      </c>
      <c r="H5709">
        <v>3.4908489999999999</v>
      </c>
      <c r="I5709">
        <v>-43.21698</v>
      </c>
      <c r="J5709">
        <v>-221.64940000000001</v>
      </c>
      <c r="K5709">
        <v>1.1200479999999999</v>
      </c>
      <c r="L5709">
        <v>-63.553440000000002</v>
      </c>
      <c r="M5709">
        <v>0.99993900000000002</v>
      </c>
      <c r="N5709">
        <v>-1.024335E-2</v>
      </c>
      <c r="O5709">
        <v>-4.1428539999999996E-3</v>
      </c>
      <c r="P5709">
        <v>0.98314330000000005</v>
      </c>
      <c r="Q5709">
        <v>0.18145220000000001</v>
      </c>
      <c r="R5709">
        <v>-2.2458140000000001E-2</v>
      </c>
      <c r="S5709">
        <v>3.0514070000000002</v>
      </c>
      <c r="T5709">
        <v>0.11216089999999999</v>
      </c>
      <c r="U5709">
        <v>0.96206670000000005</v>
      </c>
      <c r="V5709">
        <v>1.86068E-2</v>
      </c>
      <c r="W5709">
        <v>0.191493</v>
      </c>
      <c r="X5709">
        <v>0.98131760000000001</v>
      </c>
      <c r="Y5709">
        <v>-0.304508</v>
      </c>
      <c r="Z5709">
        <v>-4.0552829999999998E-3</v>
      </c>
      <c r="AA5709">
        <v>0.95250109999999999</v>
      </c>
      <c r="AB5709">
        <v>40</v>
      </c>
      <c r="AC5709">
        <v>64.299300000000002</v>
      </c>
      <c r="AD5709">
        <v>2.3708009999999899</v>
      </c>
      <c r="AE5709">
        <v>20.336459999999999</v>
      </c>
      <c r="AF5709">
        <v>-20.577251249121701</v>
      </c>
      <c r="AG5709">
        <v>2.3708009999999899</v>
      </c>
      <c r="AH5709">
        <v>64.135229999901796</v>
      </c>
      <c r="AI5709">
        <v>87.984113827676097</v>
      </c>
      <c r="AJ5709">
        <v>107.788403144472</v>
      </c>
      <c r="AK5709">
        <v>67.397119326358407</v>
      </c>
      <c r="AL5709">
        <v>78.960073275393697</v>
      </c>
      <c r="AM5709">
        <v>88.913742730080202</v>
      </c>
      <c r="AN5709">
        <v>1.0000000070624999</v>
      </c>
    </row>
    <row r="5710" spans="1:40" x14ac:dyDescent="0.25">
      <c r="A5710" t="str">
        <f>"20190303171126167"</f>
        <v>20190303171126167</v>
      </c>
      <c r="B5710" t="str">
        <f>"1551604286156484"</f>
        <v>1551604286156484</v>
      </c>
      <c r="C5710" t="s">
        <v>40</v>
      </c>
      <c r="D5710">
        <v>4.8807349999999996</v>
      </c>
      <c r="E5710">
        <v>0.37373430000000002</v>
      </c>
      <c r="F5710" t="s">
        <v>49</v>
      </c>
      <c r="G5710">
        <v>-157.3501</v>
      </c>
      <c r="H5710">
        <v>3.4916529999999999</v>
      </c>
      <c r="I5710">
        <v>-43.39228</v>
      </c>
      <c r="J5710">
        <v>-221.44720000000001</v>
      </c>
      <c r="K5710">
        <v>1.120044</v>
      </c>
      <c r="L5710">
        <v>-63.55444</v>
      </c>
      <c r="M5710">
        <v>0.99993810000000005</v>
      </c>
      <c r="N5710">
        <v>-1.0242060000000001E-2</v>
      </c>
      <c r="O5710">
        <v>-4.3662450000000004E-3</v>
      </c>
      <c r="P5710">
        <v>0.98319000000000001</v>
      </c>
      <c r="Q5710">
        <v>0.18107029999999999</v>
      </c>
      <c r="R5710">
        <v>-2.348043E-2</v>
      </c>
      <c r="S5710">
        <v>3.052521</v>
      </c>
      <c r="T5710">
        <v>0.1125878</v>
      </c>
      <c r="U5710">
        <v>0.95712280000000005</v>
      </c>
      <c r="V5710">
        <v>1.940886E-2</v>
      </c>
      <c r="W5710">
        <v>0.19110920000000001</v>
      </c>
      <c r="X5710">
        <v>0.9813769</v>
      </c>
      <c r="Y5710">
        <v>-0.30321599999999999</v>
      </c>
      <c r="Z5710">
        <v>-4.0703809999999997E-3</v>
      </c>
      <c r="AA5710">
        <v>0.95291320000000002</v>
      </c>
      <c r="AB5710">
        <v>40</v>
      </c>
      <c r="AC5710">
        <v>64.097099999999998</v>
      </c>
      <c r="AD5710">
        <v>2.3716089999999999</v>
      </c>
      <c r="AE5710">
        <v>20.16216</v>
      </c>
      <c r="AF5710">
        <v>-20.4164122139107</v>
      </c>
      <c r="AG5710">
        <v>2.3716089999999999</v>
      </c>
      <c r="AH5710">
        <v>63.928811686199701</v>
      </c>
      <c r="AI5710">
        <v>87.976052700095295</v>
      </c>
      <c r="AJ5710">
        <v>107.71148924843</v>
      </c>
      <c r="AK5710">
        <v>67.151674443358402</v>
      </c>
      <c r="AL5710">
        <v>78.982477364261001</v>
      </c>
      <c r="AM5710">
        <v>88.866999202924205</v>
      </c>
      <c r="AN5710">
        <v>1.00000002501237</v>
      </c>
    </row>
    <row r="5711" spans="1:40" x14ac:dyDescent="0.25">
      <c r="A5711" t="str">
        <f>"20190303171126177"</f>
        <v>20190303171126177</v>
      </c>
      <c r="B5711" t="str">
        <f>"1551604286166244"</f>
        <v>1551604286166244</v>
      </c>
      <c r="C5711" t="s">
        <v>40</v>
      </c>
      <c r="D5711">
        <v>4.883292</v>
      </c>
      <c r="E5711">
        <v>0.37372539999999999</v>
      </c>
      <c r="F5711" t="s">
        <v>49</v>
      </c>
      <c r="G5711">
        <v>-157.3501</v>
      </c>
      <c r="H5711">
        <v>3.4551120000000002</v>
      </c>
      <c r="I5711">
        <v>-43.57123</v>
      </c>
      <c r="J5711">
        <v>-221.25550000000001</v>
      </c>
      <c r="K5711">
        <v>1.120036</v>
      </c>
      <c r="L5711">
        <v>-63.55545</v>
      </c>
      <c r="M5711">
        <v>0.99993710000000002</v>
      </c>
      <c r="N5711">
        <v>-1.024019E-2</v>
      </c>
      <c r="O5711">
        <v>-4.5777109999999999E-3</v>
      </c>
      <c r="P5711">
        <v>0.9832746</v>
      </c>
      <c r="Q5711">
        <v>0.1805166</v>
      </c>
      <c r="R5711">
        <v>-2.418677E-2</v>
      </c>
      <c r="S5711">
        <v>3.0535739999999998</v>
      </c>
      <c r="T5711">
        <v>0.1112412</v>
      </c>
      <c r="U5711">
        <v>0.95199579999999995</v>
      </c>
      <c r="V5711">
        <v>1.9906219999999999E-2</v>
      </c>
      <c r="W5711">
        <v>0.19055449999999999</v>
      </c>
      <c r="X5711">
        <v>0.98147479999999998</v>
      </c>
      <c r="Y5711">
        <v>-0.30187019999999998</v>
      </c>
      <c r="Z5711">
        <v>-3.9962299999999999E-3</v>
      </c>
      <c r="AA5711">
        <v>0.95334059999999998</v>
      </c>
      <c r="AB5711">
        <v>40</v>
      </c>
      <c r="AC5711">
        <v>63.9054</v>
      </c>
      <c r="AD5711">
        <v>2.3350759999999999</v>
      </c>
      <c r="AE5711">
        <v>19.984220000000001</v>
      </c>
      <c r="AF5711">
        <v>-20.251935846182299</v>
      </c>
      <c r="AG5711">
        <v>2.3350759999999999</v>
      </c>
      <c r="AH5711">
        <v>63.735727774710803</v>
      </c>
      <c r="AI5711">
        <v>88.000240744012899</v>
      </c>
      <c r="AJ5711">
        <v>107.627579754858</v>
      </c>
      <c r="AK5711">
        <v>66.916638292846898</v>
      </c>
      <c r="AL5711">
        <v>79.014854377653904</v>
      </c>
      <c r="AM5711">
        <v>88.838089332023102</v>
      </c>
      <c r="AN5711">
        <v>1.00000002904998</v>
      </c>
    </row>
    <row r="5712" spans="1:40" x14ac:dyDescent="0.25">
      <c r="A5712" t="str">
        <f>"20190303171126188"</f>
        <v>20190303171126188</v>
      </c>
      <c r="B5712" t="str">
        <f>"1551604286176004"</f>
        <v>1551604286176004</v>
      </c>
      <c r="C5712" t="s">
        <v>40</v>
      </c>
      <c r="D5712">
        <v>4.8503639999999999</v>
      </c>
      <c r="E5712">
        <v>0.37372539999999999</v>
      </c>
      <c r="F5712" t="s">
        <v>49</v>
      </c>
      <c r="G5712">
        <v>-157.3501</v>
      </c>
      <c r="H5712">
        <v>3.398803</v>
      </c>
      <c r="I5712">
        <v>-43.677599999999998</v>
      </c>
      <c r="J5712">
        <v>-221.05459999999999</v>
      </c>
      <c r="K5712">
        <v>1.1200270000000001</v>
      </c>
      <c r="L5712">
        <v>-63.556579999999997</v>
      </c>
      <c r="M5712">
        <v>0.99993620000000005</v>
      </c>
      <c r="N5712">
        <v>-1.0235009999999999E-2</v>
      </c>
      <c r="O5712">
        <v>-4.7997689999999997E-3</v>
      </c>
      <c r="P5712">
        <v>0.983379</v>
      </c>
      <c r="Q5712">
        <v>0.1798881</v>
      </c>
      <c r="R5712">
        <v>-2.461551E-2</v>
      </c>
      <c r="S5712">
        <v>3.0543979999999999</v>
      </c>
      <c r="T5712">
        <v>0.108914</v>
      </c>
      <c r="U5712">
        <v>0.95007319999999995</v>
      </c>
      <c r="V5712">
        <v>2.0115959999999999E-2</v>
      </c>
      <c r="W5712">
        <v>0.1899216</v>
      </c>
      <c r="X5712">
        <v>0.9815931</v>
      </c>
      <c r="Y5712">
        <v>-0.30146820000000002</v>
      </c>
      <c r="Z5712">
        <v>-3.885679E-3</v>
      </c>
      <c r="AA5712">
        <v>0.95346830000000005</v>
      </c>
      <c r="AB5712">
        <v>40</v>
      </c>
      <c r="AC5712">
        <v>63.704500000000003</v>
      </c>
      <c r="AD5712">
        <v>2.2787760000000001</v>
      </c>
      <c r="AE5712">
        <v>19.878979999999999</v>
      </c>
      <c r="AF5712">
        <v>-20.161025597312999</v>
      </c>
      <c r="AG5712">
        <v>2.2787760000000001</v>
      </c>
      <c r="AH5712">
        <v>63.534264058979801</v>
      </c>
      <c r="AI5712">
        <v>88.041995884685804</v>
      </c>
      <c r="AJ5712">
        <v>107.60554677720999</v>
      </c>
      <c r="AK5712">
        <v>66.695295806449906</v>
      </c>
      <c r="AL5712">
        <v>79.051790433504095</v>
      </c>
      <c r="AM5712">
        <v>88.825991846743406</v>
      </c>
      <c r="AN5712">
        <v>0.99999993998044401</v>
      </c>
    </row>
    <row r="5713" spans="1:40" x14ac:dyDescent="0.25">
      <c r="A5713" t="str">
        <f>"20190303171126200"</f>
        <v>20190303171126200</v>
      </c>
      <c r="B5713" t="str">
        <f>"1551604286186740"</f>
        <v>1551604286186740</v>
      </c>
      <c r="C5713" t="s">
        <v>40</v>
      </c>
      <c r="D5713">
        <v>4.798508</v>
      </c>
      <c r="E5713">
        <v>0.35741650000000003</v>
      </c>
      <c r="F5713" t="s">
        <v>49</v>
      </c>
      <c r="G5713">
        <v>-157.3501</v>
      </c>
      <c r="H5713">
        <v>3.3532890000000002</v>
      </c>
      <c r="I5713">
        <v>-43.77093</v>
      </c>
      <c r="J5713">
        <v>-220.85319999999999</v>
      </c>
      <c r="K5713">
        <v>1.1200190000000001</v>
      </c>
      <c r="L5713">
        <v>-63.55771</v>
      </c>
      <c r="M5713">
        <v>0.99993529999999997</v>
      </c>
      <c r="N5713">
        <v>-1.0229169999999999E-2</v>
      </c>
      <c r="O5713">
        <v>-5.0220619999999999E-3</v>
      </c>
      <c r="P5713">
        <v>0.98348020000000003</v>
      </c>
      <c r="Q5713">
        <v>0.17929919999999999</v>
      </c>
      <c r="R5713">
        <v>-2.48781E-2</v>
      </c>
      <c r="S5713">
        <v>3.0548549999999999</v>
      </c>
      <c r="T5713">
        <v>0.1070918</v>
      </c>
      <c r="U5713">
        <v>0.94879150000000001</v>
      </c>
      <c r="V5713">
        <v>2.0158559999999999E-2</v>
      </c>
      <c r="W5713">
        <v>0.189328</v>
      </c>
      <c r="X5713">
        <v>0.981707</v>
      </c>
      <c r="Y5713">
        <v>-0.30127959999999998</v>
      </c>
      <c r="Z5713">
        <v>-3.8032550000000002E-3</v>
      </c>
      <c r="AA5713">
        <v>0.95352820000000005</v>
      </c>
      <c r="AB5713">
        <v>40</v>
      </c>
      <c r="AC5713">
        <v>63.503099999999897</v>
      </c>
      <c r="AD5713">
        <v>2.2332700000000001</v>
      </c>
      <c r="AE5713">
        <v>19.78678</v>
      </c>
      <c r="AF5713">
        <v>-20.082823570840802</v>
      </c>
      <c r="AG5713">
        <v>2.2332700000000001</v>
      </c>
      <c r="AH5713">
        <v>63.331527870212902</v>
      </c>
      <c r="AI5713">
        <v>88.074807036557701</v>
      </c>
      <c r="AJ5713">
        <v>107.594146924461</v>
      </c>
      <c r="AK5713">
        <v>66.476986392630494</v>
      </c>
      <c r="AL5713">
        <v>79.086430860400597</v>
      </c>
      <c r="AM5713">
        <v>88.823642783803294</v>
      </c>
      <c r="AN5713">
        <v>1.0000000464871299</v>
      </c>
    </row>
    <row r="5714" spans="1:40" x14ac:dyDescent="0.25">
      <c r="A5714" t="str">
        <f>"20190303171126211"</f>
        <v>20190303171126211</v>
      </c>
      <c r="B5714" t="str">
        <f>"1551604286206260"</f>
        <v>1551604286206260</v>
      </c>
      <c r="C5714" t="s">
        <v>40</v>
      </c>
      <c r="D5714">
        <v>4.8000420000000004</v>
      </c>
      <c r="E5714">
        <v>0.3485337</v>
      </c>
      <c r="F5714" t="s">
        <v>49</v>
      </c>
      <c r="G5714">
        <v>-157.3501</v>
      </c>
      <c r="H5714">
        <v>3.5314169999999998</v>
      </c>
      <c r="I5714">
        <v>-41.162559999999999</v>
      </c>
      <c r="J5714">
        <v>-220.65530000000001</v>
      </c>
      <c r="K5714">
        <v>1.120012</v>
      </c>
      <c r="L5714">
        <v>-63.558869999999999</v>
      </c>
      <c r="M5714">
        <v>0.99993399999999999</v>
      </c>
      <c r="N5714">
        <v>-1.0222190000000001E-2</v>
      </c>
      <c r="O5714">
        <v>-5.2404160000000003E-3</v>
      </c>
      <c r="P5714">
        <v>0.98346330000000004</v>
      </c>
      <c r="Q5714">
        <v>0.17935000000000001</v>
      </c>
      <c r="R5714">
        <v>-2.5171550000000001E-2</v>
      </c>
      <c r="S5714">
        <v>3.0565030000000002</v>
      </c>
      <c r="T5714">
        <v>0.11606320000000001</v>
      </c>
      <c r="U5714">
        <v>1.0779110000000001</v>
      </c>
      <c r="V5714">
        <v>2.0237769999999999E-2</v>
      </c>
      <c r="W5714">
        <v>0.1893715</v>
      </c>
      <c r="X5714">
        <v>0.98169700000000004</v>
      </c>
      <c r="Y5714">
        <v>-0.33736480000000002</v>
      </c>
      <c r="Z5714">
        <v>-4.6854459999999898E-3</v>
      </c>
      <c r="AA5714">
        <v>0.94136229999999999</v>
      </c>
      <c r="AB5714">
        <v>40</v>
      </c>
      <c r="AC5714">
        <v>63.305199999999999</v>
      </c>
      <c r="AD5714">
        <v>2.4114049999999998</v>
      </c>
      <c r="AE5714">
        <v>22.39631</v>
      </c>
      <c r="AF5714">
        <v>-22.698493976205299</v>
      </c>
      <c r="AG5714">
        <v>2.4114049999999998</v>
      </c>
      <c r="AH5714">
        <v>63.105579224303497</v>
      </c>
      <c r="AI5714">
        <v>87.940705711207002</v>
      </c>
      <c r="AJ5714">
        <v>109.78318966131</v>
      </c>
      <c r="AK5714">
        <v>67.107008815001606</v>
      </c>
      <c r="AL5714">
        <v>79.083892792279499</v>
      </c>
      <c r="AM5714">
        <v>88.819009746749302</v>
      </c>
      <c r="AN5714">
        <v>1.0000000660779</v>
      </c>
    </row>
    <row r="5715" spans="1:40" x14ac:dyDescent="0.25">
      <c r="A5715" t="str">
        <f>"20190303171126223"</f>
        <v>20190303171126223</v>
      </c>
      <c r="B5715" t="str">
        <f>"1551604286216020"</f>
        <v>1551604286216020</v>
      </c>
      <c r="C5715" t="s">
        <v>40</v>
      </c>
      <c r="D5715">
        <v>4.8308179999999998</v>
      </c>
      <c r="E5715">
        <v>0.34634559999999998</v>
      </c>
      <c r="F5715" t="s">
        <v>49</v>
      </c>
      <c r="G5715">
        <v>-157.3501</v>
      </c>
      <c r="H5715">
        <v>4.4307730000000003</v>
      </c>
      <c r="I5715">
        <v>-39.767380000000003</v>
      </c>
      <c r="J5715">
        <v>-220.44200000000001</v>
      </c>
      <c r="K5715">
        <v>1.12001</v>
      </c>
      <c r="L5715">
        <v>-63.560180000000003</v>
      </c>
      <c r="M5715">
        <v>0.99993290000000001</v>
      </c>
      <c r="N5715">
        <v>-1.021448E-2</v>
      </c>
      <c r="O5715">
        <v>-5.4758119999999896E-3</v>
      </c>
      <c r="P5715">
        <v>0.98335640000000002</v>
      </c>
      <c r="Q5715">
        <v>0.1798536</v>
      </c>
      <c r="R5715">
        <v>-2.5745230000000001E-2</v>
      </c>
      <c r="S5715">
        <v>3.0506899999999999</v>
      </c>
      <c r="T5715">
        <v>0.1595451</v>
      </c>
      <c r="U5715">
        <v>1.146515</v>
      </c>
      <c r="V5715">
        <v>2.0581370000000002E-2</v>
      </c>
      <c r="W5715">
        <v>0.18986639999999999</v>
      </c>
      <c r="X5715">
        <v>0.98159419999999997</v>
      </c>
      <c r="Y5715">
        <v>-0.35657329999999998</v>
      </c>
      <c r="Z5715">
        <v>-7.4593309999999996E-3</v>
      </c>
      <c r="AA5715">
        <v>0.9342376</v>
      </c>
      <c r="AB5715">
        <v>40</v>
      </c>
      <c r="AC5715">
        <v>63.091900000000003</v>
      </c>
      <c r="AD5715">
        <v>3.3107630000000001</v>
      </c>
      <c r="AE5715">
        <v>23.7928</v>
      </c>
      <c r="AF5715">
        <v>-24.0798888262849</v>
      </c>
      <c r="AG5715">
        <v>3.3107630000000001</v>
      </c>
      <c r="AH5715">
        <v>62.809241753717799</v>
      </c>
      <c r="AI5715">
        <v>87.1822743551038</v>
      </c>
      <c r="AJ5715">
        <v>110.975889621093</v>
      </c>
      <c r="AK5715">
        <v>67.348370783600799</v>
      </c>
      <c r="AL5715">
        <v>79.055012528614199</v>
      </c>
      <c r="AM5715">
        <v>88.798838790413896</v>
      </c>
      <c r="AN5715">
        <v>1.0000000080568301</v>
      </c>
    </row>
    <row r="5716" spans="1:40" x14ac:dyDescent="0.25">
      <c r="A5716" t="str">
        <f>"20190303171126234"</f>
        <v>20190303171126234</v>
      </c>
      <c r="B5716" t="str">
        <f>"1551604286225780"</f>
        <v>1551604286225780</v>
      </c>
      <c r="C5716" t="s">
        <v>40</v>
      </c>
      <c r="D5716">
        <v>4.8116139999999996</v>
      </c>
      <c r="E5716">
        <v>0.34441509999999997</v>
      </c>
      <c r="F5716" t="s">
        <v>49</v>
      </c>
      <c r="G5716">
        <v>-157.3501</v>
      </c>
      <c r="H5716">
        <v>4.6782760000000003</v>
      </c>
      <c r="I5716">
        <v>-39.517620000000001</v>
      </c>
      <c r="J5716">
        <v>-220.24340000000001</v>
      </c>
      <c r="K5716">
        <v>1.12001</v>
      </c>
      <c r="L5716">
        <v>-63.561430000000001</v>
      </c>
      <c r="M5716">
        <v>0.99993180000000004</v>
      </c>
      <c r="N5716">
        <v>-1.020717E-2</v>
      </c>
      <c r="O5716">
        <v>-5.6952359999999898E-3</v>
      </c>
      <c r="P5716">
        <v>0.98323240000000001</v>
      </c>
      <c r="Q5716">
        <v>0.18042830000000001</v>
      </c>
      <c r="R5716">
        <v>-2.6461309999999998E-2</v>
      </c>
      <c r="S5716">
        <v>3.049744</v>
      </c>
      <c r="T5716">
        <v>0.1719986</v>
      </c>
      <c r="U5716">
        <v>1.1621699999999999</v>
      </c>
      <c r="V5716">
        <v>2.1083060000000001E-2</v>
      </c>
      <c r="W5716">
        <v>0.19043189999999999</v>
      </c>
      <c r="X5716">
        <v>0.98147399999999996</v>
      </c>
      <c r="Y5716">
        <v>-0.3609965</v>
      </c>
      <c r="Z5716">
        <v>-8.2881050000000005E-3</v>
      </c>
      <c r="AA5716">
        <v>0.93253030000000003</v>
      </c>
      <c r="AB5716">
        <v>40</v>
      </c>
      <c r="AC5716">
        <v>62.893300000000004</v>
      </c>
      <c r="AD5716">
        <v>3.5582660000000002</v>
      </c>
      <c r="AE5716">
        <v>24.043810000000001</v>
      </c>
      <c r="AF5716">
        <v>-24.333673790946001</v>
      </c>
      <c r="AG5716">
        <v>3.5582660000000002</v>
      </c>
      <c r="AH5716">
        <v>62.580567866086703</v>
      </c>
      <c r="AI5716">
        <v>86.966520168421596</v>
      </c>
      <c r="AJ5716">
        <v>111.247949665907</v>
      </c>
      <c r="AK5716">
        <v>67.239247553291506</v>
      </c>
      <c r="AL5716">
        <v>79.022009637221302</v>
      </c>
      <c r="AM5716">
        <v>88.769417621790296</v>
      </c>
      <c r="AN5716">
        <v>1.0000000083162801</v>
      </c>
    </row>
    <row r="5717" spans="1:40" x14ac:dyDescent="0.25">
      <c r="A5717" t="str">
        <f>"20190303171126246"</f>
        <v>20190303171126246</v>
      </c>
      <c r="B5717" t="str">
        <f>"1551604286236516"</f>
        <v>1551604286236516</v>
      </c>
      <c r="C5717" t="s">
        <v>40</v>
      </c>
      <c r="D5717">
        <v>4.7863889999999998</v>
      </c>
      <c r="E5717">
        <v>0.3429548</v>
      </c>
      <c r="F5717" t="s">
        <v>49</v>
      </c>
      <c r="G5717">
        <v>-157.3501</v>
      </c>
      <c r="H5717">
        <v>4.8879159999999997</v>
      </c>
      <c r="I5717">
        <v>-39.320169999999997</v>
      </c>
      <c r="J5717">
        <v>-220.0488</v>
      </c>
      <c r="K5717">
        <v>1.12001</v>
      </c>
      <c r="L5717">
        <v>-63.562710000000003</v>
      </c>
      <c r="M5717">
        <v>0.99993069999999895</v>
      </c>
      <c r="N5717">
        <v>-1.020017E-2</v>
      </c>
      <c r="O5717">
        <v>-5.9097759999999899E-3</v>
      </c>
      <c r="P5717">
        <v>0.98315960000000002</v>
      </c>
      <c r="Q5717">
        <v>0.18074009999999999</v>
      </c>
      <c r="R5717">
        <v>-2.7030490000000001E-2</v>
      </c>
      <c r="S5717">
        <v>3.0492710000000001</v>
      </c>
      <c r="T5717">
        <v>0.18267910000000001</v>
      </c>
      <c r="U5717">
        <v>1.1752929999999999</v>
      </c>
      <c r="V5717">
        <v>2.144223E-2</v>
      </c>
      <c r="W5717">
        <v>0.19073570000000001</v>
      </c>
      <c r="X5717">
        <v>0.98140720000000004</v>
      </c>
      <c r="Y5717">
        <v>-0.36467759999999999</v>
      </c>
      <c r="Z5717">
        <v>-9.0113899999999993E-3</v>
      </c>
      <c r="AA5717">
        <v>0.93109030000000004</v>
      </c>
      <c r="AB5717">
        <v>40</v>
      </c>
      <c r="AC5717">
        <v>62.698700000000002</v>
      </c>
      <c r="AD5717">
        <v>3.767906</v>
      </c>
      <c r="AE5717">
        <v>24.242539999999899</v>
      </c>
      <c r="AF5717">
        <v>-24.535585933964501</v>
      </c>
      <c r="AG5717">
        <v>3.767906</v>
      </c>
      <c r="AH5717">
        <v>62.358413809353003</v>
      </c>
      <c r="AI5717">
        <v>86.781784963703601</v>
      </c>
      <c r="AJ5717">
        <v>111.477688500067</v>
      </c>
      <c r="AK5717">
        <v>67.117537689983095</v>
      </c>
      <c r="AL5717">
        <v>79.004277911484905</v>
      </c>
      <c r="AM5717">
        <v>88.748374931802303</v>
      </c>
      <c r="AN5717">
        <v>0.999999984346851</v>
      </c>
    </row>
    <row r="5718" spans="1:40" x14ac:dyDescent="0.25">
      <c r="A5718" t="str">
        <f>"20190303171126256"</f>
        <v>20190303171126256</v>
      </c>
      <c r="B5718" t="str">
        <f>"1551604286247255"</f>
        <v>1551604286247255</v>
      </c>
      <c r="C5718" t="s">
        <v>40</v>
      </c>
      <c r="D5718">
        <v>4.8042449999999999</v>
      </c>
      <c r="E5718">
        <v>0.34182960000000001</v>
      </c>
      <c r="F5718" t="s">
        <v>49</v>
      </c>
      <c r="G5718">
        <v>-157.3501</v>
      </c>
      <c r="H5718">
        <v>5.040114</v>
      </c>
      <c r="I5718">
        <v>-39.189819999999997</v>
      </c>
      <c r="J5718">
        <v>-219.85319999999999</v>
      </c>
      <c r="K5718">
        <v>1.120009</v>
      </c>
      <c r="L5718">
        <v>-63.563960000000002</v>
      </c>
      <c r="M5718">
        <v>0.99992919999999996</v>
      </c>
      <c r="N5718">
        <v>-1.019314E-2</v>
      </c>
      <c r="O5718">
        <v>-6.125269E-3</v>
      </c>
      <c r="P5718">
        <v>0.98310489999999995</v>
      </c>
      <c r="Q5718">
        <v>0.18100910000000001</v>
      </c>
      <c r="R5718">
        <v>-2.7208840000000001E-2</v>
      </c>
      <c r="S5718">
        <v>3.0489350000000002</v>
      </c>
      <c r="T5718">
        <v>0.19062699999999999</v>
      </c>
      <c r="U5718">
        <v>1.185211</v>
      </c>
      <c r="V5718">
        <v>2.1409729999999998E-2</v>
      </c>
      <c r="W5718">
        <v>0.19099730000000001</v>
      </c>
      <c r="X5718">
        <v>0.98135700000000003</v>
      </c>
      <c r="Y5718">
        <v>-0.3674944</v>
      </c>
      <c r="Z5718">
        <v>-9.5638660000000007E-3</v>
      </c>
      <c r="AA5718">
        <v>0.92997660000000004</v>
      </c>
      <c r="AB5718">
        <v>40</v>
      </c>
      <c r="AC5718">
        <v>62.503099999999897</v>
      </c>
      <c r="AD5718">
        <v>3.920105</v>
      </c>
      <c r="AE5718">
        <v>24.374139999999901</v>
      </c>
      <c r="AF5718">
        <v>-24.672310287362301</v>
      </c>
      <c r="AG5718">
        <v>3.920105</v>
      </c>
      <c r="AH5718">
        <v>62.140450304673699</v>
      </c>
      <c r="AI5718">
        <v>86.644463636442396</v>
      </c>
      <c r="AJ5718">
        <v>111.65510988735799</v>
      </c>
      <c r="AK5718">
        <v>66.974067236464904</v>
      </c>
      <c r="AL5718">
        <v>78.989008278607997</v>
      </c>
      <c r="AM5718">
        <v>88.750207510603204</v>
      </c>
      <c r="AN5718">
        <v>0.99999995329748004</v>
      </c>
    </row>
    <row r="5719" spans="1:40" x14ac:dyDescent="0.25">
      <c r="A5719" t="str">
        <f>"20190303171126266"</f>
        <v>20190303171126266</v>
      </c>
      <c r="B5719" t="str">
        <f>"1551604286256600"</f>
        <v>1551604286256600</v>
      </c>
      <c r="C5719" t="s">
        <v>40</v>
      </c>
      <c r="D5719">
        <v>4.789237</v>
      </c>
      <c r="E5719">
        <v>0.34098869999999998</v>
      </c>
      <c r="F5719" t="s">
        <v>49</v>
      </c>
      <c r="G5719">
        <v>-157.3501</v>
      </c>
      <c r="H5719">
        <v>5.1446610000000002</v>
      </c>
      <c r="I5719">
        <v>-39.096150000000002</v>
      </c>
      <c r="J5719">
        <v>-219.66300000000001</v>
      </c>
      <c r="K5719">
        <v>1.1200060000000001</v>
      </c>
      <c r="L5719">
        <v>-63.565309999999997</v>
      </c>
      <c r="M5719">
        <v>0.99992820000000004</v>
      </c>
      <c r="N5719">
        <v>-1.0184260000000001E-2</v>
      </c>
      <c r="O5719">
        <v>-6.3352679999999998E-3</v>
      </c>
      <c r="P5719">
        <v>0.98311079999999995</v>
      </c>
      <c r="Q5719">
        <v>0.18100079999999999</v>
      </c>
      <c r="R5719">
        <v>-2.7057669999999999E-2</v>
      </c>
      <c r="S5719">
        <v>3.0484469999999999</v>
      </c>
      <c r="T5719">
        <v>0.19629189999999999</v>
      </c>
      <c r="U5719">
        <v>1.1933590000000001</v>
      </c>
      <c r="V5719">
        <v>2.105226E-2</v>
      </c>
      <c r="W5719">
        <v>0.19098039999999999</v>
      </c>
      <c r="X5719">
        <v>0.98136809999999997</v>
      </c>
      <c r="Y5719">
        <v>-0.36985760000000001</v>
      </c>
      <c r="Z5719">
        <v>-9.9761620000000002E-3</v>
      </c>
      <c r="AA5719">
        <v>0.9290349</v>
      </c>
      <c r="AB5719">
        <v>40</v>
      </c>
      <c r="AC5719">
        <v>62.3128999999999</v>
      </c>
      <c r="AD5719">
        <v>4.0246550000000001</v>
      </c>
      <c r="AE5719">
        <v>24.469159999999899</v>
      </c>
      <c r="AF5719">
        <v>-24.7739186116635</v>
      </c>
      <c r="AG5719">
        <v>4.0246550000000001</v>
      </c>
      <c r="AH5719">
        <v>61.932780867926098</v>
      </c>
      <c r="AI5719">
        <v>86.547182798913298</v>
      </c>
      <c r="AJ5719">
        <v>111.80205249919401</v>
      </c>
      <c r="AK5719">
        <v>66.825251494333401</v>
      </c>
      <c r="AL5719">
        <v>78.9899955826981</v>
      </c>
      <c r="AM5719">
        <v>88.771082255586094</v>
      </c>
      <c r="AN5719">
        <v>1.0000000292664299</v>
      </c>
    </row>
    <row r="5720" spans="1:40" x14ac:dyDescent="0.25">
      <c r="A5720" t="str">
        <f>"20190303171126278"</f>
        <v>20190303171126278</v>
      </c>
      <c r="B5720" t="str">
        <f>"1551604286266361"</f>
        <v>1551604286266361</v>
      </c>
      <c r="C5720" t="s">
        <v>40</v>
      </c>
      <c r="D5720">
        <v>4.822292</v>
      </c>
      <c r="E5720">
        <v>0.34020099999999998</v>
      </c>
      <c r="F5720" t="s">
        <v>49</v>
      </c>
      <c r="G5720">
        <v>-157.3501</v>
      </c>
      <c r="H5720">
        <v>5.210407</v>
      </c>
      <c r="I5720">
        <v>-39.022089999999999</v>
      </c>
      <c r="J5720">
        <v>-219.4692</v>
      </c>
      <c r="K5720">
        <v>1.120009</v>
      </c>
      <c r="L5720">
        <v>-63.566679999999998</v>
      </c>
      <c r="M5720">
        <v>0.99992689999999995</v>
      </c>
      <c r="N5720">
        <v>-1.017505E-2</v>
      </c>
      <c r="O5720">
        <v>-6.5490799999999997E-3</v>
      </c>
      <c r="P5720">
        <v>0.98313689999999998</v>
      </c>
      <c r="Q5720">
        <v>0.18087790000000001</v>
      </c>
      <c r="R5720">
        <v>-2.6933209999999999E-2</v>
      </c>
      <c r="S5720">
        <v>3.0477289999999999</v>
      </c>
      <c r="T5720">
        <v>0.20006060000000001</v>
      </c>
      <c r="U5720">
        <v>1.2004090000000001</v>
      </c>
      <c r="V5720">
        <v>2.0717570000000001E-2</v>
      </c>
      <c r="W5720">
        <v>0.19084950000000001</v>
      </c>
      <c r="X5720">
        <v>0.98140070000000001</v>
      </c>
      <c r="Y5720">
        <v>-0.37196370000000001</v>
      </c>
      <c r="Z5720">
        <v>-1.027321E-2</v>
      </c>
      <c r="AA5720">
        <v>0.92819039999999997</v>
      </c>
      <c r="AB5720">
        <v>40</v>
      </c>
      <c r="AC5720">
        <v>62.119100000000003</v>
      </c>
      <c r="AD5720">
        <v>4.0903980000000004</v>
      </c>
      <c r="AE5720">
        <v>24.544589999999999</v>
      </c>
      <c r="AF5720">
        <v>-24.857681307829399</v>
      </c>
      <c r="AG5720">
        <v>4.0903980000000004</v>
      </c>
      <c r="AH5720">
        <v>61.725519538876298</v>
      </c>
      <c r="AI5720">
        <v>86.482443973245594</v>
      </c>
      <c r="AJ5720">
        <v>111.935296682211</v>
      </c>
      <c r="AK5720">
        <v>66.668399096905105</v>
      </c>
      <c r="AL5720">
        <v>78.9976362739488</v>
      </c>
      <c r="AM5720">
        <v>88.790653970033702</v>
      </c>
      <c r="AN5720">
        <v>1.00000004165872</v>
      </c>
    </row>
    <row r="5721" spans="1:40" x14ac:dyDescent="0.25">
      <c r="A5721" t="str">
        <f>"20190303171126289"</f>
        <v>20190303171126289</v>
      </c>
      <c r="B5721" t="str">
        <f>"1551604286276120"</f>
        <v>1551604286276120</v>
      </c>
      <c r="C5721" t="s">
        <v>40</v>
      </c>
      <c r="D5721">
        <v>4.8114710000000001</v>
      </c>
      <c r="E5721">
        <v>0.3394914</v>
      </c>
      <c r="F5721" t="s">
        <v>49</v>
      </c>
      <c r="G5721">
        <v>-157.3501</v>
      </c>
      <c r="H5721">
        <v>5.2356959999999999</v>
      </c>
      <c r="I5721">
        <v>-38.967610000000001</v>
      </c>
      <c r="J5721">
        <v>-219.26009999999999</v>
      </c>
      <c r="K5721">
        <v>1.120009</v>
      </c>
      <c r="L5721">
        <v>-63.568240000000003</v>
      </c>
      <c r="M5721">
        <v>0.99992550000000002</v>
      </c>
      <c r="N5721">
        <v>-1.016417E-2</v>
      </c>
      <c r="O5721">
        <v>-6.7796920000000004E-3</v>
      </c>
      <c r="P5721">
        <v>0.98319939999999995</v>
      </c>
      <c r="Q5721">
        <v>0.18058969999999999</v>
      </c>
      <c r="R5721">
        <v>-2.6582560000000002E-2</v>
      </c>
      <c r="S5721">
        <v>3.0473789999999998</v>
      </c>
      <c r="T5721">
        <v>0.20190230000000001</v>
      </c>
      <c r="U5721">
        <v>1.2067570000000001</v>
      </c>
      <c r="V5721">
        <v>2.013964E-2</v>
      </c>
      <c r="W5721">
        <v>0.19055169999999999</v>
      </c>
      <c r="X5721">
        <v>0.98147050000000002</v>
      </c>
      <c r="Y5721">
        <v>-0.3738708</v>
      </c>
      <c r="Z5721">
        <v>-1.0450849999999999E-2</v>
      </c>
      <c r="AA5721">
        <v>0.92742190000000002</v>
      </c>
      <c r="AB5721">
        <v>40</v>
      </c>
      <c r="AC5721">
        <v>61.91</v>
      </c>
      <c r="AD5721">
        <v>4.1156869999999897</v>
      </c>
      <c r="AE5721">
        <v>24.600629999999999</v>
      </c>
      <c r="AF5721">
        <v>-24.924685657739101</v>
      </c>
      <c r="AG5721">
        <v>4.1156869999999897</v>
      </c>
      <c r="AH5721">
        <v>61.507026869159901</v>
      </c>
      <c r="AI5721">
        <v>86.451310380911195</v>
      </c>
      <c r="AJ5721">
        <v>112.059422199922</v>
      </c>
      <c r="AK5721">
        <v>66.492805542424193</v>
      </c>
      <c r="AL5721">
        <v>79.015016909082803</v>
      </c>
      <c r="AM5721">
        <v>88.824463439325299</v>
      </c>
      <c r="AN5721">
        <v>0.99999994892123301</v>
      </c>
    </row>
    <row r="5722" spans="1:40" x14ac:dyDescent="0.25">
      <c r="A5722" t="str">
        <f>"20190303171126301"</f>
        <v>20190303171126301</v>
      </c>
      <c r="B5722" t="str">
        <f>"1551604286296615"</f>
        <v>1551604286296615</v>
      </c>
      <c r="C5722" t="s">
        <v>40</v>
      </c>
      <c r="D5722">
        <v>4.8208989999999998</v>
      </c>
      <c r="E5722">
        <v>0.33927360000000001</v>
      </c>
      <c r="F5722" t="s">
        <v>49</v>
      </c>
      <c r="G5722">
        <v>-157.3501</v>
      </c>
      <c r="H5722">
        <v>5.2478210000000001</v>
      </c>
      <c r="I5722">
        <v>-38.916939999999997</v>
      </c>
      <c r="J5722">
        <v>-219.0626</v>
      </c>
      <c r="K5722">
        <v>1.12001</v>
      </c>
      <c r="L5722">
        <v>-63.569760000000002</v>
      </c>
      <c r="M5722">
        <v>0.99992409999999998</v>
      </c>
      <c r="N5722">
        <v>-1.0154089999999999E-2</v>
      </c>
      <c r="O5722">
        <v>-6.9975519999999998E-3</v>
      </c>
      <c r="P5722">
        <v>0.98312580000000005</v>
      </c>
      <c r="Q5722">
        <v>0.1810263</v>
      </c>
      <c r="R5722">
        <v>-2.6333530000000001E-2</v>
      </c>
      <c r="S5722">
        <v>3.046783</v>
      </c>
      <c r="T5722">
        <v>0.20314119999999999</v>
      </c>
      <c r="U5722">
        <v>1.213165</v>
      </c>
      <c r="V5722">
        <v>1.967764E-2</v>
      </c>
      <c r="W5722">
        <v>0.1909786</v>
      </c>
      <c r="X5722">
        <v>0.98139690000000002</v>
      </c>
      <c r="Y5722">
        <v>-0.37580750000000002</v>
      </c>
      <c r="Z5722">
        <v>-1.059331E-2</v>
      </c>
      <c r="AA5722">
        <v>0.92663720000000005</v>
      </c>
      <c r="AB5722">
        <v>40</v>
      </c>
      <c r="AC5722">
        <v>61.712499999999999</v>
      </c>
      <c r="AD5722">
        <v>4.1278110000000003</v>
      </c>
      <c r="AE5722">
        <v>24.652819999999899</v>
      </c>
      <c r="AF5722">
        <v>-24.987666088194999</v>
      </c>
      <c r="AG5722">
        <v>4.1278110000000003</v>
      </c>
      <c r="AH5722">
        <v>61.301951822746098</v>
      </c>
      <c r="AI5722">
        <v>86.431967187838396</v>
      </c>
      <c r="AJ5722">
        <v>112.176602992071</v>
      </c>
      <c r="AK5722">
        <v>66.327607958263798</v>
      </c>
      <c r="AL5722">
        <v>78.990099823870196</v>
      </c>
      <c r="AM5722">
        <v>88.851336629615801</v>
      </c>
      <c r="AN5722">
        <v>0.99999995525176799</v>
      </c>
    </row>
    <row r="5723" spans="1:40" x14ac:dyDescent="0.25">
      <c r="A5723" t="str">
        <f>"20190303171126312"</f>
        <v>20190303171126312</v>
      </c>
      <c r="B5723" t="str">
        <f>"1551604286306376"</f>
        <v>1551604286306376</v>
      </c>
      <c r="C5723" t="s">
        <v>40</v>
      </c>
      <c r="D5723">
        <v>4.8509099999999998</v>
      </c>
      <c r="E5723">
        <v>0.33966729999999901</v>
      </c>
      <c r="F5723" t="s">
        <v>49</v>
      </c>
      <c r="G5723">
        <v>-157.3501</v>
      </c>
      <c r="H5723">
        <v>5.2255699999999896</v>
      </c>
      <c r="I5723">
        <v>-38.94408</v>
      </c>
      <c r="J5723">
        <v>-218.8578</v>
      </c>
      <c r="K5723">
        <v>1.1200159999999999</v>
      </c>
      <c r="L5723">
        <v>-63.571319999999901</v>
      </c>
      <c r="M5723">
        <v>0.99992259999999999</v>
      </c>
      <c r="N5723">
        <v>-1.014398E-2</v>
      </c>
      <c r="O5723">
        <v>-7.223279E-3</v>
      </c>
      <c r="P5723">
        <v>0.9829485</v>
      </c>
      <c r="Q5723">
        <v>0.18195900000000001</v>
      </c>
      <c r="R5723">
        <v>-2.652767E-2</v>
      </c>
      <c r="S5723">
        <v>3.0467219999999999</v>
      </c>
      <c r="T5723">
        <v>0.2026887</v>
      </c>
      <c r="U5723">
        <v>1.215759</v>
      </c>
      <c r="V5723">
        <v>1.965215E-2</v>
      </c>
      <c r="W5723">
        <v>0.19189970000000001</v>
      </c>
      <c r="X5723">
        <v>0.98121769999999997</v>
      </c>
      <c r="Y5723">
        <v>-0.37670480000000001</v>
      </c>
      <c r="Z5723">
        <v>-1.060613E-2</v>
      </c>
      <c r="AA5723">
        <v>0.9262726</v>
      </c>
      <c r="AB5723">
        <v>40</v>
      </c>
      <c r="AC5723">
        <v>61.5077</v>
      </c>
      <c r="AD5723">
        <v>4.1055539999999997</v>
      </c>
      <c r="AE5723">
        <v>24.62724</v>
      </c>
      <c r="AF5723">
        <v>-24.9750084296195</v>
      </c>
      <c r="AG5723">
        <v>4.1055539999999997</v>
      </c>
      <c r="AH5723">
        <v>61.093609263520797</v>
      </c>
      <c r="AI5723">
        <v>86.440555075664406</v>
      </c>
      <c r="AJ5723">
        <v>112.23469645128</v>
      </c>
      <c r="AK5723">
        <v>66.128932492141701</v>
      </c>
      <c r="AL5723">
        <v>78.936329989807007</v>
      </c>
      <c r="AM5723">
        <v>88.852614733078795</v>
      </c>
      <c r="AN5723">
        <v>0.99999993832649903</v>
      </c>
    </row>
    <row r="5724" spans="1:40" x14ac:dyDescent="0.25">
      <c r="A5724" t="str">
        <f>"20190303171126323"</f>
        <v>20190303171126323</v>
      </c>
      <c r="B5724" t="str">
        <f>"1551604286316135"</f>
        <v>1551604286316135</v>
      </c>
      <c r="C5724" t="s">
        <v>40</v>
      </c>
      <c r="D5724">
        <v>4.853154</v>
      </c>
      <c r="E5724">
        <v>0.33999499999999999</v>
      </c>
      <c r="F5724" t="s">
        <v>49</v>
      </c>
      <c r="G5724">
        <v>-157.3501</v>
      </c>
      <c r="H5724">
        <v>5.1858519999999997</v>
      </c>
      <c r="I5724">
        <v>-39.109119999999997</v>
      </c>
      <c r="J5724">
        <v>-218.65950000000001</v>
      </c>
      <c r="K5724">
        <v>1.120023</v>
      </c>
      <c r="L5724">
        <v>-63.572940000000003</v>
      </c>
      <c r="M5724">
        <v>0.99992099999999995</v>
      </c>
      <c r="N5724">
        <v>-1.013468E-2</v>
      </c>
      <c r="O5724">
        <v>-7.4420969999999999E-3</v>
      </c>
      <c r="P5724">
        <v>0.98278679999999996</v>
      </c>
      <c r="Q5724">
        <v>0.18283170000000001</v>
      </c>
      <c r="R5724">
        <v>-2.650543E-2</v>
      </c>
      <c r="S5724">
        <v>3.0474700000000001</v>
      </c>
      <c r="T5724">
        <v>0.20144519999999999</v>
      </c>
      <c r="U5724">
        <v>1.2120059999999999</v>
      </c>
      <c r="V5724">
        <v>1.9417750000000001E-2</v>
      </c>
      <c r="W5724">
        <v>0.19276160000000001</v>
      </c>
      <c r="X5724">
        <v>0.98105350000000002</v>
      </c>
      <c r="Y5724">
        <v>-0.3758532</v>
      </c>
      <c r="Z5724">
        <v>-1.0525049999999999E-2</v>
      </c>
      <c r="AA5724">
        <v>0.92661950000000004</v>
      </c>
      <c r="AB5724">
        <v>40</v>
      </c>
      <c r="AC5724">
        <v>61.309399999999997</v>
      </c>
      <c r="AD5724">
        <v>4.0658289999999999</v>
      </c>
      <c r="AE5724">
        <v>24.463819999999998</v>
      </c>
      <c r="AF5724">
        <v>-24.825253407895001</v>
      </c>
      <c r="AG5724">
        <v>4.0658289999999999</v>
      </c>
      <c r="AH5724">
        <v>60.894606327598801</v>
      </c>
      <c r="AI5724">
        <v>86.462031081504193</v>
      </c>
      <c r="AJ5724">
        <v>112.179530097419</v>
      </c>
      <c r="AK5724">
        <v>65.886093009197893</v>
      </c>
      <c r="AL5724">
        <v>78.8860082299162</v>
      </c>
      <c r="AM5724">
        <v>88.866106818355803</v>
      </c>
      <c r="AN5724">
        <v>1.0000000266559299</v>
      </c>
    </row>
    <row r="5725" spans="1:40" x14ac:dyDescent="0.25">
      <c r="A5725" t="str">
        <f>"20190303171126333"</f>
        <v>20190303171126333</v>
      </c>
      <c r="B5725" t="str">
        <f>"1551604286325896"</f>
        <v>1551604286325896</v>
      </c>
      <c r="C5725" t="s">
        <v>40</v>
      </c>
      <c r="D5725">
        <v>4.8474259999999996</v>
      </c>
      <c r="E5725">
        <v>0.340304</v>
      </c>
      <c r="F5725" t="s">
        <v>49</v>
      </c>
      <c r="G5725">
        <v>-157.3501</v>
      </c>
      <c r="H5725">
        <v>5.1709350000000001</v>
      </c>
      <c r="I5725">
        <v>-39.236879999999999</v>
      </c>
      <c r="J5725">
        <v>-218.4666</v>
      </c>
      <c r="K5725">
        <v>1.1200270000000001</v>
      </c>
      <c r="L5725">
        <v>-63.5745199999999</v>
      </c>
      <c r="M5725">
        <v>0.99991949999999996</v>
      </c>
      <c r="N5725">
        <v>-1.012593E-2</v>
      </c>
      <c r="O5725">
        <v>-7.6548390000000001E-3</v>
      </c>
      <c r="P5725">
        <v>0.98260289999999995</v>
      </c>
      <c r="Q5725">
        <v>0.18381110000000001</v>
      </c>
      <c r="R5725">
        <v>-2.655799E-2</v>
      </c>
      <c r="S5725">
        <v>3.0476990000000002</v>
      </c>
      <c r="T5725">
        <v>0.2013701</v>
      </c>
      <c r="U5725">
        <v>1.2097469999999999</v>
      </c>
      <c r="V5725">
        <v>1.9263700000000002E-2</v>
      </c>
      <c r="W5725">
        <v>0.1937305</v>
      </c>
      <c r="X5725">
        <v>0.98086569999999995</v>
      </c>
      <c r="Y5725">
        <v>-0.37543359999999998</v>
      </c>
      <c r="Z5725">
        <v>-1.052757E-2</v>
      </c>
      <c r="AA5725">
        <v>0.92678950000000004</v>
      </c>
      <c r="AB5725">
        <v>40</v>
      </c>
      <c r="AC5725">
        <v>61.116500000000002</v>
      </c>
      <c r="AD5725">
        <v>4.0509079999999997</v>
      </c>
      <c r="AE5725">
        <v>24.33764</v>
      </c>
      <c r="AF5725">
        <v>-24.711084518393601</v>
      </c>
      <c r="AG5725">
        <v>4.0509079999999997</v>
      </c>
      <c r="AH5725">
        <v>60.6982340807863</v>
      </c>
      <c r="AI5725">
        <v>86.4629140587476</v>
      </c>
      <c r="AJ5725">
        <v>112.151913193997</v>
      </c>
      <c r="AK5725">
        <v>65.660666873140897</v>
      </c>
      <c r="AL5725">
        <v>78.829428193160197</v>
      </c>
      <c r="AM5725">
        <v>88.874884875240198</v>
      </c>
      <c r="AN5725">
        <v>1.00000005910221</v>
      </c>
    </row>
    <row r="5726" spans="1:40" x14ac:dyDescent="0.25">
      <c r="A5726" t="str">
        <f>"20190303171126345"</f>
        <v>20190303171126345</v>
      </c>
      <c r="B5726" t="str">
        <f>"1551604286336632"</f>
        <v>1551604286336632</v>
      </c>
      <c r="C5726" t="s">
        <v>40</v>
      </c>
      <c r="D5726">
        <v>4.8673279999999997</v>
      </c>
      <c r="E5726">
        <v>0.34054859999999998</v>
      </c>
      <c r="F5726" t="s">
        <v>49</v>
      </c>
      <c r="G5726">
        <v>-157.3501</v>
      </c>
      <c r="H5726">
        <v>5.1502869999999996</v>
      </c>
      <c r="I5726">
        <v>-39.372549999999997</v>
      </c>
      <c r="J5726">
        <v>-218.2698</v>
      </c>
      <c r="K5726">
        <v>1.1200270000000001</v>
      </c>
      <c r="L5726">
        <v>-63.5762</v>
      </c>
      <c r="M5726">
        <v>0.99991799999999997</v>
      </c>
      <c r="N5726">
        <v>-1.011767E-2</v>
      </c>
      <c r="O5726">
        <v>-7.8717549999999994E-3</v>
      </c>
      <c r="P5726">
        <v>0.98248760000000002</v>
      </c>
      <c r="Q5726">
        <v>0.18439759999999999</v>
      </c>
      <c r="R5726">
        <v>-2.6758779999999999E-2</v>
      </c>
      <c r="S5726">
        <v>3.0481569999999998</v>
      </c>
      <c r="T5726">
        <v>0.2010064</v>
      </c>
      <c r="U5726">
        <v>1.2070620000000001</v>
      </c>
      <c r="V5726">
        <v>1.9253019999999999E-2</v>
      </c>
      <c r="W5726">
        <v>0.1943078</v>
      </c>
      <c r="X5726">
        <v>0.98075159999999995</v>
      </c>
      <c r="Y5726">
        <v>-0.37488379999999999</v>
      </c>
      <c r="Z5726">
        <v>-1.050857E-2</v>
      </c>
      <c r="AA5726">
        <v>0.92701230000000001</v>
      </c>
      <c r="AB5726">
        <v>40</v>
      </c>
      <c r="AC5726">
        <v>60.919699999999999</v>
      </c>
      <c r="AD5726">
        <v>4.0302600000000002</v>
      </c>
      <c r="AE5726">
        <v>24.20365</v>
      </c>
      <c r="AF5726">
        <v>-24.5895197149528</v>
      </c>
      <c r="AG5726">
        <v>4.0302600000000002</v>
      </c>
      <c r="AH5726">
        <v>60.498589442234099</v>
      </c>
      <c r="AI5726">
        <v>86.4684953246432</v>
      </c>
      <c r="AJ5726">
        <v>112.11917625480601</v>
      </c>
      <c r="AK5726">
        <v>65.429097502408396</v>
      </c>
      <c r="AL5726">
        <v>78.795709397760604</v>
      </c>
      <c r="AM5726">
        <v>88.875377701801597</v>
      </c>
      <c r="AN5726">
        <v>0.999999950411258</v>
      </c>
    </row>
    <row r="5727" spans="1:40" x14ac:dyDescent="0.25">
      <c r="A5727" t="str">
        <f>"20190303171126355"</f>
        <v>20190303171126355</v>
      </c>
      <c r="B5727" t="str">
        <f>"1551604286346392"</f>
        <v>1551604286346392</v>
      </c>
      <c r="C5727" t="s">
        <v>40</v>
      </c>
      <c r="D5727">
        <v>4.8622569999999996</v>
      </c>
      <c r="E5727">
        <v>0.34066410000000003</v>
      </c>
      <c r="F5727" t="s">
        <v>49</v>
      </c>
      <c r="G5727">
        <v>-157.3501</v>
      </c>
      <c r="H5727">
        <v>5.1216549999999996</v>
      </c>
      <c r="I5727">
        <v>-39.506259999999997</v>
      </c>
      <c r="J5727">
        <v>-218.07169999999999</v>
      </c>
      <c r="K5727">
        <v>1.1200289999999999</v>
      </c>
      <c r="L5727">
        <v>-63.57788</v>
      </c>
      <c r="M5727">
        <v>0.99991629999999998</v>
      </c>
      <c r="N5727">
        <v>-1.010954E-2</v>
      </c>
      <c r="O5727">
        <v>-8.0902230000000006E-3</v>
      </c>
      <c r="P5727">
        <v>0.98244350000000003</v>
      </c>
      <c r="Q5727">
        <v>0.18464</v>
      </c>
      <c r="R5727">
        <v>-2.6703540000000001E-2</v>
      </c>
      <c r="S5727">
        <v>3.0486759999999999</v>
      </c>
      <c r="T5727">
        <v>0.2002573</v>
      </c>
      <c r="U5727">
        <v>1.2045589999999999</v>
      </c>
      <c r="V5727">
        <v>1.8984259999999999E-2</v>
      </c>
      <c r="W5727">
        <v>0.19454250000000001</v>
      </c>
      <c r="X5727">
        <v>0.98071030000000003</v>
      </c>
      <c r="Y5727">
        <v>-0.37437920000000002</v>
      </c>
      <c r="Z5727">
        <v>-1.046677E-2</v>
      </c>
      <c r="AA5727">
        <v>0.92721659999999995</v>
      </c>
      <c r="AB5727">
        <v>40</v>
      </c>
      <c r="AC5727">
        <v>60.721600000000002</v>
      </c>
      <c r="AD5727">
        <v>4.0016259999999999</v>
      </c>
      <c r="AE5727">
        <v>24.071619999999999</v>
      </c>
      <c r="AF5727">
        <v>-24.470267954163599</v>
      </c>
      <c r="AG5727">
        <v>4.0016259999999999</v>
      </c>
      <c r="AH5727">
        <v>60.298548576807796</v>
      </c>
      <c r="AI5727">
        <v>86.481149393607495</v>
      </c>
      <c r="AJ5727">
        <v>112.088225450267</v>
      </c>
      <c r="AK5727">
        <v>65.197561187993102</v>
      </c>
      <c r="AL5727">
        <v>78.782000350883806</v>
      </c>
      <c r="AM5727">
        <v>88.891026083030297</v>
      </c>
      <c r="AN5727">
        <v>0.99999993948004195</v>
      </c>
    </row>
    <row r="5728" spans="1:40" x14ac:dyDescent="0.25">
      <c r="A5728" t="str">
        <f>"20190303171126367"</f>
        <v>20190303171126367</v>
      </c>
      <c r="B5728" t="str">
        <f>"1551604286356152"</f>
        <v>1551604286356152</v>
      </c>
      <c r="C5728" t="s">
        <v>40</v>
      </c>
      <c r="D5728">
        <v>4.9045959999999997</v>
      </c>
      <c r="E5728">
        <v>0.34077039999999997</v>
      </c>
      <c r="F5728" t="s">
        <v>49</v>
      </c>
      <c r="G5728">
        <v>-157.3501</v>
      </c>
      <c r="H5728">
        <v>5.0687949999999997</v>
      </c>
      <c r="I5728">
        <v>-39.608049999999999</v>
      </c>
      <c r="J5728">
        <v>-217.8717</v>
      </c>
      <c r="K5728">
        <v>1.1200300000000001</v>
      </c>
      <c r="L5728">
        <v>-63.579680000000003</v>
      </c>
      <c r="M5728">
        <v>0.99991450000000004</v>
      </c>
      <c r="N5728">
        <v>-1.0102119999999999E-2</v>
      </c>
      <c r="O5728">
        <v>-8.3090430000000003E-3</v>
      </c>
      <c r="P5728">
        <v>0.98244260000000005</v>
      </c>
      <c r="Q5728">
        <v>0.18465329999999999</v>
      </c>
      <c r="R5728">
        <v>-2.6646469999999998E-2</v>
      </c>
      <c r="S5728">
        <v>3.0490569999999999</v>
      </c>
      <c r="T5728">
        <v>0.19828100000000001</v>
      </c>
      <c r="U5728">
        <v>1.2036129999999901</v>
      </c>
      <c r="V5728">
        <v>1.8711849999999999E-2</v>
      </c>
      <c r="W5728">
        <v>0.19454869999999999</v>
      </c>
      <c r="X5728">
        <v>0.98071439999999999</v>
      </c>
      <c r="Y5728">
        <v>-0.37430600000000003</v>
      </c>
      <c r="Z5728">
        <v>-1.035983E-2</v>
      </c>
      <c r="AA5728">
        <v>0.9272473</v>
      </c>
      <c r="AB5728">
        <v>40</v>
      </c>
      <c r="AC5728">
        <v>60.521599999999999</v>
      </c>
      <c r="AD5728">
        <v>3.9487649999999999</v>
      </c>
      <c r="AE5728">
        <v>23.971630000000001</v>
      </c>
      <c r="AF5728">
        <v>-24.3839788571055</v>
      </c>
      <c r="AG5728">
        <v>3.9487649999999999</v>
      </c>
      <c r="AH5728">
        <v>60.099172088635001</v>
      </c>
      <c r="AI5728">
        <v>86.515918639717995</v>
      </c>
      <c r="AJ5728">
        <v>112.083822812552</v>
      </c>
      <c r="AK5728">
        <v>64.977547319580793</v>
      </c>
      <c r="AL5728">
        <v>78.781639251028196</v>
      </c>
      <c r="AM5728">
        <v>88.906939712990507</v>
      </c>
      <c r="AN5728">
        <v>1.00000003218473</v>
      </c>
    </row>
    <row r="5729" spans="1:40" x14ac:dyDescent="0.25">
      <c r="A5729" t="str">
        <f>"20190303171126378"</f>
        <v>20190303171126378</v>
      </c>
      <c r="B5729" t="str">
        <f>"1551604286365911"</f>
        <v>1551604286365911</v>
      </c>
      <c r="C5729" t="s">
        <v>40</v>
      </c>
      <c r="D5729">
        <v>4.8789069999999999</v>
      </c>
      <c r="E5729">
        <v>0.34084609999999999</v>
      </c>
      <c r="F5729" t="s">
        <v>49</v>
      </c>
      <c r="G5729">
        <v>-157.3501</v>
      </c>
      <c r="H5729">
        <v>5.0005199999999999</v>
      </c>
      <c r="I5729">
        <v>-39.70908</v>
      </c>
      <c r="J5729">
        <v>-217.67400000000001</v>
      </c>
      <c r="K5729">
        <v>1.1200319999999999</v>
      </c>
      <c r="L5729">
        <v>-63.581449999999997</v>
      </c>
      <c r="M5729">
        <v>0.99991269999999999</v>
      </c>
      <c r="N5729">
        <v>-1.009494E-2</v>
      </c>
      <c r="O5729">
        <v>-8.5247610000000005E-3</v>
      </c>
      <c r="P5729">
        <v>0.98241520000000004</v>
      </c>
      <c r="Q5729">
        <v>0.1847935</v>
      </c>
      <c r="R5729">
        <v>-2.6680639999999999E-2</v>
      </c>
      <c r="S5729">
        <v>3.0494840000000001</v>
      </c>
      <c r="T5729">
        <v>0.19552349999999999</v>
      </c>
      <c r="U5729">
        <v>1.2027589999999999</v>
      </c>
      <c r="V5729">
        <v>1.8534559999999999E-2</v>
      </c>
      <c r="W5729">
        <v>0.19468189999999999</v>
      </c>
      <c r="X5729">
        <v>0.98069130000000004</v>
      </c>
      <c r="Y5729">
        <v>-0.37425399999999998</v>
      </c>
      <c r="Z5729">
        <v>-1.020454E-2</v>
      </c>
      <c r="AA5729">
        <v>0.92727009999999999</v>
      </c>
      <c r="AB5729">
        <v>40</v>
      </c>
      <c r="AC5729">
        <v>60.323900000000002</v>
      </c>
      <c r="AD5729">
        <v>3.8804880000000002</v>
      </c>
      <c r="AE5729">
        <v>23.87237</v>
      </c>
      <c r="AF5729">
        <v>-24.298840753204299</v>
      </c>
      <c r="AG5729">
        <v>3.8804880000000002</v>
      </c>
      <c r="AH5729">
        <v>59.903871155336702</v>
      </c>
      <c r="AI5729">
        <v>86.564762473516794</v>
      </c>
      <c r="AJ5729">
        <v>112.07897811252499</v>
      </c>
      <c r="AK5729">
        <v>64.760834062440196</v>
      </c>
      <c r="AL5729">
        <v>78.773858308923096</v>
      </c>
      <c r="AM5729">
        <v>88.917268206122799</v>
      </c>
      <c r="AN5729">
        <v>0.99999999899884595</v>
      </c>
    </row>
    <row r="5730" spans="1:40" x14ac:dyDescent="0.25">
      <c r="A5730" t="str">
        <f>"20190303171126390"</f>
        <v>20190303171126390</v>
      </c>
      <c r="B5730" t="str">
        <f>"1551604286386408"</f>
        <v>1551604286386408</v>
      </c>
      <c r="C5730" t="s">
        <v>40</v>
      </c>
      <c r="D5730">
        <v>4.9163769999999998</v>
      </c>
      <c r="E5730">
        <v>0.34104959999999901</v>
      </c>
      <c r="F5730" t="s">
        <v>49</v>
      </c>
      <c r="G5730">
        <v>-157.3501</v>
      </c>
      <c r="H5730">
        <v>4.95648</v>
      </c>
      <c r="I5730">
        <v>-39.807510000000001</v>
      </c>
      <c r="J5730">
        <v>-217.46180000000001</v>
      </c>
      <c r="K5730">
        <v>1.1200330000000001</v>
      </c>
      <c r="L5730">
        <v>-63.583469999999998</v>
      </c>
      <c r="M5730">
        <v>0.99991079999999999</v>
      </c>
      <c r="N5730">
        <v>-1.008796E-2</v>
      </c>
      <c r="O5730">
        <v>-8.7524999999999999E-3</v>
      </c>
      <c r="P5730">
        <v>0.98236780000000001</v>
      </c>
      <c r="Q5730">
        <v>0.18500069999999999</v>
      </c>
      <c r="R5730">
        <v>-2.699097E-2</v>
      </c>
      <c r="S5730">
        <v>3.0498660000000002</v>
      </c>
      <c r="T5730">
        <v>0.19396260000000001</v>
      </c>
      <c r="U5730">
        <v>1.201965</v>
      </c>
      <c r="V5730">
        <v>1.8620680000000001E-2</v>
      </c>
      <c r="W5730">
        <v>0.1948821</v>
      </c>
      <c r="X5730">
        <v>0.98064989999999996</v>
      </c>
      <c r="Y5730">
        <v>-0.37422620000000001</v>
      </c>
      <c r="Z5730">
        <v>-1.0124319999999999E-2</v>
      </c>
      <c r="AA5730">
        <v>0.92728219999999995</v>
      </c>
      <c r="AB5730">
        <v>40</v>
      </c>
      <c r="AC5730">
        <v>60.111699999999999</v>
      </c>
      <c r="AD5730">
        <v>3.8364470000000002</v>
      </c>
      <c r="AE5730">
        <v>23.775960000000001</v>
      </c>
      <c r="AF5730">
        <v>-24.215909982343099</v>
      </c>
      <c r="AG5730">
        <v>3.8364470000000002</v>
      </c>
      <c r="AH5730">
        <v>59.6910428751371</v>
      </c>
      <c r="AI5730">
        <v>86.591644679584405</v>
      </c>
      <c r="AJ5730">
        <v>112.08177959654</v>
      </c>
      <c r="AK5730">
        <v>64.530219443127706</v>
      </c>
      <c r="AL5730">
        <v>78.762163650615605</v>
      </c>
      <c r="AM5730">
        <v>88.912192636594298</v>
      </c>
      <c r="AN5730">
        <v>0.99999999449704102</v>
      </c>
    </row>
    <row r="5731" spans="1:40" x14ac:dyDescent="0.25">
      <c r="A5731" t="str">
        <f>"20190303171126402"</f>
        <v>20190303171126402</v>
      </c>
      <c r="B5731" t="str">
        <f>"1551604286396167"</f>
        <v>1551604286396167</v>
      </c>
      <c r="C5731" t="s">
        <v>40</v>
      </c>
      <c r="D5731">
        <v>4.9226409999999996</v>
      </c>
      <c r="E5731">
        <v>0.3411207</v>
      </c>
      <c r="F5731" t="s">
        <v>49</v>
      </c>
      <c r="G5731">
        <v>-157.3501</v>
      </c>
      <c r="H5731">
        <v>4.8744880000000004</v>
      </c>
      <c r="I5731">
        <v>-39.951129999999999</v>
      </c>
      <c r="J5731">
        <v>-217.25229999999999</v>
      </c>
      <c r="K5731">
        <v>1.1200369999999999</v>
      </c>
      <c r="L5731">
        <v>-63.585450000000002</v>
      </c>
      <c r="M5731">
        <v>0.99990889999999999</v>
      </c>
      <c r="N5731">
        <v>-1.00839E-2</v>
      </c>
      <c r="O5731">
        <v>-8.9746419999999997E-3</v>
      </c>
      <c r="P5731">
        <v>0.98233910000000002</v>
      </c>
      <c r="Q5731">
        <v>0.1850773</v>
      </c>
      <c r="R5731">
        <v>-2.7506389999999999E-2</v>
      </c>
      <c r="S5731">
        <v>3.0509029999999999</v>
      </c>
      <c r="T5731">
        <v>0.190552</v>
      </c>
      <c r="U5731">
        <v>1.1994320000000001</v>
      </c>
      <c r="V5731">
        <v>1.8916720000000001E-2</v>
      </c>
      <c r="W5731">
        <v>0.19495409999999999</v>
      </c>
      <c r="X5731">
        <v>0.98062990000000005</v>
      </c>
      <c r="Y5731">
        <v>-0.3736796</v>
      </c>
      <c r="Z5731">
        <v>-9.9148299999999995E-3</v>
      </c>
      <c r="AA5731">
        <v>0.92750480000000002</v>
      </c>
      <c r="AB5731">
        <v>40</v>
      </c>
      <c r="AC5731">
        <v>59.902199999999901</v>
      </c>
      <c r="AD5731">
        <v>3.754451</v>
      </c>
      <c r="AE5731">
        <v>23.634319999999999</v>
      </c>
      <c r="AF5731">
        <v>-24.089112992082502</v>
      </c>
      <c r="AG5731">
        <v>3.754451</v>
      </c>
      <c r="AH5731">
        <v>59.485465217207903</v>
      </c>
      <c r="AI5731">
        <v>86.651974874048193</v>
      </c>
      <c r="AJ5731">
        <v>112.04587842334701</v>
      </c>
      <c r="AK5731">
        <v>64.287649196127603</v>
      </c>
      <c r="AL5731">
        <v>78.757957426771398</v>
      </c>
      <c r="AM5731">
        <v>88.894879905046096</v>
      </c>
      <c r="AN5731">
        <v>0.99999997208818803</v>
      </c>
    </row>
    <row r="5732" spans="1:40" x14ac:dyDescent="0.25">
      <c r="A5732" t="str">
        <f>"20190303171126412"</f>
        <v>20190303171126412</v>
      </c>
      <c r="B5732" t="str">
        <f>"1551604286405928"</f>
        <v>1551604286405928</v>
      </c>
      <c r="C5732" t="s">
        <v>40</v>
      </c>
      <c r="D5732">
        <v>4.9649970000000003</v>
      </c>
      <c r="E5732">
        <v>0.34115869999999998</v>
      </c>
      <c r="F5732" t="s">
        <v>49</v>
      </c>
      <c r="G5732">
        <v>-157.3501</v>
      </c>
      <c r="H5732">
        <v>4.8287040000000001</v>
      </c>
      <c r="I5732">
        <v>-40.087919999999997</v>
      </c>
      <c r="J5732">
        <v>-217.05520000000001</v>
      </c>
      <c r="K5732">
        <v>1.1200429999999999</v>
      </c>
      <c r="L5732">
        <v>-63.5873699999999</v>
      </c>
      <c r="M5732">
        <v>0.99990710000000005</v>
      </c>
      <c r="N5732">
        <v>-1.008298E-2</v>
      </c>
      <c r="O5732">
        <v>-9.1806990000000005E-3</v>
      </c>
      <c r="P5732">
        <v>0.98228910000000003</v>
      </c>
      <c r="Q5732">
        <v>0.18529200000000001</v>
      </c>
      <c r="R5732">
        <v>-2.784037E-2</v>
      </c>
      <c r="S5732">
        <v>3.0518800000000001</v>
      </c>
      <c r="T5732">
        <v>0.1889468</v>
      </c>
      <c r="U5732">
        <v>1.197144</v>
      </c>
      <c r="V5732">
        <v>1.9047629999999999E-2</v>
      </c>
      <c r="W5732">
        <v>0.19516700000000001</v>
      </c>
      <c r="X5732">
        <v>0.98058500000000004</v>
      </c>
      <c r="Y5732">
        <v>-0.37317719999999999</v>
      </c>
      <c r="Z5732">
        <v>-9.8162600000000003E-3</v>
      </c>
      <c r="AA5732">
        <v>0.92770810000000004</v>
      </c>
      <c r="AB5732">
        <v>40</v>
      </c>
      <c r="AC5732">
        <v>59.705100000000002</v>
      </c>
      <c r="AD5732">
        <v>3.7086610000000002</v>
      </c>
      <c r="AE5732">
        <v>23.4994499999999</v>
      </c>
      <c r="AF5732">
        <v>-23.966552429835101</v>
      </c>
      <c r="AG5732">
        <v>3.7086610000000002</v>
      </c>
      <c r="AH5732">
        <v>59.288754328807201</v>
      </c>
      <c r="AI5732">
        <v>86.680935215080495</v>
      </c>
      <c r="AJ5732">
        <v>112.010251640635</v>
      </c>
      <c r="AK5732">
        <v>64.057054191139699</v>
      </c>
      <c r="AL5732">
        <v>78.745520070158804</v>
      </c>
      <c r="AM5732">
        <v>88.887183082834994</v>
      </c>
      <c r="AN5732">
        <v>0.99999995616130699</v>
      </c>
    </row>
    <row r="5733" spans="1:40" x14ac:dyDescent="0.25">
      <c r="A5733" t="str">
        <f>"20190303171126424"</f>
        <v>20190303171126424</v>
      </c>
      <c r="B5733" t="str">
        <f>"1551604286416664"</f>
        <v>1551604286416664</v>
      </c>
      <c r="C5733" t="s">
        <v>40</v>
      </c>
      <c r="D5733">
        <v>4.9352689999999999</v>
      </c>
      <c r="E5733">
        <v>0.34119660000000002</v>
      </c>
      <c r="F5733" t="s">
        <v>49</v>
      </c>
      <c r="G5733">
        <v>-157.3501</v>
      </c>
      <c r="H5733">
        <v>4.8057879999999997</v>
      </c>
      <c r="I5733">
        <v>-40.19726</v>
      </c>
      <c r="J5733">
        <v>-216.85210000000001</v>
      </c>
      <c r="K5733">
        <v>1.1200509999999999</v>
      </c>
      <c r="L5733">
        <v>-63.589419999999997</v>
      </c>
      <c r="M5733">
        <v>0.99990520000000005</v>
      </c>
      <c r="N5733">
        <v>-1.0084640000000001E-2</v>
      </c>
      <c r="O5733">
        <v>-9.3879400000000009E-3</v>
      </c>
      <c r="P5733">
        <v>0.98222739999999997</v>
      </c>
      <c r="Q5733">
        <v>0.18549869999999999</v>
      </c>
      <c r="R5733">
        <v>-2.8632210000000002E-2</v>
      </c>
      <c r="S5733">
        <v>3.05246</v>
      </c>
      <c r="T5733">
        <v>0.1884345</v>
      </c>
      <c r="U5733">
        <v>1.1958310000000001</v>
      </c>
      <c r="V5733">
        <v>1.9634260000000001E-2</v>
      </c>
      <c r="W5733">
        <v>0.19537460000000001</v>
      </c>
      <c r="X5733">
        <v>0.98053210000000002</v>
      </c>
      <c r="Y5733">
        <v>-0.37296679999999999</v>
      </c>
      <c r="Z5733">
        <v>-9.7925319999999996E-3</v>
      </c>
      <c r="AA5733">
        <v>0.92779299999999998</v>
      </c>
      <c r="AB5733">
        <v>40</v>
      </c>
      <c r="AC5733">
        <v>59.502000000000002</v>
      </c>
      <c r="AD5733">
        <v>3.685737</v>
      </c>
      <c r="AE5733">
        <v>23.392160000000001</v>
      </c>
      <c r="AF5733">
        <v>-23.870429615573102</v>
      </c>
      <c r="AG5733">
        <v>3.685737</v>
      </c>
      <c r="AH5733">
        <v>59.083409428094598</v>
      </c>
      <c r="AI5733">
        <v>86.689712060430693</v>
      </c>
      <c r="AJ5733">
        <v>111.999318642378</v>
      </c>
      <c r="AK5733">
        <v>63.829705756121598</v>
      </c>
      <c r="AL5733">
        <v>78.7333921369367</v>
      </c>
      <c r="AM5733">
        <v>88.852857635340598</v>
      </c>
      <c r="AN5733">
        <v>0.999999968810658</v>
      </c>
    </row>
    <row r="5734" spans="1:40" x14ac:dyDescent="0.25">
      <c r="A5734" t="str">
        <f>"20190303171126434"</f>
        <v>20190303171126434</v>
      </c>
      <c r="B5734" t="str">
        <f>"1551604286426425"</f>
        <v>1551604286426425</v>
      </c>
      <c r="C5734" t="s">
        <v>40</v>
      </c>
      <c r="D5734">
        <v>4.9617370000000003</v>
      </c>
      <c r="E5734">
        <v>0.3412287</v>
      </c>
      <c r="F5734" t="s">
        <v>49</v>
      </c>
      <c r="G5734">
        <v>-157.3501</v>
      </c>
      <c r="H5734">
        <v>4.7809059999999999</v>
      </c>
      <c r="I5734">
        <v>-40.34055</v>
      </c>
      <c r="J5734">
        <v>-216.6602</v>
      </c>
      <c r="K5734">
        <v>1.120061</v>
      </c>
      <c r="L5734">
        <v>-63.591340000000002</v>
      </c>
      <c r="M5734">
        <v>0.99990330000000005</v>
      </c>
      <c r="N5734">
        <v>-1.0087270000000001E-2</v>
      </c>
      <c r="O5734">
        <v>-9.5813549999999997E-3</v>
      </c>
      <c r="P5734">
        <v>0.98220640000000003</v>
      </c>
      <c r="Q5734">
        <v>0.18551709999999999</v>
      </c>
      <c r="R5734">
        <v>-2.9230269999999999E-2</v>
      </c>
      <c r="S5734">
        <v>3.053604</v>
      </c>
      <c r="T5734">
        <v>0.18787129999999999</v>
      </c>
      <c r="U5734">
        <v>1.1931149999999999</v>
      </c>
      <c r="V5734">
        <v>2.0039879999999999E-2</v>
      </c>
      <c r="W5734">
        <v>0.19539519999999999</v>
      </c>
      <c r="X5734">
        <v>0.98051980000000005</v>
      </c>
      <c r="Y5734">
        <v>-0.37231639999999999</v>
      </c>
      <c r="Z5734">
        <v>-9.7528809999999997E-3</v>
      </c>
      <c r="AA5734">
        <v>0.92805459999999995</v>
      </c>
      <c r="AB5734">
        <v>40</v>
      </c>
      <c r="AC5734">
        <v>59.310099999999998</v>
      </c>
      <c r="AD5734">
        <v>3.6608449999999899</v>
      </c>
      <c r="AE5734">
        <v>23.250789999999999</v>
      </c>
      <c r="AF5734">
        <v>-23.739626639381498</v>
      </c>
      <c r="AG5734">
        <v>3.6608449999999899</v>
      </c>
      <c r="AH5734">
        <v>58.890117519119499</v>
      </c>
      <c r="AI5734">
        <v>86.700228462576902</v>
      </c>
      <c r="AJ5734">
        <v>111.955217542558</v>
      </c>
      <c r="AK5734">
        <v>63.600452832562098</v>
      </c>
      <c r="AL5734">
        <v>78.732188771542297</v>
      </c>
      <c r="AM5734">
        <v>88.829150912177198</v>
      </c>
      <c r="AN5734">
        <v>0.999999979582747</v>
      </c>
    </row>
    <row r="5735" spans="1:40" x14ac:dyDescent="0.25">
      <c r="A5735" t="str">
        <f>"20190303171126446"</f>
        <v>20190303171126446</v>
      </c>
      <c r="B5735" t="str">
        <f>"1551604286436184"</f>
        <v>1551604286436184</v>
      </c>
      <c r="C5735" t="s">
        <v>40</v>
      </c>
      <c r="D5735">
        <v>4.9561409999999997</v>
      </c>
      <c r="E5735">
        <v>0.34124300000000002</v>
      </c>
      <c r="F5735" t="s">
        <v>49</v>
      </c>
      <c r="G5735">
        <v>-157.3501</v>
      </c>
      <c r="H5735">
        <v>4.7388719999999998</v>
      </c>
      <c r="I5735">
        <v>-40.466830000000002</v>
      </c>
      <c r="J5735">
        <v>-216.45330000000001</v>
      </c>
      <c r="K5735">
        <v>1.1200730000000001</v>
      </c>
      <c r="L5735">
        <v>-63.59348</v>
      </c>
      <c r="M5735">
        <v>0.99990129999999999</v>
      </c>
      <c r="N5735">
        <v>-1.0093009999999999E-2</v>
      </c>
      <c r="O5735">
        <v>-9.7797560000000006E-3</v>
      </c>
      <c r="P5735">
        <v>0.98214970000000001</v>
      </c>
      <c r="Q5735">
        <v>0.18575990000000001</v>
      </c>
      <c r="R5735">
        <v>-2.9588670000000001E-2</v>
      </c>
      <c r="S5735">
        <v>3.0545650000000002</v>
      </c>
      <c r="T5735">
        <v>0.1863736</v>
      </c>
      <c r="U5735">
        <v>1.1909479999999999</v>
      </c>
      <c r="V5735">
        <v>2.0200260000000001E-2</v>
      </c>
      <c r="W5735">
        <v>0.1956435</v>
      </c>
      <c r="X5735">
        <v>0.98046699999999998</v>
      </c>
      <c r="Y5735">
        <v>-0.3718397</v>
      </c>
      <c r="Z5735">
        <v>-9.6598989999999996E-3</v>
      </c>
      <c r="AA5735">
        <v>0.92824669999999998</v>
      </c>
      <c r="AB5735">
        <v>40</v>
      </c>
      <c r="AC5735">
        <v>59.103200000000001</v>
      </c>
      <c r="AD5735">
        <v>3.6187989999999899</v>
      </c>
      <c r="AE5735">
        <v>23.126650000000001</v>
      </c>
      <c r="AF5735">
        <v>-23.626774140174099</v>
      </c>
      <c r="AG5735">
        <v>3.6187989999999899</v>
      </c>
      <c r="AH5735">
        <v>58.683400535630199</v>
      </c>
      <c r="AI5735">
        <v>86.726009966738502</v>
      </c>
      <c r="AJ5735">
        <v>111.93041910568</v>
      </c>
      <c r="AK5735">
        <v>63.364514208651599</v>
      </c>
      <c r="AL5735">
        <v>78.717682299726604</v>
      </c>
      <c r="AM5735">
        <v>88.819719658754295</v>
      </c>
      <c r="AN5735">
        <v>0.99999998384265798</v>
      </c>
    </row>
    <row r="5736" spans="1:40" x14ac:dyDescent="0.25">
      <c r="A5736" t="str">
        <f>"20190303171126458"</f>
        <v>20190303171126458</v>
      </c>
      <c r="B5736" t="str">
        <f>"1551604286445943"</f>
        <v>1551604286445943</v>
      </c>
      <c r="C5736" t="s">
        <v>40</v>
      </c>
      <c r="D5736">
        <v>4.9517980000000001</v>
      </c>
      <c r="E5736">
        <v>0.34125319999999998</v>
      </c>
      <c r="F5736" t="s">
        <v>49</v>
      </c>
      <c r="G5736">
        <v>-157.3501</v>
      </c>
      <c r="H5736">
        <v>4.7073960000000001</v>
      </c>
      <c r="I5736">
        <v>-40.580880000000001</v>
      </c>
      <c r="J5736">
        <v>-216.24809999999999</v>
      </c>
      <c r="K5736">
        <v>1.1200829999999999</v>
      </c>
      <c r="L5736">
        <v>-63.595640000000003</v>
      </c>
      <c r="M5736">
        <v>0.99989919999999999</v>
      </c>
      <c r="N5736">
        <v>-1.009998E-2</v>
      </c>
      <c r="O5736">
        <v>-9.9723099999999999E-3</v>
      </c>
      <c r="P5736">
        <v>0.98214179999999995</v>
      </c>
      <c r="Q5736">
        <v>0.18575230000000001</v>
      </c>
      <c r="R5736">
        <v>-2.989727E-2</v>
      </c>
      <c r="S5736">
        <v>3.0552670000000002</v>
      </c>
      <c r="T5736">
        <v>0.18544079999999999</v>
      </c>
      <c r="U5736">
        <v>1.1896059999999999</v>
      </c>
      <c r="V5736">
        <v>2.0315440000000001E-2</v>
      </c>
      <c r="W5736">
        <v>0.19564300000000001</v>
      </c>
      <c r="X5736">
        <v>0.98046480000000003</v>
      </c>
      <c r="Y5736">
        <v>-0.37159769999999998</v>
      </c>
      <c r="Z5736">
        <v>-9.6070719999999995E-3</v>
      </c>
      <c r="AA5736">
        <v>0.92834410000000001</v>
      </c>
      <c r="AB5736">
        <v>40</v>
      </c>
      <c r="AC5736">
        <v>58.898000000000003</v>
      </c>
      <c r="AD5736">
        <v>3.5873129999999902</v>
      </c>
      <c r="AE5736">
        <v>23.014759999999999</v>
      </c>
      <c r="AF5736">
        <v>-23.525283481692</v>
      </c>
      <c r="AG5736">
        <v>3.5873129999999902</v>
      </c>
      <c r="AH5736">
        <v>58.4773520727896</v>
      </c>
      <c r="AI5736">
        <v>86.7426666062007</v>
      </c>
      <c r="AJ5736">
        <v>111.914792080632</v>
      </c>
      <c r="AK5736">
        <v>63.134051690818403</v>
      </c>
      <c r="AL5736">
        <v>78.717712408887607</v>
      </c>
      <c r="AM5736">
        <v>88.812989067578997</v>
      </c>
      <c r="AN5736">
        <v>1.0000000622952101</v>
      </c>
    </row>
    <row r="5737" spans="1:40" x14ac:dyDescent="0.25">
      <c r="A5737" t="str">
        <f>"20190303171126468"</f>
        <v>20190303171126468</v>
      </c>
      <c r="B5737" t="str">
        <f>"1551604286456311"</f>
        <v>1551604286456311</v>
      </c>
      <c r="C5737" t="s">
        <v>40</v>
      </c>
      <c r="D5737">
        <v>4.9459210000000002</v>
      </c>
      <c r="E5737">
        <v>0.3412288</v>
      </c>
      <c r="F5737" t="s">
        <v>49</v>
      </c>
      <c r="G5737">
        <v>-157.3501</v>
      </c>
      <c r="H5737">
        <v>4.658398</v>
      </c>
      <c r="I5737">
        <v>-40.691510000000001</v>
      </c>
      <c r="J5737">
        <v>-216.0643</v>
      </c>
      <c r="K5737">
        <v>1.120096</v>
      </c>
      <c r="L5737">
        <v>-63.597630000000002</v>
      </c>
      <c r="M5737">
        <v>0.99989760000000005</v>
      </c>
      <c r="N5737">
        <v>-1.0111230000000001E-2</v>
      </c>
      <c r="O5737">
        <v>-1.0129920000000001E-2</v>
      </c>
      <c r="P5737">
        <v>0.98213709999999999</v>
      </c>
      <c r="Q5737">
        <v>0.18570410000000001</v>
      </c>
      <c r="R5737">
        <v>-3.0345150000000001E-2</v>
      </c>
      <c r="S5737">
        <v>3.0560149999999999</v>
      </c>
      <c r="T5737">
        <v>0.1835898</v>
      </c>
      <c r="U5737">
        <v>1.1884159999999999</v>
      </c>
      <c r="V5737">
        <v>2.0602820000000001E-2</v>
      </c>
      <c r="W5737">
        <v>0.1956061</v>
      </c>
      <c r="X5737">
        <v>0.98046610000000001</v>
      </c>
      <c r="Y5737">
        <v>-0.37136449999999999</v>
      </c>
      <c r="Z5737">
        <v>-9.4943960000000004E-3</v>
      </c>
      <c r="AA5737">
        <v>0.9284386</v>
      </c>
      <c r="AB5737">
        <v>40</v>
      </c>
      <c r="AC5737">
        <v>58.714199999999998</v>
      </c>
      <c r="AD5737">
        <v>3.5383019999999998</v>
      </c>
      <c r="AE5737">
        <v>22.906120000000001</v>
      </c>
      <c r="AF5737">
        <v>-23.425908509672499</v>
      </c>
      <c r="AG5737">
        <v>3.5383019999999998</v>
      </c>
      <c r="AH5737">
        <v>58.295395617038501</v>
      </c>
      <c r="AI5737">
        <v>86.776568257897196</v>
      </c>
      <c r="AJ5737">
        <v>111.892646622745</v>
      </c>
      <c r="AK5737">
        <v>62.925717482550603</v>
      </c>
      <c r="AL5737">
        <v>78.719867540902797</v>
      </c>
      <c r="AM5737">
        <v>88.796204242529498</v>
      </c>
      <c r="AN5737">
        <v>0.99999999789918603</v>
      </c>
    </row>
    <row r="5738" spans="1:40" x14ac:dyDescent="0.25">
      <c r="A5738" t="str">
        <f>"20190303171126478"</f>
        <v>20190303171126478</v>
      </c>
      <c r="B5738" t="str">
        <f>"1551604286466058"</f>
        <v>1551604286466058</v>
      </c>
      <c r="C5738" t="s">
        <v>40</v>
      </c>
      <c r="D5738">
        <v>4.9683659999999996</v>
      </c>
      <c r="E5738">
        <v>0.34119559999999999</v>
      </c>
      <c r="F5738" t="s">
        <v>49</v>
      </c>
      <c r="G5738">
        <v>-157.3501</v>
      </c>
      <c r="H5738">
        <v>4.6179199999999998</v>
      </c>
      <c r="I5738">
        <v>-40.796689999999998</v>
      </c>
      <c r="J5738">
        <v>-215.8689</v>
      </c>
      <c r="K5738">
        <v>1.120112</v>
      </c>
      <c r="L5738">
        <v>-63.599699999999999</v>
      </c>
      <c r="M5738">
        <v>0.99989589999999995</v>
      </c>
      <c r="N5738">
        <v>-1.012451E-2</v>
      </c>
      <c r="O5738">
        <v>-1.029157E-2</v>
      </c>
      <c r="P5738">
        <v>0.9821628</v>
      </c>
      <c r="Q5738">
        <v>0.18550559999999999</v>
      </c>
      <c r="R5738">
        <v>-3.0727190000000001E-2</v>
      </c>
      <c r="S5738">
        <v>3.0568080000000002</v>
      </c>
      <c r="T5738">
        <v>0.18210419999999999</v>
      </c>
      <c r="U5738">
        <v>1.187073</v>
      </c>
      <c r="V5738">
        <v>2.0818909999999999E-2</v>
      </c>
      <c r="W5738">
        <v>0.1954214</v>
      </c>
      <c r="X5738">
        <v>0.98049839999999999</v>
      </c>
      <c r="Y5738">
        <v>-0.37108790000000003</v>
      </c>
      <c r="Z5738">
        <v>-9.4030710000000007E-3</v>
      </c>
      <c r="AA5738">
        <v>0.92855019999999999</v>
      </c>
      <c r="AB5738">
        <v>40</v>
      </c>
      <c r="AC5738">
        <v>58.518799999999999</v>
      </c>
      <c r="AD5738">
        <v>3.497808</v>
      </c>
      <c r="AE5738">
        <v>22.80301</v>
      </c>
      <c r="AF5738">
        <v>-23.331714020577898</v>
      </c>
      <c r="AG5738">
        <v>3.497808</v>
      </c>
      <c r="AH5738">
        <v>58.100795137655801</v>
      </c>
      <c r="AI5738">
        <v>86.802427414010694</v>
      </c>
      <c r="AJ5738">
        <v>111.87906527134299</v>
      </c>
      <c r="AK5738">
        <v>62.708101036235703</v>
      </c>
      <c r="AL5738">
        <v>78.730658706739504</v>
      </c>
      <c r="AM5738">
        <v>88.783622220808596</v>
      </c>
      <c r="AN5738">
        <v>1.0000000314970501</v>
      </c>
    </row>
    <row r="5739" spans="1:40" x14ac:dyDescent="0.25">
      <c r="A5739" t="str">
        <f>"20190303171126490"</f>
        <v>20190303171126490</v>
      </c>
      <c r="B5739" t="str">
        <f>"1551604286486554"</f>
        <v>1551604286486554</v>
      </c>
      <c r="C5739" t="s">
        <v>40</v>
      </c>
      <c r="D5739">
        <v>5.0711040000000001</v>
      </c>
      <c r="E5739">
        <v>0.34113270000000001</v>
      </c>
      <c r="F5739" t="s">
        <v>49</v>
      </c>
      <c r="G5739">
        <v>-157.3501</v>
      </c>
      <c r="H5739">
        <v>4.5808030000000004</v>
      </c>
      <c r="I5739">
        <v>-40.89528</v>
      </c>
      <c r="J5739">
        <v>-215.6584</v>
      </c>
      <c r="K5739">
        <v>1.1201299999999901</v>
      </c>
      <c r="L5739">
        <v>-63.601990000000001</v>
      </c>
      <c r="M5739">
        <v>0.99989399999999995</v>
      </c>
      <c r="N5739">
        <v>-1.0143299999999999E-2</v>
      </c>
      <c r="O5739">
        <v>-1.0445299999999999E-2</v>
      </c>
      <c r="P5739">
        <v>0.98218070000000002</v>
      </c>
      <c r="Q5739">
        <v>0.18527489999999999</v>
      </c>
      <c r="R5739">
        <v>-3.1532270000000001E-2</v>
      </c>
      <c r="S5739">
        <v>3.0574650000000001</v>
      </c>
      <c r="T5739">
        <v>0.18081150000000001</v>
      </c>
      <c r="U5739">
        <v>1.1862490000000001</v>
      </c>
      <c r="V5739">
        <v>2.1463119999999999E-2</v>
      </c>
      <c r="W5739">
        <v>0.19520989999999999</v>
      </c>
      <c r="X5739">
        <v>0.98052660000000003</v>
      </c>
      <c r="Y5739">
        <v>-0.37095359999999999</v>
      </c>
      <c r="Z5739">
        <v>-9.3255109999999999E-3</v>
      </c>
      <c r="AA5739">
        <v>0.92860450000000005</v>
      </c>
      <c r="AB5739">
        <v>40</v>
      </c>
      <c r="AC5739">
        <v>58.308300000000003</v>
      </c>
      <c r="AD5739">
        <v>3.4606729999999999</v>
      </c>
      <c r="AE5739">
        <v>22.706710000000001</v>
      </c>
      <c r="AF5739">
        <v>-23.2434550284887</v>
      </c>
      <c r="AG5739">
        <v>3.4606729999999999</v>
      </c>
      <c r="AH5739">
        <v>57.8908564495487</v>
      </c>
      <c r="AI5739">
        <v>86.824781200184404</v>
      </c>
      <c r="AJ5739">
        <v>111.87569589375499</v>
      </c>
      <c r="AK5739">
        <v>62.478682122277199</v>
      </c>
      <c r="AL5739">
        <v>78.743014284419999</v>
      </c>
      <c r="AM5739">
        <v>88.746031123764098</v>
      </c>
      <c r="AN5739">
        <v>0.99999999194285205</v>
      </c>
    </row>
    <row r="5740" spans="1:40" x14ac:dyDescent="0.25">
      <c r="A5740" t="str">
        <f>"20190303171126502"</f>
        <v>20190303171126502</v>
      </c>
      <c r="B5740" t="str">
        <f>"1551604286496313"</f>
        <v>1551604286496313</v>
      </c>
      <c r="C5740" t="s">
        <v>40</v>
      </c>
      <c r="D5740">
        <v>4.8491470000000003</v>
      </c>
      <c r="E5740">
        <v>0.34047880000000003</v>
      </c>
      <c r="F5740" t="s">
        <v>49</v>
      </c>
      <c r="G5740">
        <v>-157.3501</v>
      </c>
      <c r="H5740">
        <v>4.5235250000000002</v>
      </c>
      <c r="I5740">
        <v>-41.025469999999999</v>
      </c>
      <c r="J5740">
        <v>-215.4573</v>
      </c>
      <c r="K5740">
        <v>1.120152</v>
      </c>
      <c r="L5740">
        <v>-63.604219999999998</v>
      </c>
      <c r="M5740">
        <v>0.99989249999999996</v>
      </c>
      <c r="N5740">
        <v>-1.0163180000000001E-2</v>
      </c>
      <c r="O5740">
        <v>-1.0575630000000001E-2</v>
      </c>
      <c r="P5740">
        <v>0.98218300000000003</v>
      </c>
      <c r="Q5740">
        <v>0.18510309999999999</v>
      </c>
      <c r="R5740">
        <v>-3.2461869999999997E-2</v>
      </c>
      <c r="S5740">
        <v>3.0587620000000002</v>
      </c>
      <c r="T5740">
        <v>0.17853550000000001</v>
      </c>
      <c r="U5740">
        <v>1.184326</v>
      </c>
      <c r="V5740">
        <v>2.225369E-2</v>
      </c>
      <c r="W5740">
        <v>0.19505800000000001</v>
      </c>
      <c r="X5740">
        <v>0.98053920000000006</v>
      </c>
      <c r="Y5740">
        <v>-0.37044830000000001</v>
      </c>
      <c r="Z5740">
        <v>-9.1756839999999999E-3</v>
      </c>
      <c r="AA5740">
        <v>0.92880770000000001</v>
      </c>
      <c r="AB5740">
        <v>40</v>
      </c>
      <c r="AC5740">
        <v>58.107199999999999</v>
      </c>
      <c r="AD5740">
        <v>3.4033730000000002</v>
      </c>
      <c r="AE5740">
        <v>22.578749999999999</v>
      </c>
      <c r="AF5740">
        <v>-23.1231207285356</v>
      </c>
      <c r="AG5740">
        <v>3.4033730000000002</v>
      </c>
      <c r="AH5740">
        <v>57.693198857426999</v>
      </c>
      <c r="AI5740">
        <v>86.865805054827405</v>
      </c>
      <c r="AJ5740">
        <v>111.840644772213</v>
      </c>
      <c r="AK5740">
        <v>62.2476252913007</v>
      </c>
      <c r="AL5740">
        <v>78.751888035222393</v>
      </c>
      <c r="AM5740">
        <v>88.699874857429606</v>
      </c>
      <c r="AN5740">
        <v>0.99999998640962795</v>
      </c>
    </row>
    <row r="5741" spans="1:40" x14ac:dyDescent="0.25">
      <c r="A5741" t="str">
        <f>"20190303171126512"</f>
        <v>20190303171126512</v>
      </c>
      <c r="B5741" t="str">
        <f>"1551604286506074"</f>
        <v>1551604286506074</v>
      </c>
      <c r="C5741" t="s">
        <v>40</v>
      </c>
      <c r="D5741">
        <v>4.8903059999999998</v>
      </c>
      <c r="E5741">
        <v>0.33984789999999998</v>
      </c>
      <c r="F5741" t="s">
        <v>49</v>
      </c>
      <c r="G5741">
        <v>-157.3501</v>
      </c>
      <c r="H5741">
        <v>4.5662079999999996</v>
      </c>
      <c r="I5741">
        <v>-41.063580000000002</v>
      </c>
      <c r="J5741">
        <v>-215.255</v>
      </c>
      <c r="K5741">
        <v>1.120179</v>
      </c>
      <c r="L5741">
        <v>-63.606450000000002</v>
      </c>
      <c r="M5741">
        <v>0.99989110000000003</v>
      </c>
      <c r="N5741">
        <v>-1.018516E-2</v>
      </c>
      <c r="O5741">
        <v>-1.068912E-2</v>
      </c>
      <c r="P5741">
        <v>0.98220680000000005</v>
      </c>
      <c r="Q5741">
        <v>0.18478610000000001</v>
      </c>
      <c r="R5741">
        <v>-3.3528210000000003E-2</v>
      </c>
      <c r="S5741">
        <v>3.0594329999999998</v>
      </c>
      <c r="T5741">
        <v>0.18143889999999999</v>
      </c>
      <c r="U5741">
        <v>1.186798</v>
      </c>
      <c r="V5741">
        <v>2.3195460000000001E-2</v>
      </c>
      <c r="W5741">
        <v>0.1947633</v>
      </c>
      <c r="X5741">
        <v>0.980576</v>
      </c>
      <c r="Y5741">
        <v>-0.37112020000000001</v>
      </c>
      <c r="Z5741">
        <v>-9.3697759999999998E-3</v>
      </c>
      <c r="AA5741">
        <v>0.92853750000000002</v>
      </c>
      <c r="AB5741">
        <v>40</v>
      </c>
      <c r="AC5741">
        <v>57.904899999999998</v>
      </c>
      <c r="AD5741">
        <v>3.4460289999999998</v>
      </c>
      <c r="AE5741">
        <v>22.542870000000001</v>
      </c>
      <c r="AF5741">
        <v>-23.089553794895998</v>
      </c>
      <c r="AG5741">
        <v>3.4460289999999998</v>
      </c>
      <c r="AH5741">
        <v>57.483822289173403</v>
      </c>
      <c r="AI5741">
        <v>86.816029656373701</v>
      </c>
      <c r="AJ5741">
        <v>111.88387120519801</v>
      </c>
      <c r="AK5741">
        <v>62.043472140826502</v>
      </c>
      <c r="AL5741">
        <v>78.769103792389501</v>
      </c>
      <c r="AM5741">
        <v>88.644924859026304</v>
      </c>
      <c r="AN5741">
        <v>1.0000000320837501</v>
      </c>
    </row>
    <row r="5742" spans="1:40" x14ac:dyDescent="0.25">
      <c r="A5742" t="str">
        <f>"20190303171126523"</f>
        <v>20190303171126523</v>
      </c>
      <c r="B5742" t="str">
        <f>"1551604286516809"</f>
        <v>1551604286516809</v>
      </c>
      <c r="C5742" t="s">
        <v>40</v>
      </c>
      <c r="D5742">
        <v>4.855302</v>
      </c>
      <c r="E5742">
        <v>0.3392155</v>
      </c>
      <c r="F5742" t="s">
        <v>49</v>
      </c>
      <c r="G5742">
        <v>-157.3501</v>
      </c>
      <c r="H5742">
        <v>4.5935189999999997</v>
      </c>
      <c r="I5742">
        <v>-41.119439999999997</v>
      </c>
      <c r="J5742">
        <v>-215.0616</v>
      </c>
      <c r="K5742">
        <v>1.1202129999999999</v>
      </c>
      <c r="L5742">
        <v>-63.608550000000001</v>
      </c>
      <c r="M5742">
        <v>0.99988999999999995</v>
      </c>
      <c r="N5742">
        <v>-1.020829E-2</v>
      </c>
      <c r="O5742">
        <v>-1.076366E-2</v>
      </c>
      <c r="P5742">
        <v>0.98225099999999999</v>
      </c>
      <c r="Q5742">
        <v>0.18436710000000001</v>
      </c>
      <c r="R5742">
        <v>-3.4526939999999999E-2</v>
      </c>
      <c r="S5742">
        <v>3.0603790000000002</v>
      </c>
      <c r="T5742">
        <v>0.18357090000000001</v>
      </c>
      <c r="U5742">
        <v>1.188477</v>
      </c>
      <c r="V5742">
        <v>2.410408E-2</v>
      </c>
      <c r="W5742">
        <v>0.19436899999999999</v>
      </c>
      <c r="X5742">
        <v>0.98063230000000001</v>
      </c>
      <c r="Y5742">
        <v>-0.37152259999999998</v>
      </c>
      <c r="Z5742">
        <v>-9.5072520000000008E-3</v>
      </c>
      <c r="AA5742">
        <v>0.92837519999999996</v>
      </c>
      <c r="AB5742">
        <v>40</v>
      </c>
      <c r="AC5742">
        <v>57.711500000000001</v>
      </c>
      <c r="AD5742">
        <v>3.473306</v>
      </c>
      <c r="AE5742">
        <v>22.48911</v>
      </c>
      <c r="AF5742">
        <v>-23.036585640197799</v>
      </c>
      <c r="AG5742">
        <v>3.473306</v>
      </c>
      <c r="AH5742">
        <v>57.285937596121499</v>
      </c>
      <c r="AI5742">
        <v>86.780331987207703</v>
      </c>
      <c r="AJ5742">
        <v>111.906703976522</v>
      </c>
      <c r="AK5742">
        <v>61.841949991850399</v>
      </c>
      <c r="AL5742">
        <v>78.792135434953394</v>
      </c>
      <c r="AM5742">
        <v>88.591945201467794</v>
      </c>
      <c r="AN5742">
        <v>1.0000000113184599</v>
      </c>
    </row>
    <row r="5743" spans="1:40" x14ac:dyDescent="0.25">
      <c r="A5743" t="str">
        <f>"20190303171126534"</f>
        <v>20190303171126534</v>
      </c>
      <c r="B5743" t="str">
        <f>"1551604286526569"</f>
        <v>1551604286526569</v>
      </c>
      <c r="C5743" t="s">
        <v>40</v>
      </c>
      <c r="D5743">
        <v>4.9823449999999996</v>
      </c>
      <c r="E5743">
        <v>0.33930719999999998</v>
      </c>
      <c r="F5743" t="s">
        <v>49</v>
      </c>
      <c r="G5743">
        <v>-157.3501</v>
      </c>
      <c r="H5743">
        <v>4.6262109999999996</v>
      </c>
      <c r="I5743">
        <v>-41.162550000000003</v>
      </c>
      <c r="J5743">
        <v>-214.86</v>
      </c>
      <c r="K5743">
        <v>1.120252</v>
      </c>
      <c r="L5743">
        <v>-63.610810000000001</v>
      </c>
      <c r="M5743">
        <v>0.99988909999999998</v>
      </c>
      <c r="N5743">
        <v>-1.023335E-2</v>
      </c>
      <c r="O5743">
        <v>-1.0825980000000001E-2</v>
      </c>
      <c r="P5743">
        <v>0.98230669999999998</v>
      </c>
      <c r="Q5743">
        <v>0.18392030000000001</v>
      </c>
      <c r="R5743">
        <v>-3.5316809999999997E-2</v>
      </c>
      <c r="S5743">
        <v>3.0611419999999998</v>
      </c>
      <c r="T5743">
        <v>0.1859642</v>
      </c>
      <c r="U5743">
        <v>1.190582</v>
      </c>
      <c r="V5743">
        <v>2.4813700000000001E-2</v>
      </c>
      <c r="W5743">
        <v>0.19394939999999999</v>
      </c>
      <c r="X5743">
        <v>0.98069759999999995</v>
      </c>
      <c r="Y5743">
        <v>-0.3720426</v>
      </c>
      <c r="Z5743">
        <v>-9.6630780000000003E-3</v>
      </c>
      <c r="AA5743">
        <v>0.92816540000000003</v>
      </c>
      <c r="AB5743">
        <v>40</v>
      </c>
      <c r="AC5743">
        <v>57.509900000000002</v>
      </c>
      <c r="AD5743">
        <v>3.5059589999999998</v>
      </c>
      <c r="AE5743">
        <v>22.448260000000001</v>
      </c>
      <c r="AF5743">
        <v>-22.995416111723902</v>
      </c>
      <c r="AG5743">
        <v>3.5059589999999998</v>
      </c>
      <c r="AH5743">
        <v>57.079407247743703</v>
      </c>
      <c r="AI5743">
        <v>86.739221479467403</v>
      </c>
      <c r="AJ5743">
        <v>111.942884480207</v>
      </c>
      <c r="AK5743">
        <v>61.637161213141397</v>
      </c>
      <c r="AL5743">
        <v>78.8166422719585</v>
      </c>
      <c r="AM5743">
        <v>88.550606213918897</v>
      </c>
      <c r="AN5743">
        <v>0.99999993605690296</v>
      </c>
    </row>
    <row r="5744" spans="1:40" x14ac:dyDescent="0.25">
      <c r="A5744" t="str">
        <f>"20190303171126547"</f>
        <v>20190303171126547</v>
      </c>
      <c r="B5744" t="str">
        <f>"1551604286536329"</f>
        <v>1551604286536329</v>
      </c>
      <c r="C5744" t="s">
        <v>40</v>
      </c>
      <c r="D5744">
        <v>4.9700189999999997</v>
      </c>
      <c r="E5744">
        <v>0.33936630000000001</v>
      </c>
      <c r="F5744" t="s">
        <v>49</v>
      </c>
      <c r="G5744">
        <v>-157.3501</v>
      </c>
      <c r="H5744">
        <v>4.5846450000000001</v>
      </c>
      <c r="I5744">
        <v>-41.303150000000002</v>
      </c>
      <c r="J5744">
        <v>-214.65889999999999</v>
      </c>
      <c r="K5744">
        <v>1.120306</v>
      </c>
      <c r="L5744">
        <v>-63.613010000000003</v>
      </c>
      <c r="M5744">
        <v>0.99988889999999997</v>
      </c>
      <c r="N5744">
        <v>-1.026323E-2</v>
      </c>
      <c r="O5744">
        <v>-1.081933E-2</v>
      </c>
      <c r="P5744">
        <v>0.98247139999999999</v>
      </c>
      <c r="Q5744">
        <v>0.18292800000000001</v>
      </c>
      <c r="R5744">
        <v>-3.5881110000000001E-2</v>
      </c>
      <c r="S5744">
        <v>3.0622099999999999</v>
      </c>
      <c r="T5744">
        <v>0.1844654</v>
      </c>
      <c r="U5744">
        <v>1.187805</v>
      </c>
      <c r="V5744">
        <v>2.535602E-2</v>
      </c>
      <c r="W5744">
        <v>0.19299089999999999</v>
      </c>
      <c r="X5744">
        <v>0.98087290000000005</v>
      </c>
      <c r="Y5744">
        <v>-0.37120599999999998</v>
      </c>
      <c r="Z5744">
        <v>-9.5430399999999992E-3</v>
      </c>
      <c r="AA5744">
        <v>0.92850149999999998</v>
      </c>
      <c r="AB5744">
        <v>40</v>
      </c>
      <c r="AC5744">
        <v>57.308799999999898</v>
      </c>
      <c r="AD5744">
        <v>3.4643389999999998</v>
      </c>
      <c r="AE5744">
        <v>22.30986</v>
      </c>
      <c r="AF5744">
        <v>-22.856099396208801</v>
      </c>
      <c r="AG5744">
        <v>3.4643389999999998</v>
      </c>
      <c r="AH5744">
        <v>56.8835443327009</v>
      </c>
      <c r="AI5744">
        <v>86.765591029458093</v>
      </c>
      <c r="AJ5744">
        <v>111.89051412096801</v>
      </c>
      <c r="AK5744">
        <v>61.401470179195599</v>
      </c>
      <c r="AL5744">
        <v>78.872618942094206</v>
      </c>
      <c r="AM5744">
        <v>88.519207276496601</v>
      </c>
      <c r="AN5744">
        <v>1.00000003059372</v>
      </c>
    </row>
    <row r="5745" spans="1:40" x14ac:dyDescent="0.25">
      <c r="A5745" t="str">
        <f>"20190303171126557"</f>
        <v>20190303171126557</v>
      </c>
      <c r="B5745" t="str">
        <f>"1551604286546089"</f>
        <v>1551604286546089</v>
      </c>
      <c r="C5745" t="s">
        <v>40</v>
      </c>
      <c r="D5745">
        <v>5.0427780000000002</v>
      </c>
      <c r="E5745">
        <v>0.33936630000000001</v>
      </c>
      <c r="F5745" t="s">
        <v>49</v>
      </c>
      <c r="G5745">
        <v>-157.3501</v>
      </c>
      <c r="H5745">
        <v>4.5347520000000001</v>
      </c>
      <c r="I5745">
        <v>-41.422980000000003</v>
      </c>
      <c r="J5745">
        <v>-214.46360000000001</v>
      </c>
      <c r="K5745">
        <v>1.1203639999999999</v>
      </c>
      <c r="L5745">
        <v>-63.615139999999997</v>
      </c>
      <c r="M5745">
        <v>0.99988889999999997</v>
      </c>
      <c r="N5745">
        <v>-1.0293429999999999E-2</v>
      </c>
      <c r="O5745">
        <v>-1.0797030000000001E-2</v>
      </c>
      <c r="P5745">
        <v>0.98261869999999996</v>
      </c>
      <c r="Q5745">
        <v>0.18209420000000001</v>
      </c>
      <c r="R5745">
        <v>-3.6088149999999999E-2</v>
      </c>
      <c r="S5745">
        <v>3.0628660000000001</v>
      </c>
      <c r="T5745">
        <v>0.18248400000000001</v>
      </c>
      <c r="U5745">
        <v>1.1859440000000001</v>
      </c>
      <c r="V5745">
        <v>2.5555870000000001E-2</v>
      </c>
      <c r="W5745">
        <v>0.19219169999999999</v>
      </c>
      <c r="X5745">
        <v>0.98102460000000002</v>
      </c>
      <c r="Y5745">
        <v>-0.37064039999999998</v>
      </c>
      <c r="Z5745">
        <v>-9.3996740000000002E-3</v>
      </c>
      <c r="AA5745">
        <v>0.92872889999999997</v>
      </c>
      <c r="AB5745">
        <v>40</v>
      </c>
      <c r="AC5745">
        <v>57.113500000000002</v>
      </c>
      <c r="AD5745">
        <v>3.41438799999999</v>
      </c>
      <c r="AE5745">
        <v>22.192160000000001</v>
      </c>
      <c r="AF5745">
        <v>-22.736953776267299</v>
      </c>
      <c r="AG5745">
        <v>3.41438799999999</v>
      </c>
      <c r="AH5745">
        <v>56.694504507103403</v>
      </c>
      <c r="AI5745">
        <v>86.800681693907094</v>
      </c>
      <c r="AJ5745">
        <v>111.852924827512</v>
      </c>
      <c r="AK5745">
        <v>61.179195432308802</v>
      </c>
      <c r="AL5745">
        <v>78.919283087138496</v>
      </c>
      <c r="AM5745">
        <v>88.507771966331802</v>
      </c>
      <c r="AN5745">
        <v>1.0000000089227501</v>
      </c>
    </row>
    <row r="5746" spans="1:40" x14ac:dyDescent="0.25">
      <c r="A5746" t="str">
        <f>"20190303171126567"</f>
        <v>20190303171126567</v>
      </c>
      <c r="B5746" t="str">
        <f>"1551604286555850"</f>
        <v>1551604286555850</v>
      </c>
      <c r="C5746" t="s">
        <v>40</v>
      </c>
      <c r="D5746">
        <v>5.129556</v>
      </c>
      <c r="E5746">
        <v>0.39506629999999998</v>
      </c>
      <c r="F5746" t="s">
        <v>49</v>
      </c>
      <c r="G5746">
        <v>-157.3501</v>
      </c>
      <c r="H5746">
        <v>4.4735769999999997</v>
      </c>
      <c r="I5746">
        <v>-41.515419999999999</v>
      </c>
      <c r="J5746">
        <v>-214.26320000000001</v>
      </c>
      <c r="K5746">
        <v>1.120452</v>
      </c>
      <c r="L5746">
        <v>-63.617249999999999</v>
      </c>
      <c r="M5746">
        <v>0.99988980000000005</v>
      </c>
      <c r="N5746">
        <v>-1.033327E-2</v>
      </c>
      <c r="O5746">
        <v>-1.066871E-2</v>
      </c>
      <c r="P5746">
        <v>0.98280339999999999</v>
      </c>
      <c r="Q5746">
        <v>0.18110010000000001</v>
      </c>
      <c r="R5746">
        <v>-3.606115E-2</v>
      </c>
      <c r="S5746">
        <v>3.0632480000000002</v>
      </c>
      <c r="T5746">
        <v>0.17984559999999999</v>
      </c>
      <c r="U5746">
        <v>1.185303</v>
      </c>
      <c r="V5746">
        <v>2.561283E-2</v>
      </c>
      <c r="W5746">
        <v>0.191244</v>
      </c>
      <c r="X5746">
        <v>0.98120830000000003</v>
      </c>
      <c r="Y5746">
        <v>-0.37032979999999999</v>
      </c>
      <c r="Z5746">
        <v>-9.2133430000000006E-3</v>
      </c>
      <c r="AA5746">
        <v>0.92885459999999997</v>
      </c>
      <c r="AB5746">
        <v>40</v>
      </c>
      <c r="AC5746">
        <v>56.9131</v>
      </c>
      <c r="AD5746">
        <v>3.3531249999999901</v>
      </c>
      <c r="AE5746">
        <v>22.10183</v>
      </c>
      <c r="AF5746">
        <v>-22.639506704946001</v>
      </c>
      <c r="AG5746">
        <v>3.3531249999999901</v>
      </c>
      <c r="AH5746">
        <v>56.503619485720002</v>
      </c>
      <c r="AI5746">
        <v>86.846974608676206</v>
      </c>
      <c r="AJ5746">
        <v>111.834671138704</v>
      </c>
      <c r="AK5746">
        <v>60.962691263558597</v>
      </c>
      <c r="AL5746">
        <v>78.974608553202998</v>
      </c>
      <c r="AM5746">
        <v>88.504727401868607</v>
      </c>
      <c r="AN5746">
        <v>1.0000000062927401</v>
      </c>
    </row>
    <row r="5747" spans="1:40" x14ac:dyDescent="0.25">
      <c r="A5747" t="str">
        <f>"20190303171126581"</f>
        <v>20190303171126581</v>
      </c>
      <c r="B5747" t="str">
        <f>"1551604286566567"</f>
        <v>1551604286566567</v>
      </c>
      <c r="C5747" t="s">
        <v>40</v>
      </c>
      <c r="D5747">
        <v>5.0749370000000003</v>
      </c>
      <c r="E5747">
        <v>0.407445</v>
      </c>
      <c r="F5747" t="s">
        <v>49</v>
      </c>
      <c r="G5747">
        <v>-157.3501</v>
      </c>
      <c r="H5747">
        <v>1.6583399999999999</v>
      </c>
      <c r="I5747">
        <v>-49.807209999999998</v>
      </c>
      <c r="J5747">
        <v>-214.05330000000001</v>
      </c>
      <c r="K5747">
        <v>1.1205480000000001</v>
      </c>
      <c r="L5747">
        <v>-63.619349999999997</v>
      </c>
      <c r="M5747">
        <v>0.99989110000000003</v>
      </c>
      <c r="N5747">
        <v>-1.0377590000000001E-2</v>
      </c>
      <c r="O5747">
        <v>-1.0495819999999999E-2</v>
      </c>
      <c r="P5747">
        <v>0.98294939999999997</v>
      </c>
      <c r="Q5747">
        <v>0.18036379999999999</v>
      </c>
      <c r="R5747">
        <v>-3.5768580000000001E-2</v>
      </c>
      <c r="S5747">
        <v>3.0745089999999999</v>
      </c>
      <c r="T5747">
        <v>2.9056189999999999E-2</v>
      </c>
      <c r="U5747">
        <v>0.74603269999999899</v>
      </c>
      <c r="V5747">
        <v>2.5443919999999998E-2</v>
      </c>
      <c r="W5747">
        <v>0.19055920000000001</v>
      </c>
      <c r="X5747">
        <v>0.98134589999999999</v>
      </c>
      <c r="Y5747">
        <v>-0.24599499999999999</v>
      </c>
      <c r="Z5747" s="1">
        <v>-5.6186459999999999E-5</v>
      </c>
      <c r="AA5747">
        <v>0.96927110000000005</v>
      </c>
      <c r="AB5747">
        <v>40</v>
      </c>
      <c r="AC5747">
        <v>56.703200000000002</v>
      </c>
      <c r="AD5747">
        <v>0.53779200000000005</v>
      </c>
      <c r="AE5747">
        <v>13.812139999999999</v>
      </c>
      <c r="AF5747">
        <v>-14.4053345010232</v>
      </c>
      <c r="AG5747">
        <v>0.53779200000000005</v>
      </c>
      <c r="AH5747">
        <v>56.5502968403446</v>
      </c>
      <c r="AI5747">
        <v>89.471995725375194</v>
      </c>
      <c r="AJ5747">
        <v>104.291289476533</v>
      </c>
      <c r="AK5747">
        <v>58.358709333335398</v>
      </c>
      <c r="AL5747">
        <v>79.0145796111685</v>
      </c>
      <c r="AM5747">
        <v>88.514792091155499</v>
      </c>
      <c r="AN5747">
        <v>0.99999998860820805</v>
      </c>
    </row>
    <row r="5748" spans="1:40" x14ac:dyDescent="0.25">
      <c r="A5748" t="str">
        <f>"20190303171126590"</f>
        <v>20190303171126590</v>
      </c>
      <c r="B5748" t="str">
        <f>"1551604286586087"</f>
        <v>1551604286586087</v>
      </c>
      <c r="C5748" t="s">
        <v>40</v>
      </c>
      <c r="D5748">
        <v>5.0892999999999997</v>
      </c>
      <c r="E5748">
        <v>0.42535109999999898</v>
      </c>
      <c r="F5748" t="s">
        <v>49</v>
      </c>
      <c r="G5748">
        <v>-157.9383</v>
      </c>
      <c r="H5748">
        <v>0.94115709999999997</v>
      </c>
      <c r="I5748">
        <v>-51.772320000000001</v>
      </c>
      <c r="J5748">
        <v>-213.84819999999999</v>
      </c>
      <c r="K5748">
        <v>1.1206689999999999</v>
      </c>
      <c r="L5748">
        <v>-63.621369999999999</v>
      </c>
      <c r="M5748">
        <v>0.99989329999999998</v>
      </c>
      <c r="N5748">
        <v>-1.04271E-2</v>
      </c>
      <c r="O5748">
        <v>-1.023493E-2</v>
      </c>
      <c r="P5748">
        <v>0.98302699999999998</v>
      </c>
      <c r="Q5748">
        <v>0.18003849999999999</v>
      </c>
      <c r="R5748">
        <v>-3.52728E-2</v>
      </c>
      <c r="S5748">
        <v>3.0774840000000001</v>
      </c>
      <c r="T5748">
        <v>-9.8392960000000008E-3</v>
      </c>
      <c r="U5748">
        <v>0.64971919999999905</v>
      </c>
      <c r="V5748">
        <v>2.515245E-2</v>
      </c>
      <c r="W5748">
        <v>0.19028999999999999</v>
      </c>
      <c r="X5748">
        <v>0.98140570000000005</v>
      </c>
      <c r="Y5748">
        <v>-0.2165658</v>
      </c>
      <c r="Z5748">
        <v>1.4106959999999999E-3</v>
      </c>
      <c r="AA5748">
        <v>0.976267</v>
      </c>
      <c r="AB5748">
        <v>40</v>
      </c>
      <c r="AC5748">
        <v>55.909899999999901</v>
      </c>
      <c r="AD5748">
        <v>-0.1795119</v>
      </c>
      <c r="AE5748">
        <v>11.849049999999901</v>
      </c>
      <c r="AF5748">
        <v>-12.420571759749899</v>
      </c>
      <c r="AG5748">
        <v>-0.1795119</v>
      </c>
      <c r="AH5748">
        <v>55.785140073165103</v>
      </c>
      <c r="AI5748">
        <v>90.179965630872204</v>
      </c>
      <c r="AJ5748">
        <v>102.552172149469</v>
      </c>
      <c r="AK5748">
        <v>57.151418883033799</v>
      </c>
      <c r="AL5748">
        <v>79.030291686047306</v>
      </c>
      <c r="AM5748">
        <v>88.531887658207395</v>
      </c>
      <c r="AN5748">
        <v>1.0000000389167401</v>
      </c>
    </row>
    <row r="5749" spans="1:40" x14ac:dyDescent="0.25">
      <c r="A5749" t="str">
        <f>"20190303171126602"</f>
        <v>20190303171126602</v>
      </c>
      <c r="B5749" t="str">
        <f>"1551604286596824"</f>
        <v>1551604286596824</v>
      </c>
      <c r="C5749" t="s">
        <v>40</v>
      </c>
      <c r="D5749">
        <v>5.0746549999999999</v>
      </c>
      <c r="E5749">
        <v>0.42999229999999999</v>
      </c>
      <c r="F5749" t="s">
        <v>49</v>
      </c>
      <c r="G5749">
        <v>-157.9383</v>
      </c>
      <c r="H5749">
        <v>6.5669779999999997E-2</v>
      </c>
      <c r="I5749">
        <v>-54.35463</v>
      </c>
      <c r="J5749">
        <v>-213.64109999999999</v>
      </c>
      <c r="K5749">
        <v>1.120806</v>
      </c>
      <c r="L5749">
        <v>-63.623260000000002</v>
      </c>
      <c r="M5749">
        <v>0.99989629999999996</v>
      </c>
      <c r="N5749">
        <v>-1.04835E-2</v>
      </c>
      <c r="O5749">
        <v>-9.8849850000000006E-3</v>
      </c>
      <c r="P5749">
        <v>0.98297140000000005</v>
      </c>
      <c r="Q5749">
        <v>0.18038480000000001</v>
      </c>
      <c r="R5749">
        <v>-3.505834E-2</v>
      </c>
      <c r="S5749">
        <v>3.0807799999999999</v>
      </c>
      <c r="T5749">
        <v>-5.8134199999999997E-2</v>
      </c>
      <c r="U5749">
        <v>0.51062010000000002</v>
      </c>
      <c r="V5749">
        <v>2.5223499999999999E-2</v>
      </c>
      <c r="W5749">
        <v>0.19069820000000001</v>
      </c>
      <c r="X5749">
        <v>0.98132459999999999</v>
      </c>
      <c r="Y5749">
        <v>-0.17321010000000001</v>
      </c>
      <c r="Z5749">
        <v>2.6196230000000002E-3</v>
      </c>
      <c r="AA5749">
        <v>0.98488140000000002</v>
      </c>
      <c r="AB5749">
        <v>40</v>
      </c>
      <c r="AC5749">
        <v>55.702800000000003</v>
      </c>
      <c r="AD5749">
        <v>-1.0551362200000001</v>
      </c>
      <c r="AE5749">
        <v>9.2686299999999804</v>
      </c>
      <c r="AF5749">
        <v>-9.8154016776355792</v>
      </c>
      <c r="AG5749">
        <v>-1.0551362200000001</v>
      </c>
      <c r="AH5749">
        <v>55.5890444288071</v>
      </c>
      <c r="AI5749">
        <v>91.070840340967706</v>
      </c>
      <c r="AJ5749">
        <v>100.013547641492</v>
      </c>
      <c r="AK5749">
        <v>56.458810499726098</v>
      </c>
      <c r="AL5749">
        <v>79.006466846569595</v>
      </c>
      <c r="AM5749">
        <v>88.527620775707803</v>
      </c>
      <c r="AN5749">
        <v>0.99999999950032503</v>
      </c>
    </row>
    <row r="5750" spans="1:40" x14ac:dyDescent="0.25">
      <c r="A5750" t="str">
        <f>"20190303171126613"</f>
        <v>20190303171126613</v>
      </c>
      <c r="B5750" t="str">
        <f>"1551604286606584"</f>
        <v>1551604286606584</v>
      </c>
      <c r="C5750" t="s">
        <v>40</v>
      </c>
      <c r="D5750">
        <v>5.0953299999999997</v>
      </c>
      <c r="E5750">
        <v>0.43355500000000002</v>
      </c>
      <c r="F5750" t="s">
        <v>41</v>
      </c>
      <c r="G5750">
        <v>-158.53389999999999</v>
      </c>
      <c r="H5750">
        <v>-0.05</v>
      </c>
      <c r="I5750">
        <v>-55.12323</v>
      </c>
      <c r="J5750">
        <v>-213.43969999999999</v>
      </c>
      <c r="K5750">
        <v>1.120957</v>
      </c>
      <c r="L5750">
        <v>-63.624969999999998</v>
      </c>
      <c r="M5750">
        <v>0.9998996</v>
      </c>
      <c r="N5750">
        <v>-1.0543520000000001E-2</v>
      </c>
      <c r="O5750">
        <v>-9.4735870000000003E-3</v>
      </c>
      <c r="P5750">
        <v>0.98301190000000005</v>
      </c>
      <c r="Q5750">
        <v>0.18023020000000001</v>
      </c>
      <c r="R5750">
        <v>-3.471519E-2</v>
      </c>
      <c r="S5750">
        <v>3.0809329999999999</v>
      </c>
      <c r="T5750">
        <v>-6.5457340000000003E-2</v>
      </c>
      <c r="U5750">
        <v>0.47521970000000002</v>
      </c>
      <c r="V5750">
        <v>2.5221029999999998E-2</v>
      </c>
      <c r="W5750">
        <v>0.19061159999999999</v>
      </c>
      <c r="X5750">
        <v>0.98134149999999998</v>
      </c>
      <c r="Y5750">
        <v>-0.1617449</v>
      </c>
      <c r="Z5750">
        <v>2.6666070000000001E-3</v>
      </c>
      <c r="AA5750">
        <v>0.98682899999999996</v>
      </c>
      <c r="AB5750">
        <v>40</v>
      </c>
      <c r="AC5750">
        <v>54.905799999999999</v>
      </c>
      <c r="AD5750">
        <v>-1.170957</v>
      </c>
      <c r="AE5750">
        <v>8.5017399999999892</v>
      </c>
      <c r="AF5750">
        <v>-9.0175368149070199</v>
      </c>
      <c r="AG5750">
        <v>-1.170957</v>
      </c>
      <c r="AH5750">
        <v>54.7984491739617</v>
      </c>
      <c r="AI5750">
        <v>91.207894358308806</v>
      </c>
      <c r="AJ5750">
        <v>99.344743666591299</v>
      </c>
      <c r="AK5750">
        <v>55.547791516632898</v>
      </c>
      <c r="AL5750">
        <v>79.011521503789695</v>
      </c>
      <c r="AM5750">
        <v>88.527790237008105</v>
      </c>
      <c r="AN5750">
        <v>1.00000001101553</v>
      </c>
    </row>
    <row r="5751" spans="1:40" x14ac:dyDescent="0.25">
      <c r="A5751" t="str">
        <f>"20190303171126626"</f>
        <v>20190303171126626</v>
      </c>
      <c r="B5751" t="str">
        <f>"1551604286616343"</f>
        <v>1551604286616343</v>
      </c>
      <c r="C5751" t="s">
        <v>40</v>
      </c>
      <c r="D5751">
        <v>5.0718750000000004</v>
      </c>
      <c r="E5751">
        <v>0.4362337</v>
      </c>
      <c r="F5751" t="s">
        <v>41</v>
      </c>
      <c r="G5751">
        <v>-165.04640000000001</v>
      </c>
      <c r="H5751">
        <v>-0.05</v>
      </c>
      <c r="I5751">
        <v>-56.574249999999999</v>
      </c>
      <c r="J5751">
        <v>-213.23310000000001</v>
      </c>
      <c r="K5751">
        <v>1.121132</v>
      </c>
      <c r="L5751">
        <v>-63.626530000000002</v>
      </c>
      <c r="M5751">
        <v>0.99990420000000002</v>
      </c>
      <c r="N5751">
        <v>-1.0618249999999999E-2</v>
      </c>
      <c r="O5751">
        <v>-8.8996170000000003E-3</v>
      </c>
      <c r="P5751">
        <v>0.98307719999999998</v>
      </c>
      <c r="Q5751">
        <v>0.18002360000000001</v>
      </c>
      <c r="R5751">
        <v>-3.3925820000000002E-2</v>
      </c>
      <c r="S5751">
        <v>3.081375</v>
      </c>
      <c r="T5751">
        <v>-7.4559089999999995E-2</v>
      </c>
      <c r="U5751">
        <v>0.44894410000000001</v>
      </c>
      <c r="V5751">
        <v>2.4919489999999999E-2</v>
      </c>
      <c r="W5751">
        <v>0.19048850000000001</v>
      </c>
      <c r="X5751">
        <v>0.9813731</v>
      </c>
      <c r="Y5751">
        <v>-0.15291109999999999</v>
      </c>
      <c r="Z5751">
        <v>2.7764980000000001E-3</v>
      </c>
      <c r="AA5751">
        <v>0.98823609999999995</v>
      </c>
      <c r="AB5751">
        <v>40</v>
      </c>
      <c r="AC5751">
        <v>48.186700000000002</v>
      </c>
      <c r="AD5751">
        <v>-1.1711320000000001</v>
      </c>
      <c r="AE5751">
        <v>7.0522799999999997</v>
      </c>
      <c r="AF5751">
        <v>-7.4765442700342204</v>
      </c>
      <c r="AG5751">
        <v>-1.1711320000000001</v>
      </c>
      <c r="AH5751">
        <v>48.094212471077803</v>
      </c>
      <c r="AI5751">
        <v>91.378372365355801</v>
      </c>
      <c r="AJ5751">
        <v>98.836257196970905</v>
      </c>
      <c r="AK5751">
        <v>48.685968590512601</v>
      </c>
      <c r="AL5751">
        <v>79.0187061957201</v>
      </c>
      <c r="AM5751">
        <v>88.5454310332738</v>
      </c>
      <c r="AN5751">
        <v>1.00000000550886</v>
      </c>
    </row>
    <row r="5752" spans="1:40" x14ac:dyDescent="0.25">
      <c r="A5752" t="str">
        <f>"20190303171126637"</f>
        <v>20190303171126637</v>
      </c>
      <c r="B5752" t="str">
        <f>"1551604286626103"</f>
        <v>1551604286626103</v>
      </c>
      <c r="C5752" t="s">
        <v>40</v>
      </c>
      <c r="D5752">
        <v>5.0964600000000004</v>
      </c>
      <c r="E5752">
        <v>0.4383013</v>
      </c>
      <c r="F5752" t="s">
        <v>41</v>
      </c>
      <c r="G5752">
        <v>-168.77160000000001</v>
      </c>
      <c r="H5752">
        <v>-0.05</v>
      </c>
      <c r="I5752">
        <v>-57.408019999999901</v>
      </c>
      <c r="J5752">
        <v>-213.01310000000001</v>
      </c>
      <c r="K5752">
        <v>1.1213310000000001</v>
      </c>
      <c r="L5752">
        <v>-63.628050000000002</v>
      </c>
      <c r="M5752">
        <v>0.99990900000000005</v>
      </c>
      <c r="N5752">
        <v>-1.0703509999999999E-2</v>
      </c>
      <c r="O5752">
        <v>-8.2196579999999995E-3</v>
      </c>
      <c r="P5752">
        <v>0.98328059999999995</v>
      </c>
      <c r="Q5752">
        <v>0.17918899999999999</v>
      </c>
      <c r="R5752">
        <v>-3.2416529999999999E-2</v>
      </c>
      <c r="S5752">
        <v>3.081375</v>
      </c>
      <c r="T5752">
        <v>-8.1164479999999997E-2</v>
      </c>
      <c r="U5752">
        <v>0.4309692</v>
      </c>
      <c r="V5752">
        <v>2.3992019999999999E-2</v>
      </c>
      <c r="W5752">
        <v>0.18974930000000001</v>
      </c>
      <c r="X5752">
        <v>0.98153939999999995</v>
      </c>
      <c r="Y5752">
        <v>-0.14657909999999999</v>
      </c>
      <c r="Z5752">
        <v>2.8371780000000001E-3</v>
      </c>
      <c r="AA5752">
        <v>0.98919489999999999</v>
      </c>
      <c r="AB5752">
        <v>40</v>
      </c>
      <c r="AC5752">
        <v>44.241500000000002</v>
      </c>
      <c r="AD5752">
        <v>-1.1713309999999999</v>
      </c>
      <c r="AE5752">
        <v>6.2200300000000004</v>
      </c>
      <c r="AF5752">
        <v>-6.5789683858266601</v>
      </c>
      <c r="AG5752">
        <v>-1.1713309999999999</v>
      </c>
      <c r="AH5752">
        <v>44.158521992003202</v>
      </c>
      <c r="AI5752">
        <v>91.502868243987393</v>
      </c>
      <c r="AJ5752">
        <v>98.473895587462593</v>
      </c>
      <c r="AK5752">
        <v>44.661279715783998</v>
      </c>
      <c r="AL5752">
        <v>79.061846042911</v>
      </c>
      <c r="AM5752">
        <v>88.599783344627795</v>
      </c>
      <c r="AN5752">
        <v>1.0000000038132599</v>
      </c>
    </row>
    <row r="5753" spans="1:40" x14ac:dyDescent="0.25">
      <c r="A5753" t="str">
        <f>"20190303171126651"</f>
        <v>20190303171126651</v>
      </c>
      <c r="B5753" t="str">
        <f>"1551604286636840"</f>
        <v>1551604286636840</v>
      </c>
      <c r="C5753" t="s">
        <v>40</v>
      </c>
      <c r="D5753">
        <v>5.1003429999999996</v>
      </c>
      <c r="E5753">
        <v>0.44001849999999998</v>
      </c>
      <c r="F5753" t="s">
        <v>68</v>
      </c>
      <c r="G5753">
        <v>-176.56610000000001</v>
      </c>
      <c r="H5753">
        <v>7.9986570000000007E-2</v>
      </c>
      <c r="I5753">
        <v>-58.659660000000002</v>
      </c>
      <c r="J5753">
        <v>-212.76519999999999</v>
      </c>
      <c r="K5753">
        <v>1.121594</v>
      </c>
      <c r="L5753">
        <v>-63.629330000000003</v>
      </c>
      <c r="M5753">
        <v>0.99991569999999996</v>
      </c>
      <c r="N5753">
        <v>-1.082025E-2</v>
      </c>
      <c r="O5753">
        <v>-7.2005000000000003E-3</v>
      </c>
      <c r="P5753">
        <v>0.98349580000000003</v>
      </c>
      <c r="Q5753">
        <v>0.17836389999999999</v>
      </c>
      <c r="R5753">
        <v>-3.0375929999999999E-2</v>
      </c>
      <c r="S5753">
        <v>3.080902</v>
      </c>
      <c r="T5753">
        <v>-8.8025930000000002E-2</v>
      </c>
      <c r="U5753">
        <v>0.41998289999999999</v>
      </c>
      <c r="V5753">
        <v>2.2840079999999999E-2</v>
      </c>
      <c r="W5753">
        <v>0.18905259999999999</v>
      </c>
      <c r="X5753">
        <v>0.9817013</v>
      </c>
      <c r="Y5753">
        <v>-0.14212040000000001</v>
      </c>
      <c r="Z5753">
        <v>2.9204360000000002E-3</v>
      </c>
      <c r="AA5753">
        <v>0.98984510000000003</v>
      </c>
      <c r="AB5753">
        <v>40</v>
      </c>
      <c r="AC5753">
        <v>36.199099999999902</v>
      </c>
      <c r="AD5753">
        <v>-1.04160743</v>
      </c>
      <c r="AE5753">
        <v>4.9696699999999998</v>
      </c>
      <c r="AF5753">
        <v>-5.2259611124476297</v>
      </c>
      <c r="AG5753">
        <v>-1.04160743</v>
      </c>
      <c r="AH5753">
        <v>36.1330117935563</v>
      </c>
      <c r="AI5753">
        <v>91.634215313841693</v>
      </c>
      <c r="AJ5753">
        <v>98.229690985850297</v>
      </c>
      <c r="AK5753">
        <v>36.523829986192901</v>
      </c>
      <c r="AL5753">
        <v>79.102499796811301</v>
      </c>
      <c r="AM5753">
        <v>88.667207486724493</v>
      </c>
      <c r="AN5753">
        <v>0.99999999862142797</v>
      </c>
    </row>
    <row r="5754" spans="1:40" x14ac:dyDescent="0.25">
      <c r="A5754" t="str">
        <f>"20190303171126665"</f>
        <v>20190303171126665</v>
      </c>
      <c r="B5754" t="str">
        <f>"1551604286656360"</f>
        <v>1551604286656360</v>
      </c>
      <c r="C5754" t="s">
        <v>40</v>
      </c>
      <c r="D5754">
        <v>5.1302779999999997</v>
      </c>
      <c r="E5754">
        <v>0.44243719999999997</v>
      </c>
      <c r="F5754" t="s">
        <v>68</v>
      </c>
      <c r="G5754">
        <v>-178.94099999999901</v>
      </c>
      <c r="H5754">
        <v>7.9986570000000007E-2</v>
      </c>
      <c r="I5754">
        <v>-59.091329999999999</v>
      </c>
      <c r="J5754">
        <v>-212.536</v>
      </c>
      <c r="K5754">
        <v>1.121847</v>
      </c>
      <c r="L5754">
        <v>-63.630159999999997</v>
      </c>
      <c r="M5754">
        <v>0.99992159999999997</v>
      </c>
      <c r="N5754">
        <v>-1.093539E-2</v>
      </c>
      <c r="O5754">
        <v>-6.1066599999999999E-3</v>
      </c>
      <c r="P5754">
        <v>0.98374810000000001</v>
      </c>
      <c r="Q5754">
        <v>0.17738300000000001</v>
      </c>
      <c r="R5754">
        <v>-2.7841399999999999E-2</v>
      </c>
      <c r="S5754">
        <v>3.0803219999999998</v>
      </c>
      <c r="T5754">
        <v>-9.4857570000000002E-2</v>
      </c>
      <c r="U5754">
        <v>0.413269</v>
      </c>
      <c r="V5754">
        <v>2.1272619999999999E-2</v>
      </c>
      <c r="W5754">
        <v>0.18819620000000001</v>
      </c>
      <c r="X5754">
        <v>0.98190100000000002</v>
      </c>
      <c r="Y5754">
        <v>-0.1389339</v>
      </c>
      <c r="Z5754">
        <v>3.013197E-3</v>
      </c>
      <c r="AA5754">
        <v>0.99029710000000004</v>
      </c>
      <c r="AB5754">
        <v>40</v>
      </c>
      <c r="AC5754">
        <v>33.594999999999999</v>
      </c>
      <c r="AD5754">
        <v>-1.0418604300000001</v>
      </c>
      <c r="AE5754">
        <v>4.5388299999999902</v>
      </c>
      <c r="AF5754">
        <v>-4.7394343416003597</v>
      </c>
      <c r="AG5754">
        <v>-1.0418604300000001</v>
      </c>
      <c r="AH5754">
        <v>33.5349801026329</v>
      </c>
      <c r="AI5754">
        <v>91.761987064124696</v>
      </c>
      <c r="AJ5754">
        <v>98.044227348616303</v>
      </c>
      <c r="AK5754">
        <v>33.884253002212198</v>
      </c>
      <c r="AL5754">
        <v>79.152464320272401</v>
      </c>
      <c r="AM5754">
        <v>88.758896560417298</v>
      </c>
      <c r="AN5754">
        <v>0.99999995392855101</v>
      </c>
    </row>
    <row r="5755" spans="1:40" x14ac:dyDescent="0.25">
      <c r="A5755" t="str">
        <f>"20190303171126675"</f>
        <v>20190303171126675</v>
      </c>
      <c r="B5755" t="str">
        <f>"1551604286666114"</f>
        <v>1551604286666114</v>
      </c>
      <c r="C5755" t="s">
        <v>40</v>
      </c>
      <c r="D5755">
        <v>5.0842640000000001</v>
      </c>
      <c r="E5755">
        <v>0.44329590000000002</v>
      </c>
      <c r="F5755" t="s">
        <v>68</v>
      </c>
      <c r="G5755">
        <v>-179.95769999999999</v>
      </c>
      <c r="H5755">
        <v>2.6389860000000001E-2</v>
      </c>
      <c r="I5755">
        <v>-59.380009999999999</v>
      </c>
      <c r="J5755">
        <v>-212.31180000000001</v>
      </c>
      <c r="K5755">
        <v>1.122101</v>
      </c>
      <c r="L5755">
        <v>-63.630769999999998</v>
      </c>
      <c r="M5755">
        <v>0.9999268</v>
      </c>
      <c r="N5755">
        <v>-1.105252E-2</v>
      </c>
      <c r="O5755">
        <v>-4.9356699999999996E-3</v>
      </c>
      <c r="P5755">
        <v>0.98389599999999999</v>
      </c>
      <c r="Q5755">
        <v>0.17700940000000001</v>
      </c>
      <c r="R5755">
        <v>-2.4832960000000001E-2</v>
      </c>
      <c r="S5755">
        <v>3.0796049999999999</v>
      </c>
      <c r="T5755">
        <v>-0.1035529</v>
      </c>
      <c r="U5755">
        <v>0.40176390000000001</v>
      </c>
      <c r="V5755">
        <v>1.9305820000000001E-2</v>
      </c>
      <c r="W5755">
        <v>0.18794469999999999</v>
      </c>
      <c r="X5755">
        <v>0.98198989999999997</v>
      </c>
      <c r="Y5755">
        <v>-0.13415560000000001</v>
      </c>
      <c r="Z5755">
        <v>3.1011010000000002E-3</v>
      </c>
      <c r="AA5755">
        <v>0.99095540000000004</v>
      </c>
      <c r="AB5755">
        <v>40</v>
      </c>
      <c r="AC5755">
        <v>32.354100000000003</v>
      </c>
      <c r="AD5755">
        <v>-1.0957111399999999</v>
      </c>
      <c r="AE5755">
        <v>4.2507599999999996</v>
      </c>
      <c r="AF5755">
        <v>-4.4054401671436603</v>
      </c>
      <c r="AG5755">
        <v>-1.0957111399999999</v>
      </c>
      <c r="AH5755">
        <v>32.296311449555098</v>
      </c>
      <c r="AI5755">
        <v>91.925302544988497</v>
      </c>
      <c r="AJ5755">
        <v>97.767600343592505</v>
      </c>
      <c r="AK5755">
        <v>32.613804120575502</v>
      </c>
      <c r="AL5755">
        <v>79.167137009136397</v>
      </c>
      <c r="AM5755">
        <v>88.873715985405198</v>
      </c>
      <c r="AN5755">
        <v>1.00000004432298</v>
      </c>
    </row>
    <row r="5756" spans="1:40" x14ac:dyDescent="0.25">
      <c r="A5756" t="str">
        <f>"20190303171126686"</f>
        <v>20190303171126686</v>
      </c>
      <c r="B5756" t="str">
        <f>"1551604286676851"</f>
        <v>1551604286676851</v>
      </c>
      <c r="C5756" t="s">
        <v>40</v>
      </c>
      <c r="D5756">
        <v>5.1179410000000001</v>
      </c>
      <c r="E5756">
        <v>0.4442197</v>
      </c>
      <c r="F5756" t="s">
        <v>68</v>
      </c>
      <c r="G5756">
        <v>-180.0635</v>
      </c>
      <c r="H5756" s="1">
        <v>-1.472875E-5</v>
      </c>
      <c r="I5756">
        <v>-59.397950000000002</v>
      </c>
      <c r="J5756">
        <v>-212.11779999999999</v>
      </c>
      <c r="K5756">
        <v>1.122341</v>
      </c>
      <c r="L5756">
        <v>-63.630740000000003</v>
      </c>
      <c r="M5756">
        <v>0.99993089999999996</v>
      </c>
      <c r="N5756">
        <v>-1.1167299999999899E-2</v>
      </c>
      <c r="O5756">
        <v>-3.6979600000000001E-3</v>
      </c>
      <c r="P5756">
        <v>0.98394839999999995</v>
      </c>
      <c r="Q5756">
        <v>0.1770563</v>
      </c>
      <c r="R5756">
        <v>-2.229134E-2</v>
      </c>
      <c r="S5756">
        <v>3.0785680000000002</v>
      </c>
      <c r="T5756">
        <v>-0.1071223</v>
      </c>
      <c r="U5756">
        <v>0.40408329999999998</v>
      </c>
      <c r="V5756">
        <v>1.7879969999999999E-2</v>
      </c>
      <c r="W5756">
        <v>0.18810950000000001</v>
      </c>
      <c r="X5756">
        <v>0.98198529999999995</v>
      </c>
      <c r="Y5756">
        <v>-0.13370000000000001</v>
      </c>
      <c r="Z5756">
        <v>3.152522E-3</v>
      </c>
      <c r="AA5756">
        <v>0.99101689999999998</v>
      </c>
      <c r="AB5756">
        <v>40</v>
      </c>
      <c r="AC5756">
        <v>32.054299999999898</v>
      </c>
      <c r="AD5756">
        <v>-1.1223557287499999</v>
      </c>
      <c r="AE5756">
        <v>4.2327899999999996</v>
      </c>
      <c r="AF5756">
        <v>-4.3460670195816498</v>
      </c>
      <c r="AG5756">
        <v>-1.1223557287499999</v>
      </c>
      <c r="AH5756">
        <v>31.999867855236801</v>
      </c>
      <c r="AI5756">
        <v>91.990495753560197</v>
      </c>
      <c r="AJ5756">
        <v>97.734311794333294</v>
      </c>
      <c r="AK5756">
        <v>32.313147845314802</v>
      </c>
      <c r="AL5756">
        <v>79.157522742065296</v>
      </c>
      <c r="AM5756">
        <v>88.956874782628802</v>
      </c>
      <c r="AN5756">
        <v>1.00000000336677</v>
      </c>
    </row>
    <row r="5757" spans="1:40" x14ac:dyDescent="0.25">
      <c r="A5757" t="str">
        <f>"20190303171126697"</f>
        <v>20190303171126697</v>
      </c>
      <c r="B5757" t="str">
        <f>"1551604286686610"</f>
        <v>1551604286686610</v>
      </c>
      <c r="C5757" t="s">
        <v>40</v>
      </c>
      <c r="D5757">
        <v>5.1058659999999998</v>
      </c>
      <c r="E5757">
        <v>0.44515470000000001</v>
      </c>
      <c r="F5757" t="s">
        <v>68</v>
      </c>
      <c r="G5757">
        <v>-180.6129</v>
      </c>
      <c r="H5757" s="1">
        <v>-1.4654850000000001E-5</v>
      </c>
      <c r="I5757">
        <v>-59.482979999999998</v>
      </c>
      <c r="J5757">
        <v>-211.93090000000001</v>
      </c>
      <c r="K5757">
        <v>1.122573</v>
      </c>
      <c r="L5757">
        <v>-63.630619999999901</v>
      </c>
      <c r="M5757">
        <v>0.99993330000000002</v>
      </c>
      <c r="N5757">
        <v>-1.1278949999999999E-2</v>
      </c>
      <c r="O5757">
        <v>-2.4794639999999998E-3</v>
      </c>
      <c r="P5757">
        <v>0.98396930000000005</v>
      </c>
      <c r="Q5757">
        <v>0.17720459999999999</v>
      </c>
      <c r="R5757">
        <v>-2.007256E-2</v>
      </c>
      <c r="S5757">
        <v>3.0778500000000002</v>
      </c>
      <c r="T5757">
        <v>-0.1096478</v>
      </c>
      <c r="U5757">
        <v>0.40521239999999997</v>
      </c>
      <c r="V5757">
        <v>1.676128E-2</v>
      </c>
      <c r="W5757">
        <v>0.18837129999999999</v>
      </c>
      <c r="X5757">
        <v>0.98195480000000002</v>
      </c>
      <c r="Y5757">
        <v>-0.13287579999999999</v>
      </c>
      <c r="Z5757">
        <v>3.16892E-3</v>
      </c>
      <c r="AA5757">
        <v>0.9911276</v>
      </c>
      <c r="AB5757">
        <v>40</v>
      </c>
      <c r="AC5757">
        <v>31.318000000000001</v>
      </c>
      <c r="AD5757">
        <v>-1.12258765485</v>
      </c>
      <c r="AE5757">
        <v>4.1476399999999796</v>
      </c>
      <c r="AF5757">
        <v>-4.2199554925239404</v>
      </c>
      <c r="AG5757">
        <v>-1.12258765485</v>
      </c>
      <c r="AH5757">
        <v>31.2681367671244</v>
      </c>
      <c r="AI5757">
        <v>92.037690147872596</v>
      </c>
      <c r="AJ5757">
        <v>97.686210902855294</v>
      </c>
      <c r="AK5757">
        <v>31.571579059168101</v>
      </c>
      <c r="AL5757">
        <v>79.142249173719193</v>
      </c>
      <c r="AM5757">
        <v>89.022096180008404</v>
      </c>
      <c r="AN5757">
        <v>0.99999995820698295</v>
      </c>
    </row>
    <row r="5758" spans="1:40" x14ac:dyDescent="0.25">
      <c r="A5758" t="str">
        <f>"20190303171126708"</f>
        <v>20190303171126708</v>
      </c>
      <c r="B5758" t="str">
        <f>"1551604286696370"</f>
        <v>1551604286696370</v>
      </c>
      <c r="C5758" t="s">
        <v>40</v>
      </c>
      <c r="D5758">
        <v>5.1280260000000002</v>
      </c>
      <c r="E5758">
        <v>0.44601420000000003</v>
      </c>
      <c r="F5758" t="s">
        <v>68</v>
      </c>
      <c r="G5758">
        <v>-181.3809</v>
      </c>
      <c r="H5758" s="1">
        <v>-1.453117E-5</v>
      </c>
      <c r="I5758">
        <v>-59.606000000000002</v>
      </c>
      <c r="J5758">
        <v>-211.74350000000001</v>
      </c>
      <c r="K5758">
        <v>1.122814</v>
      </c>
      <c r="L5758">
        <v>-63.63</v>
      </c>
      <c r="M5758">
        <v>0.9999344</v>
      </c>
      <c r="N5758">
        <v>-1.140238E-2</v>
      </c>
      <c r="O5758">
        <v>-1.0705700000000001E-3</v>
      </c>
      <c r="P5758">
        <v>0.98388330000000002</v>
      </c>
      <c r="Q5758">
        <v>0.17789949999999999</v>
      </c>
      <c r="R5758">
        <v>-1.803621E-2</v>
      </c>
      <c r="S5758">
        <v>3.077499</v>
      </c>
      <c r="T5758">
        <v>-0.1130854</v>
      </c>
      <c r="U5758">
        <v>0.40542600000000001</v>
      </c>
      <c r="V5758">
        <v>1.60076E-2</v>
      </c>
      <c r="W5758">
        <v>0.18919169999999999</v>
      </c>
      <c r="X5758">
        <v>0.98180970000000001</v>
      </c>
      <c r="Y5758">
        <v>-0.1315566</v>
      </c>
      <c r="Z5758">
        <v>3.1864939999999998E-3</v>
      </c>
      <c r="AA5758">
        <v>0.99130359999999995</v>
      </c>
      <c r="AB5758">
        <v>40</v>
      </c>
      <c r="AC5758">
        <v>30.3626</v>
      </c>
      <c r="AD5758">
        <v>-1.1228285311699999</v>
      </c>
      <c r="AE5758">
        <v>4.024</v>
      </c>
      <c r="AF5758">
        <v>-4.0510606248599901</v>
      </c>
      <c r="AG5758">
        <v>-1.1228285311699999</v>
      </c>
      <c r="AH5758">
        <v>30.3175287389152</v>
      </c>
      <c r="AI5758">
        <v>92.102347178513398</v>
      </c>
      <c r="AJ5758">
        <v>97.610840878192207</v>
      </c>
      <c r="AK5758">
        <v>30.607587048502399</v>
      </c>
      <c r="AL5758">
        <v>79.094383662088504</v>
      </c>
      <c r="AM5758">
        <v>89.065922180234594</v>
      </c>
      <c r="AN5758">
        <v>1.00000001481036</v>
      </c>
    </row>
    <row r="5759" spans="1:40" x14ac:dyDescent="0.25">
      <c r="A5759" t="str">
        <f>"20190303171126718"</f>
        <v>20190303171126718</v>
      </c>
      <c r="B5759" t="str">
        <f>"1551604286706130"</f>
        <v>1551604286706130</v>
      </c>
      <c r="C5759" t="s">
        <v>40</v>
      </c>
      <c r="D5759">
        <v>5.1038139999999999</v>
      </c>
      <c r="E5759">
        <v>0.44672109999999898</v>
      </c>
      <c r="F5759" t="s">
        <v>68</v>
      </c>
      <c r="G5759">
        <v>-181.32409999999999</v>
      </c>
      <c r="H5759" s="1">
        <v>-1.454691E-5</v>
      </c>
      <c r="I5759">
        <v>-59.61636</v>
      </c>
      <c r="J5759">
        <v>-211.5478</v>
      </c>
      <c r="K5759">
        <v>1.1230610000000001</v>
      </c>
      <c r="L5759">
        <v>-63.629179999999998</v>
      </c>
      <c r="M5759">
        <v>0.99993339999999997</v>
      </c>
      <c r="N5759">
        <v>-1.153377E-2</v>
      </c>
      <c r="O5759">
        <v>4.5225160000000002E-4</v>
      </c>
      <c r="P5759">
        <v>0.98387740000000001</v>
      </c>
      <c r="Q5759">
        <v>0.17812900000000001</v>
      </c>
      <c r="R5759">
        <v>-1.5977020000000001E-2</v>
      </c>
      <c r="S5759">
        <v>3.077118</v>
      </c>
      <c r="T5759">
        <v>-0.1135814</v>
      </c>
      <c r="U5759">
        <v>0.40600589999999998</v>
      </c>
      <c r="V5759">
        <v>1.5340080000000001E-2</v>
      </c>
      <c r="W5759">
        <v>0.18955549999999999</v>
      </c>
      <c r="X5759">
        <v>0.98175020000000002</v>
      </c>
      <c r="Y5759">
        <v>-0.1302468</v>
      </c>
      <c r="Z5759">
        <v>3.1359259999999998E-3</v>
      </c>
      <c r="AA5759">
        <v>0.99147669999999999</v>
      </c>
      <c r="AB5759">
        <v>40</v>
      </c>
      <c r="AC5759">
        <v>30.223700000000001</v>
      </c>
      <c r="AD5759">
        <v>-1.12307554691</v>
      </c>
      <c r="AE5759">
        <v>4.0128199999999996</v>
      </c>
      <c r="AF5759">
        <v>-3.9937310477364698</v>
      </c>
      <c r="AG5759">
        <v>-1.12307554691</v>
      </c>
      <c r="AH5759">
        <v>30.184555751579602</v>
      </c>
      <c r="AI5759">
        <v>92.112425852401202</v>
      </c>
      <c r="AJ5759">
        <v>97.537050409246604</v>
      </c>
      <c r="AK5759">
        <v>30.468321126802199</v>
      </c>
      <c r="AL5759">
        <v>79.073155505990499</v>
      </c>
      <c r="AM5759">
        <v>89.104812687735802</v>
      </c>
      <c r="AN5759">
        <v>1.00000003041734</v>
      </c>
    </row>
    <row r="5760" spans="1:40" x14ac:dyDescent="0.25">
      <c r="A5760" t="str">
        <f>"20190303171126731"</f>
        <v>20190303171126731</v>
      </c>
      <c r="B5760" t="str">
        <f>"1551604286716867"</f>
        <v>1551604286716867</v>
      </c>
      <c r="C5760" t="s">
        <v>40</v>
      </c>
      <c r="D5760">
        <v>5.0798160000000001</v>
      </c>
      <c r="E5760">
        <v>0.44725759999999998</v>
      </c>
      <c r="F5760" t="s">
        <v>68</v>
      </c>
      <c r="G5760">
        <v>-181.39070000000001</v>
      </c>
      <c r="H5760" s="1">
        <v>-1.453821E-5</v>
      </c>
      <c r="I5760">
        <v>-59.635930000000002</v>
      </c>
      <c r="J5760">
        <v>-211.3372</v>
      </c>
      <c r="K5760">
        <v>1.1233280000000001</v>
      </c>
      <c r="L5760">
        <v>-63.627690000000001</v>
      </c>
      <c r="M5760">
        <v>0.99992919999999996</v>
      </c>
      <c r="N5760">
        <v>-1.168579E-2</v>
      </c>
      <c r="O5760">
        <v>2.2732479999999998E-3</v>
      </c>
      <c r="P5760">
        <v>0.98400589999999999</v>
      </c>
      <c r="Q5760">
        <v>0.17762159999999999</v>
      </c>
      <c r="R5760">
        <v>-1.3539549999999999E-2</v>
      </c>
      <c r="S5760">
        <v>3.0765380000000002</v>
      </c>
      <c r="T5760">
        <v>-0.1145726</v>
      </c>
      <c r="U5760">
        <v>0.4073792</v>
      </c>
      <c r="V5760">
        <v>1.458337E-2</v>
      </c>
      <c r="W5760">
        <v>0.18920390000000001</v>
      </c>
      <c r="X5760">
        <v>0.98182950000000002</v>
      </c>
      <c r="Y5760">
        <v>-0.12889990000000001</v>
      </c>
      <c r="Z5760">
        <v>3.0878910000000002E-3</v>
      </c>
      <c r="AA5760">
        <v>0.9916528</v>
      </c>
      <c r="AB5760">
        <v>40</v>
      </c>
      <c r="AC5760">
        <v>29.946499999999901</v>
      </c>
      <c r="AD5760">
        <v>-1.12334253821</v>
      </c>
      <c r="AE5760">
        <v>3.99175999999999</v>
      </c>
      <c r="AF5760">
        <v>-3.9182520066515298</v>
      </c>
      <c r="AG5760">
        <v>-1.12334253821</v>
      </c>
      <c r="AH5760">
        <v>29.914139445372602</v>
      </c>
      <c r="AI5760">
        <v>92.132376214497995</v>
      </c>
      <c r="AJ5760">
        <v>97.4623064753129</v>
      </c>
      <c r="AK5760">
        <v>30.1905670036682</v>
      </c>
      <c r="AL5760">
        <v>79.093671398621098</v>
      </c>
      <c r="AM5760">
        <v>89.149033398471204</v>
      </c>
      <c r="AN5760">
        <v>0.99999997876300795</v>
      </c>
    </row>
    <row r="5761" spans="1:40" x14ac:dyDescent="0.25">
      <c r="A5761" t="str">
        <f>"20190303171126742"</f>
        <v>20190303171126742</v>
      </c>
      <c r="B5761" t="str">
        <f>"1551604286736387"</f>
        <v>1551604286736387</v>
      </c>
      <c r="C5761" t="s">
        <v>40</v>
      </c>
      <c r="D5761">
        <v>4.9908919999999997</v>
      </c>
      <c r="E5761">
        <v>0.44845459999999898</v>
      </c>
      <c r="F5761" t="s">
        <v>68</v>
      </c>
      <c r="G5761">
        <v>-181.72829999999999</v>
      </c>
      <c r="H5761" s="1">
        <v>-1.4474170000000001E-5</v>
      </c>
      <c r="I5761">
        <v>-59.670450000000002</v>
      </c>
      <c r="J5761">
        <v>-211.1414</v>
      </c>
      <c r="K5761">
        <v>1.1235740000000001</v>
      </c>
      <c r="L5761">
        <v>-63.625979999999998</v>
      </c>
      <c r="M5761">
        <v>0.99992170000000002</v>
      </c>
      <c r="N5761">
        <v>-1.182885E-2</v>
      </c>
      <c r="O5761">
        <v>4.0715999999999999E-3</v>
      </c>
      <c r="P5761">
        <v>0.98420450000000004</v>
      </c>
      <c r="Q5761">
        <v>0.17671479999999901</v>
      </c>
      <c r="R5761">
        <v>-1.065232E-2</v>
      </c>
      <c r="S5761">
        <v>3.0754999999999999</v>
      </c>
      <c r="T5761">
        <v>-0.11668239999999901</v>
      </c>
      <c r="U5761">
        <v>0.4110413</v>
      </c>
      <c r="V5761">
        <v>1.336619E-2</v>
      </c>
      <c r="W5761">
        <v>0.1884401</v>
      </c>
      <c r="X5761">
        <v>0.98199369999999997</v>
      </c>
      <c r="Y5761">
        <v>-0.12831719999999999</v>
      </c>
      <c r="Z5761">
        <v>3.0793790000000001E-3</v>
      </c>
      <c r="AA5761">
        <v>0.99172839999999995</v>
      </c>
      <c r="AB5761">
        <v>40</v>
      </c>
      <c r="AC5761">
        <v>29.4131</v>
      </c>
      <c r="AD5761">
        <v>-1.12358847417</v>
      </c>
      <c r="AE5761">
        <v>3.95553</v>
      </c>
      <c r="AF5761">
        <v>-3.8302404143179598</v>
      </c>
      <c r="AG5761">
        <v>-1.12358847417</v>
      </c>
      <c r="AH5761">
        <v>29.386841334918799</v>
      </c>
      <c r="AI5761">
        <v>92.171256289202404</v>
      </c>
      <c r="AJ5761">
        <v>97.425990494094407</v>
      </c>
      <c r="AK5761">
        <v>29.656696315241401</v>
      </c>
      <c r="AL5761">
        <v>79.138235543341494</v>
      </c>
      <c r="AM5761">
        <v>89.220179328709094</v>
      </c>
      <c r="AN5761">
        <v>0.99999997658140705</v>
      </c>
    </row>
    <row r="5762" spans="1:40" x14ac:dyDescent="0.25">
      <c r="A5762" t="str">
        <f>"20190303171126751"</f>
        <v>20190303171126751</v>
      </c>
      <c r="B5762" t="str">
        <f>"1551604286736387"</f>
        <v>1551604286736387</v>
      </c>
      <c r="C5762" t="s">
        <v>40</v>
      </c>
      <c r="D5762">
        <v>4.9908919999999997</v>
      </c>
      <c r="E5762">
        <v>0.44845459999999898</v>
      </c>
      <c r="F5762" t="s">
        <v>68</v>
      </c>
      <c r="G5762">
        <v>-183.14660000000001</v>
      </c>
      <c r="H5762" s="1">
        <v>-1.422636E-5</v>
      </c>
      <c r="I5762">
        <v>-59.884399999999999</v>
      </c>
      <c r="J5762">
        <v>-210.96299999999999</v>
      </c>
      <c r="K5762">
        <v>1.123799</v>
      </c>
      <c r="L5762">
        <v>-63.624020000000002</v>
      </c>
      <c r="M5762">
        <v>0.99991169999999996</v>
      </c>
      <c r="N5762">
        <v>-1.1961070000000001E-2</v>
      </c>
      <c r="O5762">
        <v>5.815069E-3</v>
      </c>
      <c r="P5762">
        <v>0.98442510000000005</v>
      </c>
      <c r="Q5762">
        <v>0.17564660000000001</v>
      </c>
      <c r="R5762">
        <v>-7.4653879999999999E-3</v>
      </c>
      <c r="S5762">
        <v>3.0747680000000002</v>
      </c>
      <c r="T5762">
        <v>-0.1234075</v>
      </c>
      <c r="U5762">
        <v>0.41094969999999997</v>
      </c>
      <c r="V5762">
        <v>1.180725E-2</v>
      </c>
      <c r="W5762">
        <v>0.18750069999999999</v>
      </c>
      <c r="X5762">
        <v>0.98219350000000005</v>
      </c>
      <c r="Y5762">
        <v>-0.12657969999999999</v>
      </c>
      <c r="Z5762">
        <v>3.1257009999999998E-3</v>
      </c>
      <c r="AA5762">
        <v>0.99195149999999999</v>
      </c>
      <c r="AB5762">
        <v>40</v>
      </c>
      <c r="AC5762">
        <v>27.816399999999899</v>
      </c>
      <c r="AD5762">
        <v>-1.12381322636</v>
      </c>
      <c r="AE5762">
        <v>3.7396199999999902</v>
      </c>
      <c r="AF5762">
        <v>-3.5720639400177499</v>
      </c>
      <c r="AG5762">
        <v>-1.12381322636</v>
      </c>
      <c r="AH5762">
        <v>27.793117407067999</v>
      </c>
      <c r="AI5762">
        <v>92.296620516762005</v>
      </c>
      <c r="AJ5762">
        <v>97.323695491397601</v>
      </c>
      <c r="AK5762">
        <v>28.044250251386401</v>
      </c>
      <c r="AL5762">
        <v>79.193036267112305</v>
      </c>
      <c r="AM5762">
        <v>89.311262996758103</v>
      </c>
      <c r="AN5762">
        <v>0.99999999754765101</v>
      </c>
    </row>
    <row r="5763" spans="1:40" x14ac:dyDescent="0.25">
      <c r="A5763" t="str">
        <f>"20190303171126760"</f>
        <v>20190303171126760</v>
      </c>
      <c r="B5763" t="str">
        <f>"1551604286746146"</f>
        <v>1551604286746146</v>
      </c>
      <c r="C5763" t="s">
        <v>40</v>
      </c>
      <c r="D5763">
        <v>5.2955680000000003</v>
      </c>
      <c r="E5763">
        <v>0.44898440000000001</v>
      </c>
      <c r="F5763" t="s">
        <v>68</v>
      </c>
      <c r="G5763">
        <v>-183.7296</v>
      </c>
      <c r="H5763" s="1">
        <v>-1.410075E-5</v>
      </c>
      <c r="I5763">
        <v>-59.895110000000003</v>
      </c>
      <c r="J5763">
        <v>-210.8057</v>
      </c>
      <c r="K5763">
        <v>1.123996</v>
      </c>
      <c r="L5763">
        <v>-63.622010000000003</v>
      </c>
      <c r="M5763">
        <v>0.9998996</v>
      </c>
      <c r="N5763">
        <v>-1.207567E-2</v>
      </c>
      <c r="O5763">
        <v>7.4288619999999996E-3</v>
      </c>
      <c r="P5763">
        <v>0.98465809999999998</v>
      </c>
      <c r="Q5763">
        <v>0.1744455</v>
      </c>
      <c r="R5763">
        <v>-4.182369E-3</v>
      </c>
      <c r="S5763">
        <v>3.0732729999999999</v>
      </c>
      <c r="T5763">
        <v>-0.12682189999999999</v>
      </c>
      <c r="U5763">
        <v>0.42080689999999998</v>
      </c>
      <c r="V5763">
        <v>1.003883E-2</v>
      </c>
      <c r="W5763">
        <v>0.18640689999999999</v>
      </c>
      <c r="X5763">
        <v>0.98242130000000005</v>
      </c>
      <c r="Y5763">
        <v>-0.12815869999999999</v>
      </c>
      <c r="Z5763">
        <v>3.1930740000000002E-3</v>
      </c>
      <c r="AA5763">
        <v>0.99174850000000003</v>
      </c>
      <c r="AB5763">
        <v>40</v>
      </c>
      <c r="AC5763">
        <v>27.0761</v>
      </c>
      <c r="AD5763">
        <v>-1.1240101007500001</v>
      </c>
      <c r="AE5763">
        <v>3.7269000000000001</v>
      </c>
      <c r="AF5763">
        <v>-3.5196850955436001</v>
      </c>
      <c r="AG5763">
        <v>-1.1240101007500001</v>
      </c>
      <c r="AH5763">
        <v>27.057279798861</v>
      </c>
      <c r="AI5763">
        <v>92.358954193622097</v>
      </c>
      <c r="AJ5763">
        <v>97.411573951332002</v>
      </c>
      <c r="AK5763">
        <v>27.308386477275299</v>
      </c>
      <c r="AL5763">
        <v>79.256830779489405</v>
      </c>
      <c r="AM5763">
        <v>89.414545906206001</v>
      </c>
      <c r="AN5763">
        <v>0.999999960584533</v>
      </c>
    </row>
    <row r="5764" spans="1:40" x14ac:dyDescent="0.25">
      <c r="A5764" t="str">
        <f>"20190303171126769"</f>
        <v>20190303171126769</v>
      </c>
      <c r="B5764" t="str">
        <f>"1551604286756882"</f>
        <v>1551604286756882</v>
      </c>
      <c r="C5764" t="s">
        <v>40</v>
      </c>
      <c r="D5764">
        <v>5.132517</v>
      </c>
      <c r="E5764">
        <v>0.44951000000000002</v>
      </c>
      <c r="F5764" t="s">
        <v>68</v>
      </c>
      <c r="G5764">
        <v>-184.85429999999999</v>
      </c>
      <c r="H5764" s="1">
        <v>-1.388957E-5</v>
      </c>
      <c r="I5764">
        <v>-60.017049999999998</v>
      </c>
      <c r="J5764">
        <v>-210.63740000000001</v>
      </c>
      <c r="K5764">
        <v>1.1242030000000001</v>
      </c>
      <c r="L5764">
        <v>-63.619419999999998</v>
      </c>
      <c r="M5764">
        <v>0.99988279999999996</v>
      </c>
      <c r="N5764">
        <v>-1.2195869999999999E-2</v>
      </c>
      <c r="O5764">
        <v>9.2549620000000003E-3</v>
      </c>
      <c r="P5764">
        <v>0.98480670000000003</v>
      </c>
      <c r="Q5764">
        <v>0.173653</v>
      </c>
      <c r="R5764">
        <v>-7.8403580000000004E-4</v>
      </c>
      <c r="S5764">
        <v>3.0721440000000002</v>
      </c>
      <c r="T5764">
        <v>-0.13306129999999999</v>
      </c>
      <c r="U5764">
        <v>0.42675780000000002</v>
      </c>
      <c r="V5764">
        <v>8.355945E-3</v>
      </c>
      <c r="W5764">
        <v>0.18572610000000001</v>
      </c>
      <c r="X5764">
        <v>0.98256600000000005</v>
      </c>
      <c r="Y5764">
        <v>-0.12827</v>
      </c>
      <c r="Z5764">
        <v>3.263326E-3</v>
      </c>
      <c r="AA5764">
        <v>0.99173389999999995</v>
      </c>
      <c r="AB5764">
        <v>40</v>
      </c>
      <c r="AC5764">
        <v>25.783100000000001</v>
      </c>
      <c r="AD5764">
        <v>-1.12421688957</v>
      </c>
      <c r="AE5764">
        <v>3.6023700000000001</v>
      </c>
      <c r="AF5764">
        <v>-3.3573155937348602</v>
      </c>
      <c r="AG5764">
        <v>-1.12421688957</v>
      </c>
      <c r="AH5764">
        <v>25.767286877817401</v>
      </c>
      <c r="AI5764">
        <v>92.477295707204505</v>
      </c>
      <c r="AJ5764">
        <v>97.423460592525402</v>
      </c>
      <c r="AK5764">
        <v>26.0093926237132</v>
      </c>
      <c r="AL5764">
        <v>79.296531186242603</v>
      </c>
      <c r="AM5764">
        <v>89.512756556525304</v>
      </c>
      <c r="AN5764">
        <v>0.99999997519702599</v>
      </c>
    </row>
    <row r="5765" spans="1:40" x14ac:dyDescent="0.25">
      <c r="A5765" t="str">
        <f>"20190303171126781"</f>
        <v>20190303171126781</v>
      </c>
      <c r="B5765" t="str">
        <f>"1551604286776402"</f>
        <v>1551604286776402</v>
      </c>
      <c r="C5765" t="s">
        <v>40</v>
      </c>
      <c r="D5765">
        <v>5.1578850000000003</v>
      </c>
      <c r="E5765">
        <v>0.45054729999999998</v>
      </c>
      <c r="F5765" t="s">
        <v>68</v>
      </c>
      <c r="G5765">
        <v>-185.5849</v>
      </c>
      <c r="H5765" s="1">
        <v>-1.3749300000000001E-5</v>
      </c>
      <c r="I5765">
        <v>-60.086170000000003</v>
      </c>
      <c r="J5765">
        <v>-210.43790000000001</v>
      </c>
      <c r="K5765">
        <v>1.124441</v>
      </c>
      <c r="L5765">
        <v>-63.616</v>
      </c>
      <c r="M5765">
        <v>0.99985780000000002</v>
      </c>
      <c r="N5765">
        <v>-1.2334400000000001E-2</v>
      </c>
      <c r="O5765">
        <v>1.149966E-2</v>
      </c>
      <c r="P5765">
        <v>0.98488109999999995</v>
      </c>
      <c r="Q5765">
        <v>0.17320720000000001</v>
      </c>
      <c r="R5765">
        <v>2.9176010000000001E-3</v>
      </c>
      <c r="S5765">
        <v>3.0709379999999999</v>
      </c>
      <c r="T5765">
        <v>-0.1378065</v>
      </c>
      <c r="U5765">
        <v>0.43310549999999998</v>
      </c>
      <c r="V5765">
        <v>6.7635940000000004E-3</v>
      </c>
      <c r="W5765">
        <v>0.18540889999999999</v>
      </c>
      <c r="X5765">
        <v>0.98263820000000002</v>
      </c>
      <c r="Y5765">
        <v>-0.12809880000000001</v>
      </c>
      <c r="Z5765">
        <v>3.2810349999999999E-3</v>
      </c>
      <c r="AA5765">
        <v>0.99175599999999997</v>
      </c>
      <c r="AB5765">
        <v>40</v>
      </c>
      <c r="AC5765">
        <v>24.853000000000002</v>
      </c>
      <c r="AD5765">
        <v>-1.1244547492999999</v>
      </c>
      <c r="AE5765">
        <v>3.5298300000000098</v>
      </c>
      <c r="AF5765">
        <v>-3.2372779637612599</v>
      </c>
      <c r="AG5765">
        <v>-1.1244547492999999</v>
      </c>
      <c r="AH5765">
        <v>24.842104061912799</v>
      </c>
      <c r="AI5765">
        <v>92.569971221314404</v>
      </c>
      <c r="AJ5765">
        <v>97.424612405386696</v>
      </c>
      <c r="AK5765">
        <v>25.077370303139499</v>
      </c>
      <c r="AL5765">
        <v>79.315027122344404</v>
      </c>
      <c r="AM5765">
        <v>89.605633822518996</v>
      </c>
      <c r="AN5765">
        <v>1.00000001925112</v>
      </c>
    </row>
    <row r="5766" spans="1:40" x14ac:dyDescent="0.25">
      <c r="A5766" t="str">
        <f>"20190303171126792"</f>
        <v>20190303171126792</v>
      </c>
      <c r="B5766" t="str">
        <f>"1551604286786162"</f>
        <v>1551604286786162</v>
      </c>
      <c r="C5766" t="s">
        <v>40</v>
      </c>
      <c r="D5766">
        <v>5.1321339999999998</v>
      </c>
      <c r="E5766">
        <v>0.45101799999999997</v>
      </c>
      <c r="F5766" t="s">
        <v>68</v>
      </c>
      <c r="G5766">
        <v>-186.3793</v>
      </c>
      <c r="H5766" s="1">
        <v>-1.360714E-5</v>
      </c>
      <c r="I5766">
        <v>-60.19511</v>
      </c>
      <c r="J5766">
        <v>-210.2329</v>
      </c>
      <c r="K5766">
        <v>1.124687</v>
      </c>
      <c r="L5766">
        <v>-63.611910000000002</v>
      </c>
      <c r="M5766">
        <v>0.99982519999999997</v>
      </c>
      <c r="N5766">
        <v>-1.247127E-2</v>
      </c>
      <c r="O5766">
        <v>1.392793E-2</v>
      </c>
      <c r="P5766">
        <v>0.9849156</v>
      </c>
      <c r="Q5766">
        <v>0.1729136</v>
      </c>
      <c r="R5766">
        <v>6.5044400000000002E-3</v>
      </c>
      <c r="S5766">
        <v>3.0700069999999999</v>
      </c>
      <c r="T5766">
        <v>-0.14348639999999999</v>
      </c>
      <c r="U5766">
        <v>0.43652340000000001</v>
      </c>
      <c r="V5766">
        <v>5.4636540000000001E-3</v>
      </c>
      <c r="W5766">
        <v>0.18524350000000001</v>
      </c>
      <c r="X5766">
        <v>0.98267749999999998</v>
      </c>
      <c r="Y5766">
        <v>-0.12680530000000001</v>
      </c>
      <c r="Z5766">
        <v>3.2677779999999998E-3</v>
      </c>
      <c r="AA5766">
        <v>0.99192230000000003</v>
      </c>
      <c r="AB5766">
        <v>40</v>
      </c>
      <c r="AC5766">
        <v>23.8536</v>
      </c>
      <c r="AD5766">
        <v>-1.1247006071400001</v>
      </c>
      <c r="AE5766">
        <v>3.4167999999999901</v>
      </c>
      <c r="AF5766">
        <v>-3.0775072440916098</v>
      </c>
      <c r="AG5766">
        <v>-1.1247006071400001</v>
      </c>
      <c r="AH5766">
        <v>23.846929453564599</v>
      </c>
      <c r="AI5766">
        <v>92.678082496867404</v>
      </c>
      <c r="AJ5766">
        <v>97.353523404343207</v>
      </c>
      <c r="AK5766">
        <v>24.070979345602499</v>
      </c>
      <c r="AL5766">
        <v>79.324671098843396</v>
      </c>
      <c r="AM5766">
        <v>89.681440666706095</v>
      </c>
      <c r="AN5766">
        <v>1.0000000374067599</v>
      </c>
    </row>
    <row r="5767" spans="1:40" x14ac:dyDescent="0.25">
      <c r="A5767" t="str">
        <f>"20190303171126803"</f>
        <v>20190303171126803</v>
      </c>
      <c r="B5767" t="str">
        <f>"1551604286796898"</f>
        <v>1551604286796898</v>
      </c>
      <c r="C5767" t="s">
        <v>40</v>
      </c>
      <c r="D5767">
        <v>5.1805430000000001</v>
      </c>
      <c r="E5767">
        <v>0.45147559999999898</v>
      </c>
      <c r="F5767" t="s">
        <v>68</v>
      </c>
      <c r="G5767">
        <v>-186.63589999999999</v>
      </c>
      <c r="H5767" s="1">
        <v>-1.355079E-5</v>
      </c>
      <c r="I5767">
        <v>-60.196330000000003</v>
      </c>
      <c r="J5767">
        <v>-210.03479999999999</v>
      </c>
      <c r="K5767">
        <v>1.1249209999999901</v>
      </c>
      <c r="L5767">
        <v>-63.607300000000002</v>
      </c>
      <c r="M5767">
        <v>0.99978639999999996</v>
      </c>
      <c r="N5767">
        <v>-1.2597489999999999E-2</v>
      </c>
      <c r="O5767">
        <v>1.63909E-2</v>
      </c>
      <c r="P5767">
        <v>0.98493560000000002</v>
      </c>
      <c r="Q5767">
        <v>0.17264450000000001</v>
      </c>
      <c r="R5767">
        <v>9.7908279999999997E-3</v>
      </c>
      <c r="S5767">
        <v>3.0687099999999998</v>
      </c>
      <c r="T5767">
        <v>-0.14626349999999999</v>
      </c>
      <c r="U5767">
        <v>0.4441833</v>
      </c>
      <c r="V5767">
        <v>4.5045170000000004E-3</v>
      </c>
      <c r="W5767">
        <v>0.18509310000000001</v>
      </c>
      <c r="X5767">
        <v>0.98271070000000005</v>
      </c>
      <c r="Y5767">
        <v>-0.1268416</v>
      </c>
      <c r="Z5767">
        <v>3.238056E-3</v>
      </c>
      <c r="AA5767">
        <v>0.99191770000000001</v>
      </c>
      <c r="AB5767">
        <v>40</v>
      </c>
      <c r="AC5767">
        <v>23.398900000000001</v>
      </c>
      <c r="AD5767">
        <v>-1.1249345507899999</v>
      </c>
      <c r="AE5767">
        <v>3.4109699999999901</v>
      </c>
      <c r="AF5767">
        <v>-3.0201170087356899</v>
      </c>
      <c r="AG5767">
        <v>-1.1249345507899999</v>
      </c>
      <c r="AH5767">
        <v>23.398712394442398</v>
      </c>
      <c r="AI5767">
        <v>92.729866157428802</v>
      </c>
      <c r="AJ5767">
        <v>97.354615255856004</v>
      </c>
      <c r="AK5767">
        <v>23.619617401809201</v>
      </c>
      <c r="AL5767">
        <v>79.333439980085302</v>
      </c>
      <c r="AM5767">
        <v>89.737371328815797</v>
      </c>
      <c r="AN5767">
        <v>1.0000000331177501</v>
      </c>
    </row>
    <row r="5768" spans="1:40" x14ac:dyDescent="0.25">
      <c r="A5768" t="str">
        <f>"20190303171126815"</f>
        <v>20190303171126815</v>
      </c>
      <c r="B5768" t="str">
        <f>"1551604286806658"</f>
        <v>1551604286806658</v>
      </c>
      <c r="C5768" t="s">
        <v>40</v>
      </c>
      <c r="D5768">
        <v>5.1672900000000004</v>
      </c>
      <c r="E5768">
        <v>0.45190550000000002</v>
      </c>
      <c r="F5768" t="s">
        <v>68</v>
      </c>
      <c r="G5768">
        <v>-186.82169999999999</v>
      </c>
      <c r="H5768" s="1">
        <v>-1.35086299999999E-5</v>
      </c>
      <c r="I5768">
        <v>-60.192810000000001</v>
      </c>
      <c r="J5768">
        <v>-209.82919999999999</v>
      </c>
      <c r="K5768">
        <v>1.1251629999999999</v>
      </c>
      <c r="L5768">
        <v>-63.602229999999999</v>
      </c>
      <c r="M5768">
        <v>0.99973829999999997</v>
      </c>
      <c r="N5768">
        <v>-1.2724289999999999E-2</v>
      </c>
      <c r="O5768">
        <v>1.9013720000000001E-2</v>
      </c>
      <c r="P5768">
        <v>0.98486609999999997</v>
      </c>
      <c r="Q5768">
        <v>0.17283109999999999</v>
      </c>
      <c r="R5768">
        <v>1.2956550000000001E-2</v>
      </c>
      <c r="S5768">
        <v>3.0674589999999999</v>
      </c>
      <c r="T5768">
        <v>-0.148652799999999</v>
      </c>
      <c r="U5768">
        <v>0.4512024</v>
      </c>
      <c r="V5768">
        <v>3.8149019999999998E-3</v>
      </c>
      <c r="W5768">
        <v>0.1854005</v>
      </c>
      <c r="X5768">
        <v>0.98265559999999996</v>
      </c>
      <c r="Y5768">
        <v>-0.12651589999999999</v>
      </c>
      <c r="Z5768">
        <v>3.1822669999999999E-3</v>
      </c>
      <c r="AA5768">
        <v>0.99195949999999999</v>
      </c>
      <c r="AB5768">
        <v>40</v>
      </c>
      <c r="AC5768">
        <v>23.0075</v>
      </c>
      <c r="AD5768">
        <v>-1.1251765086299901</v>
      </c>
      <c r="AE5768">
        <v>3.4094200000000101</v>
      </c>
      <c r="AF5768">
        <v>-2.9643725184765701</v>
      </c>
      <c r="AG5768">
        <v>-1.1251765086299901</v>
      </c>
      <c r="AH5768">
        <v>23.014311050100702</v>
      </c>
      <c r="AI5768">
        <v>92.7760812444415</v>
      </c>
      <c r="AJ5768">
        <v>97.339606037052306</v>
      </c>
      <c r="AK5768">
        <v>23.231703332185099</v>
      </c>
      <c r="AL5768">
        <v>79.315516296305603</v>
      </c>
      <c r="AM5768">
        <v>89.777565318155894</v>
      </c>
      <c r="AN5768">
        <v>0.99999996354443899</v>
      </c>
    </row>
    <row r="5769" spans="1:40" x14ac:dyDescent="0.25">
      <c r="A5769" t="str">
        <f>"20190303171126826"</f>
        <v>20190303171126826</v>
      </c>
      <c r="B5769" t="str">
        <f>"1551604286816419"</f>
        <v>1551604286816419</v>
      </c>
      <c r="C5769" t="s">
        <v>40</v>
      </c>
      <c r="D5769">
        <v>5.1370899999999997</v>
      </c>
      <c r="E5769">
        <v>0.45233879999999999</v>
      </c>
      <c r="F5769" t="s">
        <v>68</v>
      </c>
      <c r="G5769">
        <v>-186.73670000000001</v>
      </c>
      <c r="H5769" s="1">
        <v>-1.3515370000000001E-5</v>
      </c>
      <c r="I5769">
        <v>-60.153619999999997</v>
      </c>
      <c r="J5769">
        <v>-209.63640000000001</v>
      </c>
      <c r="K5769">
        <v>1.125381</v>
      </c>
      <c r="L5769">
        <v>-63.596530000000001</v>
      </c>
      <c r="M5769">
        <v>0.99968389999999996</v>
      </c>
      <c r="N5769">
        <v>-1.283581E-2</v>
      </c>
      <c r="O5769">
        <v>2.1621520000000002E-2</v>
      </c>
      <c r="P5769">
        <v>0.98475480000000004</v>
      </c>
      <c r="Q5769">
        <v>0.17323520000000001</v>
      </c>
      <c r="R5769">
        <v>1.5744589999999999E-2</v>
      </c>
      <c r="S5769">
        <v>3.066284</v>
      </c>
      <c r="T5769">
        <v>-0.149403799999999</v>
      </c>
      <c r="U5769">
        <v>0.4579163</v>
      </c>
      <c r="V5769">
        <v>3.4941310000000001E-3</v>
      </c>
      <c r="W5769">
        <v>0.1859131</v>
      </c>
      <c r="X5769">
        <v>0.98255999999999999</v>
      </c>
      <c r="Y5769">
        <v>-0.12610859999999999</v>
      </c>
      <c r="Z5769">
        <v>3.097444E-3</v>
      </c>
      <c r="AA5769">
        <v>0.99201159999999999</v>
      </c>
      <c r="AB5769">
        <v>40</v>
      </c>
      <c r="AC5769">
        <v>22.899699999999999</v>
      </c>
      <c r="AD5769">
        <v>-1.12539451537</v>
      </c>
      <c r="AE5769">
        <v>3.4429099999999999</v>
      </c>
      <c r="AF5769">
        <v>-2.9399942657047999</v>
      </c>
      <c r="AG5769">
        <v>-1.12539451537</v>
      </c>
      <c r="AH5769">
        <v>22.9146730939833</v>
      </c>
      <c r="AI5769">
        <v>92.788849994858097</v>
      </c>
      <c r="AJ5769">
        <v>97.3112099195219</v>
      </c>
      <c r="AK5769">
        <v>23.129901039600799</v>
      </c>
      <c r="AL5769">
        <v>79.285627469558605</v>
      </c>
      <c r="AM5769">
        <v>89.796248457648105</v>
      </c>
      <c r="AN5769">
        <v>1.0000000216515199</v>
      </c>
    </row>
    <row r="5770" spans="1:40" x14ac:dyDescent="0.25">
      <c r="A5770" t="str">
        <f>"20190303171126838"</f>
        <v>20190303171126838</v>
      </c>
      <c r="B5770" t="str">
        <f>"1551604286826178"</f>
        <v>1551604286826178</v>
      </c>
      <c r="C5770" t="s">
        <v>40</v>
      </c>
      <c r="D5770">
        <v>5.1619510000000002</v>
      </c>
      <c r="E5770">
        <v>0.45233879999999999</v>
      </c>
      <c r="F5770" t="s">
        <v>68</v>
      </c>
      <c r="G5770">
        <v>-186.5095</v>
      </c>
      <c r="H5770" s="1">
        <v>-1.3550099999999999E-5</v>
      </c>
      <c r="I5770">
        <v>-60.103169999999999</v>
      </c>
      <c r="J5770">
        <v>-209.4091</v>
      </c>
      <c r="K5770">
        <v>1.125634</v>
      </c>
      <c r="L5770">
        <v>-63.589480000000002</v>
      </c>
      <c r="M5770">
        <v>0.99960959999999999</v>
      </c>
      <c r="N5770">
        <v>-1.296316E-2</v>
      </c>
      <c r="O5770">
        <v>2.4753879999999999E-2</v>
      </c>
      <c r="P5770">
        <v>0.98468880000000003</v>
      </c>
      <c r="Q5770">
        <v>0.17328279999999999</v>
      </c>
      <c r="R5770">
        <v>1.900841E-2</v>
      </c>
      <c r="S5770">
        <v>3.0652620000000002</v>
      </c>
      <c r="T5770">
        <v>-0.14916109999999999</v>
      </c>
      <c r="U5770">
        <v>0.4630127</v>
      </c>
      <c r="V5770">
        <v>3.203451E-3</v>
      </c>
      <c r="W5770">
        <v>0.186085</v>
      </c>
      <c r="X5770">
        <v>0.98252839999999997</v>
      </c>
      <c r="Y5770">
        <v>-0.12466530000000001</v>
      </c>
      <c r="Z5770">
        <v>2.9502740000000001E-3</v>
      </c>
      <c r="AA5770">
        <v>0.99219449999999998</v>
      </c>
      <c r="AB5770">
        <v>40</v>
      </c>
      <c r="AC5770">
        <v>22.8995999999999</v>
      </c>
      <c r="AD5770">
        <v>-1.1256475501000001</v>
      </c>
      <c r="AE5770">
        <v>3.48631</v>
      </c>
      <c r="AF5770">
        <v>-2.9114644086235901</v>
      </c>
      <c r="AG5770">
        <v>-1.1256475501000001</v>
      </c>
      <c r="AH5770">
        <v>22.924750738603699</v>
      </c>
      <c r="AI5770">
        <v>92.788706659330899</v>
      </c>
      <c r="AJ5770">
        <v>97.237868860352904</v>
      </c>
      <c r="AK5770">
        <v>23.136289759527902</v>
      </c>
      <c r="AL5770">
        <v>79.275602877339196</v>
      </c>
      <c r="AM5770">
        <v>89.813192604098006</v>
      </c>
      <c r="AN5770">
        <v>0.99999997306493404</v>
      </c>
    </row>
    <row r="5771" spans="1:40" x14ac:dyDescent="0.25">
      <c r="A5771" t="str">
        <f>"20190303171126849"</f>
        <v>20190303171126849</v>
      </c>
      <c r="B5771" t="str">
        <f>"1551604286836913"</f>
        <v>1551604286836913</v>
      </c>
      <c r="C5771" t="s">
        <v>40</v>
      </c>
      <c r="D5771">
        <v>5.143497</v>
      </c>
      <c r="E5771">
        <v>0.46555999999999997</v>
      </c>
      <c r="F5771" t="s">
        <v>68</v>
      </c>
      <c r="G5771">
        <v>-186.25219999999999</v>
      </c>
      <c r="H5771" s="1">
        <v>-1.3578919999999999E-5</v>
      </c>
      <c r="I5771">
        <v>-60.011859999999999</v>
      </c>
      <c r="J5771">
        <v>-209.2047</v>
      </c>
      <c r="K5771">
        <v>1.125847</v>
      </c>
      <c r="L5771">
        <v>-63.582149999999999</v>
      </c>
      <c r="M5771">
        <v>0.99953040000000004</v>
      </c>
      <c r="N5771">
        <v>-1.307029E-2</v>
      </c>
      <c r="O5771">
        <v>2.7715360000000001E-2</v>
      </c>
      <c r="P5771">
        <v>0.9846452</v>
      </c>
      <c r="Q5771">
        <v>0.17321120000000001</v>
      </c>
      <c r="R5771">
        <v>2.172489E-2</v>
      </c>
      <c r="S5771">
        <v>3.0637210000000001</v>
      </c>
      <c r="T5771">
        <v>-0.148926</v>
      </c>
      <c r="U5771">
        <v>0.47332760000000001</v>
      </c>
      <c r="V5771">
        <v>3.3078500000000002E-3</v>
      </c>
      <c r="W5771">
        <v>0.18612339999999999</v>
      </c>
      <c r="X5771">
        <v>0.98252079999999997</v>
      </c>
      <c r="Y5771">
        <v>-0.12506489999999901</v>
      </c>
      <c r="Z5771">
        <v>2.8653049999999998E-3</v>
      </c>
      <c r="AA5771">
        <v>0.99214440000000004</v>
      </c>
      <c r="AB5771">
        <v>40</v>
      </c>
      <c r="AC5771">
        <v>22.952500000000001</v>
      </c>
      <c r="AD5771">
        <v>-1.12586057892</v>
      </c>
      <c r="AE5771">
        <v>3.57029</v>
      </c>
      <c r="AF5771">
        <v>-2.92585360157392</v>
      </c>
      <c r="AG5771">
        <v>-1.12586057892</v>
      </c>
      <c r="AH5771">
        <v>22.988636084925201</v>
      </c>
      <c r="AI5771">
        <v>92.781399655180294</v>
      </c>
      <c r="AJ5771">
        <v>97.253261301434193</v>
      </c>
      <c r="AK5771">
        <v>23.201413111837301</v>
      </c>
      <c r="AL5771">
        <v>79.273363806501493</v>
      </c>
      <c r="AM5771">
        <v>89.807103189879001</v>
      </c>
      <c r="AN5771">
        <v>0.99999999216591096</v>
      </c>
    </row>
    <row r="5772" spans="1:40" x14ac:dyDescent="0.25">
      <c r="A5772" t="str">
        <f>"20190303171126863"</f>
        <v>20190303171126863</v>
      </c>
      <c r="B5772" t="str">
        <f>"1551604286856434"</f>
        <v>1551604286856434</v>
      </c>
      <c r="C5772" t="s">
        <v>40</v>
      </c>
      <c r="D5772">
        <v>5.13931</v>
      </c>
      <c r="E5772">
        <v>0.46642919999999999</v>
      </c>
      <c r="F5772" t="s">
        <v>68</v>
      </c>
      <c r="G5772">
        <v>-190.83150000000001</v>
      </c>
      <c r="H5772" s="1">
        <v>-9.4974130000000005E-6</v>
      </c>
      <c r="I5772">
        <v>-61.317819999999998</v>
      </c>
      <c r="J5772">
        <v>-208.98150000000001</v>
      </c>
      <c r="K5772">
        <v>1.1260779999999999</v>
      </c>
      <c r="L5772">
        <v>-63.57358</v>
      </c>
      <c r="M5772">
        <v>0.99943139999999997</v>
      </c>
      <c r="N5772">
        <v>-1.318211E-2</v>
      </c>
      <c r="O5772">
        <v>3.1035299999999998E-2</v>
      </c>
      <c r="P5772">
        <v>0.98463699999999998</v>
      </c>
      <c r="Q5772">
        <v>0.1728121</v>
      </c>
      <c r="R5772">
        <v>2.5021519999999998E-2</v>
      </c>
      <c r="S5772">
        <v>3.0715330000000001</v>
      </c>
      <c r="T5772">
        <v>-0.18821489999999999</v>
      </c>
      <c r="U5772">
        <v>0.37853999999999999</v>
      </c>
      <c r="V5772">
        <v>3.1849959999999998E-3</v>
      </c>
      <c r="W5772">
        <v>0.18583620000000001</v>
      </c>
      <c r="X5772">
        <v>0.98257559999999999</v>
      </c>
      <c r="Y5772">
        <v>-9.1282100000000005E-2</v>
      </c>
      <c r="Z5772">
        <v>1.9040800000000001E-3</v>
      </c>
      <c r="AA5772">
        <v>0.99582329999999997</v>
      </c>
      <c r="AB5772">
        <v>40</v>
      </c>
      <c r="AC5772">
        <v>18.149999999999999</v>
      </c>
      <c r="AD5772">
        <v>-1.126087497413</v>
      </c>
      <c r="AE5772">
        <v>2.25576</v>
      </c>
      <c r="AF5772">
        <v>-1.68494622829481</v>
      </c>
      <c r="AG5772">
        <v>-1.126087497413</v>
      </c>
      <c r="AH5772">
        <v>18.142494642974601</v>
      </c>
      <c r="AI5772">
        <v>93.536558011256403</v>
      </c>
      <c r="AJ5772">
        <v>95.306005135477903</v>
      </c>
      <c r="AK5772">
        <v>18.255334253703399</v>
      </c>
      <c r="AL5772">
        <v>79.290111679603399</v>
      </c>
      <c r="AM5772">
        <v>89.814277711119701</v>
      </c>
      <c r="AN5772">
        <v>1.0000000235726501</v>
      </c>
    </row>
    <row r="5773" spans="1:40" x14ac:dyDescent="0.25">
      <c r="A5773" t="str">
        <f>"20190303171126874"</f>
        <v>20190303171126874</v>
      </c>
      <c r="B5773" t="str">
        <f>"1551604286866194"</f>
        <v>1551604286866194</v>
      </c>
      <c r="C5773" t="s">
        <v>40</v>
      </c>
      <c r="D5773">
        <v>5.102468</v>
      </c>
      <c r="E5773">
        <v>0.46663650000000001</v>
      </c>
      <c r="F5773" t="s">
        <v>68</v>
      </c>
      <c r="G5773">
        <v>-190.56190000000001</v>
      </c>
      <c r="H5773" s="1">
        <v>-9.6120259999999999E-6</v>
      </c>
      <c r="I5773">
        <v>-61.281010000000002</v>
      </c>
      <c r="J5773">
        <v>-208.77119999999999</v>
      </c>
      <c r="K5773">
        <v>1.126288</v>
      </c>
      <c r="L5773">
        <v>-63.56485</v>
      </c>
      <c r="M5773">
        <v>0.99932520000000002</v>
      </c>
      <c r="N5773">
        <v>-1.328262E-2</v>
      </c>
      <c r="O5773">
        <v>3.4245190000000002E-2</v>
      </c>
      <c r="P5773">
        <v>0.98463880000000004</v>
      </c>
      <c r="Q5773">
        <v>0.1723124</v>
      </c>
      <c r="R5773">
        <v>2.81976E-2</v>
      </c>
      <c r="S5773">
        <v>3.0700530000000001</v>
      </c>
      <c r="T5773">
        <v>-0.18768860000000001</v>
      </c>
      <c r="U5773">
        <v>0.38211060000000002</v>
      </c>
      <c r="V5773">
        <v>3.0854120000000001E-3</v>
      </c>
      <c r="W5773">
        <v>0.18543789999999999</v>
      </c>
      <c r="X5773">
        <v>0.9826511</v>
      </c>
      <c r="Y5773">
        <v>-8.9290720000000004E-2</v>
      </c>
      <c r="Z5773">
        <v>1.683297E-3</v>
      </c>
      <c r="AA5773">
        <v>0.99600420000000001</v>
      </c>
      <c r="AB5773">
        <v>40</v>
      </c>
      <c r="AC5773">
        <v>18.209299999999899</v>
      </c>
      <c r="AD5773">
        <v>-1.126297612026</v>
      </c>
      <c r="AE5773">
        <v>2.2838400000000001</v>
      </c>
      <c r="AF5773">
        <v>-1.6526395399477301</v>
      </c>
      <c r="AG5773">
        <v>-1.126297612026</v>
      </c>
      <c r="AH5773">
        <v>18.2082531826881</v>
      </c>
      <c r="AI5773">
        <v>93.525149297626299</v>
      </c>
      <c r="AJ5773">
        <v>95.186139051227599</v>
      </c>
      <c r="AK5773">
        <v>18.317757715526401</v>
      </c>
      <c r="AL5773">
        <v>79.313335575570406</v>
      </c>
      <c r="AM5773">
        <v>89.820098400431306</v>
      </c>
      <c r="AN5773">
        <v>0.99999995942741404</v>
      </c>
    </row>
    <row r="5774" spans="1:40" x14ac:dyDescent="0.25">
      <c r="A5774" t="str">
        <f>"20190303171126883"</f>
        <v>20190303171126883</v>
      </c>
      <c r="B5774" t="str">
        <f>"1551604286876931"</f>
        <v>1551604286876931</v>
      </c>
      <c r="C5774" t="s">
        <v>40</v>
      </c>
      <c r="D5774">
        <v>5.103637</v>
      </c>
      <c r="E5774">
        <v>0.46688030000000003</v>
      </c>
      <c r="F5774" t="s">
        <v>68</v>
      </c>
      <c r="G5774">
        <v>-190.55779999999999</v>
      </c>
      <c r="H5774" s="1">
        <v>-9.6107999999999995E-6</v>
      </c>
      <c r="I5774">
        <v>-61.246690000000001</v>
      </c>
      <c r="J5774">
        <v>-208.60939999999999</v>
      </c>
      <c r="K5774">
        <v>1.1264510000000001</v>
      </c>
      <c r="L5774">
        <v>-63.557369999999999</v>
      </c>
      <c r="M5774">
        <v>0.99923289999999998</v>
      </c>
      <c r="N5774">
        <v>-1.3354919999999999E-2</v>
      </c>
      <c r="O5774">
        <v>3.6812829999999998E-2</v>
      </c>
      <c r="P5774">
        <v>0.98465060000000004</v>
      </c>
      <c r="Q5774">
        <v>0.17180589999999901</v>
      </c>
      <c r="R5774">
        <v>3.0752169999999999E-2</v>
      </c>
      <c r="S5774">
        <v>3.068832</v>
      </c>
      <c r="T5774">
        <v>-0.18977330000000001</v>
      </c>
      <c r="U5774">
        <v>0.39059450000000001</v>
      </c>
      <c r="V5774">
        <v>3.000169E-3</v>
      </c>
      <c r="W5774">
        <v>0.185005</v>
      </c>
      <c r="X5774">
        <v>0.98273299999999997</v>
      </c>
      <c r="Y5774">
        <v>-8.9489769999999996E-2</v>
      </c>
      <c r="Z5774">
        <v>1.5801470000000001E-3</v>
      </c>
      <c r="AA5774">
        <v>0.9959865</v>
      </c>
      <c r="AB5774">
        <v>40</v>
      </c>
      <c r="AC5774">
        <v>18.051600000000001</v>
      </c>
      <c r="AD5774">
        <v>-1.1264606107999999</v>
      </c>
      <c r="AE5774">
        <v>2.3106799999999899</v>
      </c>
      <c r="AF5774">
        <v>-1.63824715454271</v>
      </c>
      <c r="AG5774">
        <v>-1.1264606107999999</v>
      </c>
      <c r="AH5774">
        <v>18.055257803645201</v>
      </c>
      <c r="AI5774">
        <v>93.555466279354704</v>
      </c>
      <c r="AJ5774">
        <v>95.184546343144504</v>
      </c>
      <c r="AK5774">
        <v>18.164391033093899</v>
      </c>
      <c r="AL5774">
        <v>79.338576093122995</v>
      </c>
      <c r="AM5774">
        <v>89.825083224541402</v>
      </c>
      <c r="AN5774">
        <v>1.0000000001640099</v>
      </c>
    </row>
    <row r="5775" spans="1:40" x14ac:dyDescent="0.25">
      <c r="A5775" t="str">
        <f>"20190303171126892"</f>
        <v>20190303171126892</v>
      </c>
      <c r="B5775" t="str">
        <f>"1551604286886690"</f>
        <v>1551604286886690</v>
      </c>
      <c r="C5775" t="s">
        <v>40</v>
      </c>
      <c r="D5775">
        <v>5.1171980000000001</v>
      </c>
      <c r="E5775">
        <v>0.4669199</v>
      </c>
      <c r="F5775" t="s">
        <v>68</v>
      </c>
      <c r="G5775">
        <v>-190.60239999999999</v>
      </c>
      <c r="H5775" s="1">
        <v>-9.5896299999999992E-6</v>
      </c>
      <c r="I5775">
        <v>-61.22804</v>
      </c>
      <c r="J5775">
        <v>-208.43989999999999</v>
      </c>
      <c r="K5775">
        <v>1.126614</v>
      </c>
      <c r="L5775">
        <v>-63.549349999999997</v>
      </c>
      <c r="M5775">
        <v>0.99912820000000002</v>
      </c>
      <c r="N5775">
        <v>-1.3428590000000001E-2</v>
      </c>
      <c r="O5775">
        <v>3.9529559999999998E-2</v>
      </c>
      <c r="P5775">
        <v>0.98453749999999995</v>
      </c>
      <c r="Q5775">
        <v>0.1718469</v>
      </c>
      <c r="R5775">
        <v>3.3979509999999997E-2</v>
      </c>
      <c r="S5775">
        <v>3.0678559999999999</v>
      </c>
      <c r="T5775">
        <v>-0.1919159</v>
      </c>
      <c r="U5775">
        <v>0.3968506</v>
      </c>
      <c r="V5775">
        <v>2.3752040000000001E-3</v>
      </c>
      <c r="W5775">
        <v>0.18511140000000001</v>
      </c>
      <c r="X5775">
        <v>0.98271470000000005</v>
      </c>
      <c r="Y5775">
        <v>-8.8820949999999996E-2</v>
      </c>
      <c r="Z5775">
        <v>1.434079E-3</v>
      </c>
      <c r="AA5775">
        <v>0.9960466</v>
      </c>
      <c r="AB5775">
        <v>40</v>
      </c>
      <c r="AC5775">
        <v>17.837499999999999</v>
      </c>
      <c r="AD5775">
        <v>-1.1266235896300001</v>
      </c>
      <c r="AE5775">
        <v>2.3213099999999902</v>
      </c>
      <c r="AF5775">
        <v>-1.6080153315771799</v>
      </c>
      <c r="AG5775">
        <v>-1.1266235896300001</v>
      </c>
      <c r="AH5775">
        <v>17.845320711445002</v>
      </c>
      <c r="AI5775">
        <v>93.597905304054706</v>
      </c>
      <c r="AJ5775">
        <v>95.148931937405706</v>
      </c>
      <c r="AK5775">
        <v>17.953007138460901</v>
      </c>
      <c r="AL5775">
        <v>79.332372961486001</v>
      </c>
      <c r="AM5775">
        <v>89.861517386804607</v>
      </c>
      <c r="AN5775">
        <v>1.00000002680004</v>
      </c>
    </row>
    <row r="5776" spans="1:40" x14ac:dyDescent="0.25">
      <c r="A5776" t="str">
        <f>"20190303171126904"</f>
        <v>20190303171126904</v>
      </c>
      <c r="B5776" t="str">
        <f>"1551604286896451"</f>
        <v>1551604286896451</v>
      </c>
      <c r="C5776" t="s">
        <v>40</v>
      </c>
      <c r="D5776">
        <v>5.1153500000000003</v>
      </c>
      <c r="E5776">
        <v>0.46732040000000002</v>
      </c>
      <c r="F5776" t="s">
        <v>68</v>
      </c>
      <c r="G5776">
        <v>-189.98869999999999</v>
      </c>
      <c r="H5776" s="1">
        <v>-9.8469090000000002E-6</v>
      </c>
      <c r="I5776">
        <v>-61.103059999999999</v>
      </c>
      <c r="J5776">
        <v>-208.2465</v>
      </c>
      <c r="K5776">
        <v>1.1268</v>
      </c>
      <c r="L5776">
        <v>-63.539340000000003</v>
      </c>
      <c r="M5776">
        <v>0.99899519999999997</v>
      </c>
      <c r="N5776">
        <v>-1.350792E-2</v>
      </c>
      <c r="O5776">
        <v>4.2736440000000001E-2</v>
      </c>
      <c r="P5776">
        <v>0.9843596</v>
      </c>
      <c r="Q5776">
        <v>0.17221700000000001</v>
      </c>
      <c r="R5776">
        <v>3.711967E-2</v>
      </c>
      <c r="S5776">
        <v>3.06575</v>
      </c>
      <c r="T5776">
        <v>-0.18719420000000001</v>
      </c>
      <c r="U5776">
        <v>0.40646359999999998</v>
      </c>
      <c r="V5776">
        <v>2.3039269999999999E-3</v>
      </c>
      <c r="W5776">
        <v>0.18556030000000001</v>
      </c>
      <c r="X5776">
        <v>0.98263020000000001</v>
      </c>
      <c r="Y5776">
        <v>-8.8790800000000003E-2</v>
      </c>
      <c r="Z5776">
        <v>1.281106E-3</v>
      </c>
      <c r="AA5776">
        <v>0.99604950000000003</v>
      </c>
      <c r="AB5776">
        <v>40</v>
      </c>
      <c r="AC5776">
        <v>18.2578</v>
      </c>
      <c r="AD5776">
        <v>-1.126809846909</v>
      </c>
      <c r="AE5776">
        <v>2.43628</v>
      </c>
      <c r="AF5776">
        <v>-1.6475436848521701</v>
      </c>
      <c r="AG5776">
        <v>-1.126809846909</v>
      </c>
      <c r="AH5776">
        <v>18.276846118959799</v>
      </c>
      <c r="AI5776">
        <v>93.513740606096903</v>
      </c>
      <c r="AJ5776">
        <v>95.150935282134199</v>
      </c>
      <c r="AK5776">
        <v>18.385516165740999</v>
      </c>
      <c r="AL5776">
        <v>79.306199378908005</v>
      </c>
      <c r="AM5776">
        <v>89.865661515886799</v>
      </c>
      <c r="AN5776">
        <v>1.00000002148387</v>
      </c>
    </row>
    <row r="5777" spans="1:40" x14ac:dyDescent="0.25">
      <c r="A5777" t="str">
        <f>"20190303171126914"</f>
        <v>20190303171126914</v>
      </c>
      <c r="B5777" t="str">
        <f>"1551604286906210"</f>
        <v>1551604286906210</v>
      </c>
      <c r="C5777" t="s">
        <v>40</v>
      </c>
      <c r="D5777">
        <v>5.1326130000000001</v>
      </c>
      <c r="E5777">
        <v>0.46761029999999998</v>
      </c>
      <c r="F5777" t="s">
        <v>68</v>
      </c>
      <c r="G5777">
        <v>-189.79310000000001</v>
      </c>
      <c r="H5777" s="1">
        <v>-1.098112E-5</v>
      </c>
      <c r="I5777">
        <v>-61.051600000000001</v>
      </c>
      <c r="J5777">
        <v>-208.0583</v>
      </c>
      <c r="K5777">
        <v>1.1269849999999999</v>
      </c>
      <c r="L5777">
        <v>-63.529240000000001</v>
      </c>
      <c r="M5777">
        <v>0.99885360000000001</v>
      </c>
      <c r="N5777">
        <v>-1.3582399999999901E-2</v>
      </c>
      <c r="O5777">
        <v>4.5900839999999998E-2</v>
      </c>
      <c r="P5777">
        <v>0.98413669999999998</v>
      </c>
      <c r="Q5777">
        <v>0.1728275</v>
      </c>
      <c r="R5777">
        <v>4.0072110000000001E-2</v>
      </c>
      <c r="S5777">
        <v>3.064835</v>
      </c>
      <c r="T5777">
        <v>-0.1871468</v>
      </c>
      <c r="U5777">
        <v>0.41317749999999998</v>
      </c>
      <c r="V5777">
        <v>2.3750500000000001E-3</v>
      </c>
      <c r="W5777">
        <v>0.1862452</v>
      </c>
      <c r="X5777">
        <v>0.98250040000000005</v>
      </c>
      <c r="Y5777">
        <v>-8.7823219999999994E-2</v>
      </c>
      <c r="Z5777">
        <v>1.1027439999999999E-3</v>
      </c>
      <c r="AA5777">
        <v>0.99613549999999995</v>
      </c>
      <c r="AB5777">
        <v>40</v>
      </c>
      <c r="AC5777">
        <v>18.2652</v>
      </c>
      <c r="AD5777">
        <v>-1.1269959811200001</v>
      </c>
      <c r="AE5777">
        <v>2.4776400000000001</v>
      </c>
      <c r="AF5777">
        <v>-1.6304674506096</v>
      </c>
      <c r="AG5777">
        <v>-1.1269959811200001</v>
      </c>
      <c r="AH5777">
        <v>18.291302324353001</v>
      </c>
      <c r="AI5777">
        <v>93.511862051124396</v>
      </c>
      <c r="AJ5777">
        <v>95.0938225737832</v>
      </c>
      <c r="AK5777">
        <v>18.3983772319691</v>
      </c>
      <c r="AL5777">
        <v>79.266260807620299</v>
      </c>
      <c r="AM5777">
        <v>89.861496162172102</v>
      </c>
      <c r="AN5777">
        <v>0.99999997569285104</v>
      </c>
    </row>
    <row r="5778" spans="1:40" x14ac:dyDescent="0.25">
      <c r="A5778" t="str">
        <f>"20190303171126926"</f>
        <v>20190303171126926</v>
      </c>
      <c r="B5778" t="str">
        <f>"1551604286906210"</f>
        <v>1551604286906210</v>
      </c>
      <c r="C5778" t="s">
        <v>40</v>
      </c>
      <c r="D5778">
        <v>5.1326130000000001</v>
      </c>
      <c r="E5778">
        <v>0.46761029999999998</v>
      </c>
      <c r="F5778" t="s">
        <v>68</v>
      </c>
      <c r="G5778">
        <v>-189.47</v>
      </c>
      <c r="H5778" s="1">
        <v>-1.096973E-5</v>
      </c>
      <c r="I5778">
        <v>-60.980499999999999</v>
      </c>
      <c r="J5778">
        <v>-207.85749999999999</v>
      </c>
      <c r="K5778">
        <v>1.127176</v>
      </c>
      <c r="L5778">
        <v>-63.517330000000001</v>
      </c>
      <c r="M5778">
        <v>0.99868509999999999</v>
      </c>
      <c r="N5778">
        <v>-1.365735E-2</v>
      </c>
      <c r="O5778">
        <v>4.9411780000000002E-2</v>
      </c>
      <c r="P5778">
        <v>0.9838268</v>
      </c>
      <c r="Q5778">
        <v>0.17387049999999901</v>
      </c>
      <c r="R5778">
        <v>4.3056179999999999E-2</v>
      </c>
      <c r="S5778">
        <v>3.0638730000000001</v>
      </c>
      <c r="T5778">
        <v>-0.18576119999999999</v>
      </c>
      <c r="U5778">
        <v>0.42010500000000001</v>
      </c>
      <c r="V5778">
        <v>2.7394300000000002E-3</v>
      </c>
      <c r="W5778">
        <v>0.1873677</v>
      </c>
      <c r="X5778">
        <v>0.98228599999999999</v>
      </c>
      <c r="Y5778">
        <v>-8.6582060000000002E-2</v>
      </c>
      <c r="Z5778">
        <v>9.0108739999999999E-4</v>
      </c>
      <c r="AA5778">
        <v>0.99624429999999997</v>
      </c>
      <c r="AB5778">
        <v>40</v>
      </c>
      <c r="AC5778">
        <v>18.3874999999999</v>
      </c>
      <c r="AD5778">
        <v>-1.1271869697300001</v>
      </c>
      <c r="AE5778">
        <v>2.5368300000000001</v>
      </c>
      <c r="AF5778">
        <v>-1.61911595858187</v>
      </c>
      <c r="AG5778">
        <v>-1.1271869697300001</v>
      </c>
      <c r="AH5778">
        <v>18.422459466141799</v>
      </c>
      <c r="AI5778">
        <v>93.487893199041594</v>
      </c>
      <c r="AJ5778">
        <v>95.022714472732602</v>
      </c>
      <c r="AK5778">
        <v>18.5277926298224</v>
      </c>
      <c r="AL5778">
        <v>79.200793824341602</v>
      </c>
      <c r="AM5778">
        <v>89.8402121476269</v>
      </c>
      <c r="AN5778">
        <v>0.999999972638007</v>
      </c>
    </row>
    <row r="5779" spans="1:40" x14ac:dyDescent="0.25">
      <c r="A5779" t="str">
        <f>"20190303171126937"</f>
        <v>20190303171126937</v>
      </c>
      <c r="B5779" t="str">
        <f>"1551604286926706"</f>
        <v>1551604286926706</v>
      </c>
      <c r="C5779" t="s">
        <v>40</v>
      </c>
      <c r="D5779">
        <v>5.1174999999999997</v>
      </c>
      <c r="E5779">
        <v>0.46781660000000003</v>
      </c>
      <c r="F5779" t="s">
        <v>68</v>
      </c>
      <c r="G5779">
        <v>-188.93199999999999</v>
      </c>
      <c r="H5779" s="1">
        <v>-1.09577E-5</v>
      </c>
      <c r="I5779">
        <v>-60.862000000000002</v>
      </c>
      <c r="J5779">
        <v>-207.66380000000001</v>
      </c>
      <c r="K5779">
        <v>1.127359</v>
      </c>
      <c r="L5779">
        <v>-63.505580000000002</v>
      </c>
      <c r="M5779">
        <v>0.99850930000000004</v>
      </c>
      <c r="N5779">
        <v>-1.372751E-2</v>
      </c>
      <c r="O5779">
        <v>5.2829870000000001E-2</v>
      </c>
      <c r="P5779">
        <v>0.98351270000000002</v>
      </c>
      <c r="Q5779">
        <v>0.17488509999999999</v>
      </c>
      <c r="R5779">
        <v>4.6023639999999998E-2</v>
      </c>
      <c r="S5779">
        <v>3.0627439999999999</v>
      </c>
      <c r="T5779">
        <v>-0.1824151</v>
      </c>
      <c r="U5779">
        <v>0.42971799999999999</v>
      </c>
      <c r="V5779">
        <v>3.0303779999999998E-3</v>
      </c>
      <c r="W5779">
        <v>0.1884556</v>
      </c>
      <c r="X5779">
        <v>0.98207710000000004</v>
      </c>
      <c r="Y5779">
        <v>-8.6296810000000002E-2</v>
      </c>
      <c r="Z5779">
        <v>7.4869429999999896E-4</v>
      </c>
      <c r="AA5779">
        <v>0.99626919999999997</v>
      </c>
      <c r="AB5779">
        <v>40</v>
      </c>
      <c r="AC5779">
        <v>18.7318</v>
      </c>
      <c r="AD5779">
        <v>-1.1273699577</v>
      </c>
      <c r="AE5779">
        <v>2.64358</v>
      </c>
      <c r="AF5779">
        <v>-1.64435603999519</v>
      </c>
      <c r="AG5779">
        <v>-1.1273699577</v>
      </c>
      <c r="AH5779">
        <v>18.778617925083001</v>
      </c>
      <c r="AI5779">
        <v>93.422550076776005</v>
      </c>
      <c r="AJ5779">
        <v>95.004359767052193</v>
      </c>
      <c r="AK5779">
        <v>18.8841563482206</v>
      </c>
      <c r="AL5779">
        <v>79.137332210847106</v>
      </c>
      <c r="AM5779">
        <v>89.823203984014796</v>
      </c>
      <c r="AN5779">
        <v>1.0000000633532899</v>
      </c>
    </row>
    <row r="5780" spans="1:40" x14ac:dyDescent="0.25">
      <c r="A5780" t="str">
        <f>"20190303171126948"</f>
        <v>20190303171126948</v>
      </c>
      <c r="B5780" t="str">
        <f>"1551604286936466"</f>
        <v>1551604286936466</v>
      </c>
      <c r="C5780" t="s">
        <v>40</v>
      </c>
      <c r="D5780">
        <v>4.9881489999999999</v>
      </c>
      <c r="E5780">
        <v>0.46764790000000001</v>
      </c>
      <c r="F5780" t="s">
        <v>68</v>
      </c>
      <c r="G5780">
        <v>-188.23599999999999</v>
      </c>
      <c r="H5780" s="1">
        <v>-1.0936810000000001E-5</v>
      </c>
      <c r="I5780">
        <v>-60.728219999999901</v>
      </c>
      <c r="J5780">
        <v>-207.46190000000001</v>
      </c>
      <c r="K5780">
        <v>1.127551</v>
      </c>
      <c r="L5780">
        <v>-63.492069999999998</v>
      </c>
      <c r="M5780">
        <v>0.99830439999999998</v>
      </c>
      <c r="N5780">
        <v>-1.3796879999999999E-2</v>
      </c>
      <c r="O5780">
        <v>5.6551410000000003E-2</v>
      </c>
      <c r="P5780">
        <v>0.98327710000000002</v>
      </c>
      <c r="Q5780">
        <v>0.1753586</v>
      </c>
      <c r="R5780">
        <v>4.9151050000000002E-2</v>
      </c>
      <c r="S5780">
        <v>3.061401</v>
      </c>
      <c r="T5780">
        <v>-0.17764940000000001</v>
      </c>
      <c r="U5780">
        <v>0.4376526</v>
      </c>
      <c r="V5780">
        <v>3.46745E-3</v>
      </c>
      <c r="W5780">
        <v>0.1890058</v>
      </c>
      <c r="X5780">
        <v>0.9819698</v>
      </c>
      <c r="Y5780">
        <v>-8.5185140000000006E-2</v>
      </c>
      <c r="Z5780">
        <v>5.6751010000000005E-4</v>
      </c>
      <c r="AA5780">
        <v>0.99636499999999995</v>
      </c>
      <c r="AB5780">
        <v>40</v>
      </c>
      <c r="AC5780">
        <v>19.225899999999999</v>
      </c>
      <c r="AD5780">
        <v>-1.1275619368100001</v>
      </c>
      <c r="AE5780">
        <v>2.7638500000000001</v>
      </c>
      <c r="AF5780">
        <v>-1.6664550615893901</v>
      </c>
      <c r="AG5780">
        <v>-1.1275619368100001</v>
      </c>
      <c r="AH5780">
        <v>19.286446781040599</v>
      </c>
      <c r="AI5780">
        <v>93.333536483348794</v>
      </c>
      <c r="AJ5780">
        <v>94.938404906769406</v>
      </c>
      <c r="AK5780">
        <v>19.391119045365802</v>
      </c>
      <c r="AL5780">
        <v>79.105229953825301</v>
      </c>
      <c r="AM5780">
        <v>89.7976827546496</v>
      </c>
      <c r="AN5780">
        <v>0.99999995187759005</v>
      </c>
    </row>
    <row r="5781" spans="1:40" x14ac:dyDescent="0.25">
      <c r="A5781" t="str">
        <f>"20190303171126959"</f>
        <v>20190303171126959</v>
      </c>
      <c r="B5781" t="str">
        <f>"1551604286955986"</f>
        <v>1551604286955986</v>
      </c>
      <c r="C5781" t="s">
        <v>40</v>
      </c>
      <c r="D5781">
        <v>5.1158320000000002</v>
      </c>
      <c r="E5781">
        <v>0.46819749999999999</v>
      </c>
      <c r="F5781" t="s">
        <v>68</v>
      </c>
      <c r="G5781">
        <v>-187.8689</v>
      </c>
      <c r="H5781" s="1">
        <v>-1.0942040000000001E-5</v>
      </c>
      <c r="I5781">
        <v>-60.612960000000001</v>
      </c>
      <c r="J5781">
        <v>-207.27170000000001</v>
      </c>
      <c r="K5781">
        <v>1.1277280000000001</v>
      </c>
      <c r="L5781">
        <v>-63.478940000000001</v>
      </c>
      <c r="M5781">
        <v>0.99809630000000005</v>
      </c>
      <c r="N5781">
        <v>-1.3860330000000001E-2</v>
      </c>
      <c r="O5781">
        <v>6.0099109999999997E-2</v>
      </c>
      <c r="P5781">
        <v>0.98313550000000005</v>
      </c>
      <c r="Q5781">
        <v>0.1752862</v>
      </c>
      <c r="R5781">
        <v>5.2152780000000003E-2</v>
      </c>
      <c r="S5781">
        <v>3.059952</v>
      </c>
      <c r="T5781">
        <v>-0.176098</v>
      </c>
      <c r="U5781">
        <v>0.44964599999999999</v>
      </c>
      <c r="V5781">
        <v>3.8780770000000002E-3</v>
      </c>
      <c r="W5781">
        <v>0.1890058</v>
      </c>
      <c r="X5781">
        <v>0.98196830000000002</v>
      </c>
      <c r="Y5781">
        <v>-8.5538660000000002E-2</v>
      </c>
      <c r="Z5781">
        <v>4.4009600000000001E-4</v>
      </c>
      <c r="AA5781">
        <v>0.99633470000000002</v>
      </c>
      <c r="AB5781">
        <v>40</v>
      </c>
      <c r="AC5781">
        <v>19.402799999999999</v>
      </c>
      <c r="AD5781">
        <v>-1.1277389420399999</v>
      </c>
      <c r="AE5781">
        <v>2.86598</v>
      </c>
      <c r="AF5781">
        <v>-1.68901157852765</v>
      </c>
      <c r="AG5781">
        <v>-1.1277389420399999</v>
      </c>
      <c r="AH5781">
        <v>19.475592352462801</v>
      </c>
      <c r="AI5781">
        <v>93.301660146072507</v>
      </c>
      <c r="AJ5781">
        <v>94.956548027164501</v>
      </c>
      <c r="AK5781">
        <v>19.581196406581</v>
      </c>
      <c r="AL5781">
        <v>79.105230341815698</v>
      </c>
      <c r="AM5781">
        <v>89.773723561604299</v>
      </c>
      <c r="AN5781">
        <v>0.99999998705987303</v>
      </c>
    </row>
    <row r="5782" spans="1:40" x14ac:dyDescent="0.25">
      <c r="A5782" t="str">
        <f>"20190303171126971"</f>
        <v>20190303171126971</v>
      </c>
      <c r="B5782" t="str">
        <f>"1551604286966722"</f>
        <v>1551604286966722</v>
      </c>
      <c r="C5782" t="s">
        <v>40</v>
      </c>
      <c r="D5782">
        <v>5.0665849999999999</v>
      </c>
      <c r="E5782">
        <v>0.4683773</v>
      </c>
      <c r="F5782" t="s">
        <v>68</v>
      </c>
      <c r="G5782">
        <v>-187.69380000000001</v>
      </c>
      <c r="H5782" s="1">
        <v>-1.094171E-5</v>
      </c>
      <c r="I5782">
        <v>-60.565750000000001</v>
      </c>
      <c r="J5782">
        <v>-207.05940000000001</v>
      </c>
      <c r="K5782">
        <v>1.127926</v>
      </c>
      <c r="L5782">
        <v>-63.463169999999998</v>
      </c>
      <c r="M5782">
        <v>0.99784090000000003</v>
      </c>
      <c r="N5782">
        <v>-1.392825E-2</v>
      </c>
      <c r="O5782">
        <v>6.4182970000000006E-2</v>
      </c>
      <c r="P5782">
        <v>0.98301719999999904</v>
      </c>
      <c r="Q5782">
        <v>0.17485220000000001</v>
      </c>
      <c r="R5782">
        <v>5.571653E-2</v>
      </c>
      <c r="S5782">
        <v>3.0587309999999999</v>
      </c>
      <c r="T5782">
        <v>-0.17619119999999999</v>
      </c>
      <c r="U5782">
        <v>0.45513920000000002</v>
      </c>
      <c r="V5782">
        <v>4.2560130000000003E-3</v>
      </c>
      <c r="W5782">
        <v>0.18864900000000001</v>
      </c>
      <c r="X5782">
        <v>0.98203530000000006</v>
      </c>
      <c r="Y5782">
        <v>-8.3277340000000005E-2</v>
      </c>
      <c r="Z5782">
        <v>1.8962269999999999E-4</v>
      </c>
      <c r="AA5782">
        <v>0.99652640000000003</v>
      </c>
      <c r="AB5782">
        <v>40</v>
      </c>
      <c r="AC5782">
        <v>19.365600000000001</v>
      </c>
      <c r="AD5782">
        <v>-1.12793694171</v>
      </c>
      <c r="AE5782">
        <v>2.8974199999999901</v>
      </c>
      <c r="AF5782">
        <v>-1.6429309715426801</v>
      </c>
      <c r="AG5782">
        <v>-1.12793694171</v>
      </c>
      <c r="AH5782">
        <v>19.447118268170701</v>
      </c>
      <c r="AI5782">
        <v>93.307691789670997</v>
      </c>
      <c r="AJ5782">
        <v>94.828993927265699</v>
      </c>
      <c r="AK5782">
        <v>19.548960915044798</v>
      </c>
      <c r="AL5782">
        <v>79.126047512760806</v>
      </c>
      <c r="AM5782">
        <v>89.751689113658202</v>
      </c>
      <c r="AN5782">
        <v>0.99999994464687103</v>
      </c>
    </row>
    <row r="5783" spans="1:40" x14ac:dyDescent="0.25">
      <c r="A5783" t="str">
        <f>"20190303171126982"</f>
        <v>20190303171126982</v>
      </c>
      <c r="B5783" t="str">
        <f>"1551604286976482"</f>
        <v>1551604286976482</v>
      </c>
      <c r="C5783" t="s">
        <v>40</v>
      </c>
      <c r="D5783">
        <v>5.0823099999999997</v>
      </c>
      <c r="E5783">
        <v>0.4685301</v>
      </c>
      <c r="F5783" t="s">
        <v>68</v>
      </c>
      <c r="G5783">
        <v>-187.63810000000001</v>
      </c>
      <c r="H5783" s="1">
        <v>-1.09569699999999E-5</v>
      </c>
      <c r="I5783">
        <v>-60.508479999999999</v>
      </c>
      <c r="J5783">
        <v>-206.87200000000001</v>
      </c>
      <c r="K5783">
        <v>1.128099</v>
      </c>
      <c r="L5783">
        <v>-63.448549999999997</v>
      </c>
      <c r="M5783">
        <v>0.99759609999999999</v>
      </c>
      <c r="N5783">
        <v>-1.398595E-2</v>
      </c>
      <c r="O5783">
        <v>6.7870940000000005E-2</v>
      </c>
      <c r="P5783">
        <v>0.98291640000000002</v>
      </c>
      <c r="Q5783">
        <v>0.17431459999999999</v>
      </c>
      <c r="R5783">
        <v>5.9078779999999997E-2</v>
      </c>
      <c r="S5783">
        <v>3.0570529999999998</v>
      </c>
      <c r="T5783">
        <v>-0.17754529999999999</v>
      </c>
      <c r="U5783">
        <v>0.4650879</v>
      </c>
      <c r="V5783">
        <v>4.4601800000000002E-3</v>
      </c>
      <c r="W5783">
        <v>0.18817690000000001</v>
      </c>
      <c r="X5783">
        <v>0.98212500000000003</v>
      </c>
      <c r="Y5783">
        <v>-8.2847519999999994E-2</v>
      </c>
      <c r="Z5783" s="1">
        <v>9.6646840000000004E-6</v>
      </c>
      <c r="AA5783">
        <v>0.99656219999999995</v>
      </c>
      <c r="AB5783">
        <v>40</v>
      </c>
      <c r="AC5783">
        <v>19.233899999999998</v>
      </c>
      <c r="AD5783">
        <v>-1.1281099569699999</v>
      </c>
      <c r="AE5783">
        <v>2.9400699999999902</v>
      </c>
      <c r="AF5783">
        <v>-1.6222852942578501</v>
      </c>
      <c r="AG5783">
        <v>-1.1281099569699999</v>
      </c>
      <c r="AH5783">
        <v>19.324146133471999</v>
      </c>
      <c r="AI5783">
        <v>93.329350486693002</v>
      </c>
      <c r="AJ5783">
        <v>94.798797005167302</v>
      </c>
      <c r="AK5783">
        <v>19.424908376586</v>
      </c>
      <c r="AL5783">
        <v>79.153590501587701</v>
      </c>
      <c r="AM5783">
        <v>89.739801213613802</v>
      </c>
      <c r="AN5783">
        <v>0.99999997726212098</v>
      </c>
    </row>
    <row r="5784" spans="1:40" x14ac:dyDescent="0.25">
      <c r="A5784" t="str">
        <f>"20190303171126993"</f>
        <v>20190303171126993</v>
      </c>
      <c r="B5784" t="str">
        <f>"1551604286986242"</f>
        <v>1551604286986242</v>
      </c>
      <c r="C5784" t="s">
        <v>40</v>
      </c>
      <c r="D5784">
        <v>5.1713120000000004</v>
      </c>
      <c r="E5784">
        <v>0.46840500000000002</v>
      </c>
      <c r="F5784" t="s">
        <v>68</v>
      </c>
      <c r="G5784">
        <v>-187.5975</v>
      </c>
      <c r="H5784" s="1">
        <v>-1.097269E-5</v>
      </c>
      <c r="I5784">
        <v>-60.454090000000001</v>
      </c>
      <c r="J5784">
        <v>-206.67179999999999</v>
      </c>
      <c r="K5784">
        <v>1.128285</v>
      </c>
      <c r="L5784">
        <v>-63.432189999999999</v>
      </c>
      <c r="M5784">
        <v>0.99731340000000002</v>
      </c>
      <c r="N5784">
        <v>-1.4045240000000001E-2</v>
      </c>
      <c r="O5784">
        <v>7.1892330000000004E-2</v>
      </c>
      <c r="P5784">
        <v>0.98276030000000003</v>
      </c>
      <c r="Q5784">
        <v>0.17382359999999999</v>
      </c>
      <c r="R5784">
        <v>6.2988349999999999E-2</v>
      </c>
      <c r="S5784">
        <v>3.0553279999999998</v>
      </c>
      <c r="T5784">
        <v>-0.17882379999999901</v>
      </c>
      <c r="U5784">
        <v>0.47467039999999999</v>
      </c>
      <c r="V5784">
        <v>4.4391530000000004E-3</v>
      </c>
      <c r="W5784">
        <v>0.18774840000000001</v>
      </c>
      <c r="X5784">
        <v>0.9822071</v>
      </c>
      <c r="Y5784">
        <v>-8.1970959999999995E-2</v>
      </c>
      <c r="Z5784">
        <v>-2.032383E-4</v>
      </c>
      <c r="AA5784">
        <v>0.99663469999999998</v>
      </c>
      <c r="AB5784">
        <v>40</v>
      </c>
      <c r="AC5784">
        <v>19.074299999999901</v>
      </c>
      <c r="AD5784">
        <v>-1.1282959726899999</v>
      </c>
      <c r="AE5784">
        <v>2.9781</v>
      </c>
      <c r="AF5784">
        <v>-1.5935179559237</v>
      </c>
      <c r="AG5784">
        <v>-1.1282959726899999</v>
      </c>
      <c r="AH5784">
        <v>19.1735646979831</v>
      </c>
      <c r="AI5784">
        <v>93.356223976118301</v>
      </c>
      <c r="AJ5784">
        <v>94.750942532433498</v>
      </c>
      <c r="AK5784">
        <v>19.272725144763101</v>
      </c>
      <c r="AL5784">
        <v>79.178587285102495</v>
      </c>
      <c r="AM5784">
        <v>89.7410495202665</v>
      </c>
      <c r="AN5784">
        <v>0.99999997753616299</v>
      </c>
    </row>
    <row r="5785" spans="1:40" x14ac:dyDescent="0.25">
      <c r="A5785" t="str">
        <f>"20190303171127003"</f>
        <v>20190303171127003</v>
      </c>
      <c r="B5785" t="str">
        <f>"1551604286996002"</f>
        <v>1551604286996002</v>
      </c>
      <c r="C5785" t="s">
        <v>40</v>
      </c>
      <c r="D5785">
        <v>5.3177130000000004</v>
      </c>
      <c r="E5785">
        <v>0.46840500000000002</v>
      </c>
      <c r="F5785" t="s">
        <v>68</v>
      </c>
      <c r="G5785">
        <v>-187.74969999999999</v>
      </c>
      <c r="H5785" s="1">
        <v>-1.1005510000000001E-5</v>
      </c>
      <c r="I5785">
        <v>-60.405659999999997</v>
      </c>
      <c r="J5785">
        <v>-206.4811</v>
      </c>
      <c r="K5785">
        <v>1.128466</v>
      </c>
      <c r="L5785">
        <v>-63.415559999999999</v>
      </c>
      <c r="M5785">
        <v>0.99702009999999996</v>
      </c>
      <c r="N5785">
        <v>-1.4099840000000001E-2</v>
      </c>
      <c r="O5785">
        <v>7.5845490000000002E-2</v>
      </c>
      <c r="P5785">
        <v>0.98255179999999998</v>
      </c>
      <c r="Q5785">
        <v>0.17344189999999901</v>
      </c>
      <c r="R5785">
        <v>6.7160590000000006E-2</v>
      </c>
      <c r="S5785">
        <v>3.053528</v>
      </c>
      <c r="T5785">
        <v>-0.18207760000000001</v>
      </c>
      <c r="U5785">
        <v>0.48840329999999899</v>
      </c>
      <c r="V5785">
        <v>4.0882310000000003E-3</v>
      </c>
      <c r="W5785">
        <v>0.18741820000000001</v>
      </c>
      <c r="X5785">
        <v>0.98227169999999997</v>
      </c>
      <c r="Y5785">
        <v>-8.2482810000000004E-2</v>
      </c>
      <c r="Z5785">
        <v>-3.8837700000000003E-4</v>
      </c>
      <c r="AA5785">
        <v>0.99659240000000004</v>
      </c>
      <c r="AB5785">
        <v>40</v>
      </c>
      <c r="AC5785">
        <v>18.731400000000001</v>
      </c>
      <c r="AD5785">
        <v>-1.12847700551</v>
      </c>
      <c r="AE5785">
        <v>3.0099</v>
      </c>
      <c r="AF5785">
        <v>-1.57482342857971</v>
      </c>
      <c r="AG5785">
        <v>-1.12847700551</v>
      </c>
      <c r="AH5785">
        <v>18.839089891720299</v>
      </c>
      <c r="AI5785">
        <v>93.416081937394395</v>
      </c>
      <c r="AJ5785">
        <v>94.778438882575898</v>
      </c>
      <c r="AK5785">
        <v>18.938448646377701</v>
      </c>
      <c r="AL5785">
        <v>79.197848439081298</v>
      </c>
      <c r="AM5785">
        <v>89.761535398539493</v>
      </c>
      <c r="AN5785">
        <v>0.99999999397241901</v>
      </c>
    </row>
    <row r="5786" spans="1:40" x14ac:dyDescent="0.25">
      <c r="A5786" t="str">
        <f>"20190303171127014"</f>
        <v>20190303171127014</v>
      </c>
      <c r="B5786" t="str">
        <f>"1551604287006739"</f>
        <v>1551604287006739</v>
      </c>
      <c r="C5786" t="s">
        <v>40</v>
      </c>
      <c r="D5786">
        <v>5.0899029999999996</v>
      </c>
      <c r="E5786">
        <v>0.4299769</v>
      </c>
      <c r="F5786" t="s">
        <v>68</v>
      </c>
      <c r="G5786">
        <v>-187.6773</v>
      </c>
      <c r="H5786" s="1">
        <v>-1.335977E-5</v>
      </c>
      <c r="I5786">
        <v>-60.32394</v>
      </c>
      <c r="J5786">
        <v>-206.28389999999999</v>
      </c>
      <c r="K5786">
        <v>1.128657</v>
      </c>
      <c r="L5786">
        <v>-63.397889999999997</v>
      </c>
      <c r="M5786">
        <v>0.99669580000000002</v>
      </c>
      <c r="N5786">
        <v>-1.415434E-2</v>
      </c>
      <c r="O5786">
        <v>7.9983700000000005E-2</v>
      </c>
      <c r="P5786">
        <v>0.98230669999999998</v>
      </c>
      <c r="Q5786">
        <v>0.17306260000000001</v>
      </c>
      <c r="R5786">
        <v>7.1576650000000006E-2</v>
      </c>
      <c r="S5786">
        <v>3.0513150000000002</v>
      </c>
      <c r="T5786">
        <v>-0.18311920000000001</v>
      </c>
      <c r="U5786">
        <v>0.50167850000000003</v>
      </c>
      <c r="V5786">
        <v>3.673478E-3</v>
      </c>
      <c r="W5786">
        <v>0.18708939999999999</v>
      </c>
      <c r="X5786">
        <v>0.98233599999999999</v>
      </c>
      <c r="Y5786">
        <v>-8.2685690000000006E-2</v>
      </c>
      <c r="Z5786">
        <v>-5.7351089999999895E-4</v>
      </c>
      <c r="AA5786">
        <v>0.99657549999999995</v>
      </c>
      <c r="AB5786">
        <v>40</v>
      </c>
      <c r="AC5786">
        <v>18.606599999999901</v>
      </c>
      <c r="AD5786">
        <v>-1.1286703597700001</v>
      </c>
      <c r="AE5786">
        <v>3.07395</v>
      </c>
      <c r="AF5786">
        <v>-1.5701021456198301</v>
      </c>
      <c r="AG5786">
        <v>-1.1286703597700001</v>
      </c>
      <c r="AH5786">
        <v>18.7257934794943</v>
      </c>
      <c r="AI5786">
        <v>93.437215950682599</v>
      </c>
      <c r="AJ5786">
        <v>94.792870045825495</v>
      </c>
      <c r="AK5786">
        <v>18.825367432413501</v>
      </c>
      <c r="AL5786">
        <v>79.217026341698599</v>
      </c>
      <c r="AM5786">
        <v>89.785741534015102</v>
      </c>
      <c r="AN5786">
        <v>0.99999997746448799</v>
      </c>
    </row>
    <row r="5787" spans="1:40" x14ac:dyDescent="0.25">
      <c r="A5787" t="str">
        <f>"20190303171127026"</f>
        <v>20190303171127026</v>
      </c>
      <c r="B5787" t="str">
        <f>"1551604287016498"</f>
        <v>1551604287016498</v>
      </c>
      <c r="C5787" t="s">
        <v>40</v>
      </c>
      <c r="D5787">
        <v>5.0722750000000003</v>
      </c>
      <c r="E5787">
        <v>0.41924519999999998</v>
      </c>
      <c r="F5787" t="s">
        <v>68</v>
      </c>
      <c r="G5787">
        <v>-175.04470000000001</v>
      </c>
      <c r="H5787">
        <v>7.9986580000000002E-2</v>
      </c>
      <c r="I5787">
        <v>-54.932459999999999</v>
      </c>
      <c r="J5787">
        <v>-206.09569999999999</v>
      </c>
      <c r="K5787">
        <v>1.1288400000000001</v>
      </c>
      <c r="L5787">
        <v>-63.379669999999997</v>
      </c>
      <c r="M5787">
        <v>0.99635620000000003</v>
      </c>
      <c r="N5787">
        <v>-1.4205479999999999E-2</v>
      </c>
      <c r="O5787">
        <v>8.4098580000000006E-2</v>
      </c>
      <c r="P5787">
        <v>0.98204309999999995</v>
      </c>
      <c r="Q5787">
        <v>0.17266870000000001</v>
      </c>
      <c r="R5787">
        <v>7.6005809999999993E-2</v>
      </c>
      <c r="S5787">
        <v>3.012375</v>
      </c>
      <c r="T5787">
        <v>-0.1011224</v>
      </c>
      <c r="U5787">
        <v>0.81631469999999995</v>
      </c>
      <c r="V5787">
        <v>3.2252660000000001E-3</v>
      </c>
      <c r="W5787">
        <v>0.1867414</v>
      </c>
      <c r="X5787">
        <v>0.98240380000000005</v>
      </c>
      <c r="Y5787">
        <v>-0.17932629999999999</v>
      </c>
      <c r="Z5787">
        <v>2.668279E-3</v>
      </c>
      <c r="AA5787">
        <v>0.98378600000000005</v>
      </c>
      <c r="AB5787">
        <v>40</v>
      </c>
      <c r="AC5787">
        <v>31.050999999999899</v>
      </c>
      <c r="AD5787">
        <v>-1.0488534199999999</v>
      </c>
      <c r="AE5787">
        <v>8.4472099999999894</v>
      </c>
      <c r="AF5787">
        <v>-5.7995095710704696</v>
      </c>
      <c r="AG5787">
        <v>-1.0488534199999999</v>
      </c>
      <c r="AH5787">
        <v>31.617858255223599</v>
      </c>
      <c r="AI5787">
        <v>91.868810552758106</v>
      </c>
      <c r="AJ5787">
        <v>100.393945930418</v>
      </c>
      <c r="AK5787">
        <v>32.162452726883203</v>
      </c>
      <c r="AL5787">
        <v>79.237323112694</v>
      </c>
      <c r="AM5787">
        <v>89.811896629789004</v>
      </c>
      <c r="AN5787">
        <v>0.99999998953458502</v>
      </c>
    </row>
    <row r="5788" spans="1:40" x14ac:dyDescent="0.25">
      <c r="A5788" t="str">
        <f>"20190303171127037"</f>
        <v>20190303171127037</v>
      </c>
      <c r="B5788" t="str">
        <f>"1551604287026259"</f>
        <v>1551604287026259</v>
      </c>
      <c r="C5788" t="s">
        <v>40</v>
      </c>
      <c r="D5788">
        <v>4.9919219999999997</v>
      </c>
      <c r="E5788">
        <v>0.41924519999999998</v>
      </c>
      <c r="F5788" t="s">
        <v>41</v>
      </c>
      <c r="G5788">
        <v>-155.3734</v>
      </c>
      <c r="H5788">
        <v>-0.05</v>
      </c>
      <c r="I5788">
        <v>-47.918700000000001</v>
      </c>
      <c r="J5788">
        <v>-205.893</v>
      </c>
      <c r="K5788">
        <v>1.1290370000000001</v>
      </c>
      <c r="L5788">
        <v>-63.359679999999997</v>
      </c>
      <c r="M5788">
        <v>0.99596799999999996</v>
      </c>
      <c r="N5788">
        <v>-1.425884E-2</v>
      </c>
      <c r="O5788">
        <v>8.8569490000000001E-2</v>
      </c>
      <c r="P5788">
        <v>0.98170690000000005</v>
      </c>
      <c r="Q5788">
        <v>0.17238039999999999</v>
      </c>
      <c r="R5788">
        <v>8.0849379999999998E-2</v>
      </c>
      <c r="S5788">
        <v>2.996429</v>
      </c>
      <c r="T5788">
        <v>-6.9640279999999999E-2</v>
      </c>
      <c r="U5788">
        <v>0.91336059999999997</v>
      </c>
      <c r="V5788">
        <v>2.7034030000000001E-3</v>
      </c>
      <c r="W5788">
        <v>0.1864992</v>
      </c>
      <c r="X5788">
        <v>0.98245139999999997</v>
      </c>
      <c r="Y5788">
        <v>-0.20561479999999999</v>
      </c>
      <c r="Z5788">
        <v>3.0713060000000002E-3</v>
      </c>
      <c r="AA5788">
        <v>0.97862819999999995</v>
      </c>
      <c r="AB5788">
        <v>40</v>
      </c>
      <c r="AC5788">
        <v>50.519599999999997</v>
      </c>
      <c r="AD5788">
        <v>-1.1790369999999999</v>
      </c>
      <c r="AE5788">
        <v>15.44098</v>
      </c>
      <c r="AF5788">
        <v>-10.8999050895334</v>
      </c>
      <c r="AG5788">
        <v>-1.1790369999999999</v>
      </c>
      <c r="AH5788">
        <v>51.663020973509703</v>
      </c>
      <c r="AI5788">
        <v>91.2792080887304</v>
      </c>
      <c r="AJ5788">
        <v>101.91359020285999</v>
      </c>
      <c r="AK5788">
        <v>52.813500123713702</v>
      </c>
      <c r="AL5788">
        <v>79.251448486760495</v>
      </c>
      <c r="AM5788">
        <v>89.842340098163106</v>
      </c>
      <c r="AN5788">
        <v>1.00000000667519</v>
      </c>
    </row>
    <row r="5789" spans="1:40" x14ac:dyDescent="0.25">
      <c r="A5789" t="str">
        <f>"20190303171127049"</f>
        <v>20190303171127049</v>
      </c>
      <c r="B5789" t="str">
        <f>"1551604287036018"</f>
        <v>1551604287036018</v>
      </c>
      <c r="C5789" t="s">
        <v>40</v>
      </c>
      <c r="D5789">
        <v>5.0525209999999996</v>
      </c>
      <c r="E5789">
        <v>0.36826950000000003</v>
      </c>
      <c r="F5789" t="s">
        <v>41</v>
      </c>
      <c r="G5789">
        <v>-155.72389999999999</v>
      </c>
      <c r="H5789">
        <v>-0.05</v>
      </c>
      <c r="I5789">
        <v>-47.793399999999998</v>
      </c>
      <c r="J5789">
        <v>-205.69210000000001</v>
      </c>
      <c r="K5789">
        <v>1.1292420000000001</v>
      </c>
      <c r="L5789">
        <v>-63.338380000000001</v>
      </c>
      <c r="M5789">
        <v>0.9955463</v>
      </c>
      <c r="N5789">
        <v>-1.43118E-2</v>
      </c>
      <c r="O5789">
        <v>9.3182609999999999E-2</v>
      </c>
      <c r="P5789">
        <v>0.98136869999999998</v>
      </c>
      <c r="Q5789">
        <v>0.17180609999999999</v>
      </c>
      <c r="R5789">
        <v>8.6014489999999999E-2</v>
      </c>
      <c r="S5789">
        <v>2.9917910000000001</v>
      </c>
      <c r="T5789">
        <v>-7.0310949999999997E-2</v>
      </c>
      <c r="U5789">
        <v>0.92828370000000004</v>
      </c>
      <c r="V5789">
        <v>2.0080469999999998E-3</v>
      </c>
      <c r="W5789">
        <v>0.1859674</v>
      </c>
      <c r="X5789">
        <v>0.98255380000000003</v>
      </c>
      <c r="Y5789">
        <v>-0.2059619</v>
      </c>
      <c r="Z5789">
        <v>3.0521279999999999E-3</v>
      </c>
      <c r="AA5789">
        <v>0.97855530000000002</v>
      </c>
      <c r="AB5789">
        <v>40</v>
      </c>
      <c r="AC5789">
        <v>49.968200000000003</v>
      </c>
      <c r="AD5789">
        <v>-1.1792419999999999</v>
      </c>
      <c r="AE5789">
        <v>15.544980000000001</v>
      </c>
      <c r="AF5789">
        <v>-10.815194830347901</v>
      </c>
      <c r="AG5789">
        <v>-1.1792419999999999</v>
      </c>
      <c r="AH5789">
        <v>51.173429325037503</v>
      </c>
      <c r="AI5789">
        <v>91.291572212742906</v>
      </c>
      <c r="AJ5789">
        <v>101.933509577922</v>
      </c>
      <c r="AK5789">
        <v>52.317099688319502</v>
      </c>
      <c r="AL5789">
        <v>79.282460183394704</v>
      </c>
      <c r="AM5789">
        <v>89.882904673531797</v>
      </c>
      <c r="AN5789">
        <v>0.999999938004975</v>
      </c>
    </row>
    <row r="5790" spans="1:40" x14ac:dyDescent="0.25">
      <c r="A5790" t="str">
        <f>"20190303171127060"</f>
        <v>20190303171127060</v>
      </c>
      <c r="B5790" t="str">
        <f>"1551604287056514"</f>
        <v>1551604287056514</v>
      </c>
      <c r="C5790" t="s">
        <v>40</v>
      </c>
      <c r="D5790">
        <v>5.0057219999999996</v>
      </c>
      <c r="E5790">
        <v>0.35638029999999998</v>
      </c>
      <c r="F5790" t="s">
        <v>49</v>
      </c>
      <c r="G5790">
        <v>-157.3501</v>
      </c>
      <c r="H5790">
        <v>2.7682410000000002</v>
      </c>
      <c r="I5790">
        <v>-41.220309999999998</v>
      </c>
      <c r="J5790">
        <v>-205.4975</v>
      </c>
      <c r="K5790">
        <v>1.1294360000000001</v>
      </c>
      <c r="L5790">
        <v>-63.31711</v>
      </c>
      <c r="M5790">
        <v>0.99511050000000001</v>
      </c>
      <c r="N5790">
        <v>-1.436204E-2</v>
      </c>
      <c r="O5790">
        <v>9.7719210000000001E-2</v>
      </c>
      <c r="P5790">
        <v>0.98102889999999998</v>
      </c>
      <c r="Q5790">
        <v>0.17113510000000001</v>
      </c>
      <c r="R5790">
        <v>9.1078030000000004E-2</v>
      </c>
      <c r="S5790">
        <v>2.922409</v>
      </c>
      <c r="T5790">
        <v>9.9080799999999997E-2</v>
      </c>
      <c r="U5790">
        <v>1.337097</v>
      </c>
      <c r="V5790">
        <v>1.346725E-3</v>
      </c>
      <c r="W5790">
        <v>0.18533669999999999</v>
      </c>
      <c r="X5790">
        <v>0.98267409999999999</v>
      </c>
      <c r="Y5790">
        <v>-0.325206</v>
      </c>
      <c r="Z5790">
        <v>1.677261E-3</v>
      </c>
      <c r="AA5790">
        <v>0.94564170000000003</v>
      </c>
      <c r="AB5790">
        <v>40</v>
      </c>
      <c r="AC5790">
        <v>48.147399999999998</v>
      </c>
      <c r="AD5790">
        <v>1.6388049999999901</v>
      </c>
      <c r="AE5790">
        <v>22.096800000000002</v>
      </c>
      <c r="AF5790">
        <v>-17.2690867244396</v>
      </c>
      <c r="AG5790">
        <v>1.6388049999999901</v>
      </c>
      <c r="AH5790">
        <v>50.028548625546897</v>
      </c>
      <c r="AI5790">
        <v>88.226428738365499</v>
      </c>
      <c r="AJ5790">
        <v>109.043887846584</v>
      </c>
      <c r="AK5790">
        <v>52.9505686060401</v>
      </c>
      <c r="AL5790">
        <v>79.319236052230707</v>
      </c>
      <c r="AM5790">
        <v>89.921477924006695</v>
      </c>
      <c r="AN5790">
        <v>0.99999994642296097</v>
      </c>
    </row>
    <row r="5791" spans="1:40" x14ac:dyDescent="0.25">
      <c r="A5791" t="str">
        <f>"20190303171127072"</f>
        <v>20190303171127072</v>
      </c>
      <c r="B5791" t="str">
        <f>"1551604287066274"</f>
        <v>1551604287066274</v>
      </c>
      <c r="C5791" t="s">
        <v>40</v>
      </c>
      <c r="D5791">
        <v>5.016972</v>
      </c>
      <c r="E5791">
        <v>0.3541919</v>
      </c>
      <c r="F5791" t="s">
        <v>49</v>
      </c>
      <c r="G5791">
        <v>-157.3501</v>
      </c>
      <c r="H5791">
        <v>3.085461</v>
      </c>
      <c r="I5791">
        <v>-39.350279999999998</v>
      </c>
      <c r="J5791">
        <v>-205.29490000000001</v>
      </c>
      <c r="K5791">
        <v>1.129643</v>
      </c>
      <c r="L5791">
        <v>-63.293819999999997</v>
      </c>
      <c r="M5791">
        <v>0.99462110000000004</v>
      </c>
      <c r="N5791">
        <v>-1.4414160000000001E-2</v>
      </c>
      <c r="O5791">
        <v>0.1025732</v>
      </c>
      <c r="P5791">
        <v>0.98065530000000001</v>
      </c>
      <c r="Q5791">
        <v>0.17005290000000001</v>
      </c>
      <c r="R5791">
        <v>9.6940419999999999E-2</v>
      </c>
      <c r="S5791">
        <v>2.9032749999999998</v>
      </c>
      <c r="T5791">
        <v>0.1179463</v>
      </c>
      <c r="U5791">
        <v>1.44519</v>
      </c>
      <c r="V5791">
        <v>2.1004840000000001E-4</v>
      </c>
      <c r="W5791">
        <v>0.18428659999999999</v>
      </c>
      <c r="X5791">
        <v>0.98287250000000004</v>
      </c>
      <c r="Y5791">
        <v>-0.35142489999999998</v>
      </c>
      <c r="Z5791">
        <v>1.246208E-3</v>
      </c>
      <c r="AA5791">
        <v>0.93621520000000003</v>
      </c>
      <c r="AB5791">
        <v>40</v>
      </c>
      <c r="AC5791">
        <v>47.944800000000001</v>
      </c>
      <c r="AD5791">
        <v>1.9558180000000001</v>
      </c>
      <c r="AE5791">
        <v>23.943539999999999</v>
      </c>
      <c r="AF5791">
        <v>-18.873722409122198</v>
      </c>
      <c r="AG5791">
        <v>1.9558180000000001</v>
      </c>
      <c r="AH5791">
        <v>50.081377442033997</v>
      </c>
      <c r="AI5791">
        <v>87.907121954250002</v>
      </c>
      <c r="AJ5791">
        <v>110.649474005399</v>
      </c>
      <c r="AK5791">
        <v>53.555457127329198</v>
      </c>
      <c r="AL5791">
        <v>79.380457237730297</v>
      </c>
      <c r="AM5791">
        <v>89.987755393878302</v>
      </c>
      <c r="AN5791">
        <v>0.99999997315806899</v>
      </c>
    </row>
    <row r="5792" spans="1:40" x14ac:dyDescent="0.25">
      <c r="A5792" t="str">
        <f>"20190303171127083"</f>
        <v>20190303171127083</v>
      </c>
      <c r="B5792" t="str">
        <f>"1551604287076035"</f>
        <v>1551604287076035</v>
      </c>
      <c r="C5792" t="s">
        <v>40</v>
      </c>
      <c r="D5792">
        <v>5.033061</v>
      </c>
      <c r="E5792">
        <v>0.35288580000000003</v>
      </c>
      <c r="F5792" t="s">
        <v>49</v>
      </c>
      <c r="G5792">
        <v>-157.3501</v>
      </c>
      <c r="H5792">
        <v>3.0530020000000002</v>
      </c>
      <c r="I5792">
        <v>-38.767560000000003</v>
      </c>
      <c r="J5792">
        <v>-205.09880000000001</v>
      </c>
      <c r="K5792">
        <v>1.1298429999999999</v>
      </c>
      <c r="L5792">
        <v>-63.270200000000003</v>
      </c>
      <c r="M5792">
        <v>0.99411139999999998</v>
      </c>
      <c r="N5792">
        <v>-1.446393E-2</v>
      </c>
      <c r="O5792">
        <v>0.1073935</v>
      </c>
      <c r="P5792">
        <v>0.98021219999999998</v>
      </c>
      <c r="Q5792">
        <v>0.16943900000000001</v>
      </c>
      <c r="R5792">
        <v>0.1023443</v>
      </c>
      <c r="S5792">
        <v>2.8927610000000001</v>
      </c>
      <c r="T5792">
        <v>0.116045</v>
      </c>
      <c r="U5792">
        <v>1.479797</v>
      </c>
      <c r="V5792">
        <v>-5.1354690000000001E-4</v>
      </c>
      <c r="W5792">
        <v>0.18370909999999999</v>
      </c>
      <c r="X5792">
        <v>0.98298050000000003</v>
      </c>
      <c r="Y5792">
        <v>-0.35716350000000002</v>
      </c>
      <c r="Z5792">
        <v>1.488081E-3</v>
      </c>
      <c r="AA5792">
        <v>0.93404069999999995</v>
      </c>
      <c r="AB5792">
        <v>40</v>
      </c>
      <c r="AC5792">
        <v>47.748699999999999</v>
      </c>
      <c r="AD5792">
        <v>1.9231590000000001</v>
      </c>
      <c r="AE5792">
        <v>24.50264</v>
      </c>
      <c r="AF5792">
        <v>-19.2078009482127</v>
      </c>
      <c r="AG5792">
        <v>1.9231590000000001</v>
      </c>
      <c r="AH5792">
        <v>50.039936486348303</v>
      </c>
      <c r="AI5792">
        <v>87.945109558724397</v>
      </c>
      <c r="AJ5792">
        <v>110.99927050963301</v>
      </c>
      <c r="AK5792">
        <v>53.6342558572711</v>
      </c>
      <c r="AL5792">
        <v>79.414120369228897</v>
      </c>
      <c r="AM5792">
        <v>90.029933520832799</v>
      </c>
      <c r="AN5792">
        <v>0.99999998026673897</v>
      </c>
    </row>
    <row r="5793" spans="1:40" x14ac:dyDescent="0.25">
      <c r="A5793" t="str">
        <f>"20190303171127093"</f>
        <v>20190303171127093</v>
      </c>
      <c r="B5793" t="str">
        <f>"1551604287086771"</f>
        <v>1551604287086771</v>
      </c>
      <c r="C5793" t="s">
        <v>40</v>
      </c>
      <c r="D5793">
        <v>4.9801489999999999</v>
      </c>
      <c r="E5793">
        <v>0.35178369999999998</v>
      </c>
      <c r="F5793" t="s">
        <v>49</v>
      </c>
      <c r="G5793">
        <v>-157.3501</v>
      </c>
      <c r="H5793">
        <v>3.023339</v>
      </c>
      <c r="I5793">
        <v>-38.332090000000001</v>
      </c>
      <c r="J5793">
        <v>-204.91309999999999</v>
      </c>
      <c r="K5793">
        <v>1.130037</v>
      </c>
      <c r="L5793">
        <v>-63.247190000000003</v>
      </c>
      <c r="M5793">
        <v>0.99359900000000001</v>
      </c>
      <c r="N5793">
        <v>-1.450982E-2</v>
      </c>
      <c r="O5793">
        <v>0.1120294</v>
      </c>
      <c r="P5793">
        <v>0.97971790000000003</v>
      </c>
      <c r="Q5793">
        <v>0.16892589999999999</v>
      </c>
      <c r="R5793">
        <v>0.1077828</v>
      </c>
      <c r="S5793">
        <v>2.8835449999999998</v>
      </c>
      <c r="T5793">
        <v>0.114347</v>
      </c>
      <c r="U5793">
        <v>1.5060119999999999</v>
      </c>
      <c r="V5793">
        <v>-1.4534680000000001E-3</v>
      </c>
      <c r="W5793">
        <v>0.1832231</v>
      </c>
      <c r="X5793">
        <v>0.98307029999999995</v>
      </c>
      <c r="Y5793">
        <v>-0.36071710000000001</v>
      </c>
      <c r="Z5793">
        <v>1.7361239999999999E-3</v>
      </c>
      <c r="AA5793">
        <v>0.93267359999999999</v>
      </c>
      <c r="AB5793">
        <v>40</v>
      </c>
      <c r="AC5793">
        <v>47.562999999999903</v>
      </c>
      <c r="AD5793">
        <v>1.893302</v>
      </c>
      <c r="AE5793">
        <v>24.915099999999999</v>
      </c>
      <c r="AF5793">
        <v>-19.405081153909201</v>
      </c>
      <c r="AG5793">
        <v>1.893302</v>
      </c>
      <c r="AH5793">
        <v>49.992881154415201</v>
      </c>
      <c r="AI5793">
        <v>87.978008068214606</v>
      </c>
      <c r="AJ5793">
        <v>111.21406554089501</v>
      </c>
      <c r="AK5793">
        <v>53.660319913065102</v>
      </c>
      <c r="AL5793">
        <v>79.442447312890806</v>
      </c>
      <c r="AM5793">
        <v>90.084711664442395</v>
      </c>
      <c r="AN5793">
        <v>1.00000001584246</v>
      </c>
    </row>
    <row r="5794" spans="1:40" x14ac:dyDescent="0.25">
      <c r="A5794" t="str">
        <f>"20190303171127105"</f>
        <v>20190303171127105</v>
      </c>
      <c r="B5794" t="str">
        <f>"1551604287096531"</f>
        <v>1551604287096531</v>
      </c>
      <c r="C5794" t="s">
        <v>40</v>
      </c>
      <c r="D5794">
        <v>5.0244330000000001</v>
      </c>
      <c r="E5794">
        <v>0.3513251</v>
      </c>
      <c r="F5794" t="s">
        <v>49</v>
      </c>
      <c r="G5794">
        <v>-157.4265</v>
      </c>
      <c r="H5794">
        <v>3.0180660000000001</v>
      </c>
      <c r="I5794">
        <v>-37.955309999999997</v>
      </c>
      <c r="J5794">
        <v>-204.7236</v>
      </c>
      <c r="K5794">
        <v>1.1302380000000001</v>
      </c>
      <c r="L5794">
        <v>-63.222259999999999</v>
      </c>
      <c r="M5794">
        <v>0.99303439999999998</v>
      </c>
      <c r="N5794">
        <v>-1.455682E-2</v>
      </c>
      <c r="O5794">
        <v>0.11692279999999999</v>
      </c>
      <c r="P5794">
        <v>0.9791069</v>
      </c>
      <c r="Q5794">
        <v>0.1689013</v>
      </c>
      <c r="R5794">
        <v>0.113235</v>
      </c>
      <c r="S5794">
        <v>2.8740230000000002</v>
      </c>
      <c r="T5794">
        <v>0.1142673</v>
      </c>
      <c r="U5794">
        <v>1.5307309999999901</v>
      </c>
      <c r="V5794">
        <v>-2.176299E-3</v>
      </c>
      <c r="W5794">
        <v>0.18322959999999999</v>
      </c>
      <c r="X5794">
        <v>0.98306780000000005</v>
      </c>
      <c r="Y5794">
        <v>-0.3636644</v>
      </c>
      <c r="Z5794">
        <v>1.966036E-3</v>
      </c>
      <c r="AA5794">
        <v>0.93152800000000002</v>
      </c>
      <c r="AB5794">
        <v>40</v>
      </c>
      <c r="AC5794">
        <v>47.2971</v>
      </c>
      <c r="AD5794">
        <v>1.8878280000000001</v>
      </c>
      <c r="AE5794">
        <v>25.266950000000001</v>
      </c>
      <c r="AF5794">
        <v>-19.538695586559701</v>
      </c>
      <c r="AG5794">
        <v>1.8878280000000001</v>
      </c>
      <c r="AH5794">
        <v>49.865411319693102</v>
      </c>
      <c r="AI5794">
        <v>87.981208391231306</v>
      </c>
      <c r="AJ5794">
        <v>111.396667769221</v>
      </c>
      <c r="AK5794">
        <v>53.5899595620673</v>
      </c>
      <c r="AL5794">
        <v>79.442068959111396</v>
      </c>
      <c r="AM5794">
        <v>90.126840228069199</v>
      </c>
      <c r="AN5794">
        <v>1.00000006099516</v>
      </c>
    </row>
    <row r="5795" spans="1:40" x14ac:dyDescent="0.25">
      <c r="A5795" t="str">
        <f>"20190303171127115"</f>
        <v>20190303171127115</v>
      </c>
      <c r="B5795" t="str">
        <f>"1551604287106290"</f>
        <v>1551604287106290</v>
      </c>
      <c r="C5795" t="s">
        <v>40</v>
      </c>
      <c r="D5795">
        <v>4.9741080000000002</v>
      </c>
      <c r="E5795">
        <v>0.34940490000000002</v>
      </c>
      <c r="F5795" t="s">
        <v>49</v>
      </c>
      <c r="G5795">
        <v>-157.9383</v>
      </c>
      <c r="H5795">
        <v>2.9816440000000002</v>
      </c>
      <c r="I5795">
        <v>-37.902160000000002</v>
      </c>
      <c r="J5795">
        <v>-204.5341</v>
      </c>
      <c r="K5795">
        <v>1.1304350000000001</v>
      </c>
      <c r="L5795">
        <v>-63.196930000000002</v>
      </c>
      <c r="M5795">
        <v>0.99244030000000005</v>
      </c>
      <c r="N5795">
        <v>-1.460204E-2</v>
      </c>
      <c r="O5795">
        <v>0.12185749999999999</v>
      </c>
      <c r="P5795">
        <v>0.97845300000000002</v>
      </c>
      <c r="Q5795">
        <v>0.168854</v>
      </c>
      <c r="R5795">
        <v>0.11882040000000001</v>
      </c>
      <c r="S5795">
        <v>2.8651279999999999</v>
      </c>
      <c r="T5795">
        <v>0.11337849999999999</v>
      </c>
      <c r="U5795">
        <v>1.5505979999999999</v>
      </c>
      <c r="V5795">
        <v>-2.991021E-3</v>
      </c>
      <c r="W5795">
        <v>0.1832085</v>
      </c>
      <c r="X5795">
        <v>0.98306950000000004</v>
      </c>
      <c r="Y5795">
        <v>-0.36524960000000001</v>
      </c>
      <c r="Z5795">
        <v>2.2283649999999999E-3</v>
      </c>
      <c r="AA5795">
        <v>0.93090700000000004</v>
      </c>
      <c r="AB5795">
        <v>40</v>
      </c>
      <c r="AC5795">
        <v>46.595799999999997</v>
      </c>
      <c r="AD5795">
        <v>1.8512090000000001</v>
      </c>
      <c r="AE5795">
        <v>25.29477</v>
      </c>
      <c r="AF5795">
        <v>-19.4039146337951</v>
      </c>
      <c r="AG5795">
        <v>1.8512090000000001</v>
      </c>
      <c r="AH5795">
        <v>49.271093227392697</v>
      </c>
      <c r="AI5795">
        <v>87.997832330104998</v>
      </c>
      <c r="AJ5795">
        <v>111.495484819772</v>
      </c>
      <c r="AK5795">
        <v>52.986597415759</v>
      </c>
      <c r="AL5795">
        <v>79.443297758955694</v>
      </c>
      <c r="AM5795">
        <v>90.174323739001196</v>
      </c>
      <c r="AN5795">
        <v>0.99999997125455997</v>
      </c>
    </row>
    <row r="5796" spans="1:40" x14ac:dyDescent="0.25">
      <c r="A5796" t="str">
        <f>"20190303171127126"</f>
        <v>20190303171127126</v>
      </c>
      <c r="B5796" t="str">
        <f>"1551604287116051"</f>
        <v>1551604287116051</v>
      </c>
      <c r="C5796" t="s">
        <v>40</v>
      </c>
      <c r="D5796">
        <v>4.9798369999999998</v>
      </c>
      <c r="E5796">
        <v>0.34787679999999999</v>
      </c>
      <c r="F5796" t="s">
        <v>49</v>
      </c>
      <c r="G5796">
        <v>-157.9383</v>
      </c>
      <c r="H5796">
        <v>3.1633249999999999</v>
      </c>
      <c r="I5796">
        <v>-37.362110000000001</v>
      </c>
      <c r="J5796">
        <v>-204.34309999999999</v>
      </c>
      <c r="K5796">
        <v>1.1306419999999999</v>
      </c>
      <c r="L5796">
        <v>-63.169620000000002</v>
      </c>
      <c r="M5796">
        <v>0.99179039999999996</v>
      </c>
      <c r="N5796">
        <v>-1.464946E-2</v>
      </c>
      <c r="O5796">
        <v>0.1270326</v>
      </c>
      <c r="P5796">
        <v>0.97768120000000003</v>
      </c>
      <c r="Q5796">
        <v>0.1690874</v>
      </c>
      <c r="R5796">
        <v>0.12469619999999999</v>
      </c>
      <c r="S5796">
        <v>2.8525390000000002</v>
      </c>
      <c r="T5796">
        <v>0.12444959999999999</v>
      </c>
      <c r="U5796">
        <v>1.5815729999999999</v>
      </c>
      <c r="V5796">
        <v>-3.876324E-3</v>
      </c>
      <c r="W5796">
        <v>0.18346779999999999</v>
      </c>
      <c r="X5796">
        <v>0.98301810000000001</v>
      </c>
      <c r="Y5796">
        <v>-0.3698649</v>
      </c>
      <c r="Z5796">
        <v>2.2384509999999998E-3</v>
      </c>
      <c r="AA5796">
        <v>0.92908290000000004</v>
      </c>
      <c r="AB5796">
        <v>40</v>
      </c>
      <c r="AC5796">
        <v>46.404800000000002</v>
      </c>
      <c r="AD5796">
        <v>2.032683</v>
      </c>
      <c r="AE5796">
        <v>25.807510000000001</v>
      </c>
      <c r="AF5796">
        <v>-19.6740000221819</v>
      </c>
      <c r="AG5796">
        <v>2.032683</v>
      </c>
      <c r="AH5796">
        <v>49.235366230929102</v>
      </c>
      <c r="AI5796">
        <v>87.804493434076704</v>
      </c>
      <c r="AJ5796">
        <v>111.78119569861801</v>
      </c>
      <c r="AK5796">
        <v>53.059583158417396</v>
      </c>
      <c r="AL5796">
        <v>79.4281853418087</v>
      </c>
      <c r="AM5796">
        <v>90.225932619214603</v>
      </c>
      <c r="AN5796">
        <v>1.0000000222261001</v>
      </c>
    </row>
    <row r="5797" spans="1:40" x14ac:dyDescent="0.25">
      <c r="A5797" t="str">
        <f>"20190303171127138"</f>
        <v>20190303171127138</v>
      </c>
      <c r="B5797" t="str">
        <f>"1551604287126786"</f>
        <v>1551604287126786</v>
      </c>
      <c r="C5797" t="s">
        <v>40</v>
      </c>
      <c r="D5797">
        <v>4.9621320000000004</v>
      </c>
      <c r="E5797">
        <v>0.34671059999999998</v>
      </c>
      <c r="F5797" t="s">
        <v>49</v>
      </c>
      <c r="G5797">
        <v>-157.9383</v>
      </c>
      <c r="H5797">
        <v>3.3162940000000001</v>
      </c>
      <c r="I5797">
        <v>-36.855420000000002</v>
      </c>
      <c r="J5797">
        <v>-204.1491</v>
      </c>
      <c r="K5797">
        <v>1.130852</v>
      </c>
      <c r="L5797">
        <v>-63.141480000000001</v>
      </c>
      <c r="M5797">
        <v>0.99109689999999995</v>
      </c>
      <c r="N5797">
        <v>-1.4695959999999999E-2</v>
      </c>
      <c r="O5797">
        <v>0.1323299</v>
      </c>
      <c r="P5797">
        <v>0.97691209999999995</v>
      </c>
      <c r="Q5797">
        <v>0.16919699999999999</v>
      </c>
      <c r="R5797">
        <v>0.13044220000000001</v>
      </c>
      <c r="S5797">
        <v>2.8399510000000001</v>
      </c>
      <c r="T5797">
        <v>0.1337593</v>
      </c>
      <c r="U5797">
        <v>1.6104130000000001</v>
      </c>
      <c r="V5797">
        <v>-4.5066589999999997E-3</v>
      </c>
      <c r="W5797">
        <v>0.1836074</v>
      </c>
      <c r="X5797">
        <v>0.98298929999999995</v>
      </c>
      <c r="Y5797">
        <v>-0.37380419999999998</v>
      </c>
      <c r="Z5797">
        <v>2.3166279999999998E-3</v>
      </c>
      <c r="AA5797">
        <v>0.92750469999999896</v>
      </c>
      <c r="AB5797">
        <v>40</v>
      </c>
      <c r="AC5797">
        <v>46.210799999999999</v>
      </c>
      <c r="AD5797">
        <v>2.1854419999999899</v>
      </c>
      <c r="AE5797">
        <v>26.286059999999999</v>
      </c>
      <c r="AF5797">
        <v>-19.905475829058499</v>
      </c>
      <c r="AG5797">
        <v>2.1854419999999899</v>
      </c>
      <c r="AH5797">
        <v>49.199988454282703</v>
      </c>
      <c r="AI5797">
        <v>87.642056021102405</v>
      </c>
      <c r="AJ5797">
        <v>112.02741575947</v>
      </c>
      <c r="AK5797">
        <v>53.119139569632999</v>
      </c>
      <c r="AL5797">
        <v>79.420048131473095</v>
      </c>
      <c r="AM5797">
        <v>90.262679086440997</v>
      </c>
      <c r="AN5797">
        <v>0.99999997561229503</v>
      </c>
    </row>
    <row r="5798" spans="1:40" x14ac:dyDescent="0.25">
      <c r="A5798" t="str">
        <f>"20190303171127149"</f>
        <v>20190303171127149</v>
      </c>
      <c r="B5798" t="str">
        <f>"1551604287136546"</f>
        <v>1551604287136546</v>
      </c>
      <c r="C5798" t="s">
        <v>40</v>
      </c>
      <c r="D5798">
        <v>4.9518300000000002</v>
      </c>
      <c r="E5798">
        <v>0.34589490000000001</v>
      </c>
      <c r="F5798" t="s">
        <v>49</v>
      </c>
      <c r="G5798">
        <v>-157.9383</v>
      </c>
      <c r="H5798">
        <v>3.4419209999999998</v>
      </c>
      <c r="I5798">
        <v>-36.40625</v>
      </c>
      <c r="J5798">
        <v>-203.9545</v>
      </c>
      <c r="K5798">
        <v>1.131067</v>
      </c>
      <c r="L5798">
        <v>-63.11148</v>
      </c>
      <c r="M5798">
        <v>0.99034599999999995</v>
      </c>
      <c r="N5798">
        <v>-1.474457E-2</v>
      </c>
      <c r="O5798">
        <v>0.1378316</v>
      </c>
      <c r="P5798">
        <v>0.97607480000000002</v>
      </c>
      <c r="Q5798">
        <v>0.16914100000000001</v>
      </c>
      <c r="R5798">
        <v>0.13663629999999999</v>
      </c>
      <c r="S5798">
        <v>2.8279570000000001</v>
      </c>
      <c r="T5798">
        <v>0.14142869999999999</v>
      </c>
      <c r="U5798">
        <v>1.6361079999999999</v>
      </c>
      <c r="V5798">
        <v>-5.3799240000000003E-3</v>
      </c>
      <c r="W5798">
        <v>0.18357789999999999</v>
      </c>
      <c r="X5798">
        <v>0.98299040000000004</v>
      </c>
      <c r="Y5798">
        <v>-0.3766718</v>
      </c>
      <c r="Z5798">
        <v>2.4716819999999998E-3</v>
      </c>
      <c r="AA5798">
        <v>0.92634349999999999</v>
      </c>
      <c r="AB5798">
        <v>39</v>
      </c>
      <c r="AC5798">
        <v>46.016199999999998</v>
      </c>
      <c r="AD5798">
        <v>2.310854</v>
      </c>
      <c r="AE5798">
        <v>26.70523</v>
      </c>
      <c r="AF5798">
        <v>-20.069254802044501</v>
      </c>
      <c r="AG5798">
        <v>2.310854</v>
      </c>
      <c r="AH5798">
        <v>49.165384542904</v>
      </c>
      <c r="AI5798">
        <v>87.508299106245005</v>
      </c>
      <c r="AJ5798">
        <v>112.20522757272001</v>
      </c>
      <c r="AK5798">
        <v>53.154022159854797</v>
      </c>
      <c r="AL5798">
        <v>79.421767392118198</v>
      </c>
      <c r="AM5798">
        <v>90.313577692743706</v>
      </c>
      <c r="AN5798">
        <v>0.99999995772140704</v>
      </c>
    </row>
    <row r="5799" spans="1:40" x14ac:dyDescent="0.25">
      <c r="A5799" t="str">
        <f>"20190303171127161"</f>
        <v>20190303171127161</v>
      </c>
      <c r="B5799" t="str">
        <f>"1551604287156066"</f>
        <v>1551604287156066</v>
      </c>
      <c r="C5799" t="s">
        <v>40</v>
      </c>
      <c r="D5799">
        <v>4.9342899999999998</v>
      </c>
      <c r="E5799">
        <v>0.34523670000000001</v>
      </c>
      <c r="F5799" t="s">
        <v>49</v>
      </c>
      <c r="G5799">
        <v>-165.80709999999999</v>
      </c>
      <c r="H5799">
        <v>3.1181070000000002</v>
      </c>
      <c r="I5799">
        <v>-40.619770000000003</v>
      </c>
      <c r="J5799">
        <v>-203.74930000000001</v>
      </c>
      <c r="K5799">
        <v>1.131292</v>
      </c>
      <c r="L5799">
        <v>-63.079039999999999</v>
      </c>
      <c r="M5799">
        <v>0.98950830000000001</v>
      </c>
      <c r="N5799">
        <v>-1.479515E-2</v>
      </c>
      <c r="O5799">
        <v>0.14371689999999901</v>
      </c>
      <c r="P5799">
        <v>0.9751976</v>
      </c>
      <c r="Q5799">
        <v>0.16891519999999999</v>
      </c>
      <c r="R5799">
        <v>0.1430292</v>
      </c>
      <c r="S5799">
        <v>2.8157350000000001</v>
      </c>
      <c r="T5799">
        <v>0.14666570000000001</v>
      </c>
      <c r="U5799">
        <v>1.660156</v>
      </c>
      <c r="V5799">
        <v>-6.0696419999999897E-3</v>
      </c>
      <c r="W5799">
        <v>0.18338380000000001</v>
      </c>
      <c r="X5799">
        <v>0.98302259999999997</v>
      </c>
      <c r="Y5799">
        <v>-0.37879689999999999</v>
      </c>
      <c r="Z5799">
        <v>2.720718E-3</v>
      </c>
      <c r="AA5799">
        <v>0.92547579999999996</v>
      </c>
      <c r="AB5799">
        <v>39</v>
      </c>
      <c r="AC5799">
        <v>37.9422</v>
      </c>
      <c r="AD5799">
        <v>1.986815</v>
      </c>
      <c r="AE5799">
        <v>22.45927</v>
      </c>
      <c r="AF5799">
        <v>-16.738545211206201</v>
      </c>
      <c r="AG5799">
        <v>1.986815</v>
      </c>
      <c r="AH5799">
        <v>40.693728849213301</v>
      </c>
      <c r="AI5799">
        <v>87.414677490500495</v>
      </c>
      <c r="AJ5799">
        <v>112.358828173502</v>
      </c>
      <c r="AK5799">
        <v>44.046633211689603</v>
      </c>
      <c r="AL5799">
        <v>79.433080432057395</v>
      </c>
      <c r="AM5799">
        <v>90.353766485585794</v>
      </c>
      <c r="AN5799">
        <v>0.99999994538360204</v>
      </c>
    </row>
    <row r="5800" spans="1:40" x14ac:dyDescent="0.25">
      <c r="A5800" t="str">
        <f>"20190303171127172"</f>
        <v>20190303171127172</v>
      </c>
      <c r="B5800" t="str">
        <f>"1551604287165826"</f>
        <v>1551604287165826</v>
      </c>
      <c r="C5800" t="s">
        <v>40</v>
      </c>
      <c r="D5800">
        <v>4.9598339999999999</v>
      </c>
      <c r="E5800">
        <v>0.34513660000000002</v>
      </c>
      <c r="F5800" t="s">
        <v>49</v>
      </c>
      <c r="G5800">
        <v>-166.34599999999901</v>
      </c>
      <c r="H5800">
        <v>3.128088</v>
      </c>
      <c r="I5800">
        <v>-40.619770000000003</v>
      </c>
      <c r="J5800">
        <v>-203.5531</v>
      </c>
      <c r="K5800">
        <v>1.1315059999999999</v>
      </c>
      <c r="L5800">
        <v>-63.046750000000003</v>
      </c>
      <c r="M5800">
        <v>0.98865510000000001</v>
      </c>
      <c r="N5800">
        <v>-1.484391E-2</v>
      </c>
      <c r="O5800">
        <v>0.14946860000000001</v>
      </c>
      <c r="P5800">
        <v>0.97428870000000001</v>
      </c>
      <c r="Q5800">
        <v>0.1690595</v>
      </c>
      <c r="R5800">
        <v>0.14893219999999999</v>
      </c>
      <c r="S5800">
        <v>2.8034819999999998</v>
      </c>
      <c r="T5800">
        <v>0.14966360000000001</v>
      </c>
      <c r="U5800">
        <v>1.6833800000000001</v>
      </c>
      <c r="V5800">
        <v>-6.4120699999999997E-3</v>
      </c>
      <c r="W5800">
        <v>0.18356620000000001</v>
      </c>
      <c r="X5800">
        <v>0.98298649999999999</v>
      </c>
      <c r="Y5800">
        <v>-0.38084109999999999</v>
      </c>
      <c r="Z5800">
        <v>3.0100330000000001E-3</v>
      </c>
      <c r="AA5800">
        <v>0.9246356</v>
      </c>
      <c r="AB5800">
        <v>39</v>
      </c>
      <c r="AC5800">
        <v>37.207099999999997</v>
      </c>
      <c r="AD5800">
        <v>1.9965820000000001</v>
      </c>
      <c r="AE5800">
        <v>22.42698</v>
      </c>
      <c r="AF5800">
        <v>-16.578069102576201</v>
      </c>
      <c r="AG5800">
        <v>1.9965820000000001</v>
      </c>
      <c r="AH5800">
        <v>40.056932684432603</v>
      </c>
      <c r="AI5800">
        <v>87.363094748269702</v>
      </c>
      <c r="AJ5800">
        <v>112.482837464955</v>
      </c>
      <c r="AK5800">
        <v>43.3978867105033</v>
      </c>
      <c r="AL5800">
        <v>79.4224504552528</v>
      </c>
      <c r="AM5800">
        <v>90.3737379285635</v>
      </c>
      <c r="AN5800">
        <v>1.0000000618031799</v>
      </c>
    </row>
    <row r="5801" spans="1:40" x14ac:dyDescent="0.25">
      <c r="A5801" t="str">
        <f>"20190303171127183"</f>
        <v>20190303171127183</v>
      </c>
      <c r="B5801" t="str">
        <f>"1551604287176564"</f>
        <v>1551604287176564</v>
      </c>
      <c r="C5801" t="s">
        <v>40</v>
      </c>
      <c r="D5801">
        <v>4.9612939999999996</v>
      </c>
      <c r="E5801">
        <v>0.34508090000000002</v>
      </c>
      <c r="F5801" t="s">
        <v>49</v>
      </c>
      <c r="G5801">
        <v>-166.73</v>
      </c>
      <c r="H5801">
        <v>3.1115550000000001</v>
      </c>
      <c r="I5801">
        <v>-40.619779999999999</v>
      </c>
      <c r="J5801">
        <v>-203.3663</v>
      </c>
      <c r="K5801">
        <v>1.1317090000000001</v>
      </c>
      <c r="L5801">
        <v>-63.014650000000003</v>
      </c>
      <c r="M5801">
        <v>0.98779050000000002</v>
      </c>
      <c r="N5801">
        <v>-1.489033E-2</v>
      </c>
      <c r="O5801">
        <v>0.1550753</v>
      </c>
      <c r="P5801">
        <v>0.97335570000000005</v>
      </c>
      <c r="Q5801">
        <v>0.16915620000000001</v>
      </c>
      <c r="R5801">
        <v>0.15480679999999999</v>
      </c>
      <c r="S5801">
        <v>2.7930760000000001</v>
      </c>
      <c r="T5801">
        <v>0.1501874</v>
      </c>
      <c r="U5801">
        <v>1.701111</v>
      </c>
      <c r="V5801">
        <v>-6.8628150000000004E-3</v>
      </c>
      <c r="W5801">
        <v>0.18369559999999999</v>
      </c>
      <c r="X5801">
        <v>0.98295920000000003</v>
      </c>
      <c r="Y5801">
        <v>-0.38141629999999999</v>
      </c>
      <c r="Z5801">
        <v>3.3550210000000001E-3</v>
      </c>
      <c r="AA5801">
        <v>0.92439729999999998</v>
      </c>
      <c r="AB5801">
        <v>39</v>
      </c>
      <c r="AC5801">
        <v>36.636299999999999</v>
      </c>
      <c r="AD5801">
        <v>1.979846</v>
      </c>
      <c r="AE5801">
        <v>22.394870000000001</v>
      </c>
      <c r="AF5801">
        <v>-16.406995214919899</v>
      </c>
      <c r="AG5801">
        <v>1.979846</v>
      </c>
      <c r="AH5801">
        <v>39.582123961140702</v>
      </c>
      <c r="AI5801">
        <v>87.354445490989605</v>
      </c>
      <c r="AJ5801">
        <v>112.514259841513</v>
      </c>
      <c r="AK5801">
        <v>42.893517219286501</v>
      </c>
      <c r="AL5801">
        <v>79.414907253639896</v>
      </c>
      <c r="AM5801">
        <v>90.400020617540804</v>
      </c>
      <c r="AN5801">
        <v>0.99999998027686099</v>
      </c>
    </row>
    <row r="5802" spans="1:40" x14ac:dyDescent="0.25">
      <c r="A5802" t="str">
        <f>"20190303171127194"</f>
        <v>20190303171127194</v>
      </c>
      <c r="B5802" t="str">
        <f>"1551604287186322"</f>
        <v>1551604287186322</v>
      </c>
      <c r="C5802" t="s">
        <v>40</v>
      </c>
      <c r="D5802">
        <v>4.9541329999999997</v>
      </c>
      <c r="E5802">
        <v>0.34513690000000002</v>
      </c>
      <c r="F5802" t="s">
        <v>49</v>
      </c>
      <c r="G5802">
        <v>-167.10040000000001</v>
      </c>
      <c r="H5802">
        <v>3.0981900000000002</v>
      </c>
      <c r="I5802">
        <v>-40.619770000000003</v>
      </c>
      <c r="J5802">
        <v>-203.1816</v>
      </c>
      <c r="K5802">
        <v>1.1319060000000001</v>
      </c>
      <c r="L5802">
        <v>-62.982239999999997</v>
      </c>
      <c r="M5802">
        <v>0.98689340000000003</v>
      </c>
      <c r="N5802">
        <v>-1.4934879999999999E-2</v>
      </c>
      <c r="O5802">
        <v>0.16068160000000001</v>
      </c>
      <c r="P5802">
        <v>0.97245899999999996</v>
      </c>
      <c r="Q5802">
        <v>0.16924810000000001</v>
      </c>
      <c r="R5802">
        <v>0.160246</v>
      </c>
      <c r="S5802">
        <v>2.7826230000000001</v>
      </c>
      <c r="T5802">
        <v>0.150883399999999</v>
      </c>
      <c r="U5802">
        <v>1.718323</v>
      </c>
      <c r="V5802">
        <v>-6.8720119999999899E-3</v>
      </c>
      <c r="W5802">
        <v>0.1838301</v>
      </c>
      <c r="X5802">
        <v>0.98293399999999997</v>
      </c>
      <c r="Y5802">
        <v>-0.38186779999999998</v>
      </c>
      <c r="Z5802">
        <v>3.701958E-3</v>
      </c>
      <c r="AA5802">
        <v>0.92420950000000002</v>
      </c>
      <c r="AB5802">
        <v>39</v>
      </c>
      <c r="AC5802">
        <v>36.081200000000003</v>
      </c>
      <c r="AD5802">
        <v>1.9662839999999999</v>
      </c>
      <c r="AE5802">
        <v>22.362469999999998</v>
      </c>
      <c r="AF5802">
        <v>-16.238760123257801</v>
      </c>
      <c r="AG5802">
        <v>1.9662839999999999</v>
      </c>
      <c r="AH5802">
        <v>39.121963112452498</v>
      </c>
      <c r="AI5802">
        <v>87.342221819514506</v>
      </c>
      <c r="AJ5802">
        <v>112.542379736293</v>
      </c>
      <c r="AK5802">
        <v>42.403910207449698</v>
      </c>
      <c r="AL5802">
        <v>79.407067560810304</v>
      </c>
      <c r="AM5802">
        <v>90.400566944919206</v>
      </c>
      <c r="AN5802">
        <v>0.99999998928546896</v>
      </c>
    </row>
    <row r="5803" spans="1:40" x14ac:dyDescent="0.25">
      <c r="A5803" t="str">
        <f>"20190303171127205"</f>
        <v>20190303171127205</v>
      </c>
      <c r="B5803" t="str">
        <f>"1551604287196083"</f>
        <v>1551604287196083</v>
      </c>
      <c r="C5803" t="s">
        <v>40</v>
      </c>
      <c r="D5803">
        <v>4.9188619999999998</v>
      </c>
      <c r="E5803">
        <v>0.34526000000000001</v>
      </c>
      <c r="F5803" t="s">
        <v>49</v>
      </c>
      <c r="G5803">
        <v>-167.41919999999999</v>
      </c>
      <c r="H5803">
        <v>3.090948</v>
      </c>
      <c r="I5803">
        <v>-40.619770000000003</v>
      </c>
      <c r="J5803">
        <v>-202.99100000000001</v>
      </c>
      <c r="K5803">
        <v>1.132107</v>
      </c>
      <c r="L5803">
        <v>-62.94699</v>
      </c>
      <c r="M5803">
        <v>0.98590480000000003</v>
      </c>
      <c r="N5803">
        <v>-1.4981609999999999E-2</v>
      </c>
      <c r="O5803">
        <v>0.1666358</v>
      </c>
      <c r="P5803">
        <v>0.97145519999999996</v>
      </c>
      <c r="Q5803">
        <v>0.16935839999999999</v>
      </c>
      <c r="R5803">
        <v>0.16611039999999999</v>
      </c>
      <c r="S5803">
        <v>2.7728120000000001</v>
      </c>
      <c r="T5803">
        <v>0.1518912</v>
      </c>
      <c r="U5803">
        <v>1.7338560000000001</v>
      </c>
      <c r="V5803">
        <v>-6.968831E-3</v>
      </c>
      <c r="W5803">
        <v>0.18398239999999999</v>
      </c>
      <c r="X5803">
        <v>0.98290489999999997</v>
      </c>
      <c r="Y5803">
        <v>-0.38149040000000001</v>
      </c>
      <c r="Z5803">
        <v>4.0859929999999996E-3</v>
      </c>
      <c r="AA5803">
        <v>0.92436379999999996</v>
      </c>
      <c r="AB5803">
        <v>39</v>
      </c>
      <c r="AC5803">
        <v>35.571800000000003</v>
      </c>
      <c r="AD5803">
        <v>1.9588410000000001</v>
      </c>
      <c r="AE5803">
        <v>22.327220000000001</v>
      </c>
      <c r="AF5803">
        <v>-16.051862856384499</v>
      </c>
      <c r="AG5803">
        <v>1.9588410000000001</v>
      </c>
      <c r="AH5803">
        <v>38.711061204867697</v>
      </c>
      <c r="AI5803">
        <v>87.323804832224099</v>
      </c>
      <c r="AJ5803">
        <v>112.52174650908</v>
      </c>
      <c r="AK5803">
        <v>41.952897621385802</v>
      </c>
      <c r="AL5803">
        <v>79.398190810856406</v>
      </c>
      <c r="AM5803">
        <v>90.406222325423201</v>
      </c>
      <c r="AN5803">
        <v>1.0000000652796299</v>
      </c>
    </row>
    <row r="5804" spans="1:40" x14ac:dyDescent="0.25">
      <c r="A5804" t="str">
        <f>"20190303171127216"</f>
        <v>20190303171127216</v>
      </c>
      <c r="B5804" t="str">
        <f>"1551604287205842"</f>
        <v>1551604287205842</v>
      </c>
      <c r="C5804" t="s">
        <v>40</v>
      </c>
      <c r="D5804">
        <v>4.9591690000000002</v>
      </c>
      <c r="E5804">
        <v>0.34543269999999998</v>
      </c>
      <c r="F5804" t="s">
        <v>49</v>
      </c>
      <c r="G5804">
        <v>-167.75190000000001</v>
      </c>
      <c r="H5804">
        <v>3.0864449999999999</v>
      </c>
      <c r="I5804">
        <v>-40.619770000000003</v>
      </c>
      <c r="J5804">
        <v>-202.79859999999999</v>
      </c>
      <c r="K5804">
        <v>1.132309</v>
      </c>
      <c r="L5804">
        <v>-62.91095</v>
      </c>
      <c r="M5804">
        <v>0.98486260000000003</v>
      </c>
      <c r="N5804">
        <v>-1.502673E-2</v>
      </c>
      <c r="O5804">
        <v>0.1726849</v>
      </c>
      <c r="P5804">
        <v>0.97037830000000003</v>
      </c>
      <c r="Q5804">
        <v>0.16969329999999999</v>
      </c>
      <c r="R5804">
        <v>0.17196059999999999</v>
      </c>
      <c r="S5804">
        <v>2.7621769999999999</v>
      </c>
      <c r="T5804">
        <v>0.15318679999999901</v>
      </c>
      <c r="U5804">
        <v>1.75009199999999</v>
      </c>
      <c r="V5804">
        <v>-6.9702039999999998E-3</v>
      </c>
      <c r="W5804">
        <v>0.18435969999999999</v>
      </c>
      <c r="X5804">
        <v>0.98283410000000004</v>
      </c>
      <c r="Y5804">
        <v>-0.38131039999999999</v>
      </c>
      <c r="Z5804">
        <v>4.474558E-3</v>
      </c>
      <c r="AA5804">
        <v>0.92443620000000004</v>
      </c>
      <c r="AB5804">
        <v>39</v>
      </c>
      <c r="AC5804">
        <v>35.046699999999902</v>
      </c>
      <c r="AD5804">
        <v>1.9541360000000001</v>
      </c>
      <c r="AE5804">
        <v>22.291180000000001</v>
      </c>
      <c r="AF5804">
        <v>-15.868382941231699</v>
      </c>
      <c r="AG5804">
        <v>1.9541360000000001</v>
      </c>
      <c r="AH5804">
        <v>38.285118486421901</v>
      </c>
      <c r="AI5804">
        <v>87.300393690871601</v>
      </c>
      <c r="AJ5804">
        <v>112.51298680007</v>
      </c>
      <c r="AK5804">
        <v>41.4894507338363</v>
      </c>
      <c r="AL5804">
        <v>79.376195925460095</v>
      </c>
      <c r="AM5804">
        <v>90.406331624364199</v>
      </c>
      <c r="AN5804">
        <v>0.99999997542535002</v>
      </c>
    </row>
    <row r="5805" spans="1:40" x14ac:dyDescent="0.25">
      <c r="A5805" t="str">
        <f>"20190303171127227"</f>
        <v>20190303171127227</v>
      </c>
      <c r="B5805" t="str">
        <f>"1551604287216578"</f>
        <v>1551604287216578</v>
      </c>
      <c r="C5805" t="s">
        <v>40</v>
      </c>
      <c r="D5805">
        <v>4.9822550000000003</v>
      </c>
      <c r="E5805">
        <v>0.3454488</v>
      </c>
      <c r="F5805" t="s">
        <v>49</v>
      </c>
      <c r="G5805">
        <v>-168.0615</v>
      </c>
      <c r="H5805">
        <v>3.086697</v>
      </c>
      <c r="I5805">
        <v>-40.619770000000003</v>
      </c>
      <c r="J5805">
        <v>-202.61420000000001</v>
      </c>
      <c r="K5805">
        <v>1.1325000000000001</v>
      </c>
      <c r="L5805">
        <v>-62.874299999999998</v>
      </c>
      <c r="M5805">
        <v>0.98379249999999996</v>
      </c>
      <c r="N5805">
        <v>-1.507241E-2</v>
      </c>
      <c r="O5805">
        <v>0.178676</v>
      </c>
      <c r="P5805">
        <v>0.96919169999999999</v>
      </c>
      <c r="Q5805">
        <v>0.17030979999999901</v>
      </c>
      <c r="R5805">
        <v>0.17793970000000001</v>
      </c>
      <c r="S5805">
        <v>2.751633</v>
      </c>
      <c r="T5805">
        <v>0.1548109</v>
      </c>
      <c r="U5805">
        <v>1.765747</v>
      </c>
      <c r="V5805">
        <v>-7.1745769999999997E-3</v>
      </c>
      <c r="W5805">
        <v>0.18501300000000001</v>
      </c>
      <c r="X5805">
        <v>0.98270990000000003</v>
      </c>
      <c r="Y5805">
        <v>-0.38102770000000002</v>
      </c>
      <c r="Z5805">
        <v>4.8656799999999998E-3</v>
      </c>
      <c r="AA5805">
        <v>0.92455080000000001</v>
      </c>
      <c r="AB5805">
        <v>39</v>
      </c>
      <c r="AC5805">
        <v>34.552700000000002</v>
      </c>
      <c r="AD5805">
        <v>1.954197</v>
      </c>
      <c r="AE5805">
        <v>22.2545299999999</v>
      </c>
      <c r="AF5805">
        <v>-15.686423303642799</v>
      </c>
      <c r="AG5805">
        <v>1.954197</v>
      </c>
      <c r="AH5805">
        <v>37.887694025920403</v>
      </c>
      <c r="AI5805">
        <v>87.271595438374803</v>
      </c>
      <c r="AJ5805">
        <v>112.490740025112</v>
      </c>
      <c r="AK5805">
        <v>41.053137767747401</v>
      </c>
      <c r="AL5805">
        <v>79.338109847369907</v>
      </c>
      <c r="AM5805">
        <v>90.4182980943621</v>
      </c>
      <c r="AN5805">
        <v>1.00000001614106</v>
      </c>
    </row>
    <row r="5806" spans="1:40" x14ac:dyDescent="0.25">
      <c r="A5806" t="str">
        <f>"20190303171127240"</f>
        <v>20190303171127240</v>
      </c>
      <c r="B5806" t="str">
        <f>"1551604287226338"</f>
        <v>1551604287226338</v>
      </c>
      <c r="C5806" t="s">
        <v>40</v>
      </c>
      <c r="D5806">
        <v>5.0108990000000002</v>
      </c>
      <c r="E5806">
        <v>0.3455454</v>
      </c>
      <c r="F5806" t="s">
        <v>49</v>
      </c>
      <c r="G5806">
        <v>-168.40960000000001</v>
      </c>
      <c r="H5806">
        <v>3.1176550000000001</v>
      </c>
      <c r="I5806">
        <v>-40.619770000000003</v>
      </c>
      <c r="J5806">
        <v>-202.4177</v>
      </c>
      <c r="K5806">
        <v>1.1327050000000001</v>
      </c>
      <c r="L5806">
        <v>-62.83466</v>
      </c>
      <c r="M5806">
        <v>0.9826028</v>
      </c>
      <c r="N5806">
        <v>-1.511945E-2</v>
      </c>
      <c r="O5806">
        <v>0.1851032</v>
      </c>
      <c r="P5806">
        <v>0.96796870000000002</v>
      </c>
      <c r="Q5806">
        <v>0.1705942</v>
      </c>
      <c r="R5806">
        <v>0.1842123</v>
      </c>
      <c r="S5806">
        <v>2.7401279999999999</v>
      </c>
      <c r="T5806">
        <v>0.159028799999999</v>
      </c>
      <c r="U5806">
        <v>1.7828059999999999</v>
      </c>
      <c r="V5806">
        <v>-7.227074E-3</v>
      </c>
      <c r="W5806">
        <v>0.18534100000000001</v>
      </c>
      <c r="X5806">
        <v>0.98264770000000001</v>
      </c>
      <c r="Y5806">
        <v>-0.3808087</v>
      </c>
      <c r="Z5806">
        <v>5.2838640000000001E-3</v>
      </c>
      <c r="AA5806">
        <v>0.92463870000000004</v>
      </c>
      <c r="AB5806">
        <v>39</v>
      </c>
      <c r="AC5806">
        <v>34.008099999999899</v>
      </c>
      <c r="AD5806">
        <v>1.98495</v>
      </c>
      <c r="AE5806">
        <v>22.21489</v>
      </c>
      <c r="AF5806">
        <v>-15.498173470097599</v>
      </c>
      <c r="AG5806">
        <v>1.98495</v>
      </c>
      <c r="AH5806">
        <v>37.443382646740403</v>
      </c>
      <c r="AI5806">
        <v>87.195779383245394</v>
      </c>
      <c r="AJ5806">
        <v>112.485130424491</v>
      </c>
      <c r="AK5806">
        <v>40.572654725097301</v>
      </c>
      <c r="AL5806">
        <v>79.3189860193295</v>
      </c>
      <c r="AM5806">
        <v>90.421385378077403</v>
      </c>
      <c r="AN5806">
        <v>1.00000000959744</v>
      </c>
    </row>
    <row r="5807" spans="1:40" x14ac:dyDescent="0.25">
      <c r="A5807" t="str">
        <f>"20190303171127250"</f>
        <v>20190303171127250</v>
      </c>
      <c r="B5807" t="str">
        <f>"1551604287245858"</f>
        <v>1551604287245858</v>
      </c>
      <c r="C5807" t="s">
        <v>40</v>
      </c>
      <c r="D5807">
        <v>5.014786</v>
      </c>
      <c r="E5807">
        <v>0.3458465</v>
      </c>
      <c r="F5807" t="s">
        <v>46</v>
      </c>
      <c r="G5807">
        <v>-177.51730000000001</v>
      </c>
      <c r="H5807">
        <v>2.6098819999999998</v>
      </c>
      <c r="I5807">
        <v>-46.40504</v>
      </c>
      <c r="J5807">
        <v>-202.22040000000001</v>
      </c>
      <c r="K5807">
        <v>1.1329039999999999</v>
      </c>
      <c r="L5807">
        <v>-62.793059999999997</v>
      </c>
      <c r="M5807">
        <v>0.98133559999999997</v>
      </c>
      <c r="N5807">
        <v>-1.516824E-2</v>
      </c>
      <c r="O5807">
        <v>0.19170400000000001</v>
      </c>
      <c r="P5807">
        <v>0.96666730000000001</v>
      </c>
      <c r="Q5807">
        <v>0.17064849999999901</v>
      </c>
      <c r="R5807">
        <v>0.19087599999999999</v>
      </c>
      <c r="S5807">
        <v>2.7281650000000002</v>
      </c>
      <c r="T5807">
        <v>0.16184409999999999</v>
      </c>
      <c r="U5807">
        <v>1.800079</v>
      </c>
      <c r="V5807">
        <v>-7.4893340000000003E-3</v>
      </c>
      <c r="W5807">
        <v>0.18543470000000001</v>
      </c>
      <c r="X5807">
        <v>0.98262799999999995</v>
      </c>
      <c r="Y5807">
        <v>-0.38054450000000001</v>
      </c>
      <c r="Z5807">
        <v>5.7345390000000003E-3</v>
      </c>
      <c r="AA5807">
        <v>0.92474480000000003</v>
      </c>
      <c r="AB5807">
        <v>39</v>
      </c>
      <c r="AC5807">
        <v>24.703099999999999</v>
      </c>
      <c r="AD5807">
        <v>1.4769779999999899</v>
      </c>
      <c r="AE5807">
        <v>16.388019999999901</v>
      </c>
      <c r="AF5807">
        <v>-11.3196707898997</v>
      </c>
      <c r="AG5807">
        <v>1.4769779999999899</v>
      </c>
      <c r="AH5807">
        <v>27.319016560010802</v>
      </c>
      <c r="AI5807">
        <v>87.140664986056294</v>
      </c>
      <c r="AJ5807">
        <v>112.506737098255</v>
      </c>
      <c r="AK5807">
        <v>29.608192727864001</v>
      </c>
      <c r="AL5807">
        <v>79.313522080351106</v>
      </c>
      <c r="AM5807">
        <v>90.436685012820604</v>
      </c>
      <c r="AN5807">
        <v>0.99999995223592497</v>
      </c>
    </row>
    <row r="5808" spans="1:40" x14ac:dyDescent="0.25">
      <c r="A5808" t="str">
        <f>"20190303171127262"</f>
        <v>20190303171127262</v>
      </c>
      <c r="B5808" t="str">
        <f>"1551604287256594"</f>
        <v>1551604287256594</v>
      </c>
      <c r="C5808" t="s">
        <v>40</v>
      </c>
      <c r="D5808">
        <v>5.0390990000000002</v>
      </c>
      <c r="E5808">
        <v>0.3460029</v>
      </c>
      <c r="F5808" t="s">
        <v>46</v>
      </c>
      <c r="G5808">
        <v>-177.5958</v>
      </c>
      <c r="H5808">
        <v>2.6193110000000002</v>
      </c>
      <c r="I5808">
        <v>-46.320549999999997</v>
      </c>
      <c r="J5808">
        <v>-202.0317</v>
      </c>
      <c r="K5808">
        <v>1.133087</v>
      </c>
      <c r="L5808">
        <v>-62.752079999999999</v>
      </c>
      <c r="M5808">
        <v>0.98006179999999998</v>
      </c>
      <c r="N5808">
        <v>-1.521434E-2</v>
      </c>
      <c r="O5808">
        <v>0.19810990000000001</v>
      </c>
      <c r="P5808">
        <v>0.96549479999999999</v>
      </c>
      <c r="Q5808">
        <v>0.1702467</v>
      </c>
      <c r="R5808">
        <v>0.1970684</v>
      </c>
      <c r="S5808">
        <v>2.7157900000000001</v>
      </c>
      <c r="T5808">
        <v>0.1639322</v>
      </c>
      <c r="U5808">
        <v>1.816711</v>
      </c>
      <c r="V5808">
        <v>-7.4317389999999997E-3</v>
      </c>
      <c r="W5808">
        <v>0.18507950000000001</v>
      </c>
      <c r="X5808">
        <v>0.98269550000000006</v>
      </c>
      <c r="Y5808">
        <v>-0.3803724</v>
      </c>
      <c r="Z5808">
        <v>6.1814219999999998E-3</v>
      </c>
      <c r="AA5808">
        <v>0.92481270000000004</v>
      </c>
      <c r="AB5808">
        <v>39</v>
      </c>
      <c r="AC5808">
        <v>24.4359</v>
      </c>
      <c r="AD5808">
        <v>1.486224</v>
      </c>
      <c r="AE5808">
        <v>16.431529999999999</v>
      </c>
      <c r="AF5808">
        <v>-11.235602703999101</v>
      </c>
      <c r="AG5808">
        <v>1.486224</v>
      </c>
      <c r="AH5808">
        <v>27.1379571560879</v>
      </c>
      <c r="AI5808">
        <v>87.103290949527405</v>
      </c>
      <c r="AJ5808">
        <v>112.49043528414499</v>
      </c>
      <c r="AK5808">
        <v>29.409460187258698</v>
      </c>
      <c r="AL5808">
        <v>79.334233072780705</v>
      </c>
      <c r="AM5808">
        <v>90.433297152259001</v>
      </c>
      <c r="AN5808">
        <v>1.00000004889253</v>
      </c>
    </row>
    <row r="5809" spans="1:40" x14ac:dyDescent="0.25">
      <c r="A5809" t="str">
        <f>"20190303171127273"</f>
        <v>20190303171127273</v>
      </c>
      <c r="B5809" t="str">
        <f>"1551604287266354"</f>
        <v>1551604287266354</v>
      </c>
      <c r="C5809" t="s">
        <v>40</v>
      </c>
      <c r="D5809">
        <v>5.0480799999999997</v>
      </c>
      <c r="E5809">
        <v>0.34629379999999998</v>
      </c>
      <c r="F5809" t="s">
        <v>49</v>
      </c>
      <c r="G5809">
        <v>-168.45060000000001</v>
      </c>
      <c r="H5809">
        <v>3.1641900000000001</v>
      </c>
      <c r="I5809">
        <v>-39.989100000000001</v>
      </c>
      <c r="J5809">
        <v>-201.83959999999999</v>
      </c>
      <c r="K5809">
        <v>1.1332719999999901</v>
      </c>
      <c r="L5809">
        <v>-62.709200000000003</v>
      </c>
      <c r="M5809">
        <v>0.97870230000000003</v>
      </c>
      <c r="N5809">
        <v>-1.5260610000000001E-2</v>
      </c>
      <c r="O5809">
        <v>0.20471690000000001</v>
      </c>
      <c r="P5809">
        <v>0.9642712</v>
      </c>
      <c r="Q5809">
        <v>0.16936660000000001</v>
      </c>
      <c r="R5809">
        <v>0.20370579999999999</v>
      </c>
      <c r="S5809">
        <v>2.7042389999999998</v>
      </c>
      <c r="T5809">
        <v>0.16356019999999999</v>
      </c>
      <c r="U5809">
        <v>1.8330690000000001</v>
      </c>
      <c r="V5809">
        <v>-7.5932119999999898E-3</v>
      </c>
      <c r="W5809">
        <v>0.18424109999999999</v>
      </c>
      <c r="X5809">
        <v>0.98285169999999999</v>
      </c>
      <c r="Y5809">
        <v>-0.37981389999999998</v>
      </c>
      <c r="Z5809">
        <v>6.6503819999999998E-3</v>
      </c>
      <c r="AA5809">
        <v>0.92503899999999994</v>
      </c>
      <c r="AB5809">
        <v>39</v>
      </c>
      <c r="AC5809">
        <v>33.388999999999903</v>
      </c>
      <c r="AD5809">
        <v>2.0309179999999998</v>
      </c>
      <c r="AE5809">
        <v>22.720099999999999</v>
      </c>
      <c r="AF5809">
        <v>-15.363861602294399</v>
      </c>
      <c r="AG5809">
        <v>2.0309179999999998</v>
      </c>
      <c r="AH5809">
        <v>37.2392528438073</v>
      </c>
      <c r="AI5809">
        <v>87.113885083896605</v>
      </c>
      <c r="AJ5809">
        <v>112.41965779568901</v>
      </c>
      <c r="AK5809">
        <v>40.335280135660298</v>
      </c>
      <c r="AL5809">
        <v>79.3831093855907</v>
      </c>
      <c r="AM5809">
        <v>90.442640883830705</v>
      </c>
      <c r="AN5809">
        <v>0.99999995199528702</v>
      </c>
    </row>
    <row r="5810" spans="1:40" x14ac:dyDescent="0.25">
      <c r="A5810" t="str">
        <f>"20190303171127285"</f>
        <v>20190303171127285</v>
      </c>
      <c r="B5810" t="str">
        <f>"1551604287276114"</f>
        <v>1551604287276114</v>
      </c>
      <c r="C5810" t="s">
        <v>40</v>
      </c>
      <c r="D5810">
        <v>5.0592350000000001</v>
      </c>
      <c r="E5810">
        <v>0.34658670000000003</v>
      </c>
      <c r="F5810" t="s">
        <v>49</v>
      </c>
      <c r="G5810">
        <v>-168.45060000000001</v>
      </c>
      <c r="H5810">
        <v>3.132098</v>
      </c>
      <c r="I5810">
        <v>-39.76914</v>
      </c>
      <c r="J5810">
        <v>-201.64840000000001</v>
      </c>
      <c r="K5810">
        <v>1.1334569999999999</v>
      </c>
      <c r="L5810">
        <v>-62.664700000000003</v>
      </c>
      <c r="M5810">
        <v>0.9772729</v>
      </c>
      <c r="N5810">
        <v>-1.5306999999999999E-2</v>
      </c>
      <c r="O5810">
        <v>0.21143210000000001</v>
      </c>
      <c r="P5810">
        <v>0.96297149999999998</v>
      </c>
      <c r="Q5810">
        <v>0.1685924</v>
      </c>
      <c r="R5810">
        <v>0.21038660000000001</v>
      </c>
      <c r="S5810">
        <v>2.6920929999999998</v>
      </c>
      <c r="T5810">
        <v>0.16115950000000001</v>
      </c>
      <c r="U5810">
        <v>1.8496090000000001</v>
      </c>
      <c r="V5810">
        <v>-7.69317099999999E-3</v>
      </c>
      <c r="W5810">
        <v>0.1835099</v>
      </c>
      <c r="X5810">
        <v>0.98298779999999997</v>
      </c>
      <c r="Y5810">
        <v>-0.37928529999999999</v>
      </c>
      <c r="Z5810">
        <v>7.1137419999999897E-3</v>
      </c>
      <c r="AA5810">
        <v>0.92525239999999997</v>
      </c>
      <c r="AB5810">
        <v>39</v>
      </c>
      <c r="AC5810">
        <v>33.197800000000001</v>
      </c>
      <c r="AD5810">
        <v>1.9986409999999999</v>
      </c>
      <c r="AE5810">
        <v>22.89556</v>
      </c>
      <c r="AF5810">
        <v>-15.3202977013371</v>
      </c>
      <c r="AG5810">
        <v>1.9986409999999999</v>
      </c>
      <c r="AH5810">
        <v>37.197167604521198</v>
      </c>
      <c r="AI5810">
        <v>87.155764908549997</v>
      </c>
      <c r="AJ5810">
        <v>112.38516185202501</v>
      </c>
      <c r="AK5810">
        <v>40.278224455694698</v>
      </c>
      <c r="AL5810">
        <v>79.425731735553001</v>
      </c>
      <c r="AM5810">
        <v>90.448405595820304</v>
      </c>
      <c r="AN5810">
        <v>1.00000004161344</v>
      </c>
    </row>
    <row r="5811" spans="1:40" x14ac:dyDescent="0.25">
      <c r="A5811" t="str">
        <f>"20190303171127295"</f>
        <v>20190303171127295</v>
      </c>
      <c r="B5811" t="str">
        <f>"1551604287285875"</f>
        <v>1551604287285875</v>
      </c>
      <c r="C5811" t="s">
        <v>40</v>
      </c>
      <c r="D5811">
        <v>5.0618369999999997</v>
      </c>
      <c r="E5811">
        <v>0.34692210000000001</v>
      </c>
      <c r="F5811" t="s">
        <v>49</v>
      </c>
      <c r="G5811">
        <v>-168.45060000000001</v>
      </c>
      <c r="H5811">
        <v>3.1026889999999998</v>
      </c>
      <c r="I5811">
        <v>-39.548229999999997</v>
      </c>
      <c r="J5811">
        <v>-201.4665</v>
      </c>
      <c r="K5811">
        <v>1.133632</v>
      </c>
      <c r="L5811">
        <v>-62.621769999999998</v>
      </c>
      <c r="M5811">
        <v>0.97585960000000005</v>
      </c>
      <c r="N5811">
        <v>-1.5349349999999999E-2</v>
      </c>
      <c r="O5811">
        <v>0.217859</v>
      </c>
      <c r="P5811">
        <v>0.96158750000000004</v>
      </c>
      <c r="Q5811">
        <v>0.1681985</v>
      </c>
      <c r="R5811">
        <v>0.21693100000000001</v>
      </c>
      <c r="S5811">
        <v>2.6798709999999999</v>
      </c>
      <c r="T5811">
        <v>0.15896299999999999</v>
      </c>
      <c r="U5811">
        <v>1.866058</v>
      </c>
      <c r="V5811">
        <v>-7.9641699999999996E-3</v>
      </c>
      <c r="W5811">
        <v>0.18314949999999999</v>
      </c>
      <c r="X5811">
        <v>0.98305279999999995</v>
      </c>
      <c r="Y5811">
        <v>-0.37901200000000002</v>
      </c>
      <c r="Z5811">
        <v>7.5438509999999999E-3</v>
      </c>
      <c r="AA5811">
        <v>0.92536099999999999</v>
      </c>
      <c r="AB5811">
        <v>39</v>
      </c>
      <c r="AC5811">
        <v>33.015899999999903</v>
      </c>
      <c r="AD5811">
        <v>1.9690570000000001</v>
      </c>
      <c r="AE5811">
        <v>23.073539999999898</v>
      </c>
      <c r="AF5811">
        <v>-15.2889926871031</v>
      </c>
      <c r="AG5811">
        <v>1.9690570000000001</v>
      </c>
      <c r="AH5811">
        <v>37.161242451923897</v>
      </c>
      <c r="AI5811">
        <v>87.194655221922304</v>
      </c>
      <c r="AJ5811">
        <v>112.363396745063</v>
      </c>
      <c r="AK5811">
        <v>40.231684322511398</v>
      </c>
      <c r="AL5811">
        <v>79.446736566292898</v>
      </c>
      <c r="AM5811">
        <v>90.464169722653494</v>
      </c>
      <c r="AN5811">
        <v>0.99999998747093899</v>
      </c>
    </row>
    <row r="5812" spans="1:40" x14ac:dyDescent="0.25">
      <c r="A5812" t="str">
        <f>"20190303171127306"</f>
        <v>20190303171127306</v>
      </c>
      <c r="B5812" t="str">
        <f>"1551604287296611"</f>
        <v>1551604287296611</v>
      </c>
      <c r="C5812" t="s">
        <v>40</v>
      </c>
      <c r="D5812">
        <v>5.0295180000000004</v>
      </c>
      <c r="E5812">
        <v>0.34739419999999999</v>
      </c>
      <c r="F5812" t="s">
        <v>49</v>
      </c>
      <c r="G5812">
        <v>-168.45060000000001</v>
      </c>
      <c r="H5812">
        <v>3.0781559999999999</v>
      </c>
      <c r="I5812">
        <v>-39.334609999999998</v>
      </c>
      <c r="J5812">
        <v>-201.29040000000001</v>
      </c>
      <c r="K5812">
        <v>1.133794</v>
      </c>
      <c r="L5812">
        <v>-62.578000000000003</v>
      </c>
      <c r="M5812">
        <v>0.97441310000000003</v>
      </c>
      <c r="N5812">
        <v>-1.5392060000000001E-2</v>
      </c>
      <c r="O5812">
        <v>0.22423699999999999</v>
      </c>
      <c r="P5812">
        <v>0.96009389999999994</v>
      </c>
      <c r="Q5812">
        <v>0.16838599999999901</v>
      </c>
      <c r="R5812">
        <v>0.2233068</v>
      </c>
      <c r="S5812">
        <v>2.6678470000000001</v>
      </c>
      <c r="T5812">
        <v>0.15712519999999999</v>
      </c>
      <c r="U5812">
        <v>1.8817140000000001</v>
      </c>
      <c r="V5812">
        <v>-8.1480479999999997E-3</v>
      </c>
      <c r="W5812">
        <v>0.18337210000000001</v>
      </c>
      <c r="X5812">
        <v>0.98300980000000004</v>
      </c>
      <c r="Y5812">
        <v>-0.37856129999999999</v>
      </c>
      <c r="Z5812">
        <v>7.9694740000000007E-3</v>
      </c>
      <c r="AA5812">
        <v>0.92554190000000003</v>
      </c>
      <c r="AB5812">
        <v>39</v>
      </c>
      <c r="AC5812">
        <v>32.839799999999997</v>
      </c>
      <c r="AD5812">
        <v>1.9443619999999999</v>
      </c>
      <c r="AE5812">
        <v>23.243390000000002</v>
      </c>
      <c r="AF5812">
        <v>-15.2509570097645</v>
      </c>
      <c r="AG5812">
        <v>1.9443619999999999</v>
      </c>
      <c r="AH5812">
        <v>37.129250899251701</v>
      </c>
      <c r="AI5812">
        <v>87.226747996178901</v>
      </c>
      <c r="AJ5812">
        <v>112.330562029264</v>
      </c>
      <c r="AK5812">
        <v>40.186484116432901</v>
      </c>
      <c r="AL5812">
        <v>79.433762858103194</v>
      </c>
      <c r="AM5812">
        <v>90.474906832484507</v>
      </c>
      <c r="AN5812">
        <v>0.99999999232032999</v>
      </c>
    </row>
    <row r="5813" spans="1:40" x14ac:dyDescent="0.25">
      <c r="A5813" t="str">
        <f>"20190303171127318"</f>
        <v>20190303171127318</v>
      </c>
      <c r="B5813" t="str">
        <f>"1551604287306371"</f>
        <v>1551604287306371</v>
      </c>
      <c r="C5813" t="s">
        <v>40</v>
      </c>
      <c r="D5813">
        <v>5.0784510000000003</v>
      </c>
      <c r="E5813">
        <v>0.34777079999999999</v>
      </c>
      <c r="F5813" t="s">
        <v>49</v>
      </c>
      <c r="G5813">
        <v>-168.45060000000001</v>
      </c>
      <c r="H5813">
        <v>3.059294</v>
      </c>
      <c r="I5813">
        <v>-39.13944</v>
      </c>
      <c r="J5813">
        <v>-201.1035</v>
      </c>
      <c r="K5813">
        <v>1.1339699999999999</v>
      </c>
      <c r="L5813">
        <v>-62.531219999999998</v>
      </c>
      <c r="M5813">
        <v>0.97282550000000001</v>
      </c>
      <c r="N5813">
        <v>-1.5435290000000001E-2</v>
      </c>
      <c r="O5813">
        <v>0.2310247</v>
      </c>
      <c r="P5813">
        <v>0.95845959999999997</v>
      </c>
      <c r="Q5813">
        <v>0.16887060000000001</v>
      </c>
      <c r="R5813">
        <v>0.2298655</v>
      </c>
      <c r="S5813">
        <v>2.6564030000000001</v>
      </c>
      <c r="T5813">
        <v>0.15575120000000001</v>
      </c>
      <c r="U5813">
        <v>1.8959349999999999</v>
      </c>
      <c r="V5813">
        <v>-8.1322349999999998E-3</v>
      </c>
      <c r="W5813">
        <v>0.18389759999999999</v>
      </c>
      <c r="X5813">
        <v>0.9829118</v>
      </c>
      <c r="Y5813">
        <v>-0.37728840000000002</v>
      </c>
      <c r="Z5813">
        <v>8.4351600000000006E-3</v>
      </c>
      <c r="AA5813">
        <v>0.92605740000000003</v>
      </c>
      <c r="AB5813">
        <v>39</v>
      </c>
      <c r="AC5813">
        <v>32.652899999999903</v>
      </c>
      <c r="AD5813">
        <v>1.925324</v>
      </c>
      <c r="AE5813">
        <v>23.391780000000001</v>
      </c>
      <c r="AF5813">
        <v>-15.1794294574595</v>
      </c>
      <c r="AG5813">
        <v>1.925324</v>
      </c>
      <c r="AH5813">
        <v>37.088864887998703</v>
      </c>
      <c r="AI5813">
        <v>87.249446980489793</v>
      </c>
      <c r="AJ5813">
        <v>112.25790544963</v>
      </c>
      <c r="AK5813">
        <v>40.1211396876907</v>
      </c>
      <c r="AL5813">
        <v>79.403133493018899</v>
      </c>
      <c r="AM5813">
        <v>90.474032473983598</v>
      </c>
      <c r="AN5813">
        <v>1.0000000335555399</v>
      </c>
    </row>
    <row r="5814" spans="1:40" x14ac:dyDescent="0.25">
      <c r="A5814" t="str">
        <f>"20190303171127328"</f>
        <v>20190303171127328</v>
      </c>
      <c r="B5814" t="str">
        <f>"1551604287316131"</f>
        <v>1551604287316131</v>
      </c>
      <c r="C5814" t="s">
        <v>40</v>
      </c>
      <c r="D5814">
        <v>5.1130699999999996</v>
      </c>
      <c r="E5814">
        <v>0.34777079999999999</v>
      </c>
      <c r="F5814" t="s">
        <v>49</v>
      </c>
      <c r="G5814">
        <v>-168.45060000000001</v>
      </c>
      <c r="H5814">
        <v>3.063148</v>
      </c>
      <c r="I5814">
        <v>-38.927840000000003</v>
      </c>
      <c r="J5814">
        <v>-200.91990000000001</v>
      </c>
      <c r="K5814">
        <v>1.1341399999999999</v>
      </c>
      <c r="L5814">
        <v>-62.482939999999999</v>
      </c>
      <c r="M5814">
        <v>0.97117810000000004</v>
      </c>
      <c r="N5814">
        <v>-1.547988E-2</v>
      </c>
      <c r="O5814">
        <v>0.23785200000000001</v>
      </c>
      <c r="P5814">
        <v>0.95669599999999999</v>
      </c>
      <c r="Q5814">
        <v>0.16975860000000001</v>
      </c>
      <c r="R5814">
        <v>0.2364639</v>
      </c>
      <c r="S5814">
        <v>2.6441189999999999</v>
      </c>
      <c r="T5814">
        <v>0.15621640000000001</v>
      </c>
      <c r="U5814">
        <v>1.911316</v>
      </c>
      <c r="V5814">
        <v>-8.14579E-3</v>
      </c>
      <c r="W5814">
        <v>0.1848255</v>
      </c>
      <c r="X5814">
        <v>0.98273759999999999</v>
      </c>
      <c r="Y5814">
        <v>-0.37637510000000002</v>
      </c>
      <c r="Z5814">
        <v>8.9191029999999994E-3</v>
      </c>
      <c r="AA5814">
        <v>0.92642440000000004</v>
      </c>
      <c r="AB5814">
        <v>39</v>
      </c>
      <c r="AC5814">
        <v>32.469299999999997</v>
      </c>
      <c r="AD5814">
        <v>1.9290080000000001</v>
      </c>
      <c r="AE5814">
        <v>23.555099999999999</v>
      </c>
      <c r="AF5814">
        <v>-15.120158766849499</v>
      </c>
      <c r="AG5814">
        <v>1.9290080000000001</v>
      </c>
      <c r="AH5814">
        <v>37.054858917953901</v>
      </c>
      <c r="AI5814">
        <v>87.240486257438704</v>
      </c>
      <c r="AJ5814">
        <v>112.197814155502</v>
      </c>
      <c r="AK5814">
        <v>40.067478613312701</v>
      </c>
      <c r="AL5814">
        <v>79.349041212219404</v>
      </c>
      <c r="AM5814">
        <v>90.474906729442793</v>
      </c>
      <c r="AN5814">
        <v>1.00000000489936</v>
      </c>
    </row>
    <row r="5815" spans="1:40" x14ac:dyDescent="0.25">
      <c r="A5815" t="str">
        <f>"20190303171127340"</f>
        <v>20190303171127340</v>
      </c>
      <c r="B5815" t="str">
        <f>"1551604287336626"</f>
        <v>1551604287336626</v>
      </c>
      <c r="C5815" t="s">
        <v>40</v>
      </c>
      <c r="D5815">
        <v>5.0901339999999999</v>
      </c>
      <c r="E5815">
        <v>0.36214229999999997</v>
      </c>
      <c r="F5815" t="s">
        <v>49</v>
      </c>
      <c r="G5815">
        <v>-168.45060000000001</v>
      </c>
      <c r="H5815">
        <v>3.0994790000000001</v>
      </c>
      <c r="I5815">
        <v>-38.666960000000003</v>
      </c>
      <c r="J5815">
        <v>-200.73009999999999</v>
      </c>
      <c r="K5815">
        <v>1.1343160000000001</v>
      </c>
      <c r="L5815">
        <v>-62.432310000000001</v>
      </c>
      <c r="M5815">
        <v>0.96941200000000005</v>
      </c>
      <c r="N5815">
        <v>-1.55246E-2</v>
      </c>
      <c r="O5815">
        <v>0.2449479</v>
      </c>
      <c r="P5815">
        <v>0.95486219999999999</v>
      </c>
      <c r="Q5815">
        <v>0.17034969999999999</v>
      </c>
      <c r="R5815">
        <v>0.2433496</v>
      </c>
      <c r="S5815">
        <v>2.6306150000000001</v>
      </c>
      <c r="T5815">
        <v>0.15922700000000001</v>
      </c>
      <c r="U5815">
        <v>1.929535</v>
      </c>
      <c r="V5815">
        <v>-8.1644819999999903E-3</v>
      </c>
      <c r="W5815">
        <v>0.18545809999999999</v>
      </c>
      <c r="X5815">
        <v>0.98261829999999994</v>
      </c>
      <c r="Y5815">
        <v>-0.376052</v>
      </c>
      <c r="Z5815">
        <v>9.4560649999999996E-3</v>
      </c>
      <c r="AA5815">
        <v>0.92655030000000005</v>
      </c>
      <c r="AB5815">
        <v>39</v>
      </c>
      <c r="AC5815">
        <v>32.279499999999899</v>
      </c>
      <c r="AD5815">
        <v>1.965163</v>
      </c>
      <c r="AE5815">
        <v>23.765350000000002</v>
      </c>
      <c r="AF5815">
        <v>-15.0971564433803</v>
      </c>
      <c r="AG5815">
        <v>1.965163</v>
      </c>
      <c r="AH5815">
        <v>37.028878920906401</v>
      </c>
      <c r="AI5815">
        <v>87.186549327651704</v>
      </c>
      <c r="AJ5815">
        <v>112.181362404799</v>
      </c>
      <c r="AK5815">
        <v>40.036531723310098</v>
      </c>
      <c r="AL5815">
        <v>79.312158691234004</v>
      </c>
      <c r="AM5815">
        <v>90.476054227636794</v>
      </c>
      <c r="AN5815">
        <v>1.0000000445584101</v>
      </c>
    </row>
    <row r="5816" spans="1:40" x14ac:dyDescent="0.25">
      <c r="A5816" t="str">
        <f>"20190303171127351"</f>
        <v>20190303171127351</v>
      </c>
      <c r="B5816" t="str">
        <f>"1551604287336626"</f>
        <v>1551604287336626</v>
      </c>
      <c r="C5816" t="s">
        <v>40</v>
      </c>
      <c r="D5816">
        <v>5.0901339999999999</v>
      </c>
      <c r="E5816">
        <v>0.36214229999999997</v>
      </c>
      <c r="F5816" t="s">
        <v>46</v>
      </c>
      <c r="G5816">
        <v>-177.58869999999999</v>
      </c>
      <c r="H5816">
        <v>2.1974019999999999</v>
      </c>
      <c r="I5816">
        <v>-46.351599999999998</v>
      </c>
      <c r="J5816">
        <v>-200.5386</v>
      </c>
      <c r="K5816">
        <v>1.134485</v>
      </c>
      <c r="L5816">
        <v>-62.379330000000003</v>
      </c>
      <c r="M5816">
        <v>0.96754320000000005</v>
      </c>
      <c r="N5816">
        <v>-1.557069E-2</v>
      </c>
      <c r="O5816">
        <v>0.25222539999999999</v>
      </c>
      <c r="P5816">
        <v>0.95285509999999995</v>
      </c>
      <c r="Q5816">
        <v>0.1709725</v>
      </c>
      <c r="R5816">
        <v>0.25067030000000001</v>
      </c>
      <c r="S5816">
        <v>2.650665</v>
      </c>
      <c r="T5816">
        <v>0.121768</v>
      </c>
      <c r="U5816">
        <v>1.8419190000000001</v>
      </c>
      <c r="V5816">
        <v>-8.4511020000000003E-3</v>
      </c>
      <c r="W5816">
        <v>0.18611449999999999</v>
      </c>
      <c r="X5816">
        <v>0.98249169999999997</v>
      </c>
      <c r="Y5816">
        <v>-0.34521610000000003</v>
      </c>
      <c r="Z5816">
        <v>9.6224680000000003E-3</v>
      </c>
      <c r="AA5816">
        <v>0.93847389999999997</v>
      </c>
      <c r="AB5816">
        <v>39</v>
      </c>
      <c r="AC5816">
        <v>22.9499</v>
      </c>
      <c r="AD5816">
        <v>1.0629169999999999</v>
      </c>
      <c r="AE5816">
        <v>16.027729999999998</v>
      </c>
      <c r="AF5816">
        <v>-9.7061575601189602</v>
      </c>
      <c r="AG5816">
        <v>1.0629169999999999</v>
      </c>
      <c r="AH5816">
        <v>26.213008922839801</v>
      </c>
      <c r="AI5816">
        <v>87.822314451859995</v>
      </c>
      <c r="AJ5816">
        <v>110.318592316915</v>
      </c>
      <c r="AK5816">
        <v>27.972506571982802</v>
      </c>
      <c r="AL5816">
        <v>79.273882723068496</v>
      </c>
      <c r="AM5816">
        <v>90.492829135538003</v>
      </c>
      <c r="AN5816">
        <v>0.99999998440207705</v>
      </c>
    </row>
    <row r="5817" spans="1:40" x14ac:dyDescent="0.25">
      <c r="A5817" t="str">
        <f>"20190303171127362"</f>
        <v>20190303171127362</v>
      </c>
      <c r="B5817" t="str">
        <f>"1551604287356146"</f>
        <v>1551604287356146</v>
      </c>
      <c r="C5817" t="s">
        <v>40</v>
      </c>
      <c r="D5817">
        <v>5.1627539999999996</v>
      </c>
      <c r="E5817">
        <v>0.36348409999999998</v>
      </c>
      <c r="F5817" t="s">
        <v>49</v>
      </c>
      <c r="G5817">
        <v>-168.45060000000001</v>
      </c>
      <c r="H5817">
        <v>2.648298</v>
      </c>
      <c r="I5817">
        <v>-39.709339999999997</v>
      </c>
      <c r="J5817">
        <v>-200.3526</v>
      </c>
      <c r="K5817">
        <v>1.1346449999999999</v>
      </c>
      <c r="L5817">
        <v>-62.326450000000001</v>
      </c>
      <c r="M5817">
        <v>0.96565109999999998</v>
      </c>
      <c r="N5817">
        <v>-1.561508E-2</v>
      </c>
      <c r="O5817">
        <v>0.25937260000000001</v>
      </c>
      <c r="P5817">
        <v>0.951013</v>
      </c>
      <c r="Q5817">
        <v>0.170824</v>
      </c>
      <c r="R5817">
        <v>0.2576695</v>
      </c>
      <c r="S5817">
        <v>2.6361539999999999</v>
      </c>
      <c r="T5817">
        <v>0.124364</v>
      </c>
      <c r="U5817">
        <v>1.8624270000000001</v>
      </c>
      <c r="V5817">
        <v>-8.4746990000000005E-3</v>
      </c>
      <c r="W5817">
        <v>0.18600820000000001</v>
      </c>
      <c r="X5817">
        <v>0.98251160000000004</v>
      </c>
      <c r="Y5817">
        <v>-0.34559190000000001</v>
      </c>
      <c r="Z5817">
        <v>1.009551E-2</v>
      </c>
      <c r="AA5817">
        <v>0.93833060000000001</v>
      </c>
      <c r="AB5817">
        <v>39</v>
      </c>
      <c r="AC5817">
        <v>31.901999999999902</v>
      </c>
      <c r="AD5817">
        <v>1.5136529999999999</v>
      </c>
      <c r="AE5817">
        <v>22.61711</v>
      </c>
      <c r="AF5817">
        <v>-13.5470903081595</v>
      </c>
      <c r="AG5817">
        <v>1.5136529999999999</v>
      </c>
      <c r="AH5817">
        <v>36.622064378406399</v>
      </c>
      <c r="AI5817">
        <v>87.780069031912504</v>
      </c>
      <c r="AJ5817">
        <v>110.300244061264</v>
      </c>
      <c r="AK5817">
        <v>39.076724537222702</v>
      </c>
      <c r="AL5817">
        <v>79.280081215775596</v>
      </c>
      <c r="AM5817">
        <v>90.494195125914999</v>
      </c>
      <c r="AN5817">
        <v>0.99999995756246896</v>
      </c>
    </row>
    <row r="5818" spans="1:40" x14ac:dyDescent="0.25">
      <c r="A5818" t="str">
        <f>"20190303171127372"</f>
        <v>20190303171127372</v>
      </c>
      <c r="B5818" t="str">
        <f>"1551604287365907"</f>
        <v>1551604287365907</v>
      </c>
      <c r="C5818" t="s">
        <v>40</v>
      </c>
      <c r="D5818">
        <v>5.1302180000000002</v>
      </c>
      <c r="E5818">
        <v>0.36411569999999999</v>
      </c>
      <c r="F5818" t="s">
        <v>49</v>
      </c>
      <c r="G5818">
        <v>-168.45060000000001</v>
      </c>
      <c r="H5818">
        <v>2.6103429999999999</v>
      </c>
      <c r="I5818">
        <v>-39.58081</v>
      </c>
      <c r="J5818">
        <v>-200.17439999999999</v>
      </c>
      <c r="K5818">
        <v>1.134789</v>
      </c>
      <c r="L5818">
        <v>-62.274630000000002</v>
      </c>
      <c r="M5818">
        <v>0.96376729999999999</v>
      </c>
      <c r="N5818">
        <v>-1.565689E-2</v>
      </c>
      <c r="O5818">
        <v>0.26628469999999999</v>
      </c>
      <c r="P5818">
        <v>0.94905450000000002</v>
      </c>
      <c r="Q5818">
        <v>0.17063780000000001</v>
      </c>
      <c r="R5818">
        <v>0.26491209999999998</v>
      </c>
      <c r="S5818">
        <v>2.6255190000000002</v>
      </c>
      <c r="T5818">
        <v>0.12144720000000001</v>
      </c>
      <c r="U5818">
        <v>1.8719479999999999</v>
      </c>
      <c r="V5818">
        <v>-8.9837700000000003E-3</v>
      </c>
      <c r="W5818">
        <v>0.18584519999999999</v>
      </c>
      <c r="X5818">
        <v>0.98253800000000002</v>
      </c>
      <c r="Y5818">
        <v>-0.34292280000000003</v>
      </c>
      <c r="Z5818">
        <v>1.044497E-2</v>
      </c>
      <c r="AA5818">
        <v>0.93930550000000002</v>
      </c>
      <c r="AB5818">
        <v>39</v>
      </c>
      <c r="AC5818">
        <v>31.723799999999901</v>
      </c>
      <c r="AD5818">
        <v>1.47555399999999</v>
      </c>
      <c r="AE5818">
        <v>22.693819999999999</v>
      </c>
      <c r="AF5818">
        <v>-13.4064584107066</v>
      </c>
      <c r="AG5818">
        <v>1.47555399999999</v>
      </c>
      <c r="AH5818">
        <v>36.569531525596801</v>
      </c>
      <c r="AI5818">
        <v>87.830457369399596</v>
      </c>
      <c r="AJ5818">
        <v>110.13303044632799</v>
      </c>
      <c r="AK5818">
        <v>38.977442485706298</v>
      </c>
      <c r="AL5818">
        <v>79.289586988076294</v>
      </c>
      <c r="AM5818">
        <v>90.523865500940204</v>
      </c>
      <c r="AN5818">
        <v>1.00000003396522</v>
      </c>
    </row>
    <row r="5819" spans="1:40" x14ac:dyDescent="0.25">
      <c r="A5819" t="str">
        <f>"20190303171127384"</f>
        <v>20190303171127384</v>
      </c>
      <c r="B5819" t="str">
        <f>"1551604287376642"</f>
        <v>1551604287376642</v>
      </c>
      <c r="C5819" t="s">
        <v>40</v>
      </c>
      <c r="D5819">
        <v>5.1523719999999997</v>
      </c>
      <c r="E5819">
        <v>0.36497790000000002</v>
      </c>
      <c r="F5819" t="s">
        <v>49</v>
      </c>
      <c r="G5819">
        <v>-168.45060000000001</v>
      </c>
      <c r="H5819">
        <v>2.5672139999999999</v>
      </c>
      <c r="I5819">
        <v>-39.359909999999999</v>
      </c>
      <c r="J5819">
        <v>-199.9975</v>
      </c>
      <c r="K5819">
        <v>1.1349320000000001</v>
      </c>
      <c r="L5819">
        <v>-62.22128</v>
      </c>
      <c r="M5819">
        <v>0.96181320000000003</v>
      </c>
      <c r="N5819">
        <v>-1.569889E-2</v>
      </c>
      <c r="O5819">
        <v>0.27325650000000001</v>
      </c>
      <c r="P5819">
        <v>0.94706579999999996</v>
      </c>
      <c r="Q5819">
        <v>0.17022889999999999</v>
      </c>
      <c r="R5819">
        <v>0.27219260000000001</v>
      </c>
      <c r="S5819">
        <v>2.6130070000000001</v>
      </c>
      <c r="T5819">
        <v>0.117983199999999</v>
      </c>
      <c r="U5819">
        <v>1.887421</v>
      </c>
      <c r="V5819">
        <v>-9.450633E-3</v>
      </c>
      <c r="W5819">
        <v>0.1854614</v>
      </c>
      <c r="X5819">
        <v>0.98260610000000004</v>
      </c>
      <c r="Y5819">
        <v>-0.34191339999999998</v>
      </c>
      <c r="Z5819">
        <v>1.074459E-2</v>
      </c>
      <c r="AA5819">
        <v>0.93967000000000001</v>
      </c>
      <c r="AB5819">
        <v>39</v>
      </c>
      <c r="AC5819">
        <v>31.546899999999901</v>
      </c>
      <c r="AD5819">
        <v>1.4322819999999901</v>
      </c>
      <c r="AE5819">
        <v>22.861370000000001</v>
      </c>
      <c r="AF5819">
        <v>-13.351573048720899</v>
      </c>
      <c r="AG5819">
        <v>1.4322819999999901</v>
      </c>
      <c r="AH5819">
        <v>36.544357626867203</v>
      </c>
      <c r="AI5819">
        <v>87.891724497677401</v>
      </c>
      <c r="AJ5819">
        <v>110.069903368301</v>
      </c>
      <c r="AK5819">
        <v>38.933353425606903</v>
      </c>
      <c r="AL5819">
        <v>79.311965758053702</v>
      </c>
      <c r="AM5819">
        <v>90.551049590537303</v>
      </c>
      <c r="AN5819">
        <v>0.99999999655563498</v>
      </c>
    </row>
    <row r="5820" spans="1:40" x14ac:dyDescent="0.25">
      <c r="A5820" t="str">
        <f>"20190303171127395"</f>
        <v>20190303171127395</v>
      </c>
      <c r="B5820" t="str">
        <f>"1551604287386403"</f>
        <v>1551604287386403</v>
      </c>
      <c r="C5820" t="s">
        <v>40</v>
      </c>
      <c r="D5820">
        <v>5.1693199999999999</v>
      </c>
      <c r="E5820">
        <v>0.36627769999999998</v>
      </c>
      <c r="F5820" t="s">
        <v>49</v>
      </c>
      <c r="G5820">
        <v>-168.45060000000001</v>
      </c>
      <c r="H5820">
        <v>2.5147469999999998</v>
      </c>
      <c r="I5820">
        <v>-39.162660000000002</v>
      </c>
      <c r="J5820">
        <v>-199.8143</v>
      </c>
      <c r="K5820">
        <v>1.135078</v>
      </c>
      <c r="L5820">
        <v>-62.16534</v>
      </c>
      <c r="M5820">
        <v>0.95972469999999999</v>
      </c>
      <c r="N5820">
        <v>-1.5740730000000001E-2</v>
      </c>
      <c r="O5820">
        <v>0.2805011</v>
      </c>
      <c r="P5820">
        <v>0.94481890000000002</v>
      </c>
      <c r="Q5820">
        <v>0.1693144</v>
      </c>
      <c r="R5820">
        <v>0.28044590000000003</v>
      </c>
      <c r="S5820">
        <v>2.600876</v>
      </c>
      <c r="T5820">
        <v>0.11375689999999999</v>
      </c>
      <c r="U5820">
        <v>1.901062</v>
      </c>
      <c r="V5820">
        <v>-1.061119E-2</v>
      </c>
      <c r="W5820">
        <v>0.18454760000000001</v>
      </c>
      <c r="X5820">
        <v>0.98276629999999998</v>
      </c>
      <c r="Y5820">
        <v>-0.34012769999999998</v>
      </c>
      <c r="Z5820">
        <v>1.102469E-2</v>
      </c>
      <c r="AA5820">
        <v>0.9403146</v>
      </c>
      <c r="AB5820">
        <v>39</v>
      </c>
      <c r="AC5820">
        <v>31.363699999999898</v>
      </c>
      <c r="AD5820">
        <v>1.379669</v>
      </c>
      <c r="AE5820">
        <v>23.002680000000002</v>
      </c>
      <c r="AF5820">
        <v>-13.263643262387699</v>
      </c>
      <c r="AG5820">
        <v>1.379669</v>
      </c>
      <c r="AH5820">
        <v>36.511380860366103</v>
      </c>
      <c r="AI5820">
        <v>87.965912334907998</v>
      </c>
      <c r="AJ5820">
        <v>109.964778169824</v>
      </c>
      <c r="AK5820">
        <v>38.870408429448602</v>
      </c>
      <c r="AL5820">
        <v>79.365242435774903</v>
      </c>
      <c r="AM5820">
        <v>90.618613782446502</v>
      </c>
      <c r="AN5820">
        <v>1.0000000072173301</v>
      </c>
    </row>
    <row r="5821" spans="1:40" x14ac:dyDescent="0.25">
      <c r="A5821" t="str">
        <f>"20190303171127406"</f>
        <v>20190303171127406</v>
      </c>
      <c r="B5821" t="str">
        <f>"1551604287396162"</f>
        <v>1551604287396162</v>
      </c>
      <c r="C5821" t="s">
        <v>40</v>
      </c>
      <c r="D5821">
        <v>5.1425199999999904</v>
      </c>
      <c r="E5821">
        <v>0.36690109999999998</v>
      </c>
      <c r="F5821" t="s">
        <v>49</v>
      </c>
      <c r="G5821">
        <v>-168.45060000000001</v>
      </c>
      <c r="H5821">
        <v>2.3739970000000001</v>
      </c>
      <c r="I5821">
        <v>-38.97307</v>
      </c>
      <c r="J5821">
        <v>-199.63499999999999</v>
      </c>
      <c r="K5821">
        <v>1.135222</v>
      </c>
      <c r="L5821">
        <v>-62.108150000000002</v>
      </c>
      <c r="M5821">
        <v>0.95758160000000003</v>
      </c>
      <c r="N5821">
        <v>-1.5783100000000001E-2</v>
      </c>
      <c r="O5821">
        <v>0.28772989999999998</v>
      </c>
      <c r="P5821">
        <v>0.94241509999999995</v>
      </c>
      <c r="Q5821">
        <v>0.16927320000000001</v>
      </c>
      <c r="R5821">
        <v>0.28844500000000001</v>
      </c>
      <c r="S5821">
        <v>2.5886990000000001</v>
      </c>
      <c r="T5821">
        <v>0.1022564</v>
      </c>
      <c r="U5821">
        <v>1.9142459999999999</v>
      </c>
      <c r="V5821">
        <v>-1.1597710000000001E-2</v>
      </c>
      <c r="W5821">
        <v>0.18451200000000001</v>
      </c>
      <c r="X5821">
        <v>0.98276180000000002</v>
      </c>
      <c r="Y5821">
        <v>-0.33823510000000001</v>
      </c>
      <c r="Z5821">
        <v>1.101124E-2</v>
      </c>
      <c r="AA5821">
        <v>0.94099719999999998</v>
      </c>
      <c r="AB5821">
        <v>39</v>
      </c>
      <c r="AC5821">
        <v>31.184399999999901</v>
      </c>
      <c r="AD5821">
        <v>1.238775</v>
      </c>
      <c r="AE5821">
        <v>23.135079999999999</v>
      </c>
      <c r="AF5821">
        <v>-13.169279934373799</v>
      </c>
      <c r="AG5821">
        <v>1.238775</v>
      </c>
      <c r="AH5821">
        <v>36.485673192984201</v>
      </c>
      <c r="AI5821">
        <v>88.170838680294693</v>
      </c>
      <c r="AJ5821">
        <v>109.846736889806</v>
      </c>
      <c r="AK5821">
        <v>38.809391206714103</v>
      </c>
      <c r="AL5821">
        <v>79.367317408699705</v>
      </c>
      <c r="AM5821">
        <v>90.676124153360405</v>
      </c>
      <c r="AN5821">
        <v>0.99999997028024101</v>
      </c>
    </row>
    <row r="5822" spans="1:40" x14ac:dyDescent="0.25">
      <c r="A5822" t="str">
        <f>"20190303171127417"</f>
        <v>20190303171127417</v>
      </c>
      <c r="B5822" t="str">
        <f>"1551604287405922"</f>
        <v>1551604287405922</v>
      </c>
      <c r="C5822" t="s">
        <v>40</v>
      </c>
      <c r="D5822">
        <v>5.1437179999999998</v>
      </c>
      <c r="E5822">
        <v>0.36768899999999999</v>
      </c>
      <c r="F5822" t="s">
        <v>49</v>
      </c>
      <c r="G5822">
        <v>-168.45060000000001</v>
      </c>
      <c r="H5822">
        <v>2.3711370000000001</v>
      </c>
      <c r="I5822">
        <v>-38.71163</v>
      </c>
      <c r="J5822">
        <v>-199.45410000000001</v>
      </c>
      <c r="K5822">
        <v>1.1353629999999999</v>
      </c>
      <c r="L5822">
        <v>-62.049930000000003</v>
      </c>
      <c r="M5822">
        <v>0.95535479999999995</v>
      </c>
      <c r="N5822">
        <v>-1.5824000000000001E-2</v>
      </c>
      <c r="O5822">
        <v>0.29503689999999999</v>
      </c>
      <c r="P5822">
        <v>0.93989650000000002</v>
      </c>
      <c r="Q5822">
        <v>0.169602799999999</v>
      </c>
      <c r="R5822">
        <v>0.29636010000000002</v>
      </c>
      <c r="S5822">
        <v>2.5739290000000001</v>
      </c>
      <c r="T5822">
        <v>0.1020093</v>
      </c>
      <c r="U5822">
        <v>1.931122</v>
      </c>
      <c r="V5822">
        <v>-1.245307E-2</v>
      </c>
      <c r="W5822">
        <v>0.18484900000000001</v>
      </c>
      <c r="X5822">
        <v>0.98268800000000001</v>
      </c>
      <c r="Y5822">
        <v>-0.33758880000000002</v>
      </c>
      <c r="Z5822">
        <v>1.138134E-2</v>
      </c>
      <c r="AA5822">
        <v>0.94122490000000003</v>
      </c>
      <c r="AB5822">
        <v>39</v>
      </c>
      <c r="AC5822">
        <v>31.003499999999999</v>
      </c>
      <c r="AD5822">
        <v>1.2357739999999999</v>
      </c>
      <c r="AE5822">
        <v>23.3383</v>
      </c>
      <c r="AF5822">
        <v>-13.137504368959201</v>
      </c>
      <c r="AG5822">
        <v>1.2357739999999999</v>
      </c>
      <c r="AH5822">
        <v>36.472587008695299</v>
      </c>
      <c r="AI5822">
        <v>88.174180886126507</v>
      </c>
      <c r="AJ5822">
        <v>109.809129339705</v>
      </c>
      <c r="AK5822">
        <v>38.786218706266702</v>
      </c>
      <c r="AL5822">
        <v>79.347670762391303</v>
      </c>
      <c r="AM5822">
        <v>90.726039355614304</v>
      </c>
      <c r="AN5822">
        <v>0.99999996854871198</v>
      </c>
    </row>
    <row r="5823" spans="1:40" x14ac:dyDescent="0.25">
      <c r="A5823" t="str">
        <f>"20190303171127428"</f>
        <v>20190303171127428</v>
      </c>
      <c r="B5823" t="str">
        <f>"1551604287416659"</f>
        <v>1551604287416659</v>
      </c>
      <c r="C5823" t="s">
        <v>40</v>
      </c>
      <c r="D5823">
        <v>5.181044</v>
      </c>
      <c r="E5823">
        <v>0.368392</v>
      </c>
      <c r="F5823" t="s">
        <v>49</v>
      </c>
      <c r="G5823">
        <v>-168.45060000000001</v>
      </c>
      <c r="H5823">
        <v>2.3717649999999999</v>
      </c>
      <c r="I5823">
        <v>-38.469360000000002</v>
      </c>
      <c r="J5823">
        <v>-199.26820000000001</v>
      </c>
      <c r="K5823">
        <v>1.1355090000000001</v>
      </c>
      <c r="L5823">
        <v>-61.987549999999999</v>
      </c>
      <c r="M5823">
        <v>0.95295890000000005</v>
      </c>
      <c r="N5823">
        <v>-1.5867630000000001E-2</v>
      </c>
      <c r="O5823">
        <v>0.3026837</v>
      </c>
      <c r="P5823">
        <v>0.93720300000000001</v>
      </c>
      <c r="Q5823">
        <v>0.17007829999999999</v>
      </c>
      <c r="R5823">
        <v>0.30450559999999899</v>
      </c>
      <c r="S5823">
        <v>2.5595699999999999</v>
      </c>
      <c r="T5823">
        <v>0.1020722</v>
      </c>
      <c r="U5823">
        <v>1.946747</v>
      </c>
      <c r="V5823">
        <v>-1.32189E-2</v>
      </c>
      <c r="W5823">
        <v>0.18533630000000001</v>
      </c>
      <c r="X5823">
        <v>0.98258630000000002</v>
      </c>
      <c r="Y5823">
        <v>-0.3362327</v>
      </c>
      <c r="Z5823">
        <v>1.178832E-2</v>
      </c>
      <c r="AA5823">
        <v>0.94170520000000002</v>
      </c>
      <c r="AB5823">
        <v>39</v>
      </c>
      <c r="AC5823">
        <v>30.817599999999999</v>
      </c>
      <c r="AD5823">
        <v>1.236256</v>
      </c>
      <c r="AE5823">
        <v>23.518190000000001</v>
      </c>
      <c r="AF5823">
        <v>-13.0722375487539</v>
      </c>
      <c r="AG5823">
        <v>1.236256</v>
      </c>
      <c r="AH5823">
        <v>36.454003000735497</v>
      </c>
      <c r="AI5823">
        <v>88.171604519806806</v>
      </c>
      <c r="AJ5823">
        <v>109.727599772134</v>
      </c>
      <c r="AK5823">
        <v>38.746690932339199</v>
      </c>
      <c r="AL5823">
        <v>79.319260603896893</v>
      </c>
      <c r="AM5823">
        <v>90.770763333624203</v>
      </c>
      <c r="AN5823">
        <v>1.00000006018129</v>
      </c>
    </row>
    <row r="5824" spans="1:40" x14ac:dyDescent="0.25">
      <c r="A5824" t="str">
        <f>"20190303171127441"</f>
        <v>20190303171127441</v>
      </c>
      <c r="B5824" t="str">
        <f>"1551604287426418"</f>
        <v>1551604287426418</v>
      </c>
      <c r="C5824" t="s">
        <v>40</v>
      </c>
      <c r="D5824">
        <v>5.1792759999999998</v>
      </c>
      <c r="E5824">
        <v>0.36920340000000001</v>
      </c>
      <c r="F5824" t="s">
        <v>49</v>
      </c>
      <c r="G5824">
        <v>-168.45060000000001</v>
      </c>
      <c r="H5824">
        <v>2.3685879999999999</v>
      </c>
      <c r="I5824">
        <v>-38.202649999999998</v>
      </c>
      <c r="J5824">
        <v>-199.08349999999999</v>
      </c>
      <c r="K5824">
        <v>1.1356459999999999</v>
      </c>
      <c r="L5824">
        <v>-61.92456</v>
      </c>
      <c r="M5824">
        <v>0.95050029999999996</v>
      </c>
      <c r="N5824">
        <v>-1.5910029999999999E-2</v>
      </c>
      <c r="O5824">
        <v>0.31031609999999998</v>
      </c>
      <c r="P5824">
        <v>0.93440749999999995</v>
      </c>
      <c r="Q5824">
        <v>0.1707168</v>
      </c>
      <c r="R5824">
        <v>0.3126313</v>
      </c>
      <c r="S5824">
        <v>2.5444640000000001</v>
      </c>
      <c r="T5824">
        <v>0.1018078</v>
      </c>
      <c r="U5824">
        <v>1.9638059999999999</v>
      </c>
      <c r="V5824">
        <v>-1.399773E-2</v>
      </c>
      <c r="W5824">
        <v>0.1859838</v>
      </c>
      <c r="X5824">
        <v>0.98245309999999997</v>
      </c>
      <c r="Y5824">
        <v>-0.33534459999999999</v>
      </c>
      <c r="Z5824">
        <v>1.2176070000000001E-2</v>
      </c>
      <c r="AA5824">
        <v>0.94201679999999999</v>
      </c>
      <c r="AB5824">
        <v>39</v>
      </c>
      <c r="AC5824">
        <v>30.6328999999999</v>
      </c>
      <c r="AD5824">
        <v>1.232942</v>
      </c>
      <c r="AE5824">
        <v>23.721910000000001</v>
      </c>
      <c r="AF5824">
        <v>-13.030255698316701</v>
      </c>
      <c r="AG5824">
        <v>1.232942</v>
      </c>
      <c r="AH5824">
        <v>36.4455804317302</v>
      </c>
      <c r="AI5824">
        <v>88.175462907007699</v>
      </c>
      <c r="AJ5824">
        <v>109.67330912525</v>
      </c>
      <c r="AK5824">
        <v>38.724514748988099</v>
      </c>
      <c r="AL5824">
        <v>79.281504542766896</v>
      </c>
      <c r="AM5824">
        <v>90.816279769008702</v>
      </c>
      <c r="AN5824">
        <v>1.0000000020036</v>
      </c>
    </row>
    <row r="5825" spans="1:40" x14ac:dyDescent="0.25">
      <c r="A5825" t="str">
        <f>"20190303171127451"</f>
        <v>20190303171127451</v>
      </c>
      <c r="B5825" t="str">
        <f>"1551604287445939"</f>
        <v>1551604287445939</v>
      </c>
      <c r="C5825" t="s">
        <v>40</v>
      </c>
      <c r="D5825">
        <v>5.1930809999999896</v>
      </c>
      <c r="E5825">
        <v>0.36999399999999999</v>
      </c>
      <c r="F5825" t="s">
        <v>49</v>
      </c>
      <c r="G5825">
        <v>-168.45060000000001</v>
      </c>
      <c r="H5825">
        <v>2.3754580000000001</v>
      </c>
      <c r="I5825">
        <v>-37.946829999999999</v>
      </c>
      <c r="J5825">
        <v>-198.89429999999999</v>
      </c>
      <c r="K5825">
        <v>1.1357870000000001</v>
      </c>
      <c r="L5825">
        <v>-61.858150000000002</v>
      </c>
      <c r="M5825">
        <v>0.94788249999999996</v>
      </c>
      <c r="N5825">
        <v>-1.5954010000000001E-2</v>
      </c>
      <c r="O5825">
        <v>0.31822080000000003</v>
      </c>
      <c r="P5825">
        <v>0.93152310000000005</v>
      </c>
      <c r="Q5825">
        <v>0.171617299999999</v>
      </c>
      <c r="R5825">
        <v>0.32064369999999998</v>
      </c>
      <c r="S5825">
        <v>2.5294650000000001</v>
      </c>
      <c r="T5825">
        <v>0.1023737</v>
      </c>
      <c r="U5825">
        <v>1.979919</v>
      </c>
      <c r="V5825">
        <v>-1.4406E-2</v>
      </c>
      <c r="W5825">
        <v>0.18690809999999999</v>
      </c>
      <c r="X5825">
        <v>0.98227180000000003</v>
      </c>
      <c r="Y5825">
        <v>-0.33393579999999901</v>
      </c>
      <c r="Z5825">
        <v>1.262215E-2</v>
      </c>
      <c r="AA5825">
        <v>0.94251130000000005</v>
      </c>
      <c r="AB5825">
        <v>39</v>
      </c>
      <c r="AC5825">
        <v>30.4436999999999</v>
      </c>
      <c r="AD5825">
        <v>1.239671</v>
      </c>
      <c r="AE5825">
        <v>23.91132</v>
      </c>
      <c r="AF5825">
        <v>-12.965657229778</v>
      </c>
      <c r="AG5825">
        <v>1.239671</v>
      </c>
      <c r="AH5825">
        <v>36.433404720362397</v>
      </c>
      <c r="AI5825">
        <v>88.163939491299303</v>
      </c>
      <c r="AJ5825">
        <v>109.589260248419</v>
      </c>
      <c r="AK5825">
        <v>38.691575712370003</v>
      </c>
      <c r="AL5825">
        <v>79.227601166380595</v>
      </c>
      <c r="AM5825">
        <v>90.840239766849805</v>
      </c>
      <c r="AN5825">
        <v>1.00000002987842</v>
      </c>
    </row>
    <row r="5826" spans="1:40" x14ac:dyDescent="0.25">
      <c r="A5826" t="str">
        <f>"20190303171127464"</f>
        <v>20190303171127464</v>
      </c>
      <c r="B5826" t="str">
        <f>"1551604287456674"</f>
        <v>1551604287456674</v>
      </c>
      <c r="C5826" t="s">
        <v>40</v>
      </c>
      <c r="D5826">
        <v>5.2115450000000001</v>
      </c>
      <c r="E5826">
        <v>0.3833415</v>
      </c>
      <c r="F5826" t="s">
        <v>48</v>
      </c>
      <c r="G5826">
        <v>-149.4984</v>
      </c>
      <c r="H5826">
        <v>3.1728390000000002</v>
      </c>
      <c r="I5826">
        <v>-22.650010000000002</v>
      </c>
      <c r="J5826">
        <v>-198.71770000000001</v>
      </c>
      <c r="K5826">
        <v>1.135915</v>
      </c>
      <c r="L5826">
        <v>-61.794339999999998</v>
      </c>
      <c r="M5826">
        <v>0.94534430000000003</v>
      </c>
      <c r="N5826">
        <v>-1.5995180000000001E-2</v>
      </c>
      <c r="O5826">
        <v>0.32568130000000001</v>
      </c>
      <c r="P5826">
        <v>0.9286529</v>
      </c>
      <c r="Q5826">
        <v>0.17230029999999999</v>
      </c>
      <c r="R5826">
        <v>0.32850639999999998</v>
      </c>
      <c r="S5826">
        <v>2.5144500000000001</v>
      </c>
      <c r="T5826">
        <v>0.1036938</v>
      </c>
      <c r="U5826">
        <v>1.9958499999999999</v>
      </c>
      <c r="V5826">
        <v>-1.509717E-2</v>
      </c>
      <c r="W5826">
        <v>0.18760180000000001</v>
      </c>
      <c r="X5826">
        <v>0.98212920000000004</v>
      </c>
      <c r="Y5826">
        <v>-0.33291659999999901</v>
      </c>
      <c r="Z5826">
        <v>1.308455E-2</v>
      </c>
      <c r="AA5826">
        <v>0.94286550000000002</v>
      </c>
      <c r="AB5826">
        <v>39</v>
      </c>
      <c r="AC5826">
        <v>49.219299999999997</v>
      </c>
      <c r="AD5826">
        <v>2.036924</v>
      </c>
      <c r="AE5826">
        <v>39.144329999999997</v>
      </c>
      <c r="AF5826">
        <v>-20.9557623274282</v>
      </c>
      <c r="AG5826">
        <v>2.036924</v>
      </c>
      <c r="AH5826">
        <v>59.223213442295801</v>
      </c>
      <c r="AI5826">
        <v>88.142890700786396</v>
      </c>
      <c r="AJ5826">
        <v>109.486005788865</v>
      </c>
      <c r="AK5826">
        <v>62.854451270671099</v>
      </c>
      <c r="AL5826">
        <v>79.187139728950996</v>
      </c>
      <c r="AM5826">
        <v>90.8806743565994</v>
      </c>
      <c r="AN5826">
        <v>1.00000006269894</v>
      </c>
    </row>
    <row r="5827" spans="1:40" x14ac:dyDescent="0.25">
      <c r="A5827" t="str">
        <f>"20190303171127474"</f>
        <v>20190303171127474</v>
      </c>
      <c r="B5827" t="str">
        <f>"1551604287466435"</f>
        <v>1551604287466435</v>
      </c>
      <c r="C5827" t="s">
        <v>40</v>
      </c>
      <c r="D5827">
        <v>5.179354</v>
      </c>
      <c r="E5827">
        <v>0.3849379</v>
      </c>
      <c r="F5827" t="s">
        <v>49</v>
      </c>
      <c r="G5827">
        <v>-168.45060000000001</v>
      </c>
      <c r="H5827">
        <v>1.6621779999999999</v>
      </c>
      <c r="I5827">
        <v>-38.874339999999997</v>
      </c>
      <c r="J5827">
        <v>-198.53530000000001</v>
      </c>
      <c r="K5827">
        <v>1.136042</v>
      </c>
      <c r="L5827">
        <v>-61.727420000000002</v>
      </c>
      <c r="M5827">
        <v>0.94264170000000003</v>
      </c>
      <c r="N5827">
        <v>-1.6036669999999999E-2</v>
      </c>
      <c r="O5827">
        <v>0.33342090000000002</v>
      </c>
      <c r="P5827">
        <v>0.92570410000000003</v>
      </c>
      <c r="Q5827">
        <v>0.17313029999999999</v>
      </c>
      <c r="R5827">
        <v>0.33629999999999999</v>
      </c>
      <c r="S5827">
        <v>2.5414889999999999</v>
      </c>
      <c r="T5827">
        <v>4.4187780000000003E-2</v>
      </c>
      <c r="U5827">
        <v>1.924561</v>
      </c>
      <c r="V5827">
        <v>-1.544537E-2</v>
      </c>
      <c r="W5827">
        <v>0.18845509999999999</v>
      </c>
      <c r="X5827">
        <v>0.98196039999999996</v>
      </c>
      <c r="Y5827">
        <v>-0.30342150000000001</v>
      </c>
      <c r="Z5827">
        <v>1.0286999999999999E-2</v>
      </c>
      <c r="AA5827">
        <v>0.95280089999999995</v>
      </c>
      <c r="AB5827">
        <v>39</v>
      </c>
      <c r="AC5827">
        <v>30.084700000000002</v>
      </c>
      <c r="AD5827">
        <v>0.52613599999999905</v>
      </c>
      <c r="AE5827">
        <v>22.853079999999899</v>
      </c>
      <c r="AF5827">
        <v>-11.510646311567299</v>
      </c>
      <c r="AG5827">
        <v>0.52613599999999905</v>
      </c>
      <c r="AH5827">
        <v>35.976436509216597</v>
      </c>
      <c r="AI5827">
        <v>89.201984779614705</v>
      </c>
      <c r="AJ5827">
        <v>107.742051883825</v>
      </c>
      <c r="AK5827">
        <v>37.776656568603201</v>
      </c>
      <c r="AL5827">
        <v>79.1373612969373</v>
      </c>
      <c r="AM5827">
        <v>90.901137707885198</v>
      </c>
      <c r="AN5827">
        <v>1.0000000556693001</v>
      </c>
    </row>
    <row r="5828" spans="1:40" x14ac:dyDescent="0.25">
      <c r="A5828" t="str">
        <f>"20190303171127485"</f>
        <v>20190303171127485</v>
      </c>
      <c r="B5828" t="str">
        <f>"1551604287476195"</f>
        <v>1551604287476195</v>
      </c>
      <c r="C5828" t="s">
        <v>40</v>
      </c>
      <c r="D5828">
        <v>5.2387069999999998</v>
      </c>
      <c r="E5828">
        <v>0.38543060000000001</v>
      </c>
      <c r="F5828" t="s">
        <v>49</v>
      </c>
      <c r="G5828">
        <v>-168.45060000000001</v>
      </c>
      <c r="H5828">
        <v>1.543617</v>
      </c>
      <c r="I5828">
        <v>-38.72325</v>
      </c>
      <c r="J5828">
        <v>-198.36490000000001</v>
      </c>
      <c r="K5828">
        <v>1.1361570000000001</v>
      </c>
      <c r="L5828">
        <v>-61.662509999999997</v>
      </c>
      <c r="M5828">
        <v>0.94001420000000002</v>
      </c>
      <c r="N5828">
        <v>-1.6076239999999999E-2</v>
      </c>
      <c r="O5828">
        <v>0.34075630000000001</v>
      </c>
      <c r="P5828">
        <v>0.9226953</v>
      </c>
      <c r="Q5828">
        <v>0.17372029999999999</v>
      </c>
      <c r="R5828">
        <v>0.34417249999999999</v>
      </c>
      <c r="S5828">
        <v>2.5312190000000001</v>
      </c>
      <c r="T5828">
        <v>3.4290189999999998E-2</v>
      </c>
      <c r="U5828">
        <v>1.935486</v>
      </c>
      <c r="V5828">
        <v>-1.6275999999999999E-2</v>
      </c>
      <c r="W5828">
        <v>0.18904889999999999</v>
      </c>
      <c r="X5828">
        <v>0.98183279999999995</v>
      </c>
      <c r="Y5828">
        <v>-0.30043300000000001</v>
      </c>
      <c r="Z5828">
        <v>9.9135149999999995E-3</v>
      </c>
      <c r="AA5828">
        <v>0.95375140000000003</v>
      </c>
      <c r="AB5828">
        <v>39</v>
      </c>
      <c r="AC5828">
        <v>29.914300000000001</v>
      </c>
      <c r="AD5828">
        <v>0.40745999999999999</v>
      </c>
      <c r="AE5828">
        <v>22.939260000000001</v>
      </c>
      <c r="AF5828">
        <v>-11.369885140598999</v>
      </c>
      <c r="AG5828">
        <v>0.40745999999999999</v>
      </c>
      <c r="AH5828">
        <v>35.937010401595202</v>
      </c>
      <c r="AI5828">
        <v>89.380654574622397</v>
      </c>
      <c r="AJ5828">
        <v>107.556523586772</v>
      </c>
      <c r="AK5828">
        <v>37.694946987180799</v>
      </c>
      <c r="AL5828">
        <v>79.102715930649694</v>
      </c>
      <c r="AM5828">
        <v>90.949714350053</v>
      </c>
      <c r="AN5828">
        <v>1.0000000209615201</v>
      </c>
    </row>
    <row r="5829" spans="1:40" x14ac:dyDescent="0.25">
      <c r="A5829" t="str">
        <f>"20190303171127495"</f>
        <v>20190303171127495</v>
      </c>
      <c r="B5829" t="str">
        <f>"1551604287485955"</f>
        <v>1551604287485955</v>
      </c>
      <c r="C5829" t="s">
        <v>40</v>
      </c>
      <c r="D5829">
        <v>5.2100049999999998</v>
      </c>
      <c r="E5829">
        <v>0.38622240000000002</v>
      </c>
      <c r="F5829" t="s">
        <v>49</v>
      </c>
      <c r="G5829">
        <v>-168.45060000000001</v>
      </c>
      <c r="H5829">
        <v>1.56098</v>
      </c>
      <c r="I5829">
        <v>-38.43768</v>
      </c>
      <c r="J5829">
        <v>-198.19839999999999</v>
      </c>
      <c r="K5829">
        <v>1.1362669999999999</v>
      </c>
      <c r="L5829">
        <v>-61.598660000000002</v>
      </c>
      <c r="M5829">
        <v>0.93738279999999996</v>
      </c>
      <c r="N5829">
        <v>-1.6113229999999999E-2</v>
      </c>
      <c r="O5829">
        <v>0.34792790000000001</v>
      </c>
      <c r="P5829">
        <v>0.9196531</v>
      </c>
      <c r="Q5829">
        <v>0.17399629999999999</v>
      </c>
      <c r="R5829">
        <v>0.35208440000000002</v>
      </c>
      <c r="S5829">
        <v>2.516006</v>
      </c>
      <c r="T5829">
        <v>3.572881E-2</v>
      </c>
      <c r="U5829">
        <v>1.9533689999999999</v>
      </c>
      <c r="V5829">
        <v>-1.7293349999999999E-2</v>
      </c>
      <c r="W5829">
        <v>0.1893186</v>
      </c>
      <c r="X5829">
        <v>0.98176339999999995</v>
      </c>
      <c r="Y5829">
        <v>-0.30017179999999999</v>
      </c>
      <c r="Z5829">
        <v>1.021418E-2</v>
      </c>
      <c r="AA5829">
        <v>0.95383050000000003</v>
      </c>
      <c r="AB5829">
        <v>39</v>
      </c>
      <c r="AC5829">
        <v>29.747799999999899</v>
      </c>
      <c r="AD5829">
        <v>0.42471300000000001</v>
      </c>
      <c r="AE5829">
        <v>23.160979999999899</v>
      </c>
      <c r="AF5829">
        <v>-11.360648202648401</v>
      </c>
      <c r="AG5829">
        <v>0.42471300000000001</v>
      </c>
      <c r="AH5829">
        <v>35.943533190473701</v>
      </c>
      <c r="AI5829">
        <v>89.354490733129893</v>
      </c>
      <c r="AJ5829">
        <v>107.540147406366</v>
      </c>
      <c r="AK5829">
        <v>37.698571417646498</v>
      </c>
      <c r="AL5829">
        <v>79.086978658207698</v>
      </c>
      <c r="AM5829">
        <v>91.009136733987205</v>
      </c>
      <c r="AN5829">
        <v>0.99999998291987102</v>
      </c>
    </row>
    <row r="5830" spans="1:40" x14ac:dyDescent="0.25">
      <c r="A5830" t="str">
        <f>"20190303171127507"</f>
        <v>20190303171127507</v>
      </c>
      <c r="B5830" t="str">
        <f>"1551604287496691"</f>
        <v>1551604287496691</v>
      </c>
      <c r="C5830" t="s">
        <v>40</v>
      </c>
      <c r="D5830">
        <v>5.2209240000000001</v>
      </c>
      <c r="E5830">
        <v>0.38702530000000002</v>
      </c>
      <c r="F5830" t="s">
        <v>49</v>
      </c>
      <c r="G5830">
        <v>-168.45060000000001</v>
      </c>
      <c r="H5830">
        <v>1.5493129999999999</v>
      </c>
      <c r="I5830">
        <v>-38.180709999999998</v>
      </c>
      <c r="J5830">
        <v>-198.02109999999999</v>
      </c>
      <c r="K5830">
        <v>1.1363840000000001</v>
      </c>
      <c r="L5830">
        <v>-61.527830000000002</v>
      </c>
      <c r="M5830">
        <v>0.93446479999999998</v>
      </c>
      <c r="N5830">
        <v>-1.615407E-2</v>
      </c>
      <c r="O5830">
        <v>0.35568889999999997</v>
      </c>
      <c r="P5830">
        <v>0.91637619999999997</v>
      </c>
      <c r="Q5830">
        <v>0.1739714</v>
      </c>
      <c r="R5830">
        <v>0.36053950000000001</v>
      </c>
      <c r="S5830">
        <v>2.5016020000000001</v>
      </c>
      <c r="T5830">
        <v>3.4732819999999998E-2</v>
      </c>
      <c r="U5830">
        <v>1.9692989999999999</v>
      </c>
      <c r="V5830">
        <v>-1.8250780000000001E-2</v>
      </c>
      <c r="W5830">
        <v>0.1892942</v>
      </c>
      <c r="X5830">
        <v>0.98175080000000003</v>
      </c>
      <c r="Y5830">
        <v>-0.29867759999999999</v>
      </c>
      <c r="Z5830">
        <v>1.037537E-2</v>
      </c>
      <c r="AA5830">
        <v>0.95429770000000003</v>
      </c>
      <c r="AB5830">
        <v>39</v>
      </c>
      <c r="AC5830">
        <v>29.5704999999999</v>
      </c>
      <c r="AD5830">
        <v>0.41292899999999899</v>
      </c>
      <c r="AE5830">
        <v>23.34712</v>
      </c>
      <c r="AF5830">
        <v>-11.299280449456599</v>
      </c>
      <c r="AG5830">
        <v>0.41292899999999899</v>
      </c>
      <c r="AH5830">
        <v>35.937275697887998</v>
      </c>
      <c r="AI5830">
        <v>89.371992673305201</v>
      </c>
      <c r="AJ5830">
        <v>107.454019619147</v>
      </c>
      <c r="AK5830">
        <v>37.674023326697203</v>
      </c>
      <c r="AL5830">
        <v>79.088402710026898</v>
      </c>
      <c r="AM5830">
        <v>91.065007771539797</v>
      </c>
      <c r="AN5830">
        <v>1.0000000092124399</v>
      </c>
    </row>
    <row r="5831" spans="1:40" x14ac:dyDescent="0.25">
      <c r="A5831" t="str">
        <f>"20190303171127519"</f>
        <v>20190303171127519</v>
      </c>
      <c r="B5831" t="str">
        <f>"1551604287506451"</f>
        <v>1551604287506451</v>
      </c>
      <c r="C5831" t="s">
        <v>40</v>
      </c>
      <c r="D5831">
        <v>5.2278390000000003</v>
      </c>
      <c r="E5831">
        <v>0.38801989999999997</v>
      </c>
      <c r="F5831" t="s">
        <v>49</v>
      </c>
      <c r="G5831">
        <v>-168.45060000000001</v>
      </c>
      <c r="H5831">
        <v>1.5014780000000001</v>
      </c>
      <c r="I5831">
        <v>-37.8962</v>
      </c>
      <c r="J5831">
        <v>-197.84700000000001</v>
      </c>
      <c r="K5831">
        <v>1.136493</v>
      </c>
      <c r="L5831">
        <v>-61.45758</v>
      </c>
      <c r="M5831">
        <v>0.93152409999999997</v>
      </c>
      <c r="N5831">
        <v>-1.6192620000000001E-2</v>
      </c>
      <c r="O5831">
        <v>0.3633189</v>
      </c>
      <c r="P5831">
        <v>0.91308330000000004</v>
      </c>
      <c r="Q5831">
        <v>0.17360900000000001</v>
      </c>
      <c r="R5831">
        <v>0.36897020000000003</v>
      </c>
      <c r="S5831">
        <v>2.4862060000000001</v>
      </c>
      <c r="T5831">
        <v>3.0694249999999999E-2</v>
      </c>
      <c r="U5831">
        <v>1.986877</v>
      </c>
      <c r="V5831">
        <v>-1.928908E-2</v>
      </c>
      <c r="W5831">
        <v>0.18892719999999999</v>
      </c>
      <c r="X5831">
        <v>0.98180160000000005</v>
      </c>
      <c r="Y5831">
        <v>-0.29786210000000002</v>
      </c>
      <c r="Z5831">
        <v>1.031694E-2</v>
      </c>
      <c r="AA5831">
        <v>0.95455319999999999</v>
      </c>
      <c r="AB5831">
        <v>39</v>
      </c>
      <c r="AC5831">
        <v>29.3964</v>
      </c>
      <c r="AD5831">
        <v>0.364985</v>
      </c>
      <c r="AE5831">
        <v>23.56138</v>
      </c>
      <c r="AF5831">
        <v>-11.2681456082419</v>
      </c>
      <c r="AG5831">
        <v>0.364985</v>
      </c>
      <c r="AH5831">
        <v>35.945089573140002</v>
      </c>
      <c r="AI5831">
        <v>89.444876370869395</v>
      </c>
      <c r="AJ5831">
        <v>107.405279232672</v>
      </c>
      <c r="AK5831">
        <v>37.671657567989101</v>
      </c>
      <c r="AL5831">
        <v>79.109816211872499</v>
      </c>
      <c r="AM5831">
        <v>91.125523436978099</v>
      </c>
      <c r="AN5831">
        <v>0.99999996863482199</v>
      </c>
    </row>
    <row r="5832" spans="1:40" x14ac:dyDescent="0.25">
      <c r="A5832" t="str">
        <f>"20190303171127529"</f>
        <v>20190303171127529</v>
      </c>
      <c r="B5832" t="str">
        <f>"1551604287516210"</f>
        <v>1551604287516210</v>
      </c>
      <c r="C5832" t="s">
        <v>40</v>
      </c>
      <c r="D5832">
        <v>5.245584</v>
      </c>
      <c r="E5832">
        <v>0.38904349999999999</v>
      </c>
      <c r="F5832" t="s">
        <v>48</v>
      </c>
      <c r="G5832">
        <v>-149.9588</v>
      </c>
      <c r="H5832">
        <v>1.6358379999999999</v>
      </c>
      <c r="I5832">
        <v>-22.65</v>
      </c>
      <c r="J5832">
        <v>-197.66460000000001</v>
      </c>
      <c r="K5832">
        <v>1.136606</v>
      </c>
      <c r="L5832">
        <v>-61.381500000000003</v>
      </c>
      <c r="M5832">
        <v>0.92832610000000004</v>
      </c>
      <c r="N5832">
        <v>-1.6233830000000001E-2</v>
      </c>
      <c r="O5832">
        <v>0.37141259999999998</v>
      </c>
      <c r="P5832">
        <v>0.90949789999999997</v>
      </c>
      <c r="Q5832">
        <v>0.17337759999999999</v>
      </c>
      <c r="R5832">
        <v>0.377828</v>
      </c>
      <c r="S5832">
        <v>2.4713750000000001</v>
      </c>
      <c r="T5832">
        <v>2.5769589999999998E-2</v>
      </c>
      <c r="U5832">
        <v>2.0027469999999998</v>
      </c>
      <c r="V5832">
        <v>-2.031995E-2</v>
      </c>
      <c r="W5832">
        <v>0.18869259999999999</v>
      </c>
      <c r="X5832">
        <v>0.98182590000000003</v>
      </c>
      <c r="Y5832">
        <v>-0.29604150000000001</v>
      </c>
      <c r="Z5832">
        <v>1.0181920000000001E-2</v>
      </c>
      <c r="AA5832">
        <v>0.95512079999999999</v>
      </c>
      <c r="AB5832">
        <v>39</v>
      </c>
      <c r="AC5832">
        <v>47.705800000000004</v>
      </c>
      <c r="AD5832">
        <v>0.49923199999999901</v>
      </c>
      <c r="AE5832">
        <v>38.731499999999997</v>
      </c>
      <c r="AF5832">
        <v>-18.238124987146101</v>
      </c>
      <c r="AG5832">
        <v>0.49923199999999901</v>
      </c>
      <c r="AH5832">
        <v>58.675760131513798</v>
      </c>
      <c r="AI5832">
        <v>89.534489214402797</v>
      </c>
      <c r="AJ5832">
        <v>107.266757300693</v>
      </c>
      <c r="AK5832">
        <v>61.446914183281201</v>
      </c>
      <c r="AL5832">
        <v>79.123503765877203</v>
      </c>
      <c r="AM5832">
        <v>91.185628929836795</v>
      </c>
      <c r="AN5832">
        <v>0.99999994778678403</v>
      </c>
    </row>
    <row r="5833" spans="1:40" x14ac:dyDescent="0.25">
      <c r="A5833" t="str">
        <f>"20190303171127541"</f>
        <v>20190303171127541</v>
      </c>
      <c r="B5833" t="str">
        <f>"1551604287536707"</f>
        <v>1551604287536707</v>
      </c>
      <c r="C5833" t="s">
        <v>40</v>
      </c>
      <c r="D5833">
        <v>5.2680230000000003</v>
      </c>
      <c r="E5833">
        <v>0.390015</v>
      </c>
      <c r="F5833" t="s">
        <v>48</v>
      </c>
      <c r="G5833">
        <v>-150.56880000000001</v>
      </c>
      <c r="H5833">
        <v>1.543928</v>
      </c>
      <c r="I5833">
        <v>-22.650010000000002</v>
      </c>
      <c r="J5833">
        <v>-197.4811</v>
      </c>
      <c r="K5833">
        <v>1.136714</v>
      </c>
      <c r="L5833">
        <v>-61.303469999999997</v>
      </c>
      <c r="M5833">
        <v>0.92500899999999997</v>
      </c>
      <c r="N5833">
        <v>-1.6274650000000002E-2</v>
      </c>
      <c r="O5833">
        <v>0.37959670000000001</v>
      </c>
      <c r="P5833">
        <v>0.90571869999999999</v>
      </c>
      <c r="Q5833">
        <v>0.1733587</v>
      </c>
      <c r="R5833">
        <v>0.38680819999999999</v>
      </c>
      <c r="S5833">
        <v>2.4555509999999998</v>
      </c>
      <c r="T5833">
        <v>2.1237610000000001E-2</v>
      </c>
      <c r="U5833">
        <v>2.0194399999999999</v>
      </c>
      <c r="V5833">
        <v>-2.1418380000000001E-2</v>
      </c>
      <c r="W5833">
        <v>0.1886668</v>
      </c>
      <c r="X5833">
        <v>0.9818076</v>
      </c>
      <c r="Y5833">
        <v>-0.29448489999999999</v>
      </c>
      <c r="Z5833">
        <v>1.005053E-2</v>
      </c>
      <c r="AA5833">
        <v>0.95560330000000004</v>
      </c>
      <c r="AB5833">
        <v>39</v>
      </c>
      <c r="AC5833">
        <v>46.912299999999902</v>
      </c>
      <c r="AD5833">
        <v>0.40721400000000002</v>
      </c>
      <c r="AE5833">
        <v>38.653460000000003</v>
      </c>
      <c r="AF5833">
        <v>-17.948614307129699</v>
      </c>
      <c r="AG5833">
        <v>0.40721400000000002</v>
      </c>
      <c r="AH5833">
        <v>58.072105881884198</v>
      </c>
      <c r="AI5833">
        <v>89.616151636706206</v>
      </c>
      <c r="AJ5833">
        <v>107.17505192883</v>
      </c>
      <c r="AK5833">
        <v>60.783945745111502</v>
      </c>
      <c r="AL5833">
        <v>79.125010003799602</v>
      </c>
      <c r="AM5833">
        <v>91.249723631544796</v>
      </c>
      <c r="AN5833">
        <v>1.00000003592091</v>
      </c>
    </row>
    <row r="5834" spans="1:40" x14ac:dyDescent="0.25">
      <c r="A5834" t="str">
        <f>"20190303171127553"</f>
        <v>20190303171127553</v>
      </c>
      <c r="B5834" t="str">
        <f>"1551604287546466"</f>
        <v>1551604287546466</v>
      </c>
      <c r="C5834" t="s">
        <v>40</v>
      </c>
      <c r="D5834">
        <v>5.2929729999999999</v>
      </c>
      <c r="E5834">
        <v>0.40036830000000001</v>
      </c>
      <c r="F5834" t="s">
        <v>48</v>
      </c>
      <c r="G5834">
        <v>-151.2029</v>
      </c>
      <c r="H5834">
        <v>1.468229</v>
      </c>
      <c r="I5834">
        <v>-22.650010000000002</v>
      </c>
      <c r="J5834">
        <v>-197.298</v>
      </c>
      <c r="K5834">
        <v>1.1368199999999999</v>
      </c>
      <c r="L5834">
        <v>-61.223939999999999</v>
      </c>
      <c r="M5834">
        <v>0.92159519999999995</v>
      </c>
      <c r="N5834">
        <v>-1.6315010000000001E-2</v>
      </c>
      <c r="O5834">
        <v>0.38780969999999998</v>
      </c>
      <c r="P5834">
        <v>0.90182510000000005</v>
      </c>
      <c r="Q5834">
        <v>0.17354530000000001</v>
      </c>
      <c r="R5834">
        <v>0.39571919999999999</v>
      </c>
      <c r="S5834">
        <v>2.4389500000000002</v>
      </c>
      <c r="T5834">
        <v>1.747131E-2</v>
      </c>
      <c r="U5834">
        <v>2.0371090000000001</v>
      </c>
      <c r="V5834">
        <v>-2.2441429999999998E-2</v>
      </c>
      <c r="W5834">
        <v>0.1888485</v>
      </c>
      <c r="X5834">
        <v>0.98174980000000001</v>
      </c>
      <c r="Y5834">
        <v>-0.29325099999999998</v>
      </c>
      <c r="Z5834">
        <v>9.9545339999999993E-3</v>
      </c>
      <c r="AA5834">
        <v>0.95598360000000004</v>
      </c>
      <c r="AB5834">
        <v>38</v>
      </c>
      <c r="AC5834">
        <v>46.095100000000002</v>
      </c>
      <c r="AD5834">
        <v>0.33140899999999901</v>
      </c>
      <c r="AE5834">
        <v>38.573929999999997</v>
      </c>
      <c r="AF5834">
        <v>-17.675234837474001</v>
      </c>
      <c r="AG5834">
        <v>0.33140899999999901</v>
      </c>
      <c r="AH5834">
        <v>57.446259575896299</v>
      </c>
      <c r="AI5834">
        <v>89.684078339767694</v>
      </c>
      <c r="AJ5834">
        <v>107.10223938648799</v>
      </c>
      <c r="AK5834">
        <v>60.104879150917498</v>
      </c>
      <c r="AL5834">
        <v>79.114408634492094</v>
      </c>
      <c r="AM5834">
        <v>91.309473498536605</v>
      </c>
      <c r="AN5834">
        <v>1.00000002176636</v>
      </c>
    </row>
    <row r="5835" spans="1:40" x14ac:dyDescent="0.25">
      <c r="A5835" t="str">
        <f>"20190303171127564"</f>
        <v>20190303171127564</v>
      </c>
      <c r="B5835" t="str">
        <f>"1551604287556227"</f>
        <v>1551604287556227</v>
      </c>
      <c r="C5835" t="s">
        <v>40</v>
      </c>
      <c r="D5835">
        <v>5.3060150000000004</v>
      </c>
      <c r="E5835">
        <v>0.40167150000000001</v>
      </c>
      <c r="F5835" t="s">
        <v>49</v>
      </c>
      <c r="G5835">
        <v>-168.45060000000001</v>
      </c>
      <c r="H5835">
        <v>0.837304099999999</v>
      </c>
      <c r="I5835">
        <v>-37.855260000000001</v>
      </c>
      <c r="J5835">
        <v>-197.13759999999999</v>
      </c>
      <c r="K5835">
        <v>1.1369100000000001</v>
      </c>
      <c r="L5835">
        <v>-61.15204</v>
      </c>
      <c r="M5835">
        <v>0.91849979999999998</v>
      </c>
      <c r="N5835">
        <v>-1.6350529999999999E-2</v>
      </c>
      <c r="O5835">
        <v>0.39508330000000003</v>
      </c>
      <c r="P5835">
        <v>0.89831609999999995</v>
      </c>
      <c r="Q5835">
        <v>0.17348920000000001</v>
      </c>
      <c r="R5835">
        <v>0.4036459</v>
      </c>
      <c r="S5835">
        <v>2.4578250000000001</v>
      </c>
      <c r="T5835">
        <v>-2.552068E-2</v>
      </c>
      <c r="U5835">
        <v>1.991028</v>
      </c>
      <c r="V5835">
        <v>-2.336628E-2</v>
      </c>
      <c r="W5835">
        <v>0.1887867</v>
      </c>
      <c r="X5835">
        <v>0.9817401</v>
      </c>
      <c r="Y5835">
        <v>-0.27117400000000003</v>
      </c>
      <c r="Z5835">
        <v>6.3726240000000003E-3</v>
      </c>
      <c r="AA5835">
        <v>0.96250919999999895</v>
      </c>
      <c r="AB5835">
        <v>38</v>
      </c>
      <c r="AC5835">
        <v>28.686999999999902</v>
      </c>
      <c r="AD5835">
        <v>-0.29960589999999998</v>
      </c>
      <c r="AE5835">
        <v>23.296779999999998</v>
      </c>
      <c r="AF5835">
        <v>-10.065016975212</v>
      </c>
      <c r="AG5835">
        <v>-0.29960589999999998</v>
      </c>
      <c r="AH5835">
        <v>35.555588181956402</v>
      </c>
      <c r="AI5835">
        <v>90.464533376223997</v>
      </c>
      <c r="AJ5835">
        <v>105.805668846831</v>
      </c>
      <c r="AK5835">
        <v>36.953946763119902</v>
      </c>
      <c r="AL5835">
        <v>79.118014271382407</v>
      </c>
      <c r="AM5835">
        <v>91.363432656793407</v>
      </c>
      <c r="AN5835">
        <v>1.00000001254296</v>
      </c>
    </row>
    <row r="5836" spans="1:40" x14ac:dyDescent="0.25">
      <c r="A5836" t="str">
        <f>"20190303171127574"</f>
        <v>20190303171127574</v>
      </c>
      <c r="B5836" t="str">
        <f>"1551604287565988"</f>
        <v>1551604287565988</v>
      </c>
      <c r="C5836" t="s">
        <v>40</v>
      </c>
      <c r="D5836">
        <v>5.283709</v>
      </c>
      <c r="E5836">
        <v>0.4027443</v>
      </c>
      <c r="F5836" t="s">
        <v>48</v>
      </c>
      <c r="G5836">
        <v>-150.14760000000001</v>
      </c>
      <c r="H5836">
        <v>0.57171249999999996</v>
      </c>
      <c r="I5836">
        <v>-22.65</v>
      </c>
      <c r="J5836">
        <v>-196.97659999999999</v>
      </c>
      <c r="K5836">
        <v>1.136998</v>
      </c>
      <c r="L5836">
        <v>-61.0792199999999</v>
      </c>
      <c r="M5836">
        <v>0.91532270000000004</v>
      </c>
      <c r="N5836">
        <v>-1.638504E-2</v>
      </c>
      <c r="O5836">
        <v>0.40238780000000002</v>
      </c>
      <c r="P5836">
        <v>0.89452089999999995</v>
      </c>
      <c r="Q5836">
        <v>0.17339280000000001</v>
      </c>
      <c r="R5836">
        <v>0.41202830000000001</v>
      </c>
      <c r="S5836">
        <v>2.445084</v>
      </c>
      <c r="T5836">
        <v>-2.9409649999999999E-2</v>
      </c>
      <c r="U5836">
        <v>2.0034179999999999</v>
      </c>
      <c r="V5836">
        <v>-2.4761869999999998E-2</v>
      </c>
      <c r="W5836">
        <v>0.18866450000000001</v>
      </c>
      <c r="X5836">
        <v>0.98172939999999997</v>
      </c>
      <c r="Y5836">
        <v>-0.26887109999999997</v>
      </c>
      <c r="Z5836">
        <v>6.0711680000000001E-3</v>
      </c>
      <c r="AA5836">
        <v>0.96315709999999999</v>
      </c>
      <c r="AB5836">
        <v>38</v>
      </c>
      <c r="AC5836">
        <v>46.828999999999901</v>
      </c>
      <c r="AD5836">
        <v>-0.5652855</v>
      </c>
      <c r="AE5836">
        <v>38.429220000000001</v>
      </c>
      <c r="AF5836">
        <v>-16.332489223233999</v>
      </c>
      <c r="AG5836">
        <v>-0.5652855</v>
      </c>
      <c r="AH5836">
        <v>58.329846345188898</v>
      </c>
      <c r="AI5836">
        <v>90.534683574958194</v>
      </c>
      <c r="AJ5836">
        <v>105.642366915339</v>
      </c>
      <c r="AK5836">
        <v>60.575908796954202</v>
      </c>
      <c r="AL5836">
        <v>79.125144121026594</v>
      </c>
      <c r="AM5836">
        <v>91.444848138512796</v>
      </c>
      <c r="AN5836">
        <v>1.00000002929525</v>
      </c>
    </row>
    <row r="5837" spans="1:40" x14ac:dyDescent="0.25">
      <c r="A5837" t="str">
        <f>"20190303171127585"</f>
        <v>20190303171127585</v>
      </c>
      <c r="B5837" t="str">
        <f>"1551604287576723"</f>
        <v>1551604287576723</v>
      </c>
      <c r="C5837" t="s">
        <v>40</v>
      </c>
      <c r="D5837">
        <v>5.3069699999999997</v>
      </c>
      <c r="E5837">
        <v>0.40357850000000001</v>
      </c>
      <c r="F5837" t="s">
        <v>48</v>
      </c>
      <c r="G5837">
        <v>-150.70650000000001</v>
      </c>
      <c r="H5837">
        <v>0.53526689999999999</v>
      </c>
      <c r="I5837">
        <v>-22.650010000000002</v>
      </c>
      <c r="J5837">
        <v>-196.80459999999999</v>
      </c>
      <c r="K5837">
        <v>1.137086</v>
      </c>
      <c r="L5837">
        <v>-60.998719999999999</v>
      </c>
      <c r="M5837">
        <v>0.9118098</v>
      </c>
      <c r="N5837">
        <v>-1.6422200000000001E-2</v>
      </c>
      <c r="O5837">
        <v>0.4102845</v>
      </c>
      <c r="P5837">
        <v>0.89043519999999898</v>
      </c>
      <c r="Q5837">
        <v>0.17323949999999999</v>
      </c>
      <c r="R5837">
        <v>0.42084830000000001</v>
      </c>
      <c r="S5837">
        <v>2.4301910000000002</v>
      </c>
      <c r="T5837">
        <v>-3.1604170000000001E-2</v>
      </c>
      <c r="U5837">
        <v>2.0183719999999998</v>
      </c>
      <c r="V5837">
        <v>-2.6007929999999999E-2</v>
      </c>
      <c r="W5837">
        <v>0.18849350000000001</v>
      </c>
      <c r="X5837">
        <v>0.98172999999999999</v>
      </c>
      <c r="Y5837">
        <v>-0.26694519999999999</v>
      </c>
      <c r="Z5837">
        <v>5.9102010000000003E-3</v>
      </c>
      <c r="AA5837">
        <v>0.96369360000000004</v>
      </c>
      <c r="AB5837">
        <v>38</v>
      </c>
      <c r="AC5837">
        <v>46.098099999999903</v>
      </c>
      <c r="AD5837">
        <v>-0.60181909999999905</v>
      </c>
      <c r="AE5837">
        <v>38.348709999999997</v>
      </c>
      <c r="AF5837">
        <v>-16.053940366449702</v>
      </c>
      <c r="AG5837">
        <v>-0.60181909999999905</v>
      </c>
      <c r="AH5837">
        <v>57.768547826298501</v>
      </c>
      <c r="AI5837">
        <v>90.575080374711305</v>
      </c>
      <c r="AJ5837">
        <v>105.530668069618</v>
      </c>
      <c r="AK5837">
        <v>59.960789733608301</v>
      </c>
      <c r="AL5837">
        <v>79.135120403153905</v>
      </c>
      <c r="AM5837">
        <v>91.517521277528601</v>
      </c>
      <c r="AN5837">
        <v>1.0000000024325599</v>
      </c>
    </row>
    <row r="5838" spans="1:40" x14ac:dyDescent="0.25">
      <c r="A5838" t="str">
        <f>"20190303171127598"</f>
        <v>20190303171127598</v>
      </c>
      <c r="B5838" t="str">
        <f>"1551604287586483"</f>
        <v>1551604287586483</v>
      </c>
      <c r="C5838" t="s">
        <v>40</v>
      </c>
      <c r="D5838">
        <v>5.3336620000000003</v>
      </c>
      <c r="E5838">
        <v>0.40396739999999998</v>
      </c>
      <c r="F5838" t="s">
        <v>48</v>
      </c>
      <c r="G5838">
        <v>-151.35079999999999</v>
      </c>
      <c r="H5838">
        <v>0.49031449999999999</v>
      </c>
      <c r="I5838">
        <v>-22.650010000000002</v>
      </c>
      <c r="J5838">
        <v>-196.63140000000001</v>
      </c>
      <c r="K5838">
        <v>1.137173</v>
      </c>
      <c r="L5838">
        <v>-60.916899999999998</v>
      </c>
      <c r="M5838">
        <v>0.90818940000000004</v>
      </c>
      <c r="N5838">
        <v>-1.6458199999999999E-2</v>
      </c>
      <c r="O5838">
        <v>0.41823589999999999</v>
      </c>
      <c r="P5838">
        <v>0.88613639999999905</v>
      </c>
      <c r="Q5838">
        <v>0.17288139999999999</v>
      </c>
      <c r="R5838">
        <v>0.42997030000000003</v>
      </c>
      <c r="S5838">
        <v>2.4134519999999999</v>
      </c>
      <c r="T5838">
        <v>-3.4341339999999998E-2</v>
      </c>
      <c r="U5838">
        <v>2.0361940000000001</v>
      </c>
      <c r="V5838">
        <v>-2.7516410000000002E-2</v>
      </c>
      <c r="W5838">
        <v>0.18810579999999999</v>
      </c>
      <c r="X5838">
        <v>0.98176319999999995</v>
      </c>
      <c r="Y5838">
        <v>-0.26596690000000001</v>
      </c>
      <c r="Z5838">
        <v>5.6981239999999997E-3</v>
      </c>
      <c r="AA5838">
        <v>0.96396530000000002</v>
      </c>
      <c r="AB5838">
        <v>38</v>
      </c>
      <c r="AC5838">
        <v>45.2806</v>
      </c>
      <c r="AD5838">
        <v>-0.6468585</v>
      </c>
      <c r="AE5838">
        <v>38.266889999999997</v>
      </c>
      <c r="AF5838">
        <v>-15.8158699245619</v>
      </c>
      <c r="AG5838">
        <v>-0.6468585</v>
      </c>
      <c r="AH5838">
        <v>57.128882036508799</v>
      </c>
      <c r="AI5838">
        <v>90.625205830038297</v>
      </c>
      <c r="AJ5838">
        <v>105.474506119091</v>
      </c>
      <c r="AK5838">
        <v>59.281273013752099</v>
      </c>
      <c r="AL5838">
        <v>79.157738144986695</v>
      </c>
      <c r="AM5838">
        <v>91.605439613618302</v>
      </c>
      <c r="AN5838">
        <v>0.99999996284358295</v>
      </c>
    </row>
    <row r="5839" spans="1:40" x14ac:dyDescent="0.25">
      <c r="A5839" t="str">
        <f>"20190303171127607"</f>
        <v>20190303171127607</v>
      </c>
      <c r="B5839" t="str">
        <f>"1551604287596243"</f>
        <v>1551604287596243</v>
      </c>
      <c r="C5839" t="s">
        <v>40</v>
      </c>
      <c r="D5839">
        <v>5.3021419999999999</v>
      </c>
      <c r="E5839">
        <v>0.40396739999999998</v>
      </c>
      <c r="F5839" t="s">
        <v>48</v>
      </c>
      <c r="G5839">
        <v>-152.1088</v>
      </c>
      <c r="H5839">
        <v>0.45820810000000001</v>
      </c>
      <c r="I5839">
        <v>-22.650010000000002</v>
      </c>
      <c r="J5839">
        <v>-196.4616</v>
      </c>
      <c r="K5839">
        <v>1.1372599999999999</v>
      </c>
      <c r="L5839">
        <v>-60.833770000000001</v>
      </c>
      <c r="M5839">
        <v>0.90451510000000002</v>
      </c>
      <c r="N5839">
        <v>-1.649374E-2</v>
      </c>
      <c r="O5839">
        <v>0.42612260000000002</v>
      </c>
      <c r="P5839">
        <v>0.88167609999999996</v>
      </c>
      <c r="Q5839">
        <v>0.1725245</v>
      </c>
      <c r="R5839">
        <v>0.43918410000000002</v>
      </c>
      <c r="S5839">
        <v>2.3941650000000001</v>
      </c>
      <c r="T5839">
        <v>-3.6510590000000002E-2</v>
      </c>
      <c r="U5839">
        <v>2.0577700000000001</v>
      </c>
      <c r="V5839">
        <v>-2.9209079999999998E-2</v>
      </c>
      <c r="W5839">
        <v>0.18771099999999999</v>
      </c>
      <c r="X5839">
        <v>0.98178989999999999</v>
      </c>
      <c r="Y5839">
        <v>-0.26640730000000001</v>
      </c>
      <c r="Z5839">
        <v>5.54464E-3</v>
      </c>
      <c r="AA5839">
        <v>0.96384460000000005</v>
      </c>
      <c r="AB5839">
        <v>38</v>
      </c>
      <c r="AC5839">
        <v>44.352800000000002</v>
      </c>
      <c r="AD5839">
        <v>-0.67905189999999904</v>
      </c>
      <c r="AE5839">
        <v>38.1837599999999</v>
      </c>
      <c r="AF5839">
        <v>-15.638078699966799</v>
      </c>
      <c r="AG5839">
        <v>-0.67905189999999904</v>
      </c>
      <c r="AH5839">
        <v>56.388818513802804</v>
      </c>
      <c r="AI5839">
        <v>90.664849704397298</v>
      </c>
      <c r="AJ5839">
        <v>105.500071061634</v>
      </c>
      <c r="AK5839">
        <v>58.521017338148198</v>
      </c>
      <c r="AL5839">
        <v>79.180769168387997</v>
      </c>
      <c r="AM5839">
        <v>91.704095252207694</v>
      </c>
      <c r="AN5839">
        <v>0.99999999880872803</v>
      </c>
    </row>
    <row r="5840" spans="1:40" x14ac:dyDescent="0.25">
      <c r="A5840" t="str">
        <f>"20190303171127620"</f>
        <v>20190303171127620</v>
      </c>
      <c r="B5840" t="str">
        <f>"1551604287616739"</f>
        <v>1551604287616739</v>
      </c>
      <c r="C5840" t="s">
        <v>40</v>
      </c>
      <c r="D5840">
        <v>5.233466</v>
      </c>
      <c r="E5840">
        <v>0.3722106</v>
      </c>
      <c r="F5840" t="s">
        <v>48</v>
      </c>
      <c r="G5840">
        <v>-152.95310000000001</v>
      </c>
      <c r="H5840">
        <v>0.44058989999999998</v>
      </c>
      <c r="I5840">
        <v>-22.650010000000002</v>
      </c>
      <c r="J5840">
        <v>-196.28749999999999</v>
      </c>
      <c r="K5840">
        <v>1.137343</v>
      </c>
      <c r="L5840">
        <v>-60.7474699999999</v>
      </c>
      <c r="M5840">
        <v>0.90065599999999901</v>
      </c>
      <c r="N5840">
        <v>-1.6528939999999999E-2</v>
      </c>
      <c r="O5840">
        <v>0.4342184</v>
      </c>
      <c r="P5840">
        <v>0.87704479999999996</v>
      </c>
      <c r="Q5840">
        <v>0.17234169999999999</v>
      </c>
      <c r="R5840">
        <v>0.44843159999999999</v>
      </c>
      <c r="S5840">
        <v>2.372757</v>
      </c>
      <c r="T5840">
        <v>-3.7993190000000003E-2</v>
      </c>
      <c r="U5840">
        <v>2.0823670000000001</v>
      </c>
      <c r="V5840">
        <v>-3.0749619999999998E-2</v>
      </c>
      <c r="W5840">
        <v>0.18749460000000001</v>
      </c>
      <c r="X5840">
        <v>0.9817842</v>
      </c>
      <c r="Y5840">
        <v>-0.2677139</v>
      </c>
      <c r="Z5840">
        <v>5.4606630000000001E-3</v>
      </c>
      <c r="AA5840">
        <v>0.96348299999999998</v>
      </c>
      <c r="AB5840">
        <v>38</v>
      </c>
      <c r="AC5840">
        <v>43.334399999999903</v>
      </c>
      <c r="AD5840">
        <v>-0.69675310000000001</v>
      </c>
      <c r="AE5840">
        <v>38.097459999999899</v>
      </c>
      <c r="AF5840">
        <v>-15.495969354122201</v>
      </c>
      <c r="AG5840">
        <v>-0.69675310000000001</v>
      </c>
      <c r="AH5840">
        <v>55.571493574926002</v>
      </c>
      <c r="AI5840">
        <v>90.691939548883596</v>
      </c>
      <c r="AJ5840">
        <v>105.58099282922799</v>
      </c>
      <c r="AK5840">
        <v>57.695766129364301</v>
      </c>
      <c r="AL5840">
        <v>79.193391996600496</v>
      </c>
      <c r="AM5840">
        <v>91.793925486699393</v>
      </c>
      <c r="AN5840">
        <v>0.99999998976447202</v>
      </c>
    </row>
    <row r="5841" spans="1:40" x14ac:dyDescent="0.25">
      <c r="A5841" t="str">
        <f>"20190303171127632"</f>
        <v>20190303171127632</v>
      </c>
      <c r="B5841" t="str">
        <f>"1551604287626499"</f>
        <v>1551604287626499</v>
      </c>
      <c r="C5841" t="s">
        <v>40</v>
      </c>
      <c r="D5841">
        <v>5.2180160000000004</v>
      </c>
      <c r="E5841">
        <v>0.36727029999999999</v>
      </c>
      <c r="F5841" t="s">
        <v>48</v>
      </c>
      <c r="G5841">
        <v>-157.93819999999999</v>
      </c>
      <c r="H5841">
        <v>1.9525330000000001</v>
      </c>
      <c r="I5841">
        <v>-20.742840000000001</v>
      </c>
      <c r="J5841">
        <v>-196.10560000000001</v>
      </c>
      <c r="K5841">
        <v>1.137429</v>
      </c>
      <c r="L5841">
        <v>-60.654969999999999</v>
      </c>
      <c r="M5841">
        <v>0.89649979999999996</v>
      </c>
      <c r="N5841">
        <v>-1.6565159999999999E-2</v>
      </c>
      <c r="O5841">
        <v>0.44273449999999998</v>
      </c>
      <c r="P5841">
        <v>0.872137099999999</v>
      </c>
      <c r="Q5841">
        <v>0.172362299999999</v>
      </c>
      <c r="R5841">
        <v>0.45789570000000002</v>
      </c>
      <c r="S5841">
        <v>2.2246860000000002</v>
      </c>
      <c r="T5841">
        <v>4.7289850000000001E-2</v>
      </c>
      <c r="U5841">
        <v>2.3207089999999999</v>
      </c>
      <c r="V5841">
        <v>-3.2115690000000002E-2</v>
      </c>
      <c r="W5841">
        <v>0.18748890000000001</v>
      </c>
      <c r="X5841">
        <v>0.98174150000000004</v>
      </c>
      <c r="Y5841">
        <v>-0.3409877</v>
      </c>
      <c r="Z5841">
        <v>1.4138629999999999E-2</v>
      </c>
      <c r="AA5841">
        <v>0.93996139999999995</v>
      </c>
      <c r="AB5841">
        <v>38</v>
      </c>
      <c r="AC5841">
        <v>38.167400000000001</v>
      </c>
      <c r="AD5841">
        <v>0.81510400000000005</v>
      </c>
      <c r="AE5841">
        <v>39.912129999999998</v>
      </c>
      <c r="AF5841">
        <v>-18.881668456447802</v>
      </c>
      <c r="AG5841">
        <v>0.81510400000000005</v>
      </c>
      <c r="AH5841">
        <v>51.883357497682198</v>
      </c>
      <c r="AI5841">
        <v>89.154199147509999</v>
      </c>
      <c r="AJ5841">
        <v>109.997728551855</v>
      </c>
      <c r="AK5841">
        <v>55.218335573089597</v>
      </c>
      <c r="AL5841">
        <v>79.193723923495995</v>
      </c>
      <c r="AM5841">
        <v>91.8736475222629</v>
      </c>
      <c r="AN5841">
        <v>0.99999993899481598</v>
      </c>
    </row>
    <row r="5842" spans="1:40" x14ac:dyDescent="0.25">
      <c r="A5842" t="str">
        <f>"20190303171127643"</f>
        <v>20190303171127643</v>
      </c>
      <c r="B5842" t="str">
        <f>"1551604287636259"</f>
        <v>1551604287636259</v>
      </c>
      <c r="C5842" t="s">
        <v>40</v>
      </c>
      <c r="D5842">
        <v>5.2665559999999996</v>
      </c>
      <c r="E5842">
        <v>0.36278899999999997</v>
      </c>
      <c r="F5842" t="s">
        <v>48</v>
      </c>
      <c r="G5842">
        <v>-157.3501</v>
      </c>
      <c r="H5842">
        <v>2.1161910000000002</v>
      </c>
      <c r="I5842">
        <v>-18.37651</v>
      </c>
      <c r="J5842">
        <v>-195.9462</v>
      </c>
      <c r="K5842">
        <v>1.1375</v>
      </c>
      <c r="L5842">
        <v>-60.571930000000002</v>
      </c>
      <c r="M5842">
        <v>0.89275210000000005</v>
      </c>
      <c r="N5842">
        <v>-1.659619E-2</v>
      </c>
      <c r="O5842">
        <v>0.45024239999999999</v>
      </c>
      <c r="P5842">
        <v>0.86754439999999999</v>
      </c>
      <c r="Q5842">
        <v>0.17251320000000001</v>
      </c>
      <c r="R5842">
        <v>0.46648269999999997</v>
      </c>
      <c r="S5842">
        <v>2.180237</v>
      </c>
      <c r="T5842">
        <v>5.5061220000000001E-2</v>
      </c>
      <c r="U5842">
        <v>2.3784179999999999</v>
      </c>
      <c r="V5842">
        <v>-3.3626969999999999E-2</v>
      </c>
      <c r="W5842">
        <v>0.18760279999999999</v>
      </c>
      <c r="X5842">
        <v>0.98166920000000002</v>
      </c>
      <c r="Y5842">
        <v>-0.35407240000000001</v>
      </c>
      <c r="Z5842">
        <v>1.507846E-2</v>
      </c>
      <c r="AA5842">
        <v>0.93509640000000005</v>
      </c>
      <c r="AB5842">
        <v>38</v>
      </c>
      <c r="AC5842">
        <v>38.5961</v>
      </c>
      <c r="AD5842">
        <v>0.97869099999999998</v>
      </c>
      <c r="AE5842">
        <v>42.195419999999999</v>
      </c>
      <c r="AF5842">
        <v>-20.289301809038601</v>
      </c>
      <c r="AG5842">
        <v>0.97869099999999998</v>
      </c>
      <c r="AH5842">
        <v>53.446625763287003</v>
      </c>
      <c r="AI5842">
        <v>89.019219881960197</v>
      </c>
      <c r="AJ5842">
        <v>110.78766388236799</v>
      </c>
      <c r="AK5842">
        <v>57.176528483745798</v>
      </c>
      <c r="AL5842">
        <v>79.187080721819896</v>
      </c>
      <c r="AM5842">
        <v>91.961893477389197</v>
      </c>
      <c r="AN5842">
        <v>1.00000000095393</v>
      </c>
    </row>
    <row r="5843" spans="1:40" x14ac:dyDescent="0.25">
      <c r="A5843" t="str">
        <f>"20190303171127654"</f>
        <v>20190303171127654</v>
      </c>
      <c r="B5843" t="str">
        <f>"1551604287646020"</f>
        <v>1551604287646020</v>
      </c>
      <c r="C5843" t="s">
        <v>40</v>
      </c>
      <c r="D5843">
        <v>5.322444</v>
      </c>
      <c r="E5843">
        <v>0.3594791</v>
      </c>
      <c r="F5843" t="s">
        <v>48</v>
      </c>
      <c r="G5843">
        <v>-157.3501</v>
      </c>
      <c r="H5843">
        <v>2.3319519999999998</v>
      </c>
      <c r="I5843">
        <v>-16.719750000000001</v>
      </c>
      <c r="J5843">
        <v>-195.77850000000001</v>
      </c>
      <c r="K5843">
        <v>1.1375729999999999</v>
      </c>
      <c r="L5843">
        <v>-60.483370000000001</v>
      </c>
      <c r="M5843">
        <v>0.8887197</v>
      </c>
      <c r="N5843">
        <v>-1.6627780000000002E-2</v>
      </c>
      <c r="O5843">
        <v>0.45814939999999998</v>
      </c>
      <c r="P5843">
        <v>0.86284740000000004</v>
      </c>
      <c r="Q5843">
        <v>0.17274679999999901</v>
      </c>
      <c r="R5843">
        <v>0.4750296</v>
      </c>
      <c r="S5843">
        <v>2.1384430000000001</v>
      </c>
      <c r="T5843">
        <v>6.6179279999999993E-2</v>
      </c>
      <c r="U5843">
        <v>2.4296570000000002</v>
      </c>
      <c r="V5843">
        <v>-3.4679189999999999E-2</v>
      </c>
      <c r="W5843">
        <v>0.18781819999999999</v>
      </c>
      <c r="X5843">
        <v>0.9815914</v>
      </c>
      <c r="Y5843">
        <v>-0.36468689999999998</v>
      </c>
      <c r="Z5843">
        <v>1.6343110000000001E-2</v>
      </c>
      <c r="AA5843">
        <v>0.9309868</v>
      </c>
      <c r="AB5843">
        <v>38</v>
      </c>
      <c r="AC5843">
        <v>38.428400000000003</v>
      </c>
      <c r="AD5843">
        <v>1.1943790000000001</v>
      </c>
      <c r="AE5843">
        <v>43.763619999999896</v>
      </c>
      <c r="AF5843">
        <v>-21.281635407350699</v>
      </c>
      <c r="AG5843">
        <v>1.1943790000000001</v>
      </c>
      <c r="AH5843">
        <v>54.187056322479101</v>
      </c>
      <c r="AI5843">
        <v>88.824672795113202</v>
      </c>
      <c r="AJ5843">
        <v>111.44211488740901</v>
      </c>
      <c r="AK5843">
        <v>58.228615127809498</v>
      </c>
      <c r="AL5843">
        <v>79.174515847171904</v>
      </c>
      <c r="AM5843">
        <v>92.023392976763205</v>
      </c>
      <c r="AN5843">
        <v>0.99999999951212704</v>
      </c>
    </row>
    <row r="5844" spans="1:40" x14ac:dyDescent="0.25">
      <c r="A5844" t="str">
        <f>"20190303171127666"</f>
        <v>20190303171127666</v>
      </c>
      <c r="B5844" t="str">
        <f>"1551604287656754"</f>
        <v>1551604287656754</v>
      </c>
      <c r="C5844" t="s">
        <v>40</v>
      </c>
      <c r="D5844">
        <v>5.313561</v>
      </c>
      <c r="E5844">
        <v>0.35741620000000002</v>
      </c>
      <c r="F5844" t="s">
        <v>48</v>
      </c>
      <c r="G5844">
        <v>-157.3501</v>
      </c>
      <c r="H5844">
        <v>2.5095909999999999</v>
      </c>
      <c r="I5844">
        <v>-15.26027</v>
      </c>
      <c r="J5844">
        <v>-195.61750000000001</v>
      </c>
      <c r="K5844">
        <v>1.1376389999999901</v>
      </c>
      <c r="L5844">
        <v>-60.395690000000002</v>
      </c>
      <c r="M5844">
        <v>0.88472989999999996</v>
      </c>
      <c r="N5844">
        <v>-1.6657410000000001E-2</v>
      </c>
      <c r="O5844">
        <v>0.46580640000000001</v>
      </c>
      <c r="P5844">
        <v>0.85809969999999902</v>
      </c>
      <c r="Q5844">
        <v>0.1727359</v>
      </c>
      <c r="R5844">
        <v>0.48355700000000001</v>
      </c>
      <c r="S5844">
        <v>2.100784</v>
      </c>
      <c r="T5844">
        <v>7.5004580000000001E-2</v>
      </c>
      <c r="U5844">
        <v>2.472229</v>
      </c>
      <c r="V5844">
        <v>-3.5963790000000002E-2</v>
      </c>
      <c r="W5844">
        <v>0.1877779</v>
      </c>
      <c r="X5844">
        <v>0.98155289999999995</v>
      </c>
      <c r="Y5844">
        <v>-0.37284529999999999</v>
      </c>
      <c r="Z5844">
        <v>1.742018E-2</v>
      </c>
      <c r="AA5844">
        <v>0.92773000000000005</v>
      </c>
      <c r="AB5844">
        <v>38</v>
      </c>
      <c r="AC5844">
        <v>38.267400000000002</v>
      </c>
      <c r="AD5844">
        <v>1.3719520000000001</v>
      </c>
      <c r="AE5844">
        <v>45.135420000000003</v>
      </c>
      <c r="AF5844">
        <v>-22.098643834509801</v>
      </c>
      <c r="AG5844">
        <v>1.3719520000000001</v>
      </c>
      <c r="AH5844">
        <v>54.858805224124801</v>
      </c>
      <c r="AI5844">
        <v>88.671126056499205</v>
      </c>
      <c r="AJ5844">
        <v>111.940939252733</v>
      </c>
      <c r="AK5844">
        <v>59.158438301169603</v>
      </c>
      <c r="AL5844">
        <v>79.176866860612606</v>
      </c>
      <c r="AM5844">
        <v>92.098360710528098</v>
      </c>
      <c r="AN5844">
        <v>1.00000001470899</v>
      </c>
    </row>
    <row r="5845" spans="1:40" x14ac:dyDescent="0.25">
      <c r="A5845" t="str">
        <f>"20190303171127676"</f>
        <v>20190303171127676</v>
      </c>
      <c r="B5845" t="str">
        <f>"1551604287666515"</f>
        <v>1551604287666515</v>
      </c>
      <c r="C5845" t="s">
        <v>40</v>
      </c>
      <c r="D5845">
        <v>5.1699270000000004</v>
      </c>
      <c r="E5845">
        <v>0.35370669999999999</v>
      </c>
      <c r="F5845" t="s">
        <v>48</v>
      </c>
      <c r="G5845">
        <v>-157.3501</v>
      </c>
      <c r="H5845">
        <v>2.5994060000000001</v>
      </c>
      <c r="I5845">
        <v>-14.005269999999999</v>
      </c>
      <c r="J5845">
        <v>-195.45930000000001</v>
      </c>
      <c r="K5845">
        <v>1.13769599999999</v>
      </c>
      <c r="L5845">
        <v>-60.308990000000001</v>
      </c>
      <c r="M5845">
        <v>0.8807353</v>
      </c>
      <c r="N5845">
        <v>-1.668528E-2</v>
      </c>
      <c r="O5845">
        <v>0.47331489999999998</v>
      </c>
      <c r="P5845">
        <v>0.85351129999999997</v>
      </c>
      <c r="Q5845">
        <v>0.17247979999999999</v>
      </c>
      <c r="R5845">
        <v>0.49170029999999998</v>
      </c>
      <c r="S5845">
        <v>2.067688</v>
      </c>
      <c r="T5845">
        <v>7.8982830000000004E-2</v>
      </c>
      <c r="U5845">
        <v>2.5065919999999999</v>
      </c>
      <c r="V5845">
        <v>-3.6953779999999999E-2</v>
      </c>
      <c r="W5845">
        <v>0.187503</v>
      </c>
      <c r="X5845">
        <v>0.98156860000000001</v>
      </c>
      <c r="Y5845">
        <v>-0.37851479999999998</v>
      </c>
      <c r="Z5845">
        <v>1.8079959999999999E-2</v>
      </c>
      <c r="AA5845">
        <v>0.92541859999999998</v>
      </c>
      <c r="AB5845">
        <v>38</v>
      </c>
      <c r="AC5845">
        <v>38.109200000000001</v>
      </c>
      <c r="AD5845">
        <v>1.4617100000000001</v>
      </c>
      <c r="AE5845">
        <v>46.303719999999998</v>
      </c>
      <c r="AF5845">
        <v>-22.733328482828899</v>
      </c>
      <c r="AG5845">
        <v>1.4617100000000001</v>
      </c>
      <c r="AH5845">
        <v>55.455135013593001</v>
      </c>
      <c r="AI5845">
        <v>88.602908039488497</v>
      </c>
      <c r="AJ5845">
        <v>112.290730685588</v>
      </c>
      <c r="AK5845">
        <v>59.951754097842098</v>
      </c>
      <c r="AL5845">
        <v>79.1929014417411</v>
      </c>
      <c r="AM5845">
        <v>92.156034907927904</v>
      </c>
      <c r="AN5845">
        <v>0.99999993668562204</v>
      </c>
    </row>
    <row r="5846" spans="1:40" x14ac:dyDescent="0.25">
      <c r="A5846" t="str">
        <f>"20190303171127687"</f>
        <v>20190303171127687</v>
      </c>
      <c r="B5846" t="str">
        <f>"1551604287676275"</f>
        <v>1551604287676275</v>
      </c>
      <c r="C5846" t="s">
        <v>40</v>
      </c>
      <c r="D5846">
        <v>5.328163</v>
      </c>
      <c r="E5846">
        <v>0.35322189999999998</v>
      </c>
      <c r="F5846" t="s">
        <v>48</v>
      </c>
      <c r="G5846">
        <v>-157.3501</v>
      </c>
      <c r="H5846">
        <v>2.9300630000000001</v>
      </c>
      <c r="I5846">
        <v>-12.39207</v>
      </c>
      <c r="J5846">
        <v>-195.29310000000001</v>
      </c>
      <c r="K5846">
        <v>1.137758</v>
      </c>
      <c r="L5846">
        <v>-60.214570000000002</v>
      </c>
      <c r="M5846">
        <v>0.87640450000000003</v>
      </c>
      <c r="N5846">
        <v>-1.6713789999999999E-2</v>
      </c>
      <c r="O5846">
        <v>0.48128549999999998</v>
      </c>
      <c r="P5846">
        <v>0.84859050000000003</v>
      </c>
      <c r="Q5846">
        <v>0.17220820000000001</v>
      </c>
      <c r="R5846">
        <v>0.50023839999999997</v>
      </c>
      <c r="S5846">
        <v>2.0272060000000001</v>
      </c>
      <c r="T5846">
        <v>9.5344070000000003E-2</v>
      </c>
      <c r="U5846">
        <v>2.5489199999999999</v>
      </c>
      <c r="V5846">
        <v>-3.7891040000000001E-2</v>
      </c>
      <c r="W5846">
        <v>0.1872154</v>
      </c>
      <c r="X5846">
        <v>0.98158780000000001</v>
      </c>
      <c r="Y5846">
        <v>-0.38668360000000002</v>
      </c>
      <c r="Z5846">
        <v>1.9914459999999998E-2</v>
      </c>
      <c r="AA5846">
        <v>0.92199739999999997</v>
      </c>
      <c r="AB5846">
        <v>38</v>
      </c>
      <c r="AC5846">
        <v>37.942999999999998</v>
      </c>
      <c r="AD5846">
        <v>1.792305</v>
      </c>
      <c r="AE5846">
        <v>47.822499999999899</v>
      </c>
      <c r="AF5846">
        <v>-23.633371567684801</v>
      </c>
      <c r="AG5846">
        <v>1.792305</v>
      </c>
      <c r="AH5846">
        <v>56.229085771678101</v>
      </c>
      <c r="AI5846">
        <v>88.316846420365493</v>
      </c>
      <c r="AJ5846">
        <v>112.797263847137</v>
      </c>
      <c r="AK5846">
        <v>61.020149914499697</v>
      </c>
      <c r="AL5846">
        <v>79.209677172237093</v>
      </c>
      <c r="AM5846">
        <v>92.210621713145301</v>
      </c>
      <c r="AN5846">
        <v>0.99999997300914001</v>
      </c>
    </row>
    <row r="5847" spans="1:40" x14ac:dyDescent="0.25">
      <c r="A5847" t="str">
        <f>"20190303171127701"</f>
        <v>20190303171127701</v>
      </c>
      <c r="B5847" t="str">
        <f>"1551604287696771"</f>
        <v>1551604287696771</v>
      </c>
      <c r="C5847" t="s">
        <v>40</v>
      </c>
      <c r="D5847">
        <v>5.141076</v>
      </c>
      <c r="E5847">
        <v>0.35188839999999999</v>
      </c>
      <c r="F5847" t="s">
        <v>48</v>
      </c>
      <c r="G5847">
        <v>-157.3501</v>
      </c>
      <c r="H5847">
        <v>2.8862719999999999</v>
      </c>
      <c r="I5847">
        <v>-11.417999999999999</v>
      </c>
      <c r="J5847">
        <v>-195.13839999999999</v>
      </c>
      <c r="K5847">
        <v>1.137815</v>
      </c>
      <c r="L5847">
        <v>-60.126010000000001</v>
      </c>
      <c r="M5847">
        <v>0.87229539999999905</v>
      </c>
      <c r="N5847">
        <v>-1.6739150000000001E-2</v>
      </c>
      <c r="O5847">
        <v>0.48869269999999998</v>
      </c>
      <c r="P5847">
        <v>0.84367669999999995</v>
      </c>
      <c r="Q5847">
        <v>0.17223949999999999</v>
      </c>
      <c r="R5847">
        <v>0.50847149999999997</v>
      </c>
      <c r="S5847">
        <v>2.0001829999999998</v>
      </c>
      <c r="T5847">
        <v>9.2173340000000006E-2</v>
      </c>
      <c r="U5847">
        <v>2.572327</v>
      </c>
      <c r="V5847">
        <v>-3.9161809999999998E-2</v>
      </c>
      <c r="W5847">
        <v>0.18721309999999999</v>
      </c>
      <c r="X5847">
        <v>0.98153840000000003</v>
      </c>
      <c r="Y5847">
        <v>-0.38897130000000002</v>
      </c>
      <c r="Z5847">
        <v>1.9960100000000001E-2</v>
      </c>
      <c r="AA5847">
        <v>0.92103360000000001</v>
      </c>
      <c r="AB5847">
        <v>38</v>
      </c>
      <c r="AC5847">
        <v>37.7882999999999</v>
      </c>
      <c r="AD5847">
        <v>1.7484569999999999</v>
      </c>
      <c r="AE5847">
        <v>48.708009999999902</v>
      </c>
      <c r="AF5847">
        <v>-24.0049626677718</v>
      </c>
      <c r="AG5847">
        <v>1.7484569999999999</v>
      </c>
      <c r="AH5847">
        <v>56.7281304838761</v>
      </c>
      <c r="AI5847">
        <v>88.374099105397903</v>
      </c>
      <c r="AJ5847">
        <v>112.936040799257</v>
      </c>
      <c r="AK5847">
        <v>61.622853899812498</v>
      </c>
      <c r="AL5847">
        <v>79.209811743943007</v>
      </c>
      <c r="AM5847">
        <v>92.284797968007894</v>
      </c>
      <c r="AN5847">
        <v>1.0000000114243199</v>
      </c>
    </row>
    <row r="5848" spans="1:40" x14ac:dyDescent="0.25">
      <c r="A5848" t="str">
        <f>"20190303171127709"</f>
        <v>20190303171127709</v>
      </c>
      <c r="B5848" t="str">
        <f>"1551604287696771"</f>
        <v>1551604287696771</v>
      </c>
      <c r="C5848" t="s">
        <v>40</v>
      </c>
      <c r="D5848">
        <v>5.141076</v>
      </c>
      <c r="E5848">
        <v>0.35188839999999999</v>
      </c>
      <c r="F5848" t="s">
        <v>48</v>
      </c>
      <c r="G5848">
        <v>-157.3501</v>
      </c>
      <c r="H5848">
        <v>2.939978</v>
      </c>
      <c r="I5848">
        <v>-10.24386</v>
      </c>
      <c r="J5848">
        <v>-194.97649999999999</v>
      </c>
      <c r="K5848">
        <v>1.1378729999999999</v>
      </c>
      <c r="L5848">
        <v>-60.03058</v>
      </c>
      <c r="M5848">
        <v>0.86787610000000004</v>
      </c>
      <c r="N5848">
        <v>-1.676484E-2</v>
      </c>
      <c r="O5848">
        <v>0.49649799999999999</v>
      </c>
      <c r="P5848">
        <v>0.83843210000000001</v>
      </c>
      <c r="Q5848">
        <v>0.17218449999999999</v>
      </c>
      <c r="R5848">
        <v>0.517092</v>
      </c>
      <c r="S5848">
        <v>1.9696659999999999</v>
      </c>
      <c r="T5848">
        <v>9.3935130000000006E-2</v>
      </c>
      <c r="U5848">
        <v>2.6000369999999999</v>
      </c>
      <c r="V5848">
        <v>-4.043973E-2</v>
      </c>
      <c r="W5848">
        <v>0.18712409999999999</v>
      </c>
      <c r="X5848">
        <v>0.98150349999999997</v>
      </c>
      <c r="Y5848">
        <v>-0.39231969999999999</v>
      </c>
      <c r="Z5848">
        <v>2.0482819999999999E-2</v>
      </c>
      <c r="AA5848">
        <v>0.9196008</v>
      </c>
      <c r="AB5848">
        <v>38</v>
      </c>
      <c r="AC5848">
        <v>37.626399999999897</v>
      </c>
      <c r="AD5848">
        <v>1.8021049999999901</v>
      </c>
      <c r="AE5848">
        <v>49.786720000000003</v>
      </c>
      <c r="AF5848">
        <v>-24.510277474748399</v>
      </c>
      <c r="AG5848">
        <v>1.8021049999999901</v>
      </c>
      <c r="AH5848">
        <v>57.334306606024597</v>
      </c>
      <c r="AI5848">
        <v>88.344534873632398</v>
      </c>
      <c r="AJ5848">
        <v>113.14659073718499</v>
      </c>
      <c r="AK5848">
        <v>62.379676163906304</v>
      </c>
      <c r="AL5848">
        <v>79.215002250334294</v>
      </c>
      <c r="AM5848">
        <v>92.359355893852296</v>
      </c>
      <c r="AN5848">
        <v>0.99999996053776496</v>
      </c>
    </row>
    <row r="5849" spans="1:40" x14ac:dyDescent="0.25">
      <c r="A5849" t="str">
        <f>"20190303171127722"</f>
        <v>20190303171127722</v>
      </c>
      <c r="B5849" t="str">
        <f>"1551604287716291"</f>
        <v>1551604287716291</v>
      </c>
      <c r="C5849" t="s">
        <v>40</v>
      </c>
      <c r="D5849">
        <v>5.284243</v>
      </c>
      <c r="E5849">
        <v>0.35078350000000003</v>
      </c>
      <c r="F5849" t="s">
        <v>48</v>
      </c>
      <c r="G5849">
        <v>-157.3501</v>
      </c>
      <c r="H5849">
        <v>2.9326590000000001</v>
      </c>
      <c r="I5849">
        <v>-9.3001380000000005</v>
      </c>
      <c r="J5849">
        <v>-194.81039999999999</v>
      </c>
      <c r="K5849">
        <v>1.1379300000000001</v>
      </c>
      <c r="L5849">
        <v>-59.931150000000002</v>
      </c>
      <c r="M5849">
        <v>0.86323969999999906</v>
      </c>
      <c r="N5849">
        <v>-1.678994E-2</v>
      </c>
      <c r="O5849">
        <v>0.50451499999999905</v>
      </c>
      <c r="P5849">
        <v>0.83284749999999996</v>
      </c>
      <c r="Q5849">
        <v>0.17261960000000001</v>
      </c>
      <c r="R5849">
        <v>0.5258969</v>
      </c>
      <c r="S5849">
        <v>1.9432370000000001</v>
      </c>
      <c r="T5849">
        <v>9.2692259999999999E-2</v>
      </c>
      <c r="U5849">
        <v>2.6199949999999999</v>
      </c>
      <c r="V5849">
        <v>-4.1783430000000003E-2</v>
      </c>
      <c r="W5849">
        <v>0.18752079999999999</v>
      </c>
      <c r="X5849">
        <v>0.98137149999999995</v>
      </c>
      <c r="Y5849">
        <v>-0.39313700000000001</v>
      </c>
      <c r="Z5849">
        <v>2.0746629999999999E-2</v>
      </c>
      <c r="AA5849">
        <v>0.9192458</v>
      </c>
      <c r="AB5849">
        <v>38</v>
      </c>
      <c r="AC5849">
        <v>37.460299999999897</v>
      </c>
      <c r="AD5849">
        <v>1.794729</v>
      </c>
      <c r="AE5849">
        <v>50.631011999999998</v>
      </c>
      <c r="AF5849">
        <v>-24.790782578431099</v>
      </c>
      <c r="AG5849">
        <v>1.794729</v>
      </c>
      <c r="AH5849">
        <v>57.842512783340801</v>
      </c>
      <c r="AI5849">
        <v>88.366430479732003</v>
      </c>
      <c r="AJ5849">
        <v>113.199539689066</v>
      </c>
      <c r="AK5849">
        <v>62.956812483840302</v>
      </c>
      <c r="AL5849">
        <v>79.191863450491198</v>
      </c>
      <c r="AM5849">
        <v>92.437985176472495</v>
      </c>
      <c r="AN5849">
        <v>0.99999996323372597</v>
      </c>
    </row>
    <row r="5850" spans="1:40" x14ac:dyDescent="0.25">
      <c r="A5850" t="str">
        <f>"20190303171127732"</f>
        <v>20190303171127732</v>
      </c>
      <c r="B5850" t="str">
        <f>"1551604287726051"</f>
        <v>1551604287726051</v>
      </c>
      <c r="C5850" t="s">
        <v>40</v>
      </c>
      <c r="D5850">
        <v>5.2760920000000002</v>
      </c>
      <c r="E5850">
        <v>0.35104780000000002</v>
      </c>
      <c r="F5850" t="s">
        <v>48</v>
      </c>
      <c r="G5850">
        <v>-166.21530000000001</v>
      </c>
      <c r="H5850">
        <v>2.599723</v>
      </c>
      <c r="I5850">
        <v>-20.31495</v>
      </c>
      <c r="J5850">
        <v>-194.642</v>
      </c>
      <c r="K5850">
        <v>1.137983</v>
      </c>
      <c r="L5850">
        <v>-59.828310000000002</v>
      </c>
      <c r="M5850">
        <v>0.85842199999999902</v>
      </c>
      <c r="N5850">
        <v>-1.681421E-2</v>
      </c>
      <c r="O5850">
        <v>0.51266840000000002</v>
      </c>
      <c r="P5850">
        <v>0.82691340000000002</v>
      </c>
      <c r="Q5850">
        <v>0.1736752</v>
      </c>
      <c r="R5850">
        <v>0.53483740000000002</v>
      </c>
      <c r="S5850">
        <v>1.910507</v>
      </c>
      <c r="T5850">
        <v>9.7665669999999996E-2</v>
      </c>
      <c r="U5850">
        <v>2.6468509999999998</v>
      </c>
      <c r="V5850">
        <v>-4.3246590000000001E-2</v>
      </c>
      <c r="W5850">
        <v>0.18853010000000001</v>
      </c>
      <c r="X5850">
        <v>0.98111470000000001</v>
      </c>
      <c r="Y5850">
        <v>-0.39635409999999999</v>
      </c>
      <c r="Z5850">
        <v>2.1628310000000001E-2</v>
      </c>
      <c r="AA5850">
        <v>0.91784290000000002</v>
      </c>
      <c r="AB5850">
        <v>38</v>
      </c>
      <c r="AC5850">
        <v>28.426699999999901</v>
      </c>
      <c r="AD5850">
        <v>1.46174</v>
      </c>
      <c r="AE5850">
        <v>39.513359999999899</v>
      </c>
      <c r="AF5850">
        <v>-19.330970131295</v>
      </c>
      <c r="AG5850">
        <v>1.46174</v>
      </c>
      <c r="AH5850">
        <v>44.625428749534599</v>
      </c>
      <c r="AI5850">
        <v>88.278385651413899</v>
      </c>
      <c r="AJ5850">
        <v>113.421433126891</v>
      </c>
      <c r="AK5850">
        <v>48.654413788724298</v>
      </c>
      <c r="AL5850">
        <v>79.132984630673803</v>
      </c>
      <c r="AM5850">
        <v>92.523908944065795</v>
      </c>
      <c r="AN5850">
        <v>0.999999960354363</v>
      </c>
    </row>
    <row r="5851" spans="1:40" x14ac:dyDescent="0.25">
      <c r="A5851" t="str">
        <f>"20190303171127743"</f>
        <v>20190303171127743</v>
      </c>
      <c r="B5851" t="str">
        <f>"1551604287736787"</f>
        <v>1551604287736787</v>
      </c>
      <c r="C5851" t="s">
        <v>40</v>
      </c>
      <c r="D5851">
        <v>5.1452479999999996</v>
      </c>
      <c r="E5851">
        <v>0.35067540000000003</v>
      </c>
      <c r="F5851" t="s">
        <v>48</v>
      </c>
      <c r="G5851">
        <v>-166.7355</v>
      </c>
      <c r="H5851">
        <v>2.598033</v>
      </c>
      <c r="I5851">
        <v>-20.31495</v>
      </c>
      <c r="J5851">
        <v>-194.4973</v>
      </c>
      <c r="K5851">
        <v>1.138028</v>
      </c>
      <c r="L5851">
        <v>-59.737789999999997</v>
      </c>
      <c r="M5851">
        <v>0.85418119999999997</v>
      </c>
      <c r="N5851">
        <v>-1.6833939999999999E-2</v>
      </c>
      <c r="O5851">
        <v>0.51970289999999997</v>
      </c>
      <c r="P5851">
        <v>0.82175509999999996</v>
      </c>
      <c r="Q5851">
        <v>0.174541</v>
      </c>
      <c r="R5851">
        <v>0.54245189999999999</v>
      </c>
      <c r="S5851">
        <v>1.882889</v>
      </c>
      <c r="T5851">
        <v>9.8511219999999997E-2</v>
      </c>
      <c r="U5851">
        <v>2.6660159999999999</v>
      </c>
      <c r="V5851">
        <v>-4.4403779999999997E-2</v>
      </c>
      <c r="W5851">
        <v>0.18935930000000001</v>
      </c>
      <c r="X5851">
        <v>0.98090330000000003</v>
      </c>
      <c r="Y5851">
        <v>-0.3982697</v>
      </c>
      <c r="Z5851">
        <v>2.205992E-2</v>
      </c>
      <c r="AA5851">
        <v>0.91700300000000001</v>
      </c>
      <c r="AB5851">
        <v>38</v>
      </c>
      <c r="AC5851">
        <v>27.761799999999901</v>
      </c>
      <c r="AD5851">
        <v>1.460005</v>
      </c>
      <c r="AE5851">
        <v>39.422840000000001</v>
      </c>
      <c r="AF5851">
        <v>-19.231455565000399</v>
      </c>
      <c r="AG5851">
        <v>1.460005</v>
      </c>
      <c r="AH5851">
        <v>44.1675400792072</v>
      </c>
      <c r="AI5851">
        <v>88.264030886884996</v>
      </c>
      <c r="AJ5851">
        <v>113.52929988316301</v>
      </c>
      <c r="AK5851">
        <v>48.194938472800096</v>
      </c>
      <c r="AL5851">
        <v>79.084603531865298</v>
      </c>
      <c r="AM5851">
        <v>92.591910421679401</v>
      </c>
      <c r="AN5851">
        <v>0.99999996206283304</v>
      </c>
    </row>
    <row r="5852" spans="1:40" x14ac:dyDescent="0.25">
      <c r="A5852" t="str">
        <f>"20190303171127753"</f>
        <v>20190303171127753</v>
      </c>
      <c r="B5852" t="str">
        <f>"1551604287746547"</f>
        <v>1551604287746547</v>
      </c>
      <c r="C5852" t="s">
        <v>40</v>
      </c>
      <c r="D5852">
        <v>5.133928</v>
      </c>
      <c r="E5852">
        <v>0.35049360000000002</v>
      </c>
      <c r="F5852" t="s">
        <v>48</v>
      </c>
      <c r="G5852">
        <v>-167.2475</v>
      </c>
      <c r="H5852">
        <v>2.6407319999999999</v>
      </c>
      <c r="I5852">
        <v>-20.31495</v>
      </c>
      <c r="J5852">
        <v>-194.34649999999999</v>
      </c>
      <c r="K5852">
        <v>1.138074</v>
      </c>
      <c r="L5852">
        <v>-59.642359999999996</v>
      </c>
      <c r="M5852">
        <v>0.84967819999999905</v>
      </c>
      <c r="N5852">
        <v>-1.685354E-2</v>
      </c>
      <c r="O5852">
        <v>0.52703230000000001</v>
      </c>
      <c r="P5852">
        <v>0.8163494</v>
      </c>
      <c r="Q5852">
        <v>0.17538870000000001</v>
      </c>
      <c r="R5852">
        <v>0.550284</v>
      </c>
      <c r="S5852">
        <v>1.8562620000000001</v>
      </c>
      <c r="T5852">
        <v>0.1023641</v>
      </c>
      <c r="U5852">
        <v>2.685486</v>
      </c>
      <c r="V5852">
        <v>-4.5498909999999997E-2</v>
      </c>
      <c r="W5852">
        <v>0.1901726</v>
      </c>
      <c r="X5852">
        <v>0.98069580000000001</v>
      </c>
      <c r="Y5852">
        <v>-0.39965899999999999</v>
      </c>
      <c r="Z5852">
        <v>2.283162E-2</v>
      </c>
      <c r="AA5852">
        <v>0.91637950000000001</v>
      </c>
      <c r="AB5852">
        <v>38</v>
      </c>
      <c r="AC5852">
        <v>27.098999999999901</v>
      </c>
      <c r="AD5852">
        <v>1.5026579999999901</v>
      </c>
      <c r="AE5852">
        <v>39.32741</v>
      </c>
      <c r="AF5852">
        <v>-19.117386887385798</v>
      </c>
      <c r="AG5852">
        <v>1.5026579999999901</v>
      </c>
      <c r="AH5852">
        <v>43.715183077701703</v>
      </c>
      <c r="AI5852">
        <v>88.196125923442395</v>
      </c>
      <c r="AJ5852">
        <v>113.62057009246401</v>
      </c>
      <c r="AK5852">
        <v>47.736251360825698</v>
      </c>
      <c r="AL5852">
        <v>79.037143009207696</v>
      </c>
      <c r="AM5852">
        <v>92.656305372176504</v>
      </c>
      <c r="AN5852">
        <v>1.0000000103697899</v>
      </c>
    </row>
    <row r="5853" spans="1:40" x14ac:dyDescent="0.25">
      <c r="A5853" t="str">
        <f>"20190303171127766"</f>
        <v>20190303171127766</v>
      </c>
      <c r="B5853" t="str">
        <f>"1551604287756307"</f>
        <v>1551604287756307</v>
      </c>
      <c r="C5853" t="s">
        <v>40</v>
      </c>
      <c r="D5853">
        <v>5.1470929999999999</v>
      </c>
      <c r="E5853">
        <v>0.35044120000000001</v>
      </c>
      <c r="F5853" t="s">
        <v>48</v>
      </c>
      <c r="G5853">
        <v>-167.74379999999999</v>
      </c>
      <c r="H5853">
        <v>2.6736610000000001</v>
      </c>
      <c r="I5853">
        <v>-20.31495</v>
      </c>
      <c r="J5853">
        <v>-194.18969999999999</v>
      </c>
      <c r="K5853">
        <v>1.138118</v>
      </c>
      <c r="L5853">
        <v>-59.540219999999998</v>
      </c>
      <c r="M5853">
        <v>0.84487109999999999</v>
      </c>
      <c r="N5853">
        <v>-1.6872700000000001E-2</v>
      </c>
      <c r="O5853">
        <v>0.53470390000000001</v>
      </c>
      <c r="P5853">
        <v>0.81087290000000001</v>
      </c>
      <c r="Q5853">
        <v>0.175925</v>
      </c>
      <c r="R5853">
        <v>0.55815369999999997</v>
      </c>
      <c r="S5853">
        <v>1.829315</v>
      </c>
      <c r="T5853">
        <v>0.1055931</v>
      </c>
      <c r="U5853">
        <v>2.7043149999999998</v>
      </c>
      <c r="V5853">
        <v>-4.6211969999999998E-2</v>
      </c>
      <c r="W5853">
        <v>0.19069220000000001</v>
      </c>
      <c r="X5853">
        <v>0.98056160000000003</v>
      </c>
      <c r="Y5853">
        <v>-0.40060109999999999</v>
      </c>
      <c r="Z5853">
        <v>2.3575269999999999E-2</v>
      </c>
      <c r="AA5853">
        <v>0.91594920000000002</v>
      </c>
      <c r="AB5853">
        <v>38</v>
      </c>
      <c r="AC5853">
        <v>26.445899999999899</v>
      </c>
      <c r="AD5853">
        <v>1.5355430000000001</v>
      </c>
      <c r="AE5853">
        <v>39.225270000000002</v>
      </c>
      <c r="AF5853">
        <v>-18.982275902561</v>
      </c>
      <c r="AG5853">
        <v>1.5355430000000001</v>
      </c>
      <c r="AH5853">
        <v>43.277849905861999</v>
      </c>
      <c r="AI5853">
        <v>88.138948466340494</v>
      </c>
      <c r="AJ5853">
        <v>113.68293465338</v>
      </c>
      <c r="AK5853">
        <v>47.282734515043899</v>
      </c>
      <c r="AL5853">
        <v>79.0068176804633</v>
      </c>
      <c r="AM5853">
        <v>92.698242706948804</v>
      </c>
      <c r="AN5853">
        <v>1.00000005635333</v>
      </c>
    </row>
    <row r="5854" spans="1:40" x14ac:dyDescent="0.25">
      <c r="A5854" t="str">
        <f>"20190303171127776"</f>
        <v>20190303171127776</v>
      </c>
      <c r="B5854" t="str">
        <f>"1551604287766067"</f>
        <v>1551604287766067</v>
      </c>
      <c r="C5854" t="s">
        <v>40</v>
      </c>
      <c r="D5854">
        <v>5.1599709999999996</v>
      </c>
      <c r="E5854">
        <v>0.35059050000000003</v>
      </c>
      <c r="F5854" t="s">
        <v>48</v>
      </c>
      <c r="G5854">
        <v>-168.2124</v>
      </c>
      <c r="H5854">
        <v>2.6878139999999999</v>
      </c>
      <c r="I5854">
        <v>-20.31495</v>
      </c>
      <c r="J5854">
        <v>-194.03809999999999</v>
      </c>
      <c r="K5854">
        <v>1.1381559999999999</v>
      </c>
      <c r="L5854">
        <v>-59.440890000000003</v>
      </c>
      <c r="M5854">
        <v>0.84014750000000005</v>
      </c>
      <c r="N5854">
        <v>-1.6890240000000001E-2</v>
      </c>
      <c r="O5854">
        <v>0.54209490000000005</v>
      </c>
      <c r="P5854">
        <v>0.80519069999999904</v>
      </c>
      <c r="Q5854">
        <v>0.1764037</v>
      </c>
      <c r="R5854">
        <v>0.56617119999999999</v>
      </c>
      <c r="S5854">
        <v>1.8027040000000001</v>
      </c>
      <c r="T5854">
        <v>0.10754130000000001</v>
      </c>
      <c r="U5854">
        <v>2.7220460000000002</v>
      </c>
      <c r="V5854">
        <v>-4.7438460000000002E-2</v>
      </c>
      <c r="W5854">
        <v>0.19112879999999999</v>
      </c>
      <c r="X5854">
        <v>0.98041800000000001</v>
      </c>
      <c r="Y5854">
        <v>-0.40154499999999999</v>
      </c>
      <c r="Z5854">
        <v>2.4177980000000002E-2</v>
      </c>
      <c r="AA5854">
        <v>0.91552009999999995</v>
      </c>
      <c r="AB5854">
        <v>38</v>
      </c>
      <c r="AC5854">
        <v>25.825699999999902</v>
      </c>
      <c r="AD5854">
        <v>1.549658</v>
      </c>
      <c r="AE5854">
        <v>39.12594</v>
      </c>
      <c r="AF5854">
        <v>-18.853672474751999</v>
      </c>
      <c r="AG5854">
        <v>1.549658</v>
      </c>
      <c r="AH5854">
        <v>42.866653428108201</v>
      </c>
      <c r="AI5854">
        <v>88.104692647851394</v>
      </c>
      <c r="AJ5854">
        <v>113.74092174734901</v>
      </c>
      <c r="AK5854">
        <v>46.855227902846998</v>
      </c>
      <c r="AL5854">
        <v>78.981333447368698</v>
      </c>
      <c r="AM5854">
        <v>92.770150459495895</v>
      </c>
      <c r="AN5854">
        <v>1.0000000402003</v>
      </c>
    </row>
    <row r="5855" spans="1:40" x14ac:dyDescent="0.25">
      <c r="A5855" t="str">
        <f>"20190303171127787"</f>
        <v>20190303171127787</v>
      </c>
      <c r="B5855" t="str">
        <f>"1551604287776804"</f>
        <v>1551604287776804</v>
      </c>
      <c r="C5855" t="s">
        <v>40</v>
      </c>
      <c r="D5855">
        <v>5.207789</v>
      </c>
      <c r="E5855">
        <v>0.3506339</v>
      </c>
      <c r="F5855" t="s">
        <v>48</v>
      </c>
      <c r="G5855">
        <v>-168.45050000000001</v>
      </c>
      <c r="H5855">
        <v>2.7013820000000002</v>
      </c>
      <c r="I5855">
        <v>-19.984490000000001</v>
      </c>
      <c r="J5855">
        <v>-193.88239999999999</v>
      </c>
      <c r="K5855">
        <v>1.138191</v>
      </c>
      <c r="L5855">
        <v>-59.335329999999999</v>
      </c>
      <c r="M5855">
        <v>0.83515930000000005</v>
      </c>
      <c r="N5855">
        <v>-1.6906999999999998E-2</v>
      </c>
      <c r="O5855">
        <v>0.54974820000000002</v>
      </c>
      <c r="P5855">
        <v>0.799075599999999</v>
      </c>
      <c r="Q5855">
        <v>0.1766404</v>
      </c>
      <c r="R5855">
        <v>0.57469669999999995</v>
      </c>
      <c r="S5855">
        <v>1.7761990000000001</v>
      </c>
      <c r="T5855">
        <v>0.1085134</v>
      </c>
      <c r="U5855">
        <v>2.7389220000000001</v>
      </c>
      <c r="V5855">
        <v>-4.896209E-2</v>
      </c>
      <c r="W5855">
        <v>0.19131139999999999</v>
      </c>
      <c r="X5855">
        <v>0.9803075</v>
      </c>
      <c r="Y5855">
        <v>-0.40199639999999998</v>
      </c>
      <c r="Z5855">
        <v>2.4697460000000001E-2</v>
      </c>
      <c r="AA5855">
        <v>0.91530809999999996</v>
      </c>
      <c r="AB5855">
        <v>38</v>
      </c>
      <c r="AC5855">
        <v>25.431899999999899</v>
      </c>
      <c r="AD5855">
        <v>1.563191</v>
      </c>
      <c r="AE5855">
        <v>39.350839999999998</v>
      </c>
      <c r="AF5855">
        <v>-18.864779800451998</v>
      </c>
      <c r="AG5855">
        <v>1.563191</v>
      </c>
      <c r="AH5855">
        <v>42.8311947642635</v>
      </c>
      <c r="AI5855">
        <v>88.087011233382299</v>
      </c>
      <c r="AJ5855">
        <v>113.770845626243</v>
      </c>
      <c r="AK5855">
        <v>46.827713247139201</v>
      </c>
      <c r="AL5855">
        <v>78.970674843183303</v>
      </c>
      <c r="AM5855">
        <v>92.859298649466993</v>
      </c>
      <c r="AN5855">
        <v>1.0000000662916799</v>
      </c>
    </row>
    <row r="5856" spans="1:40" x14ac:dyDescent="0.25">
      <c r="A5856" t="str">
        <f>"20190303171127799"</f>
        <v>20190303171127799</v>
      </c>
      <c r="B5856" t="str">
        <f>"1551604287786562"</f>
        <v>1551604287786562</v>
      </c>
      <c r="C5856" t="s">
        <v>40</v>
      </c>
      <c r="D5856">
        <v>5.1885649999999996</v>
      </c>
      <c r="E5856">
        <v>0.350688</v>
      </c>
      <c r="F5856" t="s">
        <v>48</v>
      </c>
      <c r="G5856">
        <v>-168.45050000000001</v>
      </c>
      <c r="H5856">
        <v>2.7348910000000002</v>
      </c>
      <c r="I5856">
        <v>-19.20665</v>
      </c>
      <c r="J5856">
        <v>-193.7321</v>
      </c>
      <c r="K5856">
        <v>1.1382239999999999</v>
      </c>
      <c r="L5856">
        <v>-59.23254</v>
      </c>
      <c r="M5856">
        <v>0.83025869999999902</v>
      </c>
      <c r="N5856">
        <v>-1.6922280000000001E-2</v>
      </c>
      <c r="O5856">
        <v>0.55712130000000004</v>
      </c>
      <c r="P5856">
        <v>0.79285709999999998</v>
      </c>
      <c r="Q5856">
        <v>0.17639929999999901</v>
      </c>
      <c r="R5856">
        <v>0.58331899999999903</v>
      </c>
      <c r="S5856">
        <v>1.747269</v>
      </c>
      <c r="T5856">
        <v>0.109699</v>
      </c>
      <c r="U5856">
        <v>2.7569889999999999</v>
      </c>
      <c r="V5856">
        <v>-5.0882620000000003E-2</v>
      </c>
      <c r="W5856">
        <v>0.1909978</v>
      </c>
      <c r="X5856">
        <v>0.9802708</v>
      </c>
      <c r="Y5856">
        <v>-0.4034605</v>
      </c>
      <c r="Z5856">
        <v>2.5223809999999999E-2</v>
      </c>
      <c r="AA5856">
        <v>0.9146493</v>
      </c>
      <c r="AB5856">
        <v>38</v>
      </c>
      <c r="AC5856">
        <v>25.281600000000001</v>
      </c>
      <c r="AD5856">
        <v>1.5966670000000001</v>
      </c>
      <c r="AE5856">
        <v>40.025889999999997</v>
      </c>
      <c r="AF5856">
        <v>-19.127909943368699</v>
      </c>
      <c r="AG5856">
        <v>1.5966670000000001</v>
      </c>
      <c r="AH5856">
        <v>43.246551600232699</v>
      </c>
      <c r="AI5856">
        <v>88.066151652078204</v>
      </c>
      <c r="AJ5856">
        <v>113.85976243458499</v>
      </c>
      <c r="AK5856">
        <v>47.314802225330098</v>
      </c>
      <c r="AL5856">
        <v>78.988979847973894</v>
      </c>
      <c r="AM5856">
        <v>92.971368025811003</v>
      </c>
      <c r="AN5856">
        <v>1.00000002097777</v>
      </c>
    </row>
    <row r="5857" spans="1:40" x14ac:dyDescent="0.25">
      <c r="A5857" t="str">
        <f>"20190303171127810"</f>
        <v>20190303171127810</v>
      </c>
      <c r="B5857" t="str">
        <f>"1551604287796323"</f>
        <v>1551604287796323</v>
      </c>
      <c r="C5857" t="s">
        <v>40</v>
      </c>
      <c r="D5857">
        <v>5.1857559999999996</v>
      </c>
      <c r="E5857">
        <v>0.35095290000000001</v>
      </c>
      <c r="F5857" t="s">
        <v>48</v>
      </c>
      <c r="G5857">
        <v>-168.45050000000001</v>
      </c>
      <c r="H5857">
        <v>2.747061</v>
      </c>
      <c r="I5857">
        <v>-18.386590000000002</v>
      </c>
      <c r="J5857">
        <v>-193.57310000000001</v>
      </c>
      <c r="K5857">
        <v>1.138255</v>
      </c>
      <c r="L5857">
        <v>-59.1209699999999</v>
      </c>
      <c r="M5857">
        <v>0.82494840000000003</v>
      </c>
      <c r="N5857">
        <v>-1.6937379999999998E-2</v>
      </c>
      <c r="O5857">
        <v>0.56495430000000002</v>
      </c>
      <c r="P5857">
        <v>0.78598230000000002</v>
      </c>
      <c r="Q5857">
        <v>0.1762117</v>
      </c>
      <c r="R5857">
        <v>0.59260550000000001</v>
      </c>
      <c r="S5857">
        <v>1.7177119999999999</v>
      </c>
      <c r="T5857">
        <v>0.1093094</v>
      </c>
      <c r="U5857">
        <v>2.7752080000000001</v>
      </c>
      <c r="V5857">
        <v>-5.3127180000000003E-2</v>
      </c>
      <c r="W5857">
        <v>0.19072259999999999</v>
      </c>
      <c r="X5857">
        <v>0.98020529999999995</v>
      </c>
      <c r="Y5857">
        <v>-0.40453289999999997</v>
      </c>
      <c r="Z5857">
        <v>2.559525E-2</v>
      </c>
      <c r="AA5857">
        <v>0.91416520000000001</v>
      </c>
      <c r="AB5857">
        <v>38</v>
      </c>
      <c r="AC5857">
        <v>25.122599999999998</v>
      </c>
      <c r="AD5857">
        <v>1.608806</v>
      </c>
      <c r="AE5857">
        <v>40.734380000000002</v>
      </c>
      <c r="AF5857">
        <v>-19.3915116004334</v>
      </c>
      <c r="AG5857">
        <v>1.608806</v>
      </c>
      <c r="AH5857">
        <v>43.694808276429598</v>
      </c>
      <c r="AI5857">
        <v>88.072501901280305</v>
      </c>
      <c r="AJ5857">
        <v>113.931380556449</v>
      </c>
      <c r="AK5857">
        <v>47.831529864821597</v>
      </c>
      <c r="AL5857">
        <v>79.005042905672397</v>
      </c>
      <c r="AM5857">
        <v>93.102398792281505</v>
      </c>
      <c r="AN5857">
        <v>1.0000000187767999</v>
      </c>
    </row>
    <row r="5858" spans="1:40" x14ac:dyDescent="0.25">
      <c r="A5858" t="str">
        <f>"20190303171127822"</f>
        <v>20190303171127822</v>
      </c>
      <c r="B5858" t="str">
        <f>"1551604287816820"</f>
        <v>1551604287816820</v>
      </c>
      <c r="C5858" t="s">
        <v>40</v>
      </c>
      <c r="D5858">
        <v>5.1738530000000003</v>
      </c>
      <c r="E5858">
        <v>0.35163349999999999</v>
      </c>
      <c r="F5858" t="s">
        <v>48</v>
      </c>
      <c r="G5858">
        <v>-168.45050000000001</v>
      </c>
      <c r="H5858">
        <v>2.7472050000000001</v>
      </c>
      <c r="I5858">
        <v>-17.516400000000001</v>
      </c>
      <c r="J5858">
        <v>-193.41659999999999</v>
      </c>
      <c r="K5858">
        <v>1.138282</v>
      </c>
      <c r="L5858">
        <v>-59.0092199999999</v>
      </c>
      <c r="M5858">
        <v>0.81960820000000001</v>
      </c>
      <c r="N5858">
        <v>-1.6951270000000001E-2</v>
      </c>
      <c r="O5858">
        <v>0.5726736</v>
      </c>
      <c r="P5858">
        <v>0.77918199999999904</v>
      </c>
      <c r="Q5858">
        <v>0.1762196</v>
      </c>
      <c r="R5858">
        <v>0.60151650000000001</v>
      </c>
      <c r="S5858">
        <v>1.686661</v>
      </c>
      <c r="T5858">
        <v>0.1080202</v>
      </c>
      <c r="U5858">
        <v>2.7932130000000002</v>
      </c>
      <c r="V5858">
        <v>-5.5107730000000001E-2</v>
      </c>
      <c r="W5858">
        <v>0.1906533</v>
      </c>
      <c r="X5858">
        <v>0.98010940000000002</v>
      </c>
      <c r="Y5858">
        <v>-0.40599940000000001</v>
      </c>
      <c r="Z5858">
        <v>2.5848119999999999E-2</v>
      </c>
      <c r="AA5858">
        <v>0.91350779999999998</v>
      </c>
      <c r="AB5858">
        <v>38</v>
      </c>
      <c r="AC5858">
        <v>24.966099999999901</v>
      </c>
      <c r="AD5858">
        <v>1.6089229999999899</v>
      </c>
      <c r="AE5858">
        <v>41.492820000000002</v>
      </c>
      <c r="AF5858">
        <v>-19.691523880128798</v>
      </c>
      <c r="AG5858">
        <v>1.6089229999999899</v>
      </c>
      <c r="AH5858">
        <v>44.181845161572802</v>
      </c>
      <c r="AI5858">
        <v>88.094937519548495</v>
      </c>
      <c r="AJ5858">
        <v>114.022181853671</v>
      </c>
      <c r="AK5858">
        <v>48.398142400538603</v>
      </c>
      <c r="AL5858">
        <v>79.009087395065293</v>
      </c>
      <c r="AM5858">
        <v>93.218129895384394</v>
      </c>
      <c r="AN5858">
        <v>0.99999998933750101</v>
      </c>
    </row>
    <row r="5859" spans="1:40" x14ac:dyDescent="0.25">
      <c r="A5859" t="str">
        <f>"20190303171127833"</f>
        <v>20190303171127833</v>
      </c>
      <c r="B5859" t="str">
        <f>"1551604287826578"</f>
        <v>1551604287826578</v>
      </c>
      <c r="C5859" t="s">
        <v>40</v>
      </c>
      <c r="D5859">
        <v>5.1428640000000003</v>
      </c>
      <c r="E5859">
        <v>0.3520488</v>
      </c>
      <c r="F5859" t="s">
        <v>48</v>
      </c>
      <c r="G5859">
        <v>-157.3501</v>
      </c>
      <c r="H5859">
        <v>3.4715379999999998</v>
      </c>
      <c r="I5859">
        <v>2.063107</v>
      </c>
      <c r="J5859">
        <v>-193.2612</v>
      </c>
      <c r="K5859">
        <v>1.1383080000000001</v>
      </c>
      <c r="L5859">
        <v>-58.896450000000002</v>
      </c>
      <c r="M5859">
        <v>0.81419770000000002</v>
      </c>
      <c r="N5859">
        <v>-1.6964179999999999E-2</v>
      </c>
      <c r="O5859">
        <v>0.58033990000000002</v>
      </c>
      <c r="P5859">
        <v>0.77234389999999997</v>
      </c>
      <c r="Q5859">
        <v>0.1760524</v>
      </c>
      <c r="R5859">
        <v>0.61032010000000003</v>
      </c>
      <c r="S5859">
        <v>1.658234</v>
      </c>
      <c r="T5859">
        <v>0.107276</v>
      </c>
      <c r="U5859">
        <v>2.807922</v>
      </c>
      <c r="V5859">
        <v>-5.7022749999999997E-2</v>
      </c>
      <c r="W5859">
        <v>0.19041079999999999</v>
      </c>
      <c r="X5859">
        <v>0.980047</v>
      </c>
      <c r="Y5859">
        <v>-0.40637180000000001</v>
      </c>
      <c r="Z5859">
        <v>2.6172319999999999E-2</v>
      </c>
      <c r="AA5859">
        <v>0.9133329</v>
      </c>
      <c r="AB5859">
        <v>38</v>
      </c>
      <c r="AC5859">
        <v>35.911099999999998</v>
      </c>
      <c r="AD5859">
        <v>2.3332299999999901</v>
      </c>
      <c r="AE5859">
        <v>60.959556999999997</v>
      </c>
      <c r="AF5859">
        <v>-28.765345710237799</v>
      </c>
      <c r="AG5859">
        <v>2.3332299999999901</v>
      </c>
      <c r="AH5859">
        <v>64.555088031123105</v>
      </c>
      <c r="AI5859">
        <v>88.109123220803994</v>
      </c>
      <c r="AJ5859">
        <v>114.017455401758</v>
      </c>
      <c r="AK5859">
        <v>70.712435022197099</v>
      </c>
      <c r="AL5859">
        <v>79.023240957473405</v>
      </c>
      <c r="AM5859">
        <v>93.329925565741505</v>
      </c>
      <c r="AN5859">
        <v>0.99999999449160104</v>
      </c>
    </row>
    <row r="5860" spans="1:40" x14ac:dyDescent="0.25">
      <c r="A5860" t="str">
        <f>"20190303171127845"</f>
        <v>20190303171127845</v>
      </c>
      <c r="B5860" t="str">
        <f>"1551604287836339"</f>
        <v>1551604287836339</v>
      </c>
      <c r="C5860" t="s">
        <v>40</v>
      </c>
      <c r="D5860">
        <v>5.1444349999999996</v>
      </c>
      <c r="E5860">
        <v>0.35254410000000003</v>
      </c>
      <c r="F5860" t="s">
        <v>48</v>
      </c>
      <c r="G5860">
        <v>-157.3501</v>
      </c>
      <c r="H5860">
        <v>3.4786199999999998</v>
      </c>
      <c r="I5860">
        <v>3.3965010000000002</v>
      </c>
      <c r="J5860">
        <v>-193.12280000000001</v>
      </c>
      <c r="K5860">
        <v>1.138331</v>
      </c>
      <c r="L5860">
        <v>-58.793300000000002</v>
      </c>
      <c r="M5860">
        <v>0.80926260000000005</v>
      </c>
      <c r="N5860">
        <v>-1.6974840000000001E-2</v>
      </c>
      <c r="O5860">
        <v>0.5872018</v>
      </c>
      <c r="P5860">
        <v>0.76606700000000005</v>
      </c>
      <c r="Q5860">
        <v>0.1762445</v>
      </c>
      <c r="R5860">
        <v>0.6181257</v>
      </c>
      <c r="S5860">
        <v>1.62822</v>
      </c>
      <c r="T5860">
        <v>0.1061102</v>
      </c>
      <c r="U5860">
        <v>2.8243710000000002</v>
      </c>
      <c r="V5860">
        <v>-5.8733519999999997E-2</v>
      </c>
      <c r="W5860">
        <v>0.19053400000000001</v>
      </c>
      <c r="X5860">
        <v>0.97992210000000002</v>
      </c>
      <c r="Y5860">
        <v>-0.40823029999999999</v>
      </c>
      <c r="Z5860">
        <v>2.6381249999999998E-2</v>
      </c>
      <c r="AA5860">
        <v>0.91249769999999997</v>
      </c>
      <c r="AB5860">
        <v>38</v>
      </c>
      <c r="AC5860">
        <v>35.7727</v>
      </c>
      <c r="AD5860">
        <v>2.3402889999999998</v>
      </c>
      <c r="AE5860">
        <v>62.189801000000003</v>
      </c>
      <c r="AF5860">
        <v>-29.295139268347</v>
      </c>
      <c r="AG5860">
        <v>2.3402889999999998</v>
      </c>
      <c r="AH5860">
        <v>65.407306795772698</v>
      </c>
      <c r="AI5860">
        <v>88.129697939903494</v>
      </c>
      <c r="AJ5860">
        <v>114.127028656642</v>
      </c>
      <c r="AK5860">
        <v>71.706331098667306</v>
      </c>
      <c r="AL5860">
        <v>79.0160513933467</v>
      </c>
      <c r="AM5860">
        <v>93.430029531755693</v>
      </c>
      <c r="AN5860">
        <v>1.00000007679799</v>
      </c>
    </row>
    <row r="5861" spans="1:40" x14ac:dyDescent="0.25">
      <c r="A5861" t="str">
        <f>"20190303171127855"</f>
        <v>20190303171127855</v>
      </c>
      <c r="B5861" t="str">
        <f>"1551604287846099"</f>
        <v>1551604287846099</v>
      </c>
      <c r="C5861" t="s">
        <v>40</v>
      </c>
      <c r="D5861">
        <v>5.1830829999999999</v>
      </c>
      <c r="E5861">
        <v>0.35309839999999998</v>
      </c>
      <c r="F5861" t="s">
        <v>48</v>
      </c>
      <c r="G5861">
        <v>-157.3501</v>
      </c>
      <c r="H5861">
        <v>3.5005009999999999</v>
      </c>
      <c r="I5861">
        <v>4.5748350000000002</v>
      </c>
      <c r="J5861">
        <v>-192.9753</v>
      </c>
      <c r="K5861">
        <v>1.138352</v>
      </c>
      <c r="L5861">
        <v>-58.682560000000002</v>
      </c>
      <c r="M5861">
        <v>0.80391999999999997</v>
      </c>
      <c r="N5861">
        <v>-1.6985569999999998E-2</v>
      </c>
      <c r="O5861">
        <v>0.59449490000000005</v>
      </c>
      <c r="P5861">
        <v>0.75954690000000002</v>
      </c>
      <c r="Q5861">
        <v>0.1763981</v>
      </c>
      <c r="R5861">
        <v>0.62607679999999999</v>
      </c>
      <c r="S5861">
        <v>1.6020049999999999</v>
      </c>
      <c r="T5861">
        <v>0.1057843</v>
      </c>
      <c r="U5861">
        <v>2.837799</v>
      </c>
      <c r="V5861">
        <v>-6.0130330000000003E-2</v>
      </c>
      <c r="W5861">
        <v>0.1906322</v>
      </c>
      <c r="X5861">
        <v>0.97981819999999997</v>
      </c>
      <c r="Y5861">
        <v>-0.40821619999999997</v>
      </c>
      <c r="Z5861">
        <v>2.6731680000000001E-2</v>
      </c>
      <c r="AA5861">
        <v>0.91249380000000002</v>
      </c>
      <c r="AB5861">
        <v>38</v>
      </c>
      <c r="AC5861">
        <v>35.6252</v>
      </c>
      <c r="AD5861">
        <v>2.3621490000000001</v>
      </c>
      <c r="AE5861">
        <v>63.257395000000002</v>
      </c>
      <c r="AF5861">
        <v>-29.6477795659865</v>
      </c>
      <c r="AG5861">
        <v>2.3621490000000001</v>
      </c>
      <c r="AH5861">
        <v>66.185498896395103</v>
      </c>
      <c r="AI5861">
        <v>88.134463611921902</v>
      </c>
      <c r="AJ5861">
        <v>114.129983052333</v>
      </c>
      <c r="AK5861">
        <v>72.560945730167006</v>
      </c>
      <c r="AL5861">
        <v>79.010319026575502</v>
      </c>
      <c r="AM5861">
        <v>93.511772721436699</v>
      </c>
      <c r="AN5861">
        <v>0.99999999865699396</v>
      </c>
    </row>
    <row r="5862" spans="1:40" x14ac:dyDescent="0.25">
      <c r="A5862" t="str">
        <f>"20190303171127868"</f>
        <v>20190303171127868</v>
      </c>
      <c r="B5862" t="str">
        <f>"1551604287856835"</f>
        <v>1551604287856835</v>
      </c>
      <c r="C5862" t="s">
        <v>40</v>
      </c>
      <c r="D5862">
        <v>5.1312749999999996</v>
      </c>
      <c r="E5862">
        <v>0.35364250000000003</v>
      </c>
      <c r="F5862" t="s">
        <v>48</v>
      </c>
      <c r="G5862">
        <v>-157.3501</v>
      </c>
      <c r="H5862">
        <v>3.5235449999999999</v>
      </c>
      <c r="I5862">
        <v>5.8166960000000003</v>
      </c>
      <c r="J5862">
        <v>-192.82159999999999</v>
      </c>
      <c r="K5862">
        <v>1.1383749999999999</v>
      </c>
      <c r="L5862">
        <v>-58.563389999999998</v>
      </c>
      <c r="M5862">
        <v>0.79820309999999906</v>
      </c>
      <c r="N5862">
        <v>-1.6995920000000001E-2</v>
      </c>
      <c r="O5862">
        <v>0.60214849999999998</v>
      </c>
      <c r="P5862">
        <v>0.75254949999999998</v>
      </c>
      <c r="Q5862">
        <v>0.17617060000000001</v>
      </c>
      <c r="R5862">
        <v>0.63453380000000004</v>
      </c>
      <c r="S5862">
        <v>1.574921</v>
      </c>
      <c r="T5862">
        <v>0.1054451</v>
      </c>
      <c r="U5862">
        <v>2.8513790000000001</v>
      </c>
      <c r="V5862">
        <v>-6.1702689999999998E-2</v>
      </c>
      <c r="W5862">
        <v>0.19034200000000001</v>
      </c>
      <c r="X5862">
        <v>0.97977689999999995</v>
      </c>
      <c r="Y5862">
        <v>-0.40797420000000001</v>
      </c>
      <c r="Z5862">
        <v>2.7099399999999999E-2</v>
      </c>
      <c r="AA5862">
        <v>0.91259120000000005</v>
      </c>
      <c r="AB5862">
        <v>38</v>
      </c>
      <c r="AC5862">
        <v>35.471499999999899</v>
      </c>
      <c r="AD5862">
        <v>2.38517</v>
      </c>
      <c r="AE5862">
        <v>64.380086000000006</v>
      </c>
      <c r="AF5862">
        <v>-30.0020235992267</v>
      </c>
      <c r="AG5862">
        <v>2.38517</v>
      </c>
      <c r="AH5862">
        <v>67.018961787566099</v>
      </c>
      <c r="AI5862">
        <v>88.139507449847997</v>
      </c>
      <c r="AJ5862">
        <v>114.116377709555</v>
      </c>
      <c r="AK5862">
        <v>73.466670640915197</v>
      </c>
      <c r="AL5862">
        <v>79.027256808784998</v>
      </c>
      <c r="AM5862">
        <v>93.603515380312004</v>
      </c>
      <c r="AN5862">
        <v>1.00000003634542</v>
      </c>
    </row>
    <row r="5863" spans="1:40" x14ac:dyDescent="0.25">
      <c r="A5863" t="str">
        <f>"20190303171127879"</f>
        <v>20190303171127879</v>
      </c>
      <c r="B5863" t="str">
        <f>"1551604287866595"</f>
        <v>1551604287866595</v>
      </c>
      <c r="C5863" t="s">
        <v>40</v>
      </c>
      <c r="D5863">
        <v>5.1285230000000004</v>
      </c>
      <c r="E5863">
        <v>0.35421570000000002</v>
      </c>
      <c r="F5863" t="s">
        <v>48</v>
      </c>
      <c r="G5863">
        <v>-157.3501</v>
      </c>
      <c r="H5863">
        <v>3.531399</v>
      </c>
      <c r="I5863">
        <v>7.1881240000000002</v>
      </c>
      <c r="J5863">
        <v>-192.6738</v>
      </c>
      <c r="K5863">
        <v>1.1383920000000001</v>
      </c>
      <c r="L5863">
        <v>-58.447850000000003</v>
      </c>
      <c r="M5863">
        <v>0.7926183</v>
      </c>
      <c r="N5863">
        <v>-1.700525E-2</v>
      </c>
      <c r="O5863">
        <v>0.60948100000000005</v>
      </c>
      <c r="P5863">
        <v>0.74585780000000002</v>
      </c>
      <c r="Q5863">
        <v>0.17603369999999999</v>
      </c>
      <c r="R5863">
        <v>0.64242379999999999</v>
      </c>
      <c r="S5863">
        <v>1.545898</v>
      </c>
      <c r="T5863">
        <v>0.1042911</v>
      </c>
      <c r="U5863">
        <v>2.8655400000000002</v>
      </c>
      <c r="V5863">
        <v>-6.2977140000000001E-2</v>
      </c>
      <c r="W5863">
        <v>0.19015480000000001</v>
      </c>
      <c r="X5863">
        <v>0.97973220000000005</v>
      </c>
      <c r="Y5863">
        <v>-0.40859699999999999</v>
      </c>
      <c r="Z5863">
        <v>2.7333130000000001E-2</v>
      </c>
      <c r="AA5863">
        <v>0.91230549999999999</v>
      </c>
      <c r="AB5863">
        <v>37</v>
      </c>
      <c r="AC5863">
        <v>35.323700000000002</v>
      </c>
      <c r="AD5863">
        <v>2.3930069999999999</v>
      </c>
      <c r="AE5863">
        <v>65.635974000000004</v>
      </c>
      <c r="AF5863">
        <v>-30.4681558589348</v>
      </c>
      <c r="AG5863">
        <v>2.3930069999999999</v>
      </c>
      <c r="AH5863">
        <v>67.941894740652202</v>
      </c>
      <c r="AI5863">
        <v>88.159272516110093</v>
      </c>
      <c r="AJ5863">
        <v>114.15357770661799</v>
      </c>
      <c r="AK5863">
        <v>74.49923533095</v>
      </c>
      <c r="AL5863">
        <v>79.038182557523896</v>
      </c>
      <c r="AM5863">
        <v>93.677909996557105</v>
      </c>
      <c r="AN5863">
        <v>1.00000007592122</v>
      </c>
    </row>
    <row r="5864" spans="1:40" x14ac:dyDescent="0.25">
      <c r="A5864" t="str">
        <f>"20190303171127894"</f>
        <v>20190303171127894</v>
      </c>
      <c r="B5864" t="str">
        <f>"1551604287886115"</f>
        <v>1551604287886115</v>
      </c>
      <c r="C5864" t="s">
        <v>40</v>
      </c>
      <c r="D5864">
        <v>5.1430350000000002</v>
      </c>
      <c r="E5864">
        <v>0.35561389999999998</v>
      </c>
      <c r="F5864" t="s">
        <v>48</v>
      </c>
      <c r="G5864">
        <v>-157.3501</v>
      </c>
      <c r="H5864">
        <v>3.5278589999999999</v>
      </c>
      <c r="I5864">
        <v>8.4969409999999996</v>
      </c>
      <c r="J5864">
        <v>-192.46520000000001</v>
      </c>
      <c r="K5864">
        <v>1.1384190000000001</v>
      </c>
      <c r="L5864">
        <v>-58.2804</v>
      </c>
      <c r="M5864">
        <v>0.78452069999999996</v>
      </c>
      <c r="N5864">
        <v>-1.701739E-2</v>
      </c>
      <c r="O5864">
        <v>0.61986909999999995</v>
      </c>
      <c r="P5864">
        <v>0.73665429999999998</v>
      </c>
      <c r="Q5864">
        <v>0.1757177</v>
      </c>
      <c r="R5864">
        <v>0.65304200000000001</v>
      </c>
      <c r="S5864">
        <v>1.5187839999999999</v>
      </c>
      <c r="T5864">
        <v>0.1027373</v>
      </c>
      <c r="U5864">
        <v>2.8783569999999998</v>
      </c>
      <c r="V5864">
        <v>-6.4062629999999995E-2</v>
      </c>
      <c r="W5864">
        <v>0.18979889999999999</v>
      </c>
      <c r="X5864">
        <v>0.97973069999999896</v>
      </c>
      <c r="Y5864">
        <v>-0.40496539999999998</v>
      </c>
      <c r="Z5864">
        <v>2.7692419999999999E-2</v>
      </c>
      <c r="AA5864">
        <v>0.91391250000000002</v>
      </c>
      <c r="AB5864">
        <v>37</v>
      </c>
      <c r="AC5864">
        <v>35.115099999999998</v>
      </c>
      <c r="AD5864">
        <v>2.38944</v>
      </c>
      <c r="AE5864">
        <v>66.777341000000007</v>
      </c>
      <c r="AF5864">
        <v>-30.595188049550099</v>
      </c>
      <c r="AG5864">
        <v>2.38944</v>
      </c>
      <c r="AH5864">
        <v>68.882626961552702</v>
      </c>
      <c r="AI5864">
        <v>88.184210687606793</v>
      </c>
      <c r="AJ5864">
        <v>113.949073156997</v>
      </c>
      <c r="AK5864">
        <v>75.409490466554502</v>
      </c>
      <c r="AL5864">
        <v>79.0589509082061</v>
      </c>
      <c r="AM5864">
        <v>93.741130589853896</v>
      </c>
      <c r="AN5864">
        <v>0.99999994376310597</v>
      </c>
    </row>
    <row r="5865" spans="1:40" x14ac:dyDescent="0.25">
      <c r="A5865" t="str">
        <f>"20190303171127908"</f>
        <v>20190303171127908</v>
      </c>
      <c r="B5865" t="str">
        <f>"1551604287896851"</f>
        <v>1551604287896851</v>
      </c>
      <c r="C5865" t="s">
        <v>40</v>
      </c>
      <c r="D5865">
        <v>5.1110870000000004</v>
      </c>
      <c r="E5865">
        <v>0.35561389999999998</v>
      </c>
      <c r="F5865" t="s">
        <v>48</v>
      </c>
      <c r="G5865">
        <v>-157.37360000000001</v>
      </c>
      <c r="H5865">
        <v>3.471943</v>
      </c>
      <c r="I5865">
        <v>10.044689999999999</v>
      </c>
      <c r="J5865">
        <v>-192.30430000000001</v>
      </c>
      <c r="K5865">
        <v>1.138436</v>
      </c>
      <c r="L5865">
        <v>-58.147280000000002</v>
      </c>
      <c r="M5865">
        <v>0.77809349999999999</v>
      </c>
      <c r="N5865">
        <v>-1.702588E-2</v>
      </c>
      <c r="O5865">
        <v>0.62791779999999997</v>
      </c>
      <c r="P5865">
        <v>0.72922349999999903</v>
      </c>
      <c r="Q5865">
        <v>0.17516809999999999</v>
      </c>
      <c r="R5865">
        <v>0.66147509999999998</v>
      </c>
      <c r="S5865">
        <v>1.48526</v>
      </c>
      <c r="T5865">
        <v>9.8766919999999994E-2</v>
      </c>
      <c r="U5865">
        <v>2.8918759999999999</v>
      </c>
      <c r="V5865">
        <v>-6.5148880000000006E-2</v>
      </c>
      <c r="W5865">
        <v>0.18920709999999999</v>
      </c>
      <c r="X5865">
        <v>0.97977360000000002</v>
      </c>
      <c r="Y5865">
        <v>-0.40564450000000002</v>
      </c>
      <c r="Z5865">
        <v>2.7556549999999999E-2</v>
      </c>
      <c r="AA5865">
        <v>0.91361550000000002</v>
      </c>
      <c r="AB5865">
        <v>37</v>
      </c>
      <c r="AC5865">
        <v>34.930700000000002</v>
      </c>
      <c r="AD5865">
        <v>2.333507</v>
      </c>
      <c r="AE5865">
        <v>68.191969999999998</v>
      </c>
      <c r="AF5865">
        <v>-31.101780728925199</v>
      </c>
      <c r="AG5865">
        <v>2.333507</v>
      </c>
      <c r="AH5865">
        <v>69.9435660719694</v>
      </c>
      <c r="AI5865">
        <v>88.253897117863204</v>
      </c>
      <c r="AJ5865">
        <v>113.973262801663</v>
      </c>
      <c r="AK5865">
        <v>76.582429148553103</v>
      </c>
      <c r="AL5865">
        <v>79.093484972002102</v>
      </c>
      <c r="AM5865">
        <v>93.804214609829103</v>
      </c>
      <c r="AN5865">
        <v>1.0000000052563101</v>
      </c>
    </row>
    <row r="5866" spans="1:40" x14ac:dyDescent="0.25">
      <c r="A5866" t="str">
        <f>"20190303171127922"</f>
        <v>20190303171127922</v>
      </c>
      <c r="B5866" t="str">
        <f>"1551604287916371"</f>
        <v>1551604287916371</v>
      </c>
      <c r="C5866" t="s">
        <v>40</v>
      </c>
      <c r="D5866">
        <v>5.076867</v>
      </c>
      <c r="E5866">
        <v>0.38328669999999998</v>
      </c>
      <c r="F5866" t="s">
        <v>48</v>
      </c>
      <c r="G5866">
        <v>-157.93819999999999</v>
      </c>
      <c r="H5866">
        <v>3.424255</v>
      </c>
      <c r="I5866">
        <v>10.66872</v>
      </c>
      <c r="J5866">
        <v>-192.12649999999999</v>
      </c>
      <c r="K5866">
        <v>1.1384540000000001</v>
      </c>
      <c r="L5866">
        <v>-57.997709999999998</v>
      </c>
      <c r="M5866">
        <v>0.77083679999999999</v>
      </c>
      <c r="N5866">
        <v>-1.7034580000000001E-2</v>
      </c>
      <c r="O5866">
        <v>0.63680499999999995</v>
      </c>
      <c r="P5866">
        <v>0.72062269999999995</v>
      </c>
      <c r="Q5866">
        <v>0.1744685</v>
      </c>
      <c r="R5866">
        <v>0.67101690000000003</v>
      </c>
      <c r="S5866">
        <v>1.452469</v>
      </c>
      <c r="T5866">
        <v>9.6609E-2</v>
      </c>
      <c r="U5866">
        <v>2.9084780000000001</v>
      </c>
      <c r="V5866">
        <v>-6.6678039999999994E-2</v>
      </c>
      <c r="W5866">
        <v>0.18844630000000001</v>
      </c>
      <c r="X5866">
        <v>0.9798173</v>
      </c>
      <c r="Y5866">
        <v>-0.40548040000000002</v>
      </c>
      <c r="Z5866">
        <v>2.7692350000000001E-2</v>
      </c>
      <c r="AA5866">
        <v>0.91368419999999895</v>
      </c>
      <c r="AB5866">
        <v>37</v>
      </c>
      <c r="AC5866">
        <v>34.188299999999998</v>
      </c>
      <c r="AD5866">
        <v>2.28580099999999</v>
      </c>
      <c r="AE5866">
        <v>68.666429999999906</v>
      </c>
      <c r="AF5866">
        <v>-31.136201410519298</v>
      </c>
      <c r="AG5866">
        <v>2.28580099999999</v>
      </c>
      <c r="AH5866">
        <v>70.028705240647298</v>
      </c>
      <c r="AI5866">
        <v>88.291619999822899</v>
      </c>
      <c r="AJ5866">
        <v>113.970914161648</v>
      </c>
      <c r="AK5866">
        <v>76.672729716435001</v>
      </c>
      <c r="AL5866">
        <v>79.137873593885701</v>
      </c>
      <c r="AM5866">
        <v>93.893061720224196</v>
      </c>
      <c r="AN5866">
        <v>0.99999995519060902</v>
      </c>
    </row>
    <row r="5867" spans="1:40" x14ac:dyDescent="0.25">
      <c r="A5867" t="str">
        <f>"20190303171127933"</f>
        <v>20190303171127933</v>
      </c>
      <c r="B5867" t="str">
        <f>"1551604287926131"</f>
        <v>1551604287926131</v>
      </c>
      <c r="C5867" t="s">
        <v>40</v>
      </c>
      <c r="D5867">
        <v>5.0699399999999999</v>
      </c>
      <c r="E5867">
        <v>0.38473089999999999</v>
      </c>
      <c r="F5867" t="s">
        <v>48</v>
      </c>
      <c r="G5867">
        <v>-157.3501</v>
      </c>
      <c r="H5867">
        <v>0.96309849999999997</v>
      </c>
      <c r="I5867">
        <v>3.4335610000000001</v>
      </c>
      <c r="J5867">
        <v>-191.9804</v>
      </c>
      <c r="K5867">
        <v>1.138469</v>
      </c>
      <c r="L5867">
        <v>-57.872500000000002</v>
      </c>
      <c r="M5867">
        <v>0.76474409999999904</v>
      </c>
      <c r="N5867">
        <v>-1.7041210000000001E-2</v>
      </c>
      <c r="O5867">
        <v>0.64410880000000004</v>
      </c>
      <c r="P5867">
        <v>0.71381810000000001</v>
      </c>
      <c r="Q5867">
        <v>0.1744916</v>
      </c>
      <c r="R5867">
        <v>0.67824510000000005</v>
      </c>
      <c r="S5867">
        <v>1.5747530000000001</v>
      </c>
      <c r="T5867">
        <v>-7.9405309999999903E-3</v>
      </c>
      <c r="U5867">
        <v>2.7817379999999998</v>
      </c>
      <c r="V5867">
        <v>-6.7245200000000005E-2</v>
      </c>
      <c r="W5867">
        <v>0.18844859999999999</v>
      </c>
      <c r="X5867">
        <v>0.97977820000000004</v>
      </c>
      <c r="Y5867">
        <v>-0.34823330000000002</v>
      </c>
      <c r="Z5867">
        <v>1.206232E-2</v>
      </c>
      <c r="AA5867">
        <v>0.9373302</v>
      </c>
      <c r="AB5867">
        <v>37</v>
      </c>
      <c r="AC5867">
        <v>34.630299999999998</v>
      </c>
      <c r="AD5867">
        <v>-0.17537049999999901</v>
      </c>
      <c r="AE5867">
        <v>61.306061</v>
      </c>
      <c r="AF5867">
        <v>-24.581183406772301</v>
      </c>
      <c r="AG5867">
        <v>-0.17537049999999901</v>
      </c>
      <c r="AH5867">
        <v>65.980259977482206</v>
      </c>
      <c r="AI5867">
        <v>90.142705677034698</v>
      </c>
      <c r="AJ5867">
        <v>110.433059148822</v>
      </c>
      <c r="AK5867">
        <v>70.410652881405596</v>
      </c>
      <c r="AL5867">
        <v>79.137740523047498</v>
      </c>
      <c r="AM5867">
        <v>93.926228967866606</v>
      </c>
      <c r="AN5867">
        <v>1.0000000564801099</v>
      </c>
    </row>
    <row r="5868" spans="1:40" x14ac:dyDescent="0.25">
      <c r="A5868" t="str">
        <f>"20190303171127945"</f>
        <v>20190303171127945</v>
      </c>
      <c r="B5868" t="str">
        <f>"1551604287936867"</f>
        <v>1551604287936867</v>
      </c>
      <c r="C5868" t="s">
        <v>40</v>
      </c>
      <c r="D5868">
        <v>5.0908170000000004</v>
      </c>
      <c r="E5868">
        <v>0.38502789999999998</v>
      </c>
      <c r="F5868" t="s">
        <v>48</v>
      </c>
      <c r="G5868">
        <v>-157.3501</v>
      </c>
      <c r="H5868">
        <v>0.7252092</v>
      </c>
      <c r="I5868">
        <v>4.2497889999999998</v>
      </c>
      <c r="J5868">
        <v>-191.83590000000001</v>
      </c>
      <c r="K5868">
        <v>1.1384749999999999</v>
      </c>
      <c r="L5868">
        <v>-57.745269999999998</v>
      </c>
      <c r="M5868">
        <v>0.75856869999999998</v>
      </c>
      <c r="N5868">
        <v>-1.7047349999999999E-2</v>
      </c>
      <c r="O5868">
        <v>0.65137</v>
      </c>
      <c r="P5868">
        <v>0.70715609999999995</v>
      </c>
      <c r="Q5868">
        <v>0.1750717</v>
      </c>
      <c r="R5868">
        <v>0.68504030000000005</v>
      </c>
      <c r="S5868">
        <v>1.555679</v>
      </c>
      <c r="T5868">
        <v>-1.85647E-2</v>
      </c>
      <c r="U5868">
        <v>2.79068</v>
      </c>
      <c r="V5868">
        <v>-6.7399719999999996E-2</v>
      </c>
      <c r="W5868">
        <v>0.1890241</v>
      </c>
      <c r="X5868">
        <v>0.97965659999999999</v>
      </c>
      <c r="Y5868">
        <v>-0.34543089999999999</v>
      </c>
      <c r="Z5868">
        <v>1.041137E-2</v>
      </c>
      <c r="AA5868">
        <v>0.93838639999999995</v>
      </c>
      <c r="AB5868">
        <v>37</v>
      </c>
      <c r="AC5868">
        <v>34.485799999999998</v>
      </c>
      <c r="AD5868">
        <v>-0.41326579999999902</v>
      </c>
      <c r="AE5868">
        <v>61.995058999999998</v>
      </c>
      <c r="AF5868">
        <v>-24.567232670362099</v>
      </c>
      <c r="AG5868">
        <v>-0.41326579999999902</v>
      </c>
      <c r="AH5868">
        <v>66.548983922504505</v>
      </c>
      <c r="AI5868">
        <v>90.333782240750395</v>
      </c>
      <c r="AJ5868">
        <v>110.262136482017</v>
      </c>
      <c r="AK5868">
        <v>70.940023758234801</v>
      </c>
      <c r="AL5868">
        <v>79.104162098968203</v>
      </c>
      <c r="AM5868">
        <v>93.9357095005183</v>
      </c>
      <c r="AN5868">
        <v>0.99999994328022201</v>
      </c>
    </row>
    <row r="5869" spans="1:40" x14ac:dyDescent="0.25">
      <c r="A5869" t="str">
        <f>"20190303171127955"</f>
        <v>20190303171127955</v>
      </c>
      <c r="B5869" t="str">
        <f>"1551604287946628"</f>
        <v>1551604287946628</v>
      </c>
      <c r="C5869" t="s">
        <v>40</v>
      </c>
      <c r="D5869">
        <v>5.0108769999999998</v>
      </c>
      <c r="E5869">
        <v>0.38502789999999998</v>
      </c>
      <c r="F5869" t="s">
        <v>48</v>
      </c>
      <c r="G5869">
        <v>-157.3501</v>
      </c>
      <c r="H5869">
        <v>0.67197899999999999</v>
      </c>
      <c r="I5869">
        <v>5.4296689999999996</v>
      </c>
      <c r="J5869">
        <v>-191.71539999999999</v>
      </c>
      <c r="K5869">
        <v>1.138485</v>
      </c>
      <c r="L5869">
        <v>-57.6385199999999</v>
      </c>
      <c r="M5869">
        <v>0.75335039999999998</v>
      </c>
      <c r="N5869">
        <v>-1.70522E-2</v>
      </c>
      <c r="O5869">
        <v>0.65739820000000004</v>
      </c>
      <c r="P5869">
        <v>0.70133009999999996</v>
      </c>
      <c r="Q5869">
        <v>0.17596800000000001</v>
      </c>
      <c r="R5869">
        <v>0.6907759</v>
      </c>
      <c r="S5869">
        <v>1.5308379999999999</v>
      </c>
      <c r="T5869">
        <v>-2.0707960000000001E-2</v>
      </c>
      <c r="U5869">
        <v>2.8043520000000002</v>
      </c>
      <c r="V5869">
        <v>-6.7757479999999995E-2</v>
      </c>
      <c r="W5869">
        <v>0.18990570000000001</v>
      </c>
      <c r="X5869">
        <v>0.97946140000000004</v>
      </c>
      <c r="Y5869">
        <v>-0.34627039999999998</v>
      </c>
      <c r="Z5869">
        <v>1.011894E-2</v>
      </c>
      <c r="AA5869">
        <v>0.93808020000000003</v>
      </c>
      <c r="AB5869">
        <v>37</v>
      </c>
      <c r="AC5869">
        <v>34.365299999999898</v>
      </c>
      <c r="AD5869">
        <v>-0.46650599999999998</v>
      </c>
      <c r="AE5869">
        <v>63.068188999999897</v>
      </c>
      <c r="AF5869">
        <v>-24.923331629387501</v>
      </c>
      <c r="AG5869">
        <v>-0.46650599999999998</v>
      </c>
      <c r="AH5869">
        <v>67.356979001193807</v>
      </c>
      <c r="AI5869">
        <v>90.372158037582693</v>
      </c>
      <c r="AJ5869">
        <v>110.30540850474</v>
      </c>
      <c r="AK5869">
        <v>71.821672965225005</v>
      </c>
      <c r="AL5869">
        <v>79.052718351667096</v>
      </c>
      <c r="AM5869">
        <v>93.957320210430893</v>
      </c>
      <c r="AN5869">
        <v>0.99999994253919799</v>
      </c>
    </row>
    <row r="5870" spans="1:40" x14ac:dyDescent="0.25">
      <c r="A5870" t="str">
        <f>"20190303171127966"</f>
        <v>20190303171127966</v>
      </c>
      <c r="B5870" t="str">
        <f>"1551604287956388"</f>
        <v>1551604287956388</v>
      </c>
      <c r="C5870" t="s">
        <v>40</v>
      </c>
      <c r="D5870">
        <v>5.005198</v>
      </c>
      <c r="E5870">
        <v>0.35795129999999997</v>
      </c>
      <c r="F5870" t="s">
        <v>48</v>
      </c>
      <c r="G5870">
        <v>-157.3501</v>
      </c>
      <c r="H5870">
        <v>0.72828870000000001</v>
      </c>
      <c r="I5870">
        <v>6.5779690000000004</v>
      </c>
      <c r="J5870">
        <v>-191.5917</v>
      </c>
      <c r="K5870">
        <v>1.1384920000000001</v>
      </c>
      <c r="L5870">
        <v>-57.525480000000002</v>
      </c>
      <c r="M5870">
        <v>0.74785539999999995</v>
      </c>
      <c r="N5870">
        <v>-1.705686E-2</v>
      </c>
      <c r="O5870">
        <v>0.66364250000000002</v>
      </c>
      <c r="P5870">
        <v>0.69534640000000003</v>
      </c>
      <c r="Q5870">
        <v>0.1769299</v>
      </c>
      <c r="R5870">
        <v>0.69655540000000005</v>
      </c>
      <c r="S5870">
        <v>1.5075069999999999</v>
      </c>
      <c r="T5870">
        <v>-1.799417E-2</v>
      </c>
      <c r="U5870">
        <v>2.816986</v>
      </c>
      <c r="V5870">
        <v>-6.7922129999999997E-2</v>
      </c>
      <c r="W5870">
        <v>0.19086059999999999</v>
      </c>
      <c r="X5870">
        <v>0.97926440000000003</v>
      </c>
      <c r="Y5870">
        <v>-0.34626240000000003</v>
      </c>
      <c r="Z5870">
        <v>1.06157E-2</v>
      </c>
      <c r="AA5870">
        <v>0.93807759999999996</v>
      </c>
      <c r="AB5870">
        <v>37</v>
      </c>
      <c r="AC5870">
        <v>34.241599999999998</v>
      </c>
      <c r="AD5870">
        <v>-0.41020329999999999</v>
      </c>
      <c r="AE5870">
        <v>64.103448999999998</v>
      </c>
      <c r="AF5870">
        <v>-25.2187949117911</v>
      </c>
      <c r="AG5870">
        <v>-0.41020329999999999</v>
      </c>
      <c r="AH5870">
        <v>68.157282883337601</v>
      </c>
      <c r="AI5870">
        <v>90.323401867404399</v>
      </c>
      <c r="AJ5870">
        <v>110.30491753864899</v>
      </c>
      <c r="AK5870">
        <v>72.674418426222104</v>
      </c>
      <c r="AL5870">
        <v>78.996987635937003</v>
      </c>
      <c r="AM5870">
        <v>93.9677012742182</v>
      </c>
      <c r="AN5870">
        <v>0.99999997474172797</v>
      </c>
    </row>
    <row r="5871" spans="1:40" x14ac:dyDescent="0.25">
      <c r="A5871" t="str">
        <f>"20190303171127977"</f>
        <v>20190303171127977</v>
      </c>
      <c r="B5871" t="str">
        <f>"1551604287966147"</f>
        <v>1551604287966147</v>
      </c>
      <c r="C5871" t="s">
        <v>40</v>
      </c>
      <c r="D5871">
        <v>5.051418</v>
      </c>
      <c r="E5871">
        <v>0.3536415</v>
      </c>
      <c r="F5871" t="s">
        <v>85</v>
      </c>
      <c r="G5871">
        <v>-155.02019999999999</v>
      </c>
      <c r="H5871">
        <v>3.998151</v>
      </c>
      <c r="I5871">
        <v>24.52336</v>
      </c>
      <c r="J5871">
        <v>-191.4579</v>
      </c>
      <c r="K5871">
        <v>1.1385069999999999</v>
      </c>
      <c r="L5871">
        <v>-57.402709999999999</v>
      </c>
      <c r="M5871">
        <v>0.74184169999999905</v>
      </c>
      <c r="N5871">
        <v>-1.7061659999999999E-2</v>
      </c>
      <c r="O5871">
        <v>0.67035789999999995</v>
      </c>
      <c r="P5871">
        <v>0.68897430000000004</v>
      </c>
      <c r="Q5871">
        <v>0.1777533</v>
      </c>
      <c r="R5871">
        <v>0.70265089999999997</v>
      </c>
      <c r="S5871">
        <v>1.320465</v>
      </c>
      <c r="T5871">
        <v>0.1032522</v>
      </c>
      <c r="U5871">
        <v>2.962494</v>
      </c>
      <c r="V5871">
        <v>-6.7898860000000005E-2</v>
      </c>
      <c r="W5871">
        <v>0.19168669999999999</v>
      </c>
      <c r="X5871">
        <v>0.97910459999999999</v>
      </c>
      <c r="Y5871">
        <v>-0.40505079999999999</v>
      </c>
      <c r="Z5871">
        <v>3.0447849999999999E-2</v>
      </c>
      <c r="AA5871">
        <v>0.91378709999999996</v>
      </c>
      <c r="AB5871">
        <v>37</v>
      </c>
      <c r="AC5871">
        <v>36.4377</v>
      </c>
      <c r="AD5871">
        <v>2.8596439999999999</v>
      </c>
      <c r="AE5871">
        <v>81.926069999999996</v>
      </c>
      <c r="AF5871">
        <v>-36.318226762225201</v>
      </c>
      <c r="AG5871">
        <v>2.8596439999999999</v>
      </c>
      <c r="AH5871">
        <v>81.879442622036393</v>
      </c>
      <c r="AI5871">
        <v>88.171429222482104</v>
      </c>
      <c r="AJ5871">
        <v>113.92003096515</v>
      </c>
      <c r="AK5871">
        <v>89.618269806186802</v>
      </c>
      <c r="AL5871">
        <v>78.948764768729106</v>
      </c>
      <c r="AM5871">
        <v>93.966991568311997</v>
      </c>
      <c r="AN5871">
        <v>0.99999993194367198</v>
      </c>
    </row>
    <row r="5872" spans="1:40" x14ac:dyDescent="0.25">
      <c r="A5872" t="str">
        <f>"20190303171127988"</f>
        <v>20190303171127988</v>
      </c>
      <c r="B5872" t="str">
        <f>"1551604287975907"</f>
        <v>1551604287975907</v>
      </c>
      <c r="C5872" t="s">
        <v>40</v>
      </c>
      <c r="D5872">
        <v>5.0604300000000002</v>
      </c>
      <c r="E5872">
        <v>0.34988809999999998</v>
      </c>
      <c r="F5872" t="s">
        <v>85</v>
      </c>
      <c r="G5872">
        <v>-156.56819999999999</v>
      </c>
      <c r="H5872">
        <v>4.1948610000000004</v>
      </c>
      <c r="I5872">
        <v>25.049019999999999</v>
      </c>
      <c r="J5872">
        <v>-191.32480000000001</v>
      </c>
      <c r="K5872">
        <v>1.138514</v>
      </c>
      <c r="L5872">
        <v>-57.276890000000002</v>
      </c>
      <c r="M5872">
        <v>0.73570550000000001</v>
      </c>
      <c r="N5872">
        <v>-1.7066359999999999E-2</v>
      </c>
      <c r="O5872">
        <v>0.67708649999999904</v>
      </c>
      <c r="P5872">
        <v>0.68270819999999999</v>
      </c>
      <c r="Q5872">
        <v>0.178338</v>
      </c>
      <c r="R5872">
        <v>0.70859369999999999</v>
      </c>
      <c r="S5872">
        <v>1.2684629999999999</v>
      </c>
      <c r="T5872">
        <v>0.1111181</v>
      </c>
      <c r="U5872">
        <v>2.9976500000000001</v>
      </c>
      <c r="V5872">
        <v>-6.7596160000000002E-2</v>
      </c>
      <c r="W5872">
        <v>0.1922876</v>
      </c>
      <c r="X5872">
        <v>0.97900779999999998</v>
      </c>
      <c r="Y5872">
        <v>-0.41408689999999998</v>
      </c>
      <c r="Z5872">
        <v>3.1933589999999998E-2</v>
      </c>
      <c r="AA5872">
        <v>0.90967699999999996</v>
      </c>
      <c r="AB5872">
        <v>37</v>
      </c>
      <c r="AC5872">
        <v>34.756599999999999</v>
      </c>
      <c r="AD5872">
        <v>3.0563470000000001</v>
      </c>
      <c r="AE5872">
        <v>82.325909999999993</v>
      </c>
      <c r="AF5872">
        <v>-36.9965178922468</v>
      </c>
      <c r="AG5872">
        <v>3.0563470000000001</v>
      </c>
      <c r="AH5872">
        <v>81.229210146175603</v>
      </c>
      <c r="AI5872">
        <v>88.0388526540128</v>
      </c>
      <c r="AJ5872">
        <v>114.48728616681601</v>
      </c>
      <c r="AK5872">
        <v>89.309955627059395</v>
      </c>
      <c r="AL5872">
        <v>78.913684080630006</v>
      </c>
      <c r="AM5872">
        <v>93.949751667152299</v>
      </c>
      <c r="AN5872">
        <v>1.00000001721067</v>
      </c>
    </row>
    <row r="5873" spans="1:40" x14ac:dyDescent="0.25">
      <c r="A5873" t="str">
        <f>"20190303171128001"</f>
        <v>20190303171128001</v>
      </c>
      <c r="B5873" t="str">
        <f>"1551604287996403"</f>
        <v>1551604287996403</v>
      </c>
      <c r="C5873" t="s">
        <v>40</v>
      </c>
      <c r="D5873">
        <v>5.0665959999999997</v>
      </c>
      <c r="E5873">
        <v>0.34639360000000002</v>
      </c>
      <c r="F5873" t="s">
        <v>85</v>
      </c>
      <c r="G5873">
        <v>-158.12710000000001</v>
      </c>
      <c r="H5873">
        <v>4.4687609999999998</v>
      </c>
      <c r="I5873">
        <v>25.184950000000001</v>
      </c>
      <c r="J5873">
        <v>-191.18450000000001</v>
      </c>
      <c r="K5873">
        <v>1.1385209999999999</v>
      </c>
      <c r="L5873">
        <v>-57.14264</v>
      </c>
      <c r="M5873">
        <v>0.72912399999999999</v>
      </c>
      <c r="N5873">
        <v>-1.707115E-2</v>
      </c>
      <c r="O5873">
        <v>0.68416860000000002</v>
      </c>
      <c r="P5873">
        <v>0.67599830000000005</v>
      </c>
      <c r="Q5873">
        <v>0.178097799999999</v>
      </c>
      <c r="R5873">
        <v>0.71505759999999996</v>
      </c>
      <c r="S5873">
        <v>1.2191620000000001</v>
      </c>
      <c r="T5873">
        <v>0.1223009</v>
      </c>
      <c r="U5873">
        <v>3.0283509999999998</v>
      </c>
      <c r="V5873">
        <v>-6.7395220000000006E-2</v>
      </c>
      <c r="W5873">
        <v>0.19206019999999999</v>
      </c>
      <c r="X5873">
        <v>0.97906629999999994</v>
      </c>
      <c r="Y5873">
        <v>-0.42130129999999999</v>
      </c>
      <c r="Z5873">
        <v>3.4008160000000003E-2</v>
      </c>
      <c r="AA5873">
        <v>0.9062829</v>
      </c>
      <c r="AB5873">
        <v>37</v>
      </c>
      <c r="AC5873">
        <v>33.057400000000001</v>
      </c>
      <c r="AD5873">
        <v>3.3302399999999999</v>
      </c>
      <c r="AE5873">
        <v>82.327590000000001</v>
      </c>
      <c r="AF5873">
        <v>-37.362992538905303</v>
      </c>
      <c r="AG5873">
        <v>3.3302399999999999</v>
      </c>
      <c r="AH5873">
        <v>80.327432154505104</v>
      </c>
      <c r="AI5873">
        <v>87.847214873143599</v>
      </c>
      <c r="AJ5873">
        <v>114.944724005689</v>
      </c>
      <c r="AK5873">
        <v>88.654272691486995</v>
      </c>
      <c r="AL5873">
        <v>78.926960723698002</v>
      </c>
      <c r="AM5873">
        <v>93.9378128581167</v>
      </c>
      <c r="AN5873">
        <v>1.00000002794928</v>
      </c>
    </row>
    <row r="5874" spans="1:40" x14ac:dyDescent="0.25">
      <c r="A5874" t="str">
        <f>"20190303171128012"</f>
        <v>20190303171128012</v>
      </c>
      <c r="B5874" t="str">
        <f>"1551604288006163"</f>
        <v>1551604288006163</v>
      </c>
      <c r="C5874" t="s">
        <v>40</v>
      </c>
      <c r="D5874">
        <v>5.0541119999999999</v>
      </c>
      <c r="E5874">
        <v>0.34574670000000002</v>
      </c>
      <c r="F5874" t="s">
        <v>48</v>
      </c>
      <c r="G5874">
        <v>-166.50829999999999</v>
      </c>
      <c r="H5874">
        <v>3.8748520000000002</v>
      </c>
      <c r="I5874">
        <v>7.3802320000000003</v>
      </c>
      <c r="J5874">
        <v>-191.05099999999999</v>
      </c>
      <c r="K5874">
        <v>1.1385259999999999</v>
      </c>
      <c r="L5874">
        <v>-57.012149999999998</v>
      </c>
      <c r="M5874">
        <v>0.72272799999999904</v>
      </c>
      <c r="N5874">
        <v>-1.7075659999999999E-2</v>
      </c>
      <c r="O5874">
        <v>0.69092169999999997</v>
      </c>
      <c r="P5874">
        <v>0.669494699999999</v>
      </c>
      <c r="Q5874">
        <v>0.17773369999999999</v>
      </c>
      <c r="R5874">
        <v>0.7212404</v>
      </c>
      <c r="S5874">
        <v>1.169373</v>
      </c>
      <c r="T5874">
        <v>0.1296707</v>
      </c>
      <c r="U5874">
        <v>3.0576479999999999</v>
      </c>
      <c r="V5874">
        <v>-6.7206189999999999E-2</v>
      </c>
      <c r="W5874">
        <v>0.19170870000000001</v>
      </c>
      <c r="X5874">
        <v>0.97914809999999997</v>
      </c>
      <c r="Y5874">
        <v>-0.4286954</v>
      </c>
      <c r="Z5874">
        <v>3.5476800000000003E-2</v>
      </c>
      <c r="AA5874">
        <v>0.90275229999999995</v>
      </c>
      <c r="AB5874">
        <v>37</v>
      </c>
      <c r="AC5874">
        <v>24.5427</v>
      </c>
      <c r="AD5874">
        <v>2.736326</v>
      </c>
      <c r="AE5874">
        <v>64.392381999999998</v>
      </c>
      <c r="AF5874">
        <v>-29.538830066451801</v>
      </c>
      <c r="AG5874">
        <v>2.736326</v>
      </c>
      <c r="AH5874">
        <v>62.1388838352173</v>
      </c>
      <c r="AI5874">
        <v>87.722504852058805</v>
      </c>
      <c r="AJ5874">
        <v>115.424913835056</v>
      </c>
      <c r="AK5874">
        <v>68.856886699586099</v>
      </c>
      <c r="AL5874">
        <v>78.947480640918997</v>
      </c>
      <c r="AM5874">
        <v>93.926475662125</v>
      </c>
      <c r="AN5874">
        <v>0.99999994968180606</v>
      </c>
    </row>
    <row r="5875" spans="1:40" x14ac:dyDescent="0.25">
      <c r="A5875" t="str">
        <f>"20190303171128023"</f>
        <v>20190303171128023</v>
      </c>
      <c r="B5875" t="str">
        <f>"1551604288015923"</f>
        <v>1551604288015923</v>
      </c>
      <c r="C5875" t="s">
        <v>40</v>
      </c>
      <c r="D5875">
        <v>5.0470649999999999</v>
      </c>
      <c r="E5875">
        <v>0.34545199999999998</v>
      </c>
      <c r="F5875" t="s">
        <v>48</v>
      </c>
      <c r="G5875">
        <v>-167.2089</v>
      </c>
      <c r="H5875">
        <v>3.8489179999999998</v>
      </c>
      <c r="I5875">
        <v>7.3802289999999902</v>
      </c>
      <c r="J5875">
        <v>-190.91820000000001</v>
      </c>
      <c r="K5875">
        <v>1.1385259999999999</v>
      </c>
      <c r="L5875">
        <v>-56.87979</v>
      </c>
      <c r="M5875">
        <v>0.71623149999999902</v>
      </c>
      <c r="N5875">
        <v>-1.7080069999999999E-2</v>
      </c>
      <c r="O5875">
        <v>0.69765379999999999</v>
      </c>
      <c r="P5875">
        <v>0.66286669999999903</v>
      </c>
      <c r="Q5875">
        <v>0.17695150000000001</v>
      </c>
      <c r="R5875">
        <v>0.72752729999999999</v>
      </c>
      <c r="S5875">
        <v>1.1373899999999999</v>
      </c>
      <c r="T5875">
        <v>0.1292992</v>
      </c>
      <c r="U5875">
        <v>3.0718380000000001</v>
      </c>
      <c r="V5875">
        <v>-6.7109080000000002E-2</v>
      </c>
      <c r="W5875">
        <v>0.19093599999999999</v>
      </c>
      <c r="X5875">
        <v>0.9793058</v>
      </c>
      <c r="Y5875">
        <v>-0.4298728</v>
      </c>
      <c r="Z5875">
        <v>3.5810090000000003E-2</v>
      </c>
      <c r="AA5875">
        <v>0.90217910000000001</v>
      </c>
      <c r="AB5875">
        <v>37</v>
      </c>
      <c r="AC5875">
        <v>23.709299999999999</v>
      </c>
      <c r="AD5875">
        <v>2.7103920000000001</v>
      </c>
      <c r="AE5875">
        <v>64.260019</v>
      </c>
      <c r="AF5875">
        <v>-29.442363732283301</v>
      </c>
      <c r="AG5875">
        <v>2.7103920000000001</v>
      </c>
      <c r="AH5875">
        <v>61.7249556849901</v>
      </c>
      <c r="AI5875">
        <v>87.730385814274399</v>
      </c>
      <c r="AJ5875">
        <v>115.500809217613</v>
      </c>
      <c r="AK5875">
        <v>68.440990358495895</v>
      </c>
      <c r="AL5875">
        <v>78.992587072634095</v>
      </c>
      <c r="AM5875">
        <v>93.920190374887795</v>
      </c>
      <c r="AN5875">
        <v>1.00000001731404</v>
      </c>
    </row>
    <row r="5876" spans="1:40" x14ac:dyDescent="0.25">
      <c r="A5876" t="str">
        <f>"20190303171128034"</f>
        <v>20190303171128034</v>
      </c>
      <c r="B5876" t="str">
        <f>"1551604288026659"</f>
        <v>1551604288026659</v>
      </c>
      <c r="C5876" t="s">
        <v>40</v>
      </c>
      <c r="D5876">
        <v>5.0505769999999997</v>
      </c>
      <c r="E5876">
        <v>0.34548770000000001</v>
      </c>
      <c r="F5876" t="s">
        <v>48</v>
      </c>
      <c r="G5876">
        <v>-167.85050000000001</v>
      </c>
      <c r="H5876">
        <v>3.7706590000000002</v>
      </c>
      <c r="I5876">
        <v>7.3802310000000002</v>
      </c>
      <c r="J5876">
        <v>-190.79079999999999</v>
      </c>
      <c r="K5876">
        <v>1.1385289999999999</v>
      </c>
      <c r="L5876">
        <v>-56.751130000000003</v>
      </c>
      <c r="M5876">
        <v>0.70989340000000001</v>
      </c>
      <c r="N5876">
        <v>-1.7084240000000001E-2</v>
      </c>
      <c r="O5876">
        <v>0.70410189999999995</v>
      </c>
      <c r="P5876">
        <v>0.65636870000000003</v>
      </c>
      <c r="Q5876">
        <v>0.17627279999999901</v>
      </c>
      <c r="R5876">
        <v>0.7335585</v>
      </c>
      <c r="S5876">
        <v>1.1071169999999999</v>
      </c>
      <c r="T5876">
        <v>0.12632689999999999</v>
      </c>
      <c r="U5876">
        <v>3.0841059999999998</v>
      </c>
      <c r="V5876">
        <v>-6.7053559999999998E-2</v>
      </c>
      <c r="W5876">
        <v>0.19026470000000001</v>
      </c>
      <c r="X5876">
        <v>0.97944019999999998</v>
      </c>
      <c r="Y5876">
        <v>-0.43068919999999999</v>
      </c>
      <c r="Z5876">
        <v>3.5703360000000003E-2</v>
      </c>
      <c r="AA5876">
        <v>0.90179379999999998</v>
      </c>
      <c r="AB5876">
        <v>37</v>
      </c>
      <c r="AC5876">
        <v>22.940299999999901</v>
      </c>
      <c r="AD5876">
        <v>2.6321300000000001</v>
      </c>
      <c r="AE5876">
        <v>64.131360999999998</v>
      </c>
      <c r="AF5876">
        <v>-29.334599935422201</v>
      </c>
      <c r="AG5876">
        <v>2.6321300000000001</v>
      </c>
      <c r="AH5876">
        <v>61.357516538671</v>
      </c>
      <c r="AI5876">
        <v>87.783615913246706</v>
      </c>
      <c r="AJ5876">
        <v>115.552137504515</v>
      </c>
      <c r="AK5876">
        <v>68.060206416829601</v>
      </c>
      <c r="AL5876">
        <v>79.031767487629395</v>
      </c>
      <c r="AM5876">
        <v>93.916421445700493</v>
      </c>
      <c r="AN5876">
        <v>0.99999997067540103</v>
      </c>
    </row>
    <row r="5877" spans="1:40" x14ac:dyDescent="0.25">
      <c r="A5877" t="str">
        <f>"20190303171128045"</f>
        <v>20190303171128045</v>
      </c>
      <c r="B5877" t="str">
        <f>"1551604288036419"</f>
        <v>1551604288036419</v>
      </c>
      <c r="C5877" t="s">
        <v>40</v>
      </c>
      <c r="D5877">
        <v>5.0464840000000004</v>
      </c>
      <c r="E5877">
        <v>0.34577869999999999</v>
      </c>
      <c r="F5877" t="s">
        <v>48</v>
      </c>
      <c r="G5877">
        <v>-168.4058</v>
      </c>
      <c r="H5877">
        <v>3.6799900000000001</v>
      </c>
      <c r="I5877">
        <v>7.3802320000000003</v>
      </c>
      <c r="J5877">
        <v>-190.67590000000001</v>
      </c>
      <c r="K5877">
        <v>1.1385270000000001</v>
      </c>
      <c r="L5877">
        <v>-56.6318699999999</v>
      </c>
      <c r="M5877">
        <v>0.70403579999999999</v>
      </c>
      <c r="N5877">
        <v>-1.7087919999999999E-2</v>
      </c>
      <c r="O5877">
        <v>0.70995889999999995</v>
      </c>
      <c r="P5877">
        <v>0.65052880000000002</v>
      </c>
      <c r="Q5877">
        <v>0.1755207</v>
      </c>
      <c r="R5877">
        <v>0.7389213</v>
      </c>
      <c r="S5877">
        <v>1.0799259999999999</v>
      </c>
      <c r="T5877">
        <v>0.1226081</v>
      </c>
      <c r="U5877">
        <v>3.0939030000000001</v>
      </c>
      <c r="V5877">
        <v>-6.6802630000000002E-2</v>
      </c>
      <c r="W5877">
        <v>0.1895288</v>
      </c>
      <c r="X5877">
        <v>0.97960000000000003</v>
      </c>
      <c r="Y5877">
        <v>-0.43115510000000001</v>
      </c>
      <c r="Z5877">
        <v>3.5432419999999999E-2</v>
      </c>
      <c r="AA5877">
        <v>0.90158190000000005</v>
      </c>
      <c r="AB5877">
        <v>37</v>
      </c>
      <c r="AC5877">
        <v>22.270099999999999</v>
      </c>
      <c r="AD5877">
        <v>2.5414629999999998</v>
      </c>
      <c r="AE5877">
        <v>64.012101999999999</v>
      </c>
      <c r="AF5877">
        <v>-29.2191416538057</v>
      </c>
      <c r="AG5877">
        <v>2.5414629999999998</v>
      </c>
      <c r="AH5877">
        <v>61.047992962214401</v>
      </c>
      <c r="AI5877">
        <v>87.849494831981801</v>
      </c>
      <c r="AJ5877">
        <v>115.576977292013</v>
      </c>
      <c r="AK5877">
        <v>67.727946358059</v>
      </c>
      <c r="AL5877">
        <v>79.074712753357005</v>
      </c>
      <c r="AM5877">
        <v>93.901176113360705</v>
      </c>
      <c r="AN5877">
        <v>0.99999995870217695</v>
      </c>
    </row>
    <row r="5878" spans="1:40" x14ac:dyDescent="0.25">
      <c r="A5878" t="str">
        <f>"20190303171128055"</f>
        <v>20190303171128055</v>
      </c>
      <c r="B5878" t="str">
        <f>"1551604288046179"</f>
        <v>1551604288046179</v>
      </c>
      <c r="C5878" t="s">
        <v>40</v>
      </c>
      <c r="D5878">
        <v>4.9337790000000004</v>
      </c>
      <c r="E5878">
        <v>0.34577869999999999</v>
      </c>
      <c r="F5878" t="s">
        <v>48</v>
      </c>
      <c r="G5878">
        <v>-168.45050000000001</v>
      </c>
      <c r="H5878">
        <v>3.5910310000000001</v>
      </c>
      <c r="I5878">
        <v>8.5634879999999995</v>
      </c>
      <c r="J5878">
        <v>-190.54900000000001</v>
      </c>
      <c r="K5878">
        <v>1.13852999999999</v>
      </c>
      <c r="L5878">
        <v>-56.499389999999998</v>
      </c>
      <c r="M5878">
        <v>0.69748719999999997</v>
      </c>
      <c r="N5878">
        <v>-1.70919E-2</v>
      </c>
      <c r="O5878">
        <v>0.71639339999999996</v>
      </c>
      <c r="P5878">
        <v>0.64379849999999905</v>
      </c>
      <c r="Q5878">
        <v>0.1754587</v>
      </c>
      <c r="R5878">
        <v>0.744807199999999</v>
      </c>
      <c r="S5878">
        <v>1.0572969999999999</v>
      </c>
      <c r="T5878">
        <v>0.1166692</v>
      </c>
      <c r="U5878">
        <v>3.1014400000000002</v>
      </c>
      <c r="V5878">
        <v>-6.6704310000000003E-2</v>
      </c>
      <c r="W5878">
        <v>0.18947449999999999</v>
      </c>
      <c r="X5878">
        <v>0.97961719999999997</v>
      </c>
      <c r="Y5878">
        <v>-0.4294133</v>
      </c>
      <c r="Z5878">
        <v>3.4821690000000002E-2</v>
      </c>
      <c r="AA5878">
        <v>0.90243660000000003</v>
      </c>
      <c r="AB5878">
        <v>37</v>
      </c>
      <c r="AC5878">
        <v>22.098500000000001</v>
      </c>
      <c r="AD5878">
        <v>2.4525009999999998</v>
      </c>
      <c r="AE5878">
        <v>65.062877999999998</v>
      </c>
      <c r="AF5878">
        <v>-29.516021155302798</v>
      </c>
      <c r="AG5878">
        <v>2.4525009999999998</v>
      </c>
      <c r="AH5878">
        <v>61.954174326103498</v>
      </c>
      <c r="AI5878">
        <v>87.953277618022199</v>
      </c>
      <c r="AJ5878">
        <v>115.473923401585</v>
      </c>
      <c r="AK5878">
        <v>68.669716632766907</v>
      </c>
      <c r="AL5878">
        <v>79.077881284789001</v>
      </c>
      <c r="AM5878">
        <v>93.895383874017597</v>
      </c>
      <c r="AN5878">
        <v>0.99999995482933202</v>
      </c>
    </row>
    <row r="5879" spans="1:40" x14ac:dyDescent="0.25">
      <c r="A5879" t="str">
        <f>"20190303171128067"</f>
        <v>20190303171128067</v>
      </c>
      <c r="B5879" t="str">
        <f>"1551604288055939"</f>
        <v>1551604288055939</v>
      </c>
      <c r="C5879" t="s">
        <v>40</v>
      </c>
      <c r="D5879">
        <v>4.9220629999999996</v>
      </c>
      <c r="E5879">
        <v>0.32928109999999999</v>
      </c>
      <c r="F5879" t="s">
        <v>48</v>
      </c>
      <c r="G5879">
        <v>-168.45050000000001</v>
      </c>
      <c r="H5879">
        <v>3.632514</v>
      </c>
      <c r="I5879">
        <v>10.29866</v>
      </c>
      <c r="J5879">
        <v>-190.42449999999999</v>
      </c>
      <c r="K5879">
        <v>1.1385350000000001</v>
      </c>
      <c r="L5879">
        <v>-56.3651699999999</v>
      </c>
      <c r="M5879">
        <v>0.69088190000000005</v>
      </c>
      <c r="N5879">
        <v>-1.7095630000000001E-2</v>
      </c>
      <c r="O5879">
        <v>0.7227654</v>
      </c>
      <c r="P5879">
        <v>0.63733899999999999</v>
      </c>
      <c r="Q5879">
        <v>0.1759281</v>
      </c>
      <c r="R5879">
        <v>0.75023219999999902</v>
      </c>
      <c r="S5879">
        <v>1.029175</v>
      </c>
      <c r="T5879">
        <v>0.11615010000000001</v>
      </c>
      <c r="U5879">
        <v>3.1109309999999999</v>
      </c>
      <c r="V5879">
        <v>-6.6121399999999997E-2</v>
      </c>
      <c r="W5879">
        <v>0.18997310000000001</v>
      </c>
      <c r="X5879">
        <v>0.97956019999999999</v>
      </c>
      <c r="Y5879">
        <v>-0.42929800000000001</v>
      </c>
      <c r="Z5879">
        <v>3.5099070000000003E-2</v>
      </c>
      <c r="AA5879">
        <v>0.90248070000000002</v>
      </c>
      <c r="AB5879">
        <v>37</v>
      </c>
      <c r="AC5879">
        <v>21.973999999999901</v>
      </c>
      <c r="AD5879">
        <v>2.4939789999999999</v>
      </c>
      <c r="AE5879">
        <v>66.663829999999905</v>
      </c>
      <c r="AF5879">
        <v>-30.141147494750498</v>
      </c>
      <c r="AG5879">
        <v>2.4939789999999999</v>
      </c>
      <c r="AH5879">
        <v>63.293110120247903</v>
      </c>
      <c r="AI5879">
        <v>87.962524724921195</v>
      </c>
      <c r="AJ5879">
        <v>115.464504500592</v>
      </c>
      <c r="AK5879">
        <v>70.147890148218806</v>
      </c>
      <c r="AL5879">
        <v>79.048785670142493</v>
      </c>
      <c r="AM5879">
        <v>93.8616706722609</v>
      </c>
      <c r="AN5879">
        <v>1.0000000018427999</v>
      </c>
    </row>
    <row r="5880" spans="1:40" x14ac:dyDescent="0.25">
      <c r="A5880" t="str">
        <f>"20190303171128080"</f>
        <v>20190303171128080</v>
      </c>
      <c r="B5880" t="str">
        <f>"1551604288076435"</f>
        <v>1551604288076435</v>
      </c>
      <c r="C5880" t="s">
        <v>40</v>
      </c>
      <c r="D5880">
        <v>4.9114589999999998</v>
      </c>
      <c r="E5880">
        <v>0.33378659999999999</v>
      </c>
      <c r="F5880" t="s">
        <v>85</v>
      </c>
      <c r="G5880">
        <v>-167.72720000000001</v>
      </c>
      <c r="H5880">
        <v>6.7030479999999999</v>
      </c>
      <c r="I5880">
        <v>24.492049999999999</v>
      </c>
      <c r="J5880">
        <v>-190.28890000000001</v>
      </c>
      <c r="K5880">
        <v>1.138544</v>
      </c>
      <c r="L5880">
        <v>-56.217529999999996</v>
      </c>
      <c r="M5880">
        <v>0.68357599999999996</v>
      </c>
      <c r="N5880">
        <v>-1.709958E-2</v>
      </c>
      <c r="O5880">
        <v>0.72967910000000002</v>
      </c>
      <c r="P5880">
        <v>0.63016269999999996</v>
      </c>
      <c r="Q5880">
        <v>0.17648800000000001</v>
      </c>
      <c r="R5880">
        <v>0.75613960000000002</v>
      </c>
      <c r="S5880">
        <v>0.89469909999999997</v>
      </c>
      <c r="T5880">
        <v>0.21934580000000001</v>
      </c>
      <c r="U5880">
        <v>3.1872859999999998</v>
      </c>
      <c r="V5880">
        <v>-6.5534110000000007E-2</v>
      </c>
      <c r="W5880">
        <v>0.1905616</v>
      </c>
      <c r="X5880">
        <v>0.9794853</v>
      </c>
      <c r="Y5880">
        <v>-0.46163379999999998</v>
      </c>
      <c r="Z5880">
        <v>5.2511460000000003E-2</v>
      </c>
      <c r="AA5880">
        <v>0.88551499999999905</v>
      </c>
      <c r="AB5880">
        <v>37</v>
      </c>
      <c r="AC5880">
        <v>22.561699999999998</v>
      </c>
      <c r="AD5880">
        <v>5.5645040000000003</v>
      </c>
      <c r="AE5880">
        <v>80.709580000000003</v>
      </c>
      <c r="AF5880">
        <v>-38.544053393454</v>
      </c>
      <c r="AG5880">
        <v>5.5645040000000003</v>
      </c>
      <c r="AH5880">
        <v>73.999339852403594</v>
      </c>
      <c r="AI5880">
        <v>86.184481342238698</v>
      </c>
      <c r="AJ5880">
        <v>117.513665661343</v>
      </c>
      <c r="AK5880">
        <v>83.621229692913403</v>
      </c>
      <c r="AL5880">
        <v>79.014439082160095</v>
      </c>
      <c r="AM5880">
        <v>93.827765545772394</v>
      </c>
      <c r="AN5880">
        <v>0.99999994794206903</v>
      </c>
    </row>
    <row r="5881" spans="1:40" x14ac:dyDescent="0.25">
      <c r="A5881" t="str">
        <f>"20190303171128093"</f>
        <v>20190303171128093</v>
      </c>
      <c r="B5881" t="str">
        <f>"1551604288086194"</f>
        <v>1551604288086194</v>
      </c>
      <c r="C5881" t="s">
        <v>40</v>
      </c>
      <c r="D5881">
        <v>5.0224989999999998</v>
      </c>
      <c r="E5881">
        <v>0.33657229999999999</v>
      </c>
      <c r="F5881" t="s">
        <v>85</v>
      </c>
      <c r="G5881">
        <v>-167.57929999999999</v>
      </c>
      <c r="H5881">
        <v>5.9576219999999998</v>
      </c>
      <c r="I5881">
        <v>24.492049999999999</v>
      </c>
      <c r="J5881">
        <v>-190.14920000000001</v>
      </c>
      <c r="K5881">
        <v>1.138549</v>
      </c>
      <c r="L5881">
        <v>-56.06183</v>
      </c>
      <c r="M5881">
        <v>0.67586959999999996</v>
      </c>
      <c r="N5881">
        <v>-1.7103460000000001E-2</v>
      </c>
      <c r="O5881">
        <v>0.73682269999999905</v>
      </c>
      <c r="P5881">
        <v>0.62256180000000005</v>
      </c>
      <c r="Q5881">
        <v>0.17728189999999999</v>
      </c>
      <c r="R5881">
        <v>0.76222559999999995</v>
      </c>
      <c r="S5881">
        <v>0.89421079999999997</v>
      </c>
      <c r="T5881">
        <v>0.18975529999999999</v>
      </c>
      <c r="U5881">
        <v>3.1780089999999999</v>
      </c>
      <c r="V5881">
        <v>-6.4955089999999993E-2</v>
      </c>
      <c r="W5881">
        <v>0.19138350000000001</v>
      </c>
      <c r="X5881">
        <v>0.97936369999999895</v>
      </c>
      <c r="Y5881">
        <v>-0.45163759999999997</v>
      </c>
      <c r="Z5881">
        <v>4.8375109999999999E-2</v>
      </c>
      <c r="AA5881">
        <v>0.89088909999999999</v>
      </c>
      <c r="AB5881">
        <v>37</v>
      </c>
      <c r="AC5881">
        <v>22.569900000000001</v>
      </c>
      <c r="AD5881">
        <v>4.8190730000000004</v>
      </c>
      <c r="AE5881">
        <v>80.553880000000007</v>
      </c>
      <c r="AF5881">
        <v>-37.6943511626759</v>
      </c>
      <c r="AG5881">
        <v>4.8190730000000004</v>
      </c>
      <c r="AH5881">
        <v>74.372354460290893</v>
      </c>
      <c r="AI5881">
        <v>86.692156950989997</v>
      </c>
      <c r="AJ5881">
        <v>116.877388443369</v>
      </c>
      <c r="AK5881">
        <v>83.518469107866295</v>
      </c>
      <c r="AL5881">
        <v>78.966465669824601</v>
      </c>
      <c r="AM5881">
        <v>93.7945146274118</v>
      </c>
      <c r="AN5881">
        <v>1.0000000323334199</v>
      </c>
    </row>
    <row r="5882" spans="1:40" x14ac:dyDescent="0.25">
      <c r="A5882" t="str">
        <f>"20190303171128106"</f>
        <v>20190303171128106</v>
      </c>
      <c r="B5882" t="str">
        <f>"1551604288095955"</f>
        <v>1551604288095955</v>
      </c>
      <c r="C5882" t="s">
        <v>40</v>
      </c>
      <c r="D5882">
        <v>4.9527650000000003</v>
      </c>
      <c r="E5882">
        <v>0.33662350000000002</v>
      </c>
      <c r="F5882" t="s">
        <v>85</v>
      </c>
      <c r="G5882">
        <v>-167.79759999999999</v>
      </c>
      <c r="H5882">
        <v>5.5421820000000004</v>
      </c>
      <c r="I5882">
        <v>24.492049999999999</v>
      </c>
      <c r="J5882">
        <v>-190.0111</v>
      </c>
      <c r="K5882">
        <v>1.1385510000000001</v>
      </c>
      <c r="L5882">
        <v>-55.904049999999998</v>
      </c>
      <c r="M5882">
        <v>0.66805479999999995</v>
      </c>
      <c r="N5882">
        <v>-1.710708E-2</v>
      </c>
      <c r="O5882">
        <v>0.74391549999999995</v>
      </c>
      <c r="P5882">
        <v>0.61471339999999997</v>
      </c>
      <c r="Q5882">
        <v>0.178258</v>
      </c>
      <c r="R5882">
        <v>0.76834340000000001</v>
      </c>
      <c r="S5882">
        <v>0.88117979999999996</v>
      </c>
      <c r="T5882">
        <v>0.17360690000000001</v>
      </c>
      <c r="U5882">
        <v>3.1757200000000001</v>
      </c>
      <c r="V5882">
        <v>-6.4551880000000006E-2</v>
      </c>
      <c r="W5882">
        <v>0.1923793</v>
      </c>
      <c r="X5882">
        <v>0.97919520000000004</v>
      </c>
      <c r="Y5882">
        <v>-0.44538100000000003</v>
      </c>
      <c r="Z5882">
        <v>4.6277359999999997E-2</v>
      </c>
      <c r="AA5882">
        <v>0.89414439999999995</v>
      </c>
      <c r="AB5882">
        <v>37</v>
      </c>
      <c r="AC5882">
        <v>22.2135</v>
      </c>
      <c r="AD5882">
        <v>4.4036309999999999</v>
      </c>
      <c r="AE5882">
        <v>80.396099999999905</v>
      </c>
      <c r="AF5882">
        <v>-37.086098818356902</v>
      </c>
      <c r="AG5882">
        <v>4.4036309999999999</v>
      </c>
      <c r="AH5882">
        <v>74.451134173254005</v>
      </c>
      <c r="AI5882">
        <v>86.969411265038104</v>
      </c>
      <c r="AJ5882">
        <v>116.479121747421</v>
      </c>
      <c r="AK5882">
        <v>83.293109386268995</v>
      </c>
      <c r="AL5882">
        <v>78.908329791151999</v>
      </c>
      <c r="AM5882">
        <v>93.771675324794003</v>
      </c>
      <c r="AN5882">
        <v>0.99999998999153195</v>
      </c>
    </row>
    <row r="5883" spans="1:40" x14ac:dyDescent="0.25">
      <c r="A5883" t="str">
        <f>"20190303171128125"</f>
        <v>20190303171128125</v>
      </c>
      <c r="B5883" t="str">
        <f>"1551604288116452"</f>
        <v>1551604288116452</v>
      </c>
      <c r="C5883" t="s">
        <v>40</v>
      </c>
      <c r="D5883">
        <v>5.0285029999999997</v>
      </c>
      <c r="E5883">
        <v>0.33880460000000001</v>
      </c>
      <c r="F5883" t="s">
        <v>85</v>
      </c>
      <c r="G5883">
        <v>-168.5728</v>
      </c>
      <c r="H5883">
        <v>5.691376</v>
      </c>
      <c r="I5883">
        <v>24.492039999999999</v>
      </c>
      <c r="J5883">
        <v>-189.80520000000001</v>
      </c>
      <c r="K5883">
        <v>1.138549</v>
      </c>
      <c r="L5883">
        <v>-55.663060000000002</v>
      </c>
      <c r="M5883">
        <v>0.65608449999999996</v>
      </c>
      <c r="N5883">
        <v>-1.711215E-2</v>
      </c>
      <c r="O5883">
        <v>0.75449339999999998</v>
      </c>
      <c r="P5883">
        <v>0.60262850000000001</v>
      </c>
      <c r="Q5883">
        <v>0.17896319999999999</v>
      </c>
      <c r="R5883">
        <v>0.777696099999999</v>
      </c>
      <c r="S5883">
        <v>0.84890750000000004</v>
      </c>
      <c r="T5883">
        <v>0.18028140000000001</v>
      </c>
      <c r="U5883">
        <v>3.1835019999999998</v>
      </c>
      <c r="V5883">
        <v>-6.4136319999999997E-2</v>
      </c>
      <c r="W5883">
        <v>0.1931069</v>
      </c>
      <c r="X5883">
        <v>0.97907929999999999</v>
      </c>
      <c r="Y5883">
        <v>-0.44010310000000002</v>
      </c>
      <c r="Z5883">
        <v>4.8414760000000001E-2</v>
      </c>
      <c r="AA5883">
        <v>0.89664109999999997</v>
      </c>
      <c r="AB5883">
        <v>37</v>
      </c>
      <c r="AC5883">
        <v>21.232399999999998</v>
      </c>
      <c r="AD5883">
        <v>4.5528269999999997</v>
      </c>
      <c r="AE5883">
        <v>80.155099999999905</v>
      </c>
      <c r="AF5883">
        <v>-36.464238803721102</v>
      </c>
      <c r="AG5883">
        <v>4.5528269999999997</v>
      </c>
      <c r="AH5883">
        <v>74.193964755355907</v>
      </c>
      <c r="AI5883">
        <v>86.847786892039593</v>
      </c>
      <c r="AJ5883">
        <v>116.17281374449099</v>
      </c>
      <c r="AK5883">
        <v>82.795611908758403</v>
      </c>
      <c r="AL5883">
        <v>78.865844969003902</v>
      </c>
      <c r="AM5883">
        <v>93.747906497798695</v>
      </c>
      <c r="AN5883">
        <v>1.0000000090296199</v>
      </c>
    </row>
    <row r="5884" spans="1:40" x14ac:dyDescent="0.25">
      <c r="A5884" t="str">
        <f>"20190303171128136"</f>
        <v>20190303171128136</v>
      </c>
      <c r="B5884" t="str">
        <f>"1551604288126211"</f>
        <v>1551604288126211</v>
      </c>
      <c r="C5884" t="s">
        <v>40</v>
      </c>
      <c r="D5884">
        <v>5.0168520000000001</v>
      </c>
      <c r="E5884">
        <v>0.34053</v>
      </c>
      <c r="F5884" t="s">
        <v>85</v>
      </c>
      <c r="G5884">
        <v>-169.08369999999999</v>
      </c>
      <c r="H5884">
        <v>5.5465429999999998</v>
      </c>
      <c r="I5884">
        <v>25.480309999999999</v>
      </c>
      <c r="J5884">
        <v>-189.68799999999999</v>
      </c>
      <c r="K5884">
        <v>1.1385479999999999</v>
      </c>
      <c r="L5884">
        <v>-55.523040000000002</v>
      </c>
      <c r="M5884">
        <v>0.64910500000000004</v>
      </c>
      <c r="N5884">
        <v>-1.7114910000000001E-2</v>
      </c>
      <c r="O5884">
        <v>0.76050629999999997</v>
      </c>
      <c r="P5884">
        <v>0.59565900000000005</v>
      </c>
      <c r="Q5884">
        <v>0.1788816</v>
      </c>
      <c r="R5884">
        <v>0.78306560000000003</v>
      </c>
      <c r="S5884">
        <v>0.81387330000000002</v>
      </c>
      <c r="T5884">
        <v>0.17313129999999999</v>
      </c>
      <c r="U5884">
        <v>3.1870419999999999</v>
      </c>
      <c r="V5884">
        <v>-6.3865920000000007E-2</v>
      </c>
      <c r="W5884">
        <v>0.19304089999999999</v>
      </c>
      <c r="X5884">
        <v>0.97911000000000004</v>
      </c>
      <c r="Y5884">
        <v>-0.44128499999999998</v>
      </c>
      <c r="Z5884">
        <v>4.7628179999999999E-2</v>
      </c>
      <c r="AA5884">
        <v>0.89610219999999896</v>
      </c>
      <c r="AB5884">
        <v>37</v>
      </c>
      <c r="AC5884">
        <v>20.604299999999899</v>
      </c>
      <c r="AD5884">
        <v>4.4079949999999997</v>
      </c>
      <c r="AE5884">
        <v>81.003349999999998</v>
      </c>
      <c r="AF5884">
        <v>-36.8129974039107</v>
      </c>
      <c r="AG5884">
        <v>4.4079949999999997</v>
      </c>
      <c r="AH5884">
        <v>74.780905307755901</v>
      </c>
      <c r="AI5884">
        <v>86.972746482805803</v>
      </c>
      <c r="AJ5884">
        <v>116.210010433607</v>
      </c>
      <c r="AK5884">
        <v>83.467424762166402</v>
      </c>
      <c r="AL5884">
        <v>78.869699113408501</v>
      </c>
      <c r="AM5884">
        <v>93.732033311285605</v>
      </c>
      <c r="AN5884">
        <v>1.0000000184551201</v>
      </c>
    </row>
    <row r="5885" spans="1:40" x14ac:dyDescent="0.25">
      <c r="A5885" t="str">
        <f>"20190303171128151"</f>
        <v>20190303171128151</v>
      </c>
      <c r="B5885" t="str">
        <f>"1551604288146707"</f>
        <v>1551604288146707</v>
      </c>
      <c r="C5885" t="s">
        <v>40</v>
      </c>
      <c r="D5885">
        <v>4.9445870000000003</v>
      </c>
      <c r="E5885">
        <v>0.34167309999999901</v>
      </c>
      <c r="F5885" t="s">
        <v>85</v>
      </c>
      <c r="G5885">
        <v>-169.08359999999999</v>
      </c>
      <c r="H5885">
        <v>5.3521539999999996</v>
      </c>
      <c r="I5885">
        <v>26.891190000000002</v>
      </c>
      <c r="J5885">
        <v>-189.54249999999999</v>
      </c>
      <c r="K5885">
        <v>1.138541</v>
      </c>
      <c r="L5885">
        <v>-55.34384</v>
      </c>
      <c r="M5885">
        <v>0.64018430000000004</v>
      </c>
      <c r="N5885">
        <v>-1.7118009999999999E-2</v>
      </c>
      <c r="O5885">
        <v>0.76803060000000001</v>
      </c>
      <c r="P5885">
        <v>0.58659410000000001</v>
      </c>
      <c r="Q5885">
        <v>0.17852019999999999</v>
      </c>
      <c r="R5885">
        <v>0.78996069999999996</v>
      </c>
      <c r="S5885">
        <v>0.79693599999999998</v>
      </c>
      <c r="T5885">
        <v>0.16297410000000001</v>
      </c>
      <c r="U5885">
        <v>3.1876220000000002</v>
      </c>
      <c r="V5885">
        <v>-6.3756950000000007E-2</v>
      </c>
      <c r="W5885">
        <v>0.1926891</v>
      </c>
      <c r="X5885">
        <v>0.97918640000000001</v>
      </c>
      <c r="Y5885">
        <v>-0.43528529999999999</v>
      </c>
      <c r="Z5885">
        <v>4.6431359999999998E-2</v>
      </c>
      <c r="AA5885">
        <v>0.89909450000000002</v>
      </c>
      <c r="AB5885">
        <v>37</v>
      </c>
      <c r="AC5885">
        <v>20.4589</v>
      </c>
      <c r="AD5885">
        <v>4.2136129999999996</v>
      </c>
      <c r="AE5885">
        <v>82.235029999999995</v>
      </c>
      <c r="AF5885">
        <v>-36.846827613468001</v>
      </c>
      <c r="AG5885">
        <v>4.2136129999999996</v>
      </c>
      <c r="AH5885">
        <v>76.079565120462107</v>
      </c>
      <c r="AI5885">
        <v>87.146401373184801</v>
      </c>
      <c r="AJ5885">
        <v>115.841818384975</v>
      </c>
      <c r="AK5885">
        <v>84.637718947340701</v>
      </c>
      <c r="AL5885">
        <v>78.8902414836449</v>
      </c>
      <c r="AM5885">
        <v>93.725393676990706</v>
      </c>
      <c r="AN5885">
        <v>1.0000000219385301</v>
      </c>
    </row>
    <row r="5886" spans="1:40" x14ac:dyDescent="0.25">
      <c r="A5886" t="str">
        <f>"20190303171128171"</f>
        <v>20190303171128171</v>
      </c>
      <c r="B5886" t="str">
        <f>"1551604288166227"</f>
        <v>1551604288166227</v>
      </c>
      <c r="C5886" t="s">
        <v>40</v>
      </c>
      <c r="D5886">
        <v>4.9967930000000003</v>
      </c>
      <c r="E5886">
        <v>0.34271439999999997</v>
      </c>
      <c r="F5886" t="s">
        <v>85</v>
      </c>
      <c r="G5886">
        <v>-168.5018</v>
      </c>
      <c r="H5886">
        <v>5.4263089999999998</v>
      </c>
      <c r="I5886">
        <v>32.116030000000002</v>
      </c>
      <c r="J5886">
        <v>-189.3526</v>
      </c>
      <c r="K5886">
        <v>1.138528</v>
      </c>
      <c r="L5886">
        <v>-55.103909999999999</v>
      </c>
      <c r="M5886">
        <v>0.62820509999999996</v>
      </c>
      <c r="N5886">
        <v>-1.7121770000000001E-2</v>
      </c>
      <c r="O5886">
        <v>0.77785939999999998</v>
      </c>
      <c r="P5886">
        <v>0.57482999999999995</v>
      </c>
      <c r="Q5886">
        <v>0.17775929999999901</v>
      </c>
      <c r="R5886">
        <v>0.79873159999999999</v>
      </c>
      <c r="S5886">
        <v>0.76792910000000003</v>
      </c>
      <c r="T5886">
        <v>0.15649189999999999</v>
      </c>
      <c r="U5886">
        <v>3.1920470000000001</v>
      </c>
      <c r="V5886">
        <v>-6.3153050000000002E-2</v>
      </c>
      <c r="W5886">
        <v>0.19196189999999999</v>
      </c>
      <c r="X5886">
        <v>0.97936829999999997</v>
      </c>
      <c r="Y5886">
        <v>-0.42930649999999998</v>
      </c>
      <c r="Z5886">
        <v>4.6023630000000003E-2</v>
      </c>
      <c r="AA5886">
        <v>0.9019855</v>
      </c>
      <c r="AB5886">
        <v>37</v>
      </c>
      <c r="AC5886">
        <v>20.8507999999999</v>
      </c>
      <c r="AD5886">
        <v>4.2877809999999998</v>
      </c>
      <c r="AE5886">
        <v>87.219939999999994</v>
      </c>
      <c r="AF5886">
        <v>-38.490680657475103</v>
      </c>
      <c r="AG5886">
        <v>4.2877809999999998</v>
      </c>
      <c r="AH5886">
        <v>80.770643630993007</v>
      </c>
      <c r="AI5886">
        <v>87.256336915317405</v>
      </c>
      <c r="AJ5886">
        <v>115.479805044416</v>
      </c>
      <c r="AK5886">
        <v>89.5757469181505</v>
      </c>
      <c r="AL5886">
        <v>78.932699068047299</v>
      </c>
      <c r="AM5886">
        <v>93.689521559195498</v>
      </c>
      <c r="AN5886">
        <v>0.99999997291039999</v>
      </c>
    </row>
    <row r="5887" spans="1:40" x14ac:dyDescent="0.25">
      <c r="A5887" t="str">
        <f>"20190303171128184"</f>
        <v>20190303171128184</v>
      </c>
      <c r="B5887" t="str">
        <f>"1551604288175988"</f>
        <v>1551604288175988</v>
      </c>
      <c r="C5887" t="s">
        <v>40</v>
      </c>
      <c r="D5887">
        <v>5.0192909999999999</v>
      </c>
      <c r="E5887">
        <v>0.34312939999999997</v>
      </c>
      <c r="F5887" t="s">
        <v>85</v>
      </c>
      <c r="G5887">
        <v>-168.5018</v>
      </c>
      <c r="H5887">
        <v>5.4956870000000002</v>
      </c>
      <c r="I5887">
        <v>36.635399999999997</v>
      </c>
      <c r="J5887">
        <v>-189.21780000000001</v>
      </c>
      <c r="K5887">
        <v>1.13852</v>
      </c>
      <c r="L5887">
        <v>-54.92859</v>
      </c>
      <c r="M5887">
        <v>0.61943649999999995</v>
      </c>
      <c r="N5887">
        <v>-1.7124239999999999E-2</v>
      </c>
      <c r="O5887">
        <v>0.78486</v>
      </c>
      <c r="P5887">
        <v>0.56597200000000003</v>
      </c>
      <c r="Q5887">
        <v>0.17733180000000001</v>
      </c>
      <c r="R5887">
        <v>0.80512680000000003</v>
      </c>
      <c r="S5887">
        <v>0.7270508</v>
      </c>
      <c r="T5887">
        <v>0.15193090000000001</v>
      </c>
      <c r="U5887">
        <v>3.1988829999999999</v>
      </c>
      <c r="V5887">
        <v>-6.3017260000000005E-2</v>
      </c>
      <c r="W5887">
        <v>0.19154450000000001</v>
      </c>
      <c r="X5887">
        <v>0.97945879999999996</v>
      </c>
      <c r="Y5887">
        <v>-0.43052689999999999</v>
      </c>
      <c r="Z5887">
        <v>4.5657540000000003E-2</v>
      </c>
      <c r="AA5887">
        <v>0.90142219999999995</v>
      </c>
      <c r="AB5887">
        <v>37</v>
      </c>
      <c r="AC5887">
        <v>20.716000000000001</v>
      </c>
      <c r="AD5887">
        <v>4.3571669999999996</v>
      </c>
      <c r="AE5887">
        <v>91.563990000000004</v>
      </c>
      <c r="AF5887">
        <v>-40.377869794893797</v>
      </c>
      <c r="AG5887">
        <v>4.3571669999999996</v>
      </c>
      <c r="AH5887">
        <v>84.527493050450403</v>
      </c>
      <c r="AI5887">
        <v>87.336923091792997</v>
      </c>
      <c r="AJ5887">
        <v>115.53330191032499</v>
      </c>
      <c r="AK5887">
        <v>93.777685804423797</v>
      </c>
      <c r="AL5887">
        <v>78.957066876425102</v>
      </c>
      <c r="AM5887">
        <v>93.681271052570807</v>
      </c>
      <c r="AN5887">
        <v>1.00000000571779</v>
      </c>
    </row>
    <row r="5888" spans="1:40" x14ac:dyDescent="0.25">
      <c r="A5888" t="str">
        <f>"20190303171128203"</f>
        <v>20190303171128203</v>
      </c>
      <c r="B5888" t="str">
        <f>"1551604288196483"</f>
        <v>1551604288196483</v>
      </c>
      <c r="C5888" t="s">
        <v>40</v>
      </c>
      <c r="D5888">
        <v>4.9937990000000001</v>
      </c>
      <c r="E5888">
        <v>0.34422399999999997</v>
      </c>
      <c r="F5888" t="s">
        <v>85</v>
      </c>
      <c r="G5888">
        <v>-168.50190000000001</v>
      </c>
      <c r="H5888">
        <v>5.6289809999999996</v>
      </c>
      <c r="I5888">
        <v>40.700330000000001</v>
      </c>
      <c r="J5888">
        <v>-189.0367</v>
      </c>
      <c r="K5888">
        <v>1.138509</v>
      </c>
      <c r="L5888">
        <v>-54.686709999999998</v>
      </c>
      <c r="M5888">
        <v>0.60731069999999998</v>
      </c>
      <c r="N5888">
        <v>-1.7127320000000001E-2</v>
      </c>
      <c r="O5888">
        <v>0.79427979999999998</v>
      </c>
      <c r="P5888">
        <v>0.55421140000000002</v>
      </c>
      <c r="Q5888">
        <v>0.1767851</v>
      </c>
      <c r="R5888">
        <v>0.81338599999999905</v>
      </c>
      <c r="S5888">
        <v>0.69427490000000003</v>
      </c>
      <c r="T5888">
        <v>0.15049409999999999</v>
      </c>
      <c r="U5888">
        <v>3.2049259999999999</v>
      </c>
      <c r="V5888">
        <v>-6.2252420000000003E-2</v>
      </c>
      <c r="W5888">
        <v>0.1910376</v>
      </c>
      <c r="X5888">
        <v>0.97960670000000005</v>
      </c>
      <c r="Y5888">
        <v>-0.42581259999999999</v>
      </c>
      <c r="Z5888">
        <v>4.6109339999999999E-2</v>
      </c>
      <c r="AA5888">
        <v>0.90363570000000004</v>
      </c>
      <c r="AB5888">
        <v>37</v>
      </c>
      <c r="AC5888">
        <v>20.534799999999901</v>
      </c>
      <c r="AD5888">
        <v>4.4904719999999996</v>
      </c>
      <c r="AE5888">
        <v>95.387039999999999</v>
      </c>
      <c r="AF5888">
        <v>-41.5373213237907</v>
      </c>
      <c r="AG5888">
        <v>4.4904719999999996</v>
      </c>
      <c r="AH5888">
        <v>88.061429895930104</v>
      </c>
      <c r="AI5888">
        <v>87.359421658867404</v>
      </c>
      <c r="AJ5888">
        <v>115.252583805638</v>
      </c>
      <c r="AK5888">
        <v>97.469630330962204</v>
      </c>
      <c r="AL5888">
        <v>78.986656549144001</v>
      </c>
      <c r="AM5888">
        <v>93.636164539499802</v>
      </c>
      <c r="AN5888">
        <v>1.0000000075472499</v>
      </c>
    </row>
    <row r="5889" spans="1:40" x14ac:dyDescent="0.25">
      <c r="A5889" t="str">
        <f>"20190303171128215"</f>
        <v>20190303171128215</v>
      </c>
      <c r="B5889" t="str">
        <f>"1551604288206244"</f>
        <v>1551604288206244</v>
      </c>
      <c r="C5889" t="s">
        <v>40</v>
      </c>
      <c r="D5889">
        <v>5.0408910000000002</v>
      </c>
      <c r="E5889">
        <v>0.34495510000000001</v>
      </c>
      <c r="F5889" t="s">
        <v>85</v>
      </c>
      <c r="G5889">
        <v>-168.50200000000001</v>
      </c>
      <c r="H5889">
        <v>5.7486379999999997</v>
      </c>
      <c r="I5889">
        <v>46.001010000000001</v>
      </c>
      <c r="J5889">
        <v>-188.92240000000001</v>
      </c>
      <c r="K5889">
        <v>1.1384989999999999</v>
      </c>
      <c r="L5889">
        <v>-54.530790000000003</v>
      </c>
      <c r="M5889">
        <v>0.59946860000000002</v>
      </c>
      <c r="N5889">
        <v>-1.7129180000000001E-2</v>
      </c>
      <c r="O5889">
        <v>0.80021489999999995</v>
      </c>
      <c r="P5889">
        <v>0.54621960000000003</v>
      </c>
      <c r="Q5889">
        <v>0.176759</v>
      </c>
      <c r="R5889">
        <v>0.81877979999999995</v>
      </c>
      <c r="S5889">
        <v>0.65470890000000004</v>
      </c>
      <c r="T5889">
        <v>0.14698520000000001</v>
      </c>
      <c r="U5889">
        <v>3.2102360000000001</v>
      </c>
      <c r="V5889">
        <v>-6.2208769999999997E-2</v>
      </c>
      <c r="W5889">
        <v>0.19101609999999999</v>
      </c>
      <c r="X5889">
        <v>0.97961370000000003</v>
      </c>
      <c r="Y5889">
        <v>-0.4278786</v>
      </c>
      <c r="Z5889">
        <v>4.5831459999999997E-2</v>
      </c>
      <c r="AA5889">
        <v>0.90267350000000002</v>
      </c>
      <c r="AB5889">
        <v>36</v>
      </c>
      <c r="AC5889">
        <v>20.420400000000001</v>
      </c>
      <c r="AD5889">
        <v>4.6101390000000002</v>
      </c>
      <c r="AE5889">
        <v>100.5318</v>
      </c>
      <c r="AF5889">
        <v>-43.842852326078301</v>
      </c>
      <c r="AG5889">
        <v>4.6101390000000002</v>
      </c>
      <c r="AH5889">
        <v>92.515196088558199</v>
      </c>
      <c r="AI5889">
        <v>87.421680853645896</v>
      </c>
      <c r="AJ5889">
        <v>115.35622303756701</v>
      </c>
      <c r="AK5889">
        <v>102.481757347295</v>
      </c>
      <c r="AL5889">
        <v>78.987911896078103</v>
      </c>
      <c r="AM5889">
        <v>93.633595880488201</v>
      </c>
      <c r="AN5889">
        <v>1.0000000413759</v>
      </c>
    </row>
    <row r="5890" spans="1:40" x14ac:dyDescent="0.25">
      <c r="A5890" t="str">
        <f>"20190303171128226"</f>
        <v>20190303171128226</v>
      </c>
      <c r="B5890" t="str">
        <f>"1551604288216004"</f>
        <v>1551604288216004</v>
      </c>
      <c r="C5890" t="s">
        <v>40</v>
      </c>
      <c r="D5890">
        <v>5.0429459999999997</v>
      </c>
      <c r="E5890">
        <v>0.34556379999999998</v>
      </c>
      <c r="F5890" t="s">
        <v>85</v>
      </c>
      <c r="G5890">
        <v>-168.5059</v>
      </c>
      <c r="H5890">
        <v>5.8563470000000004</v>
      </c>
      <c r="I5890">
        <v>49.938839999999999</v>
      </c>
      <c r="J5890">
        <v>-188.82050000000001</v>
      </c>
      <c r="K5890">
        <v>1.1384939999999999</v>
      </c>
      <c r="L5890">
        <v>-54.387149999999998</v>
      </c>
      <c r="M5890">
        <v>0.59225680000000003</v>
      </c>
      <c r="N5890">
        <v>-1.7130579999999999E-2</v>
      </c>
      <c r="O5890">
        <v>0.80556709999999998</v>
      </c>
      <c r="P5890">
        <v>0.53899160000000002</v>
      </c>
      <c r="Q5890">
        <v>0.17675660000000001</v>
      </c>
      <c r="R5890">
        <v>0.82355639999999997</v>
      </c>
      <c r="S5890">
        <v>0.62805180000000005</v>
      </c>
      <c r="T5890">
        <v>0.14512990000000001</v>
      </c>
      <c r="U5890">
        <v>3.2136840000000002</v>
      </c>
      <c r="V5890">
        <v>-6.202883E-2</v>
      </c>
      <c r="W5890">
        <v>0.19102450000000001</v>
      </c>
      <c r="X5890">
        <v>0.97962340000000003</v>
      </c>
      <c r="Y5890">
        <v>-0.42714649999999998</v>
      </c>
      <c r="Z5890">
        <v>4.5853079999999997E-2</v>
      </c>
      <c r="AA5890">
        <v>0.90301900000000002</v>
      </c>
      <c r="AB5890">
        <v>36</v>
      </c>
      <c r="AC5890">
        <v>20.314599999999999</v>
      </c>
      <c r="AD5890">
        <v>4.7178529999999999</v>
      </c>
      <c r="AE5890">
        <v>104.32599</v>
      </c>
      <c r="AF5890">
        <v>-45.340335673869703</v>
      </c>
      <c r="AG5890">
        <v>4.7178529999999999</v>
      </c>
      <c r="AH5890">
        <v>95.898196402638902</v>
      </c>
      <c r="AI5890">
        <v>87.453392552633602</v>
      </c>
      <c r="AJ5890">
        <v>115.30462246923</v>
      </c>
      <c r="AK5890">
        <v>106.18129896185999</v>
      </c>
      <c r="AL5890">
        <v>78.9874207936831</v>
      </c>
      <c r="AM5890">
        <v>93.623077894806897</v>
      </c>
      <c r="AN5890">
        <v>0.99999997058948897</v>
      </c>
    </row>
    <row r="5891" spans="1:40" x14ac:dyDescent="0.25">
      <c r="A5891" t="str">
        <f>"20190303171128238"</f>
        <v>20190303171128238</v>
      </c>
      <c r="B5891" t="str">
        <f>"1551604288226740"</f>
        <v>1551604288226740</v>
      </c>
      <c r="C5891" t="s">
        <v>40</v>
      </c>
      <c r="D5891">
        <v>5.0564210000000003</v>
      </c>
      <c r="E5891">
        <v>0.34624680000000002</v>
      </c>
      <c r="F5891" t="s">
        <v>85</v>
      </c>
      <c r="G5891">
        <v>-169.0839</v>
      </c>
      <c r="H5891">
        <v>5.8027240000000004</v>
      </c>
      <c r="I5891">
        <v>50.698700000000002</v>
      </c>
      <c r="J5891">
        <v>-188.71190000000001</v>
      </c>
      <c r="K5891">
        <v>1.13849</v>
      </c>
      <c r="L5891">
        <v>-54.232700000000001</v>
      </c>
      <c r="M5891">
        <v>0.58446739999999997</v>
      </c>
      <c r="N5891">
        <v>-1.7132100000000001E-2</v>
      </c>
      <c r="O5891">
        <v>0.81123630000000002</v>
      </c>
      <c r="P5891">
        <v>0.53116699999999994</v>
      </c>
      <c r="Q5891">
        <v>0.17688779999999901</v>
      </c>
      <c r="R5891">
        <v>0.82859669999999896</v>
      </c>
      <c r="S5891">
        <v>0.60414119999999905</v>
      </c>
      <c r="T5891">
        <v>0.14277329999999999</v>
      </c>
      <c r="U5891">
        <v>3.2167050000000001</v>
      </c>
      <c r="V5891">
        <v>-6.185425E-2</v>
      </c>
      <c r="W5891">
        <v>0.1911658</v>
      </c>
      <c r="X5891">
        <v>0.97960689999999995</v>
      </c>
      <c r="Y5891">
        <v>-0.4250622</v>
      </c>
      <c r="Z5891">
        <v>4.5794639999999998E-2</v>
      </c>
      <c r="AA5891">
        <v>0.9040049</v>
      </c>
      <c r="AB5891">
        <v>36</v>
      </c>
      <c r="AC5891">
        <v>19.628</v>
      </c>
      <c r="AD5891">
        <v>4.6642340000000004</v>
      </c>
      <c r="AE5891">
        <v>104.9314</v>
      </c>
      <c r="AF5891">
        <v>-45.326172580570002</v>
      </c>
      <c r="AG5891">
        <v>4.6642340000000004</v>
      </c>
      <c r="AH5891">
        <v>96.426185700339801</v>
      </c>
      <c r="AI5891">
        <v>87.493425765391194</v>
      </c>
      <c r="AJ5891">
        <v>115.176379009206</v>
      </c>
      <c r="AK5891">
        <v>106.650017760555</v>
      </c>
      <c r="AL5891">
        <v>78.979173175297504</v>
      </c>
      <c r="AM5891">
        <v>93.612968490234095</v>
      </c>
      <c r="AN5891">
        <v>0.99999999493015601</v>
      </c>
    </row>
    <row r="5892" spans="1:40" x14ac:dyDescent="0.25">
      <c r="A5892" t="str">
        <f>"20190303171128251"</f>
        <v>20190303171128251</v>
      </c>
      <c r="B5892" t="str">
        <f>"1551604288236499"</f>
        <v>1551604288236499</v>
      </c>
      <c r="C5892" t="s">
        <v>40</v>
      </c>
      <c r="D5892">
        <v>5.0233220000000003</v>
      </c>
      <c r="E5892">
        <v>0.34713909999999998</v>
      </c>
      <c r="F5892" t="s">
        <v>51</v>
      </c>
      <c r="G5892">
        <v>-166.5164</v>
      </c>
      <c r="H5892">
        <v>6.54244</v>
      </c>
      <c r="I5892">
        <v>69.302149999999997</v>
      </c>
      <c r="J5892">
        <v>-188.59819999999999</v>
      </c>
      <c r="K5892">
        <v>1.138487</v>
      </c>
      <c r="L5892">
        <v>-54.066220000000001</v>
      </c>
      <c r="M5892">
        <v>0.57607629999999999</v>
      </c>
      <c r="N5892">
        <v>-1.7133349999999999E-2</v>
      </c>
      <c r="O5892">
        <v>0.81721630000000001</v>
      </c>
      <c r="P5892">
        <v>0.52254719999999999</v>
      </c>
      <c r="Q5892">
        <v>0.17697779999999999</v>
      </c>
      <c r="R5892">
        <v>0.83404029999999996</v>
      </c>
      <c r="S5892">
        <v>0.57847599999999999</v>
      </c>
      <c r="T5892">
        <v>0.14084240000000001</v>
      </c>
      <c r="U5892">
        <v>3.2196660000000001</v>
      </c>
      <c r="V5892">
        <v>-6.1905469999999997E-2</v>
      </c>
      <c r="W5892">
        <v>0.19125519999999999</v>
      </c>
      <c r="X5892">
        <v>0.97958619999999996</v>
      </c>
      <c r="Y5892">
        <v>-0.42285060000000002</v>
      </c>
      <c r="Z5892">
        <v>4.5838009999999998E-2</v>
      </c>
      <c r="AA5892">
        <v>0.90503940000000005</v>
      </c>
      <c r="AB5892">
        <v>36</v>
      </c>
      <c r="AC5892">
        <v>22.081799999999902</v>
      </c>
      <c r="AD5892">
        <v>5.4039529999999996</v>
      </c>
      <c r="AE5892">
        <v>123.36837</v>
      </c>
      <c r="AF5892">
        <v>-52.933360982547399</v>
      </c>
      <c r="AG5892">
        <v>5.4039529999999996</v>
      </c>
      <c r="AH5892">
        <v>113.34538791945501</v>
      </c>
      <c r="AI5892">
        <v>87.526457702925001</v>
      </c>
      <c r="AJ5892">
        <v>115.03301651791899</v>
      </c>
      <c r="AK5892">
        <v>125.213099855992</v>
      </c>
      <c r="AL5892">
        <v>78.973954490104106</v>
      </c>
      <c r="AM5892">
        <v>93.6160285743901</v>
      </c>
      <c r="AN5892">
        <v>0.99999998098669995</v>
      </c>
    </row>
    <row r="5893" spans="1:40" x14ac:dyDescent="0.25">
      <c r="A5893" t="str">
        <f>"20190303171128272"</f>
        <v>20190303171128272</v>
      </c>
      <c r="B5893" t="str">
        <f>"1551604288256019"</f>
        <v>1551604288256019</v>
      </c>
      <c r="C5893" t="s">
        <v>40</v>
      </c>
      <c r="D5893">
        <v>5.0643900000000004</v>
      </c>
      <c r="E5893">
        <v>0.34806910000000002</v>
      </c>
      <c r="F5893" t="s">
        <v>51</v>
      </c>
      <c r="G5893">
        <v>-167.47739999999999</v>
      </c>
      <c r="H5893">
        <v>6.3504050000000003</v>
      </c>
      <c r="I5893">
        <v>69.302090000000007</v>
      </c>
      <c r="J5893">
        <v>-188.42189999999999</v>
      </c>
      <c r="K5893">
        <v>1.1384780000000001</v>
      </c>
      <c r="L5893">
        <v>-53.801209999999998</v>
      </c>
      <c r="M5893">
        <v>0.56268050000000003</v>
      </c>
      <c r="N5893">
        <v>-1.713514E-2</v>
      </c>
      <c r="O5893">
        <v>0.82649680000000003</v>
      </c>
      <c r="P5893">
        <v>0.50846709999999995</v>
      </c>
      <c r="Q5893">
        <v>0.177572799999999</v>
      </c>
      <c r="R5893">
        <v>0.84257289999999996</v>
      </c>
      <c r="S5893">
        <v>0.55168149999999905</v>
      </c>
      <c r="T5893">
        <v>0.13613690000000001</v>
      </c>
      <c r="U5893">
        <v>3.2224119999999998</v>
      </c>
      <c r="V5893">
        <v>-6.2340649999999997E-2</v>
      </c>
      <c r="W5893">
        <v>0.19183320000000001</v>
      </c>
      <c r="X5893">
        <v>0.97944560000000003</v>
      </c>
      <c r="Y5893">
        <v>-0.41549019999999998</v>
      </c>
      <c r="Z5893">
        <v>4.5544210000000002E-2</v>
      </c>
      <c r="AA5893">
        <v>0.90845670000000001</v>
      </c>
      <c r="AB5893">
        <v>36</v>
      </c>
      <c r="AC5893">
        <v>20.944500000000001</v>
      </c>
      <c r="AD5893">
        <v>5.2119269999999904</v>
      </c>
      <c r="AE5893">
        <v>123.1033</v>
      </c>
      <c r="AF5893">
        <v>-51.874526837105002</v>
      </c>
      <c r="AG5893">
        <v>5.2119269999999904</v>
      </c>
      <c r="AH5893">
        <v>113.34875952888601</v>
      </c>
      <c r="AI5893">
        <v>87.605814293152704</v>
      </c>
      <c r="AJ5893">
        <v>114.591396346107</v>
      </c>
      <c r="AK5893">
        <v>124.764065356833</v>
      </c>
      <c r="AL5893">
        <v>78.940213072229298</v>
      </c>
      <c r="AM5893">
        <v>93.641901512079599</v>
      </c>
      <c r="AN5893">
        <v>1.00000000831201</v>
      </c>
    </row>
    <row r="5894" spans="1:40" x14ac:dyDescent="0.25">
      <c r="A5894" t="str">
        <f>"20190303171128295"</f>
        <v>20190303171128295</v>
      </c>
      <c r="B5894" t="str">
        <f>"1551604288286275"</f>
        <v>1551604288286275</v>
      </c>
      <c r="C5894" t="s">
        <v>40</v>
      </c>
      <c r="D5894">
        <v>5.0610759999999999</v>
      </c>
      <c r="E5894">
        <v>0.36652790000000002</v>
      </c>
      <c r="F5894" t="s">
        <v>51</v>
      </c>
      <c r="G5894">
        <v>-169.2792</v>
      </c>
      <c r="H5894">
        <v>6.1998730000000002</v>
      </c>
      <c r="I5894">
        <v>68.720399999999998</v>
      </c>
      <c r="J5894">
        <v>-188.22399999999999</v>
      </c>
      <c r="K5894">
        <v>1.138469</v>
      </c>
      <c r="L5894">
        <v>-53.492519999999899</v>
      </c>
      <c r="M5894">
        <v>0.54702969999999995</v>
      </c>
      <c r="N5894">
        <v>-1.7136709999999999E-2</v>
      </c>
      <c r="O5894">
        <v>0.83693779999999995</v>
      </c>
      <c r="P5894">
        <v>0.49232029999999899</v>
      </c>
      <c r="Q5894">
        <v>0.1782782</v>
      </c>
      <c r="R5894">
        <v>0.85196099999999997</v>
      </c>
      <c r="S5894">
        <v>0.50434880000000004</v>
      </c>
      <c r="T5894">
        <v>0.133352</v>
      </c>
      <c r="U5894">
        <v>3.2280579999999999</v>
      </c>
      <c r="V5894">
        <v>-6.2516870000000002E-2</v>
      </c>
      <c r="W5894">
        <v>0.1925328</v>
      </c>
      <c r="X5894">
        <v>0.97929710000000003</v>
      </c>
      <c r="Y5894">
        <v>-0.41160259999999999</v>
      </c>
      <c r="Z5894">
        <v>4.5679900000000002E-2</v>
      </c>
      <c r="AA5894">
        <v>0.91021790000000002</v>
      </c>
      <c r="AB5894">
        <v>36</v>
      </c>
      <c r="AC5894">
        <v>18.944800000000001</v>
      </c>
      <c r="AD5894">
        <v>5.0614039999999996</v>
      </c>
      <c r="AE5894">
        <v>122.21292</v>
      </c>
      <c r="AF5894">
        <v>-50.920678326203799</v>
      </c>
      <c r="AG5894">
        <v>5.0614039999999996</v>
      </c>
      <c r="AH5894">
        <v>112.476133453725</v>
      </c>
      <c r="AI5894">
        <v>87.652508842429398</v>
      </c>
      <c r="AJ5894">
        <v>114.357418018225</v>
      </c>
      <c r="AK5894">
        <v>123.56946988780101</v>
      </c>
      <c r="AL5894">
        <v>78.899367724533803</v>
      </c>
      <c r="AM5894">
        <v>93.652720663113001</v>
      </c>
      <c r="AN5894">
        <v>1.00000002408942</v>
      </c>
    </row>
    <row r="5895" spans="1:40" x14ac:dyDescent="0.25">
      <c r="A5895" t="str">
        <f>"20190303171128317"</f>
        <v>20190303171128317</v>
      </c>
      <c r="B5895" t="str">
        <f>"1551604288306771"</f>
        <v>1551604288306771</v>
      </c>
      <c r="C5895" t="s">
        <v>40</v>
      </c>
      <c r="D5895">
        <v>5.0447179999999996</v>
      </c>
      <c r="E5895">
        <v>0.35442309999999999</v>
      </c>
      <c r="F5895" t="s">
        <v>85</v>
      </c>
      <c r="G5895">
        <v>-169.08320000000001</v>
      </c>
      <c r="H5895">
        <v>3.5148320000000002</v>
      </c>
      <c r="I5895">
        <v>52.563920000000003</v>
      </c>
      <c r="J5895">
        <v>-188.0361</v>
      </c>
      <c r="K5895">
        <v>1.1384559999999999</v>
      </c>
      <c r="L5895">
        <v>-53.186430000000001</v>
      </c>
      <c r="M5895">
        <v>0.53146769999999999</v>
      </c>
      <c r="N5895">
        <v>-1.7137900000000001E-2</v>
      </c>
      <c r="O5895">
        <v>0.84690519999999903</v>
      </c>
      <c r="P5895">
        <v>0.47614089999999998</v>
      </c>
      <c r="Q5895">
        <v>0.17892810000000001</v>
      </c>
      <c r="R5895">
        <v>0.86097309999999905</v>
      </c>
      <c r="S5895">
        <v>0.57305909999999904</v>
      </c>
      <c r="T5895">
        <v>7.1146130000000002E-2</v>
      </c>
      <c r="U5895">
        <v>3.1752319999999998</v>
      </c>
      <c r="V5895">
        <v>-6.2862810000000005E-2</v>
      </c>
      <c r="W5895">
        <v>0.19316910000000001</v>
      </c>
      <c r="X5895">
        <v>0.97914959999999995</v>
      </c>
      <c r="Y5895">
        <v>-0.37278210000000001</v>
      </c>
      <c r="Z5895">
        <v>3.2678560000000002E-2</v>
      </c>
      <c r="AA5895">
        <v>0.92734329999999998</v>
      </c>
      <c r="AB5895">
        <v>36</v>
      </c>
      <c r="AC5895">
        <v>18.9529</v>
      </c>
      <c r="AD5895">
        <v>2.376376</v>
      </c>
      <c r="AE5895">
        <v>105.75035</v>
      </c>
      <c r="AF5895">
        <v>-40.137844922183</v>
      </c>
      <c r="AG5895">
        <v>2.376376</v>
      </c>
      <c r="AH5895">
        <v>99.599278642311901</v>
      </c>
      <c r="AI5895">
        <v>88.732254031656197</v>
      </c>
      <c r="AJ5895">
        <v>111.949105976941</v>
      </c>
      <c r="AK5895">
        <v>107.40907812638299</v>
      </c>
      <c r="AL5895">
        <v>78.862212530618805</v>
      </c>
      <c r="AM5895">
        <v>93.673429757488705</v>
      </c>
      <c r="AN5895">
        <v>0.99999998662803202</v>
      </c>
    </row>
    <row r="5896" spans="1:40" x14ac:dyDescent="0.25">
      <c r="A5896" t="str">
        <f>"20190303171128338"</f>
        <v>20190303171128338</v>
      </c>
      <c r="B5896" t="str">
        <f>"1551604288326291"</f>
        <v>1551604288326291</v>
      </c>
      <c r="C5896" t="s">
        <v>40</v>
      </c>
      <c r="D5896">
        <v>5.0322430000000002</v>
      </c>
      <c r="E5896">
        <v>0.35418139999999998</v>
      </c>
      <c r="F5896" t="s">
        <v>51</v>
      </c>
      <c r="G5896">
        <v>-168.86009999999999</v>
      </c>
      <c r="H5896">
        <v>5.6523519999999996</v>
      </c>
      <c r="I5896">
        <v>91.584519999999998</v>
      </c>
      <c r="J5896">
        <v>-187.8707</v>
      </c>
      <c r="K5896">
        <v>1.138439</v>
      </c>
      <c r="L5896">
        <v>-52.905430000000003</v>
      </c>
      <c r="M5896">
        <v>0.51714589999999905</v>
      </c>
      <c r="N5896">
        <v>-1.7138529999999999E-2</v>
      </c>
      <c r="O5896">
        <v>0.85572559999999998</v>
      </c>
      <c r="P5896">
        <v>0.46166439999999997</v>
      </c>
      <c r="Q5896">
        <v>0.1794239</v>
      </c>
      <c r="R5896">
        <v>0.86871919999999903</v>
      </c>
      <c r="S5896">
        <v>0.4274597</v>
      </c>
      <c r="T5896">
        <v>0.1006211</v>
      </c>
      <c r="U5896">
        <v>3.2271420000000002</v>
      </c>
      <c r="V5896">
        <v>-6.2739740000000002E-2</v>
      </c>
      <c r="W5896">
        <v>0.1936725</v>
      </c>
      <c r="X5896">
        <v>0.97905810000000004</v>
      </c>
      <c r="Y5896">
        <v>-0.4005243</v>
      </c>
      <c r="Z5896">
        <v>3.9611920000000002E-2</v>
      </c>
      <c r="AA5896">
        <v>0.91542950000000001</v>
      </c>
      <c r="AB5896">
        <v>36</v>
      </c>
      <c r="AC5896">
        <v>19.0106</v>
      </c>
      <c r="AD5896">
        <v>4.5139129999999996</v>
      </c>
      <c r="AE5896">
        <v>144.48994999999999</v>
      </c>
      <c r="AF5896">
        <v>-58.407084578080998</v>
      </c>
      <c r="AG5896">
        <v>4.5139129999999996</v>
      </c>
      <c r="AH5896">
        <v>133.366670423638</v>
      </c>
      <c r="AI5896">
        <v>88.224221853367894</v>
      </c>
      <c r="AJ5896">
        <v>113.65070910607901</v>
      </c>
      <c r="AK5896">
        <v>145.66547881831801</v>
      </c>
      <c r="AL5896">
        <v>78.832815260028397</v>
      </c>
      <c r="AM5896">
        <v>93.666599418257803</v>
      </c>
      <c r="AN5896">
        <v>1.0000000377035601</v>
      </c>
    </row>
    <row r="5897" spans="1:40" x14ac:dyDescent="0.25">
      <c r="A5897" t="str">
        <f>"20190303171128351"</f>
        <v>20190303171128351</v>
      </c>
      <c r="B5897" t="str">
        <f>"1551604288346787"</f>
        <v>1551604288346787</v>
      </c>
      <c r="C5897" t="s">
        <v>40</v>
      </c>
      <c r="D5897">
        <v>5.0407739999999999</v>
      </c>
      <c r="E5897">
        <v>0.355097</v>
      </c>
      <c r="F5897" t="s">
        <v>108</v>
      </c>
      <c r="G5897">
        <v>-171.1369</v>
      </c>
      <c r="H5897">
        <v>5.97004</v>
      </c>
      <c r="I5897">
        <v>92.47363</v>
      </c>
      <c r="J5897">
        <v>-187.75710000000001</v>
      </c>
      <c r="K5897">
        <v>1.138425</v>
      </c>
      <c r="L5897">
        <v>-52.705289999999998</v>
      </c>
      <c r="M5897">
        <v>0.50692519999999996</v>
      </c>
      <c r="N5897">
        <v>-1.7138750000000001E-2</v>
      </c>
      <c r="O5897">
        <v>0.86181969999999997</v>
      </c>
      <c r="P5897">
        <v>0.45133030000000002</v>
      </c>
      <c r="Q5897">
        <v>0.1792984</v>
      </c>
      <c r="R5897">
        <v>0.87415849999999995</v>
      </c>
      <c r="S5897">
        <v>0.37217709999999998</v>
      </c>
      <c r="T5897">
        <v>0.1074599</v>
      </c>
      <c r="U5897">
        <v>3.233368</v>
      </c>
      <c r="V5897">
        <v>-6.2699729999999995E-2</v>
      </c>
      <c r="W5897">
        <v>0.19355130000000001</v>
      </c>
      <c r="X5897">
        <v>0.97908459999999997</v>
      </c>
      <c r="Y5897">
        <v>-0.40527429999999998</v>
      </c>
      <c r="Z5897">
        <v>4.1501629999999998E-2</v>
      </c>
      <c r="AA5897">
        <v>0.91325259999999997</v>
      </c>
      <c r="AB5897">
        <v>36</v>
      </c>
      <c r="AC5897">
        <v>16.620200000000001</v>
      </c>
      <c r="AD5897">
        <v>4.8316150000000002</v>
      </c>
      <c r="AE5897">
        <v>145.17892000000001</v>
      </c>
      <c r="AF5897">
        <v>-59.215204085530402</v>
      </c>
      <c r="AG5897">
        <v>4.8316150000000002</v>
      </c>
      <c r="AH5897">
        <v>133.41700383289</v>
      </c>
      <c r="AI5897">
        <v>88.104167432184596</v>
      </c>
      <c r="AJ5897">
        <v>113.933348018525</v>
      </c>
      <c r="AK5897">
        <v>146.04753270817201</v>
      </c>
      <c r="AL5897">
        <v>78.839893103448105</v>
      </c>
      <c r="AM5897">
        <v>93.664168642362398</v>
      </c>
      <c r="AN5897">
        <v>1.0000000079154601</v>
      </c>
    </row>
    <row r="5898" spans="1:40" x14ac:dyDescent="0.25">
      <c r="A5898" t="str">
        <f>"20190303171128371"</f>
        <v>20190303171128371</v>
      </c>
      <c r="B5898" t="str">
        <f>"1551604288356547"</f>
        <v>1551604288356547</v>
      </c>
      <c r="C5898" t="s">
        <v>40</v>
      </c>
      <c r="D5898">
        <v>5.0373679999999998</v>
      </c>
      <c r="E5898">
        <v>0.35593819999999998</v>
      </c>
      <c r="F5898" t="s">
        <v>108</v>
      </c>
      <c r="G5898">
        <v>-172.4803</v>
      </c>
      <c r="H5898">
        <v>5.9288619999999996</v>
      </c>
      <c r="I5898">
        <v>92.473609999999994</v>
      </c>
      <c r="J5898">
        <v>-187.61269999999999</v>
      </c>
      <c r="K5898">
        <v>1.1384080000000001</v>
      </c>
      <c r="L5898">
        <v>-52.443119999999901</v>
      </c>
      <c r="M5898">
        <v>0.49350359999999999</v>
      </c>
      <c r="N5898">
        <v>-1.7138819999999999E-2</v>
      </c>
      <c r="O5898">
        <v>0.86957489999999904</v>
      </c>
      <c r="P5898">
        <v>0.43763419999999997</v>
      </c>
      <c r="Q5898">
        <v>0.179143</v>
      </c>
      <c r="R5898">
        <v>0.88112659999999998</v>
      </c>
      <c r="S5898">
        <v>0.34033200000000002</v>
      </c>
      <c r="T5898">
        <v>0.10672040000000001</v>
      </c>
      <c r="U5898">
        <v>3.2342529999999998</v>
      </c>
      <c r="V5898">
        <v>-6.2800220000000004E-2</v>
      </c>
      <c r="W5898">
        <v>0.1933937</v>
      </c>
      <c r="X5898">
        <v>0.97910929999999996</v>
      </c>
      <c r="Y5898">
        <v>-0.40000570000000002</v>
      </c>
      <c r="Z5898">
        <v>4.180536E-2</v>
      </c>
      <c r="AA5898">
        <v>0.91555869999999995</v>
      </c>
      <c r="AB5898">
        <v>36</v>
      </c>
      <c r="AC5898">
        <v>15.132399999999899</v>
      </c>
      <c r="AD5898">
        <v>4.7904540000000004</v>
      </c>
      <c r="AE5898">
        <v>144.91672999999901</v>
      </c>
      <c r="AF5898">
        <v>-58.303720703759602</v>
      </c>
      <c r="AG5898">
        <v>4.7904540000000004</v>
      </c>
      <c r="AH5898">
        <v>133.35929561943601</v>
      </c>
      <c r="AI5898">
        <v>88.114882991663706</v>
      </c>
      <c r="AJ5898">
        <v>113.61460140705501</v>
      </c>
      <c r="AK5898">
        <v>145.626144718386</v>
      </c>
      <c r="AL5898">
        <v>78.849096795327895</v>
      </c>
      <c r="AM5898">
        <v>93.669932904171006</v>
      </c>
      <c r="AN5898">
        <v>1.0000000060891101</v>
      </c>
    </row>
    <row r="5899" spans="1:40" x14ac:dyDescent="0.25">
      <c r="A5899" t="str">
        <f>"20190303171128395"</f>
        <v>20190303171128395</v>
      </c>
      <c r="B5899" t="str">
        <f>"1551604288386788"</f>
        <v>1551604288386788</v>
      </c>
      <c r="C5899" t="s">
        <v>40</v>
      </c>
      <c r="D5899">
        <v>5.0672110000000004</v>
      </c>
      <c r="E5899">
        <v>0.35756389999999999</v>
      </c>
      <c r="F5899" t="s">
        <v>108</v>
      </c>
      <c r="G5899">
        <v>-174.3417</v>
      </c>
      <c r="H5899">
        <v>5.6932359999999997</v>
      </c>
      <c r="I5899">
        <v>92.473529999999997</v>
      </c>
      <c r="J5899">
        <v>-187.4376</v>
      </c>
      <c r="K5899">
        <v>1.138388</v>
      </c>
      <c r="L5899">
        <v>-52.112270000000002</v>
      </c>
      <c r="M5899">
        <v>0.4765122</v>
      </c>
      <c r="N5899">
        <v>-1.713862E-2</v>
      </c>
      <c r="O5899">
        <v>0.87900080000000003</v>
      </c>
      <c r="P5899">
        <v>0.42041699999999999</v>
      </c>
      <c r="Q5899">
        <v>0.17878250000000001</v>
      </c>
      <c r="R5899">
        <v>0.88954279999999997</v>
      </c>
      <c r="S5899">
        <v>0.29641719999999999</v>
      </c>
      <c r="T5899">
        <v>0.1017358</v>
      </c>
      <c r="U5899">
        <v>3.2368160000000001</v>
      </c>
      <c r="V5899">
        <v>-6.2821989999999994E-2</v>
      </c>
      <c r="W5899">
        <v>0.1930357</v>
      </c>
      <c r="X5899">
        <v>0.97917849999999995</v>
      </c>
      <c r="Y5899">
        <v>-0.39455560000000001</v>
      </c>
      <c r="Z5899">
        <v>4.1172930000000003E-2</v>
      </c>
      <c r="AA5899">
        <v>0.91794909999999996</v>
      </c>
      <c r="AB5899">
        <v>36</v>
      </c>
      <c r="AC5899">
        <v>13.0959</v>
      </c>
      <c r="AD5899">
        <v>4.5548479999999998</v>
      </c>
      <c r="AE5899">
        <v>144.58580000000001</v>
      </c>
      <c r="AF5899">
        <v>-57.337580421544502</v>
      </c>
      <c r="AG5899">
        <v>4.5548479999999998</v>
      </c>
      <c r="AH5899">
        <v>133.21984061919099</v>
      </c>
      <c r="AI5899">
        <v>88.201206689838699</v>
      </c>
      <c r="AJ5899">
        <v>113.286957263754</v>
      </c>
      <c r="AK5899">
        <v>145.10641165538701</v>
      </c>
      <c r="AL5899">
        <v>78.870002096849902</v>
      </c>
      <c r="AM5899">
        <v>93.670942885755295</v>
      </c>
      <c r="AN5899">
        <v>0.99999995938214903</v>
      </c>
    </row>
    <row r="5900" spans="1:40" x14ac:dyDescent="0.25">
      <c r="A5900" t="str">
        <f>"20190303171128419"</f>
        <v>20190303171128419</v>
      </c>
      <c r="B5900" t="str">
        <f>"1551604288406308"</f>
        <v>1551604288406308</v>
      </c>
      <c r="C5900" t="s">
        <v>40</v>
      </c>
      <c r="D5900">
        <v>5.0524789999999999</v>
      </c>
      <c r="E5900">
        <v>0.36812679999999998</v>
      </c>
      <c r="F5900" t="s">
        <v>108</v>
      </c>
      <c r="G5900">
        <v>-175.87280000000001</v>
      </c>
      <c r="H5900">
        <v>5.6196699999999904</v>
      </c>
      <c r="I5900">
        <v>100.65900000000001</v>
      </c>
      <c r="J5900">
        <v>-187.2671</v>
      </c>
      <c r="K5900">
        <v>1.1383719999999999</v>
      </c>
      <c r="L5900">
        <v>-51.773040000000002</v>
      </c>
      <c r="M5900">
        <v>0.45904840000000002</v>
      </c>
      <c r="N5900">
        <v>-1.7137690000000001E-2</v>
      </c>
      <c r="O5900">
        <v>0.88824590000000003</v>
      </c>
      <c r="P5900">
        <v>0.4028949</v>
      </c>
      <c r="Q5900">
        <v>0.17861009999999999</v>
      </c>
      <c r="R5900">
        <v>0.89764920000000004</v>
      </c>
      <c r="S5900">
        <v>0.24508669999999999</v>
      </c>
      <c r="T5900">
        <v>9.4970230000000003E-2</v>
      </c>
      <c r="U5900">
        <v>3.2376100000000001</v>
      </c>
      <c r="V5900">
        <v>-6.2666699999999895E-2</v>
      </c>
      <c r="W5900">
        <v>0.19287299999999999</v>
      </c>
      <c r="X5900">
        <v>0.9792206</v>
      </c>
      <c r="Y5900">
        <v>-0.39085340000000002</v>
      </c>
      <c r="Z5900">
        <v>4.005765E-2</v>
      </c>
      <c r="AA5900">
        <v>0.91958090000000003</v>
      </c>
      <c r="AB5900">
        <v>36</v>
      </c>
      <c r="AC5900">
        <v>11.3942999999999</v>
      </c>
      <c r="AD5900">
        <v>4.48129799999999</v>
      </c>
      <c r="AE5900">
        <v>152.43204</v>
      </c>
      <c r="AF5900">
        <v>-59.810132198796197</v>
      </c>
      <c r="AG5900">
        <v>4.48129799999999</v>
      </c>
      <c r="AH5900">
        <v>140.52755115940201</v>
      </c>
      <c r="AI5900">
        <v>88.319305555249002</v>
      </c>
      <c r="AJ5900">
        <v>113.055158266653</v>
      </c>
      <c r="AK5900">
        <v>152.79177523761101</v>
      </c>
      <c r="AL5900">
        <v>78.879503638121705</v>
      </c>
      <c r="AM5900">
        <v>93.661736375291994</v>
      </c>
      <c r="AN5900">
        <v>1.0000000464411201</v>
      </c>
    </row>
    <row r="5901" spans="1:40" x14ac:dyDescent="0.25">
      <c r="A5901" t="str">
        <f>"20190303171128441"</f>
        <v>20190303171128441</v>
      </c>
      <c r="B5901" t="str">
        <f>"1551604288436564"</f>
        <v>1551604288436564</v>
      </c>
      <c r="C5901" t="s">
        <v>40</v>
      </c>
      <c r="D5901">
        <v>5.0854850000000003</v>
      </c>
      <c r="E5901">
        <v>0.36989149999999998</v>
      </c>
      <c r="F5901" t="s">
        <v>83</v>
      </c>
      <c r="G5901">
        <v>-169.84030000000001</v>
      </c>
      <c r="H5901">
        <v>5.283264</v>
      </c>
      <c r="I5901">
        <v>163.92019999999999</v>
      </c>
      <c r="J5901">
        <v>-187.12280000000001</v>
      </c>
      <c r="K5901">
        <v>1.1383529999999999</v>
      </c>
      <c r="L5901">
        <v>-51.471829999999997</v>
      </c>
      <c r="M5901">
        <v>0.44349749999999999</v>
      </c>
      <c r="N5901">
        <v>-1.7136229999999999E-2</v>
      </c>
      <c r="O5901">
        <v>0.89611180000000001</v>
      </c>
      <c r="P5901">
        <v>0.38742409999999999</v>
      </c>
      <c r="Q5901">
        <v>0.1780081</v>
      </c>
      <c r="R5901">
        <v>0.90455280000000005</v>
      </c>
      <c r="S5901">
        <v>0.25961299999999998</v>
      </c>
      <c r="T5901">
        <v>6.1747910000000003E-2</v>
      </c>
      <c r="U5901">
        <v>3.213257</v>
      </c>
      <c r="V5901">
        <v>-6.2427509999999999E-2</v>
      </c>
      <c r="W5901">
        <v>0.19228429999999999</v>
      </c>
      <c r="X5901">
        <v>0.97935159999999999</v>
      </c>
      <c r="Y5901">
        <v>-0.36999890000000002</v>
      </c>
      <c r="Z5901">
        <v>3.2345190000000003E-2</v>
      </c>
      <c r="AA5901">
        <v>0.92846890000000004</v>
      </c>
      <c r="AB5901">
        <v>36</v>
      </c>
      <c r="AC5901">
        <v>17.282499999999999</v>
      </c>
      <c r="AD5901">
        <v>4.1449109999999996</v>
      </c>
      <c r="AE5901">
        <v>215.39203000000001</v>
      </c>
      <c r="AF5901">
        <v>-80.021083857816393</v>
      </c>
      <c r="AG5901">
        <v>4.1449109999999996</v>
      </c>
      <c r="AH5901">
        <v>200.63572940169701</v>
      </c>
      <c r="AI5901">
        <v>88.900687511487007</v>
      </c>
      <c r="AJ5901">
        <v>111.743974887785</v>
      </c>
      <c r="AK5901">
        <v>216.04455573221099</v>
      </c>
      <c r="AL5901">
        <v>78.913876572711303</v>
      </c>
      <c r="AM5901">
        <v>93.647311230834504</v>
      </c>
      <c r="AN5901">
        <v>1.0000000012269199</v>
      </c>
    </row>
    <row r="5902" spans="1:40" x14ac:dyDescent="0.25">
      <c r="A5902" t="str">
        <f>"20190303171128464"</f>
        <v>20190303171128464</v>
      </c>
      <c r="B5902" t="str">
        <f>"1551604288456084"</f>
        <v>1551604288456084</v>
      </c>
      <c r="C5902" t="s">
        <v>40</v>
      </c>
      <c r="D5902">
        <v>5.1072220000000002</v>
      </c>
      <c r="E5902">
        <v>0.3809401</v>
      </c>
      <c r="F5902" t="s">
        <v>82</v>
      </c>
      <c r="G5902">
        <v>-171.3502</v>
      </c>
      <c r="H5902">
        <v>4.92</v>
      </c>
      <c r="I5902">
        <v>181.28579999999999</v>
      </c>
      <c r="J5902">
        <v>-186.9693</v>
      </c>
      <c r="K5902">
        <v>1.138336</v>
      </c>
      <c r="L5902">
        <v>-51.135100000000001</v>
      </c>
      <c r="M5902">
        <v>0.4260659</v>
      </c>
      <c r="N5902">
        <v>-1.7133659999999998E-2</v>
      </c>
      <c r="O5902">
        <v>0.9045299</v>
      </c>
      <c r="P5902">
        <v>0.37002200000000002</v>
      </c>
      <c r="Q5902">
        <v>0.17826649999999999</v>
      </c>
      <c r="R5902">
        <v>0.91175919999999999</v>
      </c>
      <c r="S5902">
        <v>0.2177277</v>
      </c>
      <c r="T5902">
        <v>5.2202459999999999E-2</v>
      </c>
      <c r="U5902">
        <v>3.2130130000000001</v>
      </c>
      <c r="V5902">
        <v>-6.2208880000000001E-2</v>
      </c>
      <c r="W5902">
        <v>0.19255249999999999</v>
      </c>
      <c r="X5902">
        <v>0.97931279999999998</v>
      </c>
      <c r="Y5902">
        <v>-0.36402119999999999</v>
      </c>
      <c r="Z5902">
        <v>3.0233030000000001E-2</v>
      </c>
      <c r="AA5902">
        <v>0.9308999</v>
      </c>
      <c r="AB5902">
        <v>36</v>
      </c>
      <c r="AC5902">
        <v>15.6191</v>
      </c>
      <c r="AD5902">
        <v>3.7816640000000001</v>
      </c>
      <c r="AE5902">
        <v>232.42089999999999</v>
      </c>
      <c r="AF5902">
        <v>-84.888766768444</v>
      </c>
      <c r="AG5902">
        <v>3.7816640000000001</v>
      </c>
      <c r="AH5902">
        <v>216.86110221964699</v>
      </c>
      <c r="AI5902">
        <v>89.069688862284593</v>
      </c>
      <c r="AJ5902">
        <v>111.37751269679001</v>
      </c>
      <c r="AK5902">
        <v>232.91445073673799</v>
      </c>
      <c r="AL5902">
        <v>78.898217036866598</v>
      </c>
      <c r="AM5902">
        <v>93.634715742987595</v>
      </c>
      <c r="AN5902">
        <v>0.99999998512547195</v>
      </c>
    </row>
    <row r="5903" spans="1:40" x14ac:dyDescent="0.25">
      <c r="A5903" t="str">
        <f>"20190303171128486"</f>
        <v>20190303171128486</v>
      </c>
      <c r="B5903" t="str">
        <f>"1551604288476580"</f>
        <v>1551604288476580</v>
      </c>
      <c r="C5903" t="s">
        <v>40</v>
      </c>
      <c r="D5903">
        <v>5.1151289999999996</v>
      </c>
      <c r="E5903">
        <v>0.3835789</v>
      </c>
      <c r="F5903" t="s">
        <v>50</v>
      </c>
      <c r="G5903">
        <v>-169.29669999999999</v>
      </c>
      <c r="H5903">
        <v>6.7791820000000003E-2</v>
      </c>
      <c r="I5903">
        <v>184.3836</v>
      </c>
      <c r="J5903">
        <v>-186.8348</v>
      </c>
      <c r="K5903">
        <v>1.1383110000000001</v>
      </c>
      <c r="L5903">
        <v>-50.825200000000002</v>
      </c>
      <c r="M5903">
        <v>0.40998390000000001</v>
      </c>
      <c r="N5903">
        <v>-1.713056E-2</v>
      </c>
      <c r="O5903">
        <v>0.91193190000000002</v>
      </c>
      <c r="P5903">
        <v>0.35402539999999999</v>
      </c>
      <c r="Q5903">
        <v>0.17837819999999999</v>
      </c>
      <c r="R5903">
        <v>0.91806710000000002</v>
      </c>
      <c r="S5903">
        <v>0.2398071</v>
      </c>
      <c r="T5903">
        <v>-1.4526249999999999E-2</v>
      </c>
      <c r="U5903">
        <v>3.195862</v>
      </c>
      <c r="V5903">
        <v>-6.1974370000000001E-2</v>
      </c>
      <c r="W5903">
        <v>0.1926746</v>
      </c>
      <c r="X5903">
        <v>0.9793037</v>
      </c>
      <c r="Y5903">
        <v>-0.34059070000000002</v>
      </c>
      <c r="Z5903">
        <v>1.305019E-2</v>
      </c>
      <c r="AA5903">
        <v>0.94012110000000004</v>
      </c>
      <c r="AB5903">
        <v>36</v>
      </c>
      <c r="AC5903">
        <v>17.5381</v>
      </c>
      <c r="AD5903">
        <v>-1.07051918</v>
      </c>
      <c r="AE5903">
        <v>235.2088</v>
      </c>
      <c r="AF5903">
        <v>-80.448414374291204</v>
      </c>
      <c r="AG5903">
        <v>-1.07051918</v>
      </c>
      <c r="AH5903">
        <v>221.71270875145001</v>
      </c>
      <c r="AI5903">
        <v>90.260055195705604</v>
      </c>
      <c r="AJ5903">
        <v>109.94329350296501</v>
      </c>
      <c r="AK5903">
        <v>235.85931952873401</v>
      </c>
      <c r="AL5903">
        <v>78.891088233145993</v>
      </c>
      <c r="AM5903">
        <v>93.621083968583704</v>
      </c>
      <c r="AN5903">
        <v>1.00000003042787</v>
      </c>
    </row>
    <row r="5904" spans="1:40" x14ac:dyDescent="0.25">
      <c r="A5904" t="str">
        <f>"20190303171128509"</f>
        <v>20190303171128509</v>
      </c>
      <c r="B5904" t="str">
        <f>"1551604288496100"</f>
        <v>1551604288496100</v>
      </c>
      <c r="C5904" t="s">
        <v>40</v>
      </c>
      <c r="D5904">
        <v>5.1326749999999999</v>
      </c>
      <c r="E5904">
        <v>0.38544319999999999</v>
      </c>
      <c r="F5904" t="s">
        <v>42</v>
      </c>
      <c r="G5904">
        <v>-178.959</v>
      </c>
      <c r="H5904">
        <v>7.9986420000000003E-2</v>
      </c>
      <c r="I5904">
        <v>73.072590000000005</v>
      </c>
      <c r="J5904">
        <v>-186.69589999999999</v>
      </c>
      <c r="K5904">
        <v>1.1382859999999999</v>
      </c>
      <c r="L5904">
        <v>-50.488250000000001</v>
      </c>
      <c r="M5904">
        <v>0.3924571</v>
      </c>
      <c r="N5904">
        <v>-1.7126160000000001E-2</v>
      </c>
      <c r="O5904">
        <v>0.91961090000000001</v>
      </c>
      <c r="P5904">
        <v>0.3366634</v>
      </c>
      <c r="Q5904">
        <v>0.17818200000000001</v>
      </c>
      <c r="R5904">
        <v>0.92461289999999996</v>
      </c>
      <c r="S5904">
        <v>0.20307919999999999</v>
      </c>
      <c r="T5904">
        <v>-2.7289150000000002E-2</v>
      </c>
      <c r="U5904">
        <v>3.1947329999999998</v>
      </c>
      <c r="V5904">
        <v>-6.167868E-2</v>
      </c>
      <c r="W5904">
        <v>0.1924911</v>
      </c>
      <c r="X5904">
        <v>0.97935839999999996</v>
      </c>
      <c r="Y5904">
        <v>-0.33330460000000001</v>
      </c>
      <c r="Z5904">
        <v>9.6394819999999996E-3</v>
      </c>
      <c r="AA5904">
        <v>0.94276990000000005</v>
      </c>
      <c r="AB5904">
        <v>36</v>
      </c>
      <c r="AC5904">
        <v>7.7368999999999897</v>
      </c>
      <c r="AD5904">
        <v>-1.0582995799999999</v>
      </c>
      <c r="AE5904">
        <v>123.560839999999</v>
      </c>
      <c r="AF5904">
        <v>-41.380435198099001</v>
      </c>
      <c r="AG5904">
        <v>-1.0582995799999999</v>
      </c>
      <c r="AH5904">
        <v>116.672878748361</v>
      </c>
      <c r="AI5904">
        <v>90.4898034468617</v>
      </c>
      <c r="AJ5904">
        <v>109.528097598027</v>
      </c>
      <c r="AK5904">
        <v>123.79830794730201</v>
      </c>
      <c r="AL5904">
        <v>78.901801999603293</v>
      </c>
      <c r="AM5904">
        <v>93.603652061817499</v>
      </c>
      <c r="AN5904">
        <v>0.99999997939815499</v>
      </c>
    </row>
    <row r="5905" spans="1:40" x14ac:dyDescent="0.25">
      <c r="A5905" t="str">
        <f>"20190303171128531"</f>
        <v>20190303171128531</v>
      </c>
      <c r="B5905" t="str">
        <f>"1551604288516596"</f>
        <v>1551604288516596</v>
      </c>
      <c r="C5905" t="s">
        <v>40</v>
      </c>
      <c r="D5905">
        <v>5.1310669999999998</v>
      </c>
      <c r="E5905">
        <v>0.38630829999999999</v>
      </c>
      <c r="F5905" t="s">
        <v>42</v>
      </c>
      <c r="G5905">
        <v>-181.43639999999999</v>
      </c>
      <c r="H5905" s="1">
        <v>-4.7550430000000003E-6</v>
      </c>
      <c r="I5905">
        <v>56.925370000000001</v>
      </c>
      <c r="J5905">
        <v>-186.57669999999999</v>
      </c>
      <c r="K5905">
        <v>1.1382620000000001</v>
      </c>
      <c r="L5905">
        <v>-50.183230000000002</v>
      </c>
      <c r="M5905">
        <v>0.37655959999999999</v>
      </c>
      <c r="N5905">
        <v>-1.7120650000000001E-2</v>
      </c>
      <c r="O5905">
        <v>0.92623420000000001</v>
      </c>
      <c r="P5905">
        <v>0.32098199999999999</v>
      </c>
      <c r="Q5905">
        <v>0.17712749999999999</v>
      </c>
      <c r="R5905">
        <v>0.93037429999999999</v>
      </c>
      <c r="S5905">
        <v>0.1564026</v>
      </c>
      <c r="T5905">
        <v>-3.3849600000000001E-2</v>
      </c>
      <c r="U5905">
        <v>3.1941830000000002</v>
      </c>
      <c r="V5905">
        <v>-6.1385540000000002E-2</v>
      </c>
      <c r="W5905">
        <v>0.19145039999999999</v>
      </c>
      <c r="X5905">
        <v>0.97958080000000003</v>
      </c>
      <c r="Y5905">
        <v>-0.33078000000000002</v>
      </c>
      <c r="Z5905">
        <v>7.8317539999999998E-3</v>
      </c>
      <c r="AA5905">
        <v>0.94367540000000005</v>
      </c>
      <c r="AB5905">
        <v>36</v>
      </c>
      <c r="AC5905">
        <v>5.1402999999999901</v>
      </c>
      <c r="AD5905">
        <v>-1.1382667550429999</v>
      </c>
      <c r="AE5905">
        <v>107.1086</v>
      </c>
      <c r="AF5905">
        <v>-35.572855341202001</v>
      </c>
      <c r="AG5905">
        <v>-1.1382667550429999</v>
      </c>
      <c r="AH5905">
        <v>101.146705217828</v>
      </c>
      <c r="AI5905">
        <v>90.608240598669198</v>
      </c>
      <c r="AJ5905">
        <v>109.37655104672299</v>
      </c>
      <c r="AK5905">
        <v>107.225834875527</v>
      </c>
      <c r="AL5905">
        <v>78.962559917380105</v>
      </c>
      <c r="AM5905">
        <v>93.585757656841096</v>
      </c>
      <c r="AN5905">
        <v>0.99999999195494504</v>
      </c>
    </row>
    <row r="5906" spans="1:40" x14ac:dyDescent="0.25">
      <c r="A5906" t="str">
        <f>"20190303171128552"</f>
        <v>20190303171128552</v>
      </c>
      <c r="B5906" t="str">
        <f>"1551604288546852"</f>
        <v>1551604288546852</v>
      </c>
      <c r="C5906" t="s">
        <v>40</v>
      </c>
      <c r="D5906">
        <v>5.1688330000000002</v>
      </c>
      <c r="E5906">
        <v>0.3961517</v>
      </c>
      <c r="F5906" t="s">
        <v>42</v>
      </c>
      <c r="G5906">
        <v>-183.52099999999999</v>
      </c>
      <c r="H5906" s="1">
        <v>-5.2236859999999997E-6</v>
      </c>
      <c r="I5906">
        <v>39.130330000000001</v>
      </c>
      <c r="J5906">
        <v>-186.4599</v>
      </c>
      <c r="K5906">
        <v>1.138228</v>
      </c>
      <c r="L5906">
        <v>-49.868040000000001</v>
      </c>
      <c r="M5906">
        <v>0.36010639999999999</v>
      </c>
      <c r="N5906">
        <v>-1.711319E-2</v>
      </c>
      <c r="O5906">
        <v>0.93275430000000004</v>
      </c>
      <c r="P5906">
        <v>0.30515879999999901</v>
      </c>
      <c r="Q5906">
        <v>0.17612220000000001</v>
      </c>
      <c r="R5906">
        <v>0.93587339999999997</v>
      </c>
      <c r="S5906">
        <v>0.1092987</v>
      </c>
      <c r="T5906">
        <v>-4.0713310000000003E-2</v>
      </c>
      <c r="U5906">
        <v>3.19455</v>
      </c>
      <c r="V5906">
        <v>-6.0666230000000002E-2</v>
      </c>
      <c r="W5906">
        <v>0.1904759</v>
      </c>
      <c r="X5906">
        <v>0.97981560000000001</v>
      </c>
      <c r="Y5906">
        <v>-0.32796380000000003</v>
      </c>
      <c r="Z5906">
        <v>5.8969369999999997E-3</v>
      </c>
      <c r="AA5906">
        <v>0.94467190000000001</v>
      </c>
      <c r="AB5906">
        <v>36</v>
      </c>
      <c r="AC5906">
        <v>2.9389000000000101</v>
      </c>
      <c r="AD5906">
        <v>-1.138233223686</v>
      </c>
      <c r="AE5906">
        <v>88.998369999999994</v>
      </c>
      <c r="AF5906">
        <v>-29.307114054673999</v>
      </c>
      <c r="AG5906">
        <v>-1.138233223686</v>
      </c>
      <c r="AH5906">
        <v>84.070503429105699</v>
      </c>
      <c r="AI5906">
        <v>90.732457572084002</v>
      </c>
      <c r="AJ5906">
        <v>109.21863781706099</v>
      </c>
      <c r="AK5906">
        <v>89.039609477515398</v>
      </c>
      <c r="AL5906">
        <v>79.019441914631798</v>
      </c>
      <c r="AM5906">
        <v>93.543000724800606</v>
      </c>
      <c r="AN5906">
        <v>1.00000003497329</v>
      </c>
    </row>
    <row r="5907" spans="1:40" x14ac:dyDescent="0.25">
      <c r="A5907" t="str">
        <f>"20190303171128575"</f>
        <v>20190303171128575</v>
      </c>
      <c r="B5907" t="str">
        <f>"1551604288566372"</f>
        <v>1551604288566372</v>
      </c>
      <c r="C5907" t="s">
        <v>40</v>
      </c>
      <c r="D5907">
        <v>5.1944530000000002</v>
      </c>
      <c r="E5907">
        <v>0.39829399999999998</v>
      </c>
      <c r="F5907" t="s">
        <v>42</v>
      </c>
      <c r="G5907">
        <v>-184.46510000000001</v>
      </c>
      <c r="H5907" s="1">
        <v>-4.9573349999999999E-6</v>
      </c>
      <c r="I5907">
        <v>-1.100131</v>
      </c>
      <c r="J5907">
        <v>-186.34289999999999</v>
      </c>
      <c r="K5907">
        <v>1.13819</v>
      </c>
      <c r="L5907">
        <v>-49.534030000000001</v>
      </c>
      <c r="M5907">
        <v>0.34264889999999998</v>
      </c>
      <c r="N5907">
        <v>-1.7103190000000001E-2</v>
      </c>
      <c r="O5907">
        <v>0.93930789999999997</v>
      </c>
      <c r="P5907">
        <v>0.28871760000000002</v>
      </c>
      <c r="Q5907">
        <v>0.17576989999999901</v>
      </c>
      <c r="R5907">
        <v>0.94114140000000002</v>
      </c>
      <c r="S5907">
        <v>0.12995909999999999</v>
      </c>
      <c r="T5907">
        <v>-7.4154139999999993E-2</v>
      </c>
      <c r="U5907">
        <v>3.177155</v>
      </c>
      <c r="V5907">
        <v>-5.9544739999999999E-2</v>
      </c>
      <c r="W5907">
        <v>0.19016920000000001</v>
      </c>
      <c r="X5907">
        <v>0.97994389999999998</v>
      </c>
      <c r="Y5907">
        <v>-0.30390840000000002</v>
      </c>
      <c r="Z5907">
        <v>-3.6802499999999999E-3</v>
      </c>
      <c r="AA5907">
        <v>0.95269420000000005</v>
      </c>
      <c r="AB5907">
        <v>35</v>
      </c>
      <c r="AC5907">
        <v>1.8777999999999799</v>
      </c>
      <c r="AD5907">
        <v>-1.1381949573350001</v>
      </c>
      <c r="AE5907">
        <v>48.433898999999997</v>
      </c>
      <c r="AF5907">
        <v>-14.8259834187888</v>
      </c>
      <c r="AG5907">
        <v>-1.1381949573350001</v>
      </c>
      <c r="AH5907">
        <v>46.119085927881798</v>
      </c>
      <c r="AI5907">
        <v>91.345932305178195</v>
      </c>
      <c r="AJ5907">
        <v>107.821131348501</v>
      </c>
      <c r="AK5907">
        <v>48.456943350963101</v>
      </c>
      <c r="AL5907">
        <v>79.037341031396096</v>
      </c>
      <c r="AM5907">
        <v>93.477212045608297</v>
      </c>
      <c r="AN5907">
        <v>0.99999997391875795</v>
      </c>
    </row>
    <row r="5908" spans="1:40" x14ac:dyDescent="0.25">
      <c r="A5908" t="str">
        <f>"20190303171128598"</f>
        <v>20190303171128598</v>
      </c>
      <c r="B5908" t="str">
        <f>"1551604288586868"</f>
        <v>1551604288586868</v>
      </c>
      <c r="C5908" t="s">
        <v>40</v>
      </c>
      <c r="D5908">
        <v>5.2044779999999999</v>
      </c>
      <c r="E5908">
        <v>0.3998371</v>
      </c>
      <c r="F5908" t="s">
        <v>42</v>
      </c>
      <c r="G5908">
        <v>-185.1369</v>
      </c>
      <c r="H5908" s="1">
        <v>-2.379453E-6</v>
      </c>
      <c r="I5908">
        <v>-7.162121</v>
      </c>
      <c r="J5908">
        <v>-186.23599999999999</v>
      </c>
      <c r="K5908">
        <v>1.138153</v>
      </c>
      <c r="L5908">
        <v>-49.208860000000001</v>
      </c>
      <c r="M5908">
        <v>0.32564460000000001</v>
      </c>
      <c r="N5908">
        <v>-1.709099E-2</v>
      </c>
      <c r="O5908">
        <v>0.94533780000000001</v>
      </c>
      <c r="P5908">
        <v>0.27267329999999901</v>
      </c>
      <c r="Q5908">
        <v>0.17581179999999999</v>
      </c>
      <c r="R5908">
        <v>0.94590669999999999</v>
      </c>
      <c r="S5908">
        <v>9.0393070000000006E-2</v>
      </c>
      <c r="T5908">
        <v>-8.5308549999999997E-2</v>
      </c>
      <c r="U5908">
        <v>3.1758120000000001</v>
      </c>
      <c r="V5908">
        <v>-5.8502220000000001E-2</v>
      </c>
      <c r="W5908">
        <v>0.1902498</v>
      </c>
      <c r="X5908">
        <v>0.9799911</v>
      </c>
      <c r="Y5908">
        <v>-0.29854389999999997</v>
      </c>
      <c r="Z5908">
        <v>-7.0354579999999996E-3</v>
      </c>
      <c r="AA5908">
        <v>0.95437000000000005</v>
      </c>
      <c r="AB5908">
        <v>35</v>
      </c>
      <c r="AC5908">
        <v>1.09909999999999</v>
      </c>
      <c r="AD5908">
        <v>-1.1381553794529999</v>
      </c>
      <c r="AE5908">
        <v>42.046739000000002</v>
      </c>
      <c r="AF5908">
        <v>-12.6458611949204</v>
      </c>
      <c r="AG5908">
        <v>-1.1381553794529999</v>
      </c>
      <c r="AH5908">
        <v>40.082795853353304</v>
      </c>
      <c r="AI5908">
        <v>91.551155384920506</v>
      </c>
      <c r="AJ5908">
        <v>107.51014631126201</v>
      </c>
      <c r="AK5908">
        <v>42.045733748509697</v>
      </c>
      <c r="AL5908">
        <v>79.032637694011399</v>
      </c>
      <c r="AM5908">
        <v>93.416313718420298</v>
      </c>
      <c r="AN5908">
        <v>1.0000000261120801</v>
      </c>
    </row>
    <row r="5909" spans="1:40" x14ac:dyDescent="0.25">
      <c r="A5909" t="str">
        <f>"20190303171128622"</f>
        <v>20190303171128622</v>
      </c>
      <c r="B5909" t="str">
        <f>"1551604288616149"</f>
        <v>1551604288616149</v>
      </c>
      <c r="C5909" t="s">
        <v>40</v>
      </c>
      <c r="D5909">
        <v>5.2111260000000001</v>
      </c>
      <c r="E5909">
        <v>0.40214870000000003</v>
      </c>
      <c r="F5909" t="s">
        <v>42</v>
      </c>
      <c r="G5909">
        <v>-185.60589999999999</v>
      </c>
      <c r="H5909" s="1">
        <v>-1.975378E-6</v>
      </c>
      <c r="I5909">
        <v>-7.9828229999999998</v>
      </c>
      <c r="J5909">
        <v>-186.12639999999999</v>
      </c>
      <c r="K5909">
        <v>1.138099</v>
      </c>
      <c r="L5909">
        <v>-48.851349999999996</v>
      </c>
      <c r="M5909">
        <v>0.3069481</v>
      </c>
      <c r="N5909">
        <v>-1.707415E-2</v>
      </c>
      <c r="O5909">
        <v>0.95157309999999995</v>
      </c>
      <c r="P5909">
        <v>0.25420310000000002</v>
      </c>
      <c r="Q5909">
        <v>0.17518739999999999</v>
      </c>
      <c r="R5909">
        <v>0.951152</v>
      </c>
      <c r="S5909">
        <v>4.8507689999999999E-2</v>
      </c>
      <c r="T5909">
        <v>-8.762288E-2</v>
      </c>
      <c r="U5909">
        <v>3.1738590000000002</v>
      </c>
      <c r="V5909">
        <v>-5.8252360000000003E-2</v>
      </c>
      <c r="W5909">
        <v>0.1896272</v>
      </c>
      <c r="X5909">
        <v>0.98012659999999996</v>
      </c>
      <c r="Y5909">
        <v>-0.2922978</v>
      </c>
      <c r="Z5909">
        <v>-7.965593E-3</v>
      </c>
      <c r="AA5909">
        <v>0.95629419999999998</v>
      </c>
      <c r="AB5909">
        <v>35</v>
      </c>
      <c r="AC5909">
        <v>0.52049999999999796</v>
      </c>
      <c r="AD5909">
        <v>-1.138100975378</v>
      </c>
      <c r="AE5909">
        <v>40.868527</v>
      </c>
      <c r="AF5909">
        <v>-12.041642649221201</v>
      </c>
      <c r="AG5909">
        <v>-1.138100975378</v>
      </c>
      <c r="AH5909">
        <v>39.024591271586999</v>
      </c>
      <c r="AI5909">
        <v>91.596259340285201</v>
      </c>
      <c r="AJ5909">
        <v>107.14842121547601</v>
      </c>
      <c r="AK5909">
        <v>40.856029609301501</v>
      </c>
      <c r="AL5909">
        <v>79.068970980765002</v>
      </c>
      <c r="AM5909">
        <v>93.401287974406998</v>
      </c>
      <c r="AN5909">
        <v>0.99999998222648401</v>
      </c>
    </row>
    <row r="5910" spans="1:40" x14ac:dyDescent="0.25">
      <c r="A5910" t="str">
        <f>"20190303171128643"</f>
        <v>20190303171128643</v>
      </c>
      <c r="B5910" t="str">
        <f>"1551604288636644"</f>
        <v>1551604288636644</v>
      </c>
      <c r="C5910" t="s">
        <v>40</v>
      </c>
      <c r="D5910">
        <v>5.22309</v>
      </c>
      <c r="E5910">
        <v>0.40272970000000002</v>
      </c>
      <c r="F5910" t="s">
        <v>42</v>
      </c>
      <c r="G5910">
        <v>-186.0719</v>
      </c>
      <c r="H5910" s="1">
        <v>-4.6853730000000004E-6</v>
      </c>
      <c r="I5910">
        <v>-11.069699999999999</v>
      </c>
      <c r="J5910">
        <v>-186.0324</v>
      </c>
      <c r="K5910">
        <v>1.13805</v>
      </c>
      <c r="L5910">
        <v>-48.522950000000002</v>
      </c>
      <c r="M5910">
        <v>0.28976429999999997</v>
      </c>
      <c r="N5910">
        <v>-1.7056470000000001E-2</v>
      </c>
      <c r="O5910">
        <v>0.95694610000000002</v>
      </c>
      <c r="P5910">
        <v>0.2363074</v>
      </c>
      <c r="Q5910">
        <v>0.17430379999999901</v>
      </c>
      <c r="R5910">
        <v>0.95591689999999996</v>
      </c>
      <c r="S5910">
        <v>4.5776369999999999E-3</v>
      </c>
      <c r="T5910">
        <v>-9.5503809999999995E-2</v>
      </c>
      <c r="U5910">
        <v>3.1704409999999998</v>
      </c>
      <c r="V5910">
        <v>-5.8986980000000001E-2</v>
      </c>
      <c r="W5910">
        <v>0.18870190000000001</v>
      </c>
      <c r="X5910">
        <v>0.9802613</v>
      </c>
      <c r="Y5910">
        <v>-0.2883039</v>
      </c>
      <c r="Z5910">
        <v>-1.0483289999999999E-2</v>
      </c>
      <c r="AA5910">
        <v>0.95748160000000004</v>
      </c>
      <c r="AB5910">
        <v>35</v>
      </c>
      <c r="AC5910">
        <v>-3.9500000000003803E-2</v>
      </c>
      <c r="AD5910">
        <v>-1.138054685373</v>
      </c>
      <c r="AE5910">
        <v>37.453249999999997</v>
      </c>
      <c r="AF5910">
        <v>-10.881950621909599</v>
      </c>
      <c r="AG5910">
        <v>-1.138054685373</v>
      </c>
      <c r="AH5910">
        <v>35.801450985248501</v>
      </c>
      <c r="AI5910">
        <v>91.7420594001007</v>
      </c>
      <c r="AJ5910">
        <v>106.90679524925299</v>
      </c>
      <c r="AK5910">
        <v>37.436024234068</v>
      </c>
      <c r="AL5910">
        <v>79.122962222082407</v>
      </c>
      <c r="AM5910">
        <v>93.443606858025902</v>
      </c>
      <c r="AN5910">
        <v>1.0000000435754</v>
      </c>
    </row>
    <row r="5911" spans="1:40" x14ac:dyDescent="0.25">
      <c r="A5911" t="str">
        <f>"20190303171128667"</f>
        <v>20190303171128667</v>
      </c>
      <c r="B5911" t="str">
        <f>"1551604288656165"</f>
        <v>1551604288656165</v>
      </c>
      <c r="C5911" t="s">
        <v>40</v>
      </c>
      <c r="D5911">
        <v>5.2703410000000002</v>
      </c>
      <c r="E5911">
        <v>0.41318369999999999</v>
      </c>
      <c r="F5911" t="s">
        <v>42</v>
      </c>
      <c r="G5911">
        <v>-186.60249999999999</v>
      </c>
      <c r="H5911" s="1">
        <v>-3.9628289999999997E-6</v>
      </c>
      <c r="I5911">
        <v>-12.53457</v>
      </c>
      <c r="J5911">
        <v>-185.9359</v>
      </c>
      <c r="K5911">
        <v>1.137985</v>
      </c>
      <c r="L5911">
        <v>-48.160060000000001</v>
      </c>
      <c r="M5911">
        <v>0.27077849999999998</v>
      </c>
      <c r="N5911">
        <v>-1.703551E-2</v>
      </c>
      <c r="O5911">
        <v>0.96249090000000004</v>
      </c>
      <c r="P5911">
        <v>0.21628249999999999</v>
      </c>
      <c r="Q5911">
        <v>0.17290829999999999</v>
      </c>
      <c r="R5911">
        <v>0.96089780000000002</v>
      </c>
      <c r="S5911">
        <v>-5.0201419999999997E-2</v>
      </c>
      <c r="T5911">
        <v>-0.10021389999999999</v>
      </c>
      <c r="U5911">
        <v>3.1690369999999999</v>
      </c>
      <c r="V5911">
        <v>-6.006268E-2</v>
      </c>
      <c r="W5911">
        <v>0.1872491</v>
      </c>
      <c r="X5911">
        <v>0.98047450000000003</v>
      </c>
      <c r="Y5911">
        <v>-0.28590719999999997</v>
      </c>
      <c r="Z5911">
        <v>-1.2104220000000001E-2</v>
      </c>
      <c r="AA5911">
        <v>0.95818080000000005</v>
      </c>
      <c r="AB5911">
        <v>35</v>
      </c>
      <c r="AC5911">
        <v>-0.66659999999998798</v>
      </c>
      <c r="AD5911">
        <v>-1.1379889628290001</v>
      </c>
      <c r="AE5911">
        <v>35.6254899999999</v>
      </c>
      <c r="AF5911">
        <v>-10.279221830237001</v>
      </c>
      <c r="AG5911">
        <v>-1.1379889628290001</v>
      </c>
      <c r="AH5911">
        <v>34.078899798867099</v>
      </c>
      <c r="AI5911">
        <v>91.831127913896495</v>
      </c>
      <c r="AJ5911">
        <v>106.784891654269</v>
      </c>
      <c r="AK5911">
        <v>35.613604588920303</v>
      </c>
      <c r="AL5911">
        <v>79.2077118172502</v>
      </c>
      <c r="AM5911">
        <v>93.505489471397794</v>
      </c>
      <c r="AN5911">
        <v>0.99999999806492101</v>
      </c>
    </row>
    <row r="5912" spans="1:40" x14ac:dyDescent="0.25">
      <c r="A5912" t="str">
        <f>"20190303171128702"</f>
        <v>20190303171128702</v>
      </c>
      <c r="B5912" t="str">
        <f>"1551604288696181"</f>
        <v>1551604288696181</v>
      </c>
      <c r="C5912" t="s">
        <v>40</v>
      </c>
      <c r="D5912">
        <v>5.1984430000000001</v>
      </c>
      <c r="E5912">
        <v>0.39966699999999999</v>
      </c>
      <c r="F5912" t="s">
        <v>42</v>
      </c>
      <c r="G5912">
        <v>-186.2474</v>
      </c>
      <c r="H5912" s="1">
        <v>-1.0822899999999999E-6</v>
      </c>
      <c r="I5912">
        <v>-20.105640000000001</v>
      </c>
      <c r="J5912">
        <v>-185.81639999999999</v>
      </c>
      <c r="K5912">
        <v>1.137913</v>
      </c>
      <c r="L5912">
        <v>-47.664700000000003</v>
      </c>
      <c r="M5912">
        <v>0.24487970000000001</v>
      </c>
      <c r="N5912">
        <v>-1.700407E-2</v>
      </c>
      <c r="O5912">
        <v>0.9694043</v>
      </c>
      <c r="P5912">
        <v>0.188662</v>
      </c>
      <c r="Q5912">
        <v>0.17227519999999999</v>
      </c>
      <c r="R5912">
        <v>0.96681329999999999</v>
      </c>
      <c r="S5912">
        <v>-3.5003659999999999E-2</v>
      </c>
      <c r="T5912">
        <v>-0.12789619999999999</v>
      </c>
      <c r="U5912">
        <v>3.1529850000000001</v>
      </c>
      <c r="V5912">
        <v>-6.1836670000000003E-2</v>
      </c>
      <c r="W5912">
        <v>0.1865203</v>
      </c>
      <c r="X5912">
        <v>0.98050309999999896</v>
      </c>
      <c r="Y5912">
        <v>-0.2555306</v>
      </c>
      <c r="Z5912">
        <v>-2.0985179999999999E-2</v>
      </c>
      <c r="AA5912">
        <v>0.96657320000000002</v>
      </c>
      <c r="AB5912">
        <v>35</v>
      </c>
      <c r="AC5912">
        <v>-0.43100000000001099</v>
      </c>
      <c r="AD5912">
        <v>-1.13791408229</v>
      </c>
      <c r="AE5912">
        <v>27.559059999999999</v>
      </c>
      <c r="AF5912">
        <v>-7.1553083662121502</v>
      </c>
      <c r="AG5912">
        <v>-1.13791408229</v>
      </c>
      <c r="AH5912">
        <v>26.5688919668114</v>
      </c>
      <c r="AI5912">
        <v>92.368136872702706</v>
      </c>
      <c r="AJ5912">
        <v>105.072801419149</v>
      </c>
      <c r="AK5912">
        <v>27.539050575834199</v>
      </c>
      <c r="AL5912">
        <v>79.250217474239307</v>
      </c>
      <c r="AM5912">
        <v>93.608651680030107</v>
      </c>
      <c r="AN5912">
        <v>0.99999996258919299</v>
      </c>
    </row>
    <row r="5913" spans="1:40" x14ac:dyDescent="0.25">
      <c r="A5913" t="str">
        <f>"20190303171128724"</f>
        <v>20190303171128724</v>
      </c>
      <c r="B5913" t="str">
        <f>"1551604288716676"</f>
        <v>1551604288716676</v>
      </c>
      <c r="C5913" t="s">
        <v>40</v>
      </c>
      <c r="D5913">
        <v>5.1852600000000004</v>
      </c>
      <c r="E5913">
        <v>0.40053810000000001</v>
      </c>
      <c r="F5913" t="s">
        <v>42</v>
      </c>
      <c r="G5913">
        <v>-191.11969999999999</v>
      </c>
      <c r="H5913" s="1">
        <v>-2.837189E-6</v>
      </c>
      <c r="I5913">
        <v>25.508220000000001</v>
      </c>
      <c r="J5913">
        <v>-185.74160000000001</v>
      </c>
      <c r="K5913">
        <v>1.137859</v>
      </c>
      <c r="L5913">
        <v>-47.318660000000001</v>
      </c>
      <c r="M5913">
        <v>0.22681799999999999</v>
      </c>
      <c r="N5913">
        <v>-1.6979149999999998E-2</v>
      </c>
      <c r="O5913">
        <v>0.97378920000000002</v>
      </c>
      <c r="P5913">
        <v>0.17047279999999901</v>
      </c>
      <c r="Q5913">
        <v>0.17264889999999999</v>
      </c>
      <c r="R5913">
        <v>0.97011930000000002</v>
      </c>
      <c r="S5913">
        <v>-0.22875980000000001</v>
      </c>
      <c r="T5913">
        <v>-4.9084900000000001E-2</v>
      </c>
      <c r="U5913">
        <v>3.1563720000000002</v>
      </c>
      <c r="V5913">
        <v>-6.1993769999999997E-2</v>
      </c>
      <c r="W5913">
        <v>0.18687110000000001</v>
      </c>
      <c r="X5913">
        <v>0.98042640000000003</v>
      </c>
      <c r="Y5913">
        <v>-0.2965758</v>
      </c>
      <c r="Z5913">
        <v>2.5504859999999998E-3</v>
      </c>
      <c r="AA5913">
        <v>0.95500589999999996</v>
      </c>
      <c r="AB5913">
        <v>35</v>
      </c>
      <c r="AC5913">
        <v>-5.3780999999999803</v>
      </c>
      <c r="AD5913">
        <v>-1.1378618371889999</v>
      </c>
      <c r="AE5913">
        <v>72.826879999999903</v>
      </c>
      <c r="AF5913">
        <v>-21.753436948284801</v>
      </c>
      <c r="AG5913">
        <v>-1.1378618371889999</v>
      </c>
      <c r="AH5913">
        <v>69.691304154130606</v>
      </c>
      <c r="AI5913">
        <v>90.892914213965497</v>
      </c>
      <c r="AJ5913">
        <v>107.33522628426</v>
      </c>
      <c r="AK5913">
        <v>73.016331209716896</v>
      </c>
      <c r="AL5913">
        <v>79.229758595252704</v>
      </c>
      <c r="AM5913">
        <v>93.618077644272802</v>
      </c>
      <c r="AN5913">
        <v>0.99999998067549101</v>
      </c>
    </row>
    <row r="5914" spans="1:40" x14ac:dyDescent="0.25">
      <c r="A5914" t="str">
        <f>"20190303171128744"</f>
        <v>20190303171128744</v>
      </c>
      <c r="B5914" t="str">
        <f>"1551604288736196"</f>
        <v>1551604288736196</v>
      </c>
      <c r="C5914" t="s">
        <v>40</v>
      </c>
      <c r="D5914">
        <v>5.1771140000000004</v>
      </c>
      <c r="E5914">
        <v>0.40021699999999999</v>
      </c>
      <c r="F5914" t="s">
        <v>42</v>
      </c>
      <c r="G5914">
        <v>-194.0626</v>
      </c>
      <c r="H5914" s="1">
        <v>-3.7647309999999999E-6</v>
      </c>
      <c r="I5914">
        <v>45.932000000000002</v>
      </c>
      <c r="J5914">
        <v>-185.68209999999999</v>
      </c>
      <c r="K5914">
        <v>1.1378029999999999</v>
      </c>
      <c r="L5914">
        <v>-47.018650000000001</v>
      </c>
      <c r="M5914">
        <v>0.2111769</v>
      </c>
      <c r="N5914">
        <v>-1.695586E-2</v>
      </c>
      <c r="O5914">
        <v>0.97730079999999997</v>
      </c>
      <c r="P5914">
        <v>0.15520200000000001</v>
      </c>
      <c r="Q5914">
        <v>0.17213680000000001</v>
      </c>
      <c r="R5914">
        <v>0.97276989999999997</v>
      </c>
      <c r="S5914">
        <v>-0.28096009999999999</v>
      </c>
      <c r="T5914">
        <v>-3.8420080000000002E-2</v>
      </c>
      <c r="U5914">
        <v>3.1486209999999999</v>
      </c>
      <c r="V5914">
        <v>-6.165532E-2</v>
      </c>
      <c r="W5914">
        <v>0.18635959999999999</v>
      </c>
      <c r="X5914">
        <v>0.98054509999999995</v>
      </c>
      <c r="Y5914">
        <v>-0.29717090000000002</v>
      </c>
      <c r="Z5914">
        <v>5.6296280000000002E-3</v>
      </c>
      <c r="AA5914">
        <v>0.95480770000000004</v>
      </c>
      <c r="AB5914">
        <v>35</v>
      </c>
      <c r="AC5914">
        <v>-8.3805000000000103</v>
      </c>
      <c r="AD5914">
        <v>-1.137806764731</v>
      </c>
      <c r="AE5914">
        <v>92.950649999999996</v>
      </c>
      <c r="AF5914">
        <v>-27.8191639957736</v>
      </c>
      <c r="AG5914">
        <v>-1.137806764731</v>
      </c>
      <c r="AH5914">
        <v>89.070542823822905</v>
      </c>
      <c r="AI5914">
        <v>90.698592134115898</v>
      </c>
      <c r="AJ5914">
        <v>107.345010630332</v>
      </c>
      <c r="AK5914">
        <v>93.320748435640397</v>
      </c>
      <c r="AL5914">
        <v>79.259589482474794</v>
      </c>
      <c r="AM5914">
        <v>93.5979426236009</v>
      </c>
      <c r="AN5914">
        <v>0.99999998606523599</v>
      </c>
    </row>
    <row r="5915" spans="1:40" x14ac:dyDescent="0.25">
      <c r="A5915" t="str">
        <f>"20190303171128767"</f>
        <v>20190303171128767</v>
      </c>
      <c r="B5915" t="str">
        <f>"1551604288756692"</f>
        <v>1551604288756692</v>
      </c>
      <c r="C5915" t="s">
        <v>40</v>
      </c>
      <c r="D5915">
        <v>5.2383850000000001</v>
      </c>
      <c r="E5915">
        <v>0.40084209999999998</v>
      </c>
      <c r="F5915" t="s">
        <v>42</v>
      </c>
      <c r="G5915">
        <v>-198.28120000000001</v>
      </c>
      <c r="H5915" s="1">
        <v>-3.179246E-6</v>
      </c>
      <c r="I5915">
        <v>72.012550000000005</v>
      </c>
      <c r="J5915">
        <v>-185.6198</v>
      </c>
      <c r="K5915">
        <v>1.1377269999999999</v>
      </c>
      <c r="L5915">
        <v>-46.672730000000001</v>
      </c>
      <c r="M5915">
        <v>0.19318270000000001</v>
      </c>
      <c r="N5915">
        <v>-1.692755E-2</v>
      </c>
      <c r="O5915">
        <v>0.98101680000000002</v>
      </c>
      <c r="P5915">
        <v>0.1378306</v>
      </c>
      <c r="Q5915">
        <v>0.17075290000000001</v>
      </c>
      <c r="R5915">
        <v>0.97562610000000005</v>
      </c>
      <c r="S5915">
        <v>-0.33261109999999999</v>
      </c>
      <c r="T5915">
        <v>-3.0037520000000002E-2</v>
      </c>
      <c r="U5915">
        <v>3.1423649999999999</v>
      </c>
      <c r="V5915">
        <v>-6.1074370000000003E-2</v>
      </c>
      <c r="W5915">
        <v>0.18498580000000001</v>
      </c>
      <c r="X5915">
        <v>0.98084159999999998</v>
      </c>
      <c r="Y5915">
        <v>-0.29534359999999998</v>
      </c>
      <c r="Z5915">
        <v>8.054337E-3</v>
      </c>
      <c r="AA5915">
        <v>0.95535709999999996</v>
      </c>
      <c r="AB5915">
        <v>35</v>
      </c>
      <c r="AC5915">
        <v>-12.6614</v>
      </c>
      <c r="AD5915">
        <v>-1.137730179246</v>
      </c>
      <c r="AE5915">
        <v>118.68528000000001</v>
      </c>
      <c r="AF5915">
        <v>-35.350841515919797</v>
      </c>
      <c r="AG5915">
        <v>-1.137730179246</v>
      </c>
      <c r="AH5915">
        <v>113.992263928847</v>
      </c>
      <c r="AI5915">
        <v>90.546177769579899</v>
      </c>
      <c r="AJ5915">
        <v>107.229507200268</v>
      </c>
      <c r="AK5915">
        <v>119.353310224176</v>
      </c>
      <c r="AL5915">
        <v>79.339695864823398</v>
      </c>
      <c r="AM5915">
        <v>93.5630540222365</v>
      </c>
      <c r="AN5915">
        <v>1.0000000345815401</v>
      </c>
    </row>
    <row r="5916" spans="1:40" x14ac:dyDescent="0.25">
      <c r="A5916" t="str">
        <f>"20190303171128788"</f>
        <v>20190303171128788</v>
      </c>
      <c r="B5916" t="str">
        <f>"1551604288776212"</f>
        <v>1551604288776212</v>
      </c>
      <c r="C5916" t="s">
        <v>40</v>
      </c>
      <c r="D5916">
        <v>5.2354649999999996</v>
      </c>
      <c r="E5916">
        <v>0.40191209999999999</v>
      </c>
      <c r="F5916" t="s">
        <v>42</v>
      </c>
      <c r="G5916">
        <v>-199.49639999999999</v>
      </c>
      <c r="H5916" s="1">
        <v>-4.9911789999999998E-6</v>
      </c>
      <c r="I5916">
        <v>66.703580000000002</v>
      </c>
      <c r="J5916">
        <v>-185.5659</v>
      </c>
      <c r="K5916">
        <v>1.1376470000000001</v>
      </c>
      <c r="L5916">
        <v>-46.339289999999998</v>
      </c>
      <c r="M5916">
        <v>0.17588419999999999</v>
      </c>
      <c r="N5916">
        <v>-1.6898170000000001E-2</v>
      </c>
      <c r="O5916">
        <v>0.98426579999999997</v>
      </c>
      <c r="P5916">
        <v>0.12127110000000001</v>
      </c>
      <c r="Q5916">
        <v>0.17014789999999999</v>
      </c>
      <c r="R5916">
        <v>0.97792789999999996</v>
      </c>
      <c r="S5916">
        <v>-0.38366699999999998</v>
      </c>
      <c r="T5916">
        <v>-3.145647E-2</v>
      </c>
      <c r="U5916">
        <v>3.134674</v>
      </c>
      <c r="V5916">
        <v>-6.0390869999999999E-2</v>
      </c>
      <c r="W5916">
        <v>0.184393</v>
      </c>
      <c r="X5916">
        <v>0.98099550000000002</v>
      </c>
      <c r="Y5916">
        <v>-0.2941298</v>
      </c>
      <c r="Z5916">
        <v>7.5409309999999998E-3</v>
      </c>
      <c r="AA5916">
        <v>0.95573569999999997</v>
      </c>
      <c r="AB5916">
        <v>35</v>
      </c>
      <c r="AC5916">
        <v>-13.930499999999901</v>
      </c>
      <c r="AD5916">
        <v>-1.137651991179</v>
      </c>
      <c r="AE5916">
        <v>113.04286999999999</v>
      </c>
      <c r="AF5916">
        <v>-33.595215724030098</v>
      </c>
      <c r="AG5916">
        <v>-1.137651991179</v>
      </c>
      <c r="AH5916">
        <v>108.81876056892</v>
      </c>
      <c r="AI5916">
        <v>90.572327919440198</v>
      </c>
      <c r="AJ5916">
        <v>107.156834025758</v>
      </c>
      <c r="AK5916">
        <v>113.89229747157199</v>
      </c>
      <c r="AL5916">
        <v>79.374254994842701</v>
      </c>
      <c r="AM5916">
        <v>93.522728575452604</v>
      </c>
      <c r="AN5916">
        <v>1.0000000033242999</v>
      </c>
    </row>
    <row r="5917" spans="1:40" x14ac:dyDescent="0.25">
      <c r="A5917" t="str">
        <f>"20190303171128810"</f>
        <v>20190303171128810</v>
      </c>
      <c r="B5917" t="str">
        <f>"1551604288806468"</f>
        <v>1551604288806468</v>
      </c>
      <c r="C5917" t="s">
        <v>40</v>
      </c>
      <c r="D5917">
        <v>5.2763559999999998</v>
      </c>
      <c r="E5917">
        <v>0.4117189</v>
      </c>
      <c r="F5917" t="s">
        <v>42</v>
      </c>
      <c r="G5917">
        <v>-199.95779999999999</v>
      </c>
      <c r="H5917">
        <v>1.6131730000000001E-3</v>
      </c>
      <c r="I5917">
        <v>58.843380000000003</v>
      </c>
      <c r="J5917">
        <v>-185.5206</v>
      </c>
      <c r="K5917">
        <v>1.137567</v>
      </c>
      <c r="L5917">
        <v>-46.02487</v>
      </c>
      <c r="M5917">
        <v>0.15962299999999999</v>
      </c>
      <c r="N5917">
        <v>-1.686795E-2</v>
      </c>
      <c r="O5917">
        <v>0.98703399999999997</v>
      </c>
      <c r="P5917">
        <v>0.1066868</v>
      </c>
      <c r="Q5917">
        <v>0.170128799999999</v>
      </c>
      <c r="R5917">
        <v>0.97962959999999999</v>
      </c>
      <c r="S5917">
        <v>-0.42781069999999999</v>
      </c>
      <c r="T5917">
        <v>-3.3769609999999999E-2</v>
      </c>
      <c r="U5917">
        <v>3.1266479999999999</v>
      </c>
      <c r="V5917">
        <v>-5.8781300000000002E-2</v>
      </c>
      <c r="W5917">
        <v>0.18442339999999999</v>
      </c>
      <c r="X5917">
        <v>0.98108759999999995</v>
      </c>
      <c r="Y5917">
        <v>-0.29192659999999998</v>
      </c>
      <c r="Z5917">
        <v>6.7458329999999997E-3</v>
      </c>
      <c r="AA5917">
        <v>0.95641699999999996</v>
      </c>
      <c r="AB5917">
        <v>35</v>
      </c>
      <c r="AC5917">
        <v>-14.437199999999899</v>
      </c>
      <c r="AD5917">
        <v>-1.135953827</v>
      </c>
      <c r="AE5917">
        <v>104.86825</v>
      </c>
      <c r="AF5917">
        <v>-30.990230617167398</v>
      </c>
      <c r="AG5917">
        <v>-1.135953827</v>
      </c>
      <c r="AH5917">
        <v>101.20675803381801</v>
      </c>
      <c r="AI5917">
        <v>90.614887337617802</v>
      </c>
      <c r="AJ5917">
        <v>107.02496150195</v>
      </c>
      <c r="AK5917">
        <v>105.851276121349</v>
      </c>
      <c r="AL5917">
        <v>79.372483368359596</v>
      </c>
      <c r="AM5917">
        <v>93.428744872179294</v>
      </c>
      <c r="AN5917">
        <v>1.0000000552855</v>
      </c>
    </row>
    <row r="5918" spans="1:40" x14ac:dyDescent="0.25">
      <c r="A5918" t="str">
        <f>"20190303171128833"</f>
        <v>20190303171128833</v>
      </c>
      <c r="B5918" t="str">
        <f>"1551604288826965"</f>
        <v>1551604288826965</v>
      </c>
      <c r="C5918" t="s">
        <v>40</v>
      </c>
      <c r="D5918">
        <v>5.2615230000000004</v>
      </c>
      <c r="E5918">
        <v>0.4135489</v>
      </c>
      <c r="F5918" t="s">
        <v>42</v>
      </c>
      <c r="G5918">
        <v>-197.4503</v>
      </c>
      <c r="H5918" s="1">
        <v>-4.9178149999999999E-6</v>
      </c>
      <c r="I5918">
        <v>47.554519999999997</v>
      </c>
      <c r="J5918">
        <v>-185.47540000000001</v>
      </c>
      <c r="K5918">
        <v>1.1374690000000001</v>
      </c>
      <c r="L5918">
        <v>-45.667050000000003</v>
      </c>
      <c r="M5918">
        <v>0.14118410000000001</v>
      </c>
      <c r="N5918">
        <v>-1.6831120000000001E-2</v>
      </c>
      <c r="O5918">
        <v>0.98984030000000001</v>
      </c>
      <c r="P5918">
        <v>9.0041259999999998E-2</v>
      </c>
      <c r="Q5918">
        <v>0.16969379999999901</v>
      </c>
      <c r="R5918">
        <v>0.98137490000000005</v>
      </c>
      <c r="S5918">
        <v>-0.39674379999999998</v>
      </c>
      <c r="T5918">
        <v>-3.7832020000000001E-2</v>
      </c>
      <c r="U5918">
        <v>3.112152</v>
      </c>
      <c r="V5918">
        <v>-5.7077870000000003E-2</v>
      </c>
      <c r="W5918">
        <v>0.18403720000000001</v>
      </c>
      <c r="X5918">
        <v>0.98126060000000004</v>
      </c>
      <c r="Y5918">
        <v>-0.26519599999999999</v>
      </c>
      <c r="Z5918">
        <v>5.2767489999999998E-3</v>
      </c>
      <c r="AA5918">
        <v>0.96418009999999998</v>
      </c>
      <c r="AB5918">
        <v>35</v>
      </c>
      <c r="AC5918">
        <v>-11.9748999999999</v>
      </c>
      <c r="AD5918">
        <v>-1.137473917815</v>
      </c>
      <c r="AE5918">
        <v>93.22157</v>
      </c>
      <c r="AF5918">
        <v>-25.014521453088701</v>
      </c>
      <c r="AG5918">
        <v>-1.137473917815</v>
      </c>
      <c r="AH5918">
        <v>90.583364556248895</v>
      </c>
      <c r="AI5918">
        <v>90.693483533066498</v>
      </c>
      <c r="AJ5918">
        <v>105.437446881554</v>
      </c>
      <c r="AK5918">
        <v>93.980668569504402</v>
      </c>
      <c r="AL5918">
        <v>79.394995431187297</v>
      </c>
      <c r="AM5918">
        <v>93.329024055427297</v>
      </c>
      <c r="AN5918">
        <v>0.99999996966996796</v>
      </c>
    </row>
    <row r="5919" spans="1:40" x14ac:dyDescent="0.25">
      <c r="A5919" t="str">
        <f>"20190303171128854"</f>
        <v>20190303171128854</v>
      </c>
      <c r="B5919" t="str">
        <f>"1551604288846485"</f>
        <v>1551604288846485</v>
      </c>
      <c r="C5919" t="s">
        <v>40</v>
      </c>
      <c r="D5919">
        <v>5.2769940000000002</v>
      </c>
      <c r="E5919">
        <v>0.41444310000000001</v>
      </c>
      <c r="F5919" t="s">
        <v>42</v>
      </c>
      <c r="G5919">
        <v>-196.78880000000001</v>
      </c>
      <c r="H5919" s="1">
        <v>-3.9404990000000004E-6</v>
      </c>
      <c r="I5919">
        <v>35.027450000000002</v>
      </c>
      <c r="J5919">
        <v>-185.44149999999999</v>
      </c>
      <c r="K5919">
        <v>1.1373740000000001</v>
      </c>
      <c r="L5919">
        <v>-45.352420000000002</v>
      </c>
      <c r="M5919">
        <v>0.12503789999999901</v>
      </c>
      <c r="N5919">
        <v>-1.6796760000000001E-2</v>
      </c>
      <c r="O5919">
        <v>0.99200980000000005</v>
      </c>
      <c r="P5919">
        <v>7.4446739999999997E-2</v>
      </c>
      <c r="Q5919">
        <v>0.16776769999999999</v>
      </c>
      <c r="R5919">
        <v>0.98301150000000004</v>
      </c>
      <c r="S5919">
        <v>-0.43524170000000001</v>
      </c>
      <c r="T5919">
        <v>-4.3760180000000003E-2</v>
      </c>
      <c r="U5919">
        <v>3.1044309999999999</v>
      </c>
      <c r="V5919">
        <v>-5.658941E-2</v>
      </c>
      <c r="W5919">
        <v>0.18211340000000001</v>
      </c>
      <c r="X5919">
        <v>0.98164779999999996</v>
      </c>
      <c r="Y5919">
        <v>-0.2615285</v>
      </c>
      <c r="Z5919">
        <v>3.328438E-3</v>
      </c>
      <c r="AA5919">
        <v>0.96518999999999999</v>
      </c>
      <c r="AB5919">
        <v>35</v>
      </c>
      <c r="AC5919">
        <v>-11.347300000000001</v>
      </c>
      <c r="AD5919">
        <v>-1.1373779404990001</v>
      </c>
      <c r="AE5919">
        <v>80.379869999999997</v>
      </c>
      <c r="AF5919">
        <v>-21.305986149024299</v>
      </c>
      <c r="AG5919">
        <v>-1.1373779404990001</v>
      </c>
      <c r="AH5919">
        <v>78.314450628394198</v>
      </c>
      <c r="AI5919">
        <v>90.802882396289505</v>
      </c>
      <c r="AJ5919">
        <v>105.21936186592799</v>
      </c>
      <c r="AK5919">
        <v>81.168909390167002</v>
      </c>
      <c r="AL5919">
        <v>79.507116650813899</v>
      </c>
      <c r="AM5919">
        <v>93.299299240049507</v>
      </c>
      <c r="AN5919">
        <v>1.00000002751427</v>
      </c>
    </row>
    <row r="5920" spans="1:40" x14ac:dyDescent="0.25">
      <c r="A5920" t="str">
        <f>"20190303171128879"</f>
        <v>20190303171128879</v>
      </c>
      <c r="B5920" t="str">
        <f>"1551604288866981"</f>
        <v>1551604288866981</v>
      </c>
      <c r="C5920" t="s">
        <v>40</v>
      </c>
      <c r="D5920">
        <v>5.2749069999999998</v>
      </c>
      <c r="E5920">
        <v>0.42261369999999998</v>
      </c>
      <c r="F5920" t="s">
        <v>42</v>
      </c>
      <c r="G5920">
        <v>-195.82929999999999</v>
      </c>
      <c r="H5920" s="1">
        <v>-2.606325E-6</v>
      </c>
      <c r="I5920">
        <v>22.049009999999999</v>
      </c>
      <c r="J5920">
        <v>-185.4084</v>
      </c>
      <c r="K5920">
        <v>1.1372610000000001</v>
      </c>
      <c r="L5920">
        <v>-44.98312</v>
      </c>
      <c r="M5920">
        <v>0.10617500000000001</v>
      </c>
      <c r="N5920">
        <v>-1.6755030000000001E-2</v>
      </c>
      <c r="O5920">
        <v>0.99420629999999999</v>
      </c>
      <c r="P5920">
        <v>5.6627879999999998E-2</v>
      </c>
      <c r="Q5920">
        <v>0.16589100000000001</v>
      </c>
      <c r="R5920">
        <v>0.98451690000000003</v>
      </c>
      <c r="S5920">
        <v>-0.47729490000000002</v>
      </c>
      <c r="T5920">
        <v>-5.2259559999999997E-2</v>
      </c>
      <c r="U5920">
        <v>3.096924</v>
      </c>
      <c r="V5920">
        <v>-5.5629999999999999E-2</v>
      </c>
      <c r="W5920">
        <v>0.18025350000000001</v>
      </c>
      <c r="X5920">
        <v>0.98204579999999997</v>
      </c>
      <c r="Y5920">
        <v>-0.25633860000000003</v>
      </c>
      <c r="Z5920">
        <v>5.4178869999999999E-4</v>
      </c>
      <c r="AA5920">
        <v>0.96658690000000003</v>
      </c>
      <c r="AB5920">
        <v>35</v>
      </c>
      <c r="AC5920">
        <v>-10.4208999999999</v>
      </c>
      <c r="AD5920">
        <v>-1.1372636063249999</v>
      </c>
      <c r="AE5920">
        <v>67.032129999999995</v>
      </c>
      <c r="AF5920">
        <v>-17.4752029405551</v>
      </c>
      <c r="AG5920">
        <v>-1.1372636063249999</v>
      </c>
      <c r="AH5920">
        <v>65.528110337559298</v>
      </c>
      <c r="AI5920">
        <v>90.960719148465003</v>
      </c>
      <c r="AJ5920">
        <v>104.93226629773299</v>
      </c>
      <c r="AK5920">
        <v>67.827791728281994</v>
      </c>
      <c r="AL5920">
        <v>79.615474058824205</v>
      </c>
      <c r="AM5920">
        <v>93.242172070272503</v>
      </c>
      <c r="AN5920">
        <v>0.99999998722994399</v>
      </c>
    </row>
    <row r="5921" spans="1:40" x14ac:dyDescent="0.25">
      <c r="A5921" t="str">
        <f>"20190303171128904"</f>
        <v>20190303171128904</v>
      </c>
      <c r="B5921" t="str">
        <f>"1551604288896260"</f>
        <v>1551604288896260</v>
      </c>
      <c r="C5921" t="s">
        <v>40</v>
      </c>
      <c r="D5921">
        <v>5.2693580000000004</v>
      </c>
      <c r="E5921">
        <v>0.42438910000000002</v>
      </c>
      <c r="F5921" t="s">
        <v>42</v>
      </c>
      <c r="G5921">
        <v>-193.017</v>
      </c>
      <c r="H5921" s="1">
        <v>-3.172588E-6</v>
      </c>
      <c r="I5921">
        <v>5.1132530000000003</v>
      </c>
      <c r="J5921">
        <v>-185.38310000000001</v>
      </c>
      <c r="K5921">
        <v>1.1371500000000001</v>
      </c>
      <c r="L5921">
        <v>-44.619599999999998</v>
      </c>
      <c r="M5921">
        <v>8.7692889999999996E-2</v>
      </c>
      <c r="N5921">
        <v>-1.671334E-2</v>
      </c>
      <c r="O5921">
        <v>0.99600730000000004</v>
      </c>
      <c r="P5921">
        <v>3.9578620000000002E-2</v>
      </c>
      <c r="Q5921">
        <v>0.1654553</v>
      </c>
      <c r="R5921">
        <v>0.98542280000000004</v>
      </c>
      <c r="S5921">
        <v>-0.46868900000000002</v>
      </c>
      <c r="T5921">
        <v>-7.0055480000000003E-2</v>
      </c>
      <c r="U5921">
        <v>3.0859380000000001</v>
      </c>
      <c r="V5921">
        <v>-5.4323370000000003E-2</v>
      </c>
      <c r="W5921">
        <v>0.17984549999999999</v>
      </c>
      <c r="X5921">
        <v>0.98219380000000001</v>
      </c>
      <c r="Y5921">
        <v>-0.2362099</v>
      </c>
      <c r="Z5921">
        <v>-5.2929259999999999E-3</v>
      </c>
      <c r="AA5921">
        <v>0.97168759999999998</v>
      </c>
      <c r="AB5921">
        <v>35</v>
      </c>
      <c r="AC5921">
        <v>-7.6338999999999801</v>
      </c>
      <c r="AD5921">
        <v>-1.137153172588</v>
      </c>
      <c r="AE5921">
        <v>49.732852999999999</v>
      </c>
      <c r="AF5921">
        <v>-11.9602005598519</v>
      </c>
      <c r="AG5921">
        <v>-1.137153172588</v>
      </c>
      <c r="AH5921">
        <v>48.846723992337999</v>
      </c>
      <c r="AI5921">
        <v>91.295355545510105</v>
      </c>
      <c r="AJ5921">
        <v>103.758281443049</v>
      </c>
      <c r="AK5921">
        <v>50.302504505774401</v>
      </c>
      <c r="AL5921">
        <v>79.639239738290698</v>
      </c>
      <c r="AM5921">
        <v>93.165701039021897</v>
      </c>
      <c r="AN5921">
        <v>1.00000004657842</v>
      </c>
    </row>
    <row r="5922" spans="1:40" x14ac:dyDescent="0.25">
      <c r="A5922" t="str">
        <f>"20190303171128924"</f>
        <v>20190303171128924</v>
      </c>
      <c r="B5922" t="str">
        <f>"1551604288916757"</f>
        <v>1551604288916757</v>
      </c>
      <c r="C5922" t="s">
        <v>40</v>
      </c>
      <c r="D5922">
        <v>5.2715860000000001</v>
      </c>
      <c r="E5922">
        <v>0.4319016</v>
      </c>
      <c r="F5922" t="s">
        <v>42</v>
      </c>
      <c r="G5922">
        <v>-193.2646</v>
      </c>
      <c r="H5922" s="1">
        <v>-2.3740270000000002E-6</v>
      </c>
      <c r="I5922">
        <v>3.0982340000000002</v>
      </c>
      <c r="J5922">
        <v>-185.36619999999999</v>
      </c>
      <c r="K5922">
        <v>1.137054</v>
      </c>
      <c r="L5922">
        <v>-44.297910000000002</v>
      </c>
      <c r="M5922">
        <v>7.1398509999999998E-2</v>
      </c>
      <c r="N5922">
        <v>-1.6677399999999998E-2</v>
      </c>
      <c r="O5922">
        <v>0.99730839999999998</v>
      </c>
      <c r="P5922">
        <v>2.4467320000000001E-2</v>
      </c>
      <c r="Q5922">
        <v>0.16612669999999999</v>
      </c>
      <c r="R5922">
        <v>0.98580089999999998</v>
      </c>
      <c r="S5922">
        <v>-0.50823969999999996</v>
      </c>
      <c r="T5922">
        <v>-7.3329329999999998E-2</v>
      </c>
      <c r="U5922">
        <v>3.0770870000000001</v>
      </c>
      <c r="V5922">
        <v>-5.3295040000000002E-2</v>
      </c>
      <c r="W5922">
        <v>0.18053350000000001</v>
      </c>
      <c r="X5922">
        <v>0.98212390000000005</v>
      </c>
      <c r="Y5922">
        <v>-0.23291790000000001</v>
      </c>
      <c r="Z5922">
        <v>-6.4735390000000004E-3</v>
      </c>
      <c r="AA5922">
        <v>0.97247490000000003</v>
      </c>
      <c r="AB5922">
        <v>35</v>
      </c>
      <c r="AC5922">
        <v>-7.8983999999999996</v>
      </c>
      <c r="AD5922">
        <v>-1.1370563740270001</v>
      </c>
      <c r="AE5922">
        <v>47.3961439999999</v>
      </c>
      <c r="AF5922">
        <v>-11.256418026096499</v>
      </c>
      <c r="AG5922">
        <v>-1.1370563740270001</v>
      </c>
      <c r="AH5922">
        <v>46.684993497585097</v>
      </c>
      <c r="AI5922">
        <v>91.356361409608994</v>
      </c>
      <c r="AJ5922">
        <v>103.556083773845</v>
      </c>
      <c r="AK5922">
        <v>48.036324399827997</v>
      </c>
      <c r="AL5922">
        <v>79.599164114747794</v>
      </c>
      <c r="AM5922">
        <v>93.106114058083705</v>
      </c>
      <c r="AN5922">
        <v>1.0000000304310299</v>
      </c>
    </row>
    <row r="5923" spans="1:40" x14ac:dyDescent="0.25">
      <c r="A5923" t="str">
        <f>"20190303171128946"</f>
        <v>20190303171128946</v>
      </c>
      <c r="B5923" t="str">
        <f>"1551604288936277"</f>
        <v>1551604288936277</v>
      </c>
      <c r="C5923" t="s">
        <v>40</v>
      </c>
      <c r="D5923">
        <v>5.2561090000000004</v>
      </c>
      <c r="E5923">
        <v>0.43389420000000001</v>
      </c>
      <c r="F5923" t="s">
        <v>42</v>
      </c>
      <c r="G5923">
        <v>-192.1695</v>
      </c>
      <c r="H5923" s="1">
        <v>-4.0756730000000001E-6</v>
      </c>
      <c r="I5923">
        <v>-2.1675</v>
      </c>
      <c r="J5923">
        <v>-185.3545</v>
      </c>
      <c r="K5923">
        <v>1.1369689999999999</v>
      </c>
      <c r="L5923">
        <v>-43.973210000000002</v>
      </c>
      <c r="M5923">
        <v>5.500555E-2</v>
      </c>
      <c r="N5923">
        <v>-1.664301E-2</v>
      </c>
      <c r="O5923">
        <v>0.99834730000000005</v>
      </c>
      <c r="P5923">
        <v>9.1310530000000001E-3</v>
      </c>
      <c r="Q5923">
        <v>0.1666628</v>
      </c>
      <c r="R5923">
        <v>0.98597170000000001</v>
      </c>
      <c r="S5923">
        <v>-0.49566650000000001</v>
      </c>
      <c r="T5923">
        <v>-8.2842470000000001E-2</v>
      </c>
      <c r="U5923">
        <v>3.0694889999999999</v>
      </c>
      <c r="V5923">
        <v>-5.2407339999999997E-2</v>
      </c>
      <c r="W5923">
        <v>0.1810822</v>
      </c>
      <c r="X5923">
        <v>0.98207060000000002</v>
      </c>
      <c r="Y5923">
        <v>-0.2134008</v>
      </c>
      <c r="Z5923">
        <v>-9.7216539999999997E-3</v>
      </c>
      <c r="AA5923">
        <v>0.97691640000000002</v>
      </c>
      <c r="AB5923">
        <v>35</v>
      </c>
      <c r="AC5923">
        <v>-6.8149999999999897</v>
      </c>
      <c r="AD5923">
        <v>-1.1369730756730001</v>
      </c>
      <c r="AE5923">
        <v>41.805709999999998</v>
      </c>
      <c r="AF5923">
        <v>-9.0979890784010795</v>
      </c>
      <c r="AG5923">
        <v>-1.1369730756730001</v>
      </c>
      <c r="AH5923">
        <v>41.337701730027099</v>
      </c>
      <c r="AI5923">
        <v>91.538687446387897</v>
      </c>
      <c r="AJ5923">
        <v>102.412303026882</v>
      </c>
      <c r="AK5923">
        <v>42.342315682614696</v>
      </c>
      <c r="AL5923">
        <v>79.567198533506797</v>
      </c>
      <c r="AM5923">
        <v>93.054641841815297</v>
      </c>
      <c r="AN5923">
        <v>0.99999997791353701</v>
      </c>
    </row>
    <row r="5924" spans="1:40" x14ac:dyDescent="0.25">
      <c r="A5924" t="str">
        <f>"20190303171128968"</f>
        <v>20190303171128968</v>
      </c>
      <c r="B5924" t="str">
        <f>"1551604288956773"</f>
        <v>1551604288956773</v>
      </c>
      <c r="C5924" t="s">
        <v>40</v>
      </c>
      <c r="D5924">
        <v>5.2671409999999996</v>
      </c>
      <c r="E5924">
        <v>0.43478299999999998</v>
      </c>
      <c r="F5924" t="s">
        <v>42</v>
      </c>
      <c r="G5924">
        <v>-192.30850000000001</v>
      </c>
      <c r="H5924" s="1">
        <v>-3.537999E-6</v>
      </c>
      <c r="I5924">
        <v>-3.5955400000000002</v>
      </c>
      <c r="J5924">
        <v>-185.34819999999999</v>
      </c>
      <c r="K5924">
        <v>1.136879</v>
      </c>
      <c r="L5924">
        <v>-43.639769999999999</v>
      </c>
      <c r="M5924">
        <v>3.821745E-2</v>
      </c>
      <c r="N5924">
        <v>-1.6610030000000001E-2</v>
      </c>
      <c r="O5924">
        <v>0.9991314</v>
      </c>
      <c r="P5924">
        <v>-5.8941210000000004E-3</v>
      </c>
      <c r="Q5924">
        <v>0.16763520000000001</v>
      </c>
      <c r="R5924">
        <v>0.98583140000000002</v>
      </c>
      <c r="S5924">
        <v>-0.52737429999999996</v>
      </c>
      <c r="T5924">
        <v>-8.6224910000000002E-2</v>
      </c>
      <c r="U5924">
        <v>3.0621339999999999</v>
      </c>
      <c r="V5924">
        <v>-5.0849459999999999E-2</v>
      </c>
      <c r="W5924">
        <v>0.1820937</v>
      </c>
      <c r="X5924">
        <v>0.98196550000000005</v>
      </c>
      <c r="Y5924">
        <v>-0.2071838</v>
      </c>
      <c r="Z5924">
        <v>-1.0946259999999999E-2</v>
      </c>
      <c r="AA5924">
        <v>0.97824080000000002</v>
      </c>
      <c r="AB5924">
        <v>34</v>
      </c>
      <c r="AC5924">
        <v>-6.9603000000000099</v>
      </c>
      <c r="AD5924">
        <v>-1.136882537999</v>
      </c>
      <c r="AE5924">
        <v>40.044229999999999</v>
      </c>
      <c r="AF5924">
        <v>-8.47917917335152</v>
      </c>
      <c r="AG5924">
        <v>-1.136882537999</v>
      </c>
      <c r="AH5924">
        <v>39.717850894644599</v>
      </c>
      <c r="AI5924">
        <v>91.603471643064296</v>
      </c>
      <c r="AJ5924">
        <v>102.050905481173</v>
      </c>
      <c r="AK5924">
        <v>40.6287664229204</v>
      </c>
      <c r="AL5924">
        <v>79.508264419473804</v>
      </c>
      <c r="AM5924">
        <v>92.964319488444403</v>
      </c>
      <c r="AN5924">
        <v>1.00000001317611</v>
      </c>
    </row>
    <row r="5925" spans="1:40" x14ac:dyDescent="0.25">
      <c r="A5925" t="str">
        <f>"20190303171128991"</f>
        <v>20190303171128991</v>
      </c>
      <c r="B5925" t="str">
        <f>"1551604288986052"</f>
        <v>1551604288986052</v>
      </c>
      <c r="C5925" t="s">
        <v>40</v>
      </c>
      <c r="D5925">
        <v>5.2430510000000004</v>
      </c>
      <c r="E5925">
        <v>0.44330049999999999</v>
      </c>
      <c r="F5925" t="s">
        <v>42</v>
      </c>
      <c r="G5925">
        <v>-193.00399999999999</v>
      </c>
      <c r="H5925" s="1">
        <v>-4.1413240000000003E-6</v>
      </c>
      <c r="I5925">
        <v>-2.4095770000000001</v>
      </c>
      <c r="J5925">
        <v>-185.3475</v>
      </c>
      <c r="K5925">
        <v>1.1367940000000001</v>
      </c>
      <c r="L5925">
        <v>-43.29074</v>
      </c>
      <c r="M5925">
        <v>2.068876E-2</v>
      </c>
      <c r="N5925">
        <v>-1.6578099999999998E-2</v>
      </c>
      <c r="O5925">
        <v>0.99964850000000005</v>
      </c>
      <c r="P5925">
        <v>-2.1123719999999999E-2</v>
      </c>
      <c r="Q5925">
        <v>0.1671607</v>
      </c>
      <c r="R5925">
        <v>0.98570329999999995</v>
      </c>
      <c r="S5925">
        <v>-0.56709290000000001</v>
      </c>
      <c r="T5925">
        <v>-8.4212419999999996E-2</v>
      </c>
      <c r="U5925">
        <v>3.0540470000000002</v>
      </c>
      <c r="V5925">
        <v>-4.8731980000000001E-2</v>
      </c>
      <c r="W5925">
        <v>0.18168480000000001</v>
      </c>
      <c r="X5925">
        <v>0.98214860000000004</v>
      </c>
      <c r="Y5925">
        <v>-0.202787</v>
      </c>
      <c r="Z5925">
        <v>-1.043024E-2</v>
      </c>
      <c r="AA5925">
        <v>0.97916729999999996</v>
      </c>
      <c r="AB5925">
        <v>34</v>
      </c>
      <c r="AC5925">
        <v>-7.6565000000000198</v>
      </c>
      <c r="AD5925">
        <v>-1.136798141324</v>
      </c>
      <c r="AE5925">
        <v>40.881163000000001</v>
      </c>
      <c r="AF5925">
        <v>-8.49441189021457</v>
      </c>
      <c r="AG5925">
        <v>-1.136798141324</v>
      </c>
      <c r="AH5925">
        <v>40.6835927673553</v>
      </c>
      <c r="AI5925">
        <v>91.566796533071894</v>
      </c>
      <c r="AJ5925">
        <v>101.79347742787</v>
      </c>
      <c r="AK5925">
        <v>41.576460453419401</v>
      </c>
      <c r="AL5925">
        <v>79.532090197416096</v>
      </c>
      <c r="AM5925">
        <v>92.840556736618495</v>
      </c>
      <c r="AN5925">
        <v>1.0000000224538499</v>
      </c>
    </row>
    <row r="5926" spans="1:40" x14ac:dyDescent="0.25">
      <c r="A5926" t="str">
        <f>"20190303171129012"</f>
        <v>20190303171129012</v>
      </c>
      <c r="B5926" t="str">
        <f>"1551604289006549"</f>
        <v>1551604289006549</v>
      </c>
      <c r="C5926" t="s">
        <v>40</v>
      </c>
      <c r="D5926">
        <v>5.248329</v>
      </c>
      <c r="E5926">
        <v>0.44456220000000002</v>
      </c>
      <c r="F5926" t="s">
        <v>42</v>
      </c>
      <c r="G5926">
        <v>-190.947</v>
      </c>
      <c r="H5926" s="1">
        <v>-3.811214E-6</v>
      </c>
      <c r="I5926">
        <v>-12.1142</v>
      </c>
      <c r="J5926">
        <v>-185.35239999999999</v>
      </c>
      <c r="K5926">
        <v>1.1367080000000001</v>
      </c>
      <c r="L5926">
        <v>-42.97128</v>
      </c>
      <c r="M5926">
        <v>4.6814600000000001E-3</v>
      </c>
      <c r="N5926">
        <v>-1.655092E-2</v>
      </c>
      <c r="O5926">
        <v>0.99985210000000002</v>
      </c>
      <c r="P5926">
        <v>-3.5147350000000001E-2</v>
      </c>
      <c r="Q5926">
        <v>0.1664795</v>
      </c>
      <c r="R5926">
        <v>0.98541829999999997</v>
      </c>
      <c r="S5926">
        <v>-0.54791259999999997</v>
      </c>
      <c r="T5926">
        <v>-0.1112359</v>
      </c>
      <c r="U5926">
        <v>3.0506289999999998</v>
      </c>
      <c r="V5926">
        <v>-4.691327E-2</v>
      </c>
      <c r="W5926">
        <v>0.18105969999999999</v>
      </c>
      <c r="X5926">
        <v>0.98235260000000002</v>
      </c>
      <c r="Y5926">
        <v>-0.1812732</v>
      </c>
      <c r="Z5926">
        <v>-1.9298260000000001E-2</v>
      </c>
      <c r="AA5926">
        <v>0.98324339999999999</v>
      </c>
      <c r="AB5926">
        <v>34</v>
      </c>
      <c r="AC5926">
        <v>-5.5946000000000096</v>
      </c>
      <c r="AD5926">
        <v>-1.136711811214</v>
      </c>
      <c r="AE5926">
        <v>30.85708</v>
      </c>
      <c r="AF5926">
        <v>-5.7314843586953499</v>
      </c>
      <c r="AG5926">
        <v>-1.136711811214</v>
      </c>
      <c r="AH5926">
        <v>30.790093842952501</v>
      </c>
      <c r="AI5926">
        <v>92.078617222642805</v>
      </c>
      <c r="AJ5926">
        <v>100.54474993383</v>
      </c>
      <c r="AK5926">
        <v>31.339621975281499</v>
      </c>
      <c r="AL5926">
        <v>79.568510119948201</v>
      </c>
      <c r="AM5926">
        <v>92.7341422665544</v>
      </c>
      <c r="AN5926">
        <v>1.0000000502964701</v>
      </c>
    </row>
    <row r="5927" spans="1:40" x14ac:dyDescent="0.25">
      <c r="A5927" t="str">
        <f>"20190303171129035"</f>
        <v>20190303171129035</v>
      </c>
      <c r="B5927" t="str">
        <f>"1551604289027045"</f>
        <v>1551604289027045</v>
      </c>
      <c r="C5927" t="s">
        <v>40</v>
      </c>
      <c r="D5927">
        <v>5.2139699999999998</v>
      </c>
      <c r="E5927">
        <v>0.44531989999999999</v>
      </c>
      <c r="F5927" t="s">
        <v>42</v>
      </c>
      <c r="G5927">
        <v>-191.1071</v>
      </c>
      <c r="H5927" s="1">
        <v>-3.5443850000000001E-6</v>
      </c>
      <c r="I5927">
        <v>-12.835470000000001</v>
      </c>
      <c r="J5927">
        <v>-185.36340000000001</v>
      </c>
      <c r="K5927">
        <v>1.1366149999999999</v>
      </c>
      <c r="L5927">
        <v>-42.622770000000003</v>
      </c>
      <c r="M5927">
        <v>-1.275021E-2</v>
      </c>
      <c r="N5927">
        <v>-1.652288E-2</v>
      </c>
      <c r="O5927">
        <v>0.99978219999999995</v>
      </c>
      <c r="P5927">
        <v>-5.053581E-2</v>
      </c>
      <c r="Q5927">
        <v>0.16580449999999999</v>
      </c>
      <c r="R5927">
        <v>0.98486289999999999</v>
      </c>
      <c r="S5927">
        <v>-0.58110050000000002</v>
      </c>
      <c r="T5927">
        <v>-0.114783</v>
      </c>
      <c r="U5927">
        <v>3.0430600000000001</v>
      </c>
      <c r="V5927">
        <v>-4.5056880000000001E-2</v>
      </c>
      <c r="W5927">
        <v>0.18044160000000001</v>
      </c>
      <c r="X5927">
        <v>0.98255320000000002</v>
      </c>
      <c r="Y5927">
        <v>-0.1749127</v>
      </c>
      <c r="Z5927">
        <v>-2.0566830000000001E-2</v>
      </c>
      <c r="AA5927">
        <v>0.9843691</v>
      </c>
      <c r="AB5927">
        <v>34</v>
      </c>
      <c r="AC5927">
        <v>-5.7436999999999898</v>
      </c>
      <c r="AD5927">
        <v>-1.1366185443850001</v>
      </c>
      <c r="AE5927">
        <v>29.787299999999998</v>
      </c>
      <c r="AF5927">
        <v>-5.3558681073005303</v>
      </c>
      <c r="AG5927">
        <v>-1.1366185443850001</v>
      </c>
      <c r="AH5927">
        <v>29.816264605209</v>
      </c>
      <c r="AI5927">
        <v>92.148743252476905</v>
      </c>
      <c r="AJ5927">
        <v>100.18338706544699</v>
      </c>
      <c r="AK5927">
        <v>30.314796055821901</v>
      </c>
      <c r="AL5927">
        <v>79.604517637212993</v>
      </c>
      <c r="AM5927">
        <v>92.625569570655799</v>
      </c>
      <c r="AN5927">
        <v>1.0000000421380599</v>
      </c>
    </row>
    <row r="5928" spans="1:40" x14ac:dyDescent="0.25">
      <c r="A5928" t="str">
        <f>"20190303171129058"</f>
        <v>20190303171129058</v>
      </c>
      <c r="B5928" t="str">
        <f>"1551604289046565"</f>
        <v>1551604289046565</v>
      </c>
      <c r="C5928" t="s">
        <v>40</v>
      </c>
      <c r="D5928">
        <v>5.1767649999999996</v>
      </c>
      <c r="E5928">
        <v>0.45279140000000001</v>
      </c>
      <c r="F5928" t="s">
        <v>42</v>
      </c>
      <c r="G5928">
        <v>-191.36619999999999</v>
      </c>
      <c r="H5928" s="1">
        <v>-3.3778570000000002E-6</v>
      </c>
      <c r="I5928">
        <v>-13.38439</v>
      </c>
      <c r="J5928">
        <v>-185.37970000000001</v>
      </c>
      <c r="K5928">
        <v>1.1365350000000001</v>
      </c>
      <c r="L5928">
        <v>-42.296840000000003</v>
      </c>
      <c r="M5928">
        <v>-2.901157E-2</v>
      </c>
      <c r="N5928">
        <v>-1.649726E-2</v>
      </c>
      <c r="O5928">
        <v>0.99944290000000002</v>
      </c>
      <c r="P5928">
        <v>-6.4582130000000001E-2</v>
      </c>
      <c r="Q5928">
        <v>0.16526830000000001</v>
      </c>
      <c r="R5928">
        <v>0.98413189999999995</v>
      </c>
      <c r="S5928">
        <v>-0.62289430000000001</v>
      </c>
      <c r="T5928">
        <v>-0.1179441</v>
      </c>
      <c r="U5928">
        <v>3.0339969999999998</v>
      </c>
      <c r="V5928">
        <v>-4.3023909999999999E-2</v>
      </c>
      <c r="W5928">
        <v>0.1799702</v>
      </c>
      <c r="X5928">
        <v>0.98273069999999896</v>
      </c>
      <c r="Y5928">
        <v>-0.17247870000000001</v>
      </c>
      <c r="Z5928">
        <v>-2.169051E-2</v>
      </c>
      <c r="AA5928">
        <v>0.98477440000000005</v>
      </c>
      <c r="AB5928">
        <v>34</v>
      </c>
      <c r="AC5928">
        <v>-5.9864999999999702</v>
      </c>
      <c r="AD5928">
        <v>-1.136538377857</v>
      </c>
      <c r="AE5928">
        <v>28.91245</v>
      </c>
      <c r="AF5928">
        <v>-5.1374573990110104</v>
      </c>
      <c r="AG5928">
        <v>-1.136538377857</v>
      </c>
      <c r="AH5928">
        <v>29.0309622704705</v>
      </c>
      <c r="AI5928">
        <v>92.207670824198004</v>
      </c>
      <c r="AJ5928">
        <v>100.035436559666</v>
      </c>
      <c r="AK5928">
        <v>29.503931235692601</v>
      </c>
      <c r="AL5928">
        <v>79.631975737051306</v>
      </c>
      <c r="AM5928">
        <v>92.506806124312604</v>
      </c>
      <c r="AN5928">
        <v>0.99999997922110795</v>
      </c>
    </row>
    <row r="5929" spans="1:40" x14ac:dyDescent="0.25">
      <c r="A5929" t="str">
        <f>"20190303171129082"</f>
        <v>20190303171129082</v>
      </c>
      <c r="B5929" t="str">
        <f>"1551604289076821"</f>
        <v>1551604289076821</v>
      </c>
      <c r="C5929" t="s">
        <v>40</v>
      </c>
      <c r="D5929">
        <v>5.1394010000000003</v>
      </c>
      <c r="E5929">
        <v>0.45549410000000001</v>
      </c>
      <c r="F5929" t="s">
        <v>42</v>
      </c>
      <c r="G5929">
        <v>-190.85400000000001</v>
      </c>
      <c r="H5929" s="1">
        <v>-2.5523449999999999E-6</v>
      </c>
      <c r="I5929">
        <v>-14.990959999999999</v>
      </c>
      <c r="J5929">
        <v>-185.40450000000001</v>
      </c>
      <c r="K5929">
        <v>1.136433</v>
      </c>
      <c r="L5929">
        <v>-41.933070000000001</v>
      </c>
      <c r="M5929">
        <v>-4.7107370000000003E-2</v>
      </c>
      <c r="N5929">
        <v>-1.6467579999999999E-2</v>
      </c>
      <c r="O5929">
        <v>0.99875409999999998</v>
      </c>
      <c r="P5929">
        <v>-8.0302639999999995E-2</v>
      </c>
      <c r="Q5929">
        <v>0.1643638</v>
      </c>
      <c r="R5929">
        <v>0.98312560000000004</v>
      </c>
      <c r="S5929">
        <v>-0.60739140000000003</v>
      </c>
      <c r="T5929">
        <v>-0.1261033</v>
      </c>
      <c r="U5929">
        <v>3.0296940000000001</v>
      </c>
      <c r="V5929">
        <v>-4.0836619999999997E-2</v>
      </c>
      <c r="W5929">
        <v>0.179133399999999</v>
      </c>
      <c r="X5929">
        <v>0.98297690000000004</v>
      </c>
      <c r="Y5929">
        <v>-0.1500263</v>
      </c>
      <c r="Z5929">
        <v>-2.44937E-2</v>
      </c>
      <c r="AA5929">
        <v>0.98837850000000005</v>
      </c>
      <c r="AB5929">
        <v>34</v>
      </c>
      <c r="AC5929">
        <v>-5.4494999999999996</v>
      </c>
      <c r="AD5929">
        <v>-1.136435552345</v>
      </c>
      <c r="AE5929">
        <v>26.9421099999999</v>
      </c>
      <c r="AF5929">
        <v>-4.1669819265221202</v>
      </c>
      <c r="AG5929">
        <v>-1.136435552345</v>
      </c>
      <c r="AH5929">
        <v>27.122578031161101</v>
      </c>
      <c r="AI5929">
        <v>92.371496204328594</v>
      </c>
      <c r="AJ5929">
        <v>98.734352989128197</v>
      </c>
      <c r="AK5929">
        <v>27.464330743657602</v>
      </c>
      <c r="AL5929">
        <v>79.680713065988101</v>
      </c>
      <c r="AM5929">
        <v>92.378917865392694</v>
      </c>
      <c r="AN5929">
        <v>0.99999999523109695</v>
      </c>
    </row>
    <row r="5930" spans="1:40" x14ac:dyDescent="0.25">
      <c r="A5930" t="str">
        <f>"20190303171129105"</f>
        <v>20190303171129105</v>
      </c>
      <c r="B5930" t="str">
        <f>"1551604289096341"</f>
        <v>1551604289096341</v>
      </c>
      <c r="C5930" t="s">
        <v>40</v>
      </c>
      <c r="D5930">
        <v>5.1428469999999997</v>
      </c>
      <c r="E5930">
        <v>0.45630559999999998</v>
      </c>
      <c r="F5930" t="s">
        <v>42</v>
      </c>
      <c r="G5930">
        <v>-190.71559999999999</v>
      </c>
      <c r="H5930" s="1">
        <v>-1.80716E-6</v>
      </c>
      <c r="I5930">
        <v>-16.642160000000001</v>
      </c>
      <c r="J5930">
        <v>-185.43389999999999</v>
      </c>
      <c r="K5930">
        <v>1.136315</v>
      </c>
      <c r="L5930">
        <v>-41.590299999999999</v>
      </c>
      <c r="M5930">
        <v>-6.4104270000000005E-2</v>
      </c>
      <c r="N5930">
        <v>-1.643822E-2</v>
      </c>
      <c r="O5930">
        <v>0.99780780000000002</v>
      </c>
      <c r="P5930">
        <v>-9.4412819999999995E-2</v>
      </c>
      <c r="Q5930">
        <v>0.1650934</v>
      </c>
      <c r="R5930">
        <v>0.98174859999999997</v>
      </c>
      <c r="S5930">
        <v>-0.63468930000000001</v>
      </c>
      <c r="T5930">
        <v>-0.1358087</v>
      </c>
      <c r="U5930">
        <v>3.0223689999999999</v>
      </c>
      <c r="V5930">
        <v>-3.81984E-2</v>
      </c>
      <c r="W5930">
        <v>0.17994450000000001</v>
      </c>
      <c r="X5930">
        <v>0.9829348</v>
      </c>
      <c r="Y5930">
        <v>-0.14219870000000001</v>
      </c>
      <c r="Z5930">
        <v>-2.7724849999999999E-2</v>
      </c>
      <c r="AA5930">
        <v>0.98944980000000005</v>
      </c>
      <c r="AB5930">
        <v>34</v>
      </c>
      <c r="AC5930">
        <v>-5.2816999999999998</v>
      </c>
      <c r="AD5930">
        <v>-1.1363168071600001</v>
      </c>
      <c r="AE5930">
        <v>24.948139999999999</v>
      </c>
      <c r="AF5930">
        <v>-3.6640600746778702</v>
      </c>
      <c r="AG5930">
        <v>-1.1363168071600001</v>
      </c>
      <c r="AH5930">
        <v>25.185431252215398</v>
      </c>
      <c r="AI5930">
        <v>92.556444065008904</v>
      </c>
      <c r="AJ5930">
        <v>98.277507145242694</v>
      </c>
      <c r="AK5930">
        <v>25.475919992752999</v>
      </c>
      <c r="AL5930">
        <v>79.633472695127907</v>
      </c>
      <c r="AM5930">
        <v>92.225484681410194</v>
      </c>
      <c r="AN5930">
        <v>0.99999998094692399</v>
      </c>
    </row>
    <row r="5931" spans="1:40" x14ac:dyDescent="0.25">
      <c r="A5931" t="str">
        <f>"20190303171129148"</f>
        <v>20190303171129148</v>
      </c>
      <c r="B5931" t="str">
        <f>"1551604289136356"</f>
        <v>1551604289136356</v>
      </c>
      <c r="C5931" t="s">
        <v>40</v>
      </c>
      <c r="D5931">
        <v>5.0771879999999996</v>
      </c>
      <c r="E5931">
        <v>0.46795059999999999</v>
      </c>
      <c r="F5931" t="s">
        <v>42</v>
      </c>
      <c r="G5931">
        <v>-191.09180000000001</v>
      </c>
      <c r="H5931" s="1">
        <v>-2.0900560000000002E-6</v>
      </c>
      <c r="I5931">
        <v>-16.216089999999902</v>
      </c>
      <c r="J5931">
        <v>-185.50319999999999</v>
      </c>
      <c r="K5931">
        <v>1.136099</v>
      </c>
      <c r="L5931">
        <v>-40.958950000000002</v>
      </c>
      <c r="M5931">
        <v>-9.5204819999999996E-2</v>
      </c>
      <c r="N5931">
        <v>-1.6379479999999998E-2</v>
      </c>
      <c r="O5931">
        <v>0.99532290000000001</v>
      </c>
      <c r="P5931">
        <v>-0.11618820000000001</v>
      </c>
      <c r="Q5931">
        <v>0.1640356</v>
      </c>
      <c r="R5931">
        <v>0.97958800000000001</v>
      </c>
      <c r="S5931">
        <v>-0.67202759999999995</v>
      </c>
      <c r="T5931">
        <v>-0.13496610000000001</v>
      </c>
      <c r="U5931">
        <v>3.0138240000000001</v>
      </c>
      <c r="V5931">
        <v>-2.9172880000000002E-2</v>
      </c>
      <c r="W5931">
        <v>0.1791934</v>
      </c>
      <c r="X5931">
        <v>0.98338119999999996</v>
      </c>
      <c r="Y5931">
        <v>-0.123569899999999</v>
      </c>
      <c r="Z5931">
        <v>-2.7528339999999998E-2</v>
      </c>
      <c r="AA5931">
        <v>0.991954</v>
      </c>
      <c r="AB5931">
        <v>34</v>
      </c>
      <c r="AC5931">
        <v>-5.5886000000000102</v>
      </c>
      <c r="AD5931">
        <v>-1.136101090056</v>
      </c>
      <c r="AE5931">
        <v>24.74286</v>
      </c>
      <c r="AF5931">
        <v>-3.2008316373587999</v>
      </c>
      <c r="AG5931">
        <v>-1.136101090056</v>
      </c>
      <c r="AH5931">
        <v>25.1121990902889</v>
      </c>
      <c r="AI5931">
        <v>92.569591308310194</v>
      </c>
      <c r="AJ5931">
        <v>97.263822282949903</v>
      </c>
      <c r="AK5931">
        <v>25.340848289034199</v>
      </c>
      <c r="AL5931">
        <v>79.677218390994199</v>
      </c>
      <c r="AM5931">
        <v>91.699232018126494</v>
      </c>
      <c r="AN5931">
        <v>0.99999995802224595</v>
      </c>
    </row>
    <row r="5932" spans="1:40" x14ac:dyDescent="0.25">
      <c r="A5932" t="str">
        <f>"20190303171129169"</f>
        <v>20190303171129169</v>
      </c>
      <c r="B5932" t="str">
        <f>"1551604289156852"</f>
        <v>1551604289156852</v>
      </c>
      <c r="C5932" t="s">
        <v>40</v>
      </c>
      <c r="D5932">
        <v>5.0804510000000001</v>
      </c>
      <c r="E5932">
        <v>0.4688929</v>
      </c>
      <c r="F5932" t="s">
        <v>42</v>
      </c>
      <c r="G5932">
        <v>-190.2936</v>
      </c>
      <c r="H5932" s="1">
        <v>-7.6944899999999997E-7</v>
      </c>
      <c r="I5932">
        <v>-18.79937</v>
      </c>
      <c r="J5932">
        <v>-185.5471</v>
      </c>
      <c r="K5932">
        <v>1.135958</v>
      </c>
      <c r="L5932">
        <v>-40.6312</v>
      </c>
      <c r="M5932">
        <v>-0.1112147</v>
      </c>
      <c r="N5932">
        <v>-1.634325E-2</v>
      </c>
      <c r="O5932">
        <v>0.99366200000000005</v>
      </c>
      <c r="P5932">
        <v>-0.1287036</v>
      </c>
      <c r="Q5932">
        <v>0.16151179999999901</v>
      </c>
      <c r="R5932">
        <v>0.97844229999999999</v>
      </c>
      <c r="S5932">
        <v>-0.65093990000000002</v>
      </c>
      <c r="T5932">
        <v>-0.15437819999999999</v>
      </c>
      <c r="U5932">
        <v>3.011139</v>
      </c>
      <c r="V5932">
        <v>-2.5707600000000001E-2</v>
      </c>
      <c r="W5932">
        <v>0.17677789999999999</v>
      </c>
      <c r="X5932">
        <v>0.98391499999999998</v>
      </c>
      <c r="Y5932">
        <v>-0.10109079999999999</v>
      </c>
      <c r="Z5932">
        <v>-3.3884589999999999E-2</v>
      </c>
      <c r="AA5932">
        <v>0.99429999999999996</v>
      </c>
      <c r="AB5932">
        <v>34</v>
      </c>
      <c r="AC5932">
        <v>-4.7464999999999904</v>
      </c>
      <c r="AD5932">
        <v>-1.1359587694490001</v>
      </c>
      <c r="AE5932">
        <v>21.83183</v>
      </c>
      <c r="AF5932">
        <v>-2.2828005593349601</v>
      </c>
      <c r="AG5932">
        <v>-1.1359587694490001</v>
      </c>
      <c r="AH5932">
        <v>22.167003713852399</v>
      </c>
      <c r="AI5932">
        <v>92.918177281233696</v>
      </c>
      <c r="AJ5932">
        <v>95.879702439081598</v>
      </c>
      <c r="AK5932">
        <v>22.313171768476401</v>
      </c>
      <c r="AL5932">
        <v>79.817862642130294</v>
      </c>
      <c r="AM5932">
        <v>91.496675977345205</v>
      </c>
      <c r="AN5932">
        <v>1.00000001692558</v>
      </c>
    </row>
    <row r="5933" spans="1:40" x14ac:dyDescent="0.25">
      <c r="A5933" t="str">
        <f>"20190303171129193"</f>
        <v>20190303171129193</v>
      </c>
      <c r="B5933" t="str">
        <f>"1551604289186133"</f>
        <v>1551604289186133</v>
      </c>
      <c r="C5933" t="s">
        <v>40</v>
      </c>
      <c r="D5933">
        <v>5.0836220000000001</v>
      </c>
      <c r="E5933">
        <v>0.47998550000000001</v>
      </c>
      <c r="F5933" t="s">
        <v>42</v>
      </c>
      <c r="G5933">
        <v>-190.3415</v>
      </c>
      <c r="H5933" s="1">
        <v>-4.6780310000000002E-7</v>
      </c>
      <c r="I5933">
        <v>-19.532209999999999</v>
      </c>
      <c r="J5933">
        <v>-185.60130000000001</v>
      </c>
      <c r="K5933">
        <v>1.135778</v>
      </c>
      <c r="L5933">
        <v>-40.271270000000001</v>
      </c>
      <c r="M5933">
        <v>-0.12865550000000001</v>
      </c>
      <c r="N5933">
        <v>-1.6300479999999999E-2</v>
      </c>
      <c r="O5933">
        <v>0.99155539999999998</v>
      </c>
      <c r="P5933">
        <v>-0.14078379999999999</v>
      </c>
      <c r="Q5933">
        <v>0.1591204</v>
      </c>
      <c r="R5933">
        <v>0.97716970000000003</v>
      </c>
      <c r="S5933">
        <v>-0.68238829999999995</v>
      </c>
      <c r="T5933">
        <v>-0.1616812</v>
      </c>
      <c r="U5933">
        <v>3.0030209999999999</v>
      </c>
      <c r="V5933">
        <v>-2.03552E-2</v>
      </c>
      <c r="W5933">
        <v>0.17455660000000001</v>
      </c>
      <c r="X5933">
        <v>0.9844368</v>
      </c>
      <c r="Y5933">
        <v>-9.4070260000000003E-2</v>
      </c>
      <c r="Z5933">
        <v>-3.6260830000000001E-2</v>
      </c>
      <c r="AA5933">
        <v>0.99490500000000004</v>
      </c>
      <c r="AB5933">
        <v>34</v>
      </c>
      <c r="AC5933">
        <v>-4.7401999999999802</v>
      </c>
      <c r="AD5933">
        <v>-1.1357784678031</v>
      </c>
      <c r="AE5933">
        <v>20.739059999999998</v>
      </c>
      <c r="AF5933">
        <v>-2.0264706342894101</v>
      </c>
      <c r="AG5933">
        <v>-1.1357784678031</v>
      </c>
      <c r="AH5933">
        <v>21.116404190639599</v>
      </c>
      <c r="AI5933">
        <v>93.064722408339094</v>
      </c>
      <c r="AJ5933">
        <v>95.481697245714301</v>
      </c>
      <c r="AK5933">
        <v>21.243801493659898</v>
      </c>
      <c r="AL5933">
        <v>79.947144773753394</v>
      </c>
      <c r="AM5933">
        <v>91.184536057375894</v>
      </c>
      <c r="AN5933">
        <v>1.00000007698241</v>
      </c>
    </row>
    <row r="5934" spans="1:40" x14ac:dyDescent="0.25">
      <c r="A5934" t="str">
        <f>"20190303171129215"</f>
        <v>20190303171129215</v>
      </c>
      <c r="B5934" t="str">
        <f>"1551604289206629"</f>
        <v>1551604289206629</v>
      </c>
      <c r="C5934" t="s">
        <v>40</v>
      </c>
      <c r="D5934">
        <v>5.0802269999999998</v>
      </c>
      <c r="E5934">
        <v>0.48166690000000001</v>
      </c>
      <c r="F5934" t="s">
        <v>42</v>
      </c>
      <c r="G5934">
        <v>-189.86490000000001</v>
      </c>
      <c r="H5934" s="1">
        <v>-1.8068719999999999E-7</v>
      </c>
      <c r="I5934">
        <v>-20.00187</v>
      </c>
      <c r="J5934">
        <v>-185.65289999999999</v>
      </c>
      <c r="K5934">
        <v>1.1356040000000001</v>
      </c>
      <c r="L5934">
        <v>-39.963320000000003</v>
      </c>
      <c r="M5934">
        <v>-0.1434105</v>
      </c>
      <c r="N5934">
        <v>-1.6259220000000001E-2</v>
      </c>
      <c r="O5934">
        <v>0.98952969999999896</v>
      </c>
      <c r="P5934">
        <v>-0.14871099999999901</v>
      </c>
      <c r="Q5934">
        <v>0.15703810000000001</v>
      </c>
      <c r="R5934">
        <v>0.97633190000000003</v>
      </c>
      <c r="S5934">
        <v>-0.63240050000000003</v>
      </c>
      <c r="T5934">
        <v>-0.16846159999999999</v>
      </c>
      <c r="U5934">
        <v>3.0064090000000001</v>
      </c>
      <c r="V5934">
        <v>-1.347338E-2</v>
      </c>
      <c r="W5934">
        <v>0.1726965</v>
      </c>
      <c r="X5934">
        <v>0.98488299999999995</v>
      </c>
      <c r="Y5934">
        <v>-6.3169939999999994E-2</v>
      </c>
      <c r="Z5934">
        <v>-3.8434320000000001E-2</v>
      </c>
      <c r="AA5934">
        <v>0.99726239999999999</v>
      </c>
      <c r="AB5934">
        <v>34</v>
      </c>
      <c r="AC5934">
        <v>-4.2120000000000104</v>
      </c>
      <c r="AD5934">
        <v>-1.1356041806871999</v>
      </c>
      <c r="AE5934">
        <v>19.961449999999999</v>
      </c>
      <c r="AF5934">
        <v>-1.3013578991203201</v>
      </c>
      <c r="AG5934">
        <v>-1.1356041806871999</v>
      </c>
      <c r="AH5934">
        <v>20.2962962661516</v>
      </c>
      <c r="AI5934">
        <v>93.195885449248806</v>
      </c>
      <c r="AJ5934">
        <v>93.668668777213398</v>
      </c>
      <c r="AK5934">
        <v>20.369653196856198</v>
      </c>
      <c r="AL5934">
        <v>80.0553642615439</v>
      </c>
      <c r="AM5934">
        <v>90.783767876917807</v>
      </c>
      <c r="AN5934">
        <v>1.0000000683849299</v>
      </c>
    </row>
    <row r="5935" spans="1:40" x14ac:dyDescent="0.25">
      <c r="A5935" t="str">
        <f>"20190303171129237"</f>
        <v>20190303171129237</v>
      </c>
      <c r="B5935" t="str">
        <f>"1551604289226149"</f>
        <v>1551604289226149</v>
      </c>
      <c r="C5935" t="s">
        <v>40</v>
      </c>
      <c r="D5935">
        <v>5.0224469999999997</v>
      </c>
      <c r="E5935">
        <v>0.48279630000000001</v>
      </c>
      <c r="F5935" t="s">
        <v>42</v>
      </c>
      <c r="G5935">
        <v>-190.0616</v>
      </c>
      <c r="H5935" s="1">
        <v>-3.9817560000000001E-7</v>
      </c>
      <c r="I5935">
        <v>-19.520949999999999</v>
      </c>
      <c r="J5935">
        <v>-185.7115</v>
      </c>
      <c r="K5935">
        <v>1.135391</v>
      </c>
      <c r="L5935">
        <v>-39.643160000000002</v>
      </c>
      <c r="M5935">
        <v>-0.15853329999999999</v>
      </c>
      <c r="N5935">
        <v>-1.6208549999999999E-2</v>
      </c>
      <c r="O5935">
        <v>0.9872206</v>
      </c>
      <c r="P5935">
        <v>-0.15689620000000001</v>
      </c>
      <c r="Q5935">
        <v>0.15350239999999901</v>
      </c>
      <c r="R5935">
        <v>0.97561290000000001</v>
      </c>
      <c r="S5935">
        <v>-0.64721680000000004</v>
      </c>
      <c r="T5935">
        <v>-0.16670879999999999</v>
      </c>
      <c r="U5935">
        <v>3.0009769999999998</v>
      </c>
      <c r="V5935">
        <v>-6.3487719999999999E-3</v>
      </c>
      <c r="W5935">
        <v>0.16938010000000001</v>
      </c>
      <c r="X5935">
        <v>0.98553040000000003</v>
      </c>
      <c r="Y5935">
        <v>-5.2981060000000003E-2</v>
      </c>
      <c r="Z5935">
        <v>-3.7846940000000003E-2</v>
      </c>
      <c r="AA5935">
        <v>0.99787809999999999</v>
      </c>
      <c r="AB5935">
        <v>34</v>
      </c>
      <c r="AC5935">
        <v>-4.3500999999999896</v>
      </c>
      <c r="AD5935">
        <v>-1.1353913981756001</v>
      </c>
      <c r="AE5935">
        <v>20.1222099999999</v>
      </c>
      <c r="AF5935">
        <v>-1.1012634577629199</v>
      </c>
      <c r="AG5935">
        <v>-1.1353913981756001</v>
      </c>
      <c r="AH5935">
        <v>20.495058239445498</v>
      </c>
      <c r="AI5935">
        <v>93.166289398961695</v>
      </c>
      <c r="AJ5935">
        <v>93.075723241079103</v>
      </c>
      <c r="AK5935">
        <v>20.556004161040601</v>
      </c>
      <c r="AL5935">
        <v>80.248221738481405</v>
      </c>
      <c r="AM5935">
        <v>90.369093443422202</v>
      </c>
      <c r="AN5935">
        <v>1.0000000472530299</v>
      </c>
    </row>
    <row r="5936" spans="1:40" x14ac:dyDescent="0.25">
      <c r="A5936" t="str">
        <f>"20190303171129260"</f>
        <v>20190303171129260</v>
      </c>
      <c r="B5936" t="str">
        <f>"1551604289247621"</f>
        <v>1551604289247621</v>
      </c>
      <c r="C5936" t="s">
        <v>40</v>
      </c>
      <c r="D5936">
        <v>5.1389610000000001</v>
      </c>
      <c r="E5936">
        <v>0.48329450000000002</v>
      </c>
      <c r="F5936" t="s">
        <v>42</v>
      </c>
      <c r="G5936">
        <v>-190.03980000000001</v>
      </c>
      <c r="H5936" s="1">
        <v>-9.7509709999999998E-8</v>
      </c>
      <c r="I5936">
        <v>-20.208259999999999</v>
      </c>
      <c r="J5936">
        <v>-185.7758</v>
      </c>
      <c r="K5936">
        <v>1.135141</v>
      </c>
      <c r="L5936">
        <v>-39.32047</v>
      </c>
      <c r="M5936">
        <v>-0.17349349999999999</v>
      </c>
      <c r="N5936">
        <v>-1.6146629999999999E-2</v>
      </c>
      <c r="O5936">
        <v>0.98470259999999998</v>
      </c>
      <c r="P5936">
        <v>-0.16377349999999999</v>
      </c>
      <c r="Q5936">
        <v>0.14878759999999999</v>
      </c>
      <c r="R5936">
        <v>0.97521310000000005</v>
      </c>
      <c r="S5936">
        <v>-0.66706849999999995</v>
      </c>
      <c r="T5936">
        <v>-0.17498250000000001</v>
      </c>
      <c r="U5936">
        <v>2.9952390000000002</v>
      </c>
      <c r="V5936">
        <v>2.0658870000000002E-3</v>
      </c>
      <c r="W5936">
        <v>0.164911999999999</v>
      </c>
      <c r="X5936">
        <v>0.98630609999999996</v>
      </c>
      <c r="Y5936">
        <v>-4.4512580000000003E-2</v>
      </c>
      <c r="Z5936">
        <v>-4.0467240000000002E-2</v>
      </c>
      <c r="AA5936">
        <v>0.99818890000000005</v>
      </c>
      <c r="AB5936">
        <v>34</v>
      </c>
      <c r="AC5936">
        <v>-4.2640000000000002</v>
      </c>
      <c r="AD5936">
        <v>-1.1351410975097</v>
      </c>
      <c r="AE5936">
        <v>19.112210000000001</v>
      </c>
      <c r="AF5936">
        <v>-0.88008545959592199</v>
      </c>
      <c r="AG5936">
        <v>-1.1351410975097</v>
      </c>
      <c r="AH5936">
        <v>19.496655043651302</v>
      </c>
      <c r="AI5936">
        <v>93.328751206102893</v>
      </c>
      <c r="AJ5936">
        <v>92.584595897592806</v>
      </c>
      <c r="AK5936">
        <v>19.5494924133232</v>
      </c>
      <c r="AL5936">
        <v>80.507877391915301</v>
      </c>
      <c r="AM5936">
        <v>89.879990164360507</v>
      </c>
      <c r="AN5936">
        <v>0.99999997926515305</v>
      </c>
    </row>
    <row r="5937" spans="1:40" x14ac:dyDescent="0.25">
      <c r="A5937" t="str">
        <f>"20190303171129282"</f>
        <v>20190303171129282</v>
      </c>
      <c r="B5937" t="str">
        <f>"1551604289276902"</f>
        <v>1551604289276902</v>
      </c>
      <c r="C5937" t="s">
        <v>40</v>
      </c>
      <c r="D5937">
        <v>5.1465880000000004</v>
      </c>
      <c r="E5937">
        <v>0.49120350000000002</v>
      </c>
      <c r="F5937" t="s">
        <v>42</v>
      </c>
      <c r="G5937">
        <v>-189.90600000000001</v>
      </c>
      <c r="H5937" s="1">
        <v>-3.9207899999999999E-6</v>
      </c>
      <c r="I5937">
        <v>-21.266629999999999</v>
      </c>
      <c r="J5937">
        <v>-185.84639999999999</v>
      </c>
      <c r="K5937">
        <v>1.1348689999999999</v>
      </c>
      <c r="L5937">
        <v>-38.991880000000002</v>
      </c>
      <c r="M5937">
        <v>-0.18844859999999999</v>
      </c>
      <c r="N5937">
        <v>-1.6077009999999999E-2</v>
      </c>
      <c r="O5937">
        <v>0.98195149999999998</v>
      </c>
      <c r="P5937">
        <v>-0.171126799999999</v>
      </c>
      <c r="Q5937">
        <v>0.14677490000000001</v>
      </c>
      <c r="R5937">
        <v>0.97425499999999998</v>
      </c>
      <c r="S5937">
        <v>-0.68403630000000004</v>
      </c>
      <c r="T5937">
        <v>-0.188001</v>
      </c>
      <c r="U5937">
        <v>2.9900509999999998</v>
      </c>
      <c r="V5937">
        <v>9.874552E-3</v>
      </c>
      <c r="W5937">
        <v>0.163101</v>
      </c>
      <c r="X5937">
        <v>0.98655990000000005</v>
      </c>
      <c r="Y5937">
        <v>-3.503887E-2</v>
      </c>
      <c r="Z5937">
        <v>-4.4570440000000003E-2</v>
      </c>
      <c r="AA5937">
        <v>0.99839160000000005</v>
      </c>
      <c r="AB5937">
        <v>34</v>
      </c>
      <c r="AC5937">
        <v>-4.0595999999999801</v>
      </c>
      <c r="AD5937">
        <v>-1.1348729207899999</v>
      </c>
      <c r="AE5937">
        <v>17.725249999999999</v>
      </c>
      <c r="AF5937">
        <v>-0.64360838940910603</v>
      </c>
      <c r="AG5937">
        <v>-1.1348729207899999</v>
      </c>
      <c r="AH5937">
        <v>18.1022017057645</v>
      </c>
      <c r="AI5937">
        <v>93.585063477556503</v>
      </c>
      <c r="AJ5937">
        <v>92.036245007104696</v>
      </c>
      <c r="AK5937">
        <v>18.149156313764099</v>
      </c>
      <c r="AL5937">
        <v>80.613064001021002</v>
      </c>
      <c r="AM5937">
        <v>89.4265413969609</v>
      </c>
      <c r="AN5937">
        <v>0.99999993963310296</v>
      </c>
    </row>
    <row r="5938" spans="1:40" x14ac:dyDescent="0.25">
      <c r="A5938" t="str">
        <f>"20190303171129309"</f>
        <v>20190303171129309</v>
      </c>
      <c r="B5938" t="str">
        <f>"1551604289296421"</f>
        <v>1551604289296421</v>
      </c>
      <c r="C5938" t="s">
        <v>40</v>
      </c>
      <c r="D5938">
        <v>5.0900670000000003</v>
      </c>
      <c r="E5938">
        <v>0.49164419999999998</v>
      </c>
      <c r="F5938" t="s">
        <v>42</v>
      </c>
      <c r="G5938">
        <v>-190.22</v>
      </c>
      <c r="H5938" s="1">
        <v>-8.5983990000000001E-7</v>
      </c>
      <c r="I5938">
        <v>-18.54299</v>
      </c>
      <c r="J5938">
        <v>-185.93709999999999</v>
      </c>
      <c r="K5938">
        <v>1.1345270000000001</v>
      </c>
      <c r="L5938">
        <v>-38.599910000000001</v>
      </c>
      <c r="M5938">
        <v>-0.20582880000000001</v>
      </c>
      <c r="N5938">
        <v>-1.59907E-2</v>
      </c>
      <c r="O5938">
        <v>0.97845729999999997</v>
      </c>
      <c r="P5938">
        <v>-0.18113019999999999</v>
      </c>
      <c r="Q5938">
        <v>0.14750160000000001</v>
      </c>
      <c r="R5938">
        <v>0.9723349</v>
      </c>
      <c r="S5938">
        <v>-0.63989259999999903</v>
      </c>
      <c r="T5938">
        <v>-0.1660432</v>
      </c>
      <c r="U5938">
        <v>2.9918819999999999</v>
      </c>
      <c r="V5938">
        <v>1.733823E-2</v>
      </c>
      <c r="W5938">
        <v>0.16397979999999901</v>
      </c>
      <c r="X5938">
        <v>0.9863113</v>
      </c>
      <c r="Y5938">
        <v>-3.2127380000000001E-3</v>
      </c>
      <c r="Z5938">
        <v>-3.7422410000000003E-2</v>
      </c>
      <c r="AA5938">
        <v>0.99929440000000003</v>
      </c>
      <c r="AB5938">
        <v>34</v>
      </c>
      <c r="AC5938">
        <v>-4.2829000000000104</v>
      </c>
      <c r="AD5938">
        <v>-1.13452785983989</v>
      </c>
      <c r="AE5938">
        <v>20.056919999999899</v>
      </c>
      <c r="AF5938">
        <v>-6.2160751872570801E-2</v>
      </c>
      <c r="AG5938">
        <v>-1.13452785983989</v>
      </c>
      <c r="AH5938">
        <v>20.446439051139201</v>
      </c>
      <c r="AI5938">
        <v>93.175945125654493</v>
      </c>
      <c r="AJ5938">
        <v>90.174188657109298</v>
      </c>
      <c r="AK5938">
        <v>20.477985430597801</v>
      </c>
      <c r="AL5938">
        <v>80.562025742582506</v>
      </c>
      <c r="AM5938">
        <v>88.9929091395299</v>
      </c>
      <c r="AN5938">
        <v>0.99999998476763097</v>
      </c>
    </row>
    <row r="5939" spans="1:40" x14ac:dyDescent="0.25">
      <c r="A5939" t="str">
        <f>"20190303171129350"</f>
        <v>20190303171129350</v>
      </c>
      <c r="B5939" t="str">
        <f>"1551604289336437"</f>
        <v>1551604289336437</v>
      </c>
      <c r="C5939" t="s">
        <v>40</v>
      </c>
      <c r="D5939">
        <v>5.084975</v>
      </c>
      <c r="E5939">
        <v>0.49227149999999997</v>
      </c>
      <c r="F5939" t="s">
        <v>42</v>
      </c>
      <c r="G5939">
        <v>-190.6362</v>
      </c>
      <c r="H5939" s="1">
        <v>-1.3898569999999999E-6</v>
      </c>
      <c r="I5939">
        <v>-17.5657</v>
      </c>
      <c r="J5939">
        <v>-186.083</v>
      </c>
      <c r="K5939">
        <v>1.133823</v>
      </c>
      <c r="L5939">
        <v>-38.023069999999997</v>
      </c>
      <c r="M5939">
        <v>-0.2300277</v>
      </c>
      <c r="N5939">
        <v>-1.5831899999999999E-2</v>
      </c>
      <c r="O5939">
        <v>0.97305529999999996</v>
      </c>
      <c r="P5939">
        <v>-0.19228290000000001</v>
      </c>
      <c r="Q5939">
        <v>0.1439211</v>
      </c>
      <c r="R5939">
        <v>0.97072860000000005</v>
      </c>
      <c r="S5939">
        <v>-0.66697689999999998</v>
      </c>
      <c r="T5939">
        <v>-0.1610316</v>
      </c>
      <c r="U5939">
        <v>2.985535</v>
      </c>
      <c r="V5939">
        <v>3.1029549999999999E-2</v>
      </c>
      <c r="W5939">
        <v>0.16064479999999901</v>
      </c>
      <c r="X5939">
        <v>0.98652439999999997</v>
      </c>
      <c r="Y5939">
        <v>1.247755E-2</v>
      </c>
      <c r="Z5939">
        <v>-3.5667549999999999E-2</v>
      </c>
      <c r="AA5939">
        <v>0.9992858</v>
      </c>
      <c r="AB5939">
        <v>34</v>
      </c>
      <c r="AC5939">
        <v>-4.5532000000000004</v>
      </c>
      <c r="AD5939">
        <v>-1.133824389857</v>
      </c>
      <c r="AE5939">
        <v>20.457370000000001</v>
      </c>
      <c r="AF5939">
        <v>0.274477534914707</v>
      </c>
      <c r="AG5939">
        <v>-1.133824389857</v>
      </c>
      <c r="AH5939">
        <v>20.894985235552401</v>
      </c>
      <c r="AI5939">
        <v>93.105726817899793</v>
      </c>
      <c r="AJ5939">
        <v>89.247403160253</v>
      </c>
      <c r="AK5939">
        <v>20.927525024669301</v>
      </c>
      <c r="AL5939">
        <v>80.755675201564998</v>
      </c>
      <c r="AM5939">
        <v>88.198446674589704</v>
      </c>
      <c r="AN5939">
        <v>0.99999998826780101</v>
      </c>
    </row>
    <row r="5940" spans="1:40" x14ac:dyDescent="0.25">
      <c r="A5940" t="str">
        <f>"20190303171129373"</f>
        <v>20190303171129373</v>
      </c>
      <c r="B5940" t="str">
        <f>"1551604289366694"</f>
        <v>1551604289366694</v>
      </c>
      <c r="C5940" t="s">
        <v>40</v>
      </c>
      <c r="D5940">
        <v>5.0893430000000004</v>
      </c>
      <c r="E5940">
        <v>0.49277609999999999</v>
      </c>
      <c r="F5940" t="s">
        <v>42</v>
      </c>
      <c r="G5940">
        <v>-190.8459</v>
      </c>
      <c r="H5940" s="1">
        <v>-1.406816E-6</v>
      </c>
      <c r="I5940">
        <v>-17.656220000000001</v>
      </c>
      <c r="J5940">
        <v>-186.1756</v>
      </c>
      <c r="K5940">
        <v>1.1332610000000001</v>
      </c>
      <c r="L5940">
        <v>-37.682130000000001</v>
      </c>
      <c r="M5940">
        <v>-0.24335689999999999</v>
      </c>
      <c r="N5940">
        <v>-1.5712139999999999E-2</v>
      </c>
      <c r="O5940">
        <v>0.96980949999999999</v>
      </c>
      <c r="P5940">
        <v>-0.20126749999999999</v>
      </c>
      <c r="Q5940">
        <v>0.140902</v>
      </c>
      <c r="R5940">
        <v>0.96934929999999997</v>
      </c>
      <c r="S5940">
        <v>-0.69621279999999997</v>
      </c>
      <c r="T5940">
        <v>-0.1657361</v>
      </c>
      <c r="U5940">
        <v>2.977112</v>
      </c>
      <c r="V5940">
        <v>3.5860320000000001E-2</v>
      </c>
      <c r="W5940">
        <v>0.15760979999999999</v>
      </c>
      <c r="X5940">
        <v>0.98685009999999995</v>
      </c>
      <c r="Y5940">
        <v>1.628193E-2</v>
      </c>
      <c r="Z5940">
        <v>-3.7139680000000001E-2</v>
      </c>
      <c r="AA5940">
        <v>0.99917750000000005</v>
      </c>
      <c r="AB5940">
        <v>34</v>
      </c>
      <c r="AC5940">
        <v>-4.6702999999999903</v>
      </c>
      <c r="AD5940">
        <v>-1.133262406816</v>
      </c>
      <c r="AE5940">
        <v>20.02591</v>
      </c>
      <c r="AF5940">
        <v>0.343142372737679</v>
      </c>
      <c r="AG5940">
        <v>-1.133262406816</v>
      </c>
      <c r="AH5940">
        <v>20.4981490408775</v>
      </c>
      <c r="AI5940">
        <v>93.163995465540197</v>
      </c>
      <c r="AJ5940">
        <v>89.040948844613595</v>
      </c>
      <c r="AK5940">
        <v>20.5323195102916</v>
      </c>
      <c r="AL5940">
        <v>80.9318120882713</v>
      </c>
      <c r="AM5940">
        <v>87.918892298298204</v>
      </c>
      <c r="AN5940">
        <v>0.99999996573827499</v>
      </c>
    </row>
    <row r="5941" spans="1:40" x14ac:dyDescent="0.25">
      <c r="A5941" t="str">
        <f>"20190303171129393"</f>
        <v>20190303171129393</v>
      </c>
      <c r="B5941" t="str">
        <f>"1551604289386213"</f>
        <v>1551604289386213</v>
      </c>
      <c r="C5941" t="s">
        <v>40</v>
      </c>
      <c r="D5941">
        <v>5.0969340000000001</v>
      </c>
      <c r="E5941">
        <v>0.4929557</v>
      </c>
      <c r="F5941" t="s">
        <v>42</v>
      </c>
      <c r="G5941">
        <v>-190.87690000000001</v>
      </c>
      <c r="H5941" s="1">
        <v>-1.197425E-6</v>
      </c>
      <c r="I5941">
        <v>-18.163509999999999</v>
      </c>
      <c r="J5941">
        <v>-186.25720000000001</v>
      </c>
      <c r="K5941">
        <v>1.132709</v>
      </c>
      <c r="L5941">
        <v>-37.394680000000001</v>
      </c>
      <c r="M5941">
        <v>-0.25387359999999998</v>
      </c>
      <c r="N5941">
        <v>-1.560481E-2</v>
      </c>
      <c r="O5941">
        <v>0.96711150000000001</v>
      </c>
      <c r="P5941">
        <v>-0.20541590000000001</v>
      </c>
      <c r="Q5941">
        <v>0.1419136</v>
      </c>
      <c r="R5941">
        <v>0.96833100000000005</v>
      </c>
      <c r="S5941">
        <v>-0.71568299999999996</v>
      </c>
      <c r="T5941">
        <v>-0.172518</v>
      </c>
      <c r="U5941">
        <v>2.9713440000000002</v>
      </c>
      <c r="V5941">
        <v>4.251564E-2</v>
      </c>
      <c r="W5941">
        <v>0.1586494</v>
      </c>
      <c r="X5941">
        <v>0.98641920000000005</v>
      </c>
      <c r="Y5941">
        <v>2.0528919999999999E-2</v>
      </c>
      <c r="Z5941">
        <v>-3.9247949999999997E-2</v>
      </c>
      <c r="AA5941">
        <v>0.99901859999999998</v>
      </c>
      <c r="AB5941">
        <v>34</v>
      </c>
      <c r="AC5941">
        <v>-4.6196999999999901</v>
      </c>
      <c r="AD5941">
        <v>-1.132710197425</v>
      </c>
      <c r="AE5941">
        <v>19.231169999999999</v>
      </c>
      <c r="AF5941">
        <v>0.41321653769102901</v>
      </c>
      <c r="AG5941">
        <v>-1.132710197425</v>
      </c>
      <c r="AH5941">
        <v>19.709269003802799</v>
      </c>
      <c r="AI5941">
        <v>93.288503024990604</v>
      </c>
      <c r="AJ5941">
        <v>88.798935889932395</v>
      </c>
      <c r="AK5941">
        <v>19.746115186604001</v>
      </c>
      <c r="AL5941">
        <v>80.871488965633006</v>
      </c>
      <c r="AM5941">
        <v>87.532022910075696</v>
      </c>
      <c r="AN5941">
        <v>1.0000000249468</v>
      </c>
    </row>
    <row r="5942" spans="1:40" x14ac:dyDescent="0.25">
      <c r="A5942" t="str">
        <f>"20190303171129438"</f>
        <v>20190303171129438</v>
      </c>
      <c r="B5942" t="str">
        <f>"1551604289426229"</f>
        <v>1551604289426229</v>
      </c>
      <c r="C5942" t="s">
        <v>40</v>
      </c>
      <c r="D5942">
        <v>5.1513099999999996</v>
      </c>
      <c r="E5942">
        <v>0.49620570000000003</v>
      </c>
      <c r="F5942" t="s">
        <v>42</v>
      </c>
      <c r="G5942">
        <v>-191.1455</v>
      </c>
      <c r="H5942" s="1">
        <v>-1.5964089999999999E-6</v>
      </c>
      <c r="I5942">
        <v>-17.400069999999999</v>
      </c>
      <c r="J5942">
        <v>-186.44919999999999</v>
      </c>
      <c r="K5942">
        <v>1.130984</v>
      </c>
      <c r="L5942">
        <v>-36.750430000000001</v>
      </c>
      <c r="M5942">
        <v>-0.27407199999999998</v>
      </c>
      <c r="N5942">
        <v>-1.5326330000000001E-2</v>
      </c>
      <c r="O5942">
        <v>0.96158710000000003</v>
      </c>
      <c r="P5942">
        <v>-0.21390890000000001</v>
      </c>
      <c r="Q5942">
        <v>0.14101040000000001</v>
      </c>
      <c r="R5942">
        <v>0.96662250000000005</v>
      </c>
      <c r="S5942">
        <v>-0.72581479999999998</v>
      </c>
      <c r="T5942">
        <v>-0.16818369999999999</v>
      </c>
      <c r="U5942">
        <v>2.9687809999999999</v>
      </c>
      <c r="V5942">
        <v>5.5289650000000003E-2</v>
      </c>
      <c r="W5942">
        <v>0.157582</v>
      </c>
      <c r="X5942">
        <v>0.98595690000000002</v>
      </c>
      <c r="Y5942">
        <v>3.8025459999999997E-2</v>
      </c>
      <c r="Z5942">
        <v>-3.7754700000000002E-2</v>
      </c>
      <c r="AA5942">
        <v>0.99856330000000004</v>
      </c>
      <c r="AB5942">
        <v>34</v>
      </c>
      <c r="AC5942">
        <v>-4.6962999999999999</v>
      </c>
      <c r="AD5942">
        <v>-1.1309855964090001</v>
      </c>
      <c r="AE5942">
        <v>19.350359999999998</v>
      </c>
      <c r="AF5942">
        <v>0.78505016756398205</v>
      </c>
      <c r="AG5942">
        <v>-1.1309855964090001</v>
      </c>
      <c r="AH5942">
        <v>19.832534684970401</v>
      </c>
      <c r="AI5942">
        <v>93.261310269977599</v>
      </c>
      <c r="AJ5942">
        <v>87.733189874392906</v>
      </c>
      <c r="AK5942">
        <v>19.8802631827506</v>
      </c>
      <c r="AL5942">
        <v>80.933425566963905</v>
      </c>
      <c r="AM5942">
        <v>86.790377709857594</v>
      </c>
      <c r="AN5942">
        <v>1.00000002038936</v>
      </c>
    </row>
    <row r="5943" spans="1:40" x14ac:dyDescent="0.25">
      <c r="A5943" t="str">
        <f>"20190303171129460"</f>
        <v>20190303171129460</v>
      </c>
      <c r="B5943" t="str">
        <f>"1551604289446725"</f>
        <v>1551604289446725</v>
      </c>
      <c r="C5943" t="s">
        <v>40</v>
      </c>
      <c r="D5943">
        <v>5.0956999999999999</v>
      </c>
      <c r="E5943">
        <v>0.49649599999999999</v>
      </c>
      <c r="F5943" t="s">
        <v>42</v>
      </c>
      <c r="G5943">
        <v>-191.83250000000001</v>
      </c>
      <c r="H5943" s="1">
        <v>-2.9667739999999998E-6</v>
      </c>
      <c r="I5943">
        <v>-14.63181</v>
      </c>
      <c r="J5943">
        <v>-186.5453</v>
      </c>
      <c r="K5943">
        <v>1.1300140000000001</v>
      </c>
      <c r="L5943">
        <v>-36.44061</v>
      </c>
      <c r="M5943">
        <v>-0.28202110000000002</v>
      </c>
      <c r="N5943">
        <v>-1.5189309999999999E-2</v>
      </c>
      <c r="O5943">
        <v>0.95928789999999997</v>
      </c>
      <c r="P5943">
        <v>-0.2186882</v>
      </c>
      <c r="Q5943">
        <v>0.13697029999999999</v>
      </c>
      <c r="R5943">
        <v>0.96613380000000004</v>
      </c>
      <c r="S5943">
        <v>-0.72186280000000003</v>
      </c>
      <c r="T5943">
        <v>-0.1516585</v>
      </c>
      <c r="U5943">
        <v>2.965973</v>
      </c>
      <c r="V5943">
        <v>5.9217449999999998E-2</v>
      </c>
      <c r="W5943">
        <v>0.15335770000000001</v>
      </c>
      <c r="X5943">
        <v>0.98639480000000002</v>
      </c>
      <c r="Y5943">
        <v>4.728429E-2</v>
      </c>
      <c r="Z5943">
        <v>-3.2615470000000001E-2</v>
      </c>
      <c r="AA5943">
        <v>0.99834880000000004</v>
      </c>
      <c r="AB5943">
        <v>34</v>
      </c>
      <c r="AC5943">
        <v>-5.2872000000000101</v>
      </c>
      <c r="AD5943">
        <v>-1.1300169667740001</v>
      </c>
      <c r="AE5943">
        <v>21.808800000000002</v>
      </c>
      <c r="AF5943">
        <v>1.0759908630927699</v>
      </c>
      <c r="AG5943">
        <v>-1.1300169667740001</v>
      </c>
      <c r="AH5943">
        <v>22.357913351322399</v>
      </c>
      <c r="AI5943">
        <v>92.8900505310055</v>
      </c>
      <c r="AJ5943">
        <v>87.244724722008996</v>
      </c>
      <c r="AK5943">
        <v>22.412295377936999</v>
      </c>
      <c r="AL5943">
        <v>81.178439318135602</v>
      </c>
      <c r="AM5943">
        <v>86.564415574905595</v>
      </c>
      <c r="AN5943">
        <v>0.999999996000416</v>
      </c>
    </row>
    <row r="5944" spans="1:40" x14ac:dyDescent="0.25">
      <c r="A5944" t="str">
        <f>"20190303171129484"</f>
        <v>20190303171129484</v>
      </c>
      <c r="B5944" t="str">
        <f>"1551604289476466"</f>
        <v>1551604289476466</v>
      </c>
      <c r="C5944" t="s">
        <v>40</v>
      </c>
      <c r="D5944">
        <v>5.1567020000000001</v>
      </c>
      <c r="E5944">
        <v>0.496587</v>
      </c>
      <c r="F5944" t="s">
        <v>42</v>
      </c>
      <c r="G5944">
        <v>-191.5273</v>
      </c>
      <c r="H5944" s="1">
        <v>-2.215782E-6</v>
      </c>
      <c r="I5944">
        <v>-16.193100000000001</v>
      </c>
      <c r="J5944">
        <v>-186.64959999999999</v>
      </c>
      <c r="K5944">
        <v>1.1290880000000001</v>
      </c>
      <c r="L5944">
        <v>-36.110900000000001</v>
      </c>
      <c r="M5944">
        <v>-0.28947440000000002</v>
      </c>
      <c r="N5944">
        <v>-1.506241E-2</v>
      </c>
      <c r="O5944">
        <v>0.95706729999999995</v>
      </c>
      <c r="P5944">
        <v>-0.22254840000000001</v>
      </c>
      <c r="Q5944">
        <v>0.13677619999999999</v>
      </c>
      <c r="R5944">
        <v>0.96527949999999996</v>
      </c>
      <c r="S5944">
        <v>-0.72920229999999997</v>
      </c>
      <c r="T5944">
        <v>-0.16539670000000001</v>
      </c>
      <c r="U5944">
        <v>2.963562</v>
      </c>
      <c r="V5944">
        <v>6.332314E-2</v>
      </c>
      <c r="W5944">
        <v>0.15297469999999999</v>
      </c>
      <c r="X5944">
        <v>0.9861993</v>
      </c>
      <c r="Y5944">
        <v>5.2566599999999901E-2</v>
      </c>
      <c r="Z5944">
        <v>-3.6870010000000002E-2</v>
      </c>
      <c r="AA5944">
        <v>0.9979365</v>
      </c>
      <c r="AB5944">
        <v>34</v>
      </c>
      <c r="AC5944">
        <v>-4.8776999999999999</v>
      </c>
      <c r="AD5944">
        <v>-1.129090215782</v>
      </c>
      <c r="AE5944">
        <v>19.9178</v>
      </c>
      <c r="AF5944">
        <v>1.0942131971256599</v>
      </c>
      <c r="AG5944">
        <v>-1.129090215782</v>
      </c>
      <c r="AH5944">
        <v>20.415074581476802</v>
      </c>
      <c r="AI5944">
        <v>93.161086821321504</v>
      </c>
      <c r="AJ5944">
        <v>86.931979552876896</v>
      </c>
      <c r="AK5944">
        <v>20.475532164107399</v>
      </c>
      <c r="AL5944">
        <v>81.200646274955204</v>
      </c>
      <c r="AM5944">
        <v>86.3261230418303</v>
      </c>
      <c r="AN5944">
        <v>1.0000000691100099</v>
      </c>
    </row>
    <row r="5945" spans="1:40" x14ac:dyDescent="0.25">
      <c r="A5945" t="str">
        <f>"20190303171129507"</f>
        <v>20190303171129507</v>
      </c>
      <c r="B5945" t="str">
        <f>"1551604289495987"</f>
        <v>1551604289495987</v>
      </c>
      <c r="C5945" t="s">
        <v>40</v>
      </c>
      <c r="D5945">
        <v>5.1037509999999999</v>
      </c>
      <c r="E5945">
        <v>0.4965445</v>
      </c>
      <c r="F5945" t="s">
        <v>42</v>
      </c>
      <c r="G5945">
        <v>-191.65350000000001</v>
      </c>
      <c r="H5945" s="1">
        <v>-2.3240340000000002E-6</v>
      </c>
      <c r="I5945">
        <v>-16.019020000000001</v>
      </c>
      <c r="J5945">
        <v>-186.7561</v>
      </c>
      <c r="K5945">
        <v>1.1281779999999999</v>
      </c>
      <c r="L5945">
        <v>-35.779940000000003</v>
      </c>
      <c r="M5945">
        <v>-0.29569580000000001</v>
      </c>
      <c r="N5945">
        <v>-1.494086E-2</v>
      </c>
      <c r="O5945">
        <v>0.95516529999999999</v>
      </c>
      <c r="P5945">
        <v>-0.225101</v>
      </c>
      <c r="Q5945">
        <v>0.1391406</v>
      </c>
      <c r="R5945">
        <v>0.96434920000000002</v>
      </c>
      <c r="S5945">
        <v>-0.7375488</v>
      </c>
      <c r="T5945">
        <v>-0.16642299999999999</v>
      </c>
      <c r="U5945">
        <v>2.9614560000000001</v>
      </c>
      <c r="V5945">
        <v>6.7348030000000003E-2</v>
      </c>
      <c r="W5945">
        <v>0.15513199999999999</v>
      </c>
      <c r="X5945">
        <v>0.98559540000000001</v>
      </c>
      <c r="Y5945">
        <v>5.6250370000000001E-2</v>
      </c>
      <c r="Z5945">
        <v>-3.7181619999999999E-2</v>
      </c>
      <c r="AA5945">
        <v>0.9977241</v>
      </c>
      <c r="AB5945">
        <v>34</v>
      </c>
      <c r="AC5945">
        <v>-4.8974000000000002</v>
      </c>
      <c r="AD5945">
        <v>-1.128180324034</v>
      </c>
      <c r="AE5945">
        <v>19.760919999999999</v>
      </c>
      <c r="AF5945">
        <v>1.1619564483358</v>
      </c>
      <c r="AG5945">
        <v>-1.128180324034</v>
      </c>
      <c r="AH5945">
        <v>20.2631300459466</v>
      </c>
      <c r="AI5945">
        <v>93.181523033348796</v>
      </c>
      <c r="AJ5945">
        <v>86.718060256275507</v>
      </c>
      <c r="AK5945">
        <v>20.3277488397095</v>
      </c>
      <c r="AL5945">
        <v>81.075548044122996</v>
      </c>
      <c r="AM5945">
        <v>86.090922564288405</v>
      </c>
      <c r="AN5945">
        <v>0.99999999353502</v>
      </c>
    </row>
    <row r="5946" spans="1:40" x14ac:dyDescent="0.25">
      <c r="A5946" t="str">
        <f>"20190303171129532"</f>
        <v>20190303171129532</v>
      </c>
      <c r="B5946" t="str">
        <f>"1551604289526242"</f>
        <v>1551604289526242</v>
      </c>
      <c r="C5946" t="s">
        <v>40</v>
      </c>
      <c r="D5946">
        <v>5.2192639999999999</v>
      </c>
      <c r="E5946">
        <v>0.49681769999999997</v>
      </c>
      <c r="F5946" t="s">
        <v>42</v>
      </c>
      <c r="G5946">
        <v>-192.06989999999999</v>
      </c>
      <c r="H5946" s="1">
        <v>-3.004515E-6</v>
      </c>
      <c r="I5946">
        <v>-14.6911</v>
      </c>
      <c r="J5946">
        <v>-186.86869999999999</v>
      </c>
      <c r="K5946">
        <v>1.1271089999999999</v>
      </c>
      <c r="L5946">
        <v>-35.434480000000001</v>
      </c>
      <c r="M5946">
        <v>-0.30064800000000003</v>
      </c>
      <c r="N5946">
        <v>-1.481059E-2</v>
      </c>
      <c r="O5946">
        <v>0.95362020000000003</v>
      </c>
      <c r="P5946">
        <v>-0.22810900000000001</v>
      </c>
      <c r="Q5946">
        <v>0.1377496</v>
      </c>
      <c r="R5946">
        <v>0.96384199999999998</v>
      </c>
      <c r="S5946">
        <v>-0.74575809999999998</v>
      </c>
      <c r="T5946">
        <v>-0.1583331</v>
      </c>
      <c r="U5946">
        <v>2.959686</v>
      </c>
      <c r="V5946">
        <v>6.9889770000000004E-2</v>
      </c>
      <c r="W5946">
        <v>0.15346470000000001</v>
      </c>
      <c r="X5946">
        <v>0.98567939999999998</v>
      </c>
      <c r="Y5946">
        <v>5.8664189999999998E-2</v>
      </c>
      <c r="Z5946">
        <v>-3.4710329999999998E-2</v>
      </c>
      <c r="AA5946">
        <v>0.99767419999999996</v>
      </c>
      <c r="AB5946">
        <v>33</v>
      </c>
      <c r="AC5946">
        <v>-5.2012</v>
      </c>
      <c r="AD5946">
        <v>-1.1271120045149901</v>
      </c>
      <c r="AE5946">
        <v>20.743379999999998</v>
      </c>
      <c r="AF5946">
        <v>1.27308997397259</v>
      </c>
      <c r="AG5946">
        <v>-1.1271120045149901</v>
      </c>
      <c r="AH5946">
        <v>21.288243741831302</v>
      </c>
      <c r="AI5946">
        <v>93.025316365889907</v>
      </c>
      <c r="AJ5946">
        <v>86.577645692257505</v>
      </c>
      <c r="AK5946">
        <v>21.356040390582098</v>
      </c>
      <c r="AL5946">
        <v>81.1722347019804</v>
      </c>
      <c r="AM5946">
        <v>85.944220528397594</v>
      </c>
      <c r="AN5946">
        <v>0.999999936840549</v>
      </c>
    </row>
    <row r="5947" spans="1:40" x14ac:dyDescent="0.25">
      <c r="A5947" t="str">
        <f>"20190303171129575"</f>
        <v>20190303171129575</v>
      </c>
      <c r="B5947" t="str">
        <f>"1551604289566259"</f>
        <v>1551604289566259</v>
      </c>
      <c r="C5947" t="s">
        <v>40</v>
      </c>
      <c r="D5947">
        <v>4.9497849999999897</v>
      </c>
      <c r="E5947">
        <v>0.49721140000000003</v>
      </c>
      <c r="F5947" t="s">
        <v>42</v>
      </c>
      <c r="G5947">
        <v>-192.06819999999999</v>
      </c>
      <c r="H5947" s="1">
        <v>-2.894385E-6</v>
      </c>
      <c r="I5947">
        <v>-14.946759999999999</v>
      </c>
      <c r="J5947">
        <v>-187.06639999999999</v>
      </c>
      <c r="K5947">
        <v>1.124762</v>
      </c>
      <c r="L5947">
        <v>-34.830539999999999</v>
      </c>
      <c r="M5947">
        <v>-0.30527090000000001</v>
      </c>
      <c r="N5947">
        <v>-1.461697E-2</v>
      </c>
      <c r="O5947">
        <v>0.95215340000000004</v>
      </c>
      <c r="P5947">
        <v>-0.2296764</v>
      </c>
      <c r="Q5947">
        <v>0.13134179999999901</v>
      </c>
      <c r="R5947">
        <v>0.96436409999999995</v>
      </c>
      <c r="S5947">
        <v>-0.75073239999999997</v>
      </c>
      <c r="T5947">
        <v>-0.16273859999999901</v>
      </c>
      <c r="U5947">
        <v>2.9581300000000001</v>
      </c>
      <c r="V5947">
        <v>7.4298710000000004E-2</v>
      </c>
      <c r="W5947">
        <v>0.14650199999999999</v>
      </c>
      <c r="X5947">
        <v>0.98641619999999997</v>
      </c>
      <c r="Y5947">
        <v>6.1816709999999997E-2</v>
      </c>
      <c r="Z5947">
        <v>-3.6161989999999998E-2</v>
      </c>
      <c r="AA5947">
        <v>0.99743219999999999</v>
      </c>
      <c r="AB5947">
        <v>33</v>
      </c>
      <c r="AC5947">
        <v>-5.0018000000000002</v>
      </c>
      <c r="AD5947">
        <v>-1.1247648943849999</v>
      </c>
      <c r="AE5947">
        <v>19.883780000000002</v>
      </c>
      <c r="AF5947">
        <v>1.3036749181182099</v>
      </c>
      <c r="AG5947">
        <v>-1.1247648943849999</v>
      </c>
      <c r="AH5947">
        <v>20.400106023032901</v>
      </c>
      <c r="AI5947">
        <v>93.149410387938303</v>
      </c>
      <c r="AJ5947">
        <v>86.343468170080897</v>
      </c>
      <c r="AK5947">
        <v>20.472640037639401</v>
      </c>
      <c r="AL5947">
        <v>81.575733860801293</v>
      </c>
      <c r="AM5947">
        <v>85.692508635002099</v>
      </c>
      <c r="AN5947">
        <v>1.0000000269670499</v>
      </c>
    </row>
    <row r="5948" spans="1:40" x14ac:dyDescent="0.25">
      <c r="A5948" t="str">
        <f>"20190303171129595"</f>
        <v>20190303171129595</v>
      </c>
      <c r="B5948" t="str">
        <f>"1551604289586755"</f>
        <v>1551604289586755</v>
      </c>
      <c r="C5948" t="s">
        <v>40</v>
      </c>
      <c r="D5948">
        <v>5.2131669999999897</v>
      </c>
      <c r="E5948">
        <v>0.49737569999999998</v>
      </c>
      <c r="F5948" t="s">
        <v>42</v>
      </c>
      <c r="G5948">
        <v>-191.59299999999999</v>
      </c>
      <c r="H5948" s="1">
        <v>-1.9828069999999999E-6</v>
      </c>
      <c r="I5948">
        <v>-16.77693</v>
      </c>
      <c r="J5948">
        <v>-187.16489999999999</v>
      </c>
      <c r="K5948">
        <v>1.123502</v>
      </c>
      <c r="L5948">
        <v>-34.52731</v>
      </c>
      <c r="M5948">
        <v>-0.30579099999999998</v>
      </c>
      <c r="N5948">
        <v>-1.455322E-2</v>
      </c>
      <c r="O5948">
        <v>0.95198740000000004</v>
      </c>
      <c r="P5948">
        <v>-0.2270739</v>
      </c>
      <c r="Q5948">
        <v>0.13287189999999999</v>
      </c>
      <c r="R5948">
        <v>0.96477069999999998</v>
      </c>
      <c r="S5948">
        <v>-0.74197389999999996</v>
      </c>
      <c r="T5948">
        <v>-0.18436569999999999</v>
      </c>
      <c r="U5948">
        <v>2.9592589999999999</v>
      </c>
      <c r="V5948">
        <v>7.7884750000000003E-2</v>
      </c>
      <c r="W5948">
        <v>0.14775179999999999</v>
      </c>
      <c r="X5948">
        <v>0.98595299999999997</v>
      </c>
      <c r="Y5948">
        <v>6.5290020000000004E-2</v>
      </c>
      <c r="Z5948">
        <v>-4.2848839999999999E-2</v>
      </c>
      <c r="AA5948">
        <v>0.99694590000000005</v>
      </c>
      <c r="AB5948">
        <v>33</v>
      </c>
      <c r="AC5948">
        <v>-4.4280999999999997</v>
      </c>
      <c r="AD5948">
        <v>-1.1235039828069999</v>
      </c>
      <c r="AE5948">
        <v>17.75038</v>
      </c>
      <c r="AF5948">
        <v>1.2079835814092399</v>
      </c>
      <c r="AG5948">
        <v>-1.1235039828069999</v>
      </c>
      <c r="AH5948">
        <v>18.185558099722702</v>
      </c>
      <c r="AI5948">
        <v>93.527486761170394</v>
      </c>
      <c r="AJ5948">
        <v>86.199685866636798</v>
      </c>
      <c r="AK5948">
        <v>18.2602302540447</v>
      </c>
      <c r="AL5948">
        <v>81.503337292712104</v>
      </c>
      <c r="AM5948">
        <v>85.483334436740094</v>
      </c>
      <c r="AN5948">
        <v>0.99999997344739999</v>
      </c>
    </row>
    <row r="5949" spans="1:40" x14ac:dyDescent="0.25">
      <c r="A5949" t="str">
        <f>"20190303171129618"</f>
        <v>20190303171129618</v>
      </c>
      <c r="B5949" t="str">
        <f>"1551604289606275"</f>
        <v>1551604289606275</v>
      </c>
      <c r="C5949" t="s">
        <v>40</v>
      </c>
      <c r="D5949">
        <v>5.2232200000000004</v>
      </c>
      <c r="E5949">
        <v>0.50069839999999999</v>
      </c>
      <c r="F5949" t="s">
        <v>42</v>
      </c>
      <c r="G5949">
        <v>-191.7492</v>
      </c>
      <c r="H5949" s="1">
        <v>-2.3645599999999999E-6</v>
      </c>
      <c r="I5949">
        <v>-15.983930000000001</v>
      </c>
      <c r="J5949">
        <v>-187.26849999999999</v>
      </c>
      <c r="K5949">
        <v>1.1222259999999999</v>
      </c>
      <c r="L5949">
        <v>-34.204929999999997</v>
      </c>
      <c r="M5949">
        <v>-0.30499270000000001</v>
      </c>
      <c r="N5949">
        <v>-1.449638E-2</v>
      </c>
      <c r="O5949">
        <v>0.95224430000000004</v>
      </c>
      <c r="P5949">
        <v>-0.2232266</v>
      </c>
      <c r="Q5949">
        <v>0.13444329999999999</v>
      </c>
      <c r="R5949">
        <v>0.96545060000000005</v>
      </c>
      <c r="S5949">
        <v>-0.73223879999999997</v>
      </c>
      <c r="T5949">
        <v>-0.17945620000000001</v>
      </c>
      <c r="U5949">
        <v>2.9619140000000002</v>
      </c>
      <c r="V5949">
        <v>8.1391770000000002E-2</v>
      </c>
      <c r="W5949">
        <v>0.14902270000000001</v>
      </c>
      <c r="X5949">
        <v>0.98547839999999998</v>
      </c>
      <c r="Y5949">
        <v>6.7733280000000007E-2</v>
      </c>
      <c r="Z5949">
        <v>-4.1375839999999997E-2</v>
      </c>
      <c r="AA5949">
        <v>0.99684510000000004</v>
      </c>
      <c r="AB5949">
        <v>33</v>
      </c>
      <c r="AC5949">
        <v>-4.4807000000000103</v>
      </c>
      <c r="AD5949">
        <v>-1.12222836456</v>
      </c>
      <c r="AE5949">
        <v>18.221</v>
      </c>
      <c r="AF5949">
        <v>1.28608630560871</v>
      </c>
      <c r="AG5949">
        <v>-1.12222836456</v>
      </c>
      <c r="AH5949">
        <v>18.652671468859999</v>
      </c>
      <c r="AI5949">
        <v>93.434885307920894</v>
      </c>
      <c r="AJ5949">
        <v>86.055745692439004</v>
      </c>
      <c r="AK5949">
        <v>18.7306051000206</v>
      </c>
      <c r="AL5949">
        <v>81.429705417501495</v>
      </c>
      <c r="AM5949">
        <v>85.2785930060044</v>
      </c>
      <c r="AN5949">
        <v>1.0000000311027899</v>
      </c>
    </row>
    <row r="5950" spans="1:40" x14ac:dyDescent="0.25">
      <c r="A5950" t="str">
        <f>"20190303171129639"</f>
        <v>20190303171129639</v>
      </c>
      <c r="B5950" t="str">
        <f>"1551604289626771"</f>
        <v>1551604289626771</v>
      </c>
      <c r="C5950" t="s">
        <v>40</v>
      </c>
      <c r="D5950">
        <v>5.2814699999999997</v>
      </c>
      <c r="E5950">
        <v>0.50073650000000003</v>
      </c>
      <c r="F5950" t="s">
        <v>42</v>
      </c>
      <c r="G5950">
        <v>-191.80119999999999</v>
      </c>
      <c r="H5950" s="1">
        <v>-2.8861779999999998E-6</v>
      </c>
      <c r="I5950">
        <v>-14.800269999999999</v>
      </c>
      <c r="J5950">
        <v>-187.36109999999999</v>
      </c>
      <c r="K5950">
        <v>1.12113</v>
      </c>
      <c r="L5950">
        <v>-33.912140000000001</v>
      </c>
      <c r="M5950">
        <v>-0.30316169999999998</v>
      </c>
      <c r="N5950">
        <v>-1.4454130000000001E-2</v>
      </c>
      <c r="O5950">
        <v>0.9528295</v>
      </c>
      <c r="P5950">
        <v>-0.22050069999999999</v>
      </c>
      <c r="Q5950">
        <v>0.13312589999999999</v>
      </c>
      <c r="R5950">
        <v>0.96625919999999998</v>
      </c>
      <c r="S5950">
        <v>-0.69395450000000003</v>
      </c>
      <c r="T5950">
        <v>-0.17181170000000001</v>
      </c>
      <c r="U5950">
        <v>2.970825</v>
      </c>
      <c r="V5950">
        <v>8.2740850000000005E-2</v>
      </c>
      <c r="W5950">
        <v>0.1474443</v>
      </c>
      <c r="X5950">
        <v>0.98560349999999997</v>
      </c>
      <c r="Y5950">
        <v>7.8626280000000007E-2</v>
      </c>
      <c r="Z5950">
        <v>-3.8982320000000001E-2</v>
      </c>
      <c r="AA5950">
        <v>0.99614170000000002</v>
      </c>
      <c r="AB5950">
        <v>33</v>
      </c>
      <c r="AC5950">
        <v>-4.4401000000000002</v>
      </c>
      <c r="AD5950">
        <v>-1.1211328861780001</v>
      </c>
      <c r="AE5950">
        <v>19.11187</v>
      </c>
      <c r="AF5950">
        <v>1.5584039427981</v>
      </c>
      <c r="AG5950">
        <v>-1.1211328861780001</v>
      </c>
      <c r="AH5950">
        <v>19.4948152173552</v>
      </c>
      <c r="AI5950">
        <v>93.280970392115293</v>
      </c>
      <c r="AJ5950">
        <v>85.429528475892496</v>
      </c>
      <c r="AK5950">
        <v>19.5891138685807</v>
      </c>
      <c r="AL5950">
        <v>81.521151627745098</v>
      </c>
      <c r="AM5950">
        <v>85.201303925926297</v>
      </c>
      <c r="AN5950">
        <v>1.00000006453672</v>
      </c>
    </row>
    <row r="5951" spans="1:40" x14ac:dyDescent="0.25">
      <c r="A5951" t="str">
        <f>"20190303171129664"</f>
        <v>20190303171129664</v>
      </c>
      <c r="B5951" t="str">
        <f>"1551604289656051"</f>
        <v>1551604289656051</v>
      </c>
      <c r="C5951" t="s">
        <v>40</v>
      </c>
      <c r="D5951">
        <v>5.2221989999999998</v>
      </c>
      <c r="E5951">
        <v>0.5013031</v>
      </c>
      <c r="F5951" t="s">
        <v>42</v>
      </c>
      <c r="G5951">
        <v>-191.6354</v>
      </c>
      <c r="H5951" s="1">
        <v>-2.6278359999999998E-6</v>
      </c>
      <c r="I5951">
        <v>-15.29965</v>
      </c>
      <c r="J5951">
        <v>-187.4742</v>
      </c>
      <c r="K5951">
        <v>1.11992</v>
      </c>
      <c r="L5951">
        <v>-33.547609999999999</v>
      </c>
      <c r="M5951">
        <v>-0.29965829999999999</v>
      </c>
      <c r="N5951">
        <v>-1.4411200000000001E-2</v>
      </c>
      <c r="O5951">
        <v>0.9539377</v>
      </c>
      <c r="P5951">
        <v>-0.2171785</v>
      </c>
      <c r="Q5951">
        <v>0.1294844</v>
      </c>
      <c r="R5951">
        <v>0.96750570000000002</v>
      </c>
      <c r="S5951">
        <v>-0.68287659999999994</v>
      </c>
      <c r="T5951">
        <v>-0.17911640000000001</v>
      </c>
      <c r="U5951">
        <v>2.9736020000000001</v>
      </c>
      <c r="V5951">
        <v>8.308227E-2</v>
      </c>
      <c r="W5951">
        <v>0.14352210000000001</v>
      </c>
      <c r="X5951">
        <v>0.98615350000000002</v>
      </c>
      <c r="Y5951">
        <v>7.8711569999999995E-2</v>
      </c>
      <c r="Z5951">
        <v>-4.1322020000000001E-2</v>
      </c>
      <c r="AA5951">
        <v>0.99604060000000005</v>
      </c>
      <c r="AB5951">
        <v>33</v>
      </c>
      <c r="AC5951">
        <v>-4.1612</v>
      </c>
      <c r="AD5951">
        <v>-1.1199226278359999</v>
      </c>
      <c r="AE5951">
        <v>18.247959999999999</v>
      </c>
      <c r="AF5951">
        <v>1.4934357268183001</v>
      </c>
      <c r="AG5951">
        <v>-1.1199226278359999</v>
      </c>
      <c r="AH5951">
        <v>18.589734635426598</v>
      </c>
      <c r="AI5951">
        <v>93.436523228045601</v>
      </c>
      <c r="AJ5951">
        <v>85.406917205922497</v>
      </c>
      <c r="AK5951">
        <v>18.683222708570799</v>
      </c>
      <c r="AL5951">
        <v>81.748293296226194</v>
      </c>
      <c r="AM5951">
        <v>85.184270422057807</v>
      </c>
      <c r="AN5951">
        <v>0.999999991169506</v>
      </c>
    </row>
    <row r="5952" spans="1:40" x14ac:dyDescent="0.25">
      <c r="A5952" t="str">
        <f>"20190303171129708"</f>
        <v>20190303171129708</v>
      </c>
      <c r="B5952" t="str">
        <f>"1551604289696066"</f>
        <v>1551604289696066</v>
      </c>
      <c r="C5952" t="s">
        <v>40</v>
      </c>
      <c r="D5952">
        <v>4.9512450000000001</v>
      </c>
      <c r="E5952">
        <v>0.50505789999999995</v>
      </c>
      <c r="F5952" t="s">
        <v>42</v>
      </c>
      <c r="G5952">
        <v>-191.3329</v>
      </c>
      <c r="H5952" s="1">
        <v>-2.1322460000000001E-6</v>
      </c>
      <c r="I5952">
        <v>-16.267289999999999</v>
      </c>
      <c r="J5952">
        <v>-187.6601</v>
      </c>
      <c r="K5952">
        <v>1.1182749999999999</v>
      </c>
      <c r="L5952">
        <v>-32.928989999999999</v>
      </c>
      <c r="M5952">
        <v>-0.29153699999999999</v>
      </c>
      <c r="N5952">
        <v>-1.4335519999999999E-2</v>
      </c>
      <c r="O5952">
        <v>0.95645210000000003</v>
      </c>
      <c r="P5952">
        <v>-0.20345460000000001</v>
      </c>
      <c r="Q5952">
        <v>0.12652040000000001</v>
      </c>
      <c r="R5952">
        <v>0.9708753</v>
      </c>
      <c r="S5952">
        <v>-0.664856</v>
      </c>
      <c r="T5952">
        <v>-0.19295979999999999</v>
      </c>
      <c r="U5952">
        <v>2.9773559999999999</v>
      </c>
      <c r="V5952">
        <v>8.9348430000000006E-2</v>
      </c>
      <c r="W5952">
        <v>0.14010889999999901</v>
      </c>
      <c r="X5952">
        <v>0.98609650000000004</v>
      </c>
      <c r="Y5952">
        <v>7.6287069999999998E-2</v>
      </c>
      <c r="Z5952">
        <v>-4.5831629999999998E-2</v>
      </c>
      <c r="AA5952">
        <v>0.99603200000000003</v>
      </c>
      <c r="AB5952">
        <v>33</v>
      </c>
      <c r="AC5952">
        <v>-3.6727999999999899</v>
      </c>
      <c r="AD5952">
        <v>-1.1182771322459999</v>
      </c>
      <c r="AE5952">
        <v>16.6617</v>
      </c>
      <c r="AF5952">
        <v>1.3390306412229001</v>
      </c>
      <c r="AG5952">
        <v>-1.1182771322459999</v>
      </c>
      <c r="AH5952">
        <v>16.935868474741198</v>
      </c>
      <c r="AI5952">
        <v>93.766043351506298</v>
      </c>
      <c r="AJ5952">
        <v>85.479326332685005</v>
      </c>
      <c r="AK5952">
        <v>17.0254864187891</v>
      </c>
      <c r="AL5952">
        <v>81.945851942222106</v>
      </c>
      <c r="AM5952">
        <v>84.822669961267593</v>
      </c>
      <c r="AN5952">
        <v>0.99999997655746198</v>
      </c>
    </row>
    <row r="5953" spans="1:40" x14ac:dyDescent="0.25">
      <c r="A5953" t="str">
        <f>"20190303171129732"</f>
        <v>20190303171129732</v>
      </c>
      <c r="B5953" t="str">
        <f>"1551604289716563"</f>
        <v>1551604289716563</v>
      </c>
      <c r="C5953" t="s">
        <v>40</v>
      </c>
      <c r="D5953">
        <v>5.2172080000000003</v>
      </c>
      <c r="E5953">
        <v>0.50559589999999999</v>
      </c>
      <c r="F5953" t="s">
        <v>42</v>
      </c>
      <c r="G5953">
        <v>-190.85900000000001</v>
      </c>
      <c r="H5953" s="1">
        <v>-1.743164E-6</v>
      </c>
      <c r="I5953">
        <v>-16.880279999999999</v>
      </c>
      <c r="J5953">
        <v>-187.75790000000001</v>
      </c>
      <c r="K5953">
        <v>1.117588</v>
      </c>
      <c r="L5953">
        <v>-32.59225</v>
      </c>
      <c r="M5953">
        <v>-0.2863269</v>
      </c>
      <c r="N5953">
        <v>-1.429616E-2</v>
      </c>
      <c r="O5953">
        <v>0.95802529999999997</v>
      </c>
      <c r="P5953">
        <v>-0.19812679999999999</v>
      </c>
      <c r="Q5953">
        <v>0.12501769999999901</v>
      </c>
      <c r="R5953">
        <v>0.97217089999999995</v>
      </c>
      <c r="S5953">
        <v>-0.59640499999999996</v>
      </c>
      <c r="T5953">
        <v>-0.20849609999999999</v>
      </c>
      <c r="U5953">
        <v>2.9921880000000001</v>
      </c>
      <c r="V5953">
        <v>8.9668719999999993E-2</v>
      </c>
      <c r="W5953">
        <v>0.13841899999999999</v>
      </c>
      <c r="X5953">
        <v>0.98630609999999996</v>
      </c>
      <c r="Y5953">
        <v>9.3745780000000001E-2</v>
      </c>
      <c r="Z5953">
        <v>-5.0544489999999997E-2</v>
      </c>
      <c r="AA5953">
        <v>0.99431230000000004</v>
      </c>
      <c r="AB5953">
        <v>33</v>
      </c>
      <c r="AC5953">
        <v>-3.1011000000000002</v>
      </c>
      <c r="AD5953">
        <v>-1.1175897431640001</v>
      </c>
      <c r="AE5953">
        <v>15.711970000000001</v>
      </c>
      <c r="AF5953">
        <v>1.5205787605716901</v>
      </c>
      <c r="AG5953">
        <v>-1.1175897431640001</v>
      </c>
      <c r="AH5953">
        <v>15.8647653100225</v>
      </c>
      <c r="AI5953">
        <v>94.011209367564703</v>
      </c>
      <c r="AJ5953">
        <v>84.525136680914599</v>
      </c>
      <c r="AK5953">
        <v>15.976606177258599</v>
      </c>
      <c r="AL5953">
        <v>82.0436291772982</v>
      </c>
      <c r="AM5953">
        <v>84.805310148267694</v>
      </c>
      <c r="AN5953">
        <v>1.0000000109023199</v>
      </c>
    </row>
    <row r="5954" spans="1:40" x14ac:dyDescent="0.25">
      <c r="A5954" t="str">
        <f>"20190303171129758"</f>
        <v>20190303171129758</v>
      </c>
      <c r="B5954" t="str">
        <f>"1551604289746819"</f>
        <v>1551604289746819</v>
      </c>
      <c r="C5954" t="s">
        <v>40</v>
      </c>
      <c r="D5954">
        <v>5.277609</v>
      </c>
      <c r="E5954">
        <v>0.50647929999999997</v>
      </c>
      <c r="F5954" t="s">
        <v>42</v>
      </c>
      <c r="G5954">
        <v>-190.81720000000001</v>
      </c>
      <c r="H5954" s="1">
        <v>-1.8416259999999999E-6</v>
      </c>
      <c r="I5954">
        <v>-16.624829999999999</v>
      </c>
      <c r="J5954">
        <v>-187.8638</v>
      </c>
      <c r="K5954">
        <v>1.116986</v>
      </c>
      <c r="L5954">
        <v>-32.2179</v>
      </c>
      <c r="M5954">
        <v>-0.2801498</v>
      </c>
      <c r="N5954">
        <v>-1.425269E-2</v>
      </c>
      <c r="O5954">
        <v>0.95985050000000005</v>
      </c>
      <c r="P5954">
        <v>-0.194218</v>
      </c>
      <c r="Q5954">
        <v>0.1237154</v>
      </c>
      <c r="R5954">
        <v>0.97312580000000004</v>
      </c>
      <c r="S5954">
        <v>-0.57398990000000005</v>
      </c>
      <c r="T5954">
        <v>-0.20968719999999999</v>
      </c>
      <c r="U5954">
        <v>2.9958800000000001</v>
      </c>
      <c r="V5954">
        <v>8.7509169999999997E-2</v>
      </c>
      <c r="W5954">
        <v>0.13697139999999999</v>
      </c>
      <c r="X5954">
        <v>0.98670210000000003</v>
      </c>
      <c r="Y5954">
        <v>9.4737340000000003E-2</v>
      </c>
      <c r="Z5954">
        <v>-5.1079050000000001E-2</v>
      </c>
      <c r="AA5954">
        <v>0.99419100000000005</v>
      </c>
      <c r="AB5954">
        <v>33</v>
      </c>
      <c r="AC5954">
        <v>-2.95340000000001</v>
      </c>
      <c r="AD5954">
        <v>-1.116987841626</v>
      </c>
      <c r="AE5954">
        <v>15.593070000000001</v>
      </c>
      <c r="AF5954">
        <v>1.5261686104438601</v>
      </c>
      <c r="AG5954">
        <v>-1.116987841626</v>
      </c>
      <c r="AH5954">
        <v>15.718152215420799</v>
      </c>
      <c r="AI5954">
        <v>94.045845766106495</v>
      </c>
      <c r="AJ5954">
        <v>84.454197298354302</v>
      </c>
      <c r="AK5954">
        <v>15.831524295941399</v>
      </c>
      <c r="AL5954">
        <v>82.127368323252099</v>
      </c>
      <c r="AM5954">
        <v>84.931781421458496</v>
      </c>
      <c r="AN5954">
        <v>1.0000000266982201</v>
      </c>
    </row>
    <row r="5955" spans="1:40" x14ac:dyDescent="0.25">
      <c r="A5955" t="str">
        <f>"20190303171129797"</f>
        <v>20190303171129797</v>
      </c>
      <c r="B5955" t="str">
        <f>"1551604289786835"</f>
        <v>1551604289786835</v>
      </c>
      <c r="C5955" t="s">
        <v>40</v>
      </c>
      <c r="D5955">
        <v>5.2204179999999996</v>
      </c>
      <c r="E5955">
        <v>0.5100673</v>
      </c>
      <c r="F5955" t="s">
        <v>43</v>
      </c>
      <c r="G5955">
        <v>-188.0489</v>
      </c>
      <c r="H5955">
        <v>1.0460290000000001</v>
      </c>
      <c r="I5955">
        <v>-31.21237</v>
      </c>
      <c r="J5955">
        <v>-188.01740000000001</v>
      </c>
      <c r="K5955">
        <v>1.1164179999999999</v>
      </c>
      <c r="L5955">
        <v>-31.654050000000002</v>
      </c>
      <c r="M5955">
        <v>-0.27039920000000001</v>
      </c>
      <c r="N5955">
        <v>-1.419335E-2</v>
      </c>
      <c r="O5955">
        <v>0.96264369999999999</v>
      </c>
      <c r="P5955">
        <v>-0.1846671</v>
      </c>
      <c r="Q5955">
        <v>0.12451959999999999</v>
      </c>
      <c r="R5955">
        <v>0.974881</v>
      </c>
      <c r="S5955">
        <v>-0.55223080000000002</v>
      </c>
      <c r="T5955">
        <v>-0.2116277</v>
      </c>
      <c r="U5955">
        <v>2.9995419999999999</v>
      </c>
      <c r="V5955">
        <v>8.7348099999999998E-2</v>
      </c>
      <c r="W5955">
        <v>0.13759579999999999</v>
      </c>
      <c r="X5955">
        <v>0.98662950000000005</v>
      </c>
      <c r="Y5955">
        <v>9.1838810000000007E-2</v>
      </c>
      <c r="Z5955">
        <v>-5.1969250000000002E-2</v>
      </c>
      <c r="AA5955">
        <v>0.99441679999999999</v>
      </c>
      <c r="AB5955">
        <v>33</v>
      </c>
      <c r="AC5955">
        <v>-3.1499999999993998E-2</v>
      </c>
      <c r="AD5955">
        <v>-7.0388999999999993E-2</v>
      </c>
      <c r="AE5955">
        <v>0.44168000000000102</v>
      </c>
      <c r="AF5955">
        <v>8.6919239688609207E-2</v>
      </c>
      <c r="AG5955">
        <v>-7.0388999999999993E-2</v>
      </c>
      <c r="AH5955">
        <v>0.423051563460841</v>
      </c>
      <c r="AI5955">
        <v>99.256656740641802</v>
      </c>
      <c r="AJ5955">
        <v>78.389704392602894</v>
      </c>
      <c r="AK5955">
        <v>0.437586780988306</v>
      </c>
      <c r="AL5955">
        <v>82.091250917260297</v>
      </c>
      <c r="AM5955">
        <v>84.940691243594202</v>
      </c>
      <c r="AN5955">
        <v>1.0000000325107401</v>
      </c>
    </row>
    <row r="5956" spans="1:40" x14ac:dyDescent="0.25">
      <c r="A5956" t="str">
        <f>"20190303171129819"</f>
        <v>20190303171129819</v>
      </c>
      <c r="B5956" t="str">
        <f>"1551604289806355"</f>
        <v>1551604289806355</v>
      </c>
      <c r="C5956" t="s">
        <v>40</v>
      </c>
      <c r="D5956">
        <v>5.3953389999999999</v>
      </c>
      <c r="E5956">
        <v>0.51040169999999996</v>
      </c>
      <c r="F5956" t="s">
        <v>43</v>
      </c>
      <c r="G5956">
        <v>-188.18520000000001</v>
      </c>
      <c r="H5956">
        <v>1.045485</v>
      </c>
      <c r="I5956">
        <v>-30.63327</v>
      </c>
      <c r="J5956">
        <v>-188.10310000000001</v>
      </c>
      <c r="K5956">
        <v>1.116228</v>
      </c>
      <c r="L5956">
        <v>-31.328189999999999</v>
      </c>
      <c r="M5956">
        <v>-0.26466299999999998</v>
      </c>
      <c r="N5956">
        <v>-1.4164700000000001E-2</v>
      </c>
      <c r="O5956">
        <v>0.96423689999999995</v>
      </c>
      <c r="P5956">
        <v>-0.17949709999999999</v>
      </c>
      <c r="Q5956">
        <v>0.12395299999999999</v>
      </c>
      <c r="R5956">
        <v>0.97591819999999896</v>
      </c>
      <c r="S5956">
        <v>-0.49499510000000002</v>
      </c>
      <c r="T5956">
        <v>-0.2091326</v>
      </c>
      <c r="U5956">
        <v>3.0102540000000002</v>
      </c>
      <c r="V5956">
        <v>8.6783159999999998E-2</v>
      </c>
      <c r="W5956">
        <v>0.1369667</v>
      </c>
      <c r="X5956">
        <v>0.9867669</v>
      </c>
      <c r="Y5956">
        <v>0.1048687</v>
      </c>
      <c r="Z5956">
        <v>-5.1173549999999998E-2</v>
      </c>
      <c r="AA5956">
        <v>0.99316859999999996</v>
      </c>
      <c r="AB5956">
        <v>33</v>
      </c>
      <c r="AC5956">
        <v>-8.2099999999996898E-2</v>
      </c>
      <c r="AD5956">
        <v>-7.0743E-2</v>
      </c>
      <c r="AE5956">
        <v>0.69492000000000298</v>
      </c>
      <c r="AF5956">
        <v>0.103706332622281</v>
      </c>
      <c r="AG5956">
        <v>-7.0743E-2</v>
      </c>
      <c r="AH5956">
        <v>0.68486601149020798</v>
      </c>
      <c r="AI5956">
        <v>95.831420813563298</v>
      </c>
      <c r="AJ5956">
        <v>81.389360633477196</v>
      </c>
      <c r="AK5956">
        <v>0.696276546473791</v>
      </c>
      <c r="AL5956">
        <v>82.127640394608207</v>
      </c>
      <c r="AM5956">
        <v>84.973941418415095</v>
      </c>
      <c r="AN5956">
        <v>1.00000005435204</v>
      </c>
    </row>
    <row r="5957" spans="1:40" x14ac:dyDescent="0.25">
      <c r="A5957" t="str">
        <f>"20190303171129840"</f>
        <v>20190303171129840</v>
      </c>
      <c r="B5957" t="str">
        <f>"1551604289826851"</f>
        <v>1551604289826851</v>
      </c>
      <c r="C5957" t="s">
        <v>40</v>
      </c>
      <c r="D5957">
        <v>5.2703989999999896</v>
      </c>
      <c r="E5957">
        <v>0.50971759999999999</v>
      </c>
      <c r="F5957" t="s">
        <v>43</v>
      </c>
      <c r="G5957">
        <v>-188.25839999999999</v>
      </c>
      <c r="H5957">
        <v>1.047677</v>
      </c>
      <c r="I5957">
        <v>-30.343889999999998</v>
      </c>
      <c r="J5957">
        <v>-188.18219999999999</v>
      </c>
      <c r="K5957">
        <v>1.116088</v>
      </c>
      <c r="L5957">
        <v>-31.019680000000001</v>
      </c>
      <c r="M5957">
        <v>-0.25921840000000002</v>
      </c>
      <c r="N5957">
        <v>-1.4141539999999999E-2</v>
      </c>
      <c r="O5957">
        <v>0.9657152</v>
      </c>
      <c r="P5957">
        <v>-0.1759609</v>
      </c>
      <c r="Q5957">
        <v>0.1248616</v>
      </c>
      <c r="R5957">
        <v>0.97644629999999999</v>
      </c>
      <c r="S5957">
        <v>-0.47570800000000002</v>
      </c>
      <c r="T5957">
        <v>-0.20975460000000001</v>
      </c>
      <c r="U5957">
        <v>3.0131839999999999</v>
      </c>
      <c r="V5957">
        <v>8.4812680000000001E-2</v>
      </c>
      <c r="W5957">
        <v>0.137847</v>
      </c>
      <c r="X5957">
        <v>0.98681560000000001</v>
      </c>
      <c r="Y5957">
        <v>0.1056101</v>
      </c>
      <c r="Z5957">
        <v>-5.1488630000000001E-2</v>
      </c>
      <c r="AA5957">
        <v>0.99307369999999995</v>
      </c>
      <c r="AB5957">
        <v>33</v>
      </c>
      <c r="AC5957">
        <v>-7.6200000000000004E-2</v>
      </c>
      <c r="AD5957">
        <v>-6.8411E-2</v>
      </c>
      <c r="AE5957">
        <v>0.67578999999999501</v>
      </c>
      <c r="AF5957">
        <v>0.100582064415549</v>
      </c>
      <c r="AG5957">
        <v>-6.8411E-2</v>
      </c>
      <c r="AH5957">
        <v>0.66570403608205297</v>
      </c>
      <c r="AI5957">
        <v>95.802002562113202</v>
      </c>
      <c r="AJ5957">
        <v>81.408095218208601</v>
      </c>
      <c r="AK5957">
        <v>0.67672644418481898</v>
      </c>
      <c r="AL5957">
        <v>82.076719549069296</v>
      </c>
      <c r="AM5957">
        <v>85.087738387160698</v>
      </c>
      <c r="AN5957">
        <v>1.0000000072505699</v>
      </c>
    </row>
    <row r="5958" spans="1:40" x14ac:dyDescent="0.25">
      <c r="A5958" t="str">
        <f>"20190303171129863"</f>
        <v>20190303171129863</v>
      </c>
      <c r="B5958" t="str">
        <f>"1551604289856131"</f>
        <v>1551604289856131</v>
      </c>
      <c r="C5958" t="s">
        <v>40</v>
      </c>
      <c r="D5958">
        <v>5.1120799999999997</v>
      </c>
      <c r="E5958">
        <v>0.54008449999999997</v>
      </c>
      <c r="F5958" t="s">
        <v>42</v>
      </c>
      <c r="G5958">
        <v>-190.7148</v>
      </c>
      <c r="H5958" s="1">
        <v>-2.6234160000000002E-6</v>
      </c>
      <c r="I5958">
        <v>-14.7389799999999</v>
      </c>
      <c r="J5958">
        <v>-188.26329999999999</v>
      </c>
      <c r="K5958">
        <v>1.1159870000000001</v>
      </c>
      <c r="L5958">
        <v>-30.69528</v>
      </c>
      <c r="M5958">
        <v>-0.25350070000000002</v>
      </c>
      <c r="N5958">
        <v>-1.41212E-2</v>
      </c>
      <c r="O5958">
        <v>0.96723210000000004</v>
      </c>
      <c r="P5958">
        <v>-0.17138410000000001</v>
      </c>
      <c r="Q5958">
        <v>0.1276892</v>
      </c>
      <c r="R5958">
        <v>0.97689459999999995</v>
      </c>
      <c r="S5958">
        <v>-0.4689026</v>
      </c>
      <c r="T5958">
        <v>-0.20663799999999999</v>
      </c>
      <c r="U5958">
        <v>3.0142820000000001</v>
      </c>
      <c r="V5958">
        <v>8.3571779999999998E-2</v>
      </c>
      <c r="W5958">
        <v>0.14064479999999999</v>
      </c>
      <c r="X5958">
        <v>0.98652660000000003</v>
      </c>
      <c r="Y5958">
        <v>0.1019668</v>
      </c>
      <c r="Z5958">
        <v>-5.0684659999999999E-2</v>
      </c>
      <c r="AA5958">
        <v>0.99349580000000004</v>
      </c>
      <c r="AB5958">
        <v>33</v>
      </c>
      <c r="AC5958">
        <v>-2.45150000000001</v>
      </c>
      <c r="AD5958">
        <v>-1.1159896234160001</v>
      </c>
      <c r="AE5958">
        <v>15.956300000000001</v>
      </c>
      <c r="AF5958">
        <v>1.6659692540647</v>
      </c>
      <c r="AG5958">
        <v>-1.1159896234160001</v>
      </c>
      <c r="AH5958">
        <v>15.980137196876701</v>
      </c>
      <c r="AI5958">
        <v>93.973360350803205</v>
      </c>
      <c r="AJ5958">
        <v>84.048271887660405</v>
      </c>
      <c r="AK5958">
        <v>16.105454704107601</v>
      </c>
      <c r="AL5958">
        <v>81.914839982721702</v>
      </c>
      <c r="AM5958">
        <v>85.157854637057298</v>
      </c>
      <c r="AN5958">
        <v>0.99999996734348295</v>
      </c>
    </row>
    <row r="5959" spans="1:40" x14ac:dyDescent="0.25">
      <c r="A5959" t="str">
        <f>"20190303171129885"</f>
        <v>20190303171129885</v>
      </c>
      <c r="B5959" t="str">
        <f>"1551604289876327"</f>
        <v>1551604289876327</v>
      </c>
      <c r="C5959" t="s">
        <v>40</v>
      </c>
      <c r="D5959">
        <v>5.1387510000000001</v>
      </c>
      <c r="E5959">
        <v>0.54588959999999997</v>
      </c>
      <c r="F5959" t="s">
        <v>42</v>
      </c>
      <c r="G5959">
        <v>-189.54730000000001</v>
      </c>
      <c r="H5959" s="1">
        <v>-3.3525530000000001E-6</v>
      </c>
      <c r="I5959">
        <v>-12.739520000000001</v>
      </c>
      <c r="J5959">
        <v>-188.34100000000001</v>
      </c>
      <c r="K5959">
        <v>1.1159190000000001</v>
      </c>
      <c r="L5959">
        <v>-30.376560000000001</v>
      </c>
      <c r="M5959">
        <v>-0.24789820000000001</v>
      </c>
      <c r="N5959">
        <v>-1.410493E-2</v>
      </c>
      <c r="O5959">
        <v>0.96868339999999997</v>
      </c>
      <c r="P5959">
        <v>-0.16542499999999999</v>
      </c>
      <c r="Q5959">
        <v>0.1312797</v>
      </c>
      <c r="R5959">
        <v>0.97744580000000003</v>
      </c>
      <c r="S5959">
        <v>-0.21862789999999999</v>
      </c>
      <c r="T5959">
        <v>-0.19002630000000001</v>
      </c>
      <c r="U5959">
        <v>3.0574340000000002</v>
      </c>
      <c r="V5959">
        <v>8.3827670000000007E-2</v>
      </c>
      <c r="W5959">
        <v>0.14419409999999999</v>
      </c>
      <c r="X5959">
        <v>0.98599239999999999</v>
      </c>
      <c r="Y5959">
        <v>0.17816599999999999</v>
      </c>
      <c r="Z5959">
        <v>-4.460977E-2</v>
      </c>
      <c r="AA5959">
        <v>0.98298869999999905</v>
      </c>
      <c r="AB5959">
        <v>33</v>
      </c>
      <c r="AC5959">
        <v>-1.2063000000000199</v>
      </c>
      <c r="AD5959">
        <v>-1.115922352553</v>
      </c>
      <c r="AE5959">
        <v>17.637039999999999</v>
      </c>
      <c r="AF5959">
        <v>3.1912703408121699</v>
      </c>
      <c r="AG5959">
        <v>-1.115922352553</v>
      </c>
      <c r="AH5959">
        <v>17.316476985914701</v>
      </c>
      <c r="AI5959">
        <v>93.626303116020495</v>
      </c>
      <c r="AJ5959">
        <v>79.558066898202597</v>
      </c>
      <c r="AK5959">
        <v>17.6434085224139</v>
      </c>
      <c r="AL5959">
        <v>81.709386025717706</v>
      </c>
      <c r="AM5959">
        <v>85.140480378983099</v>
      </c>
      <c r="AN5959">
        <v>1.00000001479509</v>
      </c>
    </row>
    <row r="5960" spans="1:40" x14ac:dyDescent="0.25">
      <c r="A5960" t="str">
        <f>"20190303171129907"</f>
        <v>20190303171129907</v>
      </c>
      <c r="B5960" t="str">
        <f>"1551604289896800"</f>
        <v>1551604289896800</v>
      </c>
      <c r="C5960" t="s">
        <v>40</v>
      </c>
      <c r="D5960">
        <v>5.1281559999999997</v>
      </c>
      <c r="E5960">
        <v>0.54829719999999904</v>
      </c>
      <c r="F5960" t="s">
        <v>42</v>
      </c>
      <c r="G5960">
        <v>-189.50720000000001</v>
      </c>
      <c r="H5960" s="1">
        <v>-1.3061310000000001E-6</v>
      </c>
      <c r="I5960">
        <v>-7.5263609999999996</v>
      </c>
      <c r="J5960">
        <v>-188.416</v>
      </c>
      <c r="K5960">
        <v>1.115877</v>
      </c>
      <c r="L5960">
        <v>-30.06119</v>
      </c>
      <c r="M5960">
        <v>-0.2423708</v>
      </c>
      <c r="N5960">
        <v>-1.409198E-2</v>
      </c>
      <c r="O5960">
        <v>0.97008130000000004</v>
      </c>
      <c r="P5960">
        <v>-0.16064489999999901</v>
      </c>
      <c r="Q5960">
        <v>0.13056029999999999</v>
      </c>
      <c r="R5960">
        <v>0.97833899999999996</v>
      </c>
      <c r="S5960">
        <v>-0.15631099999999901</v>
      </c>
      <c r="T5960">
        <v>-0.1495793</v>
      </c>
      <c r="U5960">
        <v>3.0628660000000001</v>
      </c>
      <c r="V5960">
        <v>8.3056699999999997E-2</v>
      </c>
      <c r="W5960">
        <v>0.1434636</v>
      </c>
      <c r="X5960">
        <v>0.98616420000000005</v>
      </c>
      <c r="Y5960">
        <v>0.19256989999999999</v>
      </c>
      <c r="Z5960">
        <v>-3.2123409999999998E-2</v>
      </c>
      <c r="AA5960">
        <v>0.98075730000000005</v>
      </c>
      <c r="AB5960">
        <v>33</v>
      </c>
      <c r="AC5960">
        <v>-1.0912000000000099</v>
      </c>
      <c r="AD5960">
        <v>-1.115878306131</v>
      </c>
      <c r="AE5960">
        <v>22.534828999999998</v>
      </c>
      <c r="AF5960">
        <v>4.3929229059496304</v>
      </c>
      <c r="AG5960">
        <v>-1.115878306131</v>
      </c>
      <c r="AH5960">
        <v>22.073291634590898</v>
      </c>
      <c r="AI5960">
        <v>92.838456583895393</v>
      </c>
      <c r="AJ5960">
        <v>78.744326598460404</v>
      </c>
      <c r="AK5960">
        <v>22.533822570469699</v>
      </c>
      <c r="AL5960">
        <v>81.751680426784205</v>
      </c>
      <c r="AM5960">
        <v>85.1857975683224</v>
      </c>
      <c r="AN5960">
        <v>1.0000000246507399</v>
      </c>
    </row>
    <row r="5961" spans="1:40" x14ac:dyDescent="0.25">
      <c r="A5961" t="str">
        <f>"20190303171129930"</f>
        <v>20190303171129930</v>
      </c>
      <c r="B5961" t="str">
        <f>"1551604289917296"</f>
        <v>1551604289917296</v>
      </c>
      <c r="C5961" t="s">
        <v>40</v>
      </c>
      <c r="D5961">
        <v>5.1050309999999897</v>
      </c>
      <c r="E5961">
        <v>0.54975790000000002</v>
      </c>
      <c r="F5961" t="s">
        <v>42</v>
      </c>
      <c r="G5961">
        <v>-189.4126</v>
      </c>
      <c r="H5961" s="1">
        <v>-2.4464439999999999E-6</v>
      </c>
      <c r="I5961">
        <v>-4.9073929999999999</v>
      </c>
      <c r="J5961">
        <v>-188.4898</v>
      </c>
      <c r="K5961">
        <v>1.115847</v>
      </c>
      <c r="L5961">
        <v>-29.74258</v>
      </c>
      <c r="M5961">
        <v>-0.2367976</v>
      </c>
      <c r="N5961">
        <v>-1.408148E-2</v>
      </c>
      <c r="O5961">
        <v>0.97145689999999996</v>
      </c>
      <c r="P5961">
        <v>-0.1562703</v>
      </c>
      <c r="Q5961">
        <v>0.1289805</v>
      </c>
      <c r="R5961">
        <v>0.97925669999999998</v>
      </c>
      <c r="S5961">
        <v>-0.1214142</v>
      </c>
      <c r="T5961">
        <v>-0.1359543</v>
      </c>
      <c r="U5961">
        <v>3.0646360000000001</v>
      </c>
      <c r="V5961">
        <v>8.1843830000000006E-2</v>
      </c>
      <c r="W5961">
        <v>0.14188539999999999</v>
      </c>
      <c r="X5961">
        <v>0.98649390000000003</v>
      </c>
      <c r="Y5961">
        <v>0.19810610000000001</v>
      </c>
      <c r="Z5961">
        <v>-2.7970499999999999E-2</v>
      </c>
      <c r="AA5961">
        <v>0.97978140000000002</v>
      </c>
      <c r="AB5961">
        <v>33</v>
      </c>
      <c r="AC5961">
        <v>-0.92279999999999496</v>
      </c>
      <c r="AD5961">
        <v>-1.1158494464440001</v>
      </c>
      <c r="AE5961">
        <v>24.835187000000001</v>
      </c>
      <c r="AF5961">
        <v>4.9749176264697796</v>
      </c>
      <c r="AG5961">
        <v>-1.1158494464440001</v>
      </c>
      <c r="AH5961">
        <v>24.298262033823899</v>
      </c>
      <c r="AI5961">
        <v>92.575983496728298</v>
      </c>
      <c r="AJ5961">
        <v>78.428963632416895</v>
      </c>
      <c r="AK5961">
        <v>24.8274135431313</v>
      </c>
      <c r="AL5961">
        <v>81.843039449022697</v>
      </c>
      <c r="AM5961">
        <v>85.257354058582393</v>
      </c>
      <c r="AN5961">
        <v>1.0000000469897099</v>
      </c>
    </row>
    <row r="5962" spans="1:40" x14ac:dyDescent="0.25">
      <c r="A5962" t="str">
        <f>"20190303171129955"</f>
        <v>20190303171129955</v>
      </c>
      <c r="B5962" t="str">
        <f>"1551604289946576"</f>
        <v>1551604289946576</v>
      </c>
      <c r="C5962" t="s">
        <v>40</v>
      </c>
      <c r="D5962">
        <v>5.1293800000000003</v>
      </c>
      <c r="E5962">
        <v>0.55076689999999995</v>
      </c>
      <c r="F5962" t="s">
        <v>42</v>
      </c>
      <c r="G5962">
        <v>-189.28960000000001</v>
      </c>
      <c r="H5962" s="1">
        <v>-2.9331150000000001E-6</v>
      </c>
      <c r="I5962">
        <v>-3.8237830000000002</v>
      </c>
      <c r="J5962">
        <v>-188.5736</v>
      </c>
      <c r="K5962">
        <v>1.1158159999999999</v>
      </c>
      <c r="L5962">
        <v>-29.370609999999999</v>
      </c>
      <c r="M5962">
        <v>-0.23029910000000001</v>
      </c>
      <c r="N5962">
        <v>-1.4071760000000001E-2</v>
      </c>
      <c r="O5962">
        <v>0.97301819999999895</v>
      </c>
      <c r="P5962">
        <v>-0.14812990000000001</v>
      </c>
      <c r="Q5962">
        <v>0.12969810000000001</v>
      </c>
      <c r="R5962">
        <v>0.98042640000000003</v>
      </c>
      <c r="S5962">
        <v>-9.4604489999999999E-2</v>
      </c>
      <c r="T5962">
        <v>-0.1319892</v>
      </c>
      <c r="U5962">
        <v>3.0658259999999999</v>
      </c>
      <c r="V5962">
        <v>8.3444980000000002E-2</v>
      </c>
      <c r="W5962">
        <v>0.14256460000000001</v>
      </c>
      <c r="X5962">
        <v>0.98626179999999997</v>
      </c>
      <c r="Y5962">
        <v>0.20012650000000001</v>
      </c>
      <c r="Z5962">
        <v>-2.6822869999999999E-2</v>
      </c>
      <c r="AA5962">
        <v>0.97940280000000002</v>
      </c>
      <c r="AB5962">
        <v>33</v>
      </c>
      <c r="AC5962">
        <v>-0.71600000000000796</v>
      </c>
      <c r="AD5962">
        <v>-1.1158189331149999</v>
      </c>
      <c r="AE5962">
        <v>25.546827</v>
      </c>
      <c r="AF5962">
        <v>5.1773743531873402</v>
      </c>
      <c r="AG5962">
        <v>-1.1158189331149999</v>
      </c>
      <c r="AH5962">
        <v>24.9772860567065</v>
      </c>
      <c r="AI5962">
        <v>92.504719990587404</v>
      </c>
      <c r="AJ5962">
        <v>78.289382855826503</v>
      </c>
      <c r="AK5962">
        <v>25.532627672119599</v>
      </c>
      <c r="AL5962">
        <v>81.803724387544406</v>
      </c>
      <c r="AM5962">
        <v>85.163874629686703</v>
      </c>
      <c r="AN5962">
        <v>1.0000000339997901</v>
      </c>
    </row>
    <row r="5963" spans="1:40" x14ac:dyDescent="0.25">
      <c r="A5963" t="str">
        <f>"20190303171129997"</f>
        <v>20190303171129997</v>
      </c>
      <c r="B5963" t="str">
        <f>"1551604289985930"</f>
        <v>1551604289985930</v>
      </c>
      <c r="C5963" t="s">
        <v>40</v>
      </c>
      <c r="D5963">
        <v>5.1223789999999996</v>
      </c>
      <c r="E5963">
        <v>0.55070810000000003</v>
      </c>
      <c r="F5963" t="s">
        <v>42</v>
      </c>
      <c r="G5963">
        <v>-189.13</v>
      </c>
      <c r="H5963" s="1">
        <v>-3.821285E-6</v>
      </c>
      <c r="I5963">
        <v>-1.819442</v>
      </c>
      <c r="J5963">
        <v>-188.7022</v>
      </c>
      <c r="K5963">
        <v>1.115823</v>
      </c>
      <c r="L5963">
        <v>-28.774439999999998</v>
      </c>
      <c r="M5963">
        <v>-0.21988920000000001</v>
      </c>
      <c r="N5963">
        <v>-1.406106E-2</v>
      </c>
      <c r="O5963">
        <v>0.9754235</v>
      </c>
      <c r="P5963">
        <v>-0.13487080000000001</v>
      </c>
      <c r="Q5963">
        <v>0.1354592</v>
      </c>
      <c r="R5963">
        <v>0.98156030000000005</v>
      </c>
      <c r="S5963">
        <v>-6.1935419999999998E-2</v>
      </c>
      <c r="T5963">
        <v>-0.1242114</v>
      </c>
      <c r="U5963">
        <v>3.0669559999999998</v>
      </c>
      <c r="V5963">
        <v>8.614368E-2</v>
      </c>
      <c r="W5963">
        <v>0.14826349999999999</v>
      </c>
      <c r="X5963">
        <v>0.98518890000000003</v>
      </c>
      <c r="Y5963">
        <v>0.200097</v>
      </c>
      <c r="Z5963">
        <v>-2.4547329999999999E-2</v>
      </c>
      <c r="AA5963">
        <v>0.97946849999999996</v>
      </c>
      <c r="AB5963">
        <v>33</v>
      </c>
      <c r="AC5963">
        <v>-0.42779999999999002</v>
      </c>
      <c r="AD5963">
        <v>-1.115826821285</v>
      </c>
      <c r="AE5963">
        <v>26.954998</v>
      </c>
      <c r="AF5963">
        <v>5.5009474277793</v>
      </c>
      <c r="AG5963">
        <v>-1.115826821285</v>
      </c>
      <c r="AH5963">
        <v>26.344083832306001</v>
      </c>
      <c r="AI5963">
        <v>92.374215593344601</v>
      </c>
      <c r="AJ5963">
        <v>78.205456770349599</v>
      </c>
      <c r="AK5963">
        <v>26.935408759880701</v>
      </c>
      <c r="AL5963">
        <v>81.473692629731701</v>
      </c>
      <c r="AM5963">
        <v>85.002838465266095</v>
      </c>
      <c r="AN5963">
        <v>0.99999998385970101</v>
      </c>
    </row>
    <row r="5964" spans="1:40" x14ac:dyDescent="0.25">
      <c r="A5964" t="str">
        <f>"20190303171130019"</f>
        <v>20190303171130019</v>
      </c>
      <c r="B5964" t="str">
        <f>"1551604290006426"</f>
        <v>1551604290006426</v>
      </c>
      <c r="C5964" t="s">
        <v>40</v>
      </c>
      <c r="D5964">
        <v>5.12927</v>
      </c>
      <c r="E5964">
        <v>0.55047789999999996</v>
      </c>
      <c r="F5964" t="s">
        <v>42</v>
      </c>
      <c r="G5964">
        <v>-188.9512</v>
      </c>
      <c r="H5964" s="1">
        <v>-2.3613370000000001E-6</v>
      </c>
      <c r="I5964">
        <v>4.7034469999999997</v>
      </c>
      <c r="J5964">
        <v>-188.76759999999999</v>
      </c>
      <c r="K5964">
        <v>1.1158349999999999</v>
      </c>
      <c r="L5964">
        <v>-28.458220000000001</v>
      </c>
      <c r="M5964">
        <v>-0.2143649</v>
      </c>
      <c r="N5964">
        <v>-1.4056920000000001E-2</v>
      </c>
      <c r="O5964">
        <v>0.97665250000000003</v>
      </c>
      <c r="P5964">
        <v>-0.1308291</v>
      </c>
      <c r="Q5964">
        <v>0.13641099999999901</v>
      </c>
      <c r="R5964">
        <v>0.98197540000000005</v>
      </c>
      <c r="S5964">
        <v>-2.2811890000000001E-2</v>
      </c>
      <c r="T5964">
        <v>-0.10223450000000001</v>
      </c>
      <c r="U5964">
        <v>3.0673219999999999</v>
      </c>
      <c r="V5964">
        <v>8.4604390000000002E-2</v>
      </c>
      <c r="W5964">
        <v>0.14922959999999999</v>
      </c>
      <c r="X5964">
        <v>0.98517639999999995</v>
      </c>
      <c r="Y5964">
        <v>0.20704649999999999</v>
      </c>
      <c r="Z5964">
        <v>-1.7748119999999999E-2</v>
      </c>
      <c r="AA5964">
        <v>0.97817010000000004</v>
      </c>
      <c r="AB5964">
        <v>33</v>
      </c>
      <c r="AC5964">
        <v>-0.183600000000012</v>
      </c>
      <c r="AD5964">
        <v>-1.1158373613370001</v>
      </c>
      <c r="AE5964">
        <v>33.161667000000001</v>
      </c>
      <c r="AF5964">
        <v>6.9222314826540403</v>
      </c>
      <c r="AG5964">
        <v>-1.1158373613370001</v>
      </c>
      <c r="AH5964">
        <v>32.393311270718897</v>
      </c>
      <c r="AI5964">
        <v>91.929335485735294</v>
      </c>
      <c r="AJ5964">
        <v>77.937703077146494</v>
      </c>
      <c r="AK5964">
        <v>33.143460845211798</v>
      </c>
      <c r="AL5964">
        <v>81.417716232709907</v>
      </c>
      <c r="AM5964">
        <v>85.091629948305297</v>
      </c>
      <c r="AN5964">
        <v>0.99999995772019501</v>
      </c>
    </row>
    <row r="5965" spans="1:40" x14ac:dyDescent="0.25">
      <c r="A5965" t="str">
        <f>"20190303171130042"</f>
        <v>20190303171130042</v>
      </c>
      <c r="B5965" t="str">
        <f>"1551604290036682"</f>
        <v>1551604290036682</v>
      </c>
      <c r="C5965" t="s">
        <v>40</v>
      </c>
      <c r="D5965">
        <v>5.1555479999999996</v>
      </c>
      <c r="E5965">
        <v>0.54974409999999996</v>
      </c>
      <c r="F5965" t="s">
        <v>42</v>
      </c>
      <c r="G5965">
        <v>-188.8878</v>
      </c>
      <c r="H5965" s="1">
        <v>-3.3229969999999999E-6</v>
      </c>
      <c r="I5965">
        <v>6.9189080000000001</v>
      </c>
      <c r="J5965">
        <v>-188.83580000000001</v>
      </c>
      <c r="K5965">
        <v>1.1158429999999999</v>
      </c>
      <c r="L5965">
        <v>-28.118469999999999</v>
      </c>
      <c r="M5965">
        <v>-0.20842730000000001</v>
      </c>
      <c r="N5965">
        <v>-1.405321E-2</v>
      </c>
      <c r="O5965">
        <v>0.9779369</v>
      </c>
      <c r="P5965">
        <v>-0.12673599999999999</v>
      </c>
      <c r="Q5965">
        <v>0.138406</v>
      </c>
      <c r="R5965">
        <v>0.98223300000000002</v>
      </c>
      <c r="S5965">
        <v>-1.042175E-2</v>
      </c>
      <c r="T5965">
        <v>-9.6740370000000006E-2</v>
      </c>
      <c r="U5965">
        <v>3.0671080000000002</v>
      </c>
      <c r="V5965">
        <v>8.2686419999999997E-2</v>
      </c>
      <c r="W5965">
        <v>0.15124360000000001</v>
      </c>
      <c r="X5965">
        <v>0.98503209999999997</v>
      </c>
      <c r="Y5965">
        <v>0.2050565</v>
      </c>
      <c r="Z5965">
        <v>-1.610783E-2</v>
      </c>
      <c r="AA5965">
        <v>0.97861759999999998</v>
      </c>
      <c r="AB5965">
        <v>33</v>
      </c>
      <c r="AC5965">
        <v>-5.1999999999992497E-2</v>
      </c>
      <c r="AD5965">
        <v>-1.1158463229969999</v>
      </c>
      <c r="AE5965">
        <v>35.037377999999997</v>
      </c>
      <c r="AF5965">
        <v>7.2452610363963998</v>
      </c>
      <c r="AG5965">
        <v>-1.1158463229969999</v>
      </c>
      <c r="AH5965">
        <v>34.243836102918202</v>
      </c>
      <c r="AI5965">
        <v>91.825946888121806</v>
      </c>
      <c r="AJ5965">
        <v>78.053624554768007</v>
      </c>
      <c r="AK5965">
        <v>35.019697764909303</v>
      </c>
      <c r="AL5965">
        <v>81.300997730255304</v>
      </c>
      <c r="AM5965">
        <v>85.201677126432301</v>
      </c>
      <c r="AN5965">
        <v>0.99999995431189204</v>
      </c>
    </row>
    <row r="5966" spans="1:40" x14ac:dyDescent="0.25">
      <c r="A5966" t="str">
        <f>"20190303171130064"</f>
        <v>20190303171130064</v>
      </c>
      <c r="B5966" t="str">
        <f>"1551604290056202"</f>
        <v>1551604290056202</v>
      </c>
      <c r="C5966" t="s">
        <v>40</v>
      </c>
      <c r="D5966">
        <v>5.1586540000000003</v>
      </c>
      <c r="E5966">
        <v>0.54237259999999998</v>
      </c>
      <c r="F5966" t="s">
        <v>42</v>
      </c>
      <c r="G5966">
        <v>-188.8861</v>
      </c>
      <c r="H5966" s="1">
        <v>-4.3570489999999998E-6</v>
      </c>
      <c r="I5966">
        <v>9.3285859999999996</v>
      </c>
      <c r="J5966">
        <v>-188.8998</v>
      </c>
      <c r="K5966">
        <v>1.115864</v>
      </c>
      <c r="L5966">
        <v>-27.789149999999999</v>
      </c>
      <c r="M5966">
        <v>-0.20266890000000001</v>
      </c>
      <c r="N5966">
        <v>-1.4050180000000001E-2</v>
      </c>
      <c r="O5966">
        <v>0.97914650000000003</v>
      </c>
      <c r="P5966">
        <v>-0.1218134</v>
      </c>
      <c r="Q5966">
        <v>0.14118559999999999</v>
      </c>
      <c r="R5966">
        <v>0.98246029999999995</v>
      </c>
      <c r="S5966">
        <v>-4.1198729999999996E-3</v>
      </c>
      <c r="T5966">
        <v>-9.1379169999999996E-2</v>
      </c>
      <c r="U5966">
        <v>3.0666199999999999</v>
      </c>
      <c r="V5966">
        <v>8.1776310000000005E-2</v>
      </c>
      <c r="W5966">
        <v>0.15402769999999999</v>
      </c>
      <c r="X5966">
        <v>0.98467669999999996</v>
      </c>
      <c r="Y5966">
        <v>0.20130999999999999</v>
      </c>
      <c r="Z5966">
        <v>-1.4507849999999999E-2</v>
      </c>
      <c r="AA5966">
        <v>0.97942010000000002</v>
      </c>
      <c r="AB5966">
        <v>33</v>
      </c>
      <c r="AC5966">
        <v>1.37E-2</v>
      </c>
      <c r="AD5966">
        <v>-1.115868357049</v>
      </c>
      <c r="AE5966">
        <v>37.117736000000001</v>
      </c>
      <c r="AF5966">
        <v>7.5299636978686504</v>
      </c>
      <c r="AG5966">
        <v>-1.115868357049</v>
      </c>
      <c r="AH5966">
        <v>36.311695192867496</v>
      </c>
      <c r="AI5966">
        <v>91.723516301427196</v>
      </c>
      <c r="AJ5966">
        <v>78.284608907359697</v>
      </c>
      <c r="AK5966">
        <v>37.101007038370298</v>
      </c>
      <c r="AL5966">
        <v>81.139590044786999</v>
      </c>
      <c r="AM5966">
        <v>85.252543519870201</v>
      </c>
      <c r="AN5966">
        <v>1.0000000503836901</v>
      </c>
    </row>
    <row r="5967" spans="1:40" x14ac:dyDescent="0.25">
      <c r="A5967" t="str">
        <f>"20190303171130085"</f>
        <v>20190303171130085</v>
      </c>
      <c r="B5967" t="str">
        <f>"1551604290075722"</f>
        <v>1551604290075722</v>
      </c>
      <c r="C5967" t="s">
        <v>40</v>
      </c>
      <c r="D5967">
        <v>5.378393</v>
      </c>
      <c r="E5967">
        <v>0.54223299999999997</v>
      </c>
      <c r="F5967" t="s">
        <v>42</v>
      </c>
      <c r="G5967">
        <v>-189.35489999999999</v>
      </c>
      <c r="H5967" s="1">
        <v>-2.1779309999999999E-7</v>
      </c>
      <c r="I5967">
        <v>-0.2163371</v>
      </c>
      <c r="J5967">
        <v>-188.95689999999999</v>
      </c>
      <c r="K5967">
        <v>1.115885</v>
      </c>
      <c r="L5967">
        <v>-27.486719999999998</v>
      </c>
      <c r="M5967">
        <v>-0.19737950000000001</v>
      </c>
      <c r="N5967">
        <v>-1.404773E-2</v>
      </c>
      <c r="O5967">
        <v>0.9802265</v>
      </c>
      <c r="P5967">
        <v>-0.11754050000000001</v>
      </c>
      <c r="Q5967">
        <v>0.14297839999999901</v>
      </c>
      <c r="R5967">
        <v>0.98272139999999997</v>
      </c>
      <c r="S5967">
        <v>-5.0582889999999998E-2</v>
      </c>
      <c r="T5967">
        <v>-0.1240448</v>
      </c>
      <c r="U5967">
        <v>3.0651250000000001</v>
      </c>
      <c r="V5967">
        <v>8.0708500000000002E-2</v>
      </c>
      <c r="W5967">
        <v>0.1558301</v>
      </c>
      <c r="X5967">
        <v>0.98448119999999995</v>
      </c>
      <c r="Y5967">
        <v>0.18113029999999999</v>
      </c>
      <c r="Z5967">
        <v>-2.4889999999999999E-2</v>
      </c>
      <c r="AA5967">
        <v>0.98314409999999997</v>
      </c>
      <c r="AB5967">
        <v>33</v>
      </c>
      <c r="AC5967">
        <v>-0.39799999999999602</v>
      </c>
      <c r="AD5967">
        <v>-1.1158852177931</v>
      </c>
      <c r="AE5967">
        <v>27.270382899999898</v>
      </c>
      <c r="AF5967">
        <v>4.9846326393443299</v>
      </c>
      <c r="AG5967">
        <v>-1.1158852177931</v>
      </c>
      <c r="AH5967">
        <v>26.7675449922768</v>
      </c>
      <c r="AI5967">
        <v>92.346865022559697</v>
      </c>
      <c r="AJ5967">
        <v>79.451249495551707</v>
      </c>
      <c r="AK5967">
        <v>27.250563797508299</v>
      </c>
      <c r="AL5967">
        <v>81.035058027123398</v>
      </c>
      <c r="AM5967">
        <v>85.313330143771907</v>
      </c>
      <c r="AN5967">
        <v>1.0000000575958401</v>
      </c>
    </row>
    <row r="5968" spans="1:40" x14ac:dyDescent="0.25">
      <c r="A5968" t="str">
        <f>"20190303171130108"</f>
        <v>20190303171130108</v>
      </c>
      <c r="B5968" t="str">
        <f>"1551604290096693"</f>
        <v>1551604290096693</v>
      </c>
      <c r="C5968" t="s">
        <v>40</v>
      </c>
      <c r="D5968">
        <v>5.3743930000000004</v>
      </c>
      <c r="E5968">
        <v>0.54164679999999998</v>
      </c>
      <c r="F5968" t="s">
        <v>42</v>
      </c>
      <c r="G5968">
        <v>-189.3372</v>
      </c>
      <c r="H5968" s="1">
        <v>-1.4122349999999999E-6</v>
      </c>
      <c r="I5968">
        <v>2.650671</v>
      </c>
      <c r="J5968">
        <v>-189.01570000000001</v>
      </c>
      <c r="K5968">
        <v>1.1158999999999999</v>
      </c>
      <c r="L5968">
        <v>-27.165769999999998</v>
      </c>
      <c r="M5968">
        <v>-0.19176299999999999</v>
      </c>
      <c r="N5968">
        <v>-1.4045419999999999E-2</v>
      </c>
      <c r="O5968">
        <v>0.98134080000000001</v>
      </c>
      <c r="P5968">
        <v>-0.11309230000000001</v>
      </c>
      <c r="Q5968">
        <v>0.14409069999999999</v>
      </c>
      <c r="R5968">
        <v>0.98308090000000004</v>
      </c>
      <c r="S5968">
        <v>-3.8665770000000002E-2</v>
      </c>
      <c r="T5968">
        <v>-0.1134732</v>
      </c>
      <c r="U5968">
        <v>3.0646360000000001</v>
      </c>
      <c r="V5968">
        <v>7.9503630000000006E-2</v>
      </c>
      <c r="W5968">
        <v>0.15695529999999999</v>
      </c>
      <c r="X5968">
        <v>0.98440050000000001</v>
      </c>
      <c r="Y5968">
        <v>0.17932219999999999</v>
      </c>
      <c r="Z5968">
        <v>-2.164816E-2</v>
      </c>
      <c r="AA5968">
        <v>0.98355219999999999</v>
      </c>
      <c r="AB5968">
        <v>33</v>
      </c>
      <c r="AC5968">
        <v>-0.32149999999998602</v>
      </c>
      <c r="AD5968">
        <v>-1.1159014122349999</v>
      </c>
      <c r="AE5968">
        <v>29.816440999999902</v>
      </c>
      <c r="AF5968">
        <v>5.3951657635563697</v>
      </c>
      <c r="AG5968">
        <v>-1.1159014122349999</v>
      </c>
      <c r="AH5968">
        <v>29.283620896334899</v>
      </c>
      <c r="AI5968">
        <v>92.146209106408094</v>
      </c>
      <c r="AJ5968">
        <v>79.560983237349305</v>
      </c>
      <c r="AK5968">
        <v>29.7973740852837</v>
      </c>
      <c r="AL5968">
        <v>80.969785739190996</v>
      </c>
      <c r="AM5968">
        <v>85.382614235769694</v>
      </c>
      <c r="AN5968">
        <v>1.00000006889075</v>
      </c>
    </row>
    <row r="5969" spans="1:40" x14ac:dyDescent="0.25">
      <c r="A5969" t="str">
        <f>"20190303171130133"</f>
        <v>20190303171130133</v>
      </c>
      <c r="B5969" t="str">
        <f>"1551604290126948"</f>
        <v>1551604290126948</v>
      </c>
      <c r="C5969" t="s">
        <v>40</v>
      </c>
      <c r="D5969">
        <v>5.3713369999999996</v>
      </c>
      <c r="E5969">
        <v>0.54088319999999901</v>
      </c>
      <c r="F5969" t="s">
        <v>42</v>
      </c>
      <c r="G5969">
        <v>-189.29769999999999</v>
      </c>
      <c r="H5969" s="1">
        <v>-1.4383459999999899E-6</v>
      </c>
      <c r="I5969">
        <v>2.6952090000000002</v>
      </c>
      <c r="J5969">
        <v>-189.08189999999999</v>
      </c>
      <c r="K5969">
        <v>1.11592</v>
      </c>
      <c r="L5969">
        <v>-26.791440000000001</v>
      </c>
      <c r="M5969">
        <v>-0.1852116</v>
      </c>
      <c r="N5969">
        <v>-1.404295E-2</v>
      </c>
      <c r="O5969">
        <v>0.98259830000000004</v>
      </c>
      <c r="P5969">
        <v>-0.1066447</v>
      </c>
      <c r="Q5969">
        <v>0.14555290000000001</v>
      </c>
      <c r="R5969">
        <v>0.98358590000000001</v>
      </c>
      <c r="S5969">
        <v>-2.894592E-2</v>
      </c>
      <c r="T5969">
        <v>-0.1145422</v>
      </c>
      <c r="U5969">
        <v>3.0650940000000002</v>
      </c>
      <c r="V5969">
        <v>7.9364939999999995E-2</v>
      </c>
      <c r="W5969">
        <v>0.15841540000000001</v>
      </c>
      <c r="X5969">
        <v>0.98417770000000004</v>
      </c>
      <c r="Y5969">
        <v>0.17587910000000001</v>
      </c>
      <c r="Z5969">
        <v>-2.205876E-2</v>
      </c>
      <c r="AA5969">
        <v>0.98416459999999995</v>
      </c>
      <c r="AB5969">
        <v>33</v>
      </c>
      <c r="AC5969">
        <v>-0.21580000000000099</v>
      </c>
      <c r="AD5969">
        <v>-1.1159214383460001</v>
      </c>
      <c r="AE5969">
        <v>29.486649</v>
      </c>
      <c r="AF5969">
        <v>5.2422347459941596</v>
      </c>
      <c r="AG5969">
        <v>-1.1159214383460001</v>
      </c>
      <c r="AH5969">
        <v>28.9748648415937</v>
      </c>
      <c r="AI5969">
        <v>92.170365849903604</v>
      </c>
      <c r="AJ5969">
        <v>79.744780951453606</v>
      </c>
      <c r="AK5969">
        <v>29.466406268448999</v>
      </c>
      <c r="AL5969">
        <v>80.885067568780499</v>
      </c>
      <c r="AM5969">
        <v>85.389595310392494</v>
      </c>
      <c r="AN5969">
        <v>0.99999998891782604</v>
      </c>
    </row>
    <row r="5970" spans="1:40" x14ac:dyDescent="0.25">
      <c r="A5970" t="str">
        <f>"20190303171130155"</f>
        <v>20190303171130155</v>
      </c>
      <c r="B5970" t="str">
        <f>"1551604290146468"</f>
        <v>1551604290146468</v>
      </c>
      <c r="C5970" t="s">
        <v>40</v>
      </c>
      <c r="D5970">
        <v>5.2633710000000002</v>
      </c>
      <c r="E5970">
        <v>0.54023849999999995</v>
      </c>
      <c r="F5970" t="s">
        <v>42</v>
      </c>
      <c r="G5970">
        <v>-189.2269</v>
      </c>
      <c r="H5970" s="1">
        <v>-7.9037590000000002E-7</v>
      </c>
      <c r="I5970">
        <v>1.155513</v>
      </c>
      <c r="J5970">
        <v>-189.13339999999999</v>
      </c>
      <c r="K5970">
        <v>1.1159349999999999</v>
      </c>
      <c r="L5970">
        <v>-26.489319999999999</v>
      </c>
      <c r="M5970">
        <v>-0.17992369999999999</v>
      </c>
      <c r="N5970">
        <v>-1.4041E-2</v>
      </c>
      <c r="O5970">
        <v>0.98358040000000002</v>
      </c>
      <c r="P5970">
        <v>-0.1012415</v>
      </c>
      <c r="Q5970">
        <v>0.14684349999999999</v>
      </c>
      <c r="R5970">
        <v>0.98396499999999998</v>
      </c>
      <c r="S5970">
        <v>-1.5914919999999999E-2</v>
      </c>
      <c r="T5970">
        <v>-0.122443899999999</v>
      </c>
      <c r="U5970">
        <v>3.0664669999999998</v>
      </c>
      <c r="V5970">
        <v>7.9454700000000003E-2</v>
      </c>
      <c r="W5970">
        <v>0.1597015</v>
      </c>
      <c r="X5970">
        <v>0.98396260000000002</v>
      </c>
      <c r="Y5970">
        <v>0.1747677</v>
      </c>
      <c r="Z5970">
        <v>-2.4587370000000001E-2</v>
      </c>
      <c r="AA5970">
        <v>0.98430260000000003</v>
      </c>
      <c r="AB5970">
        <v>33</v>
      </c>
      <c r="AC5970">
        <v>-9.3500000000005898E-2</v>
      </c>
      <c r="AD5970">
        <v>-1.1159357903759</v>
      </c>
      <c r="AE5970">
        <v>27.644832999999998</v>
      </c>
      <c r="AF5970">
        <v>4.8745340721434198</v>
      </c>
      <c r="AG5970">
        <v>-1.1159357903759</v>
      </c>
      <c r="AH5970">
        <v>27.166153581960099</v>
      </c>
      <c r="AI5970">
        <v>92.315346454011305</v>
      </c>
      <c r="AJ5970">
        <v>79.827436000613602</v>
      </c>
      <c r="AK5970">
        <v>27.622568590689902</v>
      </c>
      <c r="AL5970">
        <v>80.810429432308794</v>
      </c>
      <c r="AM5970">
        <v>85.383398925425993</v>
      </c>
      <c r="AN5970">
        <v>1.0000000083265499</v>
      </c>
    </row>
    <row r="5971" spans="1:40" x14ac:dyDescent="0.25">
      <c r="A5971" t="str">
        <f>"20190303171130174"</f>
        <v>20190303171130174</v>
      </c>
      <c r="B5971" t="str">
        <f>"1551604290166965"</f>
        <v>1551604290166965</v>
      </c>
      <c r="C5971" t="s">
        <v>40</v>
      </c>
      <c r="D5971">
        <v>5.3735039999999996</v>
      </c>
      <c r="E5971">
        <v>0.53977129999999995</v>
      </c>
      <c r="F5971" t="s">
        <v>42</v>
      </c>
      <c r="G5971">
        <v>-189.1867</v>
      </c>
      <c r="H5971" s="1">
        <v>-8.4354310000000002E-7</v>
      </c>
      <c r="I5971">
        <v>1.2628010000000001</v>
      </c>
      <c r="J5971">
        <v>-189.1823</v>
      </c>
      <c r="K5971">
        <v>1.1159509999999999</v>
      </c>
      <c r="L5971">
        <v>-26.192540000000001</v>
      </c>
      <c r="M5971">
        <v>-0.174731</v>
      </c>
      <c r="N5971">
        <v>-1.4038999999999999E-2</v>
      </c>
      <c r="O5971">
        <v>0.98451610000000001</v>
      </c>
      <c r="P5971">
        <v>-9.7010929999999995E-2</v>
      </c>
      <c r="Q5971">
        <v>0.14689059999999901</v>
      </c>
      <c r="R5971">
        <v>0.98438409999999998</v>
      </c>
      <c r="S5971">
        <v>-5.8898930000000002E-3</v>
      </c>
      <c r="T5971">
        <v>-0.1233138</v>
      </c>
      <c r="U5971">
        <v>3.066681</v>
      </c>
      <c r="V5971">
        <v>7.8485970000000002E-2</v>
      </c>
      <c r="W5971">
        <v>0.15976179999999901</v>
      </c>
      <c r="X5971">
        <v>0.98403050000000003</v>
      </c>
      <c r="Y5971">
        <v>0.17279029999999901</v>
      </c>
      <c r="Z5971">
        <v>-2.491997E-2</v>
      </c>
      <c r="AA5971">
        <v>0.9846433</v>
      </c>
      <c r="AB5971">
        <v>33</v>
      </c>
      <c r="AC5971">
        <v>-4.4000000000039502E-3</v>
      </c>
      <c r="AD5971">
        <v>-1.1159518435431</v>
      </c>
      <c r="AE5971">
        <v>27.455340999999901</v>
      </c>
      <c r="AF5971">
        <v>4.7855336015642802</v>
      </c>
      <c r="AG5971">
        <v>-1.1159518435431</v>
      </c>
      <c r="AH5971">
        <v>26.989069985187101</v>
      </c>
      <c r="AI5971">
        <v>92.3314084213618</v>
      </c>
      <c r="AJ5971">
        <v>79.945175563194795</v>
      </c>
      <c r="AK5971">
        <v>27.432764699062599</v>
      </c>
      <c r="AL5971">
        <v>80.806929043188106</v>
      </c>
      <c r="AM5971">
        <v>85.439760053262901</v>
      </c>
      <c r="AN5971">
        <v>0.99999995257816399</v>
      </c>
    </row>
    <row r="5972" spans="1:40" x14ac:dyDescent="0.25">
      <c r="A5972" t="str">
        <f>"20190303171130197"</f>
        <v>20190303171130197</v>
      </c>
      <c r="B5972" t="str">
        <f>"1551604290186485"</f>
        <v>1551604290186485</v>
      </c>
      <c r="C5972" t="s">
        <v>40</v>
      </c>
      <c r="D5972">
        <v>5.3731339999999896</v>
      </c>
      <c r="E5972">
        <v>0.5393599</v>
      </c>
      <c r="F5972" t="s">
        <v>42</v>
      </c>
      <c r="G5972">
        <v>-189.15309999999999</v>
      </c>
      <c r="H5972" s="1">
        <v>-7.2050280000000002E-7</v>
      </c>
      <c r="I5972">
        <v>0.96212430000000004</v>
      </c>
      <c r="J5972">
        <v>-189.233</v>
      </c>
      <c r="K5972">
        <v>1.115955</v>
      </c>
      <c r="L5972">
        <v>-25.874269999999999</v>
      </c>
      <c r="M5972">
        <v>-0.16916419999999999</v>
      </c>
      <c r="N5972">
        <v>-1.403683E-2</v>
      </c>
      <c r="O5972">
        <v>0.98548789999999997</v>
      </c>
      <c r="P5972">
        <v>-9.3264799999999995E-2</v>
      </c>
      <c r="Q5972">
        <v>0.147043799999999</v>
      </c>
      <c r="R5972">
        <v>0.98472320000000002</v>
      </c>
      <c r="S5972">
        <v>3.2958979999999998E-3</v>
      </c>
      <c r="T5972">
        <v>-0.12603</v>
      </c>
      <c r="U5972">
        <v>3.0667110000000002</v>
      </c>
      <c r="V5972">
        <v>7.6658840000000006E-2</v>
      </c>
      <c r="W5972">
        <v>0.15993879999999999</v>
      </c>
      <c r="X5972">
        <v>0.98414579999999996</v>
      </c>
      <c r="Y5972">
        <v>0.1701724</v>
      </c>
      <c r="Z5972">
        <v>-2.584415E-2</v>
      </c>
      <c r="AA5972">
        <v>0.98507540000000005</v>
      </c>
      <c r="AB5972">
        <v>33</v>
      </c>
      <c r="AC5972">
        <v>7.9900000000009103E-2</v>
      </c>
      <c r="AD5972">
        <v>-1.1159557205027999</v>
      </c>
      <c r="AE5972">
        <v>26.836394299999998</v>
      </c>
      <c r="AF5972">
        <v>4.6109795703265197</v>
      </c>
      <c r="AG5972">
        <v>-1.1159557205027999</v>
      </c>
      <c r="AH5972">
        <v>26.390396768468399</v>
      </c>
      <c r="AI5972">
        <v>92.385299023777094</v>
      </c>
      <c r="AJ5972">
        <v>80.089217165995194</v>
      </c>
      <c r="AK5972">
        <v>26.813420732261601</v>
      </c>
      <c r="AL5972">
        <v>80.796655808852407</v>
      </c>
      <c r="AM5972">
        <v>85.546008530113298</v>
      </c>
      <c r="AN5972">
        <v>0.99999997657661199</v>
      </c>
    </row>
    <row r="5973" spans="1:40" x14ac:dyDescent="0.25">
      <c r="A5973" t="str">
        <f>"20190303171130219"</f>
        <v>20190303171130219</v>
      </c>
      <c r="B5973" t="str">
        <f>"1551604290206981"</f>
        <v>1551604290206981</v>
      </c>
      <c r="C5973" t="s">
        <v>40</v>
      </c>
      <c r="D5973">
        <v>5.079027</v>
      </c>
      <c r="E5973">
        <v>0.53890839999999995</v>
      </c>
      <c r="F5973" t="s">
        <v>42</v>
      </c>
      <c r="G5973">
        <v>-189.12520000000001</v>
      </c>
      <c r="H5973" s="1">
        <v>-6.5546619999999895E-7</v>
      </c>
      <c r="I5973">
        <v>0.79899299999999995</v>
      </c>
      <c r="J5973">
        <v>-189.2817</v>
      </c>
      <c r="K5973">
        <v>1.1159539999999999</v>
      </c>
      <c r="L5973">
        <v>-25.55658</v>
      </c>
      <c r="M5973">
        <v>-0.16360720000000001</v>
      </c>
      <c r="N5973">
        <v>-1.4034609999999999E-2</v>
      </c>
      <c r="O5973">
        <v>0.98642569999999996</v>
      </c>
      <c r="P5973">
        <v>-8.8477520000000004E-2</v>
      </c>
      <c r="Q5973">
        <v>0.1484558</v>
      </c>
      <c r="R5973">
        <v>0.98495310000000003</v>
      </c>
      <c r="S5973">
        <v>1.2390139999999999E-2</v>
      </c>
      <c r="T5973">
        <v>-0.12831139999999999</v>
      </c>
      <c r="U5973">
        <v>3.0668639999999998</v>
      </c>
      <c r="V5973">
        <v>7.5872499999999996E-2</v>
      </c>
      <c r="W5973">
        <v>0.16135769999999999</v>
      </c>
      <c r="X5973">
        <v>0.98397509999999999</v>
      </c>
      <c r="Y5973">
        <v>0.1675391</v>
      </c>
      <c r="Z5973">
        <v>-2.662989E-2</v>
      </c>
      <c r="AA5973">
        <v>0.98550570000000004</v>
      </c>
      <c r="AB5973">
        <v>33</v>
      </c>
      <c r="AC5973">
        <v>0.15649999999999401</v>
      </c>
      <c r="AD5973">
        <v>-1.1159546554661901</v>
      </c>
      <c r="AE5973">
        <v>26.355573</v>
      </c>
      <c r="AF5973">
        <v>4.4587834487843203</v>
      </c>
      <c r="AG5973">
        <v>-1.1159546554661901</v>
      </c>
      <c r="AH5973">
        <v>25.928284614214601</v>
      </c>
      <c r="AI5973">
        <v>92.428883618391197</v>
      </c>
      <c r="AJ5973">
        <v>80.242510702305196</v>
      </c>
      <c r="AK5973">
        <v>26.332528319018799</v>
      </c>
      <c r="AL5973">
        <v>80.714288958184895</v>
      </c>
      <c r="AM5973">
        <v>85.590753241276602</v>
      </c>
      <c r="AN5973">
        <v>0.99999997051277401</v>
      </c>
    </row>
    <row r="5974" spans="1:40" x14ac:dyDescent="0.25">
      <c r="A5974" t="str">
        <f>"20190303171130244"</f>
        <v>20190303171130244</v>
      </c>
      <c r="B5974" t="str">
        <f>"1551604290236261"</f>
        <v>1551604290236261</v>
      </c>
      <c r="C5974" t="s">
        <v>40</v>
      </c>
      <c r="D5974">
        <v>5.37784</v>
      </c>
      <c r="E5974">
        <v>0.53843339999999995</v>
      </c>
      <c r="F5974" t="s">
        <v>42</v>
      </c>
      <c r="G5974">
        <v>-189.08449999999999</v>
      </c>
      <c r="H5974" s="1">
        <v>-9.4142640000000005E-7</v>
      </c>
      <c r="I5974">
        <v>1.4487219999999901</v>
      </c>
      <c r="J5974">
        <v>-189.333</v>
      </c>
      <c r="K5974">
        <v>1.1159709999999901</v>
      </c>
      <c r="L5974">
        <v>-25.208069999999999</v>
      </c>
      <c r="M5974">
        <v>-0.15751299999999999</v>
      </c>
      <c r="N5974">
        <v>-1.4032269999999999E-2</v>
      </c>
      <c r="O5974">
        <v>0.98741719999999999</v>
      </c>
      <c r="P5974">
        <v>-8.2272570000000003E-2</v>
      </c>
      <c r="Q5974">
        <v>0.14960699999999999</v>
      </c>
      <c r="R5974">
        <v>0.98531670000000005</v>
      </c>
      <c r="S5974">
        <v>2.23999E-2</v>
      </c>
      <c r="T5974">
        <v>-0.1267375</v>
      </c>
      <c r="U5974">
        <v>3.0669559999999998</v>
      </c>
      <c r="V5974">
        <v>7.5976420000000003E-2</v>
      </c>
      <c r="W5974">
        <v>0.16250499999999901</v>
      </c>
      <c r="X5974">
        <v>0.98377829999999999</v>
      </c>
      <c r="Y5974">
        <v>0.16466889999999901</v>
      </c>
      <c r="Z5974">
        <v>-2.6200339999999999E-2</v>
      </c>
      <c r="AA5974">
        <v>0.98600080000000001</v>
      </c>
      <c r="AB5974">
        <v>32</v>
      </c>
      <c r="AC5974">
        <v>0.24850000000000699</v>
      </c>
      <c r="AD5974">
        <v>-1.11597194142639</v>
      </c>
      <c r="AE5974">
        <v>26.656791999999999</v>
      </c>
      <c r="AF5974">
        <v>4.4368266577759696</v>
      </c>
      <c r="AG5974">
        <v>-1.11597194142639</v>
      </c>
      <c r="AH5974">
        <v>26.238838136561299</v>
      </c>
      <c r="AI5974">
        <v>92.401348470935602</v>
      </c>
      <c r="AJ5974">
        <v>80.402421438999596</v>
      </c>
      <c r="AK5974">
        <v>26.634703882751602</v>
      </c>
      <c r="AL5974">
        <v>80.647674769406805</v>
      </c>
      <c r="AM5974">
        <v>85.583858151216404</v>
      </c>
      <c r="AN5974">
        <v>1.00000001748595</v>
      </c>
    </row>
    <row r="5975" spans="1:40" x14ac:dyDescent="0.25">
      <c r="A5975" t="str">
        <f>"20190303171130263"</f>
        <v>20190303171130263</v>
      </c>
      <c r="B5975" t="str">
        <f>"1551604290256757"</f>
        <v>1551604290256757</v>
      </c>
      <c r="C5975" t="s">
        <v>40</v>
      </c>
      <c r="D5975">
        <v>5.3152780000000002</v>
      </c>
      <c r="E5975">
        <v>0.53148839999999997</v>
      </c>
      <c r="F5975" t="s">
        <v>42</v>
      </c>
      <c r="G5975">
        <v>-189.01769999999999</v>
      </c>
      <c r="H5975" s="1">
        <v>-1.059832E-6</v>
      </c>
      <c r="I5975">
        <v>1.697095</v>
      </c>
      <c r="J5975">
        <v>-189.37389999999999</v>
      </c>
      <c r="K5975">
        <v>1.1159969999999999</v>
      </c>
      <c r="L5975">
        <v>-24.919560000000001</v>
      </c>
      <c r="M5975">
        <v>-0.1524674</v>
      </c>
      <c r="N5975">
        <v>-1.403039E-2</v>
      </c>
      <c r="O5975">
        <v>0.98820889999999995</v>
      </c>
      <c r="P5975">
        <v>-7.7630350000000001E-2</v>
      </c>
      <c r="Q5975">
        <v>0.15044460000000001</v>
      </c>
      <c r="R5975">
        <v>0.98556580000000005</v>
      </c>
      <c r="S5975">
        <v>3.5949710000000003E-2</v>
      </c>
      <c r="T5975">
        <v>-0.12721370000000001</v>
      </c>
      <c r="U5975">
        <v>3.0670169999999999</v>
      </c>
      <c r="V5975">
        <v>7.5572109999999998E-2</v>
      </c>
      <c r="W5975">
        <v>0.16334570000000001</v>
      </c>
      <c r="X5975">
        <v>0.98367020000000005</v>
      </c>
      <c r="Y5975">
        <v>0.163986299999999</v>
      </c>
      <c r="Z5975">
        <v>-2.6398580000000001E-2</v>
      </c>
      <c r="AA5975">
        <v>0.98610929999999997</v>
      </c>
      <c r="AB5975">
        <v>32</v>
      </c>
      <c r="AC5975">
        <v>0.35620000000000102</v>
      </c>
      <c r="AD5975">
        <v>-1.1159980598319901</v>
      </c>
      <c r="AE5975">
        <v>26.616654999999898</v>
      </c>
      <c r="AF5975">
        <v>4.4028674823665304</v>
      </c>
      <c r="AG5975">
        <v>-1.1159980598319901</v>
      </c>
      <c r="AH5975">
        <v>26.2050302121017</v>
      </c>
      <c r="AI5975">
        <v>92.404923372730806</v>
      </c>
      <c r="AJ5975">
        <v>80.462466027334102</v>
      </c>
      <c r="AK5975">
        <v>26.595757220917601</v>
      </c>
      <c r="AL5975">
        <v>80.598853829053695</v>
      </c>
      <c r="AM5975">
        <v>85.606785662228006</v>
      </c>
      <c r="AN5975">
        <v>1.00000001194319</v>
      </c>
    </row>
    <row r="5976" spans="1:40" x14ac:dyDescent="0.25">
      <c r="A5976" t="str">
        <f>"20190303171130288"</f>
        <v>20190303171130288</v>
      </c>
      <c r="B5976" t="str">
        <f>"1551604290276277"</f>
        <v>1551604290276277</v>
      </c>
      <c r="C5976" t="s">
        <v>40</v>
      </c>
      <c r="D5976">
        <v>5.262397</v>
      </c>
      <c r="E5976">
        <v>0.5310954</v>
      </c>
      <c r="F5976" t="s">
        <v>42</v>
      </c>
      <c r="G5976">
        <v>-189.41669999999999</v>
      </c>
      <c r="H5976" s="1">
        <v>-3.6970809999999998E-6</v>
      </c>
      <c r="I5976">
        <v>-1.9904230000000001</v>
      </c>
      <c r="J5976">
        <v>-189.42359999999999</v>
      </c>
      <c r="K5976">
        <v>1.1160079999999999</v>
      </c>
      <c r="L5976">
        <v>-24.553159999999998</v>
      </c>
      <c r="M5976">
        <v>-0.14605960000000001</v>
      </c>
      <c r="N5976">
        <v>-1.4027939999999999E-2</v>
      </c>
      <c r="O5976">
        <v>0.98917630000000001</v>
      </c>
      <c r="P5976">
        <v>-7.3148190000000002E-2</v>
      </c>
      <c r="Q5976">
        <v>0.15031900000000001</v>
      </c>
      <c r="R5976">
        <v>0.98592780000000002</v>
      </c>
      <c r="S5976">
        <v>-5.7220459999999997E-3</v>
      </c>
      <c r="T5976">
        <v>-0.14924129999999899</v>
      </c>
      <c r="U5976">
        <v>3.066284</v>
      </c>
      <c r="V5976">
        <v>7.366267E-2</v>
      </c>
      <c r="W5976">
        <v>0.163245</v>
      </c>
      <c r="X5976">
        <v>0.98383169999999998</v>
      </c>
      <c r="Y5976">
        <v>0.14416419999999999</v>
      </c>
      <c r="Z5976">
        <v>-3.3564249999999997E-2</v>
      </c>
      <c r="AA5976">
        <v>0.98898439999999999</v>
      </c>
      <c r="AB5976">
        <v>32</v>
      </c>
      <c r="AC5976">
        <v>6.90000000000168E-3</v>
      </c>
      <c r="AD5976">
        <v>-1.1160116970809999</v>
      </c>
      <c r="AE5976">
        <v>22.562736999999998</v>
      </c>
      <c r="AF5976">
        <v>3.2945943361788399</v>
      </c>
      <c r="AG5976">
        <v>-1.1160116970809999</v>
      </c>
      <c r="AH5976">
        <v>22.2652407162972</v>
      </c>
      <c r="AI5976">
        <v>92.838607015550195</v>
      </c>
      <c r="AJ5976">
        <v>81.583002369937901</v>
      </c>
      <c r="AK5976">
        <v>22.535322897679102</v>
      </c>
      <c r="AL5976">
        <v>80.604701581526299</v>
      </c>
      <c r="AM5976">
        <v>85.718068753520498</v>
      </c>
      <c r="AN5976">
        <v>0.99999996645070799</v>
      </c>
    </row>
    <row r="5977" spans="1:40" x14ac:dyDescent="0.25">
      <c r="A5977" t="str">
        <f>"20190303171130308"</f>
        <v>20190303171130308</v>
      </c>
      <c r="B5977" t="str">
        <f>"1551604290296304"</f>
        <v>1551604290296304</v>
      </c>
      <c r="C5977" t="s">
        <v>40</v>
      </c>
      <c r="D5977">
        <v>5.0719979999999998</v>
      </c>
      <c r="E5977">
        <v>0.53047</v>
      </c>
      <c r="F5977" t="s">
        <v>42</v>
      </c>
      <c r="G5977">
        <v>-189.38239999999999</v>
      </c>
      <c r="H5977" s="1">
        <v>-3.4246749999999898E-6</v>
      </c>
      <c r="I5977">
        <v>-2.63958</v>
      </c>
      <c r="J5977">
        <v>-189.4606</v>
      </c>
      <c r="K5977">
        <v>1.1160129999999999</v>
      </c>
      <c r="L5977">
        <v>-24.268070000000002</v>
      </c>
      <c r="M5977">
        <v>-0.14107229999999901</v>
      </c>
      <c r="N5977">
        <v>-1.402601E-2</v>
      </c>
      <c r="O5977">
        <v>0.98989990000000005</v>
      </c>
      <c r="P5977">
        <v>-6.9128029999999993E-2</v>
      </c>
      <c r="Q5977">
        <v>0.1505493</v>
      </c>
      <c r="R5977">
        <v>0.98618260000000002</v>
      </c>
      <c r="S5977">
        <v>5.7678219999999997E-3</v>
      </c>
      <c r="T5977">
        <v>-0.15619810000000001</v>
      </c>
      <c r="U5977">
        <v>3.0670470000000001</v>
      </c>
      <c r="V5977">
        <v>7.270778E-2</v>
      </c>
      <c r="W5977">
        <v>0.163487299999999</v>
      </c>
      <c r="X5977">
        <v>0.98386249999999997</v>
      </c>
      <c r="Y5977">
        <v>0.14288020000000001</v>
      </c>
      <c r="Z5977">
        <v>-3.5823479999999998E-2</v>
      </c>
      <c r="AA5977">
        <v>0.98909150000000001</v>
      </c>
      <c r="AB5977">
        <v>32</v>
      </c>
      <c r="AC5977">
        <v>7.8200000000009595E-2</v>
      </c>
      <c r="AD5977">
        <v>-1.116016424675</v>
      </c>
      <c r="AE5977">
        <v>21.628489999999999</v>
      </c>
      <c r="AF5977">
        <v>3.1205904443618899</v>
      </c>
      <c r="AG5977">
        <v>-1.116016424675</v>
      </c>
      <c r="AH5977">
        <v>21.344285837270402</v>
      </c>
      <c r="AI5977">
        <v>92.961637483873204</v>
      </c>
      <c r="AJ5977">
        <v>81.682138348533002</v>
      </c>
      <c r="AK5977">
        <v>21.600048964867899</v>
      </c>
      <c r="AL5977">
        <v>80.590629787483095</v>
      </c>
      <c r="AM5977">
        <v>85.773504846080598</v>
      </c>
      <c r="AN5977">
        <v>0.99999996872003305</v>
      </c>
    </row>
    <row r="5978" spans="1:40" x14ac:dyDescent="0.25">
      <c r="A5978" t="str">
        <f>"20190303171130334"</f>
        <v>20190303171130334</v>
      </c>
      <c r="B5978" t="str">
        <f>"1551604290326559"</f>
        <v>1551604290326559</v>
      </c>
      <c r="C5978" t="s">
        <v>40</v>
      </c>
      <c r="D5978">
        <v>4.9870130000000001</v>
      </c>
      <c r="E5978">
        <v>0.52940100000000001</v>
      </c>
      <c r="F5978" t="s">
        <v>42</v>
      </c>
      <c r="G5978">
        <v>-189.36199999999999</v>
      </c>
      <c r="H5978" s="1">
        <v>-3.7446340000000002E-6</v>
      </c>
      <c r="I5978">
        <v>-1.902174</v>
      </c>
      <c r="J5978">
        <v>-189.5067</v>
      </c>
      <c r="K5978">
        <v>1.1160350000000001</v>
      </c>
      <c r="L5978">
        <v>-23.896850000000001</v>
      </c>
      <c r="M5978">
        <v>-0.1345759</v>
      </c>
      <c r="N5978">
        <v>-1.4023509999999999E-2</v>
      </c>
      <c r="O5978">
        <v>0.99080409999999997</v>
      </c>
      <c r="P5978">
        <v>-6.2359089999999999E-2</v>
      </c>
      <c r="Q5978">
        <v>0.1509924</v>
      </c>
      <c r="R5978">
        <v>0.9865661</v>
      </c>
      <c r="S5978">
        <v>1.351929E-2</v>
      </c>
      <c r="T5978">
        <v>-0.153005</v>
      </c>
      <c r="U5978">
        <v>3.0663450000000001</v>
      </c>
      <c r="V5978">
        <v>7.2998350000000004E-2</v>
      </c>
      <c r="W5978">
        <v>0.1639243</v>
      </c>
      <c r="X5978">
        <v>0.98376830000000004</v>
      </c>
      <c r="Y5978">
        <v>0.1388906</v>
      </c>
      <c r="Z5978">
        <v>-3.4899380000000001E-2</v>
      </c>
      <c r="AA5978">
        <v>0.98969260000000003</v>
      </c>
      <c r="AB5978">
        <v>32</v>
      </c>
      <c r="AC5978">
        <v>0.1447</v>
      </c>
      <c r="AD5978">
        <v>-1.1160387446340001</v>
      </c>
      <c r="AE5978">
        <v>21.994675999999998</v>
      </c>
      <c r="AF5978">
        <v>3.0956577288958802</v>
      </c>
      <c r="AG5978">
        <v>-1.1160387446340001</v>
      </c>
      <c r="AH5978">
        <v>21.719164716681799</v>
      </c>
      <c r="AI5978">
        <v>92.912174618708505</v>
      </c>
      <c r="AJ5978">
        <v>81.888202405745005</v>
      </c>
      <c r="AK5978">
        <v>21.967037926046199</v>
      </c>
      <c r="AL5978">
        <v>80.565249439106296</v>
      </c>
      <c r="AM5978">
        <v>85.756270785193095</v>
      </c>
      <c r="AN5978">
        <v>1.00000000165905</v>
      </c>
    </row>
    <row r="5979" spans="1:40" x14ac:dyDescent="0.25">
      <c r="A5979" t="str">
        <f>"20190303171130398"</f>
        <v>20190303171130398</v>
      </c>
      <c r="B5979" t="str">
        <f>"1551604290386095"</f>
        <v>1551604290386095</v>
      </c>
      <c r="C5979" t="s">
        <v>40</v>
      </c>
      <c r="D5979">
        <v>5.2593160000000001</v>
      </c>
      <c r="E5979">
        <v>0.52806180000000003</v>
      </c>
      <c r="F5979" t="s">
        <v>42</v>
      </c>
      <c r="G5979">
        <v>-189.3254</v>
      </c>
      <c r="H5979" s="1">
        <v>-3.940607E-6</v>
      </c>
      <c r="I5979">
        <v>-1.460502</v>
      </c>
      <c r="J5979">
        <v>-189.6103</v>
      </c>
      <c r="K5979">
        <v>1.1160829999999999</v>
      </c>
      <c r="L5979">
        <v>-22.975190000000001</v>
      </c>
      <c r="M5979">
        <v>-0.1184383</v>
      </c>
      <c r="N5979">
        <v>-1.4017079999999999E-2</v>
      </c>
      <c r="O5979">
        <v>0.99286249999999998</v>
      </c>
      <c r="P5979">
        <v>-4.72992E-2</v>
      </c>
      <c r="Q5979">
        <v>0.15475999999999901</v>
      </c>
      <c r="R5979">
        <v>0.98681920000000001</v>
      </c>
      <c r="S5979">
        <v>2.478027E-2</v>
      </c>
      <c r="T5979">
        <v>-0.15249869999999999</v>
      </c>
      <c r="U5979">
        <v>3.0657649999999999</v>
      </c>
      <c r="V5979">
        <v>7.1967390000000006E-2</v>
      </c>
      <c r="W5979">
        <v>0.16769510000000001</v>
      </c>
      <c r="X5979">
        <v>0.98320850000000004</v>
      </c>
      <c r="Y5979">
        <v>0.12640960000000001</v>
      </c>
      <c r="Z5979">
        <v>-3.494514E-2</v>
      </c>
      <c r="AA5979">
        <v>0.99136250000000004</v>
      </c>
      <c r="AB5979">
        <v>32</v>
      </c>
      <c r="AC5979">
        <v>0.28489999999999299</v>
      </c>
      <c r="AD5979">
        <v>-1.116086940607</v>
      </c>
      <c r="AE5979">
        <v>21.514688</v>
      </c>
      <c r="AF5979">
        <v>2.8237101954987902</v>
      </c>
      <c r="AG5979">
        <v>-1.116086940607</v>
      </c>
      <c r="AH5979">
        <v>21.2722435832423</v>
      </c>
      <c r="AI5979">
        <v>92.977305036874398</v>
      </c>
      <c r="AJ5979">
        <v>82.438674672945098</v>
      </c>
      <c r="AK5979">
        <v>21.487841594537802</v>
      </c>
      <c r="AL5979">
        <v>80.346165291272598</v>
      </c>
      <c r="AM5979">
        <v>85.8136171209335</v>
      </c>
      <c r="AN5979">
        <v>0.99999995312983403</v>
      </c>
    </row>
    <row r="5980" spans="1:40" x14ac:dyDescent="0.25">
      <c r="A5980" t="str">
        <f>"20190303171130419"</f>
        <v>20190303171130419</v>
      </c>
      <c r="B5980" t="str">
        <f>"1551604290406592"</f>
        <v>1551604290406592</v>
      </c>
      <c r="C5980" t="s">
        <v>40</v>
      </c>
      <c r="D5980">
        <v>5.2013049999999996</v>
      </c>
      <c r="E5980">
        <v>0.5276672</v>
      </c>
      <c r="F5980" t="s">
        <v>42</v>
      </c>
      <c r="G5980">
        <v>-189.1087</v>
      </c>
      <c r="H5980" s="1">
        <v>-9.8424409999999992E-7</v>
      </c>
      <c r="I5980">
        <v>1.558538</v>
      </c>
      <c r="J5980">
        <v>-189.64150000000001</v>
      </c>
      <c r="K5980">
        <v>1.1160890000000001</v>
      </c>
      <c r="L5980">
        <v>-22.666810000000002</v>
      </c>
      <c r="M5980">
        <v>-0.11303530000000001</v>
      </c>
      <c r="N5980">
        <v>-1.401494E-2</v>
      </c>
      <c r="O5980">
        <v>0.99349209999999999</v>
      </c>
      <c r="P5980">
        <v>-4.2051579999999998E-2</v>
      </c>
      <c r="Q5980">
        <v>0.1551237</v>
      </c>
      <c r="R5980">
        <v>0.98699959999999998</v>
      </c>
      <c r="S5980">
        <v>6.2667849999999997E-2</v>
      </c>
      <c r="T5980">
        <v>-0.13942979999999899</v>
      </c>
      <c r="U5980">
        <v>3.0649410000000001</v>
      </c>
      <c r="V5980">
        <v>7.1840799999999996E-2</v>
      </c>
      <c r="W5980">
        <v>0.16805889999999901</v>
      </c>
      <c r="X5980">
        <v>0.98315569999999997</v>
      </c>
      <c r="Y5980">
        <v>0.1332682</v>
      </c>
      <c r="Z5980">
        <v>-3.0779359999999999E-2</v>
      </c>
      <c r="AA5980">
        <v>0.99060199999999998</v>
      </c>
      <c r="AB5980">
        <v>32</v>
      </c>
      <c r="AC5980">
        <v>0.53280000000000804</v>
      </c>
      <c r="AD5980">
        <v>-1.1160899842441001</v>
      </c>
      <c r="AE5980">
        <v>24.225348</v>
      </c>
      <c r="AF5980">
        <v>3.2610546996321998</v>
      </c>
      <c r="AG5980">
        <v>-1.1160899842441001</v>
      </c>
      <c r="AH5980">
        <v>23.9589957179852</v>
      </c>
      <c r="AI5980">
        <v>92.642768098076203</v>
      </c>
      <c r="AJ5980">
        <v>82.2491113424351</v>
      </c>
      <c r="AK5980">
        <v>24.205652447751898</v>
      </c>
      <c r="AL5980">
        <v>80.325021583991401</v>
      </c>
      <c r="AM5980">
        <v>85.8207311805361</v>
      </c>
      <c r="AN5980">
        <v>1.0000000124281601</v>
      </c>
    </row>
    <row r="5981" spans="1:40" x14ac:dyDescent="0.25">
      <c r="A5981" t="str">
        <f>"20190303171130443"</f>
        <v>20190303171130443</v>
      </c>
      <c r="B5981" t="str">
        <f>"1551604290436847"</f>
        <v>1551604290436847</v>
      </c>
      <c r="C5981" t="s">
        <v>40</v>
      </c>
      <c r="D5981">
        <v>5.2593459999999999</v>
      </c>
      <c r="E5981">
        <v>0.52136249999999995</v>
      </c>
      <c r="F5981" t="s">
        <v>42</v>
      </c>
      <c r="G5981">
        <v>-189.05</v>
      </c>
      <c r="H5981" s="1">
        <v>-1.1491510000000001E-6</v>
      </c>
      <c r="I5981">
        <v>1.918685</v>
      </c>
      <c r="J5981">
        <v>-189.6755</v>
      </c>
      <c r="K5981">
        <v>1.1161049999999999</v>
      </c>
      <c r="L5981">
        <v>-22.310179999999999</v>
      </c>
      <c r="M5981">
        <v>-0.1067844</v>
      </c>
      <c r="N5981">
        <v>-1.40124E-2</v>
      </c>
      <c r="O5981">
        <v>0.9941835</v>
      </c>
      <c r="P5981">
        <v>-3.6791999999999998E-2</v>
      </c>
      <c r="Q5981">
        <v>0.1544036</v>
      </c>
      <c r="R5981">
        <v>0.98732260000000005</v>
      </c>
      <c r="S5981">
        <v>7.3730470000000006E-2</v>
      </c>
      <c r="T5981">
        <v>-0.13911760000000001</v>
      </c>
      <c r="U5981">
        <v>3.064514</v>
      </c>
      <c r="V5981">
        <v>7.0893029999999996E-2</v>
      </c>
      <c r="W5981">
        <v>0.16735239999999901</v>
      </c>
      <c r="X5981">
        <v>0.98334500000000002</v>
      </c>
      <c r="Y5981">
        <v>0.13061249999999999</v>
      </c>
      <c r="Z5981">
        <v>-3.073938E-2</v>
      </c>
      <c r="AA5981">
        <v>0.99095679999999997</v>
      </c>
      <c r="AB5981">
        <v>32</v>
      </c>
      <c r="AC5981">
        <v>0.62549999999998795</v>
      </c>
      <c r="AD5981">
        <v>-1.11610614915099</v>
      </c>
      <c r="AE5981">
        <v>24.228864999999999</v>
      </c>
      <c r="AF5981">
        <v>3.20265006038575</v>
      </c>
      <c r="AG5981">
        <v>-1.11610614915099</v>
      </c>
      <c r="AH5981">
        <v>23.972665654844501</v>
      </c>
      <c r="AI5981">
        <v>92.642179777571002</v>
      </c>
      <c r="AJ5981">
        <v>82.390575445796998</v>
      </c>
      <c r="AK5981">
        <v>24.211389033767201</v>
      </c>
      <c r="AL5981">
        <v>80.366082651754596</v>
      </c>
      <c r="AM5981">
        <v>85.876466473209305</v>
      </c>
      <c r="AN5981">
        <v>1.00000001825667</v>
      </c>
    </row>
    <row r="5982" spans="1:40" x14ac:dyDescent="0.25">
      <c r="A5982" t="str">
        <f>"20190303171130464"</f>
        <v>20190303171130464</v>
      </c>
      <c r="B5982" t="str">
        <f>"1551604290456368"</f>
        <v>1551604290456368</v>
      </c>
      <c r="C5982" t="s">
        <v>40</v>
      </c>
      <c r="D5982">
        <v>5.1974790000000004</v>
      </c>
      <c r="E5982">
        <v>0.52090709999999996</v>
      </c>
      <c r="F5982" t="s">
        <v>42</v>
      </c>
      <c r="G5982">
        <v>-189.3689</v>
      </c>
      <c r="H5982" s="1">
        <v>-8.0731479999999999E-7</v>
      </c>
      <c r="I5982">
        <v>1.2537229999999999</v>
      </c>
      <c r="J5982">
        <v>-189.7012</v>
      </c>
      <c r="K5982">
        <v>1.1161160000000001</v>
      </c>
      <c r="L5982">
        <v>-22.02347</v>
      </c>
      <c r="M5982">
        <v>-0.101757</v>
      </c>
      <c r="N5982">
        <v>-1.401035E-2</v>
      </c>
      <c r="O5982">
        <v>0.9947106</v>
      </c>
      <c r="P5982">
        <v>-3.3658100000000003E-2</v>
      </c>
      <c r="Q5982">
        <v>0.15324090000000001</v>
      </c>
      <c r="R5982">
        <v>0.98761549999999998</v>
      </c>
      <c r="S5982">
        <v>3.98407E-2</v>
      </c>
      <c r="T5982">
        <v>-0.1450642</v>
      </c>
      <c r="U5982">
        <v>3.0626829999999998</v>
      </c>
      <c r="V5982">
        <v>6.9040089999999998E-2</v>
      </c>
      <c r="W5982">
        <v>0.16621559999999999</v>
      </c>
      <c r="X5982">
        <v>0.98366960000000003</v>
      </c>
      <c r="Y5982">
        <v>0.1146414</v>
      </c>
      <c r="Z5982">
        <v>-3.2777140000000003E-2</v>
      </c>
      <c r="AA5982">
        <v>0.99286600000000003</v>
      </c>
      <c r="AB5982">
        <v>32</v>
      </c>
      <c r="AC5982">
        <v>0.33230000000000298</v>
      </c>
      <c r="AD5982">
        <v>-1.11611680731479</v>
      </c>
      <c r="AE5982">
        <v>23.277193</v>
      </c>
      <c r="AF5982">
        <v>2.6932339139658099</v>
      </c>
      <c r="AG5982">
        <v>-1.11611680731479</v>
      </c>
      <c r="AH5982">
        <v>23.069498454925601</v>
      </c>
      <c r="AI5982">
        <v>92.751190116491003</v>
      </c>
      <c r="AJ5982">
        <v>83.341183070156603</v>
      </c>
      <c r="AK5982">
        <v>23.2529779728258</v>
      </c>
      <c r="AL5982">
        <v>80.432141781207804</v>
      </c>
      <c r="AM5982">
        <v>85.985207340063099</v>
      </c>
      <c r="AN5982">
        <v>1.0000000208373601</v>
      </c>
    </row>
    <row r="5983" spans="1:40" x14ac:dyDescent="0.25">
      <c r="A5983" t="str">
        <f>"20190303171130486"</f>
        <v>20190303171130486</v>
      </c>
      <c r="B5983" t="str">
        <f>"1551604290476864"</f>
        <v>1551604290476864</v>
      </c>
      <c r="C5983" t="s">
        <v>40</v>
      </c>
      <c r="D5983">
        <v>5.2575070000000004</v>
      </c>
      <c r="E5983">
        <v>0.52047010000000005</v>
      </c>
      <c r="F5983" t="s">
        <v>42</v>
      </c>
      <c r="G5983">
        <v>-189.3468</v>
      </c>
      <c r="H5983" s="1">
        <v>-6.0541499999999899E-7</v>
      </c>
      <c r="I5983">
        <v>0.77392490000000003</v>
      </c>
      <c r="J5983">
        <v>-189.72919999999999</v>
      </c>
      <c r="K5983">
        <v>1.116125</v>
      </c>
      <c r="L5983">
        <v>-21.690919999999998</v>
      </c>
      <c r="M5983">
        <v>-9.5922690000000005E-2</v>
      </c>
      <c r="N5983">
        <v>-1.4008079999999999E-2</v>
      </c>
      <c r="O5983">
        <v>0.99529020000000001</v>
      </c>
      <c r="P5983">
        <v>-2.960749E-2</v>
      </c>
      <c r="Q5983">
        <v>0.15290300000000001</v>
      </c>
      <c r="R5983">
        <v>0.98779760000000005</v>
      </c>
      <c r="S5983">
        <v>4.7607419999999998E-2</v>
      </c>
      <c r="T5983">
        <v>-0.14993419999999999</v>
      </c>
      <c r="U5983">
        <v>3.0625</v>
      </c>
      <c r="V5983">
        <v>6.730013E-2</v>
      </c>
      <c r="W5983">
        <v>0.16589999999999999</v>
      </c>
      <c r="X5983">
        <v>0.98384340000000003</v>
      </c>
      <c r="Y5983">
        <v>0.1113335</v>
      </c>
      <c r="Z5983">
        <v>-3.4399800000000001E-2</v>
      </c>
      <c r="AA5983">
        <v>0.9931875</v>
      </c>
      <c r="AB5983">
        <v>32</v>
      </c>
      <c r="AC5983">
        <v>0.38239999999998903</v>
      </c>
      <c r="AD5983">
        <v>-1.1161256054149999</v>
      </c>
      <c r="AE5983">
        <v>22.464844899999999</v>
      </c>
      <c r="AF5983">
        <v>2.5294941151736499</v>
      </c>
      <c r="AG5983">
        <v>-1.1161256054149999</v>
      </c>
      <c r="AH5983">
        <v>22.269595079661102</v>
      </c>
      <c r="AI5983">
        <v>92.850894481119695</v>
      </c>
      <c r="AJ5983">
        <v>83.519826243762793</v>
      </c>
      <c r="AK5983">
        <v>22.440564651047101</v>
      </c>
      <c r="AL5983">
        <v>80.450478495088504</v>
      </c>
      <c r="AM5983">
        <v>86.086759566943897</v>
      </c>
      <c r="AN5983">
        <v>0.99999997661078799</v>
      </c>
    </row>
    <row r="5984" spans="1:40" x14ac:dyDescent="0.25">
      <c r="A5984" t="str">
        <f>"20190303171130510"</f>
        <v>20190303171130510</v>
      </c>
      <c r="B5984" t="str">
        <f>"1551604290496384"</f>
        <v>1551604290496384</v>
      </c>
      <c r="C5984" t="s">
        <v>40</v>
      </c>
      <c r="D5984">
        <v>5.2002370000000004</v>
      </c>
      <c r="E5984">
        <v>0.52003259999999996</v>
      </c>
      <c r="F5984" t="s">
        <v>42</v>
      </c>
      <c r="G5984">
        <v>-189.3083</v>
      </c>
      <c r="H5984" s="1">
        <v>-6.1248029999999997E-7</v>
      </c>
      <c r="I5984">
        <v>0.77446789999999999</v>
      </c>
      <c r="J5984">
        <v>-189.75460000000001</v>
      </c>
      <c r="K5984">
        <v>1.1161299999999901</v>
      </c>
      <c r="L5984">
        <v>-21.365449999999999</v>
      </c>
      <c r="M5984">
        <v>-9.0208570000000002E-2</v>
      </c>
      <c r="N5984">
        <v>-1.4006070000000001E-2</v>
      </c>
      <c r="O5984">
        <v>0.99582440000000005</v>
      </c>
      <c r="P5984">
        <v>-2.441105E-2</v>
      </c>
      <c r="Q5984">
        <v>0.15459039999999999</v>
      </c>
      <c r="R5984">
        <v>0.98767700000000003</v>
      </c>
      <c r="S5984">
        <v>5.7373050000000002E-2</v>
      </c>
      <c r="T5984">
        <v>-0.152142</v>
      </c>
      <c r="U5984">
        <v>3.0623170000000002</v>
      </c>
      <c r="V5984">
        <v>6.6821279999999997E-2</v>
      </c>
      <c r="W5984">
        <v>0.167589299999999</v>
      </c>
      <c r="X5984">
        <v>0.98358970000000001</v>
      </c>
      <c r="Y5984">
        <v>0.10879659999999999</v>
      </c>
      <c r="Z5984">
        <v>-3.5160230000000001E-2</v>
      </c>
      <c r="AA5984">
        <v>0.99344209999999999</v>
      </c>
      <c r="AB5984">
        <v>32</v>
      </c>
      <c r="AC5984">
        <v>0.44630000000000702</v>
      </c>
      <c r="AD5984">
        <v>-1.1161306124803001</v>
      </c>
      <c r="AE5984">
        <v>22.139917899999901</v>
      </c>
      <c r="AF5984">
        <v>2.43569865614948</v>
      </c>
      <c r="AG5984">
        <v>-1.1161306124803001</v>
      </c>
      <c r="AH5984">
        <v>21.953598504580501</v>
      </c>
      <c r="AI5984">
        <v>92.892717911326002</v>
      </c>
      <c r="AJ5984">
        <v>83.669063721923294</v>
      </c>
      <c r="AK5984">
        <v>22.116483960792799</v>
      </c>
      <c r="AL5984">
        <v>80.352314441835205</v>
      </c>
      <c r="AM5984">
        <v>86.113518117697097</v>
      </c>
      <c r="AN5984">
        <v>0.99999997744070801</v>
      </c>
    </row>
    <row r="5985" spans="1:40" x14ac:dyDescent="0.25">
      <c r="A5985" t="str">
        <f>"20190303171130534"</f>
        <v>20190303171130534</v>
      </c>
      <c r="B5985" t="str">
        <f>"1551604290526641"</f>
        <v>1551604290526641</v>
      </c>
      <c r="C5985" t="s">
        <v>40</v>
      </c>
      <c r="D5985">
        <v>5.0141249999999999</v>
      </c>
      <c r="E5985">
        <v>0.51668999999999998</v>
      </c>
      <c r="F5985" t="s">
        <v>42</v>
      </c>
      <c r="G5985">
        <v>-189.23089999999999</v>
      </c>
      <c r="H5985" s="1">
        <v>-1.1310949999999999E-6</v>
      </c>
      <c r="I5985">
        <v>1.951362</v>
      </c>
      <c r="J5985">
        <v>-189.78020000000001</v>
      </c>
      <c r="K5985">
        <v>1.116144</v>
      </c>
      <c r="L5985">
        <v>-21.012910000000002</v>
      </c>
      <c r="M5985">
        <v>-8.401459E-2</v>
      </c>
      <c r="N5985">
        <v>-1.4003760000000001E-2</v>
      </c>
      <c r="O5985">
        <v>0.99636610000000003</v>
      </c>
      <c r="P5985">
        <v>-1.8444579999999999E-2</v>
      </c>
      <c r="Q5985">
        <v>0.15628900000000001</v>
      </c>
      <c r="R5985">
        <v>0.98753919999999995</v>
      </c>
      <c r="S5985">
        <v>6.8786620000000007E-2</v>
      </c>
      <c r="T5985">
        <v>-0.1465756</v>
      </c>
      <c r="U5985">
        <v>3.0620729999999998</v>
      </c>
      <c r="V5985">
        <v>6.664117E-2</v>
      </c>
      <c r="W5985">
        <v>0.1692852</v>
      </c>
      <c r="X5985">
        <v>0.9833115</v>
      </c>
      <c r="Y5985">
        <v>0.10632170000000001</v>
      </c>
      <c r="Z5985">
        <v>-3.3412629999999999E-2</v>
      </c>
      <c r="AA5985">
        <v>0.99377020000000005</v>
      </c>
      <c r="AB5985">
        <v>32</v>
      </c>
      <c r="AC5985">
        <v>0.549300000000016</v>
      </c>
      <c r="AD5985">
        <v>-1.1161451310949999</v>
      </c>
      <c r="AE5985">
        <v>22.964272000000001</v>
      </c>
      <c r="AF5985">
        <v>2.47104669127468</v>
      </c>
      <c r="AG5985">
        <v>-1.1161451310949999</v>
      </c>
      <c r="AH5985">
        <v>22.7831227735733</v>
      </c>
      <c r="AI5985">
        <v>92.788351418095999</v>
      </c>
      <c r="AJ5985">
        <v>83.809923508598999</v>
      </c>
      <c r="AK5985">
        <v>22.943899734348602</v>
      </c>
      <c r="AL5985">
        <v>80.253738464630302</v>
      </c>
      <c r="AM5985">
        <v>86.122868491212699</v>
      </c>
      <c r="AN5985">
        <v>1.0000000152551201</v>
      </c>
    </row>
    <row r="5986" spans="1:40" x14ac:dyDescent="0.25">
      <c r="A5986" t="str">
        <f>"20190303171130555"</f>
        <v>20190303171130555</v>
      </c>
      <c r="B5986" t="str">
        <f>"1551604290546159"</f>
        <v>1551604290546159</v>
      </c>
      <c r="C5986" t="s">
        <v>40</v>
      </c>
      <c r="D5986">
        <v>5.2590640000000004</v>
      </c>
      <c r="E5986">
        <v>0.51700279999999998</v>
      </c>
      <c r="F5986" t="s">
        <v>42</v>
      </c>
      <c r="G5986">
        <v>-189.2868</v>
      </c>
      <c r="H5986" s="1">
        <v>-2.081796E-6</v>
      </c>
      <c r="I5986">
        <v>4.1906210000000002</v>
      </c>
      <c r="J5986">
        <v>-189.80099999999999</v>
      </c>
      <c r="K5986">
        <v>1.11616</v>
      </c>
      <c r="L5986">
        <v>-20.70007</v>
      </c>
      <c r="M5986">
        <v>-7.8515070000000006E-2</v>
      </c>
      <c r="N5986">
        <v>-1.400155E-2</v>
      </c>
      <c r="O5986">
        <v>0.9968146</v>
      </c>
      <c r="P5986">
        <v>-1.369135E-2</v>
      </c>
      <c r="Q5986">
        <v>0.15743799999999999</v>
      </c>
      <c r="R5986">
        <v>0.98743400000000003</v>
      </c>
      <c r="S5986">
        <v>5.9906010000000003E-2</v>
      </c>
      <c r="T5986">
        <v>-0.13553189999999901</v>
      </c>
      <c r="U5986">
        <v>3.060425</v>
      </c>
      <c r="V5986">
        <v>6.5942920000000002E-2</v>
      </c>
      <c r="W5986">
        <v>0.17043929999999999</v>
      </c>
      <c r="X5986">
        <v>0.98315920000000001</v>
      </c>
      <c r="Y5986">
        <v>9.7968970000000002E-2</v>
      </c>
      <c r="Z5986">
        <v>-2.992353E-2</v>
      </c>
      <c r="AA5986">
        <v>0.9947395</v>
      </c>
      <c r="AB5986">
        <v>32</v>
      </c>
      <c r="AC5986">
        <v>0.514199999999988</v>
      </c>
      <c r="AD5986">
        <v>-1.1161620817960001</v>
      </c>
      <c r="AE5986">
        <v>24.890691</v>
      </c>
      <c r="AF5986">
        <v>2.4621493349113801</v>
      </c>
      <c r="AG5986">
        <v>-1.1161620817960001</v>
      </c>
      <c r="AH5986">
        <v>24.723765436327501</v>
      </c>
      <c r="AI5986">
        <v>92.572174651568602</v>
      </c>
      <c r="AJ5986">
        <v>84.312874076109907</v>
      </c>
      <c r="AK5986">
        <v>24.8711192850419</v>
      </c>
      <c r="AL5986">
        <v>80.186638318655199</v>
      </c>
      <c r="AM5986">
        <v>86.162777616703195</v>
      </c>
      <c r="AN5986">
        <v>1.0000000181136199</v>
      </c>
    </row>
    <row r="5987" spans="1:40" x14ac:dyDescent="0.25">
      <c r="A5987" t="str">
        <f>"20190303171130599"</f>
        <v>20190303171130599</v>
      </c>
      <c r="B5987" t="str">
        <f>"1551604290586176"</f>
        <v>1551604290586176</v>
      </c>
      <c r="C5987" t="s">
        <v>40</v>
      </c>
      <c r="D5987">
        <v>5.2534229999999997</v>
      </c>
      <c r="E5987">
        <v>0.51639429999999997</v>
      </c>
      <c r="F5987" t="s">
        <v>42</v>
      </c>
      <c r="G5987">
        <v>-189.1472</v>
      </c>
      <c r="H5987" s="1">
        <v>-2.5111800000000001E-6</v>
      </c>
      <c r="I5987">
        <v>5.1337760000000001</v>
      </c>
      <c r="J5987">
        <v>-189.83680000000001</v>
      </c>
      <c r="K5987">
        <v>1.116168</v>
      </c>
      <c r="L5987">
        <v>-20.08173</v>
      </c>
      <c r="M5987">
        <v>-6.7624939999999994E-2</v>
      </c>
      <c r="N5987">
        <v>-1.3997330000000001E-2</v>
      </c>
      <c r="O5987">
        <v>0.99761259999999996</v>
      </c>
      <c r="P5987">
        <v>-5.3181460000000002E-3</v>
      </c>
      <c r="Q5987">
        <v>0.1560936</v>
      </c>
      <c r="R5987">
        <v>0.98772789999999999</v>
      </c>
      <c r="S5987">
        <v>7.7453610000000006E-2</v>
      </c>
      <c r="T5987">
        <v>-0.13222300000000001</v>
      </c>
      <c r="U5987">
        <v>3.060333</v>
      </c>
      <c r="V5987">
        <v>6.3531610000000002E-2</v>
      </c>
      <c r="W5987">
        <v>0.16912629999999901</v>
      </c>
      <c r="X5987">
        <v>0.98354459999999999</v>
      </c>
      <c r="Y5987">
        <v>9.2804849999999994E-2</v>
      </c>
      <c r="Z5987">
        <v>-2.8916420000000002E-2</v>
      </c>
      <c r="AA5987">
        <v>0.99526440000000005</v>
      </c>
      <c r="AB5987">
        <v>32</v>
      </c>
      <c r="AC5987">
        <v>0.68960000000001198</v>
      </c>
      <c r="AD5987">
        <v>-1.11617051117999</v>
      </c>
      <c r="AE5987">
        <v>25.215506000000001</v>
      </c>
      <c r="AF5987">
        <v>2.3887082888832598</v>
      </c>
      <c r="AG5987">
        <v>-1.11617051117999</v>
      </c>
      <c r="AH5987">
        <v>25.062062749838699</v>
      </c>
      <c r="AI5987">
        <v>92.538565206008101</v>
      </c>
      <c r="AJ5987">
        <v>84.555487570052307</v>
      </c>
      <c r="AK5987">
        <v>25.2003720840836</v>
      </c>
      <c r="AL5987">
        <v>80.262975570826896</v>
      </c>
      <c r="AM5987">
        <v>86.304140099214905</v>
      </c>
      <c r="AN5987">
        <v>0.99999997550501996</v>
      </c>
    </row>
    <row r="5988" spans="1:40" x14ac:dyDescent="0.25">
      <c r="A5988" t="str">
        <f>"20190303171130621"</f>
        <v>20190303171130621</v>
      </c>
      <c r="B5988" t="str">
        <f>"1551604290606673"</f>
        <v>1551604290606673</v>
      </c>
      <c r="C5988" t="s">
        <v>40</v>
      </c>
      <c r="D5988">
        <v>5.2518190000000002</v>
      </c>
      <c r="E5988">
        <v>0.51605519999999905</v>
      </c>
      <c r="F5988" t="s">
        <v>42</v>
      </c>
      <c r="G5988">
        <v>-189.02879999999999</v>
      </c>
      <c r="H5988" s="1">
        <v>-2.44387E-6</v>
      </c>
      <c r="I5988">
        <v>4.9279219999999997</v>
      </c>
      <c r="J5988">
        <v>-189.85239999999999</v>
      </c>
      <c r="K5988">
        <v>1.11617099999999</v>
      </c>
      <c r="L5988">
        <v>-19.766390000000001</v>
      </c>
      <c r="M5988">
        <v>-6.206047E-2</v>
      </c>
      <c r="N5988">
        <v>-1.399535E-2</v>
      </c>
      <c r="O5988">
        <v>0.99797429999999998</v>
      </c>
      <c r="P5988">
        <v>-7.3784849999999999E-4</v>
      </c>
      <c r="Q5988">
        <v>0.15547520000000001</v>
      </c>
      <c r="R5988">
        <v>0.98783949999999998</v>
      </c>
      <c r="S5988">
        <v>9.8846439999999994E-2</v>
      </c>
      <c r="T5988">
        <v>-0.1365392</v>
      </c>
      <c r="U5988">
        <v>3.0593870000000001</v>
      </c>
      <c r="V5988">
        <v>6.2602489999999997E-2</v>
      </c>
      <c r="W5988">
        <v>0.16852</v>
      </c>
      <c r="X5988">
        <v>0.98370829999999998</v>
      </c>
      <c r="Y5988">
        <v>9.4210619999999995E-2</v>
      </c>
      <c r="Z5988">
        <v>-3.0345759999999999E-2</v>
      </c>
      <c r="AA5988">
        <v>0.99508969999999997</v>
      </c>
      <c r="AB5988">
        <v>32</v>
      </c>
      <c r="AC5988">
        <v>0.823599999999999</v>
      </c>
      <c r="AD5988">
        <v>-1.11617344386999</v>
      </c>
      <c r="AE5988">
        <v>24.694312</v>
      </c>
      <c r="AF5988">
        <v>2.3499072340343998</v>
      </c>
      <c r="AG5988">
        <v>-1.11617344386999</v>
      </c>
      <c r="AH5988">
        <v>24.545492832673801</v>
      </c>
      <c r="AI5988">
        <v>92.591820886349097</v>
      </c>
      <c r="AJ5988">
        <v>84.531351783813605</v>
      </c>
      <c r="AK5988">
        <v>24.682972381060701</v>
      </c>
      <c r="AL5988">
        <v>80.298220527520002</v>
      </c>
      <c r="AM5988">
        <v>86.358648201356701</v>
      </c>
      <c r="AN5988">
        <v>1.0000000408215399</v>
      </c>
    </row>
    <row r="5989" spans="1:40" x14ac:dyDescent="0.25">
      <c r="A5989" t="str">
        <f>"20190303171130643"</f>
        <v>20190303171130643</v>
      </c>
      <c r="B5989" t="str">
        <f>"1551604290636928"</f>
        <v>1551604290636928</v>
      </c>
      <c r="C5989" t="s">
        <v>40</v>
      </c>
      <c r="D5989">
        <v>5.2598599999999998</v>
      </c>
      <c r="E5989">
        <v>0.51246809999999998</v>
      </c>
      <c r="F5989" t="s">
        <v>42</v>
      </c>
      <c r="G5989">
        <v>-188.96700000000001</v>
      </c>
      <c r="H5989" s="1">
        <v>-2.4672369999999998E-6</v>
      </c>
      <c r="I5989">
        <v>4.956861</v>
      </c>
      <c r="J5989">
        <v>-189.86689999999999</v>
      </c>
      <c r="K5989">
        <v>1.1161810000000001</v>
      </c>
      <c r="L5989">
        <v>-19.437190000000001</v>
      </c>
      <c r="M5989">
        <v>-5.624258E-2</v>
      </c>
      <c r="N5989">
        <v>-1.399328E-2</v>
      </c>
      <c r="O5989">
        <v>0.99831910000000001</v>
      </c>
      <c r="P5989">
        <v>4.3826809999999898E-3</v>
      </c>
      <c r="Q5989">
        <v>0.1562809</v>
      </c>
      <c r="R5989">
        <v>0.98770290000000005</v>
      </c>
      <c r="S5989">
        <v>0.1095428</v>
      </c>
      <c r="T5989">
        <v>-0.138092299999999</v>
      </c>
      <c r="U5989">
        <v>3.0587460000000002</v>
      </c>
      <c r="V5989">
        <v>6.1967750000000002E-2</v>
      </c>
      <c r="W5989">
        <v>0.1693308</v>
      </c>
      <c r="X5989">
        <v>0.98360919999999996</v>
      </c>
      <c r="Y5989">
        <v>9.1890189999999997E-2</v>
      </c>
      <c r="Z5989">
        <v>-3.0886340000000002E-2</v>
      </c>
      <c r="AA5989">
        <v>0.99529000000000001</v>
      </c>
      <c r="AB5989">
        <v>32</v>
      </c>
      <c r="AC5989">
        <v>0.89989999999997305</v>
      </c>
      <c r="AD5989">
        <v>-1.1161834672369999</v>
      </c>
      <c r="AE5989">
        <v>24.394051000000001</v>
      </c>
      <c r="AF5989">
        <v>2.2658565095738101</v>
      </c>
      <c r="AG5989">
        <v>-1.1161834672369999</v>
      </c>
      <c r="AH5989">
        <v>24.2541027509989</v>
      </c>
      <c r="AI5989">
        <v>92.623507980469498</v>
      </c>
      <c r="AJ5989">
        <v>84.662828875036794</v>
      </c>
      <c r="AK5989">
        <v>24.385271610349601</v>
      </c>
      <c r="AL5989">
        <v>80.251087258072701</v>
      </c>
      <c r="AM5989">
        <v>86.395108605551599</v>
      </c>
      <c r="AN5989">
        <v>0.99999999009667095</v>
      </c>
    </row>
    <row r="5990" spans="1:40" x14ac:dyDescent="0.25">
      <c r="A5990" t="str">
        <f>"20190303171130667"</f>
        <v>20190303171130667</v>
      </c>
      <c r="B5990" t="str">
        <f>"1551604290656449"</f>
        <v>1551604290656449</v>
      </c>
      <c r="C5990" t="s">
        <v>40</v>
      </c>
      <c r="D5990">
        <v>4.9594760000000004</v>
      </c>
      <c r="E5990">
        <v>0.51268179999999997</v>
      </c>
      <c r="F5990" t="s">
        <v>42</v>
      </c>
      <c r="G5990">
        <v>-189.05350000000001</v>
      </c>
      <c r="H5990" s="1">
        <v>-3.0349310000000002E-6</v>
      </c>
      <c r="I5990">
        <v>6.3159390000000002</v>
      </c>
      <c r="J5990">
        <v>-189.87950000000001</v>
      </c>
      <c r="K5990">
        <v>1.116185</v>
      </c>
      <c r="L5990">
        <v>-19.105830000000001</v>
      </c>
      <c r="M5990">
        <v>-5.0366399999999999E-2</v>
      </c>
      <c r="N5990">
        <v>-1.3991480000000001E-2</v>
      </c>
      <c r="O5990">
        <v>0.99863279999999999</v>
      </c>
      <c r="P5990">
        <v>8.5991709999999992E-3</v>
      </c>
      <c r="Q5990">
        <v>0.15707969999999999</v>
      </c>
      <c r="R5990">
        <v>0.98754850000000005</v>
      </c>
      <c r="S5990">
        <v>9.657288E-2</v>
      </c>
      <c r="T5990">
        <v>-0.13253409999999999</v>
      </c>
      <c r="U5990">
        <v>3.0578919999999998</v>
      </c>
      <c r="V5990">
        <v>6.0378550000000003E-2</v>
      </c>
      <c r="W5990">
        <v>0.17014560000000001</v>
      </c>
      <c r="X5990">
        <v>0.98356739999999998</v>
      </c>
      <c r="Y5990">
        <v>8.1825640000000005E-2</v>
      </c>
      <c r="Z5990">
        <v>-2.9141520000000001E-2</v>
      </c>
      <c r="AA5990">
        <v>0.99622049999999995</v>
      </c>
      <c r="AB5990">
        <v>32</v>
      </c>
      <c r="AC5990">
        <v>0.82599999999999296</v>
      </c>
      <c r="AD5990">
        <v>-1.1161880349310001</v>
      </c>
      <c r="AE5990">
        <v>25.421769000000001</v>
      </c>
      <c r="AF5990">
        <v>2.1014328884700499</v>
      </c>
      <c r="AG5990">
        <v>-1.1161880349310001</v>
      </c>
      <c r="AH5990">
        <v>25.299170398008901</v>
      </c>
      <c r="AI5990">
        <v>92.517566927185399</v>
      </c>
      <c r="AJ5990">
        <v>85.251723028106198</v>
      </c>
      <c r="AK5990">
        <v>25.410822866281901</v>
      </c>
      <c r="AL5990">
        <v>80.203714974980699</v>
      </c>
      <c r="AM5990">
        <v>86.487174775179298</v>
      </c>
      <c r="AN5990">
        <v>0.99999996242111</v>
      </c>
    </row>
    <row r="5991" spans="1:40" x14ac:dyDescent="0.25">
      <c r="A5991" t="str">
        <f>"20190303171130688"</f>
        <v>20190303171130688</v>
      </c>
      <c r="B5991" t="str">
        <f>"1551604290676944"</f>
        <v>1551604290676944</v>
      </c>
      <c r="C5991" t="s">
        <v>40</v>
      </c>
      <c r="D5991">
        <v>5.1398609999999998</v>
      </c>
      <c r="E5991">
        <v>0.51190139999999995</v>
      </c>
      <c r="F5991" t="s">
        <v>42</v>
      </c>
      <c r="G5991">
        <v>-188.8895</v>
      </c>
      <c r="H5991" s="1">
        <v>-3.7077600000000001E-6</v>
      </c>
      <c r="I5991">
        <v>7.8164869999999897</v>
      </c>
      <c r="J5991">
        <v>-189.88939999999999</v>
      </c>
      <c r="K5991">
        <v>1.1161749999999999</v>
      </c>
      <c r="L5991">
        <v>-18.799320000000002</v>
      </c>
      <c r="M5991">
        <v>-4.4902419999999998E-2</v>
      </c>
      <c r="N5991">
        <v>-1.399049E-2</v>
      </c>
      <c r="O5991">
        <v>0.99889340000000004</v>
      </c>
      <c r="P5991">
        <v>1.26538E-2</v>
      </c>
      <c r="Q5991">
        <v>0.15712699999999999</v>
      </c>
      <c r="R5991">
        <v>0.98749730000000002</v>
      </c>
      <c r="S5991">
        <v>0.1124115</v>
      </c>
      <c r="T5991">
        <v>-0.1267422</v>
      </c>
      <c r="U5991">
        <v>3.057007</v>
      </c>
      <c r="V5991">
        <v>5.9036909999999998E-2</v>
      </c>
      <c r="W5991">
        <v>0.17020759999999999</v>
      </c>
      <c r="X5991">
        <v>0.98363820000000002</v>
      </c>
      <c r="Y5991">
        <v>8.1540970000000004E-2</v>
      </c>
      <c r="Z5991">
        <v>-2.7284340000000001E-2</v>
      </c>
      <c r="AA5991">
        <v>0.99629650000000003</v>
      </c>
      <c r="AB5991">
        <v>32</v>
      </c>
      <c r="AC5991">
        <v>0.99989999999999601</v>
      </c>
      <c r="AD5991">
        <v>-1.1161787077599901</v>
      </c>
      <c r="AE5991">
        <v>26.615807</v>
      </c>
      <c r="AF5991">
        <v>2.1902758358262302</v>
      </c>
      <c r="AG5991">
        <v>-1.1161787077599901</v>
      </c>
      <c r="AH5991">
        <v>26.497518993660901</v>
      </c>
      <c r="AI5991">
        <v>92.403906541197898</v>
      </c>
      <c r="AJ5991">
        <v>85.274693043199505</v>
      </c>
      <c r="AK5991">
        <v>26.611307295284899</v>
      </c>
      <c r="AL5991">
        <v>80.200110882442601</v>
      </c>
      <c r="AM5991">
        <v>86.565289052068707</v>
      </c>
      <c r="AN5991">
        <v>1.0000000461696701</v>
      </c>
    </row>
    <row r="5992" spans="1:40" x14ac:dyDescent="0.25">
      <c r="A5992" t="str">
        <f>"20190303171130712"</f>
        <v>20190303171130712</v>
      </c>
      <c r="B5992" t="str">
        <f>"1551604290706224"</f>
        <v>1551604290706224</v>
      </c>
      <c r="C5992" t="s">
        <v>40</v>
      </c>
      <c r="D5992">
        <v>5.2008830000000001</v>
      </c>
      <c r="E5992">
        <v>0.51086049999999905</v>
      </c>
      <c r="F5992" t="s">
        <v>42</v>
      </c>
      <c r="G5992">
        <v>-188.82900000000001</v>
      </c>
      <c r="H5992" s="1">
        <v>-3.9522269999999997E-6</v>
      </c>
      <c r="I5992">
        <v>8.3613400000000002</v>
      </c>
      <c r="J5992">
        <v>-189.89840000000001</v>
      </c>
      <c r="K5992">
        <v>1.11615</v>
      </c>
      <c r="L5992">
        <v>-18.46115</v>
      </c>
      <c r="M5992">
        <v>-3.8835170000000002E-2</v>
      </c>
      <c r="N5992">
        <v>-1.399007E-2</v>
      </c>
      <c r="O5992">
        <v>0.99914769999999997</v>
      </c>
      <c r="P5992">
        <v>1.736379E-2</v>
      </c>
      <c r="Q5992">
        <v>0.15622539999999999</v>
      </c>
      <c r="R5992">
        <v>0.98756880000000002</v>
      </c>
      <c r="S5992">
        <v>0.1193237</v>
      </c>
      <c r="T5992">
        <v>-0.1256052</v>
      </c>
      <c r="U5992">
        <v>3.0564269999999998</v>
      </c>
      <c r="V5992">
        <v>5.7754390000000003E-2</v>
      </c>
      <c r="W5992">
        <v>0.16932179999999999</v>
      </c>
      <c r="X5992">
        <v>0.98386709999999999</v>
      </c>
      <c r="Y5992">
        <v>7.7746380000000004E-2</v>
      </c>
      <c r="Z5992">
        <v>-2.6943729999999999E-2</v>
      </c>
      <c r="AA5992">
        <v>0.99660899999999997</v>
      </c>
      <c r="AB5992">
        <v>32</v>
      </c>
      <c r="AC5992">
        <v>1.0693999999999999</v>
      </c>
      <c r="AD5992">
        <v>-1.1161539522270001</v>
      </c>
      <c r="AE5992">
        <v>26.822489999999998</v>
      </c>
      <c r="AF5992">
        <v>2.1067088127239799</v>
      </c>
      <c r="AG5992">
        <v>-1.1161539522270001</v>
      </c>
      <c r="AH5992">
        <v>26.7145318400168</v>
      </c>
      <c r="AI5992">
        <v>92.385074635936306</v>
      </c>
      <c r="AJ5992">
        <v>85.490984638272593</v>
      </c>
      <c r="AK5992">
        <v>26.8207053057513</v>
      </c>
      <c r="AL5992">
        <v>80.251610139605106</v>
      </c>
      <c r="AM5992">
        <v>86.640511955180102</v>
      </c>
      <c r="AN5992">
        <v>0.99999995599096003</v>
      </c>
    </row>
    <row r="5993" spans="1:40" x14ac:dyDescent="0.25">
      <c r="A5993" t="str">
        <f>"20190303171130734"</f>
        <v>20190303171130734</v>
      </c>
      <c r="B5993" t="str">
        <f>"1551604290726720"</f>
        <v>1551604290726720</v>
      </c>
      <c r="C5993" t="s">
        <v>40</v>
      </c>
      <c r="D5993">
        <v>5.1950690000000002</v>
      </c>
      <c r="E5993">
        <v>0.51045260000000003</v>
      </c>
      <c r="F5993" t="s">
        <v>42</v>
      </c>
      <c r="G5993">
        <v>-188.8073</v>
      </c>
      <c r="H5993" s="1">
        <v>-3.8753050000000003E-6</v>
      </c>
      <c r="I5993">
        <v>8.1730520000000002</v>
      </c>
      <c r="J5993">
        <v>-189.905</v>
      </c>
      <c r="K5993">
        <v>1.116126</v>
      </c>
      <c r="L5993">
        <v>-18.135349999999999</v>
      </c>
      <c r="M5993">
        <v>-3.2940820000000003E-2</v>
      </c>
      <c r="N5993">
        <v>-1.3990290000000001E-2</v>
      </c>
      <c r="O5993">
        <v>0.99935940000000001</v>
      </c>
      <c r="P5993">
        <v>2.180052E-2</v>
      </c>
      <c r="Q5993">
        <v>0.15453549999999999</v>
      </c>
      <c r="R5993">
        <v>0.98774669999999998</v>
      </c>
      <c r="S5993">
        <v>0.12518309999999999</v>
      </c>
      <c r="T5993">
        <v>-0.12805949999999999</v>
      </c>
      <c r="U5993">
        <v>3.0558169999999998</v>
      </c>
      <c r="V5993">
        <v>5.6367239999999999E-2</v>
      </c>
      <c r="W5993">
        <v>0.16764999999999999</v>
      </c>
      <c r="X5993">
        <v>0.98423380000000005</v>
      </c>
      <c r="Y5993">
        <v>7.3780760000000001E-2</v>
      </c>
      <c r="Z5993">
        <v>-2.7769869999999999E-2</v>
      </c>
      <c r="AA5993">
        <v>0.99688779999999999</v>
      </c>
      <c r="AB5993">
        <v>32</v>
      </c>
      <c r="AC5993">
        <v>1.0976999999999999</v>
      </c>
      <c r="AD5993">
        <v>-1.116129875305</v>
      </c>
      <c r="AE5993">
        <v>26.308402000000001</v>
      </c>
      <c r="AF5993">
        <v>1.96028718305046</v>
      </c>
      <c r="AG5993">
        <v>-1.116129875305</v>
      </c>
      <c r="AH5993">
        <v>26.2108649654804</v>
      </c>
      <c r="AI5993">
        <v>92.431554266992805</v>
      </c>
      <c r="AJ5993">
        <v>85.722862553642798</v>
      </c>
      <c r="AK5993">
        <v>26.307753875563499</v>
      </c>
      <c r="AL5993">
        <v>80.348786707498505</v>
      </c>
      <c r="AM5993">
        <v>86.722241209988695</v>
      </c>
      <c r="AN5993">
        <v>0.999999980653828</v>
      </c>
    </row>
    <row r="5994" spans="1:40" x14ac:dyDescent="0.25">
      <c r="A5994" t="str">
        <f>"20190303171130756"</f>
        <v>20190303171130756</v>
      </c>
      <c r="B5994" t="str">
        <f>"1551604290746240"</f>
        <v>1551604290746240</v>
      </c>
      <c r="C5994" t="s">
        <v>40</v>
      </c>
      <c r="D5994">
        <v>5.2066210000000002</v>
      </c>
      <c r="E5994">
        <v>0.51002159999999996</v>
      </c>
      <c r="F5994" t="s">
        <v>42</v>
      </c>
      <c r="G5994">
        <v>-188.7801</v>
      </c>
      <c r="H5994" s="1">
        <v>-3.468028E-6</v>
      </c>
      <c r="I5994">
        <v>7.2124459999999999</v>
      </c>
      <c r="J5994">
        <v>-189.90950000000001</v>
      </c>
      <c r="K5994">
        <v>1.1160920000000001</v>
      </c>
      <c r="L5994">
        <v>-17.82657</v>
      </c>
      <c r="M5994">
        <v>-2.7300080000000001E-2</v>
      </c>
      <c r="N5994">
        <v>-1.399103E-2</v>
      </c>
      <c r="O5994">
        <v>0.99952940000000001</v>
      </c>
      <c r="P5994">
        <v>2.507355E-2</v>
      </c>
      <c r="Q5994">
        <v>0.1538176</v>
      </c>
      <c r="R5994">
        <v>0.98778109999999997</v>
      </c>
      <c r="S5994">
        <v>0.1355896</v>
      </c>
      <c r="T5994">
        <v>-0.1345314</v>
      </c>
      <c r="U5994">
        <v>3.0552670000000002</v>
      </c>
      <c r="V5994">
        <v>5.4075810000000002E-2</v>
      </c>
      <c r="W5994">
        <v>0.16695989999999999</v>
      </c>
      <c r="X5994">
        <v>0.98447969999999896</v>
      </c>
      <c r="Y5994">
        <v>7.1545830000000005E-2</v>
      </c>
      <c r="Z5994">
        <v>-2.9897190000000001E-2</v>
      </c>
      <c r="AA5994">
        <v>0.99698909999999996</v>
      </c>
      <c r="AB5994">
        <v>32</v>
      </c>
      <c r="AC5994">
        <v>1.1294</v>
      </c>
      <c r="AD5994">
        <v>-1.116095468028</v>
      </c>
      <c r="AE5994">
        <v>25.039016</v>
      </c>
      <c r="AF5994">
        <v>1.80902601164989</v>
      </c>
      <c r="AG5994">
        <v>-1.116095468028</v>
      </c>
      <c r="AH5994">
        <v>24.949375615809299</v>
      </c>
      <c r="AI5994">
        <v>92.554687147295994</v>
      </c>
      <c r="AJ5994">
        <v>85.852862778917597</v>
      </c>
      <c r="AK5994">
        <v>25.0397601390932</v>
      </c>
      <c r="AL5994">
        <v>80.3888923814187</v>
      </c>
      <c r="AM5994">
        <v>86.855998839768802</v>
      </c>
      <c r="AN5994">
        <v>1.00000004057362</v>
      </c>
    </row>
    <row r="5995" spans="1:40" x14ac:dyDescent="0.25">
      <c r="A5995" t="str">
        <f>"20190303171130779"</f>
        <v>20190303171130779</v>
      </c>
      <c r="B5995" t="str">
        <f>"1551604290766736"</f>
        <v>1551604290766736</v>
      </c>
      <c r="C5995" t="s">
        <v>40</v>
      </c>
      <c r="D5995">
        <v>4.9826739999999896</v>
      </c>
      <c r="E5995">
        <v>0.50964129999999996</v>
      </c>
      <c r="F5995" t="s">
        <v>42</v>
      </c>
      <c r="G5995">
        <v>-188.75299999999999</v>
      </c>
      <c r="H5995" s="1">
        <v>-3.326706E-6</v>
      </c>
      <c r="I5995">
        <v>6.8718059999999896</v>
      </c>
      <c r="J5995">
        <v>-189.91220000000001</v>
      </c>
      <c r="K5995">
        <v>1.1160669999999999</v>
      </c>
      <c r="L5995">
        <v>-17.506679999999999</v>
      </c>
      <c r="M5995">
        <v>-2.139986E-2</v>
      </c>
      <c r="N5995">
        <v>-1.399221E-2</v>
      </c>
      <c r="O5995">
        <v>0.99967309999999998</v>
      </c>
      <c r="P5995">
        <v>2.9330990000000001E-2</v>
      </c>
      <c r="Q5995">
        <v>0.15617609999999901</v>
      </c>
      <c r="R5995">
        <v>0.98729359999999999</v>
      </c>
      <c r="S5995">
        <v>0.14305109999999999</v>
      </c>
      <c r="T5995">
        <v>-0.138050799999999</v>
      </c>
      <c r="U5995">
        <v>3.0549620000000002</v>
      </c>
      <c r="V5995">
        <v>5.2539530000000001E-2</v>
      </c>
      <c r="W5995">
        <v>0.1693308</v>
      </c>
      <c r="X5995">
        <v>0.98415790000000003</v>
      </c>
      <c r="Y5995">
        <v>6.8091650000000004E-2</v>
      </c>
      <c r="Z5995">
        <v>-3.106107E-2</v>
      </c>
      <c r="AA5995">
        <v>0.99719539999999995</v>
      </c>
      <c r="AB5995">
        <v>32</v>
      </c>
      <c r="AC5995">
        <v>1.15920000000002</v>
      </c>
      <c r="AD5995">
        <v>-1.1160703267059999</v>
      </c>
      <c r="AE5995">
        <v>24.378485999999999</v>
      </c>
      <c r="AF5995">
        <v>1.6771744877627399</v>
      </c>
      <c r="AG5995">
        <v>-1.1160703267059999</v>
      </c>
      <c r="AH5995">
        <v>24.297283319463801</v>
      </c>
      <c r="AI5995">
        <v>92.623738572586007</v>
      </c>
      <c r="AJ5995">
        <v>86.051293883468801</v>
      </c>
      <c r="AK5995">
        <v>24.380658398469301</v>
      </c>
      <c r="AL5995">
        <v>80.251087819089307</v>
      </c>
      <c r="AM5995">
        <v>86.944150484650905</v>
      </c>
      <c r="AN5995">
        <v>1.00000004708683</v>
      </c>
    </row>
    <row r="5996" spans="1:40" x14ac:dyDescent="0.25">
      <c r="A5996" t="str">
        <f>"20190303171130800"</f>
        <v>20190303171130800</v>
      </c>
      <c r="B5996" t="str">
        <f>"1551604290786256"</f>
        <v>1551604290786256</v>
      </c>
      <c r="C5996" t="s">
        <v>40</v>
      </c>
      <c r="D5996">
        <v>5.2007629999999896</v>
      </c>
      <c r="E5996">
        <v>0.50927259999999996</v>
      </c>
      <c r="F5996" t="s">
        <v>42</v>
      </c>
      <c r="G5996">
        <v>-188.60659999999999</v>
      </c>
      <c r="H5996" s="1">
        <v>-4.0683730000000002E-6</v>
      </c>
      <c r="I5996">
        <v>8.5400980000000004</v>
      </c>
      <c r="J5996">
        <v>-189.91290000000001</v>
      </c>
      <c r="K5996">
        <v>1.1160509999999999</v>
      </c>
      <c r="L5996">
        <v>-17.196079999999998</v>
      </c>
      <c r="M5996">
        <v>-1.5626919999999999E-2</v>
      </c>
      <c r="N5996">
        <v>-1.39932999999999E-2</v>
      </c>
      <c r="O5996">
        <v>0.99977990000000005</v>
      </c>
      <c r="P5996">
        <v>3.4102779999999999E-2</v>
      </c>
      <c r="Q5996">
        <v>0.15788389999999999</v>
      </c>
      <c r="R5996">
        <v>0.98686859999999998</v>
      </c>
      <c r="S5996">
        <v>0.15312190000000001</v>
      </c>
      <c r="T5996">
        <v>-0.13089329999999999</v>
      </c>
      <c r="U5996">
        <v>3.0547789999999999</v>
      </c>
      <c r="V5996">
        <v>5.163947E-2</v>
      </c>
      <c r="W5996">
        <v>0.171044</v>
      </c>
      <c r="X5996">
        <v>0.98390920000000004</v>
      </c>
      <c r="Y5996">
        <v>6.5618499999999996E-2</v>
      </c>
      <c r="Z5996">
        <v>-2.873854E-2</v>
      </c>
      <c r="AA5996">
        <v>0.99743090000000001</v>
      </c>
      <c r="AB5996">
        <v>32</v>
      </c>
      <c r="AC5996">
        <v>1.30630000000002</v>
      </c>
      <c r="AD5996">
        <v>-1.1160550683729999</v>
      </c>
      <c r="AE5996">
        <v>25.736177999999999</v>
      </c>
      <c r="AF5996">
        <v>1.7051586800688801</v>
      </c>
      <c r="AG5996">
        <v>-1.1160550683729999</v>
      </c>
      <c r="AH5996">
        <v>25.6644802271286</v>
      </c>
      <c r="AI5996">
        <v>92.484545756386197</v>
      </c>
      <c r="AJ5996">
        <v>86.198831347520496</v>
      </c>
      <c r="AK5996">
        <v>25.745265397127501</v>
      </c>
      <c r="AL5996">
        <v>80.151475033070398</v>
      </c>
      <c r="AM5996">
        <v>86.995646041501203</v>
      </c>
      <c r="AN5996">
        <v>0.99999999932126005</v>
      </c>
    </row>
    <row r="5997" spans="1:40" x14ac:dyDescent="0.25">
      <c r="A5997" t="str">
        <f>"20190303171130825"</f>
        <v>20190303171130825</v>
      </c>
      <c r="B5997" t="str">
        <f>"1551604290816513"</f>
        <v>1551604290816513</v>
      </c>
      <c r="C5997" t="s">
        <v>40</v>
      </c>
      <c r="D5997">
        <v>5.2660559999999998</v>
      </c>
      <c r="E5997">
        <v>0.50878630000000002</v>
      </c>
      <c r="F5997" t="s">
        <v>42</v>
      </c>
      <c r="G5997">
        <v>-188.46090000000001</v>
      </c>
      <c r="H5997" s="1">
        <v>-4.62622E-7</v>
      </c>
      <c r="I5997">
        <v>9.8040909999999997</v>
      </c>
      <c r="J5997">
        <v>-189.91139999999999</v>
      </c>
      <c r="K5997">
        <v>1.1160239999999999</v>
      </c>
      <c r="L5997">
        <v>-16.834989999999902</v>
      </c>
      <c r="M5997">
        <v>-8.8757049999999994E-3</v>
      </c>
      <c r="N5997">
        <v>-1.399384E-2</v>
      </c>
      <c r="O5997">
        <v>0.99986269999999999</v>
      </c>
      <c r="P5997">
        <v>3.91851E-2</v>
      </c>
      <c r="Q5997">
        <v>0.15700430000000001</v>
      </c>
      <c r="R5997">
        <v>0.98682020000000004</v>
      </c>
      <c r="S5997">
        <v>0.16426089999999999</v>
      </c>
      <c r="T5997">
        <v>-0.12625539999999999</v>
      </c>
      <c r="U5997">
        <v>3.054443</v>
      </c>
      <c r="V5997">
        <v>5.0058829999999999E-2</v>
      </c>
      <c r="W5997">
        <v>0.17018459999999999</v>
      </c>
      <c r="X5997">
        <v>0.98413989999999996</v>
      </c>
      <c r="Y5997">
        <v>6.2517639999999999E-2</v>
      </c>
      <c r="Z5997">
        <v>-2.7237870000000001E-2</v>
      </c>
      <c r="AA5997">
        <v>0.99767209999999995</v>
      </c>
      <c r="AB5997">
        <v>32</v>
      </c>
      <c r="AC5997">
        <v>1.4504999999999699</v>
      </c>
      <c r="AD5997">
        <v>-1.1160244626219999</v>
      </c>
      <c r="AE5997">
        <v>26.639081000000001</v>
      </c>
      <c r="AF5997">
        <v>1.6839598002864999</v>
      </c>
      <c r="AG5997">
        <v>-1.1160244626219999</v>
      </c>
      <c r="AH5997">
        <v>26.578644970126</v>
      </c>
      <c r="AI5997">
        <v>92.399603913215401</v>
      </c>
      <c r="AJ5997">
        <v>86.374721201406999</v>
      </c>
      <c r="AK5997">
        <v>26.655310909050598</v>
      </c>
      <c r="AL5997">
        <v>80.201447874696598</v>
      </c>
      <c r="AM5997">
        <v>87.088127493366997</v>
      </c>
      <c r="AN5997">
        <v>1.00000001365506</v>
      </c>
    </row>
    <row r="5998" spans="1:40" x14ac:dyDescent="0.25">
      <c r="A5998" t="str">
        <f>"20190303171130843"</f>
        <v>20190303171130843</v>
      </c>
      <c r="B5998" t="str">
        <f>"1551604290837008"</f>
        <v>1551604290837008</v>
      </c>
      <c r="C5998" t="s">
        <v>40</v>
      </c>
      <c r="D5998">
        <v>5.2632300000000001</v>
      </c>
      <c r="E5998">
        <v>0.50330959999999902</v>
      </c>
      <c r="F5998" t="s">
        <v>42</v>
      </c>
      <c r="G5998">
        <v>-188.38550000000001</v>
      </c>
      <c r="H5998" s="1">
        <v>-4.3032600000000001E-7</v>
      </c>
      <c r="I5998">
        <v>9.6502859999999995</v>
      </c>
      <c r="J5998">
        <v>-189.90889999999999</v>
      </c>
      <c r="K5998">
        <v>1.1160049999999999</v>
      </c>
      <c r="L5998">
        <v>-16.57855</v>
      </c>
      <c r="M5998">
        <v>-4.0628089999999997E-3</v>
      </c>
      <c r="N5998">
        <v>-1.3993770000000001E-2</v>
      </c>
      <c r="O5998">
        <v>0.99989380000000005</v>
      </c>
      <c r="P5998">
        <v>4.1688070000000001E-2</v>
      </c>
      <c r="Q5998">
        <v>0.1542731</v>
      </c>
      <c r="R5998">
        <v>0.98714840000000004</v>
      </c>
      <c r="S5998">
        <v>0.17591860000000001</v>
      </c>
      <c r="T5998">
        <v>-0.12866939999999999</v>
      </c>
      <c r="U5998">
        <v>3.0535580000000002</v>
      </c>
      <c r="V5998">
        <v>4.7784199999999999E-2</v>
      </c>
      <c r="W5998">
        <v>0.1674882</v>
      </c>
      <c r="X5998">
        <v>0.98471529999999996</v>
      </c>
      <c r="Y5998">
        <v>6.1524910000000002E-2</v>
      </c>
      <c r="Z5998">
        <v>-2.8037860000000001E-2</v>
      </c>
      <c r="AA5998">
        <v>0.99771169999999998</v>
      </c>
      <c r="AB5998">
        <v>32</v>
      </c>
      <c r="AC5998">
        <v>1.5233999999999801</v>
      </c>
      <c r="AD5998">
        <v>-1.1160054303260001</v>
      </c>
      <c r="AE5998">
        <v>26.228835999999902</v>
      </c>
      <c r="AF5998">
        <v>1.62702495089262</v>
      </c>
      <c r="AG5998">
        <v>-1.1160054303260001</v>
      </c>
      <c r="AH5998">
        <v>26.175201326933699</v>
      </c>
      <c r="AI5998">
        <v>92.436686098937201</v>
      </c>
      <c r="AJ5998">
        <v>86.443126541813797</v>
      </c>
      <c r="AK5998">
        <v>26.2494541432171</v>
      </c>
      <c r="AL5998">
        <v>80.358189579249398</v>
      </c>
      <c r="AM5998">
        <v>87.221849771608404</v>
      </c>
      <c r="AN5998">
        <v>0.99999992448148201</v>
      </c>
    </row>
    <row r="5999" spans="1:40" x14ac:dyDescent="0.25">
      <c r="A5999" t="str">
        <f>"20190303171130867"</f>
        <v>20190303171130867</v>
      </c>
      <c r="B5999" t="str">
        <f>"1551604290856528"</f>
        <v>1551604290856528</v>
      </c>
      <c r="C5999" t="s">
        <v>40</v>
      </c>
      <c r="D5999">
        <v>5.2609399999999997</v>
      </c>
      <c r="E5999">
        <v>0.5030017</v>
      </c>
      <c r="F5999" t="s">
        <v>42</v>
      </c>
      <c r="G5999">
        <v>-188.6558</v>
      </c>
      <c r="H5999" s="1">
        <v>-6.4967619999999996E-7</v>
      </c>
      <c r="I5999">
        <v>10.506180000000001</v>
      </c>
      <c r="J5999">
        <v>-189.90369999999999</v>
      </c>
      <c r="K5999">
        <v>1.1159969999999999</v>
      </c>
      <c r="L5999">
        <v>-16.242000000000001</v>
      </c>
      <c r="M5999">
        <v>2.2683769999999998E-3</v>
      </c>
      <c r="N5999">
        <v>-1.399327E-2</v>
      </c>
      <c r="O5999">
        <v>0.99989950000000005</v>
      </c>
      <c r="P5999">
        <v>4.5471209999999998E-2</v>
      </c>
      <c r="Q5999">
        <v>0.1537647</v>
      </c>
      <c r="R5999">
        <v>0.98706070000000001</v>
      </c>
      <c r="S5999">
        <v>0.14123540000000001</v>
      </c>
      <c r="T5999">
        <v>-0.1257856</v>
      </c>
      <c r="U5999">
        <v>3.0527340000000001</v>
      </c>
      <c r="V5999">
        <v>4.5312860000000003E-2</v>
      </c>
      <c r="W5999">
        <v>0.16701250000000001</v>
      </c>
      <c r="X5999">
        <v>0.98491300000000004</v>
      </c>
      <c r="Y5999">
        <v>4.3915490000000001E-2</v>
      </c>
      <c r="Z5999">
        <v>-2.7142619999999999E-2</v>
      </c>
      <c r="AA5999">
        <v>0.99866650000000001</v>
      </c>
      <c r="AB5999">
        <v>32</v>
      </c>
      <c r="AC5999">
        <v>1.24789999999998</v>
      </c>
      <c r="AD5999">
        <v>-1.1159976496762001</v>
      </c>
      <c r="AE5999">
        <v>26.748179999999898</v>
      </c>
      <c r="AF5999">
        <v>1.1851573002989699</v>
      </c>
      <c r="AG5999">
        <v>-1.1159976496762001</v>
      </c>
      <c r="AH5999">
        <v>26.7045569771232</v>
      </c>
      <c r="AI5999">
        <v>92.390678204685202</v>
      </c>
      <c r="AJ5999">
        <v>87.458861342202994</v>
      </c>
      <c r="AK5999">
        <v>26.754128876211801</v>
      </c>
      <c r="AL5999">
        <v>80.385835544644706</v>
      </c>
      <c r="AM5999">
        <v>87.365852423323702</v>
      </c>
      <c r="AN5999">
        <v>1.00000002400331</v>
      </c>
    </row>
    <row r="6000" spans="1:40" x14ac:dyDescent="0.25">
      <c r="A6000" t="str">
        <f>"20190303171130887"</f>
        <v>20190303171130887</v>
      </c>
      <c r="B6000" t="str">
        <f>"1551604290877024"</f>
        <v>1551604290877024</v>
      </c>
      <c r="C6000" t="s">
        <v>40</v>
      </c>
      <c r="D6000">
        <v>5.2103149999999996</v>
      </c>
      <c r="E6000">
        <v>0.50219639999999999</v>
      </c>
      <c r="F6000" t="s">
        <v>42</v>
      </c>
      <c r="G6000">
        <v>-188.62569999999999</v>
      </c>
      <c r="H6000" s="1">
        <v>-3.8338830000000002E-7</v>
      </c>
      <c r="I6000">
        <v>9.7001629999999999</v>
      </c>
      <c r="J6000">
        <v>-189.8974</v>
      </c>
      <c r="K6000">
        <v>1.1160049999999999</v>
      </c>
      <c r="L6000">
        <v>-15.94638</v>
      </c>
      <c r="M6000">
        <v>7.8297999999999996E-3</v>
      </c>
      <c r="N6000">
        <v>-1.399251E-2</v>
      </c>
      <c r="O6000">
        <v>0.99987139999999997</v>
      </c>
      <c r="P6000">
        <v>4.9718030000000003E-2</v>
      </c>
      <c r="Q6000">
        <v>0.15489320000000001</v>
      </c>
      <c r="R6000">
        <v>0.98667939999999998</v>
      </c>
      <c r="S6000">
        <v>0.15039060000000001</v>
      </c>
      <c r="T6000">
        <v>-0.131329799999999</v>
      </c>
      <c r="U6000">
        <v>3.0528559999999998</v>
      </c>
      <c r="V6000">
        <v>4.4084239999999997E-2</v>
      </c>
      <c r="W6000">
        <v>0.16815439999999901</v>
      </c>
      <c r="X6000">
        <v>0.98477440000000005</v>
      </c>
      <c r="Y6000">
        <v>4.1342909999999997E-2</v>
      </c>
      <c r="Z6000">
        <v>-2.895147E-2</v>
      </c>
      <c r="AA6000">
        <v>0.99872550000000004</v>
      </c>
      <c r="AB6000">
        <v>32</v>
      </c>
      <c r="AC6000">
        <v>1.2717000000000001</v>
      </c>
      <c r="AD6000">
        <v>-1.1160053833882999</v>
      </c>
      <c r="AE6000">
        <v>25.646542999999902</v>
      </c>
      <c r="AF6000">
        <v>1.06881515603178</v>
      </c>
      <c r="AG6000">
        <v>-1.1160053833882999</v>
      </c>
      <c r="AH6000">
        <v>25.607345173270101</v>
      </c>
      <c r="AI6000">
        <v>92.493286273158603</v>
      </c>
      <c r="AJ6000">
        <v>87.609940713076</v>
      </c>
      <c r="AK6000">
        <v>25.653926808122598</v>
      </c>
      <c r="AL6000">
        <v>80.319470435415894</v>
      </c>
      <c r="AM6000">
        <v>87.436818344755395</v>
      </c>
      <c r="AN6000">
        <v>0.99999997067554802</v>
      </c>
    </row>
    <row r="6001" spans="1:40" x14ac:dyDescent="0.25">
      <c r="A6001" t="str">
        <f>"20190303171130911"</f>
        <v>20190303171130911</v>
      </c>
      <c r="B6001" t="str">
        <f>"1551604290906304"</f>
        <v>1551604290906304</v>
      </c>
      <c r="C6001" t="s">
        <v>40</v>
      </c>
      <c r="D6001">
        <v>5.1619120000000001</v>
      </c>
      <c r="E6001">
        <v>0.50156270000000003</v>
      </c>
      <c r="F6001" t="s">
        <v>42</v>
      </c>
      <c r="G6001">
        <v>-188.5573</v>
      </c>
      <c r="H6001" s="1">
        <v>-5.4245279999999998E-7</v>
      </c>
      <c r="I6001">
        <v>10.11407</v>
      </c>
      <c r="J6001">
        <v>-189.88849999999999</v>
      </c>
      <c r="K6001">
        <v>1.1160159999999999</v>
      </c>
      <c r="L6001">
        <v>-15.618230000000001</v>
      </c>
      <c r="M6001">
        <v>1.398277E-2</v>
      </c>
      <c r="N6001">
        <v>-1.3990900000000001E-2</v>
      </c>
      <c r="O6001">
        <v>0.99980440000000004</v>
      </c>
      <c r="P6001">
        <v>5.3432649999999998E-2</v>
      </c>
      <c r="Q6001">
        <v>0.1547501</v>
      </c>
      <c r="R6001">
        <v>0.98650769999999999</v>
      </c>
      <c r="S6001">
        <v>0.15699769999999999</v>
      </c>
      <c r="T6001">
        <v>-0.13074520000000001</v>
      </c>
      <c r="U6001">
        <v>3.0531009999999998</v>
      </c>
      <c r="V6001">
        <v>4.1718440000000002E-2</v>
      </c>
      <c r="W6001">
        <v>0.168042</v>
      </c>
      <c r="X6001">
        <v>0.98489669999999896</v>
      </c>
      <c r="Y6001">
        <v>3.7347749999999999E-2</v>
      </c>
      <c r="Z6001">
        <v>-2.8757890000000001E-2</v>
      </c>
      <c r="AA6001">
        <v>0.99888840000000001</v>
      </c>
      <c r="AB6001">
        <v>32</v>
      </c>
      <c r="AC6001">
        <v>1.3311999999999899</v>
      </c>
      <c r="AD6001">
        <v>-1.1160165424527999</v>
      </c>
      <c r="AE6001">
        <v>25.732299999999999</v>
      </c>
      <c r="AF6001">
        <v>0.96940722854181605</v>
      </c>
      <c r="AG6001">
        <v>-1.1160165424527999</v>
      </c>
      <c r="AH6001">
        <v>25.700187012901502</v>
      </c>
      <c r="AI6001">
        <v>92.484710959849593</v>
      </c>
      <c r="AJ6001">
        <v>87.839835821709102</v>
      </c>
      <c r="AK6001">
        <v>25.742666058430899</v>
      </c>
      <c r="AL6001">
        <v>80.326003983029295</v>
      </c>
      <c r="AM6001">
        <v>87.574504502933607</v>
      </c>
      <c r="AN6001">
        <v>1.00000002583546</v>
      </c>
    </row>
    <row r="6002" spans="1:40" x14ac:dyDescent="0.25">
      <c r="A6002" t="str">
        <f>"20190303171130934"</f>
        <v>20190303171130934</v>
      </c>
      <c r="B6002" t="str">
        <f>"1551604290926799"</f>
        <v>1551604290926799</v>
      </c>
      <c r="C6002" t="s">
        <v>40</v>
      </c>
      <c r="D6002">
        <v>5.1668710000000004</v>
      </c>
      <c r="E6002">
        <v>0.4825139</v>
      </c>
      <c r="F6002" t="s">
        <v>42</v>
      </c>
      <c r="G6002">
        <v>-188.51589999999999</v>
      </c>
      <c r="H6002" s="1">
        <v>-5.1797559999999996E-7</v>
      </c>
      <c r="I6002">
        <v>10.009790000000001</v>
      </c>
      <c r="J6002">
        <v>-189.8776</v>
      </c>
      <c r="K6002">
        <v>1.116045</v>
      </c>
      <c r="L6002">
        <v>-15.28891</v>
      </c>
      <c r="M6002">
        <v>2.0102350000000001E-2</v>
      </c>
      <c r="N6002">
        <v>-1.398773E-2</v>
      </c>
      <c r="O6002">
        <v>0.99970009999999998</v>
      </c>
      <c r="P6002">
        <v>5.6557389999999999E-2</v>
      </c>
      <c r="Q6002">
        <v>0.153084</v>
      </c>
      <c r="R6002">
        <v>0.98659339999999995</v>
      </c>
      <c r="S6002">
        <v>0.1635132</v>
      </c>
      <c r="T6002">
        <v>-0.13294990000000001</v>
      </c>
      <c r="U6002">
        <v>3.0530400000000002</v>
      </c>
      <c r="V6002">
        <v>3.8762829999999998E-2</v>
      </c>
      <c r="W6002">
        <v>0.1664177</v>
      </c>
      <c r="X6002">
        <v>0.98529310000000003</v>
      </c>
      <c r="Y6002">
        <v>3.3357850000000001E-2</v>
      </c>
      <c r="Z6002">
        <v>-2.9477929999999999E-2</v>
      </c>
      <c r="AA6002">
        <v>0.99900869999999997</v>
      </c>
      <c r="AB6002">
        <v>32</v>
      </c>
      <c r="AC6002">
        <v>1.3617000000000099</v>
      </c>
      <c r="AD6002">
        <v>-1.1160455179755999</v>
      </c>
      <c r="AE6002">
        <v>25.2987</v>
      </c>
      <c r="AF6002">
        <v>0.85116004958179203</v>
      </c>
      <c r="AG6002">
        <v>-1.1160455179755999</v>
      </c>
      <c r="AH6002">
        <v>25.271923001785201</v>
      </c>
      <c r="AI6002">
        <v>92.527192370295694</v>
      </c>
      <c r="AJ6002">
        <v>88.071003493842497</v>
      </c>
      <c r="AK6002">
        <v>25.3108696657455</v>
      </c>
      <c r="AL6002">
        <v>80.420398070883294</v>
      </c>
      <c r="AM6002">
        <v>87.747064500415405</v>
      </c>
      <c r="AN6002">
        <v>0.99999995038525302</v>
      </c>
    </row>
    <row r="6003" spans="1:40" x14ac:dyDescent="0.25">
      <c r="A6003" t="str">
        <f>"20190303171130959"</f>
        <v>20190303171130959</v>
      </c>
      <c r="B6003" t="str">
        <f>"1551604290946320"</f>
        <v>1551604290946320</v>
      </c>
      <c r="C6003" t="s">
        <v>40</v>
      </c>
      <c r="D6003">
        <v>5.2241109999999997</v>
      </c>
      <c r="E6003">
        <v>0.48184080000000001</v>
      </c>
      <c r="F6003" t="s">
        <v>42</v>
      </c>
      <c r="G6003">
        <v>-189.63140000000001</v>
      </c>
      <c r="H6003" s="1">
        <v>-3.5779539999999999E-6</v>
      </c>
      <c r="I6003">
        <v>17.82066</v>
      </c>
      <c r="J6003">
        <v>-189.8647</v>
      </c>
      <c r="K6003">
        <v>1.1161129999999999</v>
      </c>
      <c r="L6003">
        <v>-14.959079999999901</v>
      </c>
      <c r="M6003">
        <v>2.612927E-2</v>
      </c>
      <c r="N6003">
        <v>-1.3982110000000001E-2</v>
      </c>
      <c r="O6003">
        <v>0.99956080000000003</v>
      </c>
      <c r="P6003">
        <v>5.9468189999999997E-2</v>
      </c>
      <c r="Q6003">
        <v>0.15246889999999999</v>
      </c>
      <c r="R6003">
        <v>0.98651750000000005</v>
      </c>
      <c r="S6003">
        <v>2.2720339999999999E-2</v>
      </c>
      <c r="T6003">
        <v>-0.10299229999999999</v>
      </c>
      <c r="U6003">
        <v>3.05545</v>
      </c>
      <c r="V6003">
        <v>3.5685149999999999E-2</v>
      </c>
      <c r="W6003">
        <v>0.16584360000000001</v>
      </c>
      <c r="X6003">
        <v>0.9855062</v>
      </c>
      <c r="Y6003">
        <v>-1.8693060000000001E-2</v>
      </c>
      <c r="Z6003">
        <v>-1.969183E-2</v>
      </c>
      <c r="AA6003">
        <v>0.9996313</v>
      </c>
      <c r="AB6003">
        <v>32</v>
      </c>
      <c r="AC6003">
        <v>0.23329999999998499</v>
      </c>
      <c r="AD6003">
        <v>-1.1161165779540001</v>
      </c>
      <c r="AE6003">
        <v>32.779739999999997</v>
      </c>
      <c r="AF6003">
        <v>-0.62265224569501498</v>
      </c>
      <c r="AG6003">
        <v>-1.1161165779540001</v>
      </c>
      <c r="AH6003">
        <v>32.7366916593583</v>
      </c>
      <c r="AI6003">
        <v>91.952318795776605</v>
      </c>
      <c r="AJ6003">
        <v>91.089634991417796</v>
      </c>
      <c r="AK6003">
        <v>32.761629886721998</v>
      </c>
      <c r="AL6003">
        <v>80.453755595173106</v>
      </c>
      <c r="AM6003">
        <v>87.926227572836694</v>
      </c>
      <c r="AN6003">
        <v>0.99999999991496102</v>
      </c>
    </row>
    <row r="6004" spans="1:40" x14ac:dyDescent="0.25">
      <c r="A6004" t="str">
        <f>"20190303171130981"</f>
        <v>20190303171130981</v>
      </c>
      <c r="B6004" t="str">
        <f>"1551604290966816"</f>
        <v>1551604290966816</v>
      </c>
      <c r="C6004" t="s">
        <v>40</v>
      </c>
      <c r="D6004">
        <v>5.2247079999999997</v>
      </c>
      <c r="E6004">
        <v>0.48120269999999998</v>
      </c>
      <c r="F6004" t="s">
        <v>42</v>
      </c>
      <c r="G6004">
        <v>-189.55969999999999</v>
      </c>
      <c r="H6004" s="1">
        <v>-5.3853459999999995E-7</v>
      </c>
      <c r="I6004">
        <v>20.706029999999998</v>
      </c>
      <c r="J6004">
        <v>-189.8502</v>
      </c>
      <c r="K6004">
        <v>1.1162240000000001</v>
      </c>
      <c r="L6004">
        <v>-14.63672</v>
      </c>
      <c r="M6004">
        <v>3.1863229999999999E-2</v>
      </c>
      <c r="N6004">
        <v>-1.397368E-2</v>
      </c>
      <c r="O6004">
        <v>0.99939449999999996</v>
      </c>
      <c r="P6004">
        <v>6.3425759999999998E-2</v>
      </c>
      <c r="Q6004">
        <v>0.15308050000000001</v>
      </c>
      <c r="R6004">
        <v>0.98617630000000001</v>
      </c>
      <c r="S6004">
        <v>2.6123049999999998E-2</v>
      </c>
      <c r="T6004">
        <v>-9.5578910000000003E-2</v>
      </c>
      <c r="U6004">
        <v>3.0541990000000001</v>
      </c>
      <c r="V6004">
        <v>3.3948659999999999E-2</v>
      </c>
      <c r="W6004">
        <v>0.16647600000000001</v>
      </c>
      <c r="X6004">
        <v>0.98546089999999997</v>
      </c>
      <c r="Y6004">
        <v>-2.3310589999999999E-2</v>
      </c>
      <c r="Z6004">
        <v>-1.728232E-2</v>
      </c>
      <c r="AA6004">
        <v>0.99957890000000005</v>
      </c>
      <c r="AB6004">
        <v>31</v>
      </c>
      <c r="AC6004">
        <v>0.29050000000000797</v>
      </c>
      <c r="AD6004">
        <v>-1.1162245385345999</v>
      </c>
      <c r="AE6004">
        <v>35.342749999999903</v>
      </c>
      <c r="AF6004">
        <v>-0.83505883217425103</v>
      </c>
      <c r="AG6004">
        <v>-1.1162245385345999</v>
      </c>
      <c r="AH6004">
        <v>35.298850595337797</v>
      </c>
      <c r="AI6004">
        <v>91.810704276097695</v>
      </c>
      <c r="AJ6004">
        <v>91.355183623263798</v>
      </c>
      <c r="AK6004">
        <v>35.326365986690398</v>
      </c>
      <c r="AL6004">
        <v>80.417010736009004</v>
      </c>
      <c r="AM6004">
        <v>88.026967870877201</v>
      </c>
      <c r="AN6004">
        <v>0.99999997776030203</v>
      </c>
    </row>
    <row r="6005" spans="1:40" x14ac:dyDescent="0.25">
      <c r="A6005" t="str">
        <f>"20190303171131002"</f>
        <v>20190303171131002</v>
      </c>
      <c r="B6005" t="str">
        <f>"1551604290996097"</f>
        <v>1551604290996097</v>
      </c>
      <c r="C6005" t="s">
        <v>40</v>
      </c>
      <c r="D6005">
        <v>5.1552449999999999</v>
      </c>
      <c r="E6005">
        <v>0.48061700000000002</v>
      </c>
      <c r="F6005" t="s">
        <v>42</v>
      </c>
      <c r="G6005">
        <v>-189.46019999999999</v>
      </c>
      <c r="H6005" s="1">
        <v>-1.231653E-6</v>
      </c>
      <c r="I6005">
        <v>22.280570000000001</v>
      </c>
      <c r="J6005">
        <v>-189.83449999999999</v>
      </c>
      <c r="K6005">
        <v>1.1163540000000001</v>
      </c>
      <c r="L6005">
        <v>-14.32138</v>
      </c>
      <c r="M6005">
        <v>3.7327529999999998E-2</v>
      </c>
      <c r="N6005">
        <v>-1.396381E-2</v>
      </c>
      <c r="O6005">
        <v>0.99920549999999997</v>
      </c>
      <c r="P6005">
        <v>6.7577330000000005E-2</v>
      </c>
      <c r="Q6005">
        <v>0.15343909999999999</v>
      </c>
      <c r="R6005">
        <v>0.98584470000000002</v>
      </c>
      <c r="S6005">
        <v>3.2272339999999997E-2</v>
      </c>
      <c r="T6005">
        <v>-9.2350009999999996E-2</v>
      </c>
      <c r="U6005">
        <v>3.0543209999999998</v>
      </c>
      <c r="V6005">
        <v>3.2662919999999998E-2</v>
      </c>
      <c r="W6005">
        <v>0.16684889999999999</v>
      </c>
      <c r="X6005">
        <v>0.98544129999999996</v>
      </c>
      <c r="Y6005">
        <v>-2.6764050000000001E-2</v>
      </c>
      <c r="Z6005">
        <v>-1.6226569999999999E-2</v>
      </c>
      <c r="AA6005">
        <v>0.99951000000000001</v>
      </c>
      <c r="AB6005">
        <v>31</v>
      </c>
      <c r="AC6005">
        <v>0.37430000000000502</v>
      </c>
      <c r="AD6005">
        <v>-1.1163552316529901</v>
      </c>
      <c r="AE6005">
        <v>36.601950000000002</v>
      </c>
      <c r="AF6005">
        <v>-0.991432362856701</v>
      </c>
      <c r="AG6005">
        <v>-1.1163552316529901</v>
      </c>
      <c r="AH6005">
        <v>36.556406845139101</v>
      </c>
      <c r="AI6005">
        <v>91.748505628465196</v>
      </c>
      <c r="AJ6005">
        <v>91.553516166217193</v>
      </c>
      <c r="AK6005">
        <v>36.586883832333797</v>
      </c>
      <c r="AL6005">
        <v>80.395342188264607</v>
      </c>
      <c r="AM6005">
        <v>88.101599176054293</v>
      </c>
      <c r="AN6005">
        <v>0.99999998875991303</v>
      </c>
    </row>
    <row r="6006" spans="1:40" x14ac:dyDescent="0.25">
      <c r="A6006" t="str">
        <f>"20190303171131024"</f>
        <v>20190303171131024</v>
      </c>
      <c r="B6006" t="str">
        <f>"1551604291016592"</f>
        <v>1551604291016592</v>
      </c>
      <c r="C6006" t="s">
        <v>40</v>
      </c>
      <c r="D6006">
        <v>5.1567980000000002</v>
      </c>
      <c r="E6006">
        <v>0.4802032</v>
      </c>
      <c r="F6006" t="s">
        <v>42</v>
      </c>
      <c r="G6006">
        <v>-189.33199999999999</v>
      </c>
      <c r="H6006" s="1">
        <v>-2.063883E-6</v>
      </c>
      <c r="I6006">
        <v>24.16752</v>
      </c>
      <c r="J6006">
        <v>-189.81790000000001</v>
      </c>
      <c r="K6006">
        <v>1.116498</v>
      </c>
      <c r="L6006">
        <v>-14.02051</v>
      </c>
      <c r="M6006">
        <v>4.2358989999999999E-2</v>
      </c>
      <c r="N6006">
        <v>-1.395366E-2</v>
      </c>
      <c r="O6006">
        <v>0.99900500000000003</v>
      </c>
      <c r="P6006">
        <v>7.1945200000000001E-2</v>
      </c>
      <c r="Q6006">
        <v>0.154702799999999</v>
      </c>
      <c r="R6006">
        <v>0.98533800000000005</v>
      </c>
      <c r="S6006">
        <v>3.9871219999999999E-2</v>
      </c>
      <c r="T6006">
        <v>-8.8584179999999998E-2</v>
      </c>
      <c r="U6006">
        <v>3.054138</v>
      </c>
      <c r="V6006">
        <v>3.2031320000000002E-2</v>
      </c>
      <c r="W6006">
        <v>0.16811719999999999</v>
      </c>
      <c r="X6006">
        <v>0.98524650000000003</v>
      </c>
      <c r="Y6006">
        <v>-2.9310200000000002E-2</v>
      </c>
      <c r="Z6006">
        <v>-1.4999210000000001E-2</v>
      </c>
      <c r="AA6006">
        <v>0.99945779999999995</v>
      </c>
      <c r="AB6006">
        <v>31</v>
      </c>
      <c r="AC6006">
        <v>0.48590000000001499</v>
      </c>
      <c r="AD6006">
        <v>-1.116500063883</v>
      </c>
      <c r="AE6006">
        <v>38.188029999999998</v>
      </c>
      <c r="AF6006">
        <v>-1.1313331971631999</v>
      </c>
      <c r="AG6006">
        <v>-1.116500063883</v>
      </c>
      <c r="AH6006">
        <v>38.141733928151403</v>
      </c>
      <c r="AI6006">
        <v>91.675969464891693</v>
      </c>
      <c r="AJ6006">
        <v>91.698968851524299</v>
      </c>
      <c r="AK6006">
        <v>38.174839282458699</v>
      </c>
      <c r="AL6006">
        <v>80.321633219682198</v>
      </c>
      <c r="AM6006">
        <v>88.137914463627993</v>
      </c>
      <c r="AN6006">
        <v>1.0000000320795099</v>
      </c>
    </row>
    <row r="6007" spans="1:40" x14ac:dyDescent="0.25">
      <c r="A6007" t="str">
        <f>"20190303171131045"</f>
        <v>20190303171131045</v>
      </c>
      <c r="B6007" t="str">
        <f>"1551604291037088"</f>
        <v>1551604291037088</v>
      </c>
      <c r="C6007" t="s">
        <v>40</v>
      </c>
      <c r="D6007">
        <v>5.2095779999999996</v>
      </c>
      <c r="E6007">
        <v>0.47997190000000001</v>
      </c>
      <c r="F6007" t="s">
        <v>42</v>
      </c>
      <c r="G6007">
        <v>-189.15440000000001</v>
      </c>
      <c r="H6007" s="1">
        <v>-3.094662E-6</v>
      </c>
      <c r="I6007">
        <v>26.496860000000002</v>
      </c>
      <c r="J6007">
        <v>-189.80019999999999</v>
      </c>
      <c r="K6007">
        <v>1.1166769999999999</v>
      </c>
      <c r="L6007">
        <v>-13.721220000000001</v>
      </c>
      <c r="M6007">
        <v>4.7125390000000003E-2</v>
      </c>
      <c r="N6007">
        <v>-1.39412999999999E-2</v>
      </c>
      <c r="O6007">
        <v>0.99879169999999995</v>
      </c>
      <c r="P6007">
        <v>7.6887899999999995E-2</v>
      </c>
      <c r="Q6007">
        <v>0.1557219</v>
      </c>
      <c r="R6007">
        <v>0.98480400000000001</v>
      </c>
      <c r="S6007">
        <v>5.0018310000000003E-2</v>
      </c>
      <c r="T6007">
        <v>-8.4161879999999994E-2</v>
      </c>
      <c r="U6007">
        <v>3.0541990000000001</v>
      </c>
      <c r="V6007">
        <v>3.2220770000000003E-2</v>
      </c>
      <c r="W6007">
        <v>0.1691329</v>
      </c>
      <c r="X6007">
        <v>0.98506640000000001</v>
      </c>
      <c r="Y6007">
        <v>-3.0759740000000001E-2</v>
      </c>
      <c r="Z6007">
        <v>-1.355809E-2</v>
      </c>
      <c r="AA6007">
        <v>0.99943479999999996</v>
      </c>
      <c r="AB6007">
        <v>31</v>
      </c>
      <c r="AC6007">
        <v>0.64579999999997995</v>
      </c>
      <c r="AD6007">
        <v>-1.1166800946619999</v>
      </c>
      <c r="AE6007">
        <v>40.21808</v>
      </c>
      <c r="AF6007">
        <v>-1.2494315546177399</v>
      </c>
      <c r="AG6007">
        <v>-1.1166800946619999</v>
      </c>
      <c r="AH6007">
        <v>40.172862341824199</v>
      </c>
      <c r="AI6007">
        <v>91.591464578645898</v>
      </c>
      <c r="AJ6007">
        <v>91.781403716242906</v>
      </c>
      <c r="AK6007">
        <v>40.20779678593</v>
      </c>
      <c r="AL6007">
        <v>80.262591779625794</v>
      </c>
      <c r="AM6007">
        <v>88.126566723082206</v>
      </c>
      <c r="AN6007">
        <v>0.99999996414537995</v>
      </c>
    </row>
    <row r="6008" spans="1:40" x14ac:dyDescent="0.25">
      <c r="A6008" t="str">
        <f>"20190303171131067"</f>
        <v>20190303171131067</v>
      </c>
      <c r="B6008" t="str">
        <f>"1551604291056608"</f>
        <v>1551604291056608</v>
      </c>
      <c r="C6008" t="s">
        <v>40</v>
      </c>
      <c r="D6008">
        <v>5.2131949999999998</v>
      </c>
      <c r="E6008">
        <v>0.47964279999999998</v>
      </c>
      <c r="F6008" t="s">
        <v>42</v>
      </c>
      <c r="G6008">
        <v>-188.92230000000001</v>
      </c>
      <c r="H6008" s="1">
        <v>-4.3628570000000001E-6</v>
      </c>
      <c r="I6008">
        <v>29.35708</v>
      </c>
      <c r="J6008">
        <v>-189.78039999999999</v>
      </c>
      <c r="K6008">
        <v>1.1169070000000001</v>
      </c>
      <c r="L6008">
        <v>-13.4072</v>
      </c>
      <c r="M6008">
        <v>5.1818740000000002E-2</v>
      </c>
      <c r="N6008">
        <v>-1.3925430000000001E-2</v>
      </c>
      <c r="O6008">
        <v>0.99855939999999999</v>
      </c>
      <c r="P6008">
        <v>8.3309919999999996E-2</v>
      </c>
      <c r="Q6008">
        <v>0.1555608</v>
      </c>
      <c r="R6008">
        <v>0.98430700000000004</v>
      </c>
      <c r="S6008">
        <v>6.2240599999999903E-2</v>
      </c>
      <c r="T6008">
        <v>-7.9164979999999996E-2</v>
      </c>
      <c r="U6008">
        <v>3.0539550000000002</v>
      </c>
      <c r="V6008">
        <v>3.392307E-2</v>
      </c>
      <c r="W6008">
        <v>0.168955299999999</v>
      </c>
      <c r="X6008">
        <v>0.98503980000000002</v>
      </c>
      <c r="Y6008">
        <v>-3.1457010000000001E-2</v>
      </c>
      <c r="Z6008">
        <v>-1.1936189999999999E-2</v>
      </c>
      <c r="AA6008">
        <v>0.99943380000000004</v>
      </c>
      <c r="AB6008">
        <v>31</v>
      </c>
      <c r="AC6008">
        <v>0.85809999999997899</v>
      </c>
      <c r="AD6008">
        <v>-1.11691136285699</v>
      </c>
      <c r="AE6008">
        <v>42.764279999999999</v>
      </c>
      <c r="AF6008">
        <v>-1.35833289752056</v>
      </c>
      <c r="AG6008">
        <v>-1.11691136285699</v>
      </c>
      <c r="AH6008">
        <v>42.7221544264467</v>
      </c>
      <c r="AI6008">
        <v>91.496821380533206</v>
      </c>
      <c r="AJ6008">
        <v>91.821081690447301</v>
      </c>
      <c r="AK6008">
        <v>42.758332966687597</v>
      </c>
      <c r="AL6008">
        <v>80.272916816637704</v>
      </c>
      <c r="AM6008">
        <v>88.027611777963102</v>
      </c>
      <c r="AN6008">
        <v>1.0000000378301701</v>
      </c>
    </row>
    <row r="6009" spans="1:40" x14ac:dyDescent="0.25">
      <c r="A6009" t="str">
        <f>"20190303171131091"</f>
        <v>20190303171131091</v>
      </c>
      <c r="B6009" t="str">
        <f>"1551604291086864"</f>
        <v>1551604291086864</v>
      </c>
      <c r="C6009" t="s">
        <v>40</v>
      </c>
      <c r="D6009">
        <v>5.1469269999999998</v>
      </c>
      <c r="E6009">
        <v>0.47929070000000001</v>
      </c>
      <c r="F6009" t="s">
        <v>42</v>
      </c>
      <c r="G6009">
        <v>-188.67529999999999</v>
      </c>
      <c r="H6009" s="1">
        <v>-4.6046350000000003E-7</v>
      </c>
      <c r="I6009">
        <v>29.965430000000001</v>
      </c>
      <c r="J6009">
        <v>-189.75839999999999</v>
      </c>
      <c r="K6009">
        <v>1.1172059999999999</v>
      </c>
      <c r="L6009">
        <v>-13.077909999999999</v>
      </c>
      <c r="M6009">
        <v>5.6359510000000002E-2</v>
      </c>
      <c r="N6009">
        <v>-1.3906770000000001E-2</v>
      </c>
      <c r="O6009">
        <v>0.99831369999999997</v>
      </c>
      <c r="P6009">
        <v>8.8248320000000005E-2</v>
      </c>
      <c r="Q6009">
        <v>0.1544759</v>
      </c>
      <c r="R6009">
        <v>0.98404749999999996</v>
      </c>
      <c r="S6009">
        <v>7.7804570000000003E-2</v>
      </c>
      <c r="T6009">
        <v>-7.8636650000000002E-2</v>
      </c>
      <c r="U6009">
        <v>3.0536799999999999</v>
      </c>
      <c r="V6009">
        <v>3.4247769999999997E-2</v>
      </c>
      <c r="W6009">
        <v>0.16787369999999999</v>
      </c>
      <c r="X6009">
        <v>0.98521349999999996</v>
      </c>
      <c r="Y6009">
        <v>-3.0909720000000002E-2</v>
      </c>
      <c r="Z6009">
        <v>-1.177656E-2</v>
      </c>
      <c r="AA6009">
        <v>0.99945280000000003</v>
      </c>
      <c r="AB6009">
        <v>31</v>
      </c>
      <c r="AC6009">
        <v>1.0831</v>
      </c>
      <c r="AD6009">
        <v>-1.1172064604634999</v>
      </c>
      <c r="AE6009">
        <v>43.043340000000001</v>
      </c>
      <c r="AF6009">
        <v>-1.34385324466108</v>
      </c>
      <c r="AG6009">
        <v>-1.1172064604634999</v>
      </c>
      <c r="AH6009">
        <v>43.007005250117501</v>
      </c>
      <c r="AI6009">
        <v>91.487330159399804</v>
      </c>
      <c r="AJ6009">
        <v>91.789756658824899</v>
      </c>
      <c r="AK6009">
        <v>43.042497515851899</v>
      </c>
      <c r="AL6009">
        <v>80.335786201145595</v>
      </c>
      <c r="AM6009">
        <v>88.009098669131703</v>
      </c>
      <c r="AN6009">
        <v>1.00000006474195</v>
      </c>
    </row>
    <row r="6010" spans="1:40" x14ac:dyDescent="0.25">
      <c r="A6010" t="str">
        <f>"20190303171131113"</f>
        <v>20190303171131113</v>
      </c>
      <c r="B6010" t="str">
        <f>"1551604291106385"</f>
        <v>1551604291106385</v>
      </c>
      <c r="C6010" t="s">
        <v>40</v>
      </c>
      <c r="D6010">
        <v>5.1457249999999997</v>
      </c>
      <c r="E6010">
        <v>0.47895219999999999</v>
      </c>
      <c r="F6010" t="s">
        <v>42</v>
      </c>
      <c r="G6010">
        <v>-188.52719999999999</v>
      </c>
      <c r="H6010" s="1">
        <v>-4.0124699999999997E-6</v>
      </c>
      <c r="I6010">
        <v>28.37697</v>
      </c>
      <c r="J6010">
        <v>-189.73750000000001</v>
      </c>
      <c r="K6010">
        <v>1.1175060000000001</v>
      </c>
      <c r="L6010">
        <v>-12.779450000000001</v>
      </c>
      <c r="M6010">
        <v>6.0088709999999997E-2</v>
      </c>
      <c r="N6010">
        <v>-1.3888940000000001E-2</v>
      </c>
      <c r="O6010">
        <v>0.99809639999999999</v>
      </c>
      <c r="P6010">
        <v>9.1992110000000002E-2</v>
      </c>
      <c r="Q6010">
        <v>0.15358540000000001</v>
      </c>
      <c r="R6010">
        <v>0.98384400000000005</v>
      </c>
      <c r="S6010">
        <v>9.0682979999999996E-2</v>
      </c>
      <c r="T6010">
        <v>-8.2290169999999996E-2</v>
      </c>
      <c r="U6010">
        <v>3.053436</v>
      </c>
      <c r="V6010">
        <v>3.4176489999999997E-2</v>
      </c>
      <c r="W6010">
        <v>0.16699229999999901</v>
      </c>
      <c r="X6010">
        <v>0.98536570000000001</v>
      </c>
      <c r="Y6010">
        <v>-3.0429970000000001E-2</v>
      </c>
      <c r="Z6010">
        <v>-1.298098E-2</v>
      </c>
      <c r="AA6010">
        <v>0.99945260000000002</v>
      </c>
      <c r="AB6010">
        <v>31</v>
      </c>
      <c r="AC6010">
        <v>1.2103000000000099</v>
      </c>
      <c r="AD6010">
        <v>-1.1175100124699999</v>
      </c>
      <c r="AE6010">
        <v>41.156419999999997</v>
      </c>
      <c r="AF6010">
        <v>-1.2642308820655901</v>
      </c>
      <c r="AG6010">
        <v>-1.1175100124699999</v>
      </c>
      <c r="AH6010">
        <v>41.124476329932598</v>
      </c>
      <c r="AI6010">
        <v>91.555828762208506</v>
      </c>
      <c r="AJ6010">
        <v>91.760807556656999</v>
      </c>
      <c r="AK6010">
        <v>41.1590775135003</v>
      </c>
      <c r="AL6010">
        <v>80.387009285394598</v>
      </c>
      <c r="AM6010">
        <v>88.0135456446923</v>
      </c>
      <c r="AN6010">
        <v>1.0000000117322401</v>
      </c>
    </row>
    <row r="6011" spans="1:40" x14ac:dyDescent="0.25">
      <c r="A6011" t="str">
        <f>"20190303171131135"</f>
        <v>20190303171131135</v>
      </c>
      <c r="B6011" t="str">
        <f>"1551604291126880"</f>
        <v>1551604291126880</v>
      </c>
      <c r="C6011" t="s">
        <v>40</v>
      </c>
      <c r="D6011">
        <v>5.0894469999999998</v>
      </c>
      <c r="E6011">
        <v>0.47442260000000003</v>
      </c>
      <c r="F6011" t="s">
        <v>42</v>
      </c>
      <c r="G6011">
        <v>-188.4169</v>
      </c>
      <c r="H6011" s="1">
        <v>-3.5315960000000001E-6</v>
      </c>
      <c r="I6011">
        <v>27.2104</v>
      </c>
      <c r="J6011">
        <v>-189.71420000000001</v>
      </c>
      <c r="K6011">
        <v>1.1178680000000001</v>
      </c>
      <c r="L6011">
        <v>-12.45801</v>
      </c>
      <c r="M6011">
        <v>6.3656450000000003E-2</v>
      </c>
      <c r="N6011">
        <v>-1.3869289999999999E-2</v>
      </c>
      <c r="O6011">
        <v>0.99787550000000003</v>
      </c>
      <c r="P6011">
        <v>9.6390290000000003E-2</v>
      </c>
      <c r="Q6011">
        <v>0.15514839999999999</v>
      </c>
      <c r="R6011">
        <v>0.98317739999999998</v>
      </c>
      <c r="S6011">
        <v>0.10083010000000001</v>
      </c>
      <c r="T6011">
        <v>-8.5320119999999999E-2</v>
      </c>
      <c r="U6011">
        <v>3.0531619999999999</v>
      </c>
      <c r="V6011">
        <v>3.4943170000000003E-2</v>
      </c>
      <c r="W6011">
        <v>0.16855479999999901</v>
      </c>
      <c r="X6011">
        <v>0.98507270000000002</v>
      </c>
      <c r="Y6011">
        <v>-3.0682359999999999E-2</v>
      </c>
      <c r="Z6011">
        <v>-1.398285E-2</v>
      </c>
      <c r="AA6011">
        <v>0.99943139999999997</v>
      </c>
      <c r="AB6011">
        <v>31</v>
      </c>
      <c r="AC6011">
        <v>1.2972999999999999</v>
      </c>
      <c r="AD6011">
        <v>-1.1178715315959999</v>
      </c>
      <c r="AE6011">
        <v>39.668409999999902</v>
      </c>
      <c r="AF6011">
        <v>-1.22974909470917</v>
      </c>
      <c r="AG6011">
        <v>-1.1178715315959999</v>
      </c>
      <c r="AH6011">
        <v>39.6390861861952</v>
      </c>
      <c r="AI6011">
        <v>91.614607686157299</v>
      </c>
      <c r="AJ6011">
        <v>91.776954209945302</v>
      </c>
      <c r="AK6011">
        <v>39.673909226010203</v>
      </c>
      <c r="AL6011">
        <v>80.296197151599202</v>
      </c>
      <c r="AM6011">
        <v>87.968416905725903</v>
      </c>
      <c r="AN6011">
        <v>0.99999998500898901</v>
      </c>
    </row>
    <row r="6012" spans="1:40" x14ac:dyDescent="0.25">
      <c r="A6012" t="str">
        <f>"20190303171131160"</f>
        <v>20190303171131160</v>
      </c>
      <c r="B6012" t="str">
        <f>"1551604291146400"</f>
        <v>1551604291146400</v>
      </c>
      <c r="C6012" t="s">
        <v>40</v>
      </c>
      <c r="D6012">
        <v>5.1173109999999999</v>
      </c>
      <c r="E6012">
        <v>0.47374440000000001</v>
      </c>
      <c r="F6012" t="s">
        <v>42</v>
      </c>
      <c r="G6012">
        <v>-188.39699999999999</v>
      </c>
      <c r="H6012" s="1">
        <v>-4.3276080000000001E-6</v>
      </c>
      <c r="I6012">
        <v>39.05771</v>
      </c>
      <c r="J6012">
        <v>-189.69</v>
      </c>
      <c r="K6012">
        <v>1.1182639999999999</v>
      </c>
      <c r="L6012">
        <v>-12.13312</v>
      </c>
      <c r="M6012">
        <v>6.6708229999999993E-2</v>
      </c>
      <c r="N6012">
        <v>-1.38491E-2</v>
      </c>
      <c r="O6012">
        <v>0.99767640000000002</v>
      </c>
      <c r="P6012">
        <v>0.1007006</v>
      </c>
      <c r="Q6012">
        <v>0.1569304</v>
      </c>
      <c r="R6012">
        <v>0.98246230000000001</v>
      </c>
      <c r="S6012">
        <v>7.8094479999999994E-2</v>
      </c>
      <c r="T6012">
        <v>-6.6273689999999996E-2</v>
      </c>
      <c r="U6012">
        <v>3.054138</v>
      </c>
      <c r="V6012">
        <v>3.6121760000000003E-2</v>
      </c>
      <c r="W6012">
        <v>0.1703364</v>
      </c>
      <c r="X6012">
        <v>0.98472369999999998</v>
      </c>
      <c r="Y6012">
        <v>-4.117871E-2</v>
      </c>
      <c r="Z6012">
        <v>-7.7732249999999999E-3</v>
      </c>
      <c r="AA6012">
        <v>0.9991215</v>
      </c>
      <c r="AB6012">
        <v>31</v>
      </c>
      <c r="AC6012">
        <v>1.29299999999997</v>
      </c>
      <c r="AD6012">
        <v>-1.1182683276080001</v>
      </c>
      <c r="AE6012">
        <v>51.190829999999998</v>
      </c>
      <c r="AF6012">
        <v>-2.1240449279470499</v>
      </c>
      <c r="AG6012">
        <v>-1.1182683276080001</v>
      </c>
      <c r="AH6012">
        <v>51.138655615196498</v>
      </c>
      <c r="AI6012">
        <v>91.251630015578399</v>
      </c>
      <c r="AJ6012">
        <v>92.378414088993296</v>
      </c>
      <c r="AK6012">
        <v>51.194962535762599</v>
      </c>
      <c r="AL6012">
        <v>80.192621545683707</v>
      </c>
      <c r="AM6012">
        <v>87.899210850064804</v>
      </c>
      <c r="AN6012">
        <v>1.00000001802607</v>
      </c>
    </row>
    <row r="6013" spans="1:40" x14ac:dyDescent="0.25">
      <c r="A6013" t="str">
        <f>"20190303171131180"</f>
        <v>20190303171131180</v>
      </c>
      <c r="B6013" t="str">
        <f>"1551604291176656"</f>
        <v>1551604291176656</v>
      </c>
      <c r="C6013" t="s">
        <v>40</v>
      </c>
      <c r="D6013">
        <v>5.1518449999999998</v>
      </c>
      <c r="E6013">
        <v>0.47307870000000002</v>
      </c>
      <c r="F6013" t="s">
        <v>42</v>
      </c>
      <c r="G6013">
        <v>-188.1157</v>
      </c>
      <c r="H6013" s="1">
        <v>-2.8241429999999999E-6</v>
      </c>
      <c r="I6013">
        <v>45.436799999999998</v>
      </c>
      <c r="J6013">
        <v>-189.66720000000001</v>
      </c>
      <c r="K6013">
        <v>1.1186430000000001</v>
      </c>
      <c r="L6013">
        <v>-11.83304</v>
      </c>
      <c r="M6013">
        <v>6.9059110000000007E-2</v>
      </c>
      <c r="N6013">
        <v>-1.383119E-2</v>
      </c>
      <c r="O6013">
        <v>0.99751670000000003</v>
      </c>
      <c r="P6013">
        <v>0.103135</v>
      </c>
      <c r="Q6013">
        <v>0.15661720000000001</v>
      </c>
      <c r="R6013">
        <v>0.98225980000000002</v>
      </c>
      <c r="S6013">
        <v>8.3526610000000001E-2</v>
      </c>
      <c r="T6013">
        <v>-5.9331660000000001E-2</v>
      </c>
      <c r="U6013">
        <v>3.0544739999999999</v>
      </c>
      <c r="V6013">
        <v>3.6081479999999999E-2</v>
      </c>
      <c r="W6013">
        <v>0.17003850000000001</v>
      </c>
      <c r="X6013">
        <v>0.98477669999999995</v>
      </c>
      <c r="Y6013">
        <v>-4.1760539999999999E-2</v>
      </c>
      <c r="Z6013">
        <v>-5.5218510000000004E-3</v>
      </c>
      <c r="AA6013">
        <v>0.99911240000000001</v>
      </c>
      <c r="AB6013">
        <v>31</v>
      </c>
      <c r="AC6013">
        <v>1.5515000000000001</v>
      </c>
      <c r="AD6013">
        <v>-1.118645824143</v>
      </c>
      <c r="AE6013">
        <v>57.269840000000002</v>
      </c>
      <c r="AF6013">
        <v>-2.4066697309101399</v>
      </c>
      <c r="AG6013">
        <v>-1.118645824143</v>
      </c>
      <c r="AH6013">
        <v>57.218426754529503</v>
      </c>
      <c r="AI6013">
        <v>91.119026256908199</v>
      </c>
      <c r="AJ6013">
        <v>92.408503618834004</v>
      </c>
      <c r="AK6013">
        <v>57.279942282940603</v>
      </c>
      <c r="AL6013">
        <v>80.209943026467698</v>
      </c>
      <c r="AM6013">
        <v>87.901664217007195</v>
      </c>
      <c r="AN6013">
        <v>1.0000000567720599</v>
      </c>
    </row>
    <row r="6014" spans="1:40" x14ac:dyDescent="0.25">
      <c r="A6014" t="str">
        <f>"20190303171131202"</f>
        <v>20190303171131202</v>
      </c>
      <c r="B6014" t="str">
        <f>"1551604291196176"</f>
        <v>1551604291196176</v>
      </c>
      <c r="C6014" t="s">
        <v>40</v>
      </c>
      <c r="D6014">
        <v>5.0532620000000001</v>
      </c>
      <c r="E6014">
        <v>0.47236640000000002</v>
      </c>
      <c r="F6014" t="s">
        <v>42</v>
      </c>
      <c r="G6014">
        <v>-188.15979999999999</v>
      </c>
      <c r="H6014" s="1">
        <v>-1.6454979999999999E-6</v>
      </c>
      <c r="I6014">
        <v>42.70758</v>
      </c>
      <c r="J6014">
        <v>-189.64410000000001</v>
      </c>
      <c r="K6014">
        <v>1.118984</v>
      </c>
      <c r="L6014">
        <v>-11.532170000000001</v>
      </c>
      <c r="M6014">
        <v>7.1047570000000004E-2</v>
      </c>
      <c r="N6014">
        <v>-1.3814420000000001E-2</v>
      </c>
      <c r="O6014">
        <v>0.99737730000000002</v>
      </c>
      <c r="P6014">
        <v>0.1034817</v>
      </c>
      <c r="Q6014">
        <v>0.1553292</v>
      </c>
      <c r="R6014">
        <v>0.98242779999999996</v>
      </c>
      <c r="S6014">
        <v>8.4442139999999999E-2</v>
      </c>
      <c r="T6014">
        <v>-6.2665100000000001E-2</v>
      </c>
      <c r="U6014">
        <v>3.0552980000000001</v>
      </c>
      <c r="V6014">
        <v>3.4299629999999998E-2</v>
      </c>
      <c r="W6014">
        <v>0.1687757</v>
      </c>
      <c r="X6014">
        <v>0.98505750000000003</v>
      </c>
      <c r="Y6014">
        <v>-4.3459959999999999E-2</v>
      </c>
      <c r="Z6014">
        <v>-6.6148029999999998E-3</v>
      </c>
      <c r="AA6014">
        <v>0.99903330000000001</v>
      </c>
      <c r="AB6014">
        <v>31</v>
      </c>
      <c r="AC6014">
        <v>1.4843000000000099</v>
      </c>
      <c r="AD6014">
        <v>-1.1189856454979901</v>
      </c>
      <c r="AE6014">
        <v>54.239750000000001</v>
      </c>
      <c r="AF6014">
        <v>-2.3724127300206601</v>
      </c>
      <c r="AG6014">
        <v>-1.1189856454979901</v>
      </c>
      <c r="AH6014">
        <v>54.185077496502501</v>
      </c>
      <c r="AI6014">
        <v>91.181925135254801</v>
      </c>
      <c r="AJ6014">
        <v>92.507009017225101</v>
      </c>
      <c r="AK6014">
        <v>54.248530803500799</v>
      </c>
      <c r="AL6014">
        <v>80.283356599576905</v>
      </c>
      <c r="AM6014">
        <v>88.005770846164594</v>
      </c>
      <c r="AN6014">
        <v>0.99999998991743799</v>
      </c>
    </row>
    <row r="6015" spans="1:40" x14ac:dyDescent="0.25">
      <c r="A6015" t="str">
        <f>"20190303171131223"</f>
        <v>20190303171131223</v>
      </c>
      <c r="B6015" t="str">
        <f>"1551604291216673"</f>
        <v>1551604291216673</v>
      </c>
      <c r="C6015" t="s">
        <v>40</v>
      </c>
      <c r="D6015">
        <v>5.1449910000000001</v>
      </c>
      <c r="E6015">
        <v>0.46854899999999999</v>
      </c>
      <c r="F6015" t="s">
        <v>42</v>
      </c>
      <c r="G6015">
        <v>-188.3407</v>
      </c>
      <c r="H6015" s="1">
        <v>-4.1372349999999999E-6</v>
      </c>
      <c r="I6015">
        <v>38.590670000000003</v>
      </c>
      <c r="J6015">
        <v>-189.6207</v>
      </c>
      <c r="K6015">
        <v>1.1193120000000001</v>
      </c>
      <c r="L6015">
        <v>-11.23175</v>
      </c>
      <c r="M6015">
        <v>7.2656579999999998E-2</v>
      </c>
      <c r="N6015">
        <v>-1.3798380000000001E-2</v>
      </c>
      <c r="O6015">
        <v>0.99726159999999997</v>
      </c>
      <c r="P6015">
        <v>0.1046126</v>
      </c>
      <c r="Q6015">
        <v>0.1555733</v>
      </c>
      <c r="R6015">
        <v>0.98226939999999996</v>
      </c>
      <c r="S6015">
        <v>7.9467769999999993E-2</v>
      </c>
      <c r="T6015">
        <v>-6.8226339999999996E-2</v>
      </c>
      <c r="U6015">
        <v>3.0560610000000001</v>
      </c>
      <c r="V6015">
        <v>3.3717160000000003E-2</v>
      </c>
      <c r="W6015">
        <v>0.1690323</v>
      </c>
      <c r="X6015">
        <v>0.98503359999999995</v>
      </c>
      <c r="Y6015">
        <v>-4.6702390000000003E-2</v>
      </c>
      <c r="Z6015">
        <v>-8.4309559999999999E-3</v>
      </c>
      <c r="AA6015">
        <v>0.99887329999999996</v>
      </c>
      <c r="AB6015">
        <v>31</v>
      </c>
      <c r="AC6015">
        <v>1.28</v>
      </c>
      <c r="AD6015">
        <v>-1.119316137235</v>
      </c>
      <c r="AE6015">
        <v>49.822420000000001</v>
      </c>
      <c r="AF6015">
        <v>-2.34247330440291</v>
      </c>
      <c r="AG6015">
        <v>-1.119316137235</v>
      </c>
      <c r="AH6015">
        <v>49.758626496175999</v>
      </c>
      <c r="AI6015">
        <v>91.287221319984596</v>
      </c>
      <c r="AJ6015">
        <v>92.695307848924003</v>
      </c>
      <c r="AK6015">
        <v>49.826307916429698</v>
      </c>
      <c r="AL6015">
        <v>80.268440085896302</v>
      </c>
      <c r="AM6015">
        <v>88.039562297898399</v>
      </c>
      <c r="AN6015">
        <v>0.99999997922535699</v>
      </c>
    </row>
    <row r="6016" spans="1:40" x14ac:dyDescent="0.25">
      <c r="A6016" t="str">
        <f>"20190303171131244"</f>
        <v>20190303171131244</v>
      </c>
      <c r="B6016" t="str">
        <f>"1551604291236192"</f>
        <v>1551604291236192</v>
      </c>
      <c r="C6016" t="s">
        <v>40</v>
      </c>
      <c r="D6016">
        <v>5.0082709999999997</v>
      </c>
      <c r="E6016">
        <v>0.46796179999999898</v>
      </c>
      <c r="F6016" t="s">
        <v>42</v>
      </c>
      <c r="G6016">
        <v>-188.74010000000001</v>
      </c>
      <c r="H6016" s="1">
        <v>-3.8468379999999999E-7</v>
      </c>
      <c r="I6016">
        <v>39.793379999999999</v>
      </c>
      <c r="J6016">
        <v>-189.59690000000001</v>
      </c>
      <c r="K6016">
        <v>1.119645</v>
      </c>
      <c r="L6016">
        <v>-10.92783</v>
      </c>
      <c r="M6016">
        <v>7.3891020000000002E-2</v>
      </c>
      <c r="N6016">
        <v>-1.378243E-2</v>
      </c>
      <c r="O6016">
        <v>0.99717109999999998</v>
      </c>
      <c r="P6016">
        <v>0.1072359</v>
      </c>
      <c r="Q6016">
        <v>0.15815709999999999</v>
      </c>
      <c r="R6016">
        <v>0.98157360000000005</v>
      </c>
      <c r="S6016">
        <v>5.2795410000000001E-2</v>
      </c>
      <c r="T6016">
        <v>-6.7106840000000001E-2</v>
      </c>
      <c r="U6016">
        <v>3.0591430000000002</v>
      </c>
      <c r="V6016">
        <v>3.5040990000000001E-2</v>
      </c>
      <c r="W6016">
        <v>0.17161479999999901</v>
      </c>
      <c r="X6016">
        <v>0.98454079999999999</v>
      </c>
      <c r="Y6016">
        <v>-5.6665130000000001E-2</v>
      </c>
      <c r="Z6016">
        <v>-8.0496490000000007E-3</v>
      </c>
      <c r="AA6016">
        <v>0.99836080000000005</v>
      </c>
      <c r="AB6016">
        <v>31</v>
      </c>
      <c r="AC6016">
        <v>0.85679999999999201</v>
      </c>
      <c r="AD6016">
        <v>-1.1196453846837999</v>
      </c>
      <c r="AE6016">
        <v>50.721209999999999</v>
      </c>
      <c r="AF6016">
        <v>-2.8923315551078601</v>
      </c>
      <c r="AG6016">
        <v>-1.1196453846837999</v>
      </c>
      <c r="AH6016">
        <v>50.621184177941302</v>
      </c>
      <c r="AI6016">
        <v>91.265005763578102</v>
      </c>
      <c r="AJ6016">
        <v>93.270140964795104</v>
      </c>
      <c r="AK6016">
        <v>50.716106664344501</v>
      </c>
      <c r="AL6016">
        <v>80.118280262848302</v>
      </c>
      <c r="AM6016">
        <v>87.961634764170796</v>
      </c>
      <c r="AN6016">
        <v>1.0000000487119201</v>
      </c>
    </row>
    <row r="6017" spans="1:40" x14ac:dyDescent="0.25">
      <c r="A6017" t="str">
        <f>"20190303171131267"</f>
        <v>20190303171131267</v>
      </c>
      <c r="B6017" t="str">
        <f>"1551604291256688"</f>
        <v>1551604291256688</v>
      </c>
      <c r="C6017" t="s">
        <v>40</v>
      </c>
      <c r="D6017">
        <v>5.0292329999999996</v>
      </c>
      <c r="E6017">
        <v>0.46753689999999998</v>
      </c>
      <c r="F6017" t="s">
        <v>42</v>
      </c>
      <c r="G6017">
        <v>-188.46289999999999</v>
      </c>
      <c r="H6017" s="1">
        <v>-1.33757999999999E-6</v>
      </c>
      <c r="I6017">
        <v>52.115139999999997</v>
      </c>
      <c r="J6017">
        <v>-189.57239999999999</v>
      </c>
      <c r="K6017">
        <v>1.1200079999999999</v>
      </c>
      <c r="L6017">
        <v>-10.61566</v>
      </c>
      <c r="M6017">
        <v>7.4756110000000001E-2</v>
      </c>
      <c r="N6017">
        <v>-1.3762689999999999E-2</v>
      </c>
      <c r="O6017">
        <v>0.99710690000000002</v>
      </c>
      <c r="P6017">
        <v>0.1112942</v>
      </c>
      <c r="Q6017">
        <v>0.16116639999999999</v>
      </c>
      <c r="R6017">
        <v>0.9806319</v>
      </c>
      <c r="S6017">
        <v>5.502319E-2</v>
      </c>
      <c r="T6017">
        <v>-5.4328920000000003E-2</v>
      </c>
      <c r="U6017">
        <v>3.0590519999999999</v>
      </c>
      <c r="V6017">
        <v>3.8167930000000003E-2</v>
      </c>
      <c r="W6017">
        <v>0.1746152</v>
      </c>
      <c r="X6017">
        <v>0.98389669999999896</v>
      </c>
      <c r="Y6017">
        <v>-5.6805120000000001E-2</v>
      </c>
      <c r="Z6017">
        <v>-3.9140269999999996E-3</v>
      </c>
      <c r="AA6017">
        <v>0.99837759999999998</v>
      </c>
      <c r="AB6017">
        <v>31</v>
      </c>
      <c r="AC6017">
        <v>1.1094999999999899</v>
      </c>
      <c r="AD6017">
        <v>-1.12000933757999</v>
      </c>
      <c r="AE6017">
        <v>62.730800000000002</v>
      </c>
      <c r="AF6017">
        <v>-3.5824181550337002</v>
      </c>
      <c r="AG6017">
        <v>-1.12000933757999</v>
      </c>
      <c r="AH6017">
        <v>62.618231338503101</v>
      </c>
      <c r="AI6017">
        <v>91.023028547748197</v>
      </c>
      <c r="AJ6017">
        <v>93.274348966401902</v>
      </c>
      <c r="AK6017">
        <v>62.730622798726202</v>
      </c>
      <c r="AL6017">
        <v>79.943733963801407</v>
      </c>
      <c r="AM6017">
        <v>87.778460571641403</v>
      </c>
      <c r="AN6017">
        <v>0.99999998761120701</v>
      </c>
    </row>
    <row r="6018" spans="1:40" x14ac:dyDescent="0.25">
      <c r="A6018" t="str">
        <f>"20190303171131291"</f>
        <v>20190303171131291</v>
      </c>
      <c r="B6018" t="str">
        <f>"1551604291276208"</f>
        <v>1551604291276208</v>
      </c>
      <c r="C6018" t="s">
        <v>40</v>
      </c>
      <c r="D6018">
        <v>5.0271429999999997</v>
      </c>
      <c r="E6018">
        <v>0.46354980000000001</v>
      </c>
      <c r="F6018" t="s">
        <v>42</v>
      </c>
      <c r="G6018">
        <v>-187.84209999999999</v>
      </c>
      <c r="H6018" s="1">
        <v>-1.6846309999999999E-6</v>
      </c>
      <c r="I6018">
        <v>72.667419999999893</v>
      </c>
      <c r="J6018">
        <v>-189.54650000000001</v>
      </c>
      <c r="K6018">
        <v>1.1203970000000001</v>
      </c>
      <c r="L6018">
        <v>-10.28204</v>
      </c>
      <c r="M6018">
        <v>7.5249079999999996E-2</v>
      </c>
      <c r="N6018">
        <v>-1.372376E-2</v>
      </c>
      <c r="O6018">
        <v>0.99707029999999996</v>
      </c>
      <c r="P6018">
        <v>0.1131141</v>
      </c>
      <c r="Q6018">
        <v>0.16136979999999901</v>
      </c>
      <c r="R6018">
        <v>0.98039030000000005</v>
      </c>
      <c r="S6018">
        <v>6.3552860000000003E-2</v>
      </c>
      <c r="T6018">
        <v>-4.113555E-2</v>
      </c>
      <c r="U6018">
        <v>3.0588069999999998</v>
      </c>
      <c r="V6018">
        <v>3.9350929999999999E-2</v>
      </c>
      <c r="W6018">
        <v>0.174812</v>
      </c>
      <c r="X6018">
        <v>0.9838152</v>
      </c>
      <c r="Y6018">
        <v>-5.4516149999999999E-2</v>
      </c>
      <c r="Z6018">
        <v>3.3465250000000002E-4</v>
      </c>
      <c r="AA6018">
        <v>0.99851279999999998</v>
      </c>
      <c r="AB6018">
        <v>31</v>
      </c>
      <c r="AC6018">
        <v>1.7044000000000199</v>
      </c>
      <c r="AD6018">
        <v>-1.1203986846309999</v>
      </c>
      <c r="AE6018">
        <v>82.949459999999902</v>
      </c>
      <c r="AF6018">
        <v>-4.5420635758937999</v>
      </c>
      <c r="AG6018">
        <v>-1.1203986846309999</v>
      </c>
      <c r="AH6018">
        <v>82.827396749421595</v>
      </c>
      <c r="AI6018">
        <v>90.773825049802099</v>
      </c>
      <c r="AJ6018">
        <v>93.138824709598595</v>
      </c>
      <c r="AK6018">
        <v>82.959407465495303</v>
      </c>
      <c r="AL6018">
        <v>79.932282541958003</v>
      </c>
      <c r="AM6018">
        <v>87.709487525220297</v>
      </c>
      <c r="AN6018">
        <v>1.0000000393934501</v>
      </c>
    </row>
    <row r="6019" spans="1:40" x14ac:dyDescent="0.25">
      <c r="A6019" t="str">
        <f>"20190303171131313"</f>
        <v>20190303171131313</v>
      </c>
      <c r="B6019" t="str">
        <f>"1551604291306464"</f>
        <v>1551604291306464</v>
      </c>
      <c r="C6019" t="s">
        <v>40</v>
      </c>
      <c r="D6019">
        <v>4.9882999999999997</v>
      </c>
      <c r="E6019">
        <v>0.46293329999999999</v>
      </c>
      <c r="F6019" t="s">
        <v>42</v>
      </c>
      <c r="G6019">
        <v>-188.6464</v>
      </c>
      <c r="H6019" s="1">
        <v>-1.6690320000000001E-6</v>
      </c>
      <c r="I6019">
        <v>62.963650000000001</v>
      </c>
      <c r="J6019">
        <v>-189.52430000000001</v>
      </c>
      <c r="K6019">
        <v>1.1207260000000001</v>
      </c>
      <c r="L6019">
        <v>-9.9930420000000009</v>
      </c>
      <c r="M6019">
        <v>7.5295139999999997E-2</v>
      </c>
      <c r="N6019">
        <v>-1.366263E-2</v>
      </c>
      <c r="O6019">
        <v>0.9970677</v>
      </c>
      <c r="P6019">
        <v>0.11335199999999999</v>
      </c>
      <c r="Q6019">
        <v>0.16157679999999999</v>
      </c>
      <c r="R6019">
        <v>0.98032870000000005</v>
      </c>
      <c r="S6019">
        <v>3.7643429999999999E-2</v>
      </c>
      <c r="T6019">
        <v>-4.6858909999999997E-2</v>
      </c>
      <c r="U6019">
        <v>3.0633849999999998</v>
      </c>
      <c r="V6019">
        <v>3.9402850000000003E-2</v>
      </c>
      <c r="W6019">
        <v>0.1749908</v>
      </c>
      <c r="X6019">
        <v>0.98378129999999997</v>
      </c>
      <c r="Y6019">
        <v>-6.303164E-2</v>
      </c>
      <c r="Z6019">
        <v>-1.557623E-3</v>
      </c>
      <c r="AA6019">
        <v>0.99801030000000002</v>
      </c>
      <c r="AB6019">
        <v>31</v>
      </c>
      <c r="AC6019">
        <v>0.877900000000011</v>
      </c>
      <c r="AD6019">
        <v>-1.1207276690320001</v>
      </c>
      <c r="AE6019">
        <v>72.956692000000004</v>
      </c>
      <c r="AF6019">
        <v>-4.6173002010634097</v>
      </c>
      <c r="AG6019">
        <v>-1.1207276690320001</v>
      </c>
      <c r="AH6019">
        <v>72.7984820075594</v>
      </c>
      <c r="AI6019">
        <v>90.880226502132103</v>
      </c>
      <c r="AJ6019">
        <v>93.629167969946707</v>
      </c>
      <c r="AK6019">
        <v>72.953371918368703</v>
      </c>
      <c r="AL6019">
        <v>79.921877330249004</v>
      </c>
      <c r="AM6019">
        <v>87.706389677882498</v>
      </c>
      <c r="AN6019">
        <v>1.0000000054512199</v>
      </c>
    </row>
    <row r="6020" spans="1:40" x14ac:dyDescent="0.25">
      <c r="A6020" t="str">
        <f>"20190303171131334"</f>
        <v>20190303171131334</v>
      </c>
      <c r="B6020" t="str">
        <f>"1551604291326961"</f>
        <v>1551604291326961</v>
      </c>
      <c r="C6020" t="s">
        <v>40</v>
      </c>
      <c r="D6020">
        <v>4.9705700000000004</v>
      </c>
      <c r="E6020">
        <v>0.461978</v>
      </c>
      <c r="F6020" t="s">
        <v>42</v>
      </c>
      <c r="G6020">
        <v>-188.76929999999999</v>
      </c>
      <c r="H6020" s="1">
        <v>-3.9279769999999999E-6</v>
      </c>
      <c r="I6020">
        <v>58.280099999999997</v>
      </c>
      <c r="J6020">
        <v>-189.5018</v>
      </c>
      <c r="K6020">
        <v>1.121075</v>
      </c>
      <c r="L6020">
        <v>-9.6950679999999991</v>
      </c>
      <c r="M6020">
        <v>7.4954989999999999E-2</v>
      </c>
      <c r="N6020">
        <v>-1.3566129999999999E-2</v>
      </c>
      <c r="O6020">
        <v>0.99709460000000005</v>
      </c>
      <c r="P6020">
        <v>0.1145176</v>
      </c>
      <c r="Q6020">
        <v>0.1635915</v>
      </c>
      <c r="R6020">
        <v>0.97985889999999998</v>
      </c>
      <c r="S6020">
        <v>3.388977E-2</v>
      </c>
      <c r="T6020">
        <v>-5.0306200000000002E-2</v>
      </c>
      <c r="U6020">
        <v>3.064575</v>
      </c>
      <c r="V6020">
        <v>4.0785450000000001E-2</v>
      </c>
      <c r="W6020">
        <v>0.17693889999999901</v>
      </c>
      <c r="X6020">
        <v>0.98337640000000004</v>
      </c>
      <c r="Y6020">
        <v>-6.3917570000000007E-2</v>
      </c>
      <c r="Z6020">
        <v>-2.7664679999999998E-3</v>
      </c>
      <c r="AA6020">
        <v>0.99795129999999999</v>
      </c>
      <c r="AB6020">
        <v>31</v>
      </c>
      <c r="AC6020">
        <v>0.73250000000001503</v>
      </c>
      <c r="AD6020">
        <v>-1.1210789279769999</v>
      </c>
      <c r="AE6020">
        <v>67.975167999999996</v>
      </c>
      <c r="AF6020">
        <v>-4.3639212309480504</v>
      </c>
      <c r="AG6020">
        <v>-1.1210789279769999</v>
      </c>
      <c r="AH6020">
        <v>67.820377479945407</v>
      </c>
      <c r="AI6020">
        <v>90.945065760023795</v>
      </c>
      <c r="AJ6020">
        <v>93.681637570923002</v>
      </c>
      <c r="AK6020">
        <v>67.969877357510001</v>
      </c>
      <c r="AL6020">
        <v>79.808489956776498</v>
      </c>
      <c r="AM6020">
        <v>87.6250237287353</v>
      </c>
      <c r="AN6020">
        <v>0.99999998567093595</v>
      </c>
    </row>
    <row r="6021" spans="1:40" x14ac:dyDescent="0.25">
      <c r="A6021" t="str">
        <f>"20190303171131359"</f>
        <v>20190303171131359</v>
      </c>
      <c r="B6021" t="str">
        <f>"1551604291346480"</f>
        <v>1551604291346480</v>
      </c>
      <c r="C6021" t="s">
        <v>40</v>
      </c>
      <c r="D6021">
        <v>4.9792439999999996</v>
      </c>
      <c r="E6021">
        <v>0.46142339999999998</v>
      </c>
      <c r="F6021" t="s">
        <v>42</v>
      </c>
      <c r="G6021">
        <v>-188.72900000000001</v>
      </c>
      <c r="H6021" s="1">
        <v>-2.2482809999999998E-6</v>
      </c>
      <c r="I6021">
        <v>74.348050000000001</v>
      </c>
      <c r="J6021">
        <v>-189.47720000000001</v>
      </c>
      <c r="K6021">
        <v>1.121461</v>
      </c>
      <c r="L6021">
        <v>-9.3612369999999991</v>
      </c>
      <c r="M6021">
        <v>7.4072810000000003E-2</v>
      </c>
      <c r="N6021">
        <v>-1.3423300000000001E-2</v>
      </c>
      <c r="O6021">
        <v>0.99716249999999995</v>
      </c>
      <c r="P6021">
        <v>0.1165519</v>
      </c>
      <c r="Q6021">
        <v>0.16658110000000001</v>
      </c>
      <c r="R6021">
        <v>0.97911510000000002</v>
      </c>
      <c r="S6021">
        <v>2.818298E-2</v>
      </c>
      <c r="T6021">
        <v>-4.0887479999999997E-2</v>
      </c>
      <c r="U6021">
        <v>3.0651860000000002</v>
      </c>
      <c r="V6021">
        <v>4.3564409999999998E-2</v>
      </c>
      <c r="W6021">
        <v>0.1798215</v>
      </c>
      <c r="X6021">
        <v>0.98273410000000005</v>
      </c>
      <c r="Y6021">
        <v>-6.4895800000000003E-2</v>
      </c>
      <c r="Z6021">
        <v>1.4989840000000001E-4</v>
      </c>
      <c r="AA6021">
        <v>0.997892</v>
      </c>
      <c r="AB6021">
        <v>31</v>
      </c>
      <c r="AC6021">
        <v>0.74819999999999698</v>
      </c>
      <c r="AD6021">
        <v>-1.1214632482809901</v>
      </c>
      <c r="AE6021">
        <v>83.709287000000003</v>
      </c>
      <c r="AF6021">
        <v>-5.4540177330210096</v>
      </c>
      <c r="AG6021">
        <v>-1.1214632482809901</v>
      </c>
      <c r="AH6021">
        <v>83.519719475111401</v>
      </c>
      <c r="AI6021">
        <v>90.7676595118416</v>
      </c>
      <c r="AJ6021">
        <v>93.736233050697393</v>
      </c>
      <c r="AK6021">
        <v>83.705122486324896</v>
      </c>
      <c r="AL6021">
        <v>79.640636829706693</v>
      </c>
      <c r="AM6021">
        <v>87.461751120215595</v>
      </c>
      <c r="AN6021">
        <v>0.99999997049185296</v>
      </c>
    </row>
    <row r="6022" spans="1:40" x14ac:dyDescent="0.25">
      <c r="A6022" t="str">
        <f>"20190303171131402"</f>
        <v>20190303171131402</v>
      </c>
      <c r="B6022" t="str">
        <f>"1551604291386496"</f>
        <v>1551604291386496</v>
      </c>
      <c r="C6022" t="s">
        <v>40</v>
      </c>
      <c r="D6022">
        <v>4.9063400000000001</v>
      </c>
      <c r="E6022">
        <v>0.46062959999999897</v>
      </c>
      <c r="F6022" t="s">
        <v>42</v>
      </c>
      <c r="G6022">
        <v>-188.44800000000001</v>
      </c>
      <c r="H6022" s="1">
        <v>-1.8110389999999999E-6</v>
      </c>
      <c r="I6022">
        <v>103.21259999999999</v>
      </c>
      <c r="J6022">
        <v>-189.4358</v>
      </c>
      <c r="K6022">
        <v>1.1220939999999999</v>
      </c>
      <c r="L6022">
        <v>-8.7673030000000001</v>
      </c>
      <c r="M6022">
        <v>7.1284620000000007E-2</v>
      </c>
      <c r="N6022">
        <v>-1.314627E-2</v>
      </c>
      <c r="O6022">
        <v>0.99736939999999996</v>
      </c>
      <c r="P6022">
        <v>0.1180913</v>
      </c>
      <c r="Q6022">
        <v>0.1656792</v>
      </c>
      <c r="R6022">
        <v>0.9790837</v>
      </c>
      <c r="S6022">
        <v>2.80304E-2</v>
      </c>
      <c r="T6022">
        <v>-3.0542139999999999E-2</v>
      </c>
      <c r="U6022">
        <v>3.0658569999999998</v>
      </c>
      <c r="V6022">
        <v>4.7560819999999997E-2</v>
      </c>
      <c r="W6022">
        <v>0.178729</v>
      </c>
      <c r="X6022">
        <v>0.98274819999999996</v>
      </c>
      <c r="Y6022">
        <v>-6.2159279999999997E-2</v>
      </c>
      <c r="Z6022">
        <v>3.2285109999999999E-3</v>
      </c>
      <c r="AA6022">
        <v>0.99806099999999998</v>
      </c>
      <c r="AB6022">
        <v>31</v>
      </c>
      <c r="AC6022">
        <v>0.98780000000002099</v>
      </c>
      <c r="AD6022">
        <v>-1.122095811039</v>
      </c>
      <c r="AE6022">
        <v>111.97990299999999</v>
      </c>
      <c r="AF6022">
        <v>-6.9971453868638598</v>
      </c>
      <c r="AG6022">
        <v>-1.122095811039</v>
      </c>
      <c r="AH6022">
        <v>111.754179171728</v>
      </c>
      <c r="AI6022">
        <v>90.574149056130295</v>
      </c>
      <c r="AJ6022">
        <v>93.582722770783704</v>
      </c>
      <c r="AK6022">
        <v>111.978639502901</v>
      </c>
      <c r="AL6022">
        <v>79.7042641774907</v>
      </c>
      <c r="AM6022">
        <v>87.229290510070996</v>
      </c>
      <c r="AN6022">
        <v>1.00000005582165</v>
      </c>
    </row>
    <row r="6023" spans="1:40" x14ac:dyDescent="0.25">
      <c r="A6023" t="str">
        <f>"20190303171131423"</f>
        <v>20190303171131423</v>
      </c>
      <c r="B6023" t="str">
        <f>"1551604291416753"</f>
        <v>1551604291416753</v>
      </c>
      <c r="C6023" t="s">
        <v>40</v>
      </c>
      <c r="D6023">
        <v>4.8963159999999997</v>
      </c>
      <c r="E6023">
        <v>0.46015889999999998</v>
      </c>
      <c r="F6023" t="s">
        <v>42</v>
      </c>
      <c r="G6023">
        <v>-188.6463</v>
      </c>
      <c r="H6023" s="1">
        <v>-2.8909160000000002E-6</v>
      </c>
      <c r="I6023">
        <v>85.811809999999994</v>
      </c>
      <c r="J6023">
        <v>-189.41560000000001</v>
      </c>
      <c r="K6023">
        <v>1.1223559999999999</v>
      </c>
      <c r="L6023">
        <v>-8.4599910000000005</v>
      </c>
      <c r="M6023">
        <v>6.9343959999999996E-2</v>
      </c>
      <c r="N6023">
        <v>-1.299398E-2</v>
      </c>
      <c r="O6023">
        <v>0.99750819999999996</v>
      </c>
      <c r="P6023">
        <v>0.11836720000000001</v>
      </c>
      <c r="Q6023">
        <v>0.16523379999999999</v>
      </c>
      <c r="R6023">
        <v>0.97912560000000004</v>
      </c>
      <c r="S6023">
        <v>2.5604249999999999E-2</v>
      </c>
      <c r="T6023">
        <v>-3.6389230000000002E-2</v>
      </c>
      <c r="U6023">
        <v>3.0671689999999998</v>
      </c>
      <c r="V6023">
        <v>4.9623090000000002E-2</v>
      </c>
      <c r="W6023">
        <v>0.1781749</v>
      </c>
      <c r="X6023">
        <v>0.98274680000000003</v>
      </c>
      <c r="Y6023">
        <v>-6.1010099999999998E-2</v>
      </c>
      <c r="Z6023">
        <v>1.1811199999999999E-3</v>
      </c>
      <c r="AA6023">
        <v>0.99813649999999998</v>
      </c>
      <c r="AB6023">
        <v>31</v>
      </c>
      <c r="AC6023">
        <v>0.76930000000001497</v>
      </c>
      <c r="AD6023">
        <v>-1.1223588909159901</v>
      </c>
      <c r="AE6023">
        <v>94.271800999999996</v>
      </c>
      <c r="AF6023">
        <v>-5.7694662659107596</v>
      </c>
      <c r="AG6023">
        <v>-1.1223588909159901</v>
      </c>
      <c r="AH6023">
        <v>94.084848417997506</v>
      </c>
      <c r="AI6023">
        <v>90.682180257411105</v>
      </c>
      <c r="AJ6023">
        <v>93.509094753308702</v>
      </c>
      <c r="AK6023">
        <v>94.268261532241496</v>
      </c>
      <c r="AL6023">
        <v>79.736529192265095</v>
      </c>
      <c r="AM6023">
        <v>87.109346059957304</v>
      </c>
      <c r="AN6023">
        <v>1.00000000948069</v>
      </c>
    </row>
    <row r="6024" spans="1:40" x14ac:dyDescent="0.25">
      <c r="A6024" t="str">
        <f>"20190303171131447"</f>
        <v>20190303171131447</v>
      </c>
      <c r="B6024" t="str">
        <f>"1551604291436273"</f>
        <v>1551604291436273</v>
      </c>
      <c r="C6024" t="s">
        <v>40</v>
      </c>
      <c r="D6024">
        <v>4.8786639999999997</v>
      </c>
      <c r="E6024">
        <v>0.4598371</v>
      </c>
      <c r="F6024" t="s">
        <v>42</v>
      </c>
      <c r="G6024">
        <v>-188.7773</v>
      </c>
      <c r="H6024" s="1">
        <v>-2.9278510000000001E-6</v>
      </c>
      <c r="I6024">
        <v>85.952119999999994</v>
      </c>
      <c r="J6024">
        <v>-189.3954</v>
      </c>
      <c r="K6024">
        <v>1.122598</v>
      </c>
      <c r="L6024">
        <v>-8.1384279999999993</v>
      </c>
      <c r="M6024">
        <v>6.7005750000000003E-2</v>
      </c>
      <c r="N6024">
        <v>-1.283537E-2</v>
      </c>
      <c r="O6024">
        <v>0.9976701</v>
      </c>
      <c r="P6024">
        <v>0.11860279999999999</v>
      </c>
      <c r="Q6024">
        <v>0.16504279999999999</v>
      </c>
      <c r="R6024">
        <v>0.97912929999999998</v>
      </c>
      <c r="S6024">
        <v>2.0736689999999999E-2</v>
      </c>
      <c r="T6024">
        <v>-3.6467189999999997E-2</v>
      </c>
      <c r="U6024">
        <v>3.067596</v>
      </c>
      <c r="V6024">
        <v>5.2051100000000003E-2</v>
      </c>
      <c r="W6024">
        <v>0.17786849999999901</v>
      </c>
      <c r="X6024">
        <v>0.98267669999999996</v>
      </c>
      <c r="Y6024">
        <v>-6.0255599999999999E-2</v>
      </c>
      <c r="Z6024">
        <v>9.9650340000000007E-4</v>
      </c>
      <c r="AA6024">
        <v>0.99818249999999997</v>
      </c>
      <c r="AB6024">
        <v>31</v>
      </c>
      <c r="AC6024">
        <v>0.61809999999999798</v>
      </c>
      <c r="AD6024">
        <v>-1.1226009278510001</v>
      </c>
      <c r="AE6024">
        <v>94.090547999999998</v>
      </c>
      <c r="AF6024">
        <v>-5.6876064283744698</v>
      </c>
      <c r="AG6024">
        <v>-1.1226009278510001</v>
      </c>
      <c r="AH6024">
        <v>93.907105567355899</v>
      </c>
      <c r="AI6024">
        <v>90.683650073034102</v>
      </c>
      <c r="AJ6024">
        <v>93.465959779884201</v>
      </c>
      <c r="AK6024">
        <v>94.085884040943199</v>
      </c>
      <c r="AL6024">
        <v>79.754369581509096</v>
      </c>
      <c r="AM6024">
        <v>86.967951007477296</v>
      </c>
      <c r="AN6024">
        <v>1.0000000085131699</v>
      </c>
    </row>
    <row r="6025" spans="1:40" x14ac:dyDescent="0.25">
      <c r="A6025" t="str">
        <f>"20190303171131470"</f>
        <v>20190303171131470</v>
      </c>
      <c r="B6025" t="str">
        <f>"1551604291466529"</f>
        <v>1551604291466529</v>
      </c>
      <c r="C6025" t="s">
        <v>40</v>
      </c>
      <c r="D6025">
        <v>4.8763940000000003</v>
      </c>
      <c r="E6025">
        <v>0.45937830000000002</v>
      </c>
      <c r="F6025" t="s">
        <v>42</v>
      </c>
      <c r="G6025">
        <v>-188.90899999999999</v>
      </c>
      <c r="H6025" s="1">
        <v>-2.8484210000000001E-6</v>
      </c>
      <c r="I6025">
        <v>85.821389999999994</v>
      </c>
      <c r="J6025">
        <v>-189.37610000000001</v>
      </c>
      <c r="K6025">
        <v>1.1228279999999999</v>
      </c>
      <c r="L6025">
        <v>-7.8132020000000004</v>
      </c>
      <c r="M6025">
        <v>6.4318589999999995E-2</v>
      </c>
      <c r="N6025">
        <v>-1.267183E-2</v>
      </c>
      <c r="O6025">
        <v>0.99784899999999999</v>
      </c>
      <c r="P6025">
        <v>0.1166025</v>
      </c>
      <c r="Q6025">
        <v>0.16302420000000001</v>
      </c>
      <c r="R6025">
        <v>0.97970760000000001</v>
      </c>
      <c r="S6025">
        <v>1.58844E-2</v>
      </c>
      <c r="T6025">
        <v>-3.6657929999999998E-2</v>
      </c>
      <c r="U6025">
        <v>3.0682070000000001</v>
      </c>
      <c r="V6025">
        <v>5.2566759999999997E-2</v>
      </c>
      <c r="W6025">
        <v>0.17572929999999901</v>
      </c>
      <c r="X6025">
        <v>0.98303410000000002</v>
      </c>
      <c r="Y6025">
        <v>-5.9147360000000003E-2</v>
      </c>
      <c r="Z6025">
        <v>7.7060099999999999E-4</v>
      </c>
      <c r="AA6025">
        <v>0.99824900000000005</v>
      </c>
      <c r="AB6025">
        <v>31</v>
      </c>
      <c r="AC6025">
        <v>0.46709999999998703</v>
      </c>
      <c r="AD6025">
        <v>-1.1228308484209999</v>
      </c>
      <c r="AE6025">
        <v>93.634591999999998</v>
      </c>
      <c r="AF6025">
        <v>-5.5559966665968501</v>
      </c>
      <c r="AG6025">
        <v>-1.1228308484209999</v>
      </c>
      <c r="AH6025">
        <v>93.457289432096701</v>
      </c>
      <c r="AI6025">
        <v>90.687126765609705</v>
      </c>
      <c r="AJ6025">
        <v>93.402205751411401</v>
      </c>
      <c r="AK6025">
        <v>93.629027529223507</v>
      </c>
      <c r="AL6025">
        <v>79.878898830073197</v>
      </c>
      <c r="AM6025">
        <v>86.9390811166666</v>
      </c>
      <c r="AN6025">
        <v>1.0000000464490899</v>
      </c>
    </row>
    <row r="6026" spans="1:40" x14ac:dyDescent="0.25">
      <c r="A6026" t="str">
        <f>"20190303171131492"</f>
        <v>20190303171131492</v>
      </c>
      <c r="B6026" t="str">
        <f>"1551604291487025"</f>
        <v>1551604291487025</v>
      </c>
      <c r="C6026" t="s">
        <v>40</v>
      </c>
      <c r="D6026">
        <v>4.8502289999999997</v>
      </c>
      <c r="E6026">
        <v>0.45904080000000003</v>
      </c>
      <c r="F6026" t="s">
        <v>42</v>
      </c>
      <c r="G6026">
        <v>-189.25489999999999</v>
      </c>
      <c r="H6026" s="1">
        <v>-2.125777E-6</v>
      </c>
      <c r="I6026">
        <v>74.279899999999998</v>
      </c>
      <c r="J6026">
        <v>-189.35919999999999</v>
      </c>
      <c r="K6026">
        <v>1.1230279999999999</v>
      </c>
      <c r="L6026">
        <v>-7.5104059999999997</v>
      </c>
      <c r="M6026">
        <v>6.1566129999999997E-2</v>
      </c>
      <c r="N6026">
        <v>-1.25115E-2</v>
      </c>
      <c r="O6026">
        <v>0.99802460000000004</v>
      </c>
      <c r="P6026">
        <v>0.1129129</v>
      </c>
      <c r="Q6026">
        <v>0.160108</v>
      </c>
      <c r="R6026">
        <v>0.9806203</v>
      </c>
      <c r="S6026">
        <v>4.5318600000000004E-3</v>
      </c>
      <c r="T6026">
        <v>-4.1970489999999999E-2</v>
      </c>
      <c r="U6026">
        <v>3.0685730000000002</v>
      </c>
      <c r="V6026">
        <v>5.1461769999999997E-2</v>
      </c>
      <c r="W6026">
        <v>0.1726867</v>
      </c>
      <c r="X6026">
        <v>0.98363160000000005</v>
      </c>
      <c r="Y6026">
        <v>-6.0086970000000003E-2</v>
      </c>
      <c r="Z6026">
        <v>-1.114142E-3</v>
      </c>
      <c r="AA6026">
        <v>0.99819250000000004</v>
      </c>
      <c r="AB6026">
        <v>31</v>
      </c>
      <c r="AC6026">
        <v>0.10429999999999399</v>
      </c>
      <c r="AD6026">
        <v>-1.1230301257769999</v>
      </c>
      <c r="AE6026">
        <v>81.790306000000001</v>
      </c>
      <c r="AF6026">
        <v>-4.9308749847022701</v>
      </c>
      <c r="AG6026">
        <v>-1.1230301257769999</v>
      </c>
      <c r="AH6026">
        <v>81.626158955078196</v>
      </c>
      <c r="AI6026">
        <v>90.786803751237798</v>
      </c>
      <c r="AJ6026">
        <v>93.456923997844299</v>
      </c>
      <c r="AK6026">
        <v>81.7826665653417</v>
      </c>
      <c r="AL6026">
        <v>80.0559343141433</v>
      </c>
      <c r="AM6026">
        <v>87.005122243374501</v>
      </c>
      <c r="AN6026">
        <v>1.0000000673234799</v>
      </c>
    </row>
    <row r="6027" spans="1:40" x14ac:dyDescent="0.25">
      <c r="A6027" t="str">
        <f>"20190303171131514"</f>
        <v>20190303171131514</v>
      </c>
      <c r="B6027" t="str">
        <f>"1551604291506544"</f>
        <v>1551604291506544</v>
      </c>
      <c r="C6027" t="s">
        <v>40</v>
      </c>
      <c r="D6027">
        <v>4.9397830000000003</v>
      </c>
      <c r="E6027">
        <v>0.45891850000000001</v>
      </c>
      <c r="F6027" t="s">
        <v>42</v>
      </c>
      <c r="G6027">
        <v>-189.55770000000001</v>
      </c>
      <c r="H6027" s="1">
        <v>-4.0179990000000001E-6</v>
      </c>
      <c r="I6027">
        <v>58.815950000000001</v>
      </c>
      <c r="J6027">
        <v>-189.3434</v>
      </c>
      <c r="K6027">
        <v>1.1232040000000001</v>
      </c>
      <c r="L6027">
        <v>-7.2091979999999998</v>
      </c>
      <c r="M6027">
        <v>5.8648529999999997E-2</v>
      </c>
      <c r="N6027">
        <v>-1.2345139999999999E-2</v>
      </c>
      <c r="O6027">
        <v>0.99820240000000005</v>
      </c>
      <c r="P6027">
        <v>0.10878839999999999</v>
      </c>
      <c r="Q6027">
        <v>0.1592112</v>
      </c>
      <c r="R6027">
        <v>0.98123229999999995</v>
      </c>
      <c r="S6027">
        <v>-9.1857910000000004E-3</v>
      </c>
      <c r="T6027">
        <v>-5.1960949999999999E-2</v>
      </c>
      <c r="U6027">
        <v>3.0688170000000001</v>
      </c>
      <c r="V6027">
        <v>5.0111459999999997E-2</v>
      </c>
      <c r="W6027">
        <v>0.17164670000000001</v>
      </c>
      <c r="X6027">
        <v>0.98388330000000002</v>
      </c>
      <c r="Y6027">
        <v>-6.1629660000000003E-2</v>
      </c>
      <c r="Z6027">
        <v>-4.5239030000000001E-3</v>
      </c>
      <c r="AA6027">
        <v>0.9980888</v>
      </c>
      <c r="AB6027">
        <v>31</v>
      </c>
      <c r="AC6027">
        <v>-0.21430000000000801</v>
      </c>
      <c r="AD6027">
        <v>-1.1232080179990001</v>
      </c>
      <c r="AE6027">
        <v>66.025148000000002</v>
      </c>
      <c r="AF6027">
        <v>-4.0853215965600604</v>
      </c>
      <c r="AG6027">
        <v>-1.1232080179990001</v>
      </c>
      <c r="AH6027">
        <v>65.879846256293206</v>
      </c>
      <c r="AI6027">
        <v>90.9748884135183</v>
      </c>
      <c r="AJ6027">
        <v>93.548465152580405</v>
      </c>
      <c r="AK6027">
        <v>66.015949523973802</v>
      </c>
      <c r="AL6027">
        <v>80.116424991155</v>
      </c>
      <c r="AM6027">
        <v>87.084312424141203</v>
      </c>
      <c r="AN6027">
        <v>1.0000000480315501</v>
      </c>
    </row>
    <row r="6028" spans="1:40" x14ac:dyDescent="0.25">
      <c r="A6028" t="str">
        <f>"20190303171131535"</f>
        <v>20190303171131535</v>
      </c>
      <c r="B6028" t="str">
        <f>"1551604291526065"</f>
        <v>1551604291526065</v>
      </c>
      <c r="C6028" t="s">
        <v>40</v>
      </c>
      <c r="D6028">
        <v>4.8810760000000002</v>
      </c>
      <c r="E6028">
        <v>0.45877459999999998</v>
      </c>
      <c r="F6028" t="s">
        <v>42</v>
      </c>
      <c r="G6028">
        <v>-189.80260000000001</v>
      </c>
      <c r="H6028" s="1">
        <v>-2.6573949999999998E-6</v>
      </c>
      <c r="I6028">
        <v>55.745609999999999</v>
      </c>
      <c r="J6028">
        <v>-189.32849999999999</v>
      </c>
      <c r="K6028">
        <v>1.1233420000000001</v>
      </c>
      <c r="L6028">
        <v>-6.903778</v>
      </c>
      <c r="M6028">
        <v>5.555964E-2</v>
      </c>
      <c r="N6028">
        <v>-1.217214E-2</v>
      </c>
      <c r="O6028">
        <v>0.99838119999999997</v>
      </c>
      <c r="P6028">
        <v>0.10505879999999999</v>
      </c>
      <c r="Q6028">
        <v>0.16046640000000001</v>
      </c>
      <c r="R6028">
        <v>0.98143429999999998</v>
      </c>
      <c r="S6028">
        <v>-2.2384640000000001E-2</v>
      </c>
      <c r="T6028">
        <v>-5.475116E-2</v>
      </c>
      <c r="U6028">
        <v>3.068756</v>
      </c>
      <c r="V6028">
        <v>4.9354719999999998E-2</v>
      </c>
      <c r="W6028">
        <v>0.17274489999999901</v>
      </c>
      <c r="X6028">
        <v>0.98372930000000003</v>
      </c>
      <c r="Y6028">
        <v>-6.283358E-2</v>
      </c>
      <c r="Z6028">
        <v>-5.6054529999999998E-3</v>
      </c>
      <c r="AA6028">
        <v>0.99800829999999996</v>
      </c>
      <c r="AB6028">
        <v>31</v>
      </c>
      <c r="AC6028">
        <v>-0.474100000000021</v>
      </c>
      <c r="AD6028">
        <v>-1.1233446573949999</v>
      </c>
      <c r="AE6028">
        <v>62.649388000000002</v>
      </c>
      <c r="AF6028">
        <v>-3.9531319239271099</v>
      </c>
      <c r="AG6028">
        <v>-1.1233446573949999</v>
      </c>
      <c r="AH6028">
        <v>62.506165661352199</v>
      </c>
      <c r="AI6028">
        <v>91.027541624434704</v>
      </c>
      <c r="AJ6028">
        <v>93.618787272937993</v>
      </c>
      <c r="AK6028">
        <v>62.641119888709497</v>
      </c>
      <c r="AL6028">
        <v>80.052548268609101</v>
      </c>
      <c r="AM6028">
        <v>87.127819545473898</v>
      </c>
      <c r="AN6028">
        <v>1.00000001227038</v>
      </c>
    </row>
    <row r="6029" spans="1:40" x14ac:dyDescent="0.25">
      <c r="A6029" t="str">
        <f>"20190303171131564"</f>
        <v>20190303171131564</v>
      </c>
      <c r="B6029" t="str">
        <f>"1551604291556321"</f>
        <v>1551604291556321</v>
      </c>
      <c r="C6029" t="s">
        <v>40</v>
      </c>
      <c r="D6029">
        <v>4.8516180000000002</v>
      </c>
      <c r="E6029">
        <v>0.45851690000000001</v>
      </c>
      <c r="F6029" t="s">
        <v>42</v>
      </c>
      <c r="G6029">
        <v>-190.08949999999999</v>
      </c>
      <c r="H6029" s="1">
        <v>-4.4811709999999998E-7</v>
      </c>
      <c r="I6029">
        <v>60.578189999999999</v>
      </c>
      <c r="J6029">
        <v>-189.31129999999999</v>
      </c>
      <c r="K6029">
        <v>1.1234550000000001</v>
      </c>
      <c r="L6029">
        <v>-6.5200500000000003</v>
      </c>
      <c r="M6029">
        <v>5.1546790000000002E-2</v>
      </c>
      <c r="N6029">
        <v>-1.1950830000000001E-2</v>
      </c>
      <c r="O6029">
        <v>0.99859909999999996</v>
      </c>
      <c r="P6029">
        <v>9.9994609999999998E-2</v>
      </c>
      <c r="Q6029">
        <v>0.162632</v>
      </c>
      <c r="R6029">
        <v>0.9816068</v>
      </c>
      <c r="S6029">
        <v>-3.4606930000000001E-2</v>
      </c>
      <c r="T6029">
        <v>-5.1085230000000002E-2</v>
      </c>
      <c r="U6029">
        <v>3.0688170000000001</v>
      </c>
      <c r="V6029">
        <v>4.818596E-2</v>
      </c>
      <c r="W6029">
        <v>0.1746974</v>
      </c>
      <c r="X6029">
        <v>0.98344240000000005</v>
      </c>
      <c r="Y6029">
        <v>-6.2797610000000004E-2</v>
      </c>
      <c r="Z6029">
        <v>-4.6402680000000003E-3</v>
      </c>
      <c r="AA6029">
        <v>0.99801550000000006</v>
      </c>
      <c r="AB6029">
        <v>31</v>
      </c>
      <c r="AC6029">
        <v>-0.778199999999998</v>
      </c>
      <c r="AD6029">
        <v>-1.1234554481171</v>
      </c>
      <c r="AE6029">
        <v>67.098240000000004</v>
      </c>
      <c r="AF6029">
        <v>-4.2349240323023398</v>
      </c>
      <c r="AG6029">
        <v>-1.1234554481171</v>
      </c>
      <c r="AH6029">
        <v>66.950142505128596</v>
      </c>
      <c r="AI6029">
        <v>90.959443209057596</v>
      </c>
      <c r="AJ6029">
        <v>93.619416170474494</v>
      </c>
      <c r="AK6029">
        <v>67.093355223600895</v>
      </c>
      <c r="AL6029">
        <v>79.938950969710206</v>
      </c>
      <c r="AM6029">
        <v>87.194908452196202</v>
      </c>
      <c r="AN6029">
        <v>1.00000001121282</v>
      </c>
    </row>
    <row r="6030" spans="1:40" x14ac:dyDescent="0.25">
      <c r="A6030" t="str">
        <f>"20190303171131603"</f>
        <v>20190303171131603</v>
      </c>
      <c r="B6030" t="str">
        <f>"1551604291596337"</f>
        <v>1551604291596337</v>
      </c>
      <c r="C6030" t="s">
        <v>40</v>
      </c>
      <c r="D6030">
        <v>4.834994</v>
      </c>
      <c r="E6030">
        <v>0.45847840000000001</v>
      </c>
      <c r="F6030" t="s">
        <v>42</v>
      </c>
      <c r="G6030">
        <v>-190.64529999999999</v>
      </c>
      <c r="H6030" s="1">
        <v>-1.471815E-6</v>
      </c>
      <c r="I6030">
        <v>72.619680000000002</v>
      </c>
      <c r="J6030">
        <v>-189.2895</v>
      </c>
      <c r="K6030">
        <v>1.123542</v>
      </c>
      <c r="L6030">
        <v>-5.9711610000000004</v>
      </c>
      <c r="M6030">
        <v>4.5713200000000002E-2</v>
      </c>
      <c r="N6030">
        <v>-1.165338E-2</v>
      </c>
      <c r="O6030">
        <v>0.99888659999999996</v>
      </c>
      <c r="P6030">
        <v>9.174997E-2</v>
      </c>
      <c r="Q6030">
        <v>0.1661483</v>
      </c>
      <c r="R6030">
        <v>0.98182309999999995</v>
      </c>
      <c r="S6030">
        <v>-5.1727290000000002E-2</v>
      </c>
      <c r="T6030">
        <v>-4.3562770000000001E-2</v>
      </c>
      <c r="U6030">
        <v>3.068695</v>
      </c>
      <c r="V6030">
        <v>4.5635920000000003E-2</v>
      </c>
      <c r="W6030">
        <v>0.17791019999999999</v>
      </c>
      <c r="X6030">
        <v>0.98298790000000003</v>
      </c>
      <c r="Y6030">
        <v>-6.2536770000000005E-2</v>
      </c>
      <c r="Z6030">
        <v>-2.4996100000000002E-3</v>
      </c>
      <c r="AA6030">
        <v>0.99803949999999997</v>
      </c>
      <c r="AB6030">
        <v>31</v>
      </c>
      <c r="AC6030">
        <v>-1.3557999999999799</v>
      </c>
      <c r="AD6030">
        <v>-1.1235434718149999</v>
      </c>
      <c r="AE6030">
        <v>78.590840999999998</v>
      </c>
      <c r="AF6030">
        <v>-4.9462547644035704</v>
      </c>
      <c r="AG6030">
        <v>-1.1235434718149999</v>
      </c>
      <c r="AH6030">
        <v>78.430664412706093</v>
      </c>
      <c r="AI6030">
        <v>90.819096554214397</v>
      </c>
      <c r="AJ6030">
        <v>93.6085975189565</v>
      </c>
      <c r="AK6030">
        <v>78.594509390580001</v>
      </c>
      <c r="AL6030">
        <v>79.7519409545352</v>
      </c>
      <c r="AM6030">
        <v>87.341910847394303</v>
      </c>
      <c r="AN6030">
        <v>0.99999994400234604</v>
      </c>
    </row>
    <row r="6031" spans="1:40" x14ac:dyDescent="0.25">
      <c r="A6031" t="str">
        <f>"20190303171131624"</f>
        <v>20190303171131624</v>
      </c>
      <c r="B6031" t="str">
        <f>"1551604291616832"</f>
        <v>1551604291616832</v>
      </c>
      <c r="C6031" t="s">
        <v>40</v>
      </c>
      <c r="D6031">
        <v>4.8518299999999996</v>
      </c>
      <c r="E6031">
        <v>0.45842519999999998</v>
      </c>
      <c r="F6031" t="s">
        <v>42</v>
      </c>
      <c r="G6031">
        <v>-192.0129</v>
      </c>
      <c r="H6031" s="1">
        <v>-1.504778E-6</v>
      </c>
      <c r="I6031">
        <v>101.8484</v>
      </c>
      <c r="J6031">
        <v>-189.27869999999999</v>
      </c>
      <c r="K6031">
        <v>1.123545</v>
      </c>
      <c r="L6031">
        <v>-5.665527</v>
      </c>
      <c r="M6031">
        <v>4.2461400000000003E-2</v>
      </c>
      <c r="N6031">
        <v>-1.149638E-2</v>
      </c>
      <c r="O6031">
        <v>0.99903200000000003</v>
      </c>
      <c r="P6031">
        <v>8.8300379999999998E-2</v>
      </c>
      <c r="Q6031">
        <v>0.16669709999999999</v>
      </c>
      <c r="R6031">
        <v>0.98204639999999999</v>
      </c>
      <c r="S6031">
        <v>-7.7499390000000001E-2</v>
      </c>
      <c r="T6031">
        <v>-3.1972529999999999E-2</v>
      </c>
      <c r="U6031">
        <v>3.0682070000000001</v>
      </c>
      <c r="V6031">
        <v>4.5371019999999998E-2</v>
      </c>
      <c r="W6031">
        <v>0.1783053</v>
      </c>
      <c r="X6031">
        <v>0.98292860000000004</v>
      </c>
      <c r="Y6031">
        <v>-6.7670149999999998E-2</v>
      </c>
      <c r="Z6031">
        <v>1.1102880000000001E-3</v>
      </c>
      <c r="AA6031">
        <v>0.99770709999999996</v>
      </c>
      <c r="AB6031">
        <v>31</v>
      </c>
      <c r="AC6031">
        <v>-2.7342000000000102</v>
      </c>
      <c r="AD6031">
        <v>-1.123546504778</v>
      </c>
      <c r="AE6031">
        <v>107.513927</v>
      </c>
      <c r="AF6031">
        <v>-7.2964308143595797</v>
      </c>
      <c r="AG6031">
        <v>-1.123546504778</v>
      </c>
      <c r="AH6031">
        <v>107.28913340000901</v>
      </c>
      <c r="AI6031">
        <v>90.598604752777405</v>
      </c>
      <c r="AJ6031">
        <v>93.890533578950397</v>
      </c>
      <c r="AK6031">
        <v>107.542821262519</v>
      </c>
      <c r="AL6031">
        <v>79.728935838198197</v>
      </c>
      <c r="AM6031">
        <v>87.357158949281498</v>
      </c>
      <c r="AN6031">
        <v>0.99999997108094396</v>
      </c>
    </row>
    <row r="6032" spans="1:40" x14ac:dyDescent="0.25">
      <c r="A6032" t="str">
        <f>"20190303171131648"</f>
        <v>20190303171131648</v>
      </c>
      <c r="B6032" t="str">
        <f>"1551604291636353"</f>
        <v>1551604291636353</v>
      </c>
      <c r="C6032" t="s">
        <v>40</v>
      </c>
      <c r="D6032">
        <v>4.8427670000000003</v>
      </c>
      <c r="E6032">
        <v>0.45856550000000001</v>
      </c>
      <c r="F6032" t="s">
        <v>42</v>
      </c>
      <c r="G6032">
        <v>-192.8271</v>
      </c>
      <c r="H6032" s="1">
        <v>-3.1115499999999999E-6</v>
      </c>
      <c r="I6032">
        <v>115.0887</v>
      </c>
      <c r="J6032">
        <v>-189.26840000000001</v>
      </c>
      <c r="K6032">
        <v>1.1235440000000001</v>
      </c>
      <c r="L6032">
        <v>-5.3439030000000001</v>
      </c>
      <c r="M6032">
        <v>3.9062739999999999E-2</v>
      </c>
      <c r="N6032">
        <v>-1.13381E-2</v>
      </c>
      <c r="O6032">
        <v>0.99917239999999996</v>
      </c>
      <c r="P6032">
        <v>8.4246979999999999E-2</v>
      </c>
      <c r="Q6032">
        <v>0.1659407</v>
      </c>
      <c r="R6032">
        <v>0.98253049999999997</v>
      </c>
      <c r="S6032">
        <v>-9.0148930000000002E-2</v>
      </c>
      <c r="T6032">
        <v>-2.8544190000000001E-2</v>
      </c>
      <c r="U6032">
        <v>3.0678100000000001</v>
      </c>
      <c r="V6032">
        <v>4.4648489999999999E-2</v>
      </c>
      <c r="W6032">
        <v>0.17739269999999999</v>
      </c>
      <c r="X6032">
        <v>0.98312679999999997</v>
      </c>
      <c r="Y6032">
        <v>-6.8390670000000001E-2</v>
      </c>
      <c r="Z6032">
        <v>2.0642550000000001E-3</v>
      </c>
      <c r="AA6032">
        <v>0.99765649999999995</v>
      </c>
      <c r="AB6032">
        <v>31</v>
      </c>
      <c r="AC6032">
        <v>-3.55869999999998</v>
      </c>
      <c r="AD6032">
        <v>-1.12354711155</v>
      </c>
      <c r="AE6032">
        <v>120.432603</v>
      </c>
      <c r="AF6032">
        <v>-8.2599952489841293</v>
      </c>
      <c r="AG6032">
        <v>-1.12354711155</v>
      </c>
      <c r="AH6032">
        <v>120.191198939819</v>
      </c>
      <c r="AI6032">
        <v>90.534325005382996</v>
      </c>
      <c r="AJ6032">
        <v>93.931401864744998</v>
      </c>
      <c r="AK6032">
        <v>120.47993269510199</v>
      </c>
      <c r="AL6032">
        <v>79.782071168423201</v>
      </c>
      <c r="AM6032">
        <v>87.399711341552802</v>
      </c>
      <c r="AN6032">
        <v>0.99999998127540402</v>
      </c>
    </row>
    <row r="6033" spans="1:40" x14ac:dyDescent="0.25">
      <c r="A6033" t="str">
        <f>"20190303171131670"</f>
        <v>20190303171131670</v>
      </c>
      <c r="B6033" t="str">
        <f>"1551604291656849"</f>
        <v>1551604291656849</v>
      </c>
      <c r="C6033" t="s">
        <v>40</v>
      </c>
      <c r="D6033">
        <v>4.8454600000000001</v>
      </c>
      <c r="E6033">
        <v>0.4654374</v>
      </c>
      <c r="F6033" t="s">
        <v>42</v>
      </c>
      <c r="G6033">
        <v>-193.04040000000001</v>
      </c>
      <c r="H6033" s="1">
        <v>-4.1928919999999999E-6</v>
      </c>
      <c r="I6033">
        <v>107.723</v>
      </c>
      <c r="J6033">
        <v>-189.2595</v>
      </c>
      <c r="K6033">
        <v>1.1235379999999999</v>
      </c>
      <c r="L6033">
        <v>-5.0315859999999999</v>
      </c>
      <c r="M6033">
        <v>3.5802300000000002E-2</v>
      </c>
      <c r="N6033">
        <v>-1.118717E-2</v>
      </c>
      <c r="O6033">
        <v>0.99929619999999997</v>
      </c>
      <c r="P6033">
        <v>7.9594020000000001E-2</v>
      </c>
      <c r="Q6033">
        <v>0.16499259999999999</v>
      </c>
      <c r="R6033">
        <v>0.98307789999999995</v>
      </c>
      <c r="S6033">
        <v>-0.1023254</v>
      </c>
      <c r="T6033">
        <v>-3.0479429999999998E-2</v>
      </c>
      <c r="U6033">
        <v>3.0672609999999998</v>
      </c>
      <c r="V6033">
        <v>4.3196310000000002E-2</v>
      </c>
      <c r="W6033">
        <v>0.17629020000000001</v>
      </c>
      <c r="X6033">
        <v>0.98338999999999999</v>
      </c>
      <c r="Y6033">
        <v>-6.9097060000000002E-2</v>
      </c>
      <c r="Z6033">
        <v>1.281581E-3</v>
      </c>
      <c r="AA6033">
        <v>0.99760910000000003</v>
      </c>
      <c r="AB6033">
        <v>31</v>
      </c>
      <c r="AC6033">
        <v>-3.7808999999999999</v>
      </c>
      <c r="AD6033">
        <v>-1.123542192892</v>
      </c>
      <c r="AE6033">
        <v>112.754586</v>
      </c>
      <c r="AF6033">
        <v>-7.8148271083411602</v>
      </c>
      <c r="AG6033">
        <v>-1.123542192892</v>
      </c>
      <c r="AH6033">
        <v>112.535754440698</v>
      </c>
      <c r="AI6033">
        <v>90.570640368236099</v>
      </c>
      <c r="AJ6033">
        <v>93.972416978641704</v>
      </c>
      <c r="AK6033">
        <v>112.812365888362</v>
      </c>
      <c r="AL6033">
        <v>79.846251728478506</v>
      </c>
      <c r="AM6033">
        <v>87.4848470197566</v>
      </c>
      <c r="AN6033">
        <v>1.0000000239568201</v>
      </c>
    </row>
    <row r="6034" spans="1:40" x14ac:dyDescent="0.25">
      <c r="A6034" t="str">
        <f>"20190303171131693"</f>
        <v>20190303171131693</v>
      </c>
      <c r="B6034" t="str">
        <f>"1551604291686129"</f>
        <v>1551604291686129</v>
      </c>
      <c r="C6034" t="s">
        <v>40</v>
      </c>
      <c r="D6034">
        <v>4.8931050000000003</v>
      </c>
      <c r="E6034">
        <v>0.46661580000000002</v>
      </c>
      <c r="F6034" t="s">
        <v>42</v>
      </c>
      <c r="G6034">
        <v>-190.77799999999999</v>
      </c>
      <c r="H6034" s="1">
        <v>-3.9396820000000001E-7</v>
      </c>
      <c r="I6034">
        <v>70.024929999999998</v>
      </c>
      <c r="J6034">
        <v>-189.25139999999999</v>
      </c>
      <c r="K6034">
        <v>1.123521</v>
      </c>
      <c r="L6034">
        <v>-4.715668</v>
      </c>
      <c r="M6034">
        <v>3.2558730000000001E-2</v>
      </c>
      <c r="N6034">
        <v>-1.103937E-2</v>
      </c>
      <c r="O6034">
        <v>0.99940879999999999</v>
      </c>
      <c r="P6034">
        <v>7.5741810000000007E-2</v>
      </c>
      <c r="Q6034">
        <v>0.16481589999999999</v>
      </c>
      <c r="R6034">
        <v>0.98341179999999995</v>
      </c>
      <c r="S6034">
        <v>-6.1996460000000003E-2</v>
      </c>
      <c r="T6034">
        <v>-4.5871139999999998E-2</v>
      </c>
      <c r="U6034">
        <v>3.064362</v>
      </c>
      <c r="V6034">
        <v>4.2538890000000003E-2</v>
      </c>
      <c r="W6034">
        <v>0.17596349999999999</v>
      </c>
      <c r="X6034">
        <v>0.98347709999999999</v>
      </c>
      <c r="Y6034">
        <v>-5.2762910000000003E-2</v>
      </c>
      <c r="Z6034">
        <v>-3.9010120000000001E-3</v>
      </c>
      <c r="AA6034">
        <v>0.99859949999999997</v>
      </c>
      <c r="AB6034">
        <v>31</v>
      </c>
      <c r="AC6034">
        <v>-1.5266</v>
      </c>
      <c r="AD6034">
        <v>-1.1235213939681901</v>
      </c>
      <c r="AE6034">
        <v>74.740597999999906</v>
      </c>
      <c r="AF6034">
        <v>-3.9585037870736</v>
      </c>
      <c r="AG6034">
        <v>-1.1235213939681901</v>
      </c>
      <c r="AH6034">
        <v>74.6344022498279</v>
      </c>
      <c r="AI6034">
        <v>90.861236073188707</v>
      </c>
      <c r="AJ6034">
        <v>93.036042851473695</v>
      </c>
      <c r="AK6034">
        <v>74.747749476115303</v>
      </c>
      <c r="AL6034">
        <v>79.865266852278694</v>
      </c>
      <c r="AM6034">
        <v>87.523297076293204</v>
      </c>
      <c r="AN6034">
        <v>0.99999995835954503</v>
      </c>
    </row>
    <row r="6035" spans="1:40" x14ac:dyDescent="0.25">
      <c r="A6035" t="str">
        <f>"20190303171131715"</f>
        <v>20190303171131715</v>
      </c>
      <c r="B6035" t="str">
        <f>"1551604291706625"</f>
        <v>1551604291706625</v>
      </c>
      <c r="C6035" t="s">
        <v>40</v>
      </c>
      <c r="D6035">
        <v>4.8077389999999998</v>
      </c>
      <c r="E6035">
        <v>0.46714030000000001</v>
      </c>
      <c r="F6035" t="s">
        <v>42</v>
      </c>
      <c r="G6035">
        <v>-190.94130000000001</v>
      </c>
      <c r="H6035" s="1">
        <v>-3.5024780000000002E-6</v>
      </c>
      <c r="I6035">
        <v>77.169669999999996</v>
      </c>
      <c r="J6035">
        <v>-189.24430000000001</v>
      </c>
      <c r="K6035">
        <v>1.12347</v>
      </c>
      <c r="L6035">
        <v>-4.4018860000000002</v>
      </c>
      <c r="M6035">
        <v>2.940924E-2</v>
      </c>
      <c r="N6035">
        <v>-1.0903039999999999E-2</v>
      </c>
      <c r="O6035">
        <v>0.99950799999999995</v>
      </c>
      <c r="P6035">
        <v>7.1486949999999994E-2</v>
      </c>
      <c r="Q6035">
        <v>0.16477910000000001</v>
      </c>
      <c r="R6035">
        <v>0.98373650000000001</v>
      </c>
      <c r="S6035">
        <v>-6.3201900000000005E-2</v>
      </c>
      <c r="T6035">
        <v>-4.2020080000000001E-2</v>
      </c>
      <c r="U6035">
        <v>3.0625309999999999</v>
      </c>
      <c r="V6035">
        <v>4.1395189999999998E-2</v>
      </c>
      <c r="W6035">
        <v>0.17578279999999999</v>
      </c>
      <c r="X6035">
        <v>0.98355820000000005</v>
      </c>
      <c r="Y6035">
        <v>-5.0021759999999998E-2</v>
      </c>
      <c r="Z6035">
        <v>-2.7943239999999999E-3</v>
      </c>
      <c r="AA6035">
        <v>0.99874419999999997</v>
      </c>
      <c r="AB6035">
        <v>31</v>
      </c>
      <c r="AC6035">
        <v>-1.6970000000000001</v>
      </c>
      <c r="AD6035">
        <v>-1.12347350247799</v>
      </c>
      <c r="AE6035">
        <v>81.571556000000001</v>
      </c>
      <c r="AF6035">
        <v>-4.0945895538594899</v>
      </c>
      <c r="AG6035">
        <v>-1.12347350247799</v>
      </c>
      <c r="AH6035">
        <v>81.470910305550106</v>
      </c>
      <c r="AI6035">
        <v>90.789055661927307</v>
      </c>
      <c r="AJ6035">
        <v>92.877167700837006</v>
      </c>
      <c r="AK6035">
        <v>81.581475117457501</v>
      </c>
      <c r="AL6035">
        <v>79.875783984285903</v>
      </c>
      <c r="AM6035">
        <v>87.590004567595898</v>
      </c>
      <c r="AN6035">
        <v>0.99999994365910605</v>
      </c>
    </row>
    <row r="6036" spans="1:40" x14ac:dyDescent="0.25">
      <c r="A6036" t="str">
        <f>"20190303171131736"</f>
        <v>20190303171131736</v>
      </c>
      <c r="B6036" t="str">
        <f>"1551604291726145"</f>
        <v>1551604291726145</v>
      </c>
      <c r="C6036" t="s">
        <v>40</v>
      </c>
      <c r="D6036">
        <v>4.8060150000000004</v>
      </c>
      <c r="E6036">
        <v>0.46759129999999899</v>
      </c>
      <c r="F6036" t="s">
        <v>42</v>
      </c>
      <c r="G6036">
        <v>-191.13910000000001</v>
      </c>
      <c r="H6036" s="1">
        <v>-3.279924E-6</v>
      </c>
      <c r="I6036">
        <v>76.528210000000001</v>
      </c>
      <c r="J6036">
        <v>-189.23849999999999</v>
      </c>
      <c r="K6036">
        <v>1.1234010000000001</v>
      </c>
      <c r="L6036">
        <v>-4.1025700000000001</v>
      </c>
      <c r="M6036">
        <v>2.6495749999999998E-2</v>
      </c>
      <c r="N6036">
        <v>-1.07797E-2</v>
      </c>
      <c r="O6036">
        <v>0.9995908</v>
      </c>
      <c r="P6036">
        <v>6.7077120000000004E-2</v>
      </c>
      <c r="Q6036">
        <v>0.16441349999999999</v>
      </c>
      <c r="R6036">
        <v>0.98410819999999999</v>
      </c>
      <c r="S6036">
        <v>-7.1685789999999999E-2</v>
      </c>
      <c r="T6036">
        <v>-4.2505620000000001E-2</v>
      </c>
      <c r="U6036">
        <v>3.0619200000000002</v>
      </c>
      <c r="V6036">
        <v>3.9874130000000001E-2</v>
      </c>
      <c r="W6036">
        <v>0.17528239999999901</v>
      </c>
      <c r="X6036">
        <v>0.98371039999999998</v>
      </c>
      <c r="Y6036">
        <v>-4.9880689999999998E-2</v>
      </c>
      <c r="Z6036">
        <v>-3.0800129999999999E-3</v>
      </c>
      <c r="AA6036">
        <v>0.99875040000000004</v>
      </c>
      <c r="AB6036">
        <v>31</v>
      </c>
      <c r="AC6036">
        <v>-1.9006000000000201</v>
      </c>
      <c r="AD6036">
        <v>-1.123404279924</v>
      </c>
      <c r="AE6036">
        <v>80.630780000000001</v>
      </c>
      <c r="AF6036">
        <v>-4.0356468377769801</v>
      </c>
      <c r="AG6036">
        <v>-1.123404279924</v>
      </c>
      <c r="AH6036">
        <v>80.536483523797699</v>
      </c>
      <c r="AI6036">
        <v>90.798166291802403</v>
      </c>
      <c r="AJ6036">
        <v>92.8686662135825</v>
      </c>
      <c r="AK6036">
        <v>80.645357342840001</v>
      </c>
      <c r="AL6036">
        <v>79.904907630662294</v>
      </c>
      <c r="AM6036">
        <v>87.678819545754493</v>
      </c>
      <c r="AN6036">
        <v>1.00000000853058</v>
      </c>
    </row>
    <row r="6037" spans="1:40" x14ac:dyDescent="0.25">
      <c r="A6037" t="str">
        <f>"20190303171131762"</f>
        <v>20190303171131762</v>
      </c>
      <c r="B6037" t="str">
        <f>"1551604291756401"</f>
        <v>1551604291756401</v>
      </c>
      <c r="C6037" t="s">
        <v>40</v>
      </c>
      <c r="D6037">
        <v>4.8950820000000004</v>
      </c>
      <c r="E6037">
        <v>0.46848770000000001</v>
      </c>
      <c r="F6037" t="s">
        <v>42</v>
      </c>
      <c r="G6037">
        <v>-191.39779999999999</v>
      </c>
      <c r="H6037" s="1">
        <v>-3.4934650000000002E-6</v>
      </c>
      <c r="I6037">
        <v>76.865519999999904</v>
      </c>
      <c r="J6037">
        <v>-189.23259999999999</v>
      </c>
      <c r="K6037">
        <v>1.1233070000000001</v>
      </c>
      <c r="L6037">
        <v>-3.7474370000000001</v>
      </c>
      <c r="M6037">
        <v>2.3188400000000001E-2</v>
      </c>
      <c r="N6037">
        <v>-1.06394E-2</v>
      </c>
      <c r="O6037">
        <v>0.99967450000000002</v>
      </c>
      <c r="P6037">
        <v>6.1649990000000002E-2</v>
      </c>
      <c r="Q6037">
        <v>0.164342299999999</v>
      </c>
      <c r="R6037">
        <v>0.98447499999999999</v>
      </c>
      <c r="S6037">
        <v>-8.1634520000000002E-2</v>
      </c>
      <c r="T6037">
        <v>-4.247165E-2</v>
      </c>
      <c r="U6037">
        <v>3.061096</v>
      </c>
      <c r="V6037">
        <v>3.7738290000000001E-2</v>
      </c>
      <c r="W6037">
        <v>0.17505279999999901</v>
      </c>
      <c r="X6037">
        <v>0.98383549999999997</v>
      </c>
      <c r="Y6037">
        <v>-4.9826580000000002E-2</v>
      </c>
      <c r="Z6037">
        <v>-3.2141959999999999E-3</v>
      </c>
      <c r="AA6037">
        <v>0.99875270000000005</v>
      </c>
      <c r="AB6037">
        <v>32</v>
      </c>
      <c r="AC6037">
        <v>-2.1651999999999898</v>
      </c>
      <c r="AD6037">
        <v>-1.123310493465</v>
      </c>
      <c r="AE6037">
        <v>80.612956999999994</v>
      </c>
      <c r="AF6037">
        <v>-4.0332264539746996</v>
      </c>
      <c r="AG6037">
        <v>-1.123310493465</v>
      </c>
      <c r="AH6037">
        <v>80.5254437621129</v>
      </c>
      <c r="AI6037">
        <v>90.798209993545996</v>
      </c>
      <c r="AJ6037">
        <v>92.8673409918933</v>
      </c>
      <c r="AK6037">
        <v>80.634210079711096</v>
      </c>
      <c r="AL6037">
        <v>79.918269002318794</v>
      </c>
      <c r="AM6037">
        <v>87.803306348592798</v>
      </c>
      <c r="AN6037">
        <v>0.99999997619010605</v>
      </c>
    </row>
    <row r="6038" spans="1:40" x14ac:dyDescent="0.25">
      <c r="A6038" t="str">
        <f>"20190303171131783"</f>
        <v>20190303171131783</v>
      </c>
      <c r="B6038" t="str">
        <f>"1551604291776897"</f>
        <v>1551604291776897</v>
      </c>
      <c r="C6038" t="s">
        <v>40</v>
      </c>
      <c r="D6038">
        <v>4.8334590000000004</v>
      </c>
      <c r="E6038">
        <v>0.46900829999999999</v>
      </c>
      <c r="F6038" t="s">
        <v>42</v>
      </c>
      <c r="G6038">
        <v>-191.66120000000001</v>
      </c>
      <c r="H6038" s="1">
        <v>-4.0325949999999998E-6</v>
      </c>
      <c r="I6038">
        <v>77.970849999999999</v>
      </c>
      <c r="J6038">
        <v>-189.22839999999999</v>
      </c>
      <c r="K6038">
        <v>1.123224</v>
      </c>
      <c r="L6038">
        <v>-3.4506839999999999</v>
      </c>
      <c r="M6038">
        <v>2.0528290000000001E-2</v>
      </c>
      <c r="N6038">
        <v>-1.0532629999999999E-2</v>
      </c>
      <c r="O6038">
        <v>0.99973380000000001</v>
      </c>
      <c r="P6038">
        <v>5.7363860000000003E-2</v>
      </c>
      <c r="Q6038">
        <v>0.16520019999999999</v>
      </c>
      <c r="R6038">
        <v>0.98459039999999998</v>
      </c>
      <c r="S6038">
        <v>-9.0942380000000003E-2</v>
      </c>
      <c r="T6038">
        <v>-4.2063589999999998E-2</v>
      </c>
      <c r="U6038">
        <v>3.060028</v>
      </c>
      <c r="V6038">
        <v>3.6100970000000003E-2</v>
      </c>
      <c r="W6038">
        <v>0.175788</v>
      </c>
      <c r="X6038">
        <v>0.98376589999999997</v>
      </c>
      <c r="Y6038">
        <v>-5.0213880000000002E-2</v>
      </c>
      <c r="Z6038">
        <v>-3.193197E-3</v>
      </c>
      <c r="AA6038">
        <v>0.99873339999999999</v>
      </c>
      <c r="AB6038">
        <v>32</v>
      </c>
      <c r="AC6038">
        <v>-2.4328000000000101</v>
      </c>
      <c r="AD6038">
        <v>-1.1232280325949999</v>
      </c>
      <c r="AE6038">
        <v>81.421533999999994</v>
      </c>
      <c r="AF6038">
        <v>-4.1030447058689399</v>
      </c>
      <c r="AG6038">
        <v>-1.1232280325949999</v>
      </c>
      <c r="AH6038">
        <v>81.338964684492794</v>
      </c>
      <c r="AI6038">
        <v>90.7901554623583</v>
      </c>
      <c r="AJ6038">
        <v>92.887767881611197</v>
      </c>
      <c r="AK6038">
        <v>81.450130712091195</v>
      </c>
      <c r="AL6038">
        <v>79.875482150268894</v>
      </c>
      <c r="AM6038">
        <v>87.898376552051602</v>
      </c>
      <c r="AN6038">
        <v>1.0000000234908699</v>
      </c>
    </row>
    <row r="6039" spans="1:40" x14ac:dyDescent="0.25">
      <c r="A6039" t="str">
        <f>"20190303171131805"</f>
        <v>20190303171131805</v>
      </c>
      <c r="B6039" t="str">
        <f>"1551604291796401"</f>
        <v>1551604291796401</v>
      </c>
      <c r="C6039" t="s">
        <v>40</v>
      </c>
      <c r="D6039">
        <v>4.8331470000000003</v>
      </c>
      <c r="E6039">
        <v>0.4692192</v>
      </c>
      <c r="F6039" t="s">
        <v>42</v>
      </c>
      <c r="G6039">
        <v>-192.09010000000001</v>
      </c>
      <c r="H6039" s="1">
        <v>-2.7934339999999999E-6</v>
      </c>
      <c r="I6039">
        <v>84.804349999999999</v>
      </c>
      <c r="J6039">
        <v>-189.22470000000001</v>
      </c>
      <c r="K6039">
        <v>1.123132</v>
      </c>
      <c r="L6039">
        <v>-3.1353759999999999</v>
      </c>
      <c r="M6039">
        <v>1.7836270000000001E-2</v>
      </c>
      <c r="N6039">
        <v>-1.042852E-2</v>
      </c>
      <c r="O6039">
        <v>0.99978659999999997</v>
      </c>
      <c r="P6039">
        <v>5.4227049999999999E-2</v>
      </c>
      <c r="Q6039">
        <v>0.16666049999999999</v>
      </c>
      <c r="R6039">
        <v>0.98452209999999996</v>
      </c>
      <c r="S6039">
        <v>-9.9197389999999996E-2</v>
      </c>
      <c r="T6039">
        <v>-3.8935419999999998E-2</v>
      </c>
      <c r="U6039">
        <v>3.0592649999999999</v>
      </c>
      <c r="V6039">
        <v>3.5649630000000002E-2</v>
      </c>
      <c r="W6039">
        <v>0.1771327</v>
      </c>
      <c r="X6039">
        <v>0.98354109999999995</v>
      </c>
      <c r="Y6039">
        <v>-5.0224770000000002E-2</v>
      </c>
      <c r="Z6039">
        <v>-2.2802310000000002E-3</v>
      </c>
      <c r="AA6039">
        <v>0.99873529999999999</v>
      </c>
      <c r="AB6039">
        <v>32</v>
      </c>
      <c r="AC6039">
        <v>-2.86539999999999</v>
      </c>
      <c r="AD6039">
        <v>-1.1231347934339999</v>
      </c>
      <c r="AE6039">
        <v>87.939725999999993</v>
      </c>
      <c r="AF6039">
        <v>-4.4328237244129403</v>
      </c>
      <c r="AG6039">
        <v>-1.1231347934339999</v>
      </c>
      <c r="AH6039">
        <v>87.860308176679695</v>
      </c>
      <c r="AI6039">
        <v>90.731452533142303</v>
      </c>
      <c r="AJ6039">
        <v>92.888299842811307</v>
      </c>
      <c r="AK6039">
        <v>87.979231133472993</v>
      </c>
      <c r="AL6039">
        <v>79.797207896645702</v>
      </c>
      <c r="AM6039">
        <v>87.924154321142595</v>
      </c>
      <c r="AN6039">
        <v>0.99999999245881799</v>
      </c>
    </row>
    <row r="6040" spans="1:40" x14ac:dyDescent="0.25">
      <c r="A6040" t="str">
        <f>"20190303171131828"</f>
        <v>20190303171131828</v>
      </c>
      <c r="B6040" t="str">
        <f>"1551604291816896"</f>
        <v>1551604291816896</v>
      </c>
      <c r="C6040" t="s">
        <v>40</v>
      </c>
      <c r="D6040">
        <v>4.7798290000000003</v>
      </c>
      <c r="E6040">
        <v>0.47541820000000001</v>
      </c>
      <c r="F6040" t="s">
        <v>42</v>
      </c>
      <c r="G6040">
        <v>-192.7122</v>
      </c>
      <c r="H6040" s="1">
        <v>-3.679894E-6</v>
      </c>
      <c r="I6040">
        <v>96.484880000000004</v>
      </c>
      <c r="J6040">
        <v>-189.2216</v>
      </c>
      <c r="K6040">
        <v>1.1230279999999999</v>
      </c>
      <c r="L6040">
        <v>-2.813904</v>
      </c>
      <c r="M6040">
        <v>1.526345E-2</v>
      </c>
      <c r="N6040">
        <v>-1.032813E-2</v>
      </c>
      <c r="O6040">
        <v>0.9998302</v>
      </c>
      <c r="P6040">
        <v>5.1986169999999998E-2</v>
      </c>
      <c r="Q6040">
        <v>0.16895679999999999</v>
      </c>
      <c r="R6040">
        <v>0.98425149999999995</v>
      </c>
      <c r="S6040">
        <v>-0.10708620000000001</v>
      </c>
      <c r="T6040">
        <v>-3.4486530000000001E-2</v>
      </c>
      <c r="U6040">
        <v>3.0588989999999998</v>
      </c>
      <c r="V6040">
        <v>3.5983319999999999E-2</v>
      </c>
      <c r="W6040">
        <v>0.17931820000000001</v>
      </c>
      <c r="X6040">
        <v>0.98313280000000003</v>
      </c>
      <c r="Y6040">
        <v>-5.023188E-2</v>
      </c>
      <c r="Z6040">
        <v>-9.3007759999999995E-4</v>
      </c>
      <c r="AA6040">
        <v>0.99873719999999999</v>
      </c>
      <c r="AB6040">
        <v>32</v>
      </c>
      <c r="AC6040">
        <v>-3.4906000000000001</v>
      </c>
      <c r="AD6040">
        <v>-1.1230316798940001</v>
      </c>
      <c r="AE6040">
        <v>99.298783999999998</v>
      </c>
      <c r="AF6040">
        <v>-5.0052767163447696</v>
      </c>
      <c r="AG6040">
        <v>-1.1230316798940001</v>
      </c>
      <c r="AH6040">
        <v>99.221258207073802</v>
      </c>
      <c r="AI6040">
        <v>90.647648743205906</v>
      </c>
      <c r="AJ6040">
        <v>92.887872457944894</v>
      </c>
      <c r="AK6040">
        <v>99.353772325745297</v>
      </c>
      <c r="AL6040">
        <v>79.669950163431807</v>
      </c>
      <c r="AM6040">
        <v>87.9038716971898</v>
      </c>
      <c r="AN6040">
        <v>0.99999995930264995</v>
      </c>
    </row>
    <row r="6041" spans="1:40" x14ac:dyDescent="0.25">
      <c r="A6041" t="str">
        <f>"20190303171131852"</f>
        <v>20190303171131852</v>
      </c>
      <c r="B6041" t="str">
        <f>"1551604291846176"</f>
        <v>1551604291846176</v>
      </c>
      <c r="C6041" t="s">
        <v>40</v>
      </c>
      <c r="D6041">
        <v>4.8862209999999999</v>
      </c>
      <c r="E6041">
        <v>0.47667530000000002</v>
      </c>
      <c r="F6041" t="s">
        <v>52</v>
      </c>
      <c r="G6041">
        <v>-195.23349999999999</v>
      </c>
      <c r="H6041" s="1">
        <v>3.1466699999999999E-6</v>
      </c>
      <c r="I6041">
        <v>283.35340000000002</v>
      </c>
      <c r="J6041">
        <v>-189.2192</v>
      </c>
      <c r="K6041">
        <v>1.1229009999999999</v>
      </c>
      <c r="L6041">
        <v>-2.4963380000000002</v>
      </c>
      <c r="M6041">
        <v>1.291431E-2</v>
      </c>
      <c r="N6041">
        <v>-1.023428E-2</v>
      </c>
      <c r="O6041">
        <v>0.99986419999999998</v>
      </c>
      <c r="P6041">
        <v>5.0218859999999997E-2</v>
      </c>
      <c r="Q6041">
        <v>0.17108190000000001</v>
      </c>
      <c r="R6041">
        <v>0.98397610000000002</v>
      </c>
      <c r="S6041">
        <v>-6.4147949999999995E-2</v>
      </c>
      <c r="T6041">
        <v>-1.1982799999999899E-2</v>
      </c>
      <c r="U6041">
        <v>3.053436</v>
      </c>
      <c r="V6041">
        <v>3.6580199999999903E-2</v>
      </c>
      <c r="W6041">
        <v>0.18133830000000001</v>
      </c>
      <c r="X6041">
        <v>0.98274019999999995</v>
      </c>
      <c r="Y6041">
        <v>-3.3911330000000003E-2</v>
      </c>
      <c r="Z6041">
        <v>6.3135129999999998E-3</v>
      </c>
      <c r="AA6041">
        <v>0.99940490000000004</v>
      </c>
      <c r="AB6041">
        <v>32</v>
      </c>
      <c r="AC6041">
        <v>-6.0142999999999898</v>
      </c>
      <c r="AD6041">
        <v>-1.12289785332999</v>
      </c>
      <c r="AE6041">
        <v>285.849738</v>
      </c>
      <c r="AF6041">
        <v>-9.7053942808967708</v>
      </c>
      <c r="AG6041">
        <v>-1.12289785332999</v>
      </c>
      <c r="AH6041">
        <v>285.74381550643898</v>
      </c>
      <c r="AI6041">
        <v>90.225026385707906</v>
      </c>
      <c r="AJ6041">
        <v>91.945324480781196</v>
      </c>
      <c r="AK6041">
        <v>285.91079671449</v>
      </c>
      <c r="AL6041">
        <v>79.552278250997702</v>
      </c>
      <c r="AM6041">
        <v>87.868283085345993</v>
      </c>
      <c r="AN6041">
        <v>0.99999999538748396</v>
      </c>
    </row>
    <row r="6042" spans="1:40" x14ac:dyDescent="0.25">
      <c r="A6042" t="str">
        <f>"20190303171131872"</f>
        <v>20190303171131872</v>
      </c>
      <c r="B6042" t="str">
        <f>"1551604291866672"</f>
        <v>1551604291866672</v>
      </c>
      <c r="C6042" t="s">
        <v>40</v>
      </c>
      <c r="D6042">
        <v>4.7703059999999997</v>
      </c>
      <c r="E6042">
        <v>0.47716589999999998</v>
      </c>
      <c r="F6042" t="s">
        <v>109</v>
      </c>
      <c r="G6042">
        <v>-196.93770000000001</v>
      </c>
      <c r="H6042">
        <v>0.28741260000000002</v>
      </c>
      <c r="I6042">
        <v>391.87</v>
      </c>
      <c r="J6042">
        <v>-189.2174</v>
      </c>
      <c r="K6042">
        <v>1.1227499999999999</v>
      </c>
      <c r="L6042">
        <v>-2.199036</v>
      </c>
      <c r="M6042">
        <v>1.091669E-2</v>
      </c>
      <c r="N6042">
        <v>-1.01518999999999E-2</v>
      </c>
      <c r="O6042">
        <v>0.99988889999999997</v>
      </c>
      <c r="P6042">
        <v>4.8264759999999997E-2</v>
      </c>
      <c r="Q6042">
        <v>0.1718462</v>
      </c>
      <c r="R6042">
        <v>0.9839407</v>
      </c>
      <c r="S6042">
        <v>-5.9753420000000002E-2</v>
      </c>
      <c r="T6042">
        <v>-6.4680579999999996E-3</v>
      </c>
      <c r="U6042">
        <v>3.0530400000000002</v>
      </c>
      <c r="V6042">
        <v>3.6655359999999998E-2</v>
      </c>
      <c r="W6042">
        <v>0.18200740000000001</v>
      </c>
      <c r="X6042">
        <v>0.98261370000000003</v>
      </c>
      <c r="Y6042">
        <v>-3.0479510000000001E-2</v>
      </c>
      <c r="Z6042">
        <v>8.0354019999999901E-3</v>
      </c>
      <c r="AA6042">
        <v>0.99950309999999998</v>
      </c>
      <c r="AB6042">
        <v>32</v>
      </c>
      <c r="AC6042">
        <v>-7.7202999999999999</v>
      </c>
      <c r="AD6042">
        <v>-0.83533740000000001</v>
      </c>
      <c r="AE6042">
        <v>394.06903599999998</v>
      </c>
      <c r="AF6042">
        <v>-12.021937009969699</v>
      </c>
      <c r="AG6042">
        <v>-0.83533740000000001</v>
      </c>
      <c r="AH6042">
        <v>393.95949744719502</v>
      </c>
      <c r="AI6042">
        <v>90.121431181013605</v>
      </c>
      <c r="AJ6042">
        <v>91.747876543796707</v>
      </c>
      <c r="AK6042">
        <v>394.14376867697598</v>
      </c>
      <c r="AL6042">
        <v>79.513292898715406</v>
      </c>
      <c r="AM6042">
        <v>87.863632435684707</v>
      </c>
      <c r="AN6042">
        <v>0.99999999624958902</v>
      </c>
    </row>
    <row r="6043" spans="1:40" x14ac:dyDescent="0.25">
      <c r="A6043" t="str">
        <f>"20190303171131893"</f>
        <v>20190303171131893</v>
      </c>
      <c r="B6043" t="str">
        <f>"1551604291886877"</f>
        <v>1551604291886877</v>
      </c>
      <c r="C6043" t="s">
        <v>40</v>
      </c>
      <c r="D6043">
        <v>4.8272009999999996</v>
      </c>
      <c r="E6043">
        <v>0.47761049999999999</v>
      </c>
      <c r="F6043" t="s">
        <v>109</v>
      </c>
      <c r="G6043">
        <v>-197.19990000000001</v>
      </c>
      <c r="H6043">
        <v>0.35883999999999999</v>
      </c>
      <c r="I6043">
        <v>391.87</v>
      </c>
      <c r="J6043">
        <v>-189.21600000000001</v>
      </c>
      <c r="K6043">
        <v>1.122555</v>
      </c>
      <c r="L6043">
        <v>-1.8869629999999999</v>
      </c>
      <c r="M6043">
        <v>9.0508689999999996E-3</v>
      </c>
      <c r="N6043">
        <v>-1.007367E-2</v>
      </c>
      <c r="O6043">
        <v>0.99990829999999997</v>
      </c>
      <c r="P6043">
        <v>4.6874989999999998E-2</v>
      </c>
      <c r="Q6043">
        <v>0.17193069999999999</v>
      </c>
      <c r="R6043">
        <v>0.98399320000000001</v>
      </c>
      <c r="S6043">
        <v>-6.1843870000000002E-2</v>
      </c>
      <c r="T6043">
        <v>-5.9183839999999996E-3</v>
      </c>
      <c r="U6043">
        <v>3.0530400000000002</v>
      </c>
      <c r="V6043">
        <v>3.7181699999999998E-2</v>
      </c>
      <c r="W6043">
        <v>0.18200040000000001</v>
      </c>
      <c r="X6043">
        <v>0.9825952</v>
      </c>
      <c r="Y6043">
        <v>-2.9298540000000001E-2</v>
      </c>
      <c r="Z6043">
        <v>8.1368929999999992E-3</v>
      </c>
      <c r="AA6043">
        <v>0.99953760000000003</v>
      </c>
      <c r="AB6043">
        <v>32</v>
      </c>
      <c r="AC6043">
        <v>-7.9839000000000304</v>
      </c>
      <c r="AD6043">
        <v>-0.76371499999999903</v>
      </c>
      <c r="AE6043">
        <v>393.75696299999998</v>
      </c>
      <c r="AF6043">
        <v>-11.547553045121999</v>
      </c>
      <c r="AG6043">
        <v>-0.76371499999999903</v>
      </c>
      <c r="AH6043">
        <v>393.66708787278702</v>
      </c>
      <c r="AI6043">
        <v>90.111106006700098</v>
      </c>
      <c r="AJ6043">
        <v>91.6801922431615</v>
      </c>
      <c r="AK6043">
        <v>393.83715583496098</v>
      </c>
      <c r="AL6043">
        <v>79.513700564199596</v>
      </c>
      <c r="AM6043">
        <v>87.832944280861597</v>
      </c>
      <c r="AN6043">
        <v>0.99999997573904398</v>
      </c>
    </row>
    <row r="6044" spans="1:40" x14ac:dyDescent="0.25">
      <c r="A6044" t="str">
        <f>"20190303171131918"</f>
        <v>20190303171131918</v>
      </c>
      <c r="B6044" t="str">
        <f>"1551604291906383"</f>
        <v>1551604291906383</v>
      </c>
      <c r="C6044" t="s">
        <v>40</v>
      </c>
      <c r="D6044">
        <v>4.8323140000000002</v>
      </c>
      <c r="E6044">
        <v>0.47782229999999998</v>
      </c>
      <c r="F6044" t="s">
        <v>44</v>
      </c>
      <c r="G6044">
        <v>-197.09039999999999</v>
      </c>
      <c r="H6044">
        <v>7.8993530000000006E-2</v>
      </c>
      <c r="I6044">
        <v>379.62909999999999</v>
      </c>
      <c r="J6044">
        <v>-189.2148</v>
      </c>
      <c r="K6044">
        <v>1.1223209999999999</v>
      </c>
      <c r="L6044">
        <v>-1.5475460000000001</v>
      </c>
      <c r="M6044">
        <v>7.3149240000000004E-3</v>
      </c>
      <c r="N6044">
        <v>-9.9923800000000004E-3</v>
      </c>
      <c r="O6044">
        <v>0.99992329999999996</v>
      </c>
      <c r="P6044">
        <v>4.6204700000000001E-2</v>
      </c>
      <c r="Q6044">
        <v>0.17089550000000001</v>
      </c>
      <c r="R6044">
        <v>0.9842052</v>
      </c>
      <c r="S6044">
        <v>-6.30188E-2</v>
      </c>
      <c r="T6044">
        <v>-8.3515640000000006E-3</v>
      </c>
      <c r="U6044">
        <v>3.0532530000000002</v>
      </c>
      <c r="V6044">
        <v>3.8319539999999999E-2</v>
      </c>
      <c r="W6044">
        <v>0.18087120000000001</v>
      </c>
      <c r="X6044">
        <v>0.98275999999999997</v>
      </c>
      <c r="Y6044">
        <v>-2.7946349999999998E-2</v>
      </c>
      <c r="Z6044">
        <v>7.2588779999999999E-3</v>
      </c>
      <c r="AA6044">
        <v>0.99958309999999995</v>
      </c>
      <c r="AB6044">
        <v>32</v>
      </c>
      <c r="AC6044">
        <v>-7.8755999999999897</v>
      </c>
      <c r="AD6044">
        <v>-1.0433274699999999</v>
      </c>
      <c r="AE6044">
        <v>381.17664600000001</v>
      </c>
      <c r="AF6044">
        <v>-10.663726876479499</v>
      </c>
      <c r="AG6044">
        <v>-1.0433274699999999</v>
      </c>
      <c r="AH6044">
        <v>381.105980562242</v>
      </c>
      <c r="AI6044">
        <v>90.1567929316506</v>
      </c>
      <c r="AJ6044">
        <v>91.602775068827398</v>
      </c>
      <c r="AK6044">
        <v>381.25656981016601</v>
      </c>
      <c r="AL6044">
        <v>79.579491133047398</v>
      </c>
      <c r="AM6044">
        <v>87.767067995819303</v>
      </c>
      <c r="AN6044">
        <v>0.99999999786762495</v>
      </c>
    </row>
    <row r="6045" spans="1:40" x14ac:dyDescent="0.25">
      <c r="A6045" t="str">
        <f>"20190303171131938"</f>
        <v>20190303171131938</v>
      </c>
      <c r="B6045" t="str">
        <f>"1551604291926878"</f>
        <v>1551604291926878</v>
      </c>
      <c r="C6045" t="s">
        <v>40</v>
      </c>
      <c r="D6045">
        <v>4.8325189999999996</v>
      </c>
      <c r="E6045">
        <v>0.48132219999999998</v>
      </c>
      <c r="F6045" t="s">
        <v>52</v>
      </c>
      <c r="G6045">
        <v>-195.20859999999999</v>
      </c>
      <c r="H6045" s="1">
        <v>3.0282539999999999E-6</v>
      </c>
      <c r="I6045">
        <v>284.7586</v>
      </c>
      <c r="J6045">
        <v>-189.2139</v>
      </c>
      <c r="K6045">
        <v>1.122104</v>
      </c>
      <c r="L6045">
        <v>-1.2453920000000001</v>
      </c>
      <c r="M6045">
        <v>6.0566070000000003E-3</v>
      </c>
      <c r="N6045">
        <v>-9.9258890000000002E-3</v>
      </c>
      <c r="O6045">
        <v>0.99993240000000005</v>
      </c>
      <c r="P6045">
        <v>4.5798850000000002E-2</v>
      </c>
      <c r="Q6045">
        <v>0.16991049999999999</v>
      </c>
      <c r="R6045">
        <v>0.98439469999999996</v>
      </c>
      <c r="S6045">
        <v>-6.3919069999999995E-2</v>
      </c>
      <c r="T6045">
        <v>-1.1968609999999999E-2</v>
      </c>
      <c r="U6045">
        <v>3.053223</v>
      </c>
      <c r="V6045">
        <v>3.924619E-2</v>
      </c>
      <c r="W6045">
        <v>0.17980560000000001</v>
      </c>
      <c r="X6045">
        <v>0.98291899999999999</v>
      </c>
      <c r="Y6045">
        <v>-2.698333E-2</v>
      </c>
      <c r="Z6045">
        <v>6.0079219999999997E-3</v>
      </c>
      <c r="AA6045">
        <v>0.9996178</v>
      </c>
      <c r="AB6045">
        <v>32</v>
      </c>
      <c r="AC6045">
        <v>-5.9946999999999901</v>
      </c>
      <c r="AD6045">
        <v>-1.122100971746</v>
      </c>
      <c r="AE6045">
        <v>286.00399199999998</v>
      </c>
      <c r="AF6045">
        <v>-7.7267702619560001</v>
      </c>
      <c r="AG6045">
        <v>-1.122100971746</v>
      </c>
      <c r="AH6045">
        <v>285.95803665272399</v>
      </c>
      <c r="AI6045">
        <v>90.224745783297806</v>
      </c>
      <c r="AJ6045">
        <v>91.547792236269899</v>
      </c>
      <c r="AK6045">
        <v>286.06460951252302</v>
      </c>
      <c r="AL6045">
        <v>79.641563643691796</v>
      </c>
      <c r="AM6045">
        <v>87.7134970258805</v>
      </c>
      <c r="AN6045">
        <v>1.00000003889093</v>
      </c>
    </row>
    <row r="6046" spans="1:40" x14ac:dyDescent="0.25">
      <c r="A6046" t="str">
        <f>"20190303171131963"</f>
        <v>20190303171131963</v>
      </c>
      <c r="B6046" t="str">
        <f>"1551604291956159"</f>
        <v>1551604291956159</v>
      </c>
      <c r="C6046" t="s">
        <v>40</v>
      </c>
      <c r="D6046">
        <v>4.8892709999999999</v>
      </c>
      <c r="E6046">
        <v>0.48073300000000002</v>
      </c>
      <c r="F6046" t="s">
        <v>42</v>
      </c>
      <c r="G6046">
        <v>-190.59219999999999</v>
      </c>
      <c r="H6046" s="1">
        <v>-3.9848880000000003E-6</v>
      </c>
      <c r="I6046">
        <v>108.5107</v>
      </c>
      <c r="J6046">
        <v>-189.2131</v>
      </c>
      <c r="K6046">
        <v>1.1218619999999999</v>
      </c>
      <c r="L6046">
        <v>-0.89123539999999901</v>
      </c>
      <c r="M6046">
        <v>4.8690410000000002E-3</v>
      </c>
      <c r="N6046">
        <v>-9.8552850000000001E-3</v>
      </c>
      <c r="O6046">
        <v>0.99993960000000004</v>
      </c>
      <c r="P6046">
        <v>4.4234860000000001E-2</v>
      </c>
      <c r="Q6046">
        <v>0.17086319999999999</v>
      </c>
      <c r="R6046">
        <v>0.98430130000000005</v>
      </c>
      <c r="S6046">
        <v>-3.8360600000000002E-2</v>
      </c>
      <c r="T6046">
        <v>-3.1230689999999998E-2</v>
      </c>
      <c r="U6046">
        <v>3.0547490000000002</v>
      </c>
      <c r="V6046">
        <v>3.8948919999999998E-2</v>
      </c>
      <c r="W6046">
        <v>0.1806644</v>
      </c>
      <c r="X6046">
        <v>0.98277329999999996</v>
      </c>
      <c r="Y6046">
        <v>-1.7423729999999998E-2</v>
      </c>
      <c r="Z6046">
        <v>-3.6618929999999999E-4</v>
      </c>
      <c r="AA6046">
        <v>0.99984810000000002</v>
      </c>
      <c r="AB6046">
        <v>32</v>
      </c>
      <c r="AC6046">
        <v>-1.37909999999999</v>
      </c>
      <c r="AD6046">
        <v>-1.1218659848879999</v>
      </c>
      <c r="AE6046">
        <v>109.4019354</v>
      </c>
      <c r="AF6046">
        <v>-1.91159103798867</v>
      </c>
      <c r="AG6046">
        <v>-1.1218659848879999</v>
      </c>
      <c r="AH6046">
        <v>109.38242288469</v>
      </c>
      <c r="AI6046">
        <v>90.587536078514503</v>
      </c>
      <c r="AJ6046">
        <v>91.001211596577207</v>
      </c>
      <c r="AK6046">
        <v>109.404877403659</v>
      </c>
      <c r="AL6046">
        <v>79.591538407026505</v>
      </c>
      <c r="AM6046">
        <v>87.730461886810602</v>
      </c>
      <c r="AN6046">
        <v>1.0000000014946999</v>
      </c>
    </row>
    <row r="6047" spans="1:40" x14ac:dyDescent="0.25">
      <c r="A6047" t="str">
        <f>"20190303171131985"</f>
        <v>20190303171131985</v>
      </c>
      <c r="B6047" t="str">
        <f>"1551604291976655"</f>
        <v>1551604291976655</v>
      </c>
      <c r="C6047" t="s">
        <v>40</v>
      </c>
      <c r="D6047">
        <v>4.8351179999999996</v>
      </c>
      <c r="E6047">
        <v>0.48078270000000001</v>
      </c>
      <c r="F6047" t="s">
        <v>84</v>
      </c>
      <c r="G6047">
        <v>-191.30080000000001</v>
      </c>
      <c r="H6047" s="1">
        <v>-6.5311320000000001E-6</v>
      </c>
      <c r="I6047">
        <v>134.26390000000001</v>
      </c>
      <c r="J6047">
        <v>-189.21260000000001</v>
      </c>
      <c r="K6047">
        <v>1.1216459999999999</v>
      </c>
      <c r="L6047">
        <v>-0.57650760000000001</v>
      </c>
      <c r="M6047">
        <v>4.0825929999999998E-3</v>
      </c>
      <c r="N6047">
        <v>-9.7943960000000004E-3</v>
      </c>
      <c r="O6047">
        <v>0.99994369999999999</v>
      </c>
      <c r="P6047">
        <v>4.2670529999999998E-2</v>
      </c>
      <c r="Q6047">
        <v>0.17272419999999999</v>
      </c>
      <c r="R6047">
        <v>0.98404550000000002</v>
      </c>
      <c r="S6047">
        <v>-4.7180180000000002E-2</v>
      </c>
      <c r="T6047">
        <v>-2.5353190000000001E-2</v>
      </c>
      <c r="U6047">
        <v>3.0543819999999999</v>
      </c>
      <c r="V6047">
        <v>3.8243930000000002E-2</v>
      </c>
      <c r="W6047">
        <v>0.1824421</v>
      </c>
      <c r="X6047">
        <v>0.98247249999999997</v>
      </c>
      <c r="Y6047">
        <v>-1.9525299999999999E-2</v>
      </c>
      <c r="Z6047">
        <v>1.495847E-3</v>
      </c>
      <c r="AA6047">
        <v>0.99980829999999998</v>
      </c>
      <c r="AB6047">
        <v>32</v>
      </c>
      <c r="AC6047">
        <v>-2.0882000000000001</v>
      </c>
      <c r="AD6047">
        <v>-1.121652531132</v>
      </c>
      <c r="AE6047">
        <v>134.84040759999999</v>
      </c>
      <c r="AF6047">
        <v>-2.6385249764565999</v>
      </c>
      <c r="AG6047">
        <v>-1.121652531132</v>
      </c>
      <c r="AH6047">
        <v>134.821431305262</v>
      </c>
      <c r="AI6047">
        <v>90.4765723826456</v>
      </c>
      <c r="AJ6047">
        <v>91.121164846157001</v>
      </c>
      <c r="AK6047">
        <v>134.85191232478499</v>
      </c>
      <c r="AL6047">
        <v>79.487961985214696</v>
      </c>
      <c r="AM6047">
        <v>87.770817972298502</v>
      </c>
      <c r="AN6047">
        <v>0.99999996564525095</v>
      </c>
    </row>
    <row r="6048" spans="1:40" x14ac:dyDescent="0.25">
      <c r="A6048" t="str">
        <f>"20190303171132028"</f>
        <v>20190303171132028</v>
      </c>
      <c r="B6048" t="str">
        <f>"1551604292016485"</f>
        <v>1551604292016485</v>
      </c>
      <c r="C6048" t="s">
        <v>40</v>
      </c>
      <c r="D6048">
        <v>4.8939009999999996</v>
      </c>
      <c r="E6048">
        <v>0.48135280000000003</v>
      </c>
      <c r="F6048" t="s">
        <v>42</v>
      </c>
      <c r="G6048">
        <v>-191.99100000000001</v>
      </c>
      <c r="H6048" s="1">
        <v>-2.2839249999999999E-6</v>
      </c>
      <c r="I6048">
        <v>163.30250000000001</v>
      </c>
      <c r="J6048">
        <v>-189.21129999999999</v>
      </c>
      <c r="K6048">
        <v>1.1212249999999999</v>
      </c>
      <c r="L6048">
        <v>2.7465819999999998E-2</v>
      </c>
      <c r="M6048">
        <v>3.3389629999999999E-3</v>
      </c>
      <c r="N6048">
        <v>-9.6908940000000002E-3</v>
      </c>
      <c r="O6048">
        <v>0.99994749999999999</v>
      </c>
      <c r="P6048">
        <v>4.036199E-2</v>
      </c>
      <c r="Q6048">
        <v>0.17465649999999999</v>
      </c>
      <c r="R6048">
        <v>0.98380179999999995</v>
      </c>
      <c r="S6048">
        <v>-5.178833E-2</v>
      </c>
      <c r="T6048">
        <v>-2.0906569999999999E-2</v>
      </c>
      <c r="U6048">
        <v>3.0545650000000002</v>
      </c>
      <c r="V6048">
        <v>3.6850620000000001E-2</v>
      </c>
      <c r="W6048">
        <v>0.1842289</v>
      </c>
      <c r="X6048">
        <v>0.98219230000000002</v>
      </c>
      <c r="Y6048">
        <v>-2.0288819999999999E-2</v>
      </c>
      <c r="Z6048">
        <v>2.8483089999999998E-3</v>
      </c>
      <c r="AA6048">
        <v>0.99979010000000001</v>
      </c>
      <c r="AB6048">
        <v>32</v>
      </c>
      <c r="AC6048">
        <v>-2.7796999999999898</v>
      </c>
      <c r="AD6048">
        <v>-1.1212272839249999</v>
      </c>
      <c r="AE6048">
        <v>163.27503418000001</v>
      </c>
      <c r="AF6048">
        <v>-3.32472264586209</v>
      </c>
      <c r="AG6048">
        <v>-1.1212272839249999</v>
      </c>
      <c r="AH6048">
        <v>163.25714567651201</v>
      </c>
      <c r="AI6048">
        <v>90.393411658949702</v>
      </c>
      <c r="AJ6048">
        <v>91.166664080965106</v>
      </c>
      <c r="AK6048">
        <v>163.29484543529199</v>
      </c>
      <c r="AL6048">
        <v>79.383820922279597</v>
      </c>
      <c r="AM6048">
        <v>87.851342213680198</v>
      </c>
      <c r="AN6048">
        <v>0.99999998498444198</v>
      </c>
    </row>
    <row r="6049" spans="1:40" x14ac:dyDescent="0.25">
      <c r="A6049" t="str">
        <f>"20190303171132051"</f>
        <v>20190303171132051</v>
      </c>
      <c r="B6049" t="str">
        <f>"1551604292036981"</f>
        <v>1551604292036981</v>
      </c>
      <c r="C6049" t="s">
        <v>40</v>
      </c>
      <c r="D6049">
        <v>4.7749499999999996</v>
      </c>
      <c r="E6049">
        <v>0.4817379</v>
      </c>
      <c r="F6049" t="s">
        <v>52</v>
      </c>
      <c r="G6049">
        <v>-192.9299</v>
      </c>
      <c r="H6049" s="1">
        <v>4.9657300000000001E-6</v>
      </c>
      <c r="I6049">
        <v>206.17769999999999</v>
      </c>
      <c r="J6049">
        <v>-189.21039999999999</v>
      </c>
      <c r="K6049">
        <v>1.1209830000000001</v>
      </c>
      <c r="L6049">
        <v>0.3644714</v>
      </c>
      <c r="M6049">
        <v>3.323828E-3</v>
      </c>
      <c r="N6049">
        <v>-9.6369969999999996E-3</v>
      </c>
      <c r="O6049">
        <v>0.99994799999999995</v>
      </c>
      <c r="P6049">
        <v>3.8885660000000002E-2</v>
      </c>
      <c r="Q6049">
        <v>0.1738461</v>
      </c>
      <c r="R6049">
        <v>0.98400480000000001</v>
      </c>
      <c r="S6049">
        <v>-5.5099490000000001E-2</v>
      </c>
      <c r="T6049">
        <v>-1.661348E-2</v>
      </c>
      <c r="U6049">
        <v>3.0545960000000001</v>
      </c>
      <c r="V6049">
        <v>3.5496220000000002E-2</v>
      </c>
      <c r="W6049">
        <v>0.18334539999999999</v>
      </c>
      <c r="X6049">
        <v>0.98240749999999999</v>
      </c>
      <c r="Y6049">
        <v>-2.1356920000000001E-2</v>
      </c>
      <c r="Z6049">
        <v>4.1997370000000003E-3</v>
      </c>
      <c r="AA6049">
        <v>0.99976310000000002</v>
      </c>
      <c r="AB6049">
        <v>32</v>
      </c>
      <c r="AC6049">
        <v>-3.7195</v>
      </c>
      <c r="AD6049">
        <v>-1.12097803427</v>
      </c>
      <c r="AE6049">
        <v>205.8132286</v>
      </c>
      <c r="AF6049">
        <v>-4.4034684316022998</v>
      </c>
      <c r="AG6049">
        <v>-1.12097803427</v>
      </c>
      <c r="AH6049">
        <v>205.79362512250299</v>
      </c>
      <c r="AI6049">
        <v>90.312021216355404</v>
      </c>
      <c r="AJ6049">
        <v>91.225799202108703</v>
      </c>
      <c r="AK6049">
        <v>205.843783649258</v>
      </c>
      <c r="AL6049">
        <v>79.435319192430399</v>
      </c>
      <c r="AM6049">
        <v>87.930696534479196</v>
      </c>
      <c r="AN6049">
        <v>1.0000000066958401</v>
      </c>
    </row>
    <row r="6050" spans="1:40" x14ac:dyDescent="0.25">
      <c r="A6050" t="str">
        <f>"20190303171132073"</f>
        <v>20190303171132073</v>
      </c>
      <c r="B6050" t="str">
        <f>"1551604292066260"</f>
        <v>1551604292066260</v>
      </c>
      <c r="C6050" t="s">
        <v>40</v>
      </c>
      <c r="D6050">
        <v>4.8808790000000002</v>
      </c>
      <c r="E6050">
        <v>0.48210890000000001</v>
      </c>
      <c r="F6050" t="s">
        <v>42</v>
      </c>
      <c r="G6050">
        <v>-192.71719999999999</v>
      </c>
      <c r="H6050" s="1">
        <v>-4.6755649999999998E-6</v>
      </c>
      <c r="I6050">
        <v>189.3098</v>
      </c>
      <c r="J6050">
        <v>-189.20930000000001</v>
      </c>
      <c r="K6050">
        <v>1.1207469999999999</v>
      </c>
      <c r="L6050">
        <v>0.6755371</v>
      </c>
      <c r="M6050">
        <v>3.57618E-3</v>
      </c>
      <c r="N6050">
        <v>-9.5837920000000007E-3</v>
      </c>
      <c r="O6050">
        <v>0.99994769999999999</v>
      </c>
      <c r="P6050">
        <v>3.8427450000000002E-2</v>
      </c>
      <c r="Q6050">
        <v>0.17249919999999999</v>
      </c>
      <c r="R6050">
        <v>0.98425980000000002</v>
      </c>
      <c r="S6050">
        <v>-5.6686399999999998E-2</v>
      </c>
      <c r="T6050">
        <v>-1.8120170000000001E-2</v>
      </c>
      <c r="U6050">
        <v>3.0541990000000001</v>
      </c>
      <c r="V6050">
        <v>3.4889509999999999E-2</v>
      </c>
      <c r="W6050">
        <v>0.1819286</v>
      </c>
      <c r="X6050">
        <v>0.98269260000000003</v>
      </c>
      <c r="Y6050">
        <v>-2.2130799999999999E-2</v>
      </c>
      <c r="Z6050">
        <v>3.6527410000000001E-3</v>
      </c>
      <c r="AA6050">
        <v>0.99974839999999998</v>
      </c>
      <c r="AB6050">
        <v>32</v>
      </c>
      <c r="AC6050">
        <v>-3.50789999999997</v>
      </c>
      <c r="AD6050">
        <v>-1.120751675565</v>
      </c>
      <c r="AE6050">
        <v>188.63426290000001</v>
      </c>
      <c r="AF6050">
        <v>-4.1823510264236798</v>
      </c>
      <c r="AG6050">
        <v>-1.120751675565</v>
      </c>
      <c r="AH6050">
        <v>188.61385528762</v>
      </c>
      <c r="AI6050">
        <v>90.3403663244532</v>
      </c>
      <c r="AJ6050">
        <v>91.270276770092593</v>
      </c>
      <c r="AK6050">
        <v>188.66354854842999</v>
      </c>
      <c r="AL6050">
        <v>79.5178847139927</v>
      </c>
      <c r="AM6050">
        <v>87.966625206677307</v>
      </c>
      <c r="AN6050">
        <v>1.00000001975037</v>
      </c>
    </row>
    <row r="6051" spans="1:40" x14ac:dyDescent="0.25">
      <c r="A6051" t="str">
        <f>"20190303171132094"</f>
        <v>20190303171132094</v>
      </c>
      <c r="B6051" t="str">
        <f>"1551604292086757"</f>
        <v>1551604292086757</v>
      </c>
      <c r="C6051" t="s">
        <v>40</v>
      </c>
      <c r="D6051">
        <v>4.7236820000000002</v>
      </c>
      <c r="E6051">
        <v>0.48245009999999999</v>
      </c>
      <c r="F6051" t="s">
        <v>84</v>
      </c>
      <c r="G6051">
        <v>-191.72839999999999</v>
      </c>
      <c r="H6051" s="1">
        <v>-8.4689210000000003E-6</v>
      </c>
      <c r="I6051">
        <v>140.16849999999999</v>
      </c>
      <c r="J6051">
        <v>-189.20779999999999</v>
      </c>
      <c r="K6051">
        <v>1.120484</v>
      </c>
      <c r="L6051">
        <v>0.99371339999999997</v>
      </c>
      <c r="M6051">
        <v>4.1339100000000002E-3</v>
      </c>
      <c r="N6051">
        <v>-9.5195669999999996E-3</v>
      </c>
      <c r="O6051">
        <v>0.99994609999999995</v>
      </c>
      <c r="P6051">
        <v>3.9936369999999999E-2</v>
      </c>
      <c r="Q6051">
        <v>0.17277819999999999</v>
      </c>
      <c r="R6051">
        <v>0.98415079999999999</v>
      </c>
      <c r="S6051">
        <v>-5.5160519999999998E-2</v>
      </c>
      <c r="T6051">
        <v>-2.4540900000000001E-2</v>
      </c>
      <c r="U6051">
        <v>3.054443</v>
      </c>
      <c r="V6051">
        <v>3.5959650000000003E-2</v>
      </c>
      <c r="W6051">
        <v>0.18212229999999999</v>
      </c>
      <c r="X6051">
        <v>0.9826182</v>
      </c>
      <c r="Y6051">
        <v>-2.2187559999999999E-2</v>
      </c>
      <c r="Z6051">
        <v>1.4874930000000001E-3</v>
      </c>
      <c r="AA6051">
        <v>0.99975270000000005</v>
      </c>
      <c r="AB6051">
        <v>32</v>
      </c>
      <c r="AC6051">
        <v>-2.5206</v>
      </c>
      <c r="AD6051">
        <v>-1.1204924689210001</v>
      </c>
      <c r="AE6051">
        <v>139.1747866</v>
      </c>
      <c r="AF6051">
        <v>-3.0957400036261502</v>
      </c>
      <c r="AG6051">
        <v>-1.1204924689210001</v>
      </c>
      <c r="AH6051">
        <v>139.15416012694899</v>
      </c>
      <c r="AI6051">
        <v>90.461231069145498</v>
      </c>
      <c r="AJ6051">
        <v>91.274439681203603</v>
      </c>
      <c r="AK6051">
        <v>139.19310108687</v>
      </c>
      <c r="AL6051">
        <v>79.506598579023702</v>
      </c>
      <c r="AM6051">
        <v>87.904153262707695</v>
      </c>
      <c r="AN6051">
        <v>1.00000007777832</v>
      </c>
    </row>
    <row r="6052" spans="1:40" x14ac:dyDescent="0.25">
      <c r="A6052" t="str">
        <f>"20190303171132117"</f>
        <v>20190303171132117</v>
      </c>
      <c r="B6052" t="str">
        <f>"1551604292106277"</f>
        <v>1551604292106277</v>
      </c>
      <c r="C6052" t="s">
        <v>40</v>
      </c>
      <c r="D6052">
        <v>4.8920690000000002</v>
      </c>
      <c r="E6052">
        <v>0.48264190000000001</v>
      </c>
      <c r="F6052" t="s">
        <v>84</v>
      </c>
      <c r="G6052">
        <v>-191.49209999999999</v>
      </c>
      <c r="H6052" s="1">
        <v>-1.0034360000000001E-5</v>
      </c>
      <c r="I6052">
        <v>146.10749999999999</v>
      </c>
      <c r="J6052">
        <v>-189.20580000000001</v>
      </c>
      <c r="K6052">
        <v>1.120207</v>
      </c>
      <c r="L6052">
        <v>1.3193049999999999</v>
      </c>
      <c r="M6052">
        <v>5.0141400000000003E-3</v>
      </c>
      <c r="N6052">
        <v>-9.4434940000000002E-3</v>
      </c>
      <c r="O6052">
        <v>0.99994280000000002</v>
      </c>
      <c r="P6052">
        <v>4.318951E-2</v>
      </c>
      <c r="Q6052">
        <v>0.1725236</v>
      </c>
      <c r="R6052">
        <v>0.98405810000000005</v>
      </c>
      <c r="S6052">
        <v>-4.8080440000000002E-2</v>
      </c>
      <c r="T6052">
        <v>-2.3584600000000001E-2</v>
      </c>
      <c r="U6052">
        <v>3.0544129999999998</v>
      </c>
      <c r="V6052">
        <v>3.8463709999999998E-2</v>
      </c>
      <c r="W6052">
        <v>0.18176690000000001</v>
      </c>
      <c r="X6052">
        <v>0.98258909999999999</v>
      </c>
      <c r="Y6052">
        <v>-2.0751200000000001E-2</v>
      </c>
      <c r="Z6052">
        <v>1.7241299999999999E-3</v>
      </c>
      <c r="AA6052">
        <v>0.99978319999999998</v>
      </c>
      <c r="AB6052">
        <v>32</v>
      </c>
      <c r="AC6052">
        <v>-2.2862999999999798</v>
      </c>
      <c r="AD6052">
        <v>-1.12021703436</v>
      </c>
      <c r="AE6052">
        <v>144.78819499999901</v>
      </c>
      <c r="AF6052">
        <v>-3.0121116773608998</v>
      </c>
      <c r="AG6052">
        <v>-1.12021703436</v>
      </c>
      <c r="AH6052">
        <v>144.76624680899201</v>
      </c>
      <c r="AI6052">
        <v>90.443256219847697</v>
      </c>
      <c r="AJ6052">
        <v>91.191965614798406</v>
      </c>
      <c r="AK6052">
        <v>144.801912688068</v>
      </c>
      <c r="AL6052">
        <v>79.527306337542399</v>
      </c>
      <c r="AM6052">
        <v>87.758286132571698</v>
      </c>
      <c r="AN6052">
        <v>1.00000000118069</v>
      </c>
    </row>
    <row r="6053" spans="1:40" x14ac:dyDescent="0.25">
      <c r="A6053" t="str">
        <f>"20190303171132139"</f>
        <v>20190303171132139</v>
      </c>
      <c r="B6053" t="str">
        <f>"1551604292126774"</f>
        <v>1551604292126774</v>
      </c>
      <c r="C6053" t="s">
        <v>40</v>
      </c>
      <c r="D6053">
        <v>4.8877139999999999</v>
      </c>
      <c r="E6053">
        <v>0.48277890000000001</v>
      </c>
      <c r="F6053" t="s">
        <v>84</v>
      </c>
      <c r="G6053">
        <v>-190.9187</v>
      </c>
      <c r="H6053" s="1">
        <v>-8.9005569999999998E-6</v>
      </c>
      <c r="I6053">
        <v>142.19380000000001</v>
      </c>
      <c r="J6053">
        <v>-189.20310000000001</v>
      </c>
      <c r="K6053">
        <v>1.119936</v>
      </c>
      <c r="L6053">
        <v>1.6411739999999999</v>
      </c>
      <c r="M6053">
        <v>6.1771519999999896E-3</v>
      </c>
      <c r="N6053">
        <v>-9.3585449999999994E-3</v>
      </c>
      <c r="O6053">
        <v>0.99993710000000002</v>
      </c>
      <c r="P6053">
        <v>4.7411399999999999E-2</v>
      </c>
      <c r="Q6053">
        <v>0.1722341</v>
      </c>
      <c r="R6053">
        <v>0.98391439999999997</v>
      </c>
      <c r="S6053">
        <v>-3.7139890000000002E-2</v>
      </c>
      <c r="T6053">
        <v>-2.4288770000000001E-2</v>
      </c>
      <c r="U6053">
        <v>3.0544739999999999</v>
      </c>
      <c r="V6053">
        <v>4.1652929999999998E-2</v>
      </c>
      <c r="W6053">
        <v>0.1813641</v>
      </c>
      <c r="X6053">
        <v>0.98253349999999995</v>
      </c>
      <c r="Y6053">
        <v>-1.8333519999999999E-2</v>
      </c>
      <c r="Z6053">
        <v>1.4085219999999999E-3</v>
      </c>
      <c r="AA6053">
        <v>0.99983100000000003</v>
      </c>
      <c r="AB6053">
        <v>32</v>
      </c>
      <c r="AC6053">
        <v>-1.71559999999999</v>
      </c>
      <c r="AD6053">
        <v>-1.1199449005569999</v>
      </c>
      <c r="AE6053">
        <v>140.552626</v>
      </c>
      <c r="AF6053">
        <v>-2.5836562318457101</v>
      </c>
      <c r="AG6053">
        <v>-1.1199449005569999</v>
      </c>
      <c r="AH6053">
        <v>140.530425051028</v>
      </c>
      <c r="AI6053">
        <v>90.456526879289498</v>
      </c>
      <c r="AJ6053">
        <v>91.053266026369897</v>
      </c>
      <c r="AK6053">
        <v>140.55863517097501</v>
      </c>
      <c r="AL6053">
        <v>79.550775048617993</v>
      </c>
      <c r="AM6053">
        <v>87.572490975294897</v>
      </c>
      <c r="AN6053">
        <v>0.99999999098432202</v>
      </c>
    </row>
    <row r="6054" spans="1:40" x14ac:dyDescent="0.25">
      <c r="A6054" t="str">
        <f>"20190303171132160"</f>
        <v>20190303171132160</v>
      </c>
      <c r="B6054" t="str">
        <f>"1551604292146293"</f>
        <v>1551604292146293</v>
      </c>
      <c r="C6054" t="s">
        <v>40</v>
      </c>
      <c r="D6054">
        <v>4.8869619999999996</v>
      </c>
      <c r="E6054">
        <v>0.482875</v>
      </c>
      <c r="F6054" t="s">
        <v>84</v>
      </c>
      <c r="G6054">
        <v>-190.2236</v>
      </c>
      <c r="H6054" s="1">
        <v>-7.085924E-6</v>
      </c>
      <c r="I6054">
        <v>136.4819</v>
      </c>
      <c r="J6054">
        <v>-189.19990000000001</v>
      </c>
      <c r="K6054">
        <v>1.1196969999999999</v>
      </c>
      <c r="L6054">
        <v>1.960968</v>
      </c>
      <c r="M6054">
        <v>7.5409429999999996E-3</v>
      </c>
      <c r="N6054">
        <v>-9.2737719999999996E-3</v>
      </c>
      <c r="O6054">
        <v>0.9999285</v>
      </c>
      <c r="P6054">
        <v>5.2045620000000001E-2</v>
      </c>
      <c r="Q6054">
        <v>0.17044500000000001</v>
      </c>
      <c r="R6054">
        <v>0.98399170000000002</v>
      </c>
      <c r="S6054">
        <v>-2.311707E-2</v>
      </c>
      <c r="T6054">
        <v>-2.5370480000000001E-2</v>
      </c>
      <c r="U6054">
        <v>3.0545960000000001</v>
      </c>
      <c r="V6054">
        <v>4.5035060000000002E-2</v>
      </c>
      <c r="W6054">
        <v>0.17946319999999999</v>
      </c>
      <c r="X6054">
        <v>0.98273330000000003</v>
      </c>
      <c r="Y6054">
        <v>-1.510735E-2</v>
      </c>
      <c r="Z6054">
        <v>9.696339E-4</v>
      </c>
      <c r="AA6054">
        <v>0.99988540000000004</v>
      </c>
      <c r="AB6054">
        <v>32</v>
      </c>
      <c r="AC6054">
        <v>-1.0236999999999901</v>
      </c>
      <c r="AD6054">
        <v>-1.1197040859239999</v>
      </c>
      <c r="AE6054">
        <v>134.52093199999999</v>
      </c>
      <c r="AF6054">
        <v>-2.0379880691586201</v>
      </c>
      <c r="AG6054">
        <v>-1.1197040859239999</v>
      </c>
      <c r="AH6054">
        <v>134.500068767779</v>
      </c>
      <c r="AI6054">
        <v>90.476917774900897</v>
      </c>
      <c r="AJ6054">
        <v>90.868097548116907</v>
      </c>
      <c r="AK6054">
        <v>134.52016812042501</v>
      </c>
      <c r="AL6054">
        <v>79.661505370813799</v>
      </c>
      <c r="AM6054">
        <v>87.376180422171302</v>
      </c>
      <c r="AN6054">
        <v>0.99999996785616596</v>
      </c>
    </row>
    <row r="6055" spans="1:40" x14ac:dyDescent="0.25">
      <c r="A6055" t="str">
        <f>"20190303171132187"</f>
        <v>20190303171132187</v>
      </c>
      <c r="B6055" t="str">
        <f>"1551604292176548"</f>
        <v>1551604292176548</v>
      </c>
      <c r="C6055" t="s">
        <v>40</v>
      </c>
      <c r="D6055">
        <v>4.8228710000000001</v>
      </c>
      <c r="E6055">
        <v>0.48289759999999998</v>
      </c>
      <c r="F6055" t="s">
        <v>42</v>
      </c>
      <c r="G6055">
        <v>-189.50460000000001</v>
      </c>
      <c r="H6055" s="1">
        <v>-2.8976859999999998E-6</v>
      </c>
      <c r="I6055">
        <v>116.1825</v>
      </c>
      <c r="J6055">
        <v>-189.19540000000001</v>
      </c>
      <c r="K6055">
        <v>1.1194839999999999</v>
      </c>
      <c r="L6055">
        <v>2.3341669999999999</v>
      </c>
      <c r="M6055">
        <v>9.3556530000000002E-3</v>
      </c>
      <c r="N6055">
        <v>-9.1644699999999992E-3</v>
      </c>
      <c r="O6055">
        <v>0.99991419999999998</v>
      </c>
      <c r="P6055">
        <v>5.7718129999999999E-2</v>
      </c>
      <c r="Q6055">
        <v>0.17147780000000001</v>
      </c>
      <c r="R6055">
        <v>0.98349580000000003</v>
      </c>
      <c r="S6055">
        <v>-8.1481929999999998E-3</v>
      </c>
      <c r="T6055">
        <v>-2.994204E-2</v>
      </c>
      <c r="U6055">
        <v>3.0544129999999998</v>
      </c>
      <c r="V6055">
        <v>4.901573E-2</v>
      </c>
      <c r="W6055">
        <v>0.1803525</v>
      </c>
      <c r="X6055">
        <v>0.98238000000000003</v>
      </c>
      <c r="Y6055">
        <v>-1.202252E-2</v>
      </c>
      <c r="Z6055">
        <v>-6.36836E-4</v>
      </c>
      <c r="AA6055">
        <v>0.99992749999999997</v>
      </c>
      <c r="AB6055">
        <v>33</v>
      </c>
      <c r="AC6055">
        <v>-0.30920000000000403</v>
      </c>
      <c r="AD6055">
        <v>-1.119486897686</v>
      </c>
      <c r="AE6055">
        <v>113.848333</v>
      </c>
      <c r="AF6055">
        <v>-1.3742238635853301</v>
      </c>
      <c r="AG6055">
        <v>-1.119486897686</v>
      </c>
      <c r="AH6055">
        <v>113.82945094283301</v>
      </c>
      <c r="AI6055">
        <v>90.563431807038697</v>
      </c>
      <c r="AJ6055">
        <v>90.6916786638281</v>
      </c>
      <c r="AK6055">
        <v>113.843250322925</v>
      </c>
      <c r="AL6055">
        <v>79.609707559340904</v>
      </c>
      <c r="AM6055">
        <v>87.143602846756906</v>
      </c>
      <c r="AN6055">
        <v>1.00000001522184</v>
      </c>
    </row>
    <row r="6056" spans="1:40" x14ac:dyDescent="0.25">
      <c r="A6056" t="str">
        <f>"20190303171132208"</f>
        <v>20190303171132208</v>
      </c>
      <c r="B6056" t="str">
        <f>"1551604292197045"</f>
        <v>1551604292197045</v>
      </c>
      <c r="C6056" t="s">
        <v>40</v>
      </c>
      <c r="D6056">
        <v>4.8902449999999904</v>
      </c>
      <c r="E6056">
        <v>0.48285169999999999</v>
      </c>
      <c r="F6056" t="s">
        <v>84</v>
      </c>
      <c r="G6056">
        <v>-188.81819999999999</v>
      </c>
      <c r="H6056" s="1">
        <v>-5.6301550000000001E-6</v>
      </c>
      <c r="I6056">
        <v>131.84350000000001</v>
      </c>
      <c r="J6056">
        <v>-189.1909</v>
      </c>
      <c r="K6056">
        <v>1.119346</v>
      </c>
      <c r="L6056">
        <v>2.6528320000000001</v>
      </c>
      <c r="M6056">
        <v>1.1044470000000001E-2</v>
      </c>
      <c r="N6056">
        <v>-9.0602119999999998E-3</v>
      </c>
      <c r="O6056">
        <v>0.99989799999999995</v>
      </c>
      <c r="P6056">
        <v>6.4000879999999996E-2</v>
      </c>
      <c r="Q6056">
        <v>0.17452309999999999</v>
      </c>
      <c r="R6056">
        <v>0.98257090000000002</v>
      </c>
      <c r="S6056">
        <v>8.8958739999999998E-3</v>
      </c>
      <c r="T6056">
        <v>-2.640259E-2</v>
      </c>
      <c r="U6056">
        <v>3.0544129999999998</v>
      </c>
      <c r="V6056">
        <v>5.3713599999999903E-2</v>
      </c>
      <c r="W6056">
        <v>0.18325820000000001</v>
      </c>
      <c r="X6056">
        <v>0.98159629999999998</v>
      </c>
      <c r="Y6056">
        <v>-8.1319459999999993E-3</v>
      </c>
      <c r="Z6056">
        <v>4.1727689999999999E-4</v>
      </c>
      <c r="AA6056">
        <v>0.99996689999999999</v>
      </c>
      <c r="AB6056">
        <v>33</v>
      </c>
      <c r="AC6056">
        <v>0.37270000000000802</v>
      </c>
      <c r="AD6056">
        <v>-1.1193516301549999</v>
      </c>
      <c r="AE6056">
        <v>129.19066799999999</v>
      </c>
      <c r="AF6056">
        <v>-1.05414456658474</v>
      </c>
      <c r="AG6056">
        <v>-1.1193516301549999</v>
      </c>
      <c r="AH6056">
        <v>129.17720684708101</v>
      </c>
      <c r="AI6056">
        <v>90.496452783439906</v>
      </c>
      <c r="AJ6056">
        <v>90.467549155878601</v>
      </c>
      <c r="AK6056">
        <v>129.18635739757099</v>
      </c>
      <c r="AL6056">
        <v>79.440401503293501</v>
      </c>
      <c r="AM6056">
        <v>86.867860726455902</v>
      </c>
      <c r="AN6056">
        <v>1.00000000743294</v>
      </c>
    </row>
    <row r="6057" spans="1:40" x14ac:dyDescent="0.25">
      <c r="A6057" t="str">
        <f>"20190303171132231"</f>
        <v>20190303171132231</v>
      </c>
      <c r="B6057" t="str">
        <f>"1551604292226325"</f>
        <v>1551604292226325</v>
      </c>
      <c r="C6057" t="s">
        <v>40</v>
      </c>
      <c r="D6057">
        <v>4.8288890000000002</v>
      </c>
      <c r="E6057">
        <v>0.48281030000000003</v>
      </c>
      <c r="F6057" t="s">
        <v>52</v>
      </c>
      <c r="G6057">
        <v>-187.35640000000001</v>
      </c>
      <c r="H6057" s="1">
        <v>3.738803E-6</v>
      </c>
      <c r="I6057">
        <v>212.00659999999999</v>
      </c>
      <c r="J6057">
        <v>-189.1857</v>
      </c>
      <c r="K6057">
        <v>1.1192409999999999</v>
      </c>
      <c r="L6057">
        <v>2.9770810000000001</v>
      </c>
      <c r="M6057">
        <v>1.284572E-2</v>
      </c>
      <c r="N6057">
        <v>-8.9417869999999997E-3</v>
      </c>
      <c r="O6057">
        <v>0.99987749999999997</v>
      </c>
      <c r="P6057">
        <v>6.9902409999999998E-2</v>
      </c>
      <c r="Q6057">
        <v>0.17691680000000001</v>
      </c>
      <c r="R6057">
        <v>0.98174039999999996</v>
      </c>
      <c r="S6057">
        <v>2.676392E-2</v>
      </c>
      <c r="T6057">
        <v>-1.633072E-2</v>
      </c>
      <c r="U6057">
        <v>3.0543819999999999</v>
      </c>
      <c r="V6057">
        <v>5.7907100000000003E-2</v>
      </c>
      <c r="W6057">
        <v>0.18550259999999999</v>
      </c>
      <c r="X6057">
        <v>0.98093609999999998</v>
      </c>
      <c r="Y6057">
        <v>-4.0841260000000004E-3</v>
      </c>
      <c r="Z6057">
        <v>3.595581E-3</v>
      </c>
      <c r="AA6057">
        <v>0.99998520000000002</v>
      </c>
      <c r="AB6057">
        <v>33</v>
      </c>
      <c r="AC6057">
        <v>1.8292999999999799</v>
      </c>
      <c r="AD6057">
        <v>-1.1192372611969901</v>
      </c>
      <c r="AE6057">
        <v>209.02951899999999</v>
      </c>
      <c r="AF6057">
        <v>-0.85606845299816403</v>
      </c>
      <c r="AG6057">
        <v>-1.1192372611969901</v>
      </c>
      <c r="AH6057">
        <v>209.029777836325</v>
      </c>
      <c r="AI6057">
        <v>90.306781270100402</v>
      </c>
      <c r="AJ6057">
        <v>90.234649989175395</v>
      </c>
      <c r="AK6057">
        <v>209.03452721391801</v>
      </c>
      <c r="AL6057">
        <v>79.309563952056095</v>
      </c>
      <c r="AM6057">
        <v>86.621608237702105</v>
      </c>
      <c r="AN6057">
        <v>1.00000003956018</v>
      </c>
    </row>
    <row r="6058" spans="1:40" x14ac:dyDescent="0.25">
      <c r="A6058" t="str">
        <f>"20190303171132251"</f>
        <v>20190303171132251</v>
      </c>
      <c r="B6058" t="str">
        <f>"1551604292236085"</f>
        <v>1551604292236085</v>
      </c>
      <c r="C6058" t="s">
        <v>40</v>
      </c>
      <c r="D6058">
        <v>4.8318909999999997</v>
      </c>
      <c r="E6058">
        <v>0.48281030000000003</v>
      </c>
      <c r="F6058" t="s">
        <v>109</v>
      </c>
      <c r="G6058">
        <v>-183.74170000000001</v>
      </c>
      <c r="H6058">
        <v>0.1079407</v>
      </c>
      <c r="I6058">
        <v>391.87</v>
      </c>
      <c r="J6058">
        <v>-189.18020000000001</v>
      </c>
      <c r="K6058">
        <v>1.119148</v>
      </c>
      <c r="L6058">
        <v>3.2806700000000002</v>
      </c>
      <c r="M6058">
        <v>1.4572150000000001E-2</v>
      </c>
      <c r="N6058">
        <v>-8.8200910000000004E-3</v>
      </c>
      <c r="O6058">
        <v>0.99985489999999999</v>
      </c>
      <c r="P6058">
        <v>7.4749759999999998E-2</v>
      </c>
      <c r="Q6058">
        <v>0.17674110000000001</v>
      </c>
      <c r="R6058">
        <v>0.98141489999999998</v>
      </c>
      <c r="S6058">
        <v>4.2755130000000002E-2</v>
      </c>
      <c r="T6058">
        <v>-7.9423189999999998E-3</v>
      </c>
      <c r="U6058">
        <v>3.0541990000000001</v>
      </c>
      <c r="V6058">
        <v>6.1093069999999999E-2</v>
      </c>
      <c r="W6058">
        <v>0.18518490000000001</v>
      </c>
      <c r="X6058">
        <v>0.98080279999999997</v>
      </c>
      <c r="Y6058">
        <v>-5.75586E-4</v>
      </c>
      <c r="Z6058">
        <v>6.2193550000000002E-3</v>
      </c>
      <c r="AA6058">
        <v>0.99998050000000005</v>
      </c>
      <c r="AB6058">
        <v>33</v>
      </c>
      <c r="AC6058">
        <v>5.4385000000000003</v>
      </c>
      <c r="AD6058">
        <v>-1.0112072999999999</v>
      </c>
      <c r="AE6058">
        <v>388.58932999999899</v>
      </c>
      <c r="AF6058">
        <v>-0.224878360522897</v>
      </c>
      <c r="AG6058">
        <v>-1.0112072999999999</v>
      </c>
      <c r="AH6058">
        <v>388.62468918248499</v>
      </c>
      <c r="AI6058">
        <v>90.149084120644801</v>
      </c>
      <c r="AJ6058">
        <v>90.033154299977198</v>
      </c>
      <c r="AK6058">
        <v>388.62606983148203</v>
      </c>
      <c r="AL6058">
        <v>79.328087033364497</v>
      </c>
      <c r="AM6058">
        <v>86.435717207116497</v>
      </c>
      <c r="AN6058">
        <v>0.99999997143893604</v>
      </c>
    </row>
    <row r="6059" spans="1:40" x14ac:dyDescent="0.25">
      <c r="A6059" t="str">
        <f>"20190303171132272"</f>
        <v>20190303171132272</v>
      </c>
      <c r="B6059" t="str">
        <f>"1551604292266341"</f>
        <v>1551604292266341</v>
      </c>
      <c r="C6059" t="s">
        <v>40</v>
      </c>
      <c r="D6059">
        <v>4.7030669999999999</v>
      </c>
      <c r="E6059">
        <v>0.48252729999999999</v>
      </c>
      <c r="F6059" t="s">
        <v>109</v>
      </c>
      <c r="G6059">
        <v>-181.9402</v>
      </c>
      <c r="H6059">
        <v>7.7053070000000001E-2</v>
      </c>
      <c r="I6059">
        <v>391.87</v>
      </c>
      <c r="J6059">
        <v>-189.17420000000001</v>
      </c>
      <c r="K6059">
        <v>1.1190599999999999</v>
      </c>
      <c r="L6059">
        <v>3.5869450000000001</v>
      </c>
      <c r="M6059">
        <v>1.632933E-2</v>
      </c>
      <c r="N6059">
        <v>-8.6828310000000002E-3</v>
      </c>
      <c r="O6059">
        <v>0.99982899999999997</v>
      </c>
      <c r="P6059">
        <v>7.759286E-2</v>
      </c>
      <c r="Q6059">
        <v>0.17592839999999901</v>
      </c>
      <c r="R6059">
        <v>0.9813402</v>
      </c>
      <c r="S6059">
        <v>5.6900020000000003E-2</v>
      </c>
      <c r="T6059">
        <v>-8.1899169999999997E-3</v>
      </c>
      <c r="U6059">
        <v>3.0539550000000002</v>
      </c>
      <c r="V6059">
        <v>6.2231290000000002E-2</v>
      </c>
      <c r="W6059">
        <v>0.18422659999999999</v>
      </c>
      <c r="X6059">
        <v>0.98091170000000005</v>
      </c>
      <c r="Y6059">
        <v>2.2983119999999998E-3</v>
      </c>
      <c r="Z6059">
        <v>6.0006219999999997E-3</v>
      </c>
      <c r="AA6059">
        <v>0.99997939999999996</v>
      </c>
      <c r="AB6059">
        <v>33</v>
      </c>
      <c r="AC6059">
        <v>7.234</v>
      </c>
      <c r="AD6059">
        <v>-1.0420069300000001</v>
      </c>
      <c r="AE6059">
        <v>388.28305499999999</v>
      </c>
      <c r="AF6059">
        <v>0.89238803275546197</v>
      </c>
      <c r="AG6059">
        <v>-1.0420069300000001</v>
      </c>
      <c r="AH6059">
        <v>388.34661536609002</v>
      </c>
      <c r="AI6059">
        <v>90.153734566103694</v>
      </c>
      <c r="AJ6059">
        <v>89.868339323825694</v>
      </c>
      <c r="AK6059">
        <v>388.349038625231</v>
      </c>
      <c r="AL6059">
        <v>79.383954819354699</v>
      </c>
      <c r="AM6059">
        <v>86.369889312405206</v>
      </c>
      <c r="AN6059">
        <v>0.99999996839975602</v>
      </c>
    </row>
    <row r="6060" spans="1:40" x14ac:dyDescent="0.25">
      <c r="A6060" t="str">
        <f>"20190303171132295"</f>
        <v>20190303171132295</v>
      </c>
      <c r="B6060" t="str">
        <f>"1551604292286836"</f>
        <v>1551604292286836</v>
      </c>
      <c r="C6060" t="s">
        <v>40</v>
      </c>
      <c r="D6060">
        <v>4.7158449999999998</v>
      </c>
      <c r="E6060">
        <v>0.47632550000000001</v>
      </c>
      <c r="F6060" t="s">
        <v>42</v>
      </c>
      <c r="G6060">
        <v>-182.5959</v>
      </c>
      <c r="H6060" s="1">
        <v>-3.7946419999999999E-6</v>
      </c>
      <c r="I6060">
        <v>314.39580000000001</v>
      </c>
      <c r="J6060">
        <v>-189.16679999999999</v>
      </c>
      <c r="K6060">
        <v>1.1189659999999999</v>
      </c>
      <c r="L6060">
        <v>3.9314879999999999</v>
      </c>
      <c r="M6060">
        <v>1.830793E-2</v>
      </c>
      <c r="N6060">
        <v>-8.5106950000000004E-3</v>
      </c>
      <c r="O6060">
        <v>0.99979620000000002</v>
      </c>
      <c r="P6060">
        <v>7.8999070000000005E-2</v>
      </c>
      <c r="Q6060">
        <v>0.17555699999999999</v>
      </c>
      <c r="R6060">
        <v>0.98129449999999996</v>
      </c>
      <c r="S6060">
        <v>6.4636230000000003E-2</v>
      </c>
      <c r="T6060">
        <v>-1.099551E-2</v>
      </c>
      <c r="U6060">
        <v>3.0538940000000001</v>
      </c>
      <c r="V6060">
        <v>6.1712410000000002E-2</v>
      </c>
      <c r="W6060">
        <v>0.18368190000000001</v>
      </c>
      <c r="X6060">
        <v>0.98104659999999999</v>
      </c>
      <c r="Y6060">
        <v>2.8520070000000002E-3</v>
      </c>
      <c r="Z6060">
        <v>4.9099740000000001E-3</v>
      </c>
      <c r="AA6060">
        <v>0.99998390000000004</v>
      </c>
      <c r="AB6060">
        <v>33</v>
      </c>
      <c r="AC6060">
        <v>6.5708999999999902</v>
      </c>
      <c r="AD6060">
        <v>-1.1189697946420001</v>
      </c>
      <c r="AE6060">
        <v>310.46431200000001</v>
      </c>
      <c r="AF6060">
        <v>0.88562251065110498</v>
      </c>
      <c r="AG6060">
        <v>-1.1189697946420001</v>
      </c>
      <c r="AH6060">
        <v>310.52854504406002</v>
      </c>
      <c r="AI6060">
        <v>90.2064599516969</v>
      </c>
      <c r="AJ6060">
        <v>89.836593783933594</v>
      </c>
      <c r="AK6060">
        <v>310.53182398558403</v>
      </c>
      <c r="AL6060">
        <v>79.415705433440294</v>
      </c>
      <c r="AM6060">
        <v>86.400570695302306</v>
      </c>
      <c r="AN6060">
        <v>0.99999994665358705</v>
      </c>
    </row>
    <row r="6061" spans="1:40" x14ac:dyDescent="0.25">
      <c r="A6061" t="str">
        <f>"20190303171132319"</f>
        <v>20190303171132319</v>
      </c>
      <c r="B6061" t="str">
        <f>"1551604292307333"</f>
        <v>1551604292307333</v>
      </c>
      <c r="C6061" t="s">
        <v>40</v>
      </c>
      <c r="D6061">
        <v>4.7587619999999999</v>
      </c>
      <c r="E6061">
        <v>0.4761608</v>
      </c>
      <c r="F6061" t="s">
        <v>42</v>
      </c>
      <c r="G6061">
        <v>-187.17420000000001</v>
      </c>
      <c r="H6061" s="1">
        <v>-1.6677849999999999E-6</v>
      </c>
      <c r="I6061">
        <v>302.33949999999999</v>
      </c>
      <c r="J6061">
        <v>-189.1585</v>
      </c>
      <c r="K6061">
        <v>1.1188990000000001</v>
      </c>
      <c r="L6061">
        <v>4.2817379999999998</v>
      </c>
      <c r="M6061">
        <v>2.031059E-2</v>
      </c>
      <c r="N6061">
        <v>-8.3198850000000008E-3</v>
      </c>
      <c r="O6061">
        <v>0.99975910000000001</v>
      </c>
      <c r="P6061">
        <v>7.9640310000000006E-2</v>
      </c>
      <c r="Q6061">
        <v>0.1756789</v>
      </c>
      <c r="R6061">
        <v>0.9812208</v>
      </c>
      <c r="S6061">
        <v>2.0416259999999999E-2</v>
      </c>
      <c r="T6061">
        <v>-1.1465309999999999E-2</v>
      </c>
      <c r="U6061">
        <v>3.0575869999999998</v>
      </c>
      <c r="V6061">
        <v>6.0402160000000003E-2</v>
      </c>
      <c r="W6061">
        <v>0.1836168</v>
      </c>
      <c r="X6061">
        <v>0.98114040000000002</v>
      </c>
      <c r="Y6061">
        <v>-1.3634510000000001E-2</v>
      </c>
      <c r="Z6061">
        <v>4.5710059999999999E-3</v>
      </c>
      <c r="AA6061">
        <v>0.99989660000000002</v>
      </c>
      <c r="AB6061">
        <v>33</v>
      </c>
      <c r="AC6061">
        <v>1.98429999999999</v>
      </c>
      <c r="AD6061">
        <v>-1.118900667785</v>
      </c>
      <c r="AE6061">
        <v>298.05776200000003</v>
      </c>
      <c r="AF6061">
        <v>-4.0699905358064603</v>
      </c>
      <c r="AG6061">
        <v>-1.118900667785</v>
      </c>
      <c r="AH6061">
        <v>298.03237791805901</v>
      </c>
      <c r="AI6061">
        <v>90.215084039848406</v>
      </c>
      <c r="AJ6061">
        <v>90.782394139165902</v>
      </c>
      <c r="AK6061">
        <v>298.06226706706599</v>
      </c>
      <c r="AL6061">
        <v>79.419500682869099</v>
      </c>
      <c r="AM6061">
        <v>86.477133555225194</v>
      </c>
      <c r="AN6061">
        <v>1.0000000173435299</v>
      </c>
    </row>
    <row r="6062" spans="1:40" x14ac:dyDescent="0.25">
      <c r="A6062" t="str">
        <f>"20190303171132341"</f>
        <v>20190303171132341</v>
      </c>
      <c r="B6062" t="str">
        <f>"1551604292326853"</f>
        <v>1551604292326853</v>
      </c>
      <c r="C6062" t="s">
        <v>40</v>
      </c>
      <c r="D6062">
        <v>4.6788829999999999</v>
      </c>
      <c r="E6062">
        <v>0.47666930000000002</v>
      </c>
      <c r="F6062" t="s">
        <v>109</v>
      </c>
      <c r="G6062">
        <v>-186.57210000000001</v>
      </c>
      <c r="H6062">
        <v>7.3513029999999993E-2</v>
      </c>
      <c r="I6062">
        <v>391.87</v>
      </c>
      <c r="J6062">
        <v>-189.15020000000001</v>
      </c>
      <c r="K6062">
        <v>1.1188419999999999</v>
      </c>
      <c r="L6062">
        <v>4.605988</v>
      </c>
      <c r="M6062">
        <v>2.215164E-2</v>
      </c>
      <c r="N6062">
        <v>-8.1392749999999996E-3</v>
      </c>
      <c r="O6062">
        <v>0.99972150000000004</v>
      </c>
      <c r="P6062">
        <v>7.8871540000000004E-2</v>
      </c>
      <c r="Q6062">
        <v>0.174931</v>
      </c>
      <c r="R6062">
        <v>0.98141650000000002</v>
      </c>
      <c r="S6062">
        <v>2.0400999999999999E-2</v>
      </c>
      <c r="T6062">
        <v>-8.2458259999999995E-3</v>
      </c>
      <c r="U6062">
        <v>3.05722</v>
      </c>
      <c r="V6062">
        <v>5.7827160000000002E-2</v>
      </c>
      <c r="W6062">
        <v>0.1827008</v>
      </c>
      <c r="X6062">
        <v>0.98146650000000002</v>
      </c>
      <c r="Y6062">
        <v>-1.5480030000000001E-2</v>
      </c>
      <c r="Z6062">
        <v>5.4427649999999996E-3</v>
      </c>
      <c r="AA6062">
        <v>0.99986540000000002</v>
      </c>
      <c r="AB6062">
        <v>33</v>
      </c>
      <c r="AC6062">
        <v>2.5781000000000001</v>
      </c>
      <c r="AD6062">
        <v>-1.0453289699999999</v>
      </c>
      <c r="AE6062">
        <v>387.26401199999998</v>
      </c>
      <c r="AF6062">
        <v>-6.0013059856311397</v>
      </c>
      <c r="AG6062">
        <v>-1.0453289699999999</v>
      </c>
      <c r="AH6062">
        <v>387.22326959389301</v>
      </c>
      <c r="AI6062">
        <v>90.154653931397306</v>
      </c>
      <c r="AJ6062">
        <v>90.887916623046394</v>
      </c>
      <c r="AK6062">
        <v>387.27118263714601</v>
      </c>
      <c r="AL6062">
        <v>79.472886831173</v>
      </c>
      <c r="AM6062">
        <v>86.628080297206694</v>
      </c>
      <c r="AN6062">
        <v>1.00000002668827</v>
      </c>
    </row>
    <row r="6063" spans="1:40" x14ac:dyDescent="0.25">
      <c r="A6063" t="str">
        <f>"20190303171132362"</f>
        <v>20190303171132362</v>
      </c>
      <c r="B6063" t="str">
        <f>"1551604292356133"</f>
        <v>1551604292356133</v>
      </c>
      <c r="C6063" t="s">
        <v>40</v>
      </c>
      <c r="D6063">
        <v>4.700742</v>
      </c>
      <c r="E6063">
        <v>0.47679589999999999</v>
      </c>
      <c r="F6063" t="s">
        <v>44</v>
      </c>
      <c r="G6063">
        <v>-186.52760000000001</v>
      </c>
      <c r="H6063">
        <v>5.3648510000000003E-2</v>
      </c>
      <c r="I6063">
        <v>379.6037</v>
      </c>
      <c r="J6063">
        <v>-189.14099999999999</v>
      </c>
      <c r="K6063">
        <v>1.1187940000000001</v>
      </c>
      <c r="L6063">
        <v>4.9414369999999996</v>
      </c>
      <c r="M6063">
        <v>2.4044659999999999E-2</v>
      </c>
      <c r="N6063">
        <v>-7.9579969999999996E-3</v>
      </c>
      <c r="O6063">
        <v>0.99967919999999999</v>
      </c>
      <c r="P6063">
        <v>7.6986940000000004E-2</v>
      </c>
      <c r="Q6063">
        <v>0.1747496</v>
      </c>
      <c r="R6063">
        <v>0.98159850000000004</v>
      </c>
      <c r="S6063">
        <v>2.137756E-2</v>
      </c>
      <c r="T6063">
        <v>-8.6824889999999998E-3</v>
      </c>
      <c r="U6063">
        <v>3.0566409999999999</v>
      </c>
      <c r="V6063">
        <v>5.4085189999999998E-2</v>
      </c>
      <c r="W6063">
        <v>0.18235480000000001</v>
      </c>
      <c r="X6063">
        <v>0.98174410000000001</v>
      </c>
      <c r="Y6063">
        <v>-1.7052580000000001E-2</v>
      </c>
      <c r="Z6063">
        <v>5.1183369999999997E-3</v>
      </c>
      <c r="AA6063">
        <v>0.99984150000000005</v>
      </c>
      <c r="AB6063">
        <v>33</v>
      </c>
      <c r="AC6063">
        <v>2.61339999999998</v>
      </c>
      <c r="AD6063">
        <v>-1.0651454899999999</v>
      </c>
      <c r="AE6063">
        <v>374.662263</v>
      </c>
      <c r="AF6063">
        <v>-6.3962160229148504</v>
      </c>
      <c r="AG6063">
        <v>-1.0651454899999999</v>
      </c>
      <c r="AH6063">
        <v>374.61374848516499</v>
      </c>
      <c r="AI6063">
        <v>90.162885861084305</v>
      </c>
      <c r="AJ6063">
        <v>90.978182402824601</v>
      </c>
      <c r="AK6063">
        <v>374.66986357116201</v>
      </c>
      <c r="AL6063">
        <v>79.493049393178495</v>
      </c>
      <c r="AM6063">
        <v>86.846710053044504</v>
      </c>
      <c r="AN6063">
        <v>0.999999979372592</v>
      </c>
    </row>
    <row r="6064" spans="1:40" x14ac:dyDescent="0.25">
      <c r="A6064" t="str">
        <f>"20190303171132386"</f>
        <v>20190303171132386</v>
      </c>
      <c r="B6064" t="str">
        <f>"1551604292376629"</f>
        <v>1551604292376629</v>
      </c>
      <c r="C6064" t="s">
        <v>40</v>
      </c>
      <c r="D6064">
        <v>4.7811919999999999</v>
      </c>
      <c r="E6064">
        <v>0.49516650000000001</v>
      </c>
      <c r="F6064" t="s">
        <v>109</v>
      </c>
      <c r="G6064">
        <v>-186.97559999999999</v>
      </c>
      <c r="H6064">
        <v>0.1137924</v>
      </c>
      <c r="I6064">
        <v>391.87</v>
      </c>
      <c r="J6064">
        <v>-189.13069999999999</v>
      </c>
      <c r="K6064">
        <v>1.1187579999999999</v>
      </c>
      <c r="L6064">
        <v>5.2932430000000004</v>
      </c>
      <c r="M6064">
        <v>2.6020370000000001E-2</v>
      </c>
      <c r="N6064">
        <v>-7.7667389999999999E-3</v>
      </c>
      <c r="O6064">
        <v>0.99963120000000005</v>
      </c>
      <c r="P6064">
        <v>7.5567609999999993E-2</v>
      </c>
      <c r="Q6064">
        <v>0.17566419999999999</v>
      </c>
      <c r="R6064">
        <v>0.98154549999999996</v>
      </c>
      <c r="S6064">
        <v>1.7105099999999901E-2</v>
      </c>
      <c r="T6064">
        <v>-7.9383849999999992E-3</v>
      </c>
      <c r="U6064">
        <v>3.056305</v>
      </c>
      <c r="V6064">
        <v>5.0735269999999999E-2</v>
      </c>
      <c r="W6064">
        <v>0.18309320000000001</v>
      </c>
      <c r="X6064">
        <v>0.98178549999999998</v>
      </c>
      <c r="Y6064">
        <v>-2.042532E-2</v>
      </c>
      <c r="Z6064">
        <v>5.170465E-3</v>
      </c>
      <c r="AA6064">
        <v>0.99977800000000006</v>
      </c>
      <c r="AB6064">
        <v>33</v>
      </c>
      <c r="AC6064">
        <v>2.1551</v>
      </c>
      <c r="AD6064">
        <v>-1.0049656</v>
      </c>
      <c r="AE6064">
        <v>386.57675699999999</v>
      </c>
      <c r="AF6064">
        <v>-7.9047503770120198</v>
      </c>
      <c r="AG6064">
        <v>-1.0049656</v>
      </c>
      <c r="AH6064">
        <v>386.49932540547201</v>
      </c>
      <c r="AI6064">
        <v>90.148947527404303</v>
      </c>
      <c r="AJ6064">
        <v>91.171659745589693</v>
      </c>
      <c r="AK6064">
        <v>386.58145787565297</v>
      </c>
      <c r="AL6064">
        <v>79.450017699769305</v>
      </c>
      <c r="AM6064">
        <v>87.041784202297904</v>
      </c>
      <c r="AN6064">
        <v>0.999999977759231</v>
      </c>
    </row>
    <row r="6065" spans="1:40" x14ac:dyDescent="0.25">
      <c r="A6065" t="str">
        <f>"20190303171132409"</f>
        <v>20190303171132409</v>
      </c>
      <c r="B6065" t="str">
        <f>"1551604292397125"</f>
        <v>1551604292397125</v>
      </c>
      <c r="C6065" t="s">
        <v>40</v>
      </c>
      <c r="D6065">
        <v>4.7738740000000002</v>
      </c>
      <c r="E6065">
        <v>0.50507669999999905</v>
      </c>
      <c r="F6065" t="s">
        <v>45</v>
      </c>
      <c r="G6065">
        <v>-169.4442</v>
      </c>
      <c r="H6065">
        <v>6.6740899999999996</v>
      </c>
      <c r="I6065">
        <v>372.83839999999998</v>
      </c>
      <c r="J6065">
        <v>-189.12</v>
      </c>
      <c r="K6065">
        <v>1.118717</v>
      </c>
      <c r="L6065">
        <v>5.6361999999999997</v>
      </c>
      <c r="M6065">
        <v>2.79393E-2</v>
      </c>
      <c r="N6065">
        <v>-7.58457199999999E-3</v>
      </c>
      <c r="O6065">
        <v>0.99958089999999999</v>
      </c>
      <c r="P6065">
        <v>7.5545539999999994E-2</v>
      </c>
      <c r="Q6065">
        <v>0.1771353</v>
      </c>
      <c r="R6065">
        <v>0.98128280000000001</v>
      </c>
      <c r="S6065">
        <v>0.16259770000000001</v>
      </c>
      <c r="T6065">
        <v>4.5884010000000003E-2</v>
      </c>
      <c r="U6065">
        <v>3.0356749999999999</v>
      </c>
      <c r="V6065">
        <v>4.8844869999999999E-2</v>
      </c>
      <c r="W6065">
        <v>0.1843902</v>
      </c>
      <c r="X6065">
        <v>0.98163869999999998</v>
      </c>
      <c r="Y6065">
        <v>2.5551600000000001E-2</v>
      </c>
      <c r="Z6065">
        <v>2.266868E-2</v>
      </c>
      <c r="AA6065">
        <v>0.99941650000000004</v>
      </c>
      <c r="AB6065">
        <v>33</v>
      </c>
      <c r="AC6065">
        <v>19.675799999999999</v>
      </c>
      <c r="AD6065">
        <v>5.5553730000000003</v>
      </c>
      <c r="AE6065">
        <v>367.2022</v>
      </c>
      <c r="AF6065">
        <v>9.4063047744488308</v>
      </c>
      <c r="AG6065">
        <v>5.5553730000000003</v>
      </c>
      <c r="AH6065">
        <v>367.524708022639</v>
      </c>
      <c r="AI6065">
        <v>89.134286737318703</v>
      </c>
      <c r="AJ6065">
        <v>88.533910990138594</v>
      </c>
      <c r="AK6065">
        <v>367.68702961323601</v>
      </c>
      <c r="AL6065">
        <v>79.374418747911804</v>
      </c>
      <c r="AM6065">
        <v>87.151397321125003</v>
      </c>
      <c r="AN6065">
        <v>1.00000005225952</v>
      </c>
    </row>
    <row r="6066" spans="1:40" x14ac:dyDescent="0.25">
      <c r="A6066" t="str">
        <f>"20190303171132432"</f>
        <v>20190303171132432</v>
      </c>
      <c r="B6066" t="str">
        <f>"1551604292416645"</f>
        <v>1551604292416645</v>
      </c>
      <c r="C6066" t="s">
        <v>40</v>
      </c>
      <c r="D6066">
        <v>4.5936009999999996</v>
      </c>
      <c r="E6066">
        <v>0.51073049999999998</v>
      </c>
      <c r="F6066" t="s">
        <v>82</v>
      </c>
      <c r="G6066">
        <v>-175.6611</v>
      </c>
      <c r="H6066">
        <v>5.5907090000000004</v>
      </c>
      <c r="I6066">
        <v>173.07069999999999</v>
      </c>
      <c r="J6066">
        <v>-189.10890000000001</v>
      </c>
      <c r="K6066">
        <v>1.1186830000000001</v>
      </c>
      <c r="L6066">
        <v>5.9721679999999999</v>
      </c>
      <c r="M6066">
        <v>2.9814299999999998E-2</v>
      </c>
      <c r="N6066">
        <v>-7.41408E-3</v>
      </c>
      <c r="O6066">
        <v>0.99952790000000002</v>
      </c>
      <c r="P6066">
        <v>7.6408119999999996E-2</v>
      </c>
      <c r="Q6066">
        <v>0.1784222</v>
      </c>
      <c r="R6066">
        <v>0.98098280000000004</v>
      </c>
      <c r="S6066">
        <v>0.2430725</v>
      </c>
      <c r="T6066">
        <v>8.0765959999999998E-2</v>
      </c>
      <c r="U6066">
        <v>3.0239259999999999</v>
      </c>
      <c r="V6066">
        <v>4.788224E-2</v>
      </c>
      <c r="W6066">
        <v>0.1855106</v>
      </c>
      <c r="X6066">
        <v>0.98147499999999999</v>
      </c>
      <c r="Y6066">
        <v>5.0326950000000002E-2</v>
      </c>
      <c r="Z6066">
        <v>3.4023699999999997E-2</v>
      </c>
      <c r="AA6066">
        <v>0.99815310000000002</v>
      </c>
      <c r="AB6066">
        <v>34</v>
      </c>
      <c r="AC6066">
        <v>13.447800000000001</v>
      </c>
      <c r="AD6066">
        <v>4.4720259999999996</v>
      </c>
      <c r="AE6066">
        <v>167.09853199999901</v>
      </c>
      <c r="AF6066">
        <v>8.4537425243384501</v>
      </c>
      <c r="AG6066">
        <v>4.4720259999999996</v>
      </c>
      <c r="AH6066">
        <v>167.30613133232799</v>
      </c>
      <c r="AI6066">
        <v>88.470821230705695</v>
      </c>
      <c r="AJ6066">
        <v>87.107385256455899</v>
      </c>
      <c r="AK6066">
        <v>167.57925396839099</v>
      </c>
      <c r="AL6066">
        <v>79.309097425228302</v>
      </c>
      <c r="AM6066">
        <v>87.206982520733902</v>
      </c>
      <c r="AN6066">
        <v>1.00000003362238</v>
      </c>
    </row>
    <row r="6067" spans="1:40" x14ac:dyDescent="0.25">
      <c r="A6067" t="str">
        <f>"20190303171132450"</f>
        <v>20190303171132450</v>
      </c>
      <c r="B6067" t="str">
        <f>"1551604292437141"</f>
        <v>1551604292437141</v>
      </c>
      <c r="C6067" t="s">
        <v>40</v>
      </c>
      <c r="D6067">
        <v>4.5770299999999997</v>
      </c>
      <c r="E6067">
        <v>0.51359049999999995</v>
      </c>
      <c r="F6067" t="s">
        <v>50</v>
      </c>
      <c r="G6067">
        <v>-169.3947</v>
      </c>
      <c r="H6067">
        <v>8.2894129999999997</v>
      </c>
      <c r="I6067">
        <v>210.17009999999999</v>
      </c>
      <c r="J6067">
        <v>-189.09889999999999</v>
      </c>
      <c r="K6067">
        <v>1.1186659999999999</v>
      </c>
      <c r="L6067">
        <v>6.2583010000000003</v>
      </c>
      <c r="M6067">
        <v>3.1408249999999999E-2</v>
      </c>
      <c r="N6067">
        <v>-7.2785150000000002E-3</v>
      </c>
      <c r="O6067">
        <v>0.99948009999999998</v>
      </c>
      <c r="P6067">
        <v>7.7572139999999998E-2</v>
      </c>
      <c r="Q6067">
        <v>0.17961859999999999</v>
      </c>
      <c r="R6067">
        <v>0.98067309999999996</v>
      </c>
      <c r="S6067">
        <v>0.29119869999999998</v>
      </c>
      <c r="T6067">
        <v>0.10591920000000001</v>
      </c>
      <c r="U6067">
        <v>3.0162049999999998</v>
      </c>
      <c r="V6067">
        <v>4.7496940000000001E-2</v>
      </c>
      <c r="W6067">
        <v>0.18657270000000001</v>
      </c>
      <c r="X6067">
        <v>0.98129239999999995</v>
      </c>
      <c r="Y6067">
        <v>6.4707630000000002E-2</v>
      </c>
      <c r="Z6067">
        <v>4.2213349999999997E-2</v>
      </c>
      <c r="AA6067">
        <v>0.99701099999999998</v>
      </c>
      <c r="AB6067">
        <v>34</v>
      </c>
      <c r="AC6067">
        <v>19.704199999999901</v>
      </c>
      <c r="AD6067">
        <v>7.1707470000000004</v>
      </c>
      <c r="AE6067">
        <v>203.911799</v>
      </c>
      <c r="AF6067">
        <v>13.273532794748901</v>
      </c>
      <c r="AG6067">
        <v>7.1707470000000004</v>
      </c>
      <c r="AH6067">
        <v>204.17992080777699</v>
      </c>
      <c r="AI6067">
        <v>87.992846776136204</v>
      </c>
      <c r="AJ6067">
        <v>86.280492444386596</v>
      </c>
      <c r="AK6067">
        <v>204.73652909645</v>
      </c>
      <c r="AL6067">
        <v>79.247162515373304</v>
      </c>
      <c r="AM6067">
        <v>87.228907534229705</v>
      </c>
      <c r="AN6067">
        <v>1.0000000529962001</v>
      </c>
    </row>
    <row r="6068" spans="1:40" x14ac:dyDescent="0.25">
      <c r="A6068" t="str">
        <f>"20190303171132474"</f>
        <v>20190303171132474</v>
      </c>
      <c r="B6068" t="str">
        <f>"1551604292466421"</f>
        <v>1551604292466421</v>
      </c>
      <c r="C6068" t="s">
        <v>40</v>
      </c>
      <c r="D6068">
        <v>4.7188150000000002</v>
      </c>
      <c r="E6068">
        <v>0.51570000000000005</v>
      </c>
      <c r="F6068" t="s">
        <v>50</v>
      </c>
      <c r="G6068">
        <v>-168.41480000000001</v>
      </c>
      <c r="H6068">
        <v>8.9677520000000008</v>
      </c>
      <c r="I6068">
        <v>202.42599999999999</v>
      </c>
      <c r="J6068">
        <v>-189.08580000000001</v>
      </c>
      <c r="K6068">
        <v>1.1186419999999999</v>
      </c>
      <c r="L6068">
        <v>6.6165469999999997</v>
      </c>
      <c r="M6068">
        <v>3.3401199999999902E-2</v>
      </c>
      <c r="N6068">
        <v>-7.12343E-3</v>
      </c>
      <c r="O6068">
        <v>0.99941659999999999</v>
      </c>
      <c r="P6068">
        <v>7.935043E-2</v>
      </c>
      <c r="Q6068">
        <v>0.18062030000000001</v>
      </c>
      <c r="R6068">
        <v>0.98034679999999996</v>
      </c>
      <c r="S6068">
        <v>0.31758120000000001</v>
      </c>
      <c r="T6068">
        <v>0.1205142</v>
      </c>
      <c r="U6068">
        <v>3.0119319999999998</v>
      </c>
      <c r="V6068">
        <v>4.7334759999999997E-2</v>
      </c>
      <c r="W6068">
        <v>0.18742059999999999</v>
      </c>
      <c r="X6068">
        <v>0.98113859999999997</v>
      </c>
      <c r="Y6068">
        <v>7.1476239999999996E-2</v>
      </c>
      <c r="Z6068">
        <v>4.6889880000000002E-2</v>
      </c>
      <c r="AA6068">
        <v>0.99633959999999999</v>
      </c>
      <c r="AB6068">
        <v>34</v>
      </c>
      <c r="AC6068">
        <v>20.6709999999999</v>
      </c>
      <c r="AD6068">
        <v>7.8491099999999996</v>
      </c>
      <c r="AE6068">
        <v>195.80945299999999</v>
      </c>
      <c r="AF6068">
        <v>14.0966271815419</v>
      </c>
      <c r="AG6068">
        <v>7.8491099999999996</v>
      </c>
      <c r="AH6068">
        <v>196.079048506178</v>
      </c>
      <c r="AI6068">
        <v>87.713549572776998</v>
      </c>
      <c r="AJ6068">
        <v>85.887933750169196</v>
      </c>
      <c r="AK6068">
        <v>196.74175125980599</v>
      </c>
      <c r="AL6068">
        <v>79.197708586723607</v>
      </c>
      <c r="AM6068">
        <v>87.237922619545699</v>
      </c>
      <c r="AN6068">
        <v>1.00000000660928</v>
      </c>
    </row>
    <row r="6069" spans="1:40" x14ac:dyDescent="0.25">
      <c r="A6069" t="str">
        <f>"20190303171132497"</f>
        <v>20190303171132497</v>
      </c>
      <c r="B6069" t="str">
        <f>"1551604292486917"</f>
        <v>1551604292486917</v>
      </c>
      <c r="C6069" t="s">
        <v>40</v>
      </c>
      <c r="D6069">
        <v>4.5049289999999997</v>
      </c>
      <c r="E6069">
        <v>0.51675950000000004</v>
      </c>
      <c r="F6069" t="s">
        <v>50</v>
      </c>
      <c r="G6069">
        <v>-168.98330000000001</v>
      </c>
      <c r="H6069">
        <v>9.0027619999999899</v>
      </c>
      <c r="I6069">
        <v>184.38059999999999</v>
      </c>
      <c r="J6069">
        <v>-189.07249999999999</v>
      </c>
      <c r="K6069">
        <v>1.1186210000000001</v>
      </c>
      <c r="L6069">
        <v>6.9634090000000004</v>
      </c>
      <c r="M6069">
        <v>3.5328999999999999E-2</v>
      </c>
      <c r="N6069">
        <v>-6.9900240000000001E-3</v>
      </c>
      <c r="O6069">
        <v>0.99935130000000005</v>
      </c>
      <c r="P6069">
        <v>8.1671439999999998E-2</v>
      </c>
      <c r="Q6069">
        <v>0.18165829999999999</v>
      </c>
      <c r="R6069">
        <v>0.97996430000000001</v>
      </c>
      <c r="S6069">
        <v>0.34016420000000003</v>
      </c>
      <c r="T6069">
        <v>0.13341129999999901</v>
      </c>
      <c r="U6069">
        <v>3.0080260000000001</v>
      </c>
      <c r="V6069">
        <v>4.778176E-2</v>
      </c>
      <c r="W6069">
        <v>0.18832260000000001</v>
      </c>
      <c r="X6069">
        <v>0.98094420000000004</v>
      </c>
      <c r="Y6069">
        <v>7.705658E-2</v>
      </c>
      <c r="Z6069">
        <v>5.1029030000000003E-2</v>
      </c>
      <c r="AA6069">
        <v>0.99572000000000005</v>
      </c>
      <c r="AB6069">
        <v>34</v>
      </c>
      <c r="AC6069">
        <v>20.089199999999899</v>
      </c>
      <c r="AD6069">
        <v>7.8841409999999899</v>
      </c>
      <c r="AE6069">
        <v>177.41719099999901</v>
      </c>
      <c r="AF6069">
        <v>13.781662268340799</v>
      </c>
      <c r="AG6069">
        <v>7.8841409999999899</v>
      </c>
      <c r="AH6069">
        <v>177.669763028848</v>
      </c>
      <c r="AI6069">
        <v>87.466751914725606</v>
      </c>
      <c r="AJ6069">
        <v>85.564506646670907</v>
      </c>
      <c r="AK6069">
        <v>178.37779735413699</v>
      </c>
      <c r="AL6069">
        <v>79.145090906476099</v>
      </c>
      <c r="AM6069">
        <v>87.211328578127706</v>
      </c>
      <c r="AN6069">
        <v>1.0000000108865399</v>
      </c>
    </row>
    <row r="6070" spans="1:40" x14ac:dyDescent="0.25">
      <c r="A6070" t="str">
        <f>"20190303171132519"</f>
        <v>20190303171132519</v>
      </c>
      <c r="B6070" t="str">
        <f>"1551604292506437"</f>
        <v>1551604292506437</v>
      </c>
      <c r="C6070" t="s">
        <v>40</v>
      </c>
      <c r="D6070">
        <v>4.7249460000000001</v>
      </c>
      <c r="E6070">
        <v>0.51761559999999995</v>
      </c>
      <c r="F6070" t="s">
        <v>50</v>
      </c>
      <c r="G6070">
        <v>-169.40719999999999</v>
      </c>
      <c r="H6070">
        <v>8.9055199999999992</v>
      </c>
      <c r="I6070">
        <v>173.05199999999999</v>
      </c>
      <c r="J6070">
        <v>-189.05879999999999</v>
      </c>
      <c r="K6070">
        <v>1.1186039999999999</v>
      </c>
      <c r="L6070">
        <v>7.3004149999999903</v>
      </c>
      <c r="M6070">
        <v>3.7200839999999999E-2</v>
      </c>
      <c r="N6070">
        <v>-6.8715579999999998E-3</v>
      </c>
      <c r="O6070">
        <v>0.99928419999999896</v>
      </c>
      <c r="P6070">
        <v>8.5262840000000006E-2</v>
      </c>
      <c r="Q6070">
        <v>0.18296499999999999</v>
      </c>
      <c r="R6070">
        <v>0.97941520000000004</v>
      </c>
      <c r="S6070">
        <v>0.3558655</v>
      </c>
      <c r="T6070">
        <v>0.14091300000000001</v>
      </c>
      <c r="U6070">
        <v>3.0055540000000001</v>
      </c>
      <c r="V6070">
        <v>4.9561220000000003E-2</v>
      </c>
      <c r="W6070">
        <v>0.18950210000000001</v>
      </c>
      <c r="X6070">
        <v>0.98062870000000002</v>
      </c>
      <c r="Y6070">
        <v>8.0399410000000004E-2</v>
      </c>
      <c r="Z6070">
        <v>5.339414E-2</v>
      </c>
      <c r="AA6070">
        <v>0.99533159999999998</v>
      </c>
      <c r="AB6070">
        <v>34</v>
      </c>
      <c r="AC6070">
        <v>19.651599999999998</v>
      </c>
      <c r="AD6070">
        <v>7.78691599999999</v>
      </c>
      <c r="AE6070">
        <v>165.75158500000001</v>
      </c>
      <c r="AF6070">
        <v>13.442495791320701</v>
      </c>
      <c r="AG6070">
        <v>7.78691599999999</v>
      </c>
      <c r="AH6070">
        <v>166.006612128618</v>
      </c>
      <c r="AI6070">
        <v>87.323129350463105</v>
      </c>
      <c r="AJ6070">
        <v>85.370537079689996</v>
      </c>
      <c r="AK6070">
        <v>166.73191663359501</v>
      </c>
      <c r="AL6070">
        <v>79.0762712850306</v>
      </c>
      <c r="AM6070">
        <v>87.106718735989602</v>
      </c>
      <c r="AN6070">
        <v>1.0000000038479899</v>
      </c>
    </row>
    <row r="6071" spans="1:40" x14ac:dyDescent="0.25">
      <c r="A6071" t="str">
        <f>"20190303171132542"</f>
        <v>20190303171132542</v>
      </c>
      <c r="B6071" t="str">
        <f>"1551604292536693"</f>
        <v>1551604292536693</v>
      </c>
      <c r="C6071" t="s">
        <v>40</v>
      </c>
      <c r="D6071">
        <v>4.7244529999999996</v>
      </c>
      <c r="E6071">
        <v>0.51825889999999997</v>
      </c>
      <c r="F6071" t="s">
        <v>50</v>
      </c>
      <c r="G6071">
        <v>-168.52080000000001</v>
      </c>
      <c r="H6071">
        <v>9.2624910000000007</v>
      </c>
      <c r="I6071">
        <v>172.6885</v>
      </c>
      <c r="J6071">
        <v>-189.04329999999999</v>
      </c>
      <c r="K6071">
        <v>1.1185830000000001</v>
      </c>
      <c r="L6071">
        <v>7.6657099999999998</v>
      </c>
      <c r="M6071">
        <v>3.9228409999999998E-2</v>
      </c>
      <c r="N6071">
        <v>-6.7560529999999997E-3</v>
      </c>
      <c r="O6071">
        <v>0.99920739999999997</v>
      </c>
      <c r="P6071">
        <v>8.9872489999999999E-2</v>
      </c>
      <c r="Q6071">
        <v>0.1839626</v>
      </c>
      <c r="R6071">
        <v>0.97881600000000002</v>
      </c>
      <c r="S6071">
        <v>0.3729095</v>
      </c>
      <c r="T6071">
        <v>0.14786959999999999</v>
      </c>
      <c r="U6071">
        <v>3.0029599999999999</v>
      </c>
      <c r="V6071">
        <v>5.2207539999999997E-2</v>
      </c>
      <c r="W6071">
        <v>0.19037200000000001</v>
      </c>
      <c r="X6071">
        <v>0.98032280000000005</v>
      </c>
      <c r="Y6071">
        <v>8.403033E-2</v>
      </c>
      <c r="Z6071">
        <v>5.5581369999999998E-2</v>
      </c>
      <c r="AA6071">
        <v>0.99491180000000001</v>
      </c>
      <c r="AB6071">
        <v>34</v>
      </c>
      <c r="AC6071">
        <v>20.522499999999901</v>
      </c>
      <c r="AD6071">
        <v>8.1439079999999997</v>
      </c>
      <c r="AE6071">
        <v>165.02278999999999</v>
      </c>
      <c r="AF6071">
        <v>13.9993974288228</v>
      </c>
      <c r="AG6071">
        <v>8.1439079999999997</v>
      </c>
      <c r="AH6071">
        <v>165.304386813609</v>
      </c>
      <c r="AI6071">
        <v>87.189583051459493</v>
      </c>
      <c r="AJ6071">
        <v>85.159251353034804</v>
      </c>
      <c r="AK6071">
        <v>166.09589599296501</v>
      </c>
      <c r="AL6071">
        <v>79.025505059974194</v>
      </c>
      <c r="AM6071">
        <v>86.951566758469397</v>
      </c>
      <c r="AN6071">
        <v>0.99999995890834503</v>
      </c>
    </row>
    <row r="6072" spans="1:40" x14ac:dyDescent="0.25">
      <c r="A6072" t="str">
        <f>"20190303171132564"</f>
        <v>20190303171132564</v>
      </c>
      <c r="B6072" t="str">
        <f>"1551604292557190"</f>
        <v>1551604292557190</v>
      </c>
      <c r="C6072" t="s">
        <v>40</v>
      </c>
      <c r="D6072">
        <v>4.4693690000000004</v>
      </c>
      <c r="E6072">
        <v>0.51870079999999996</v>
      </c>
      <c r="F6072" t="s">
        <v>50</v>
      </c>
      <c r="G6072">
        <v>-167.58260000000001</v>
      </c>
      <c r="H6072">
        <v>9.5288620000000002</v>
      </c>
      <c r="I6072">
        <v>172.11359999999999</v>
      </c>
      <c r="J6072">
        <v>-189.0291</v>
      </c>
      <c r="K6072">
        <v>1.1185639999999999</v>
      </c>
      <c r="L6072">
        <v>7.9875489999999996</v>
      </c>
      <c r="M6072">
        <v>4.1013439999999998E-2</v>
      </c>
      <c r="N6072">
        <v>-6.6647069999999997E-3</v>
      </c>
      <c r="O6072">
        <v>0.99913640000000004</v>
      </c>
      <c r="P6072">
        <v>9.4193910000000006E-2</v>
      </c>
      <c r="Q6072">
        <v>0.18387909999999999</v>
      </c>
      <c r="R6072">
        <v>0.97842530000000005</v>
      </c>
      <c r="S6072">
        <v>0.39152530000000002</v>
      </c>
      <c r="T6072">
        <v>0.15343589999999999</v>
      </c>
      <c r="U6072">
        <v>3.0001530000000001</v>
      </c>
      <c r="V6072">
        <v>5.4791670000000001E-2</v>
      </c>
      <c r="W6072">
        <v>0.19018570000000001</v>
      </c>
      <c r="X6072">
        <v>0.98021800000000003</v>
      </c>
      <c r="Y6072">
        <v>8.842614E-2</v>
      </c>
      <c r="Z6072">
        <v>5.7334469999999998E-2</v>
      </c>
      <c r="AA6072">
        <v>0.99443130000000002</v>
      </c>
      <c r="AB6072">
        <v>34</v>
      </c>
      <c r="AC6072">
        <v>21.446499999999901</v>
      </c>
      <c r="AD6072">
        <v>8.4102979999999992</v>
      </c>
      <c r="AE6072">
        <v>164.12605099999999</v>
      </c>
      <c r="AF6072">
        <v>14.6590846346615</v>
      </c>
      <c r="AG6072">
        <v>8.4102979999999992</v>
      </c>
      <c r="AH6072">
        <v>164.443011278943</v>
      </c>
      <c r="AI6072">
        <v>87.083751220623995</v>
      </c>
      <c r="AJ6072">
        <v>84.905898268745005</v>
      </c>
      <c r="AK6072">
        <v>165.30918254368501</v>
      </c>
      <c r="AL6072">
        <v>79.036378672160893</v>
      </c>
      <c r="AM6072">
        <v>86.800642386003801</v>
      </c>
      <c r="AN6072">
        <v>1.0000000275549299</v>
      </c>
    </row>
    <row r="6073" spans="1:40" x14ac:dyDescent="0.25">
      <c r="A6073" t="str">
        <f>"20190303171132586"</f>
        <v>20190303171132586</v>
      </c>
      <c r="B6073" t="str">
        <f>"1551604292576709"</f>
        <v>1551604292576709</v>
      </c>
      <c r="C6073" t="s">
        <v>40</v>
      </c>
      <c r="D6073">
        <v>4.4633120000000002</v>
      </c>
      <c r="E6073">
        <v>0.51910420000000002</v>
      </c>
      <c r="F6073" t="s">
        <v>50</v>
      </c>
      <c r="G6073">
        <v>-166.81209999999999</v>
      </c>
      <c r="H6073">
        <v>9.5108149999999991</v>
      </c>
      <c r="I6073">
        <v>171.34399999999999</v>
      </c>
      <c r="J6073">
        <v>-189.01329999999999</v>
      </c>
      <c r="K6073">
        <v>1.1185449999999999</v>
      </c>
      <c r="L6073">
        <v>8.3304139999999993</v>
      </c>
      <c r="M6073">
        <v>4.2910709999999998E-2</v>
      </c>
      <c r="N6073">
        <v>-6.5730099999999998E-3</v>
      </c>
      <c r="O6073">
        <v>0.99905730000000004</v>
      </c>
      <c r="P6073">
        <v>9.689354E-2</v>
      </c>
      <c r="Q6073">
        <v>0.18342269999999999</v>
      </c>
      <c r="R6073">
        <v>0.97824730000000004</v>
      </c>
      <c r="S6073">
        <v>0.40773009999999998</v>
      </c>
      <c r="T6073">
        <v>0.15401709999999999</v>
      </c>
      <c r="U6073">
        <v>2.9979550000000001</v>
      </c>
      <c r="V6073">
        <v>5.5634570000000001E-2</v>
      </c>
      <c r="W6073">
        <v>0.1896351</v>
      </c>
      <c r="X6073">
        <v>0.98027719999999896</v>
      </c>
      <c r="Y6073">
        <v>9.1908539999999997E-2</v>
      </c>
      <c r="Z6073">
        <v>5.7437740000000001E-2</v>
      </c>
      <c r="AA6073">
        <v>0.99410949999999998</v>
      </c>
      <c r="AB6073">
        <v>34</v>
      </c>
      <c r="AC6073">
        <v>22.2012</v>
      </c>
      <c r="AD6073">
        <v>8.3922699999999999</v>
      </c>
      <c r="AE6073">
        <v>163.013586</v>
      </c>
      <c r="AF6073">
        <v>15.1461577603945</v>
      </c>
      <c r="AG6073">
        <v>8.3922699999999999</v>
      </c>
      <c r="AH6073">
        <v>163.39095421913501</v>
      </c>
      <c r="AI6073">
        <v>87.072223997958801</v>
      </c>
      <c r="AJ6073">
        <v>84.703881042911405</v>
      </c>
      <c r="AK6073">
        <v>164.30593480241399</v>
      </c>
      <c r="AL6073">
        <v>79.068510537796996</v>
      </c>
      <c r="AM6073">
        <v>86.751724716416504</v>
      </c>
      <c r="AN6073">
        <v>1.0000000326854599</v>
      </c>
    </row>
    <row r="6074" spans="1:40" x14ac:dyDescent="0.25">
      <c r="A6074" t="str">
        <f>"20190303171132610"</f>
        <v>20190303171132610</v>
      </c>
      <c r="B6074" t="str">
        <f>"1551604292597207"</f>
        <v>1551604292597207</v>
      </c>
      <c r="C6074" t="s">
        <v>40</v>
      </c>
      <c r="D6074">
        <v>4.6656839999999997</v>
      </c>
      <c r="E6074">
        <v>0.51911499999999999</v>
      </c>
      <c r="F6074" t="s">
        <v>50</v>
      </c>
      <c r="G6074">
        <v>-166.28030000000001</v>
      </c>
      <c r="H6074">
        <v>9.4630030000000005</v>
      </c>
      <c r="I6074">
        <v>170.81270000000001</v>
      </c>
      <c r="J6074">
        <v>-188.9949</v>
      </c>
      <c r="K6074">
        <v>1.118525</v>
      </c>
      <c r="L6074">
        <v>8.7135929999999995</v>
      </c>
      <c r="M6074">
        <v>4.5014060000000002E-2</v>
      </c>
      <c r="N6074">
        <v>-6.4704979999999999E-3</v>
      </c>
      <c r="O6074">
        <v>0.9989654</v>
      </c>
      <c r="P6074">
        <v>0.10009419999999999</v>
      </c>
      <c r="Q6074">
        <v>0.1851593</v>
      </c>
      <c r="R6074">
        <v>0.97759770000000001</v>
      </c>
      <c r="S6074">
        <v>0.41921999999999998</v>
      </c>
      <c r="T6074">
        <v>0.15388080000000001</v>
      </c>
      <c r="U6074">
        <v>2.9963380000000002</v>
      </c>
      <c r="V6074">
        <v>5.6803319999999997E-2</v>
      </c>
      <c r="W6074">
        <v>0.19126270000000001</v>
      </c>
      <c r="X6074">
        <v>0.97989389999999998</v>
      </c>
      <c r="Y6074">
        <v>9.3625669999999994E-2</v>
      </c>
      <c r="Z6074">
        <v>5.729207E-2</v>
      </c>
      <c r="AA6074">
        <v>0.99395770000000006</v>
      </c>
      <c r="AB6074">
        <v>34</v>
      </c>
      <c r="AC6074">
        <v>22.714599999999901</v>
      </c>
      <c r="AD6074">
        <v>8.3444780000000005</v>
      </c>
      <c r="AE6074">
        <v>162.099107</v>
      </c>
      <c r="AF6074">
        <v>15.3547770359454</v>
      </c>
      <c r="AG6074">
        <v>8.3444780000000005</v>
      </c>
      <c r="AH6074">
        <v>162.53487242415599</v>
      </c>
      <c r="AI6074">
        <v>87.074041843330207</v>
      </c>
      <c r="AJ6074">
        <v>84.603246546596793</v>
      </c>
      <c r="AK6074">
        <v>163.471661901544</v>
      </c>
      <c r="AL6074">
        <v>78.973517420279506</v>
      </c>
      <c r="AM6074">
        <v>86.682342578583302</v>
      </c>
      <c r="AN6074">
        <v>1.0000000464157599</v>
      </c>
    </row>
    <row r="6075" spans="1:40" x14ac:dyDescent="0.25">
      <c r="A6075" t="str">
        <f>"20190303171132632"</f>
        <v>20190303171132632</v>
      </c>
      <c r="B6075" t="str">
        <f>"1551604292626485"</f>
        <v>1551604292626485</v>
      </c>
      <c r="C6075" t="s">
        <v>40</v>
      </c>
      <c r="D6075">
        <v>4.4291109999999998</v>
      </c>
      <c r="E6075">
        <v>0.51927330000000005</v>
      </c>
      <c r="F6075" t="s">
        <v>50</v>
      </c>
      <c r="G6075">
        <v>-165.8391</v>
      </c>
      <c r="H6075">
        <v>9.7400400000000005</v>
      </c>
      <c r="I6075">
        <v>170.37180000000001</v>
      </c>
      <c r="J6075">
        <v>-188.97819999999999</v>
      </c>
      <c r="K6075">
        <v>1.1185130000000001</v>
      </c>
      <c r="L6075">
        <v>9.0487059999999992</v>
      </c>
      <c r="M6075">
        <v>4.6819609999999998E-2</v>
      </c>
      <c r="N6075">
        <v>-6.3785329999999996E-3</v>
      </c>
      <c r="O6075">
        <v>0.99888299999999997</v>
      </c>
      <c r="P6075">
        <v>0.1026053</v>
      </c>
      <c r="Q6075">
        <v>0.1864026</v>
      </c>
      <c r="R6075">
        <v>0.97710090000000005</v>
      </c>
      <c r="S6075">
        <v>0.42893979999999998</v>
      </c>
      <c r="T6075">
        <v>0.15970609999999999</v>
      </c>
      <c r="U6075">
        <v>2.9945680000000001</v>
      </c>
      <c r="V6075">
        <v>5.756207E-2</v>
      </c>
      <c r="W6075">
        <v>0.19241249999999999</v>
      </c>
      <c r="X6075">
        <v>0.97962450000000001</v>
      </c>
      <c r="Y6075">
        <v>9.5054899999999998E-2</v>
      </c>
      <c r="Z6075">
        <v>5.9127020000000002E-2</v>
      </c>
      <c r="AA6075">
        <v>0.99371449999999995</v>
      </c>
      <c r="AB6075">
        <v>35</v>
      </c>
      <c r="AC6075">
        <v>23.1390999999999</v>
      </c>
      <c r="AD6075">
        <v>8.6215269999999897</v>
      </c>
      <c r="AE6075">
        <v>161.323094</v>
      </c>
      <c r="AF6075">
        <v>15.517060674781501</v>
      </c>
      <c r="AG6075">
        <v>8.6215269999999897</v>
      </c>
      <c r="AH6075">
        <v>161.77682068372599</v>
      </c>
      <c r="AI6075">
        <v>86.963348101416997</v>
      </c>
      <c r="AJ6075">
        <v>84.521152118835005</v>
      </c>
      <c r="AK6075">
        <v>162.74780984803101</v>
      </c>
      <c r="AL6075">
        <v>78.9063921599097</v>
      </c>
      <c r="AM6075">
        <v>86.637205562123995</v>
      </c>
      <c r="AN6075">
        <v>1.0000000615295901</v>
      </c>
    </row>
    <row r="6076" spans="1:40" x14ac:dyDescent="0.25">
      <c r="A6076" t="str">
        <f>"20190303171132653"</f>
        <v>20190303171132653</v>
      </c>
      <c r="B6076" t="str">
        <f>"1551604292646981"</f>
        <v>1551604292646981</v>
      </c>
      <c r="C6076" t="s">
        <v>40</v>
      </c>
      <c r="D6076">
        <v>4.4849430000000003</v>
      </c>
      <c r="E6076">
        <v>0.51932250000000002</v>
      </c>
      <c r="F6076" t="s">
        <v>50</v>
      </c>
      <c r="G6076">
        <v>-165.4359</v>
      </c>
      <c r="H6076">
        <v>9.9500679999999999</v>
      </c>
      <c r="I6076">
        <v>169.96889999999999</v>
      </c>
      <c r="J6076">
        <v>-188.96100000000001</v>
      </c>
      <c r="K6076">
        <v>1.1185240000000001</v>
      </c>
      <c r="L6076">
        <v>9.3818970000000004</v>
      </c>
      <c r="M6076">
        <v>4.8557969999999999E-2</v>
      </c>
      <c r="N6076">
        <v>-6.2836879999999999E-3</v>
      </c>
      <c r="O6076">
        <v>0.99880060000000004</v>
      </c>
      <c r="P6076">
        <v>0.1050527</v>
      </c>
      <c r="Q6076">
        <v>0.1862443</v>
      </c>
      <c r="R6076">
        <v>0.97687100000000004</v>
      </c>
      <c r="S6076">
        <v>0.43786619999999998</v>
      </c>
      <c r="T6076">
        <v>0.16425999999999999</v>
      </c>
      <c r="U6076">
        <v>2.9929809999999999</v>
      </c>
      <c r="V6076">
        <v>5.8296849999999997E-2</v>
      </c>
      <c r="W6076">
        <v>0.19216130000000001</v>
      </c>
      <c r="X6076">
        <v>0.97963029999999995</v>
      </c>
      <c r="Y6076">
        <v>9.6287369999999997E-2</v>
      </c>
      <c r="Z6076">
        <v>6.0538359999999999E-2</v>
      </c>
      <c r="AA6076">
        <v>0.99351080000000003</v>
      </c>
      <c r="AB6076">
        <v>35</v>
      </c>
      <c r="AC6076">
        <v>23.525099999999899</v>
      </c>
      <c r="AD6076">
        <v>8.8315439999999992</v>
      </c>
      <c r="AE6076">
        <v>160.58700299999899</v>
      </c>
      <c r="AF6076">
        <v>15.6530671431338</v>
      </c>
      <c r="AG6076">
        <v>8.8315439999999992</v>
      </c>
      <c r="AH6076">
        <v>161.063015976613</v>
      </c>
      <c r="AI6076">
        <v>86.876140741384802</v>
      </c>
      <c r="AJ6076">
        <v>84.449086023624901</v>
      </c>
      <c r="AK6076">
        <v>162.06267243228501</v>
      </c>
      <c r="AL6076">
        <v>78.921057932474497</v>
      </c>
      <c r="AM6076">
        <v>86.594399996944105</v>
      </c>
      <c r="AN6076">
        <v>1.00000000630785</v>
      </c>
    </row>
    <row r="6077" spans="1:40" x14ac:dyDescent="0.25">
      <c r="A6077" t="str">
        <f>"20190303171132676"</f>
        <v>20190303171132676</v>
      </c>
      <c r="B6077" t="str">
        <f>"1551604292666501"</f>
        <v>1551604292666501</v>
      </c>
      <c r="C6077" t="s">
        <v>40</v>
      </c>
      <c r="D6077">
        <v>4.6555390000000001</v>
      </c>
      <c r="E6077">
        <v>0.51938689999999998</v>
      </c>
      <c r="F6077" t="s">
        <v>50</v>
      </c>
      <c r="G6077">
        <v>-165.08840000000001</v>
      </c>
      <c r="H6077">
        <v>9.9327590000000008</v>
      </c>
      <c r="I6077">
        <v>169.62180000000001</v>
      </c>
      <c r="J6077">
        <v>-188.94200000000001</v>
      </c>
      <c r="K6077">
        <v>1.118552</v>
      </c>
      <c r="L6077">
        <v>9.7398070000000008</v>
      </c>
      <c r="M6077">
        <v>5.0334820000000002E-2</v>
      </c>
      <c r="N6077">
        <v>-6.1792180000000002E-3</v>
      </c>
      <c r="O6077">
        <v>0.99871330000000003</v>
      </c>
      <c r="P6077">
        <v>0.107007199999999</v>
      </c>
      <c r="Q6077">
        <v>0.18520439999999999</v>
      </c>
      <c r="R6077">
        <v>0.97685659999999996</v>
      </c>
      <c r="S6077">
        <v>0.44570920000000003</v>
      </c>
      <c r="T6077">
        <v>0.16456519999999999</v>
      </c>
      <c r="U6077">
        <v>2.99173</v>
      </c>
      <c r="V6077">
        <v>5.8475529999999998E-2</v>
      </c>
      <c r="W6077">
        <v>0.19102730000000001</v>
      </c>
      <c r="X6077">
        <v>0.97984139999999997</v>
      </c>
      <c r="Y6077">
        <v>9.7125069999999994E-2</v>
      </c>
      <c r="Z6077">
        <v>6.0536470000000002E-2</v>
      </c>
      <c r="AA6077">
        <v>0.99342940000000002</v>
      </c>
      <c r="AB6077">
        <v>35</v>
      </c>
      <c r="AC6077">
        <v>23.8536</v>
      </c>
      <c r="AD6077">
        <v>8.8142069999999997</v>
      </c>
      <c r="AE6077">
        <v>159.88199299999999</v>
      </c>
      <c r="AF6077">
        <v>15.728814159364999</v>
      </c>
      <c r="AG6077">
        <v>8.8142069999999997</v>
      </c>
      <c r="AH6077">
        <v>160.40311728441401</v>
      </c>
      <c r="AI6077">
        <v>86.869723539591604</v>
      </c>
      <c r="AJ6077">
        <v>84.399592780030204</v>
      </c>
      <c r="AK6077">
        <v>161.413276636267</v>
      </c>
      <c r="AL6077">
        <v>78.987257606274497</v>
      </c>
      <c r="AM6077">
        <v>86.584720718624595</v>
      </c>
      <c r="AN6077">
        <v>0.99999999305401499</v>
      </c>
    </row>
    <row r="6078" spans="1:40" x14ac:dyDescent="0.25">
      <c r="A6078" t="str">
        <f>"20190303171132702"</f>
        <v>20190303171132702</v>
      </c>
      <c r="B6078" t="str">
        <f>"1551604292696757"</f>
        <v>1551604292696757</v>
      </c>
      <c r="C6078" t="s">
        <v>40</v>
      </c>
      <c r="D6078">
        <v>4.6008979999999999</v>
      </c>
      <c r="E6078">
        <v>0.51928699999999905</v>
      </c>
      <c r="F6078" t="s">
        <v>108</v>
      </c>
      <c r="G6078">
        <v>-175.87270000000001</v>
      </c>
      <c r="H6078">
        <v>5.7917249999999996</v>
      </c>
      <c r="I6078">
        <v>96.197419999999994</v>
      </c>
      <c r="J6078">
        <v>-188.92339999999999</v>
      </c>
      <c r="K6078">
        <v>1.1186039999999999</v>
      </c>
      <c r="L6078">
        <v>10.081910000000001</v>
      </c>
      <c r="M6078">
        <v>5.1904180000000001E-2</v>
      </c>
      <c r="N6078">
        <v>-6.079531E-3</v>
      </c>
      <c r="O6078">
        <v>0.99863360000000001</v>
      </c>
      <c r="P6078">
        <v>0.1085145</v>
      </c>
      <c r="Q6078">
        <v>0.18449589999999999</v>
      </c>
      <c r="R6078">
        <v>0.97682440000000004</v>
      </c>
      <c r="S6078">
        <v>0.45211790000000002</v>
      </c>
      <c r="T6078">
        <v>0.161664</v>
      </c>
      <c r="U6078">
        <v>2.9909059999999998</v>
      </c>
      <c r="V6078">
        <v>5.8402429999999998E-2</v>
      </c>
      <c r="W6078">
        <v>0.19023290000000001</v>
      </c>
      <c r="X6078">
        <v>0.98000030000000005</v>
      </c>
      <c r="Y6078">
        <v>9.7691829999999993E-2</v>
      </c>
      <c r="Z6078">
        <v>5.9478690000000001E-2</v>
      </c>
      <c r="AA6078">
        <v>0.99343780000000004</v>
      </c>
      <c r="AB6078">
        <v>35</v>
      </c>
      <c r="AC6078">
        <v>13.0506999999999</v>
      </c>
      <c r="AD6078">
        <v>4.6731209999999903</v>
      </c>
      <c r="AE6078">
        <v>86.11551</v>
      </c>
      <c r="AF6078">
        <v>8.5386905919351399</v>
      </c>
      <c r="AG6078">
        <v>4.6731209999999903</v>
      </c>
      <c r="AH6078">
        <v>86.428029873069406</v>
      </c>
      <c r="AI6078">
        <v>86.920024623530907</v>
      </c>
      <c r="AJ6078">
        <v>84.357750907412296</v>
      </c>
      <c r="AK6078">
        <v>86.974430982016898</v>
      </c>
      <c r="AL6078">
        <v>79.033623649199399</v>
      </c>
      <c r="AM6078">
        <v>86.5895318237921</v>
      </c>
      <c r="AN6078">
        <v>0.99999999403620199</v>
      </c>
    </row>
    <row r="6079" spans="1:40" x14ac:dyDescent="0.25">
      <c r="A6079" t="str">
        <f>"20190303171132722"</f>
        <v>20190303171132722</v>
      </c>
      <c r="B6079" t="str">
        <f>"1551604292716278"</f>
        <v>1551604292716278</v>
      </c>
      <c r="C6079" t="s">
        <v>40</v>
      </c>
      <c r="D6079">
        <v>4.6049530000000001</v>
      </c>
      <c r="E6079">
        <v>0.49951620000000002</v>
      </c>
      <c r="F6079" t="s">
        <v>108</v>
      </c>
      <c r="G6079">
        <v>-175.87280000000001</v>
      </c>
      <c r="H6079">
        <v>5.7040009999999999</v>
      </c>
      <c r="I6079">
        <v>95.658000000000001</v>
      </c>
      <c r="J6079">
        <v>-188.90270000000001</v>
      </c>
      <c r="K6079">
        <v>1.1186959999999999</v>
      </c>
      <c r="L6079">
        <v>10.452970000000001</v>
      </c>
      <c r="M6079">
        <v>5.3436850000000001E-2</v>
      </c>
      <c r="N6079">
        <v>-5.973679E-3</v>
      </c>
      <c r="O6079">
        <v>0.99855329999999998</v>
      </c>
      <c r="P6079">
        <v>0.1100362</v>
      </c>
      <c r="Q6079">
        <v>0.1847307</v>
      </c>
      <c r="R6079">
        <v>0.97660979999999997</v>
      </c>
      <c r="S6079">
        <v>0.45602419999999999</v>
      </c>
      <c r="T6079">
        <v>0.16022719999999999</v>
      </c>
      <c r="U6079">
        <v>2.990265</v>
      </c>
      <c r="V6079">
        <v>5.8378279999999998E-2</v>
      </c>
      <c r="W6079">
        <v>0.19037850000000001</v>
      </c>
      <c r="X6079">
        <v>0.97997350000000005</v>
      </c>
      <c r="Y6079">
        <v>9.7469169999999994E-2</v>
      </c>
      <c r="Z6079">
        <v>5.8899340000000001E-2</v>
      </c>
      <c r="AA6079">
        <v>0.99349419999999999</v>
      </c>
      <c r="AB6079">
        <v>35</v>
      </c>
      <c r="AC6079">
        <v>13.0298999999999</v>
      </c>
      <c r="AD6079">
        <v>4.585305</v>
      </c>
      <c r="AE6079">
        <v>85.205029999999994</v>
      </c>
      <c r="AF6079">
        <v>8.4342448570107305</v>
      </c>
      <c r="AG6079">
        <v>4.585305</v>
      </c>
      <c r="AH6079">
        <v>85.537516472561194</v>
      </c>
      <c r="AI6079">
        <v>86.946332678738599</v>
      </c>
      <c r="AJ6079">
        <v>84.368674699359403</v>
      </c>
      <c r="AK6079">
        <v>86.074550434752297</v>
      </c>
      <c r="AL6079">
        <v>79.025126475657402</v>
      </c>
      <c r="AM6079">
        <v>86.590845750403901</v>
      </c>
      <c r="AN6079">
        <v>1.0000000287701201</v>
      </c>
    </row>
    <row r="6080" spans="1:40" x14ac:dyDescent="0.25">
      <c r="A6080" t="str">
        <f>"20190303171132741"</f>
        <v>20190303171132741</v>
      </c>
      <c r="B6080" t="str">
        <f>"1551604292727013"</f>
        <v>1551604292727013</v>
      </c>
      <c r="C6080" t="s">
        <v>40</v>
      </c>
      <c r="D6080">
        <v>4.4513639999999999</v>
      </c>
      <c r="E6080">
        <v>0.4939094</v>
      </c>
      <c r="F6080" t="s">
        <v>46</v>
      </c>
      <c r="G6080">
        <v>-177.85130000000001</v>
      </c>
      <c r="H6080">
        <v>7.5226959999999998</v>
      </c>
      <c r="I6080">
        <v>119.51130000000001</v>
      </c>
      <c r="J6080">
        <v>-188.88499999999999</v>
      </c>
      <c r="K6080">
        <v>1.118779</v>
      </c>
      <c r="L6080">
        <v>10.76459</v>
      </c>
      <c r="M6080">
        <v>5.4603550000000001E-2</v>
      </c>
      <c r="N6080">
        <v>-5.8894380000000003E-3</v>
      </c>
      <c r="O6080">
        <v>0.99849080000000001</v>
      </c>
      <c r="P6080">
        <v>0.1107643</v>
      </c>
      <c r="Q6080">
        <v>0.18581339999999999</v>
      </c>
      <c r="R6080">
        <v>0.97632200000000002</v>
      </c>
      <c r="S6080">
        <v>0.30442809999999998</v>
      </c>
      <c r="T6080">
        <v>0.17640819999999999</v>
      </c>
      <c r="U6080">
        <v>3.004181</v>
      </c>
      <c r="V6080">
        <v>5.7933709999999999E-2</v>
      </c>
      <c r="W6080">
        <v>0.1913928</v>
      </c>
      <c r="X6080">
        <v>0.97980230000000001</v>
      </c>
      <c r="Y6080">
        <v>4.6140889999999997E-2</v>
      </c>
      <c r="Z6080">
        <v>6.4171199999999998E-2</v>
      </c>
      <c r="AA6080">
        <v>0.99687170000000003</v>
      </c>
      <c r="AB6080">
        <v>35</v>
      </c>
      <c r="AC6080">
        <v>11.0336999999999</v>
      </c>
      <c r="AD6080">
        <v>6.4039169999999999</v>
      </c>
      <c r="AE6080">
        <v>108.74670999999999</v>
      </c>
      <c r="AF6080">
        <v>5.0618046627336097</v>
      </c>
      <c r="AG6080">
        <v>6.4039169999999999</v>
      </c>
      <c r="AH6080">
        <v>108.813453567511</v>
      </c>
      <c r="AI6080">
        <v>86.635529141969599</v>
      </c>
      <c r="AJ6080">
        <v>87.336624194087406</v>
      </c>
      <c r="AK6080">
        <v>109.119199486962</v>
      </c>
      <c r="AL6080">
        <v>78.965922789477801</v>
      </c>
      <c r="AM6080">
        <v>86.616157276360099</v>
      </c>
      <c r="AN6080">
        <v>1.0000000328657399</v>
      </c>
    </row>
    <row r="6081" spans="1:40" x14ac:dyDescent="0.25">
      <c r="A6081" t="str">
        <f>"20190303171132764"</f>
        <v>20190303171132764</v>
      </c>
      <c r="B6081" t="str">
        <f>"1551604292756293"</f>
        <v>1551604292756293</v>
      </c>
      <c r="C6081" t="s">
        <v>40</v>
      </c>
      <c r="D6081">
        <v>4.439146</v>
      </c>
      <c r="E6081">
        <v>0.4833441</v>
      </c>
      <c r="F6081" t="s">
        <v>49</v>
      </c>
      <c r="G6081">
        <v>-169.1439</v>
      </c>
      <c r="H6081">
        <v>13.964130000000001</v>
      </c>
      <c r="I6081">
        <v>238.0574</v>
      </c>
      <c r="J6081">
        <v>-188.86410000000001</v>
      </c>
      <c r="K6081">
        <v>1.1188819999999999</v>
      </c>
      <c r="L6081">
        <v>11.12692</v>
      </c>
      <c r="M6081">
        <v>5.5785250000000002E-2</v>
      </c>
      <c r="N6081">
        <v>-5.7951019999999999E-3</v>
      </c>
      <c r="O6081">
        <v>0.99842600000000004</v>
      </c>
      <c r="P6081">
        <v>0.11130470000000001</v>
      </c>
      <c r="Q6081">
        <v>0.18600259999999999</v>
      </c>
      <c r="R6081">
        <v>0.97622450000000005</v>
      </c>
      <c r="S6081">
        <v>0.2614899</v>
      </c>
      <c r="T6081">
        <v>0.17014969999999999</v>
      </c>
      <c r="U6081">
        <v>3.0107119999999998</v>
      </c>
      <c r="V6081">
        <v>5.7260810000000002E-2</v>
      </c>
      <c r="W6081">
        <v>0.1915084</v>
      </c>
      <c r="X6081">
        <v>0.9798192</v>
      </c>
      <c r="Y6081">
        <v>3.0653819999999998E-2</v>
      </c>
      <c r="Z6081">
        <v>6.1945559999999997E-2</v>
      </c>
      <c r="AA6081">
        <v>0.99760870000000001</v>
      </c>
      <c r="AB6081">
        <v>35</v>
      </c>
      <c r="AC6081">
        <v>19.720199999999998</v>
      </c>
      <c r="AD6081">
        <v>12.845248</v>
      </c>
      <c r="AE6081">
        <v>226.93047999999999</v>
      </c>
      <c r="AF6081">
        <v>7.0076202127083498</v>
      </c>
      <c r="AG6081">
        <v>12.845248</v>
      </c>
      <c r="AH6081">
        <v>226.95547797168999</v>
      </c>
      <c r="AI6081">
        <v>86.762163717942101</v>
      </c>
      <c r="AJ6081">
        <v>88.231461321334507</v>
      </c>
      <c r="AK6081">
        <v>227.42668295207901</v>
      </c>
      <c r="AL6081">
        <v>78.959173824993798</v>
      </c>
      <c r="AM6081">
        <v>86.655428416007894</v>
      </c>
      <c r="AN6081">
        <v>0.999999966160527</v>
      </c>
    </row>
    <row r="6082" spans="1:40" x14ac:dyDescent="0.25">
      <c r="A6082" t="str">
        <f>"20190303171132786"</f>
        <v>20190303171132786</v>
      </c>
      <c r="B6082" t="str">
        <f>"1551604292776789"</f>
        <v>1551604292776789</v>
      </c>
      <c r="C6082" t="s">
        <v>40</v>
      </c>
      <c r="D6082">
        <v>4.4176799999999998</v>
      </c>
      <c r="E6082">
        <v>0.48016880000000001</v>
      </c>
      <c r="F6082" t="s">
        <v>62</v>
      </c>
      <c r="G6082">
        <v>0</v>
      </c>
      <c r="H6082">
        <v>0</v>
      </c>
      <c r="I6082">
        <v>0</v>
      </c>
      <c r="J6082">
        <v>-188.84299999999999</v>
      </c>
      <c r="K6082">
        <v>1.1190100000000001</v>
      </c>
      <c r="L6082">
        <v>11.48718</v>
      </c>
      <c r="M6082">
        <v>5.6748739999999999E-2</v>
      </c>
      <c r="N6082">
        <v>-5.7026780000000001E-3</v>
      </c>
      <c r="O6082">
        <v>0.99837220000000004</v>
      </c>
      <c r="P6082">
        <v>0.1119914</v>
      </c>
      <c r="Q6082">
        <v>0.1857636</v>
      </c>
      <c r="R6082">
        <v>0.97619149999999999</v>
      </c>
      <c r="S6082">
        <v>0.17718510000000001</v>
      </c>
      <c r="T6082">
        <v>0.14187620000000001</v>
      </c>
      <c r="U6082">
        <v>3.0258180000000001</v>
      </c>
      <c r="V6082">
        <v>5.6934480000000003E-2</v>
      </c>
      <c r="W6082">
        <v>0.19120000000000001</v>
      </c>
      <c r="X6082">
        <v>0.97989850000000001</v>
      </c>
      <c r="Y6082">
        <v>1.6306269999999999E-3</v>
      </c>
      <c r="Z6082">
        <v>5.2370319999999998E-2</v>
      </c>
      <c r="AA6082">
        <v>0.99862640000000003</v>
      </c>
      <c r="AB6082">
        <v>35</v>
      </c>
      <c r="AC6082">
        <v>0.17718510000000001</v>
      </c>
      <c r="AD6082">
        <v>0.14187620000000001</v>
      </c>
      <c r="AE6082">
        <v>3.0258180000000001</v>
      </c>
      <c r="AF6082">
        <v>5.1740669710013103E-3</v>
      </c>
      <c r="AG6082">
        <v>0.14187620000000001</v>
      </c>
      <c r="AH6082">
        <v>3.0243704416670898</v>
      </c>
      <c r="AI6082">
        <v>87.314171432819407</v>
      </c>
      <c r="AJ6082">
        <v>89.901978968233095</v>
      </c>
      <c r="AK6082">
        <v>3.0277008101074099</v>
      </c>
      <c r="AL6082">
        <v>78.977177145472993</v>
      </c>
      <c r="AM6082">
        <v>86.674714787407495</v>
      </c>
      <c r="AN6082">
        <v>1.0000000226575501</v>
      </c>
    </row>
    <row r="6083" spans="1:40" x14ac:dyDescent="0.25">
      <c r="A6083" t="str">
        <f>"20190303171132811"</f>
        <v>20190303171132811</v>
      </c>
      <c r="B6083" t="str">
        <f>"1551604292796310"</f>
        <v>1551604292796310</v>
      </c>
      <c r="C6083" t="s">
        <v>40</v>
      </c>
      <c r="D6083">
        <v>4.404433</v>
      </c>
      <c r="E6083">
        <v>0.47819990000000001</v>
      </c>
      <c r="F6083" t="s">
        <v>62</v>
      </c>
      <c r="G6083">
        <v>0</v>
      </c>
      <c r="H6083">
        <v>0</v>
      </c>
      <c r="I6083">
        <v>0</v>
      </c>
      <c r="J6083">
        <v>-188.82089999999999</v>
      </c>
      <c r="K6083">
        <v>1.119164</v>
      </c>
      <c r="L6083">
        <v>11.86401</v>
      </c>
      <c r="M6083">
        <v>5.7503659999999998E-2</v>
      </c>
      <c r="N6083">
        <v>-5.6069939999999997E-3</v>
      </c>
      <c r="O6083">
        <v>0.99832960000000004</v>
      </c>
      <c r="P6083">
        <v>0.11317240000000001</v>
      </c>
      <c r="Q6083">
        <v>0.1856788</v>
      </c>
      <c r="R6083">
        <v>0.97607140000000003</v>
      </c>
      <c r="S6083">
        <v>0.1530609</v>
      </c>
      <c r="T6083">
        <v>0.13715829999999901</v>
      </c>
      <c r="U6083">
        <v>3.0295100000000001</v>
      </c>
      <c r="V6083">
        <v>5.7295980000000003E-2</v>
      </c>
      <c r="W6083">
        <v>0.1910451</v>
      </c>
      <c r="X6083">
        <v>0.97990759999999999</v>
      </c>
      <c r="Y6083">
        <v>-7.1215829999999999E-3</v>
      </c>
      <c r="Z6083">
        <v>5.0678769999999998E-2</v>
      </c>
      <c r="AA6083">
        <v>0.99868959999999996</v>
      </c>
      <c r="AB6083">
        <v>36</v>
      </c>
      <c r="AC6083">
        <v>0.1530609</v>
      </c>
      <c r="AD6083">
        <v>0.13715829999999901</v>
      </c>
      <c r="AE6083">
        <v>3.0295100000000001</v>
      </c>
      <c r="AF6083">
        <v>-2.1359351600300801E-2</v>
      </c>
      <c r="AG6083">
        <v>0.13715829999999901</v>
      </c>
      <c r="AH6083">
        <v>3.0271096003042999</v>
      </c>
      <c r="AI6083">
        <v>87.405767791024601</v>
      </c>
      <c r="AJ6083">
        <v>90.404273565234206</v>
      </c>
      <c r="AK6083">
        <v>3.0302906054393701</v>
      </c>
      <c r="AL6083">
        <v>78.986218483383993</v>
      </c>
      <c r="AM6083">
        <v>86.653680045105403</v>
      </c>
      <c r="AN6083">
        <v>0.99999998204796503</v>
      </c>
    </row>
    <row r="6084" spans="1:40" x14ac:dyDescent="0.25">
      <c r="A6084" t="str">
        <f>"20190303171132834"</f>
        <v>20190303171132834</v>
      </c>
      <c r="B6084" t="str">
        <f>"1551604292826566"</f>
        <v>1551604292826566</v>
      </c>
      <c r="C6084" t="s">
        <v>40</v>
      </c>
      <c r="D6084">
        <v>4.3588469999999999</v>
      </c>
      <c r="E6084">
        <v>0.47660599999999997</v>
      </c>
      <c r="F6084" t="s">
        <v>62</v>
      </c>
      <c r="G6084">
        <v>0</v>
      </c>
      <c r="H6084">
        <v>0</v>
      </c>
      <c r="I6084">
        <v>0</v>
      </c>
      <c r="J6084">
        <v>-188.79830000000001</v>
      </c>
      <c r="K6084">
        <v>1.11934</v>
      </c>
      <c r="L6084">
        <v>12.247529999999999</v>
      </c>
      <c r="M6084">
        <v>5.8004670000000001E-2</v>
      </c>
      <c r="N6084">
        <v>-5.5145000000000003E-3</v>
      </c>
      <c r="O6084">
        <v>0.99830110000000005</v>
      </c>
      <c r="P6084">
        <v>0.1138507</v>
      </c>
      <c r="Q6084">
        <v>0.185777</v>
      </c>
      <c r="R6084">
        <v>0.9759738</v>
      </c>
      <c r="S6084">
        <v>0.1404572</v>
      </c>
      <c r="T6084">
        <v>0.13372600000000001</v>
      </c>
      <c r="U6084">
        <v>3.0318299999999998</v>
      </c>
      <c r="V6084">
        <v>5.739288E-2</v>
      </c>
      <c r="W6084">
        <v>0.19107969999999999</v>
      </c>
      <c r="X6084">
        <v>0.97989519999999997</v>
      </c>
      <c r="Y6084">
        <v>-1.180135E-2</v>
      </c>
      <c r="Z6084">
        <v>4.9429380000000002E-2</v>
      </c>
      <c r="AA6084">
        <v>0.99870789999999998</v>
      </c>
      <c r="AB6084">
        <v>36</v>
      </c>
      <c r="AC6084">
        <v>0.1404572</v>
      </c>
      <c r="AD6084">
        <v>0.13372600000000001</v>
      </c>
      <c r="AE6084">
        <v>3.0318299999999998</v>
      </c>
      <c r="AF6084">
        <v>-3.5573204665025601E-2</v>
      </c>
      <c r="AG6084">
        <v>0.13372600000000001</v>
      </c>
      <c r="AH6084">
        <v>3.0289923262165801</v>
      </c>
      <c r="AI6084">
        <v>87.472282820669307</v>
      </c>
      <c r="AJ6084">
        <v>90.672864296733195</v>
      </c>
      <c r="AK6084">
        <v>3.0321514817444499</v>
      </c>
      <c r="AL6084">
        <v>78.984199029134601</v>
      </c>
      <c r="AM6084">
        <v>86.6479912610762</v>
      </c>
      <c r="AN6084">
        <v>0.99999999870491196</v>
      </c>
    </row>
    <row r="6085" spans="1:40" x14ac:dyDescent="0.25">
      <c r="A6085" t="str">
        <f>"20190303171132852"</f>
        <v>20190303171132852</v>
      </c>
      <c r="B6085" t="str">
        <f>"1551604292847061"</f>
        <v>1551604292847061</v>
      </c>
      <c r="C6085" t="s">
        <v>40</v>
      </c>
      <c r="D6085">
        <v>4.2950239999999997</v>
      </c>
      <c r="E6085">
        <v>0.47614679999999998</v>
      </c>
      <c r="F6085" t="s">
        <v>62</v>
      </c>
      <c r="G6085">
        <v>0</v>
      </c>
      <c r="H6085">
        <v>0</v>
      </c>
      <c r="I6085">
        <v>0</v>
      </c>
      <c r="J6085">
        <v>-188.7809</v>
      </c>
      <c r="K6085">
        <v>1.119491</v>
      </c>
      <c r="L6085">
        <v>12.54285</v>
      </c>
      <c r="M6085">
        <v>5.8186799999999997E-2</v>
      </c>
      <c r="N6085">
        <v>-5.4504489999999996E-3</v>
      </c>
      <c r="O6085">
        <v>0.99829080000000003</v>
      </c>
      <c r="P6085">
        <v>0.1142498</v>
      </c>
      <c r="Q6085">
        <v>0.18546409999999999</v>
      </c>
      <c r="R6085">
        <v>0.97598669999999998</v>
      </c>
      <c r="S6085">
        <v>0.12870789999999999</v>
      </c>
      <c r="T6085">
        <v>0.12959960000000001</v>
      </c>
      <c r="U6085">
        <v>3.0341800000000001</v>
      </c>
      <c r="V6085">
        <v>5.7534229999999999E-2</v>
      </c>
      <c r="W6085">
        <v>0.19072720000000001</v>
      </c>
      <c r="X6085">
        <v>0.97995560000000004</v>
      </c>
      <c r="Y6085">
        <v>-1.587647E-2</v>
      </c>
      <c r="Z6085">
        <v>4.7982320000000002E-2</v>
      </c>
      <c r="AA6085">
        <v>0.998722</v>
      </c>
      <c r="AB6085">
        <v>36</v>
      </c>
      <c r="AC6085">
        <v>0.12870789999999999</v>
      </c>
      <c r="AD6085">
        <v>0.12959960000000001</v>
      </c>
      <c r="AE6085">
        <v>3.0341800000000001</v>
      </c>
      <c r="AF6085">
        <v>-4.7974659214746897E-2</v>
      </c>
      <c r="AG6085">
        <v>0.12959960000000001</v>
      </c>
      <c r="AH6085">
        <v>3.0310083894745099</v>
      </c>
      <c r="AI6085">
        <v>87.551949501838905</v>
      </c>
      <c r="AJ6085">
        <v>90.906799201971694</v>
      </c>
      <c r="AK6085">
        <v>3.0341571286457398</v>
      </c>
      <c r="AL6085">
        <v>79.004774376832799</v>
      </c>
      <c r="AM6085">
        <v>86.639961298953295</v>
      </c>
      <c r="AN6085">
        <v>1.0000000152064401</v>
      </c>
    </row>
    <row r="6086" spans="1:40" x14ac:dyDescent="0.25">
      <c r="A6086" t="str">
        <f>"20190303171132875"</f>
        <v>20190303171132875</v>
      </c>
      <c r="B6086" t="str">
        <f>"1551604292866582"</f>
        <v>1551604292866582</v>
      </c>
      <c r="C6086" t="s">
        <v>40</v>
      </c>
      <c r="D6086">
        <v>4.4555160000000003</v>
      </c>
      <c r="E6086">
        <v>0.47529280000000002</v>
      </c>
      <c r="F6086" t="s">
        <v>62</v>
      </c>
      <c r="G6086">
        <v>0</v>
      </c>
      <c r="H6086">
        <v>0</v>
      </c>
      <c r="I6086">
        <v>0</v>
      </c>
      <c r="J6086">
        <v>-188.7595</v>
      </c>
      <c r="K6086">
        <v>1.1196900000000001</v>
      </c>
      <c r="L6086">
        <v>12.91025</v>
      </c>
      <c r="M6086">
        <v>5.8194000000000003E-2</v>
      </c>
      <c r="N6086">
        <v>-5.3789279999999998E-3</v>
      </c>
      <c r="O6086">
        <v>0.99829080000000003</v>
      </c>
      <c r="P6086">
        <v>0.1129956</v>
      </c>
      <c r="Q6086">
        <v>0.18518009999999999</v>
      </c>
      <c r="R6086">
        <v>0.97618660000000002</v>
      </c>
      <c r="S6086">
        <v>0.12567139999999999</v>
      </c>
      <c r="T6086">
        <v>0.12685639999999901</v>
      </c>
      <c r="U6086">
        <v>3.0350039999999998</v>
      </c>
      <c r="V6086">
        <v>5.6164060000000002E-2</v>
      </c>
      <c r="W6086">
        <v>0.19040470000000001</v>
      </c>
      <c r="X6086">
        <v>0.98009780000000002</v>
      </c>
      <c r="Y6086">
        <v>-1.6890700000000002E-2</v>
      </c>
      <c r="Z6086">
        <v>4.7001649999999999E-2</v>
      </c>
      <c r="AA6086">
        <v>0.99875199999999997</v>
      </c>
      <c r="AB6086">
        <v>36</v>
      </c>
      <c r="AC6086">
        <v>0.12567139999999999</v>
      </c>
      <c r="AD6086">
        <v>0.12685639999999901</v>
      </c>
      <c r="AE6086">
        <v>3.0350039999999998</v>
      </c>
      <c r="AF6086">
        <v>-5.1074084157266601E-2</v>
      </c>
      <c r="AG6086">
        <v>0.12685639999999901</v>
      </c>
      <c r="AH6086">
        <v>3.0318860351543999</v>
      </c>
      <c r="AI6086">
        <v>87.604438297854799</v>
      </c>
      <c r="AJ6086">
        <v>90.965093235924002</v>
      </c>
      <c r="AK6086">
        <v>3.0349685399453001</v>
      </c>
      <c r="AL6086">
        <v>79.0235973084161</v>
      </c>
      <c r="AM6086">
        <v>86.720278193260896</v>
      </c>
      <c r="AN6086">
        <v>1.0000000244913001</v>
      </c>
    </row>
    <row r="6087" spans="1:40" x14ac:dyDescent="0.25">
      <c r="A6087" t="str">
        <f>"20190303171132898"</f>
        <v>20190303171132898</v>
      </c>
      <c r="B6087" t="str">
        <f>"1551604292887078"</f>
        <v>1551604292887078</v>
      </c>
      <c r="C6087" t="s">
        <v>40</v>
      </c>
      <c r="D6087">
        <v>4.4096590000000004</v>
      </c>
      <c r="E6087">
        <v>0.4747248</v>
      </c>
      <c r="F6087" t="s">
        <v>46</v>
      </c>
      <c r="G6087">
        <v>-181.46010000000001</v>
      </c>
      <c r="H6087">
        <v>9.0778490000000005</v>
      </c>
      <c r="I6087">
        <v>205.6353</v>
      </c>
      <c r="J6087">
        <v>-188.73759999999999</v>
      </c>
      <c r="K6087">
        <v>1.1198969999999999</v>
      </c>
      <c r="L6087">
        <v>13.28857</v>
      </c>
      <c r="M6087">
        <v>5.792659E-2</v>
      </c>
      <c r="N6087">
        <v>-5.3107880000000003E-3</v>
      </c>
      <c r="O6087">
        <v>0.99830669999999999</v>
      </c>
      <c r="P6087">
        <v>0.1116722</v>
      </c>
      <c r="Q6087">
        <v>0.18458579999999999</v>
      </c>
      <c r="R6087">
        <v>0.97645150000000003</v>
      </c>
      <c r="S6087">
        <v>0.1149902</v>
      </c>
      <c r="T6087">
        <v>0.12536919999999999</v>
      </c>
      <c r="U6087">
        <v>3.0361020000000001</v>
      </c>
      <c r="V6087">
        <v>5.4988589999999997E-2</v>
      </c>
      <c r="W6087">
        <v>0.1897751</v>
      </c>
      <c r="X6087">
        <v>0.98028649999999995</v>
      </c>
      <c r="Y6087">
        <v>-2.0145110000000001E-2</v>
      </c>
      <c r="Z6087">
        <v>4.6434780000000002E-2</v>
      </c>
      <c r="AA6087">
        <v>0.99871810000000005</v>
      </c>
      <c r="AB6087">
        <v>36</v>
      </c>
      <c r="AC6087">
        <v>7.2774999999999697</v>
      </c>
      <c r="AD6087">
        <v>7.9579519999999997</v>
      </c>
      <c r="AE6087">
        <v>192.34673000000001</v>
      </c>
      <c r="AF6087">
        <v>-3.8702525814247899</v>
      </c>
      <c r="AG6087">
        <v>7.9579519999999997</v>
      </c>
      <c r="AH6087">
        <v>192.116927141291</v>
      </c>
      <c r="AI6087">
        <v>87.628505600417697</v>
      </c>
      <c r="AJ6087">
        <v>91.154084397772493</v>
      </c>
      <c r="AK6087">
        <v>192.32062174735799</v>
      </c>
      <c r="AL6087">
        <v>79.060340167828201</v>
      </c>
      <c r="AM6087">
        <v>86.789391879359798</v>
      </c>
      <c r="AN6087">
        <v>0.99999997784622296</v>
      </c>
    </row>
    <row r="6088" spans="1:40" x14ac:dyDescent="0.25">
      <c r="A6088" t="str">
        <f>"20190303171132919"</f>
        <v>20190303171132919</v>
      </c>
      <c r="B6088" t="str">
        <f>"1551604292906598"</f>
        <v>1551604292906598</v>
      </c>
      <c r="C6088" t="s">
        <v>40</v>
      </c>
      <c r="D6088">
        <v>4.3884129999999999</v>
      </c>
      <c r="E6088">
        <v>0.47473910000000002</v>
      </c>
      <c r="F6088" t="s">
        <v>46</v>
      </c>
      <c r="G6088">
        <v>-181.98439999999999</v>
      </c>
      <c r="H6088">
        <v>8.9056009999999901</v>
      </c>
      <c r="I6088">
        <v>205.48769999999999</v>
      </c>
      <c r="J6088">
        <v>-188.7182</v>
      </c>
      <c r="K6088">
        <v>1.1200699999999999</v>
      </c>
      <c r="L6088">
        <v>13.627660000000001</v>
      </c>
      <c r="M6088">
        <v>5.7485359999999999E-2</v>
      </c>
      <c r="N6088">
        <v>-5.2546370000000004E-3</v>
      </c>
      <c r="O6088">
        <v>0.99833249999999996</v>
      </c>
      <c r="P6088">
        <v>0.10973670000000001</v>
      </c>
      <c r="Q6088">
        <v>0.18429409999999999</v>
      </c>
      <c r="R6088">
        <v>0.97672590000000004</v>
      </c>
      <c r="S6088">
        <v>0.1067047</v>
      </c>
      <c r="T6088">
        <v>0.1230202</v>
      </c>
      <c r="U6088">
        <v>3.036896</v>
      </c>
      <c r="V6088">
        <v>5.3387499999999997E-2</v>
      </c>
      <c r="W6088">
        <v>0.1894544</v>
      </c>
      <c r="X6088">
        <v>0.980437</v>
      </c>
      <c r="Y6088">
        <v>-2.243299E-2</v>
      </c>
      <c r="Z6088">
        <v>4.5601959999999997E-2</v>
      </c>
      <c r="AA6088">
        <v>0.99870780000000003</v>
      </c>
      <c r="AB6088">
        <v>36</v>
      </c>
      <c r="AC6088">
        <v>6.7337999999999996</v>
      </c>
      <c r="AD6088">
        <v>7.78553099999999</v>
      </c>
      <c r="AE6088">
        <v>191.86004</v>
      </c>
      <c r="AF6088">
        <v>-4.2995603660106401</v>
      </c>
      <c r="AG6088">
        <v>7.78553099999999</v>
      </c>
      <c r="AH6088">
        <v>191.61472339020801</v>
      </c>
      <c r="AI6088">
        <v>87.673869958911794</v>
      </c>
      <c r="AJ6088">
        <v>91.285419651208997</v>
      </c>
      <c r="AK6088">
        <v>191.82101796257601</v>
      </c>
      <c r="AL6088">
        <v>79.079054152565803</v>
      </c>
      <c r="AM6088">
        <v>86.883164854563006</v>
      </c>
      <c r="AN6088">
        <v>0.99999995290230304</v>
      </c>
    </row>
    <row r="6089" spans="1:40" x14ac:dyDescent="0.25">
      <c r="A6089" t="str">
        <f>"20190303171132941"</f>
        <v>20190303171132941</v>
      </c>
      <c r="B6089" t="str">
        <f>"1551604292936853"</f>
        <v>1551604292936853</v>
      </c>
      <c r="C6089" t="s">
        <v>40</v>
      </c>
      <c r="D6089">
        <v>4.3758520000000001</v>
      </c>
      <c r="E6089">
        <v>0.4742345</v>
      </c>
      <c r="F6089" t="s">
        <v>46</v>
      </c>
      <c r="G6089">
        <v>-182.34970000000001</v>
      </c>
      <c r="H6089">
        <v>8.7222259999999991</v>
      </c>
      <c r="I6089">
        <v>205.56450000000001</v>
      </c>
      <c r="J6089">
        <v>-188.6978</v>
      </c>
      <c r="K6089">
        <v>1.1202379999999901</v>
      </c>
      <c r="L6089">
        <v>13.989229999999999</v>
      </c>
      <c r="M6089">
        <v>5.6847590000000003E-2</v>
      </c>
      <c r="N6089">
        <v>-5.2013739999999999E-3</v>
      </c>
      <c r="O6089">
        <v>0.99836930000000002</v>
      </c>
      <c r="P6089">
        <v>0.1073795</v>
      </c>
      <c r="Q6089">
        <v>0.18444930000000001</v>
      </c>
      <c r="R6089">
        <v>0.97695860000000001</v>
      </c>
      <c r="S6089">
        <v>0.10078429999999999</v>
      </c>
      <c r="T6089">
        <v>0.1203071</v>
      </c>
      <c r="U6089">
        <v>3.0374759999999998</v>
      </c>
      <c r="V6089">
        <v>5.1565609999999998E-2</v>
      </c>
      <c r="W6089">
        <v>0.1895799</v>
      </c>
      <c r="X6089">
        <v>0.98051029999999995</v>
      </c>
      <c r="Y6089">
        <v>-2.374393E-2</v>
      </c>
      <c r="Z6089">
        <v>4.4656069999999999E-2</v>
      </c>
      <c r="AA6089">
        <v>0.99872019999999995</v>
      </c>
      <c r="AB6089">
        <v>36</v>
      </c>
      <c r="AC6089">
        <v>6.3480999999999801</v>
      </c>
      <c r="AD6089">
        <v>7.6019879999999898</v>
      </c>
      <c r="AE6089">
        <v>191.57526999999999</v>
      </c>
      <c r="AF6089">
        <v>-4.5457559420587899</v>
      </c>
      <c r="AG6089">
        <v>7.6019879999999898</v>
      </c>
      <c r="AH6089">
        <v>191.32540404121599</v>
      </c>
      <c r="AI6089">
        <v>87.725288271545296</v>
      </c>
      <c r="AJ6089">
        <v>91.361051028386598</v>
      </c>
      <c r="AK6089">
        <v>191.53032227345</v>
      </c>
      <c r="AL6089">
        <v>79.071731329659897</v>
      </c>
      <c r="AM6089">
        <v>86.989554808737694</v>
      </c>
      <c r="AN6089">
        <v>0.99999999951238505</v>
      </c>
    </row>
    <row r="6090" spans="1:40" x14ac:dyDescent="0.25">
      <c r="A6090" t="str">
        <f>"20190303171132965"</f>
        <v>20190303171132965</v>
      </c>
      <c r="B6090" t="str">
        <f>"1551604292956373"</f>
        <v>1551604292956373</v>
      </c>
      <c r="C6090" t="s">
        <v>40</v>
      </c>
      <c r="D6090">
        <v>4.4724599999999999</v>
      </c>
      <c r="E6090">
        <v>0.47407260000000001</v>
      </c>
      <c r="F6090" t="s">
        <v>109</v>
      </c>
      <c r="G6090">
        <v>-177.59200000000001</v>
      </c>
      <c r="H6090">
        <v>16.059750000000001</v>
      </c>
      <c r="I6090">
        <v>391.87</v>
      </c>
      <c r="J6090">
        <v>-188.67699999999999</v>
      </c>
      <c r="K6090">
        <v>1.1203989999999999</v>
      </c>
      <c r="L6090">
        <v>14.36627</v>
      </c>
      <c r="M6090">
        <v>5.6032430000000001E-2</v>
      </c>
      <c r="N6090">
        <v>-5.1530070000000002E-3</v>
      </c>
      <c r="O6090">
        <v>0.99841559999999996</v>
      </c>
      <c r="P6090">
        <v>0.1037677</v>
      </c>
      <c r="Q6090">
        <v>0.18428349999999999</v>
      </c>
      <c r="R6090">
        <v>0.97738009999999997</v>
      </c>
      <c r="S6090">
        <v>8.9294429999999994E-2</v>
      </c>
      <c r="T6090">
        <v>0.1201179</v>
      </c>
      <c r="U6090">
        <v>3.0382690000000001</v>
      </c>
      <c r="V6090">
        <v>4.8662230000000001E-2</v>
      </c>
      <c r="W6090">
        <v>0.1893851</v>
      </c>
      <c r="X6090">
        <v>0.98069629999999997</v>
      </c>
      <c r="Y6090">
        <v>-2.6709480000000001E-2</v>
      </c>
      <c r="Z6090">
        <v>4.4539769999999999E-2</v>
      </c>
      <c r="AA6090">
        <v>0.9986505</v>
      </c>
      <c r="AB6090">
        <v>37</v>
      </c>
      <c r="AC6090">
        <v>11.085000000000001</v>
      </c>
      <c r="AD6090">
        <v>14.939351</v>
      </c>
      <c r="AE6090">
        <v>377.503729999999</v>
      </c>
      <c r="AF6090">
        <v>-10.0693926741165</v>
      </c>
      <c r="AG6090">
        <v>14.939351</v>
      </c>
      <c r="AH6090">
        <v>376.94194222518797</v>
      </c>
      <c r="AI6090">
        <v>87.731191080487093</v>
      </c>
      <c r="AJ6090">
        <v>91.530199912574403</v>
      </c>
      <c r="AK6090">
        <v>377.37223624111999</v>
      </c>
      <c r="AL6090">
        <v>79.083098266611799</v>
      </c>
      <c r="AM6090">
        <v>87.159308646688899</v>
      </c>
      <c r="AN6090">
        <v>0.99999998078213603</v>
      </c>
    </row>
    <row r="6091" spans="1:40" x14ac:dyDescent="0.25">
      <c r="A6091" t="str">
        <f>"20190303171132986"</f>
        <v>20190303171132986</v>
      </c>
      <c r="B6091" t="str">
        <f>"1551604292976869"</f>
        <v>1551604292976869</v>
      </c>
      <c r="C6091" t="s">
        <v>40</v>
      </c>
      <c r="D6091">
        <v>4.422212</v>
      </c>
      <c r="E6091">
        <v>0.47397410000000001</v>
      </c>
      <c r="F6091" t="s">
        <v>109</v>
      </c>
      <c r="G6091">
        <v>-179.09530000000001</v>
      </c>
      <c r="H6091">
        <v>15.83732</v>
      </c>
      <c r="I6091">
        <v>391.87</v>
      </c>
      <c r="J6091">
        <v>-188.65710000000001</v>
      </c>
      <c r="K6091">
        <v>1.120536</v>
      </c>
      <c r="L6091">
        <v>14.73218</v>
      </c>
      <c r="M6091">
        <v>5.5126759999999997E-2</v>
      </c>
      <c r="N6091">
        <v>-5.1125149999999998E-3</v>
      </c>
      <c r="O6091">
        <v>0.99846630000000003</v>
      </c>
      <c r="P6091">
        <v>9.9730230000000003E-2</v>
      </c>
      <c r="Q6091">
        <v>0.18519050000000001</v>
      </c>
      <c r="R6091">
        <v>0.97762890000000002</v>
      </c>
      <c r="S6091">
        <v>7.7133179999999996E-2</v>
      </c>
      <c r="T6091">
        <v>0.1184714</v>
      </c>
      <c r="U6091">
        <v>3.03891</v>
      </c>
      <c r="V6091">
        <v>4.5443459999999998E-2</v>
      </c>
      <c r="W6091">
        <v>0.1902643</v>
      </c>
      <c r="X6091">
        <v>0.98068060000000001</v>
      </c>
      <c r="Y6091">
        <v>-2.980176E-2</v>
      </c>
      <c r="Z6091">
        <v>4.3956099999999998E-2</v>
      </c>
      <c r="AA6091">
        <v>0.9985889</v>
      </c>
      <c r="AB6091">
        <v>37</v>
      </c>
      <c r="AC6091">
        <v>9.5617999999999999</v>
      </c>
      <c r="AD6091">
        <v>14.716784000000001</v>
      </c>
      <c r="AE6091">
        <v>377.13781999999998</v>
      </c>
      <c r="AF6091">
        <v>-11.2263139112186</v>
      </c>
      <c r="AG6091">
        <v>14.716784000000001</v>
      </c>
      <c r="AH6091">
        <v>376.518462324052</v>
      </c>
      <c r="AI6091">
        <v>87.762641949004902</v>
      </c>
      <c r="AJ6091">
        <v>91.707830996040101</v>
      </c>
      <c r="AK6091">
        <v>376.97316393372603</v>
      </c>
      <c r="AL6091">
        <v>79.031791441874603</v>
      </c>
      <c r="AM6091">
        <v>87.346886204456993</v>
      </c>
      <c r="AN6091">
        <v>1.00000002556381</v>
      </c>
    </row>
    <row r="6092" spans="1:40" x14ac:dyDescent="0.25">
      <c r="A6092" t="str">
        <f>"20190303171133012"</f>
        <v>20190303171133012</v>
      </c>
      <c r="B6092" t="str">
        <f>"1551604293007125"</f>
        <v>1551604293007125</v>
      </c>
      <c r="C6092" t="s">
        <v>40</v>
      </c>
      <c r="D6092">
        <v>4.5145</v>
      </c>
      <c r="E6092">
        <v>0.46127869999999999</v>
      </c>
      <c r="F6092" t="s">
        <v>109</v>
      </c>
      <c r="G6092">
        <v>-180.7029</v>
      </c>
      <c r="H6092">
        <v>16.056069999999998</v>
      </c>
      <c r="I6092">
        <v>391.87</v>
      </c>
      <c r="J6092">
        <v>-188.63480000000001</v>
      </c>
      <c r="K6092">
        <v>1.1206700000000001</v>
      </c>
      <c r="L6092">
        <v>15.15137</v>
      </c>
      <c r="M6092">
        <v>5.399292E-2</v>
      </c>
      <c r="N6092">
        <v>-5.0731869999999998E-3</v>
      </c>
      <c r="O6092">
        <v>0.99852839999999998</v>
      </c>
      <c r="P6092">
        <v>9.6000340000000003E-2</v>
      </c>
      <c r="Q6092">
        <v>0.1866823</v>
      </c>
      <c r="R6092">
        <v>0.97771859999999999</v>
      </c>
      <c r="S6092">
        <v>6.410217E-2</v>
      </c>
      <c r="T6092">
        <v>0.1203636</v>
      </c>
      <c r="U6092">
        <v>3.039307</v>
      </c>
      <c r="V6092">
        <v>4.2765200000000003E-2</v>
      </c>
      <c r="W6092">
        <v>0.19172700000000001</v>
      </c>
      <c r="X6092">
        <v>0.9805161</v>
      </c>
      <c r="Y6092">
        <v>-3.2949840000000001E-2</v>
      </c>
      <c r="Z6092">
        <v>4.4535459999999999E-2</v>
      </c>
      <c r="AA6092">
        <v>0.99846429999999997</v>
      </c>
      <c r="AB6092">
        <v>37</v>
      </c>
      <c r="AC6092">
        <v>7.9319000000000104</v>
      </c>
      <c r="AD6092">
        <v>14.9354</v>
      </c>
      <c r="AE6092">
        <v>376.718629999999</v>
      </c>
      <c r="AF6092">
        <v>-12.400588940857601</v>
      </c>
      <c r="AG6092">
        <v>14.9354</v>
      </c>
      <c r="AH6092">
        <v>376.00662688533902</v>
      </c>
      <c r="AI6092">
        <v>87.726578640115406</v>
      </c>
      <c r="AJ6092">
        <v>91.8889134713244</v>
      </c>
      <c r="AK6092">
        <v>376.50740263762498</v>
      </c>
      <c r="AL6092">
        <v>78.946412466552999</v>
      </c>
      <c r="AM6092">
        <v>87.502627897424404</v>
      </c>
      <c r="AN6092">
        <v>0.99999996360962395</v>
      </c>
    </row>
    <row r="6093" spans="1:40" x14ac:dyDescent="0.25">
      <c r="A6093" t="str">
        <f>"20190303171133033"</f>
        <v>20190303171133033</v>
      </c>
      <c r="B6093" t="str">
        <f>"1551604293026645"</f>
        <v>1551604293026645</v>
      </c>
      <c r="C6093" t="s">
        <v>40</v>
      </c>
      <c r="D6093">
        <v>4.5091900000000003</v>
      </c>
      <c r="E6093">
        <v>0.46075890000000003</v>
      </c>
      <c r="F6093" t="s">
        <v>109</v>
      </c>
      <c r="G6093">
        <v>-195.13239999999999</v>
      </c>
      <c r="H6093">
        <v>8.0439050000000005</v>
      </c>
      <c r="I6093">
        <v>391.87</v>
      </c>
      <c r="J6093">
        <v>-188.61660000000001</v>
      </c>
      <c r="K6093">
        <v>1.120763</v>
      </c>
      <c r="L6093">
        <v>15.50076</v>
      </c>
      <c r="M6093">
        <v>5.299661E-2</v>
      </c>
      <c r="N6093">
        <v>-5.0459009999999898E-3</v>
      </c>
      <c r="O6093">
        <v>0.99858190000000002</v>
      </c>
      <c r="P6093">
        <v>9.4309359999999995E-2</v>
      </c>
      <c r="Q6093">
        <v>0.1877279</v>
      </c>
      <c r="R6093">
        <v>0.97768290000000002</v>
      </c>
      <c r="S6093">
        <v>-5.282593E-2</v>
      </c>
      <c r="T6093">
        <v>5.6287410000000003E-2</v>
      </c>
      <c r="U6093">
        <v>3.062805</v>
      </c>
      <c r="V6093">
        <v>4.2013740000000001E-2</v>
      </c>
      <c r="W6093">
        <v>0.1927536</v>
      </c>
      <c r="X6093">
        <v>0.98034730000000003</v>
      </c>
      <c r="Y6093">
        <v>-7.0207809999999995E-2</v>
      </c>
      <c r="Z6093">
        <v>2.3358980000000001E-2</v>
      </c>
      <c r="AA6093">
        <v>0.9972588</v>
      </c>
      <c r="AB6093">
        <v>37</v>
      </c>
      <c r="AC6093">
        <v>-6.5157999999999801</v>
      </c>
      <c r="AD6093">
        <v>6.9231419999999897</v>
      </c>
      <c r="AE6093">
        <v>376.36923999999999</v>
      </c>
      <c r="AF6093">
        <v>-26.444246713488901</v>
      </c>
      <c r="AG6093">
        <v>6.9231419999999897</v>
      </c>
      <c r="AH6093">
        <v>375.36802089330303</v>
      </c>
      <c r="AI6093">
        <v>88.945990409902194</v>
      </c>
      <c r="AJ6093">
        <v>94.029764149328699</v>
      </c>
      <c r="AK6093">
        <v>376.362032076498</v>
      </c>
      <c r="AL6093">
        <v>78.886474680954606</v>
      </c>
      <c r="AM6093">
        <v>87.546035079922703</v>
      </c>
      <c r="AN6093">
        <v>0.99999996663951796</v>
      </c>
    </row>
    <row r="6094" spans="1:40" x14ac:dyDescent="0.25">
      <c r="A6094" t="str">
        <f>"20190303171133054"</f>
        <v>20190303171133054</v>
      </c>
      <c r="B6094" t="str">
        <f>"1551604293047142"</f>
        <v>1551604293047142</v>
      </c>
      <c r="C6094" t="s">
        <v>40</v>
      </c>
      <c r="D6094">
        <v>4.5159750000000001</v>
      </c>
      <c r="E6094">
        <v>0.4602522</v>
      </c>
      <c r="F6094" t="s">
        <v>109</v>
      </c>
      <c r="G6094">
        <v>-196.29599999999999</v>
      </c>
      <c r="H6094">
        <v>7.49431799999999</v>
      </c>
      <c r="I6094">
        <v>390.11860000000001</v>
      </c>
      <c r="J6094">
        <v>-188.5985</v>
      </c>
      <c r="K6094">
        <v>1.12083</v>
      </c>
      <c r="L6094">
        <v>15.8570299999999</v>
      </c>
      <c r="M6094">
        <v>5.1954239999999999E-2</v>
      </c>
      <c r="N6094">
        <v>-5.0225209999999899E-3</v>
      </c>
      <c r="O6094">
        <v>0.99863679999999999</v>
      </c>
      <c r="P6094">
        <v>9.3323039999999996E-2</v>
      </c>
      <c r="Q6094">
        <v>0.18835170000000001</v>
      </c>
      <c r="R6094">
        <v>0.97765760000000002</v>
      </c>
      <c r="S6094">
        <v>-6.2820429999999997E-2</v>
      </c>
      <c r="T6094">
        <v>5.2138570000000002E-2</v>
      </c>
      <c r="U6094">
        <v>3.0645449999999999</v>
      </c>
      <c r="V6094">
        <v>4.2017440000000003E-2</v>
      </c>
      <c r="W6094">
        <v>0.19336139999999999</v>
      </c>
      <c r="X6094">
        <v>0.98022750000000003</v>
      </c>
      <c r="Y6094">
        <v>-7.2408330000000007E-2</v>
      </c>
      <c r="Z6094">
        <v>2.1976699999999998E-2</v>
      </c>
      <c r="AA6094">
        <v>0.99713289999999999</v>
      </c>
      <c r="AB6094">
        <v>37</v>
      </c>
      <c r="AC6094">
        <v>-7.69749999999999</v>
      </c>
      <c r="AD6094">
        <v>6.3734879999999903</v>
      </c>
      <c r="AE6094">
        <v>374.26157000000001</v>
      </c>
      <c r="AF6094">
        <v>-27.123962670141399</v>
      </c>
      <c r="AG6094">
        <v>6.3734879999999903</v>
      </c>
      <c r="AH6094">
        <v>373.24798398393398</v>
      </c>
      <c r="AI6094">
        <v>89.024299278727895</v>
      </c>
      <c r="AJ6094">
        <v>94.156382896544002</v>
      </c>
      <c r="AK6094">
        <v>374.28650556530698</v>
      </c>
      <c r="AL6094">
        <v>78.8509832556296</v>
      </c>
      <c r="AM6094">
        <v>87.545519657580101</v>
      </c>
      <c r="AN6094">
        <v>1.0000000240151801</v>
      </c>
    </row>
    <row r="6095" spans="1:40" x14ac:dyDescent="0.25">
      <c r="A6095" t="str">
        <f>"20190303171133078"</f>
        <v>20190303171133078</v>
      </c>
      <c r="B6095" t="str">
        <f>"1551604293066661"</f>
        <v>1551604293066661</v>
      </c>
      <c r="C6095" t="s">
        <v>40</v>
      </c>
      <c r="D6095">
        <v>4.5292599999999998</v>
      </c>
      <c r="E6095">
        <v>0.45983659999999998</v>
      </c>
      <c r="F6095" t="s">
        <v>109</v>
      </c>
      <c r="G6095">
        <v>-197.0943</v>
      </c>
      <c r="H6095">
        <v>7.4593089999999904</v>
      </c>
      <c r="I6095">
        <v>390.11860000000001</v>
      </c>
      <c r="J6095">
        <v>-188.5795</v>
      </c>
      <c r="K6095">
        <v>1.1208899999999999</v>
      </c>
      <c r="L6095">
        <v>16.237850000000002</v>
      </c>
      <c r="M6095">
        <v>5.0823880000000002E-2</v>
      </c>
      <c r="N6095">
        <v>-5.0022820000000003E-3</v>
      </c>
      <c r="O6095">
        <v>0.99869509999999995</v>
      </c>
      <c r="P6095">
        <v>9.2471910000000004E-2</v>
      </c>
      <c r="Q6095">
        <v>0.18878120000000001</v>
      </c>
      <c r="R6095">
        <v>0.97765559999999996</v>
      </c>
      <c r="S6095">
        <v>-6.9580080000000002E-2</v>
      </c>
      <c r="T6095">
        <v>5.1911829999999999E-2</v>
      </c>
      <c r="U6095">
        <v>3.0651860000000002</v>
      </c>
      <c r="V6095">
        <v>4.2246039999999999E-2</v>
      </c>
      <c r="W6095">
        <v>0.1937778</v>
      </c>
      <c r="X6095">
        <v>0.98013539999999999</v>
      </c>
      <c r="Y6095">
        <v>-7.3473120000000003E-2</v>
      </c>
      <c r="Z6095">
        <v>2.1879869999999999E-2</v>
      </c>
      <c r="AA6095">
        <v>0.99705710000000003</v>
      </c>
      <c r="AB6095">
        <v>37</v>
      </c>
      <c r="AC6095">
        <v>-8.5147999999999993</v>
      </c>
      <c r="AD6095">
        <v>6.3384189999999903</v>
      </c>
      <c r="AE6095">
        <v>373.88074999999998</v>
      </c>
      <c r="AF6095">
        <v>-27.498204607806699</v>
      </c>
      <c r="AG6095">
        <v>6.3384189999999903</v>
      </c>
      <c r="AH6095">
        <v>372.85767965937401</v>
      </c>
      <c r="AI6095">
        <v>89.028727688344901</v>
      </c>
      <c r="AJ6095">
        <v>94.217920078835604</v>
      </c>
      <c r="AK6095">
        <v>373.92402449300403</v>
      </c>
      <c r="AL6095">
        <v>78.826664893821501</v>
      </c>
      <c r="AM6095">
        <v>87.5319506759582</v>
      </c>
      <c r="AN6095">
        <v>0.99999998300084003</v>
      </c>
    </row>
    <row r="6096" spans="1:40" x14ac:dyDescent="0.25">
      <c r="A6096" t="str">
        <f>"20190303171133100"</f>
        <v>20190303171133100</v>
      </c>
      <c r="B6096" t="str">
        <f>"1551604293096918"</f>
        <v>1551604293096918</v>
      </c>
      <c r="C6096" t="s">
        <v>40</v>
      </c>
      <c r="D6096">
        <v>4.5247489999999999</v>
      </c>
      <c r="E6096">
        <v>0.45974979999999999</v>
      </c>
      <c r="F6096" t="s">
        <v>109</v>
      </c>
      <c r="G6096">
        <v>-197.7176</v>
      </c>
      <c r="H6096">
        <v>7.2388649999999997</v>
      </c>
      <c r="I6096">
        <v>390.11860000000001</v>
      </c>
      <c r="J6096">
        <v>-188.5615</v>
      </c>
      <c r="K6096">
        <v>1.1209389999999999</v>
      </c>
      <c r="L6096">
        <v>16.60876</v>
      </c>
      <c r="M6096">
        <v>4.9716099999999999E-2</v>
      </c>
      <c r="N6096">
        <v>-4.986898E-3</v>
      </c>
      <c r="O6096">
        <v>0.9987509</v>
      </c>
      <c r="P6096">
        <v>9.2035459999999999E-2</v>
      </c>
      <c r="Q6096">
        <v>0.1891755</v>
      </c>
      <c r="R6096">
        <v>0.97762059999999995</v>
      </c>
      <c r="S6096">
        <v>-7.4935909999999994E-2</v>
      </c>
      <c r="T6096">
        <v>5.0169940000000003E-2</v>
      </c>
      <c r="U6096">
        <v>3.065979</v>
      </c>
      <c r="V6096">
        <v>4.2874669999999997E-2</v>
      </c>
      <c r="W6096">
        <v>0.19416369999999999</v>
      </c>
      <c r="X6096">
        <v>0.98003169999999995</v>
      </c>
      <c r="Y6096">
        <v>-7.4102029999999999E-2</v>
      </c>
      <c r="Z6096">
        <v>2.1295020000000001E-2</v>
      </c>
      <c r="AA6096">
        <v>0.99702329999999995</v>
      </c>
      <c r="AB6096">
        <v>37</v>
      </c>
      <c r="AC6096">
        <v>-9.1561000000000092</v>
      </c>
      <c r="AD6096">
        <v>6.1179259999999998</v>
      </c>
      <c r="AE6096">
        <v>373.50984</v>
      </c>
      <c r="AF6096">
        <v>-27.707032347180998</v>
      </c>
      <c r="AG6096">
        <v>6.1179259999999998</v>
      </c>
      <c r="AH6096">
        <v>372.49285518261502</v>
      </c>
      <c r="AI6096">
        <v>89.061634667278398</v>
      </c>
      <c r="AJ6096">
        <v>94.253982096385698</v>
      </c>
      <c r="AK6096">
        <v>373.571995500367</v>
      </c>
      <c r="AL6096">
        <v>78.804126083051301</v>
      </c>
      <c r="AM6096">
        <v>87.495007315000507</v>
      </c>
      <c r="AN6096">
        <v>0.99999995636509298</v>
      </c>
    </row>
    <row r="6097" spans="1:40" x14ac:dyDescent="0.25">
      <c r="A6097" t="str">
        <f>"20190303171133132"</f>
        <v>20190303171133132</v>
      </c>
      <c r="B6097" t="str">
        <f>"1551604293127174"</f>
        <v>1551604293127174</v>
      </c>
      <c r="C6097" t="s">
        <v>40</v>
      </c>
      <c r="D6097">
        <v>4.5614600000000003</v>
      </c>
      <c r="E6097">
        <v>0.46026099999999998</v>
      </c>
      <c r="F6097" t="s">
        <v>109</v>
      </c>
      <c r="G6097">
        <v>-197.88390000000001</v>
      </c>
      <c r="H6097">
        <v>6.9937519999999997</v>
      </c>
      <c r="I6097">
        <v>390.11860000000001</v>
      </c>
      <c r="J6097">
        <v>-188.5359</v>
      </c>
      <c r="K6097">
        <v>1.1209769999999999</v>
      </c>
      <c r="L6097">
        <v>17.14996</v>
      </c>
      <c r="M6097">
        <v>4.8098229999999999E-2</v>
      </c>
      <c r="N6097">
        <v>-4.970576E-3</v>
      </c>
      <c r="O6097">
        <v>0.99883029999999995</v>
      </c>
      <c r="P6097">
        <v>9.1922809999999994E-2</v>
      </c>
      <c r="Q6097">
        <v>0.18849289999999999</v>
      </c>
      <c r="R6097">
        <v>0.9777631</v>
      </c>
      <c r="S6097">
        <v>-7.6538090000000003E-2</v>
      </c>
      <c r="T6097">
        <v>4.8216460000000003E-2</v>
      </c>
      <c r="U6097">
        <v>3.0665589999999998</v>
      </c>
      <c r="V6097">
        <v>4.4317420000000003E-2</v>
      </c>
      <c r="W6097">
        <v>0.1934756</v>
      </c>
      <c r="X6097">
        <v>0.98010370000000002</v>
      </c>
      <c r="Y6097">
        <v>-7.3002780000000003E-2</v>
      </c>
      <c r="Z6097">
        <v>2.0643410000000001E-2</v>
      </c>
      <c r="AA6097">
        <v>0.99711810000000001</v>
      </c>
      <c r="AB6097">
        <v>38</v>
      </c>
      <c r="AC6097">
        <v>-9.3480000000000096</v>
      </c>
      <c r="AD6097">
        <v>5.8727749999999999</v>
      </c>
      <c r="AE6097">
        <v>372.96863999999999</v>
      </c>
      <c r="AF6097">
        <v>-27.269775515884099</v>
      </c>
      <c r="AG6097">
        <v>5.8727749999999999</v>
      </c>
      <c r="AH6097">
        <v>371.99515793554599</v>
      </c>
      <c r="AI6097">
        <v>89.097953297513698</v>
      </c>
      <c r="AJ6097">
        <v>94.192670802883796</v>
      </c>
      <c r="AK6097">
        <v>373.03957922770002</v>
      </c>
      <c r="AL6097">
        <v>78.844314458193907</v>
      </c>
      <c r="AM6097">
        <v>87.411016091063004</v>
      </c>
      <c r="AN6097">
        <v>1.0000000521322501</v>
      </c>
    </row>
    <row r="6098" spans="1:40" x14ac:dyDescent="0.25">
      <c r="A6098" t="str">
        <f>"20190303171133154"</f>
        <v>20190303171133154</v>
      </c>
      <c r="B6098" t="str">
        <f>"1551604293146694"</f>
        <v>1551604293146694</v>
      </c>
      <c r="C6098" t="s">
        <v>40</v>
      </c>
      <c r="D6098">
        <v>4.5614239999999997</v>
      </c>
      <c r="E6098">
        <v>0.46029959999999998</v>
      </c>
      <c r="F6098" t="s">
        <v>109</v>
      </c>
      <c r="G6098">
        <v>-197.45859999999999</v>
      </c>
      <c r="H6098">
        <v>6.084657</v>
      </c>
      <c r="I6098">
        <v>390.11860000000001</v>
      </c>
      <c r="J6098">
        <v>-188.51849999999999</v>
      </c>
      <c r="K6098">
        <v>1.1210020000000001</v>
      </c>
      <c r="L6098">
        <v>17.529329999999899</v>
      </c>
      <c r="M6098">
        <v>4.6965350000000003E-2</v>
      </c>
      <c r="N6098">
        <v>-4.9627819999999998E-3</v>
      </c>
      <c r="O6098">
        <v>0.9988842</v>
      </c>
      <c r="P6098">
        <v>9.1326749999999998E-2</v>
      </c>
      <c r="Q6098">
        <v>0.1879874</v>
      </c>
      <c r="R6098">
        <v>0.97791620000000001</v>
      </c>
      <c r="S6098">
        <v>-7.3379520000000004E-2</v>
      </c>
      <c r="T6098">
        <v>4.0820839999999997E-2</v>
      </c>
      <c r="U6098">
        <v>3.0672609999999998</v>
      </c>
      <c r="V6098">
        <v>4.4812999999999999E-2</v>
      </c>
      <c r="W6098">
        <v>0.19296749999999999</v>
      </c>
      <c r="X6098">
        <v>0.98018130000000003</v>
      </c>
      <c r="Y6098">
        <v>-7.0840210000000001E-2</v>
      </c>
      <c r="Z6098">
        <v>1.8231710000000002E-2</v>
      </c>
      <c r="AA6098">
        <v>0.99732109999999996</v>
      </c>
      <c r="AB6098">
        <v>38</v>
      </c>
      <c r="AC6098">
        <v>-8.9400999999999993</v>
      </c>
      <c r="AD6098">
        <v>4.9636550000000002</v>
      </c>
      <c r="AE6098">
        <v>372.58927</v>
      </c>
      <c r="AF6098">
        <v>-26.424548278244</v>
      </c>
      <c r="AG6098">
        <v>4.9636550000000002</v>
      </c>
      <c r="AH6098">
        <v>371.69230570573501</v>
      </c>
      <c r="AI6098">
        <v>89.236831854878204</v>
      </c>
      <c r="AJ6098">
        <v>94.066460591380803</v>
      </c>
      <c r="AK6098">
        <v>372.663473852099</v>
      </c>
      <c r="AL6098">
        <v>78.873985239134797</v>
      </c>
      <c r="AM6098">
        <v>87.382311774694898</v>
      </c>
      <c r="AN6098">
        <v>1.00000002094747</v>
      </c>
    </row>
    <row r="6099" spans="1:40" x14ac:dyDescent="0.25">
      <c r="A6099" t="str">
        <f>"20190303171133176"</f>
        <v>20190303171133176</v>
      </c>
      <c r="B6099" t="str">
        <f>"1551604293167189"</f>
        <v>1551604293167189</v>
      </c>
      <c r="C6099" t="s">
        <v>40</v>
      </c>
      <c r="D6099">
        <v>4.5813189999999997</v>
      </c>
      <c r="E6099">
        <v>0.46037479999999997</v>
      </c>
      <c r="F6099" t="s">
        <v>109</v>
      </c>
      <c r="G6099">
        <v>-197.77709999999999</v>
      </c>
      <c r="H6099">
        <v>5.8355889999999997</v>
      </c>
      <c r="I6099">
        <v>391.87</v>
      </c>
      <c r="J6099">
        <v>-188.50139999999999</v>
      </c>
      <c r="K6099">
        <v>1.1210249999999999</v>
      </c>
      <c r="L6099">
        <v>17.911189999999898</v>
      </c>
      <c r="M6099">
        <v>4.5826640000000002E-2</v>
      </c>
      <c r="N6099">
        <v>-4.9576530000000002E-3</v>
      </c>
      <c r="O6099">
        <v>0.99893710000000002</v>
      </c>
      <c r="P6099">
        <v>9.0257909999999997E-2</v>
      </c>
      <c r="Q6099">
        <v>0.1875773</v>
      </c>
      <c r="R6099">
        <v>0.97809420000000002</v>
      </c>
      <c r="S6099">
        <v>-7.5866699999999995E-2</v>
      </c>
      <c r="T6099">
        <v>3.8632149999999997E-2</v>
      </c>
      <c r="U6099">
        <v>3.0674130000000002</v>
      </c>
      <c r="V6099">
        <v>4.4843569999999999E-2</v>
      </c>
      <c r="W6099">
        <v>0.1925557</v>
      </c>
      <c r="X6099">
        <v>0.98026080000000004</v>
      </c>
      <c r="Y6099">
        <v>-7.0510310000000007E-2</v>
      </c>
      <c r="Z6099">
        <v>1.7515849999999999E-2</v>
      </c>
      <c r="AA6099">
        <v>0.99735720000000005</v>
      </c>
      <c r="AB6099">
        <v>38</v>
      </c>
      <c r="AC6099">
        <v>-9.2757000000000005</v>
      </c>
      <c r="AD6099">
        <v>4.7145639999999904</v>
      </c>
      <c r="AE6099">
        <v>373.95881000000003</v>
      </c>
      <c r="AF6099">
        <v>-26.399247903362401</v>
      </c>
      <c r="AG6099">
        <v>4.7145639999999904</v>
      </c>
      <c r="AH6099">
        <v>373.081581238544</v>
      </c>
      <c r="AI6099">
        <v>89.277807755087295</v>
      </c>
      <c r="AJ6099">
        <v>94.047502370679396</v>
      </c>
      <c r="AK6099">
        <v>374.044133309193</v>
      </c>
      <c r="AL6099">
        <v>78.898029683077098</v>
      </c>
      <c r="AM6099">
        <v>87.380740703173203</v>
      </c>
      <c r="AN6099">
        <v>0.999999939694735</v>
      </c>
    </row>
    <row r="6100" spans="1:40" x14ac:dyDescent="0.25">
      <c r="A6100" t="str">
        <f>"20190303171133199"</f>
        <v>20190303171133199</v>
      </c>
      <c r="B6100" t="str">
        <f>"1551604293186709"</f>
        <v>1551604293186709</v>
      </c>
      <c r="C6100" t="s">
        <v>40</v>
      </c>
      <c r="D6100">
        <v>4.6177650000000003</v>
      </c>
      <c r="E6100">
        <v>0.46058320000000003</v>
      </c>
      <c r="F6100" t="s">
        <v>109</v>
      </c>
      <c r="G6100">
        <v>-198.06479999999999</v>
      </c>
      <c r="H6100">
        <v>5.5313929999999996</v>
      </c>
      <c r="I6100">
        <v>391.87</v>
      </c>
      <c r="J6100">
        <v>-188.4846</v>
      </c>
      <c r="K6100">
        <v>1.121046</v>
      </c>
      <c r="L6100">
        <v>18.29645</v>
      </c>
      <c r="M6100">
        <v>4.4679160000000002E-2</v>
      </c>
      <c r="N6100">
        <v>-4.9550660000000002E-3</v>
      </c>
      <c r="O6100">
        <v>0.99898909999999996</v>
      </c>
      <c r="P6100">
        <v>8.9061089999999996E-2</v>
      </c>
      <c r="Q6100">
        <v>0.18760279999999999</v>
      </c>
      <c r="R6100">
        <v>0.97819900000000004</v>
      </c>
      <c r="S6100">
        <v>-7.8445429999999997E-2</v>
      </c>
      <c r="T6100">
        <v>3.6176920000000001E-2</v>
      </c>
      <c r="U6100">
        <v>3.0674739999999998</v>
      </c>
      <c r="V6100">
        <v>4.4759599999999997E-2</v>
      </c>
      <c r="W6100">
        <v>0.192581</v>
      </c>
      <c r="X6100">
        <v>0.98025969999999996</v>
      </c>
      <c r="Y6100">
        <v>-7.0202139999999996E-2</v>
      </c>
      <c r="Z6100">
        <v>1.6716169999999999E-2</v>
      </c>
      <c r="AA6100">
        <v>0.99739270000000002</v>
      </c>
      <c r="AB6100">
        <v>38</v>
      </c>
      <c r="AC6100">
        <v>-9.5801999999999907</v>
      </c>
      <c r="AD6100">
        <v>4.4103469999999998</v>
      </c>
      <c r="AE6100">
        <v>373.57355000000001</v>
      </c>
      <c r="AF6100">
        <v>-26.258132770486</v>
      </c>
      <c r="AG6100">
        <v>4.4103469999999998</v>
      </c>
      <c r="AH6100">
        <v>372.72053037101199</v>
      </c>
      <c r="AI6100">
        <v>89.323735123760997</v>
      </c>
      <c r="AJ6100">
        <v>94.029825140498801</v>
      </c>
      <c r="AK6100">
        <v>373.670355336493</v>
      </c>
      <c r="AL6100">
        <v>78.8965528077443</v>
      </c>
      <c r="AM6100">
        <v>87.385635549631999</v>
      </c>
      <c r="AN6100">
        <v>0.99999997139862395</v>
      </c>
    </row>
    <row r="6101" spans="1:40" x14ac:dyDescent="0.25">
      <c r="A6101" t="str">
        <f>"20190303171133223"</f>
        <v>20190303171133223</v>
      </c>
      <c r="B6101" t="str">
        <f>"1551604293216966"</f>
        <v>1551604293216966</v>
      </c>
      <c r="C6101" t="s">
        <v>40</v>
      </c>
      <c r="D6101">
        <v>4.5723089999999997</v>
      </c>
      <c r="E6101">
        <v>0.46075519999999998</v>
      </c>
      <c r="F6101" t="s">
        <v>109</v>
      </c>
      <c r="G6101">
        <v>-198.26410000000001</v>
      </c>
      <c r="H6101">
        <v>5.2143769999999998</v>
      </c>
      <c r="I6101">
        <v>391.87</v>
      </c>
      <c r="J6101">
        <v>-188.4675</v>
      </c>
      <c r="K6101">
        <v>1.121062</v>
      </c>
      <c r="L6101">
        <v>18.70044</v>
      </c>
      <c r="M6101">
        <v>4.3477160000000001E-2</v>
      </c>
      <c r="N6101">
        <v>-4.9546900000000003E-3</v>
      </c>
      <c r="O6101">
        <v>0.99904219999999999</v>
      </c>
      <c r="P6101">
        <v>8.8670319999999997E-2</v>
      </c>
      <c r="Q6101">
        <v>0.1889808</v>
      </c>
      <c r="R6101">
        <v>0.97796919999999998</v>
      </c>
      <c r="S6101">
        <v>-8.0307009999999998E-2</v>
      </c>
      <c r="T6101">
        <v>3.361368E-2</v>
      </c>
      <c r="U6101">
        <v>3.0677189999999999</v>
      </c>
      <c r="V6101">
        <v>4.5546799999999998E-2</v>
      </c>
      <c r="W6101">
        <v>0.1939611</v>
      </c>
      <c r="X6101">
        <v>0.97995129999999997</v>
      </c>
      <c r="Y6101">
        <v>-6.9604920000000001E-2</v>
      </c>
      <c r="Z6101">
        <v>1.5882940000000002E-2</v>
      </c>
      <c r="AA6101">
        <v>0.99744820000000001</v>
      </c>
      <c r="AB6101">
        <v>38</v>
      </c>
      <c r="AC6101">
        <v>-9.7966000000000104</v>
      </c>
      <c r="AD6101">
        <v>4.0933149999999996</v>
      </c>
      <c r="AE6101">
        <v>373.16955999999999</v>
      </c>
      <c r="AF6101">
        <v>-26.008759860764499</v>
      </c>
      <c r="AG6101">
        <v>4.0933149999999996</v>
      </c>
      <c r="AH6101">
        <v>372.34598679200798</v>
      </c>
      <c r="AI6101">
        <v>89.371685921807099</v>
      </c>
      <c r="AJ6101">
        <v>93.995680523393304</v>
      </c>
      <c r="AK6101">
        <v>373.27569529410601</v>
      </c>
      <c r="AL6101">
        <v>78.815959487583896</v>
      </c>
      <c r="AM6101">
        <v>87.3388854399427</v>
      </c>
      <c r="AN6101">
        <v>0.99999998483756902</v>
      </c>
    </row>
    <row r="6102" spans="1:40" x14ac:dyDescent="0.25">
      <c r="A6102" t="str">
        <f>"20190303171133246"</f>
        <v>20190303171133246</v>
      </c>
      <c r="B6102" t="str">
        <f>"1551604293236486"</f>
        <v>1551604293236486</v>
      </c>
      <c r="C6102" t="s">
        <v>40</v>
      </c>
      <c r="D6102">
        <v>4.637499</v>
      </c>
      <c r="E6102">
        <v>0.46114569999999999</v>
      </c>
      <c r="F6102" t="s">
        <v>109</v>
      </c>
      <c r="G6102">
        <v>-198.2902</v>
      </c>
      <c r="H6102">
        <v>5.644158</v>
      </c>
      <c r="I6102">
        <v>391.87</v>
      </c>
      <c r="J6102">
        <v>-188.45140000000001</v>
      </c>
      <c r="K6102">
        <v>1.121073</v>
      </c>
      <c r="L6102">
        <v>19.09198</v>
      </c>
      <c r="M6102">
        <v>4.2312870000000002E-2</v>
      </c>
      <c r="N6102">
        <v>-4.9561179999999998E-3</v>
      </c>
      <c r="O6102">
        <v>0.99909210000000004</v>
      </c>
      <c r="P6102">
        <v>8.8083369999999994E-2</v>
      </c>
      <c r="Q6102">
        <v>0.18987709999999999</v>
      </c>
      <c r="R6102">
        <v>0.97784859999999896</v>
      </c>
      <c r="S6102">
        <v>-8.0749509999999997E-2</v>
      </c>
      <c r="T6102">
        <v>3.7183050000000002E-2</v>
      </c>
      <c r="U6102">
        <v>3.0677189999999999</v>
      </c>
      <c r="V6102">
        <v>4.609862E-2</v>
      </c>
      <c r="W6102">
        <v>0.19486149999999999</v>
      </c>
      <c r="X6102">
        <v>0.97974689999999998</v>
      </c>
      <c r="Y6102">
        <v>-6.8585770000000004E-2</v>
      </c>
      <c r="Z6102">
        <v>1.7045580000000001E-2</v>
      </c>
      <c r="AA6102">
        <v>0.99749960000000004</v>
      </c>
      <c r="AB6102">
        <v>38</v>
      </c>
      <c r="AC6102">
        <v>-9.8387999999999902</v>
      </c>
      <c r="AD6102">
        <v>4.523085</v>
      </c>
      <c r="AE6102">
        <v>372.77802000000003</v>
      </c>
      <c r="AF6102">
        <v>-25.599723949879699</v>
      </c>
      <c r="AG6102">
        <v>4.523085</v>
      </c>
      <c r="AH6102">
        <v>371.97311831100097</v>
      </c>
      <c r="AI6102">
        <v>89.304978150553495</v>
      </c>
      <c r="AJ6102">
        <v>93.936969947360694</v>
      </c>
      <c r="AK6102">
        <v>372.88041636728201</v>
      </c>
      <c r="AL6102">
        <v>78.763367503232999</v>
      </c>
      <c r="AM6102">
        <v>87.306130963207494</v>
      </c>
      <c r="AN6102">
        <v>1.00000003750388</v>
      </c>
    </row>
    <row r="6103" spans="1:40" x14ac:dyDescent="0.25">
      <c r="A6103" t="str">
        <f>"20190303171133266"</f>
        <v>20190303171133266</v>
      </c>
      <c r="B6103" t="str">
        <f>"1551604293256982"</f>
        <v>1551604293256982</v>
      </c>
      <c r="C6103" t="s">
        <v>40</v>
      </c>
      <c r="D6103">
        <v>4.6243720000000001</v>
      </c>
      <c r="E6103">
        <v>0.46130890000000002</v>
      </c>
      <c r="F6103" t="s">
        <v>109</v>
      </c>
      <c r="G6103">
        <v>-198.16309999999999</v>
      </c>
      <c r="H6103">
        <v>5.9308860000000001</v>
      </c>
      <c r="I6103">
        <v>390.11860000000001</v>
      </c>
      <c r="J6103">
        <v>-188.43700000000001</v>
      </c>
      <c r="K6103">
        <v>1.1210789999999999</v>
      </c>
      <c r="L6103">
        <v>19.449580000000001</v>
      </c>
      <c r="M6103">
        <v>4.1250160000000001E-2</v>
      </c>
      <c r="N6103">
        <v>-4.9586259999999998E-3</v>
      </c>
      <c r="O6103">
        <v>0.99913660000000004</v>
      </c>
      <c r="P6103">
        <v>8.6560410000000004E-2</v>
      </c>
      <c r="Q6103">
        <v>0.1891562</v>
      </c>
      <c r="R6103">
        <v>0.97812429999999995</v>
      </c>
      <c r="S6103">
        <v>-8.0291749999999995E-2</v>
      </c>
      <c r="T6103">
        <v>3.976524E-2</v>
      </c>
      <c r="U6103">
        <v>3.0674739999999998</v>
      </c>
      <c r="V6103">
        <v>4.5604819999999997E-2</v>
      </c>
      <c r="W6103">
        <v>0.1941436</v>
      </c>
      <c r="X6103">
        <v>0.97991249999999996</v>
      </c>
      <c r="Y6103">
        <v>-6.7377660000000006E-2</v>
      </c>
      <c r="Z6103">
        <v>1.7889660000000002E-2</v>
      </c>
      <c r="AA6103">
        <v>0.99756710000000004</v>
      </c>
      <c r="AB6103">
        <v>38</v>
      </c>
      <c r="AC6103">
        <v>-9.7260999999999704</v>
      </c>
      <c r="AD6103">
        <v>4.8098070000000002</v>
      </c>
      <c r="AE6103">
        <v>370.66901999999999</v>
      </c>
      <c r="AF6103">
        <v>-25.003957760333702</v>
      </c>
      <c r="AG6103">
        <v>4.8098070000000002</v>
      </c>
      <c r="AH6103">
        <v>369.89007109369402</v>
      </c>
      <c r="AI6103">
        <v>89.256701524742098</v>
      </c>
      <c r="AJ6103">
        <v>93.867216742203993</v>
      </c>
      <c r="AK6103">
        <v>370.76542023327301</v>
      </c>
      <c r="AL6103">
        <v>78.8053008160134</v>
      </c>
      <c r="AM6103">
        <v>87.335395099350706</v>
      </c>
      <c r="AN6103">
        <v>1.0000000223422201</v>
      </c>
    </row>
    <row r="6104" spans="1:40" x14ac:dyDescent="0.25">
      <c r="A6104" t="str">
        <f>"20190303171133291"</f>
        <v>20190303171133291</v>
      </c>
      <c r="B6104" t="str">
        <f>"1551604293286262"</f>
        <v>1551604293286262</v>
      </c>
      <c r="C6104" t="s">
        <v>40</v>
      </c>
      <c r="D6104">
        <v>4.6354129999999998</v>
      </c>
      <c r="E6104">
        <v>0.46154040000000002</v>
      </c>
      <c r="F6104" t="s">
        <v>109</v>
      </c>
      <c r="G6104">
        <v>-198.57650000000001</v>
      </c>
      <c r="H6104">
        <v>5.591736</v>
      </c>
      <c r="I6104">
        <v>391.87</v>
      </c>
      <c r="J6104">
        <v>-188.4211</v>
      </c>
      <c r="K6104">
        <v>1.121086</v>
      </c>
      <c r="L6104">
        <v>19.857060000000001</v>
      </c>
      <c r="M6104">
        <v>4.0039900000000003E-2</v>
      </c>
      <c r="N6104">
        <v>-4.9627819999999998E-3</v>
      </c>
      <c r="O6104">
        <v>0.99918569999999995</v>
      </c>
      <c r="P6104">
        <v>8.4535260000000001E-2</v>
      </c>
      <c r="Q6104">
        <v>0.18840670000000001</v>
      </c>
      <c r="R6104">
        <v>0.97844609999999999</v>
      </c>
      <c r="S6104">
        <v>-8.3511349999999998E-2</v>
      </c>
      <c r="T6104">
        <v>3.6821479999999997E-2</v>
      </c>
      <c r="U6104">
        <v>3.0673520000000001</v>
      </c>
      <c r="V6104">
        <v>4.4752750000000001E-2</v>
      </c>
      <c r="W6104">
        <v>0.19339790000000001</v>
      </c>
      <c r="X6104">
        <v>0.98009919999999995</v>
      </c>
      <c r="Y6104">
        <v>-6.7216789999999998E-2</v>
      </c>
      <c r="Z6104">
        <v>1.6938209999999999E-2</v>
      </c>
      <c r="AA6104">
        <v>0.9975946</v>
      </c>
      <c r="AB6104">
        <v>39</v>
      </c>
      <c r="AC6104">
        <v>-10.1554</v>
      </c>
      <c r="AD6104">
        <v>4.47065</v>
      </c>
      <c r="AE6104">
        <v>372.01294000000001</v>
      </c>
      <c r="AF6104">
        <v>-25.039187747764799</v>
      </c>
      <c r="AG6104">
        <v>4.47065</v>
      </c>
      <c r="AH6104">
        <v>371.25440601018897</v>
      </c>
      <c r="AI6104">
        <v>89.311640563522204</v>
      </c>
      <c r="AJ6104">
        <v>93.858460334757694</v>
      </c>
      <c r="AK6104">
        <v>372.12468557792403</v>
      </c>
      <c r="AL6104">
        <v>78.848851443556498</v>
      </c>
      <c r="AM6104">
        <v>87.385607630207303</v>
      </c>
      <c r="AN6104">
        <v>0.99999999909880599</v>
      </c>
    </row>
    <row r="6105" spans="1:40" x14ac:dyDescent="0.25">
      <c r="A6105" t="str">
        <f>"20190303171133311"</f>
        <v>20190303171133311</v>
      </c>
      <c r="B6105" t="str">
        <f>"1551604293306759"</f>
        <v>1551604293306759</v>
      </c>
      <c r="C6105" t="s">
        <v>40</v>
      </c>
      <c r="D6105">
        <v>4.6387359999999997</v>
      </c>
      <c r="E6105">
        <v>0.46177820000000003</v>
      </c>
      <c r="F6105" t="s">
        <v>109</v>
      </c>
      <c r="G6105">
        <v>-199.0034</v>
      </c>
      <c r="H6105">
        <v>5.1576129999999996</v>
      </c>
      <c r="I6105">
        <v>391.87</v>
      </c>
      <c r="J6105">
        <v>-188.4076</v>
      </c>
      <c r="K6105">
        <v>1.1210960000000001</v>
      </c>
      <c r="L6105">
        <v>20.214569999999998</v>
      </c>
      <c r="M6105">
        <v>3.8978470000000001E-2</v>
      </c>
      <c r="N6105">
        <v>-4.9675350000000004E-3</v>
      </c>
      <c r="O6105">
        <v>0.99922770000000005</v>
      </c>
      <c r="P6105">
        <v>8.3403499999999894E-2</v>
      </c>
      <c r="Q6105">
        <v>0.18825529999999999</v>
      </c>
      <c r="R6105">
        <v>0.97857229999999995</v>
      </c>
      <c r="S6105">
        <v>-8.7249759999999996E-2</v>
      </c>
      <c r="T6105">
        <v>3.328097E-2</v>
      </c>
      <c r="U6105">
        <v>3.0672299999999999</v>
      </c>
      <c r="V6105">
        <v>4.4654989999999999E-2</v>
      </c>
      <c r="W6105">
        <v>0.19325239999999999</v>
      </c>
      <c r="X6105">
        <v>0.98013229999999996</v>
      </c>
      <c r="Y6105">
        <v>-6.7373310000000006E-2</v>
      </c>
      <c r="Z6105">
        <v>1.5792839999999999E-2</v>
      </c>
      <c r="AA6105">
        <v>0.99760280000000001</v>
      </c>
      <c r="AB6105">
        <v>39</v>
      </c>
      <c r="AC6105">
        <v>-10.595799999999899</v>
      </c>
      <c r="AD6105">
        <v>4.0365169999999999</v>
      </c>
      <c r="AE6105">
        <v>371.655429999999</v>
      </c>
      <c r="AF6105">
        <v>-25.0715313224879</v>
      </c>
      <c r="AG6105">
        <v>4.0365169999999999</v>
      </c>
      <c r="AH6105">
        <v>370.91625303375901</v>
      </c>
      <c r="AI6105">
        <v>89.377919442632404</v>
      </c>
      <c r="AJ6105">
        <v>93.866940783129905</v>
      </c>
      <c r="AK6105">
        <v>371.78453695245298</v>
      </c>
      <c r="AL6105">
        <v>78.857347628540396</v>
      </c>
      <c r="AM6105">
        <v>87.391398709436402</v>
      </c>
      <c r="AN6105">
        <v>0.99999994187047303</v>
      </c>
    </row>
    <row r="6106" spans="1:40" x14ac:dyDescent="0.25">
      <c r="A6106" t="str">
        <f>"20190303171133334"</f>
        <v>20190303171133334</v>
      </c>
      <c r="B6106" t="str">
        <f>"1551604293326278"</f>
        <v>1551604293326278</v>
      </c>
      <c r="C6106" t="s">
        <v>40</v>
      </c>
      <c r="D6106">
        <v>4.639589</v>
      </c>
      <c r="E6106">
        <v>0.46191979999999999</v>
      </c>
      <c r="F6106" t="s">
        <v>109</v>
      </c>
      <c r="G6106">
        <v>-199.15029999999999</v>
      </c>
      <c r="H6106">
        <v>4.9996850000000004</v>
      </c>
      <c r="I6106">
        <v>391.87</v>
      </c>
      <c r="J6106">
        <v>-188.3929</v>
      </c>
      <c r="K6106">
        <v>1.1210979999999999</v>
      </c>
      <c r="L6106">
        <v>20.616209999999999</v>
      </c>
      <c r="M6106">
        <v>3.7786430000000003E-2</v>
      </c>
      <c r="N6106">
        <v>-4.9738400000000002E-3</v>
      </c>
      <c r="O6106">
        <v>0.99927350000000004</v>
      </c>
      <c r="P6106">
        <v>8.3041489999999996E-2</v>
      </c>
      <c r="Q6106">
        <v>0.1888503</v>
      </c>
      <c r="R6106">
        <v>0.97848840000000004</v>
      </c>
      <c r="S6106">
        <v>-8.8653560000000006E-2</v>
      </c>
      <c r="T6106">
        <v>3.2007929999999997E-2</v>
      </c>
      <c r="U6106">
        <v>3.067078</v>
      </c>
      <c r="V6106">
        <v>4.5460510000000003E-2</v>
      </c>
      <c r="W6106">
        <v>0.19385640000000001</v>
      </c>
      <c r="X6106">
        <v>0.97997610000000002</v>
      </c>
      <c r="Y6106">
        <v>-6.66408E-2</v>
      </c>
      <c r="Z6106">
        <v>1.538661E-2</v>
      </c>
      <c r="AA6106">
        <v>0.99765839999999995</v>
      </c>
      <c r="AB6106">
        <v>39</v>
      </c>
      <c r="AC6106">
        <v>-10.757399999999899</v>
      </c>
      <c r="AD6106">
        <v>3.878587</v>
      </c>
      <c r="AE6106">
        <v>371.25378999999998</v>
      </c>
      <c r="AF6106">
        <v>-24.775543721490202</v>
      </c>
      <c r="AG6106">
        <v>3.878587</v>
      </c>
      <c r="AH6106">
        <v>370.54175031177198</v>
      </c>
      <c r="AI6106">
        <v>89.401623398954797</v>
      </c>
      <c r="AJ6106">
        <v>93.825275627525698</v>
      </c>
      <c r="AK6106">
        <v>371.38936404792702</v>
      </c>
      <c r="AL6106">
        <v>78.8220752615495</v>
      </c>
      <c r="AM6106">
        <v>87.343986908058696</v>
      </c>
      <c r="AN6106">
        <v>1.00000005918081</v>
      </c>
    </row>
    <row r="6107" spans="1:40" x14ac:dyDescent="0.25">
      <c r="A6107" t="str">
        <f>"20190303171133355"</f>
        <v>20190303171133355</v>
      </c>
      <c r="B6107" t="str">
        <f>"1551604293346773"</f>
        <v>1551604293346773</v>
      </c>
      <c r="C6107" t="s">
        <v>40</v>
      </c>
      <c r="D6107">
        <v>4.6173339999999996</v>
      </c>
      <c r="E6107">
        <v>0.46203060000000001</v>
      </c>
      <c r="F6107" t="s">
        <v>109</v>
      </c>
      <c r="G6107">
        <v>-199.179</v>
      </c>
      <c r="H6107">
        <v>5.0980569999999998</v>
      </c>
      <c r="I6107">
        <v>391.87</v>
      </c>
      <c r="J6107">
        <v>-188.3793</v>
      </c>
      <c r="K6107">
        <v>1.1210960000000001</v>
      </c>
      <c r="L6107">
        <v>20.995640000000002</v>
      </c>
      <c r="M6107">
        <v>3.6661249999999999E-2</v>
      </c>
      <c r="N6107">
        <v>-4.9806299999999998E-3</v>
      </c>
      <c r="O6107">
        <v>0.99931530000000002</v>
      </c>
      <c r="P6107">
        <v>8.2805229999999994E-2</v>
      </c>
      <c r="Q6107">
        <v>0.1878427</v>
      </c>
      <c r="R6107">
        <v>0.97870239999999997</v>
      </c>
      <c r="S6107">
        <v>-8.9111330000000002E-2</v>
      </c>
      <c r="T6107">
        <v>3.285623E-2</v>
      </c>
      <c r="U6107">
        <v>3.0671689999999998</v>
      </c>
      <c r="V6107">
        <v>4.6319819999999998E-2</v>
      </c>
      <c r="W6107">
        <v>0.19285939999999999</v>
      </c>
      <c r="X6107">
        <v>0.98013249999999996</v>
      </c>
      <c r="Y6107">
        <v>-6.5665109999999999E-2</v>
      </c>
      <c r="Z6107">
        <v>1.5669869999999999E-2</v>
      </c>
      <c r="AA6107">
        <v>0.99771869999999996</v>
      </c>
      <c r="AB6107">
        <v>39</v>
      </c>
      <c r="AC6107">
        <v>-10.7997</v>
      </c>
      <c r="AD6107">
        <v>3.9769610000000002</v>
      </c>
      <c r="AE6107">
        <v>370.87436000000002</v>
      </c>
      <c r="AF6107">
        <v>-24.386524769529899</v>
      </c>
      <c r="AG6107">
        <v>3.9769610000000002</v>
      </c>
      <c r="AH6107">
        <v>370.18656762246002</v>
      </c>
      <c r="AI6107">
        <v>89.3858190229641</v>
      </c>
      <c r="AJ6107">
        <v>93.768988700468796</v>
      </c>
      <c r="AK6107">
        <v>371.01026085167598</v>
      </c>
      <c r="AL6107">
        <v>78.880297199328396</v>
      </c>
      <c r="AM6107">
        <v>87.294287164888502</v>
      </c>
      <c r="AN6107">
        <v>0.99999999572472098</v>
      </c>
    </row>
    <row r="6108" spans="1:40" x14ac:dyDescent="0.25">
      <c r="A6108" t="str">
        <f>"20190303171133378"</f>
        <v>20190303171133378</v>
      </c>
      <c r="B6108" t="str">
        <f>"1551604293366294"</f>
        <v>1551604293366294</v>
      </c>
      <c r="C6108" t="s">
        <v>40</v>
      </c>
      <c r="D6108">
        <v>4.6042500000000004</v>
      </c>
      <c r="E6108">
        <v>0.46226129999999999</v>
      </c>
      <c r="F6108" t="s">
        <v>109</v>
      </c>
      <c r="G6108">
        <v>-199.1044</v>
      </c>
      <c r="H6108">
        <v>4.5941929999999997</v>
      </c>
      <c r="I6108">
        <v>391.87</v>
      </c>
      <c r="J6108">
        <v>-188.36539999999999</v>
      </c>
      <c r="K6108">
        <v>1.1210929999999999</v>
      </c>
      <c r="L6108">
        <v>21.399629999999998</v>
      </c>
      <c r="M6108">
        <v>3.5464120000000002E-2</v>
      </c>
      <c r="N6108">
        <v>-4.9888559999999998E-3</v>
      </c>
      <c r="O6108">
        <v>0.99935850000000004</v>
      </c>
      <c r="P6108">
        <v>8.1914979999999998E-2</v>
      </c>
      <c r="Q6108">
        <v>0.186998</v>
      </c>
      <c r="R6108">
        <v>0.97893909999999995</v>
      </c>
      <c r="S6108">
        <v>-8.8699340000000002E-2</v>
      </c>
      <c r="T6108">
        <v>2.8723720000000001E-2</v>
      </c>
      <c r="U6108">
        <v>3.0672609999999998</v>
      </c>
      <c r="V6108">
        <v>4.6595320000000003E-2</v>
      </c>
      <c r="W6108">
        <v>0.1920251</v>
      </c>
      <c r="X6108">
        <v>0.98028329999999997</v>
      </c>
      <c r="Y6108">
        <v>-6.4335299999999998E-2</v>
      </c>
      <c r="Z6108">
        <v>1.433479E-2</v>
      </c>
      <c r="AA6108">
        <v>0.99782539999999997</v>
      </c>
      <c r="AB6108">
        <v>39</v>
      </c>
      <c r="AC6108">
        <v>-10.739000000000001</v>
      </c>
      <c r="AD6108">
        <v>3.4731000000000001</v>
      </c>
      <c r="AE6108">
        <v>370.47037</v>
      </c>
      <c r="AF6108">
        <v>-23.868717596985999</v>
      </c>
      <c r="AG6108">
        <v>3.4731000000000001</v>
      </c>
      <c r="AH6108">
        <v>369.82399032426503</v>
      </c>
      <c r="AI6108">
        <v>89.463055403645598</v>
      </c>
      <c r="AJ6108">
        <v>93.692790797963099</v>
      </c>
      <c r="AK6108">
        <v>370.60971644399302</v>
      </c>
      <c r="AL6108">
        <v>78.929010258205693</v>
      </c>
      <c r="AM6108">
        <v>87.278636384930905</v>
      </c>
      <c r="AN6108">
        <v>1.00000005556739</v>
      </c>
    </row>
    <row r="6109" spans="1:40" x14ac:dyDescent="0.25">
      <c r="A6109" t="str">
        <f>"20190303171133399"</f>
        <v>20190303171133399</v>
      </c>
      <c r="B6109" t="str">
        <f>"1551604293386790"</f>
        <v>1551604293386790</v>
      </c>
      <c r="C6109" t="s">
        <v>40</v>
      </c>
      <c r="D6109">
        <v>4.6262230000000004</v>
      </c>
      <c r="E6109">
        <v>0.46249990000000002</v>
      </c>
      <c r="F6109" t="s">
        <v>109</v>
      </c>
      <c r="G6109">
        <v>-199.1472</v>
      </c>
      <c r="H6109">
        <v>4.1614430000000002</v>
      </c>
      <c r="I6109">
        <v>391.87</v>
      </c>
      <c r="J6109">
        <v>-188.35310000000001</v>
      </c>
      <c r="K6109">
        <v>1.1210929999999999</v>
      </c>
      <c r="L6109">
        <v>21.771789999999999</v>
      </c>
      <c r="M6109">
        <v>3.4362190000000001E-2</v>
      </c>
      <c r="N6109">
        <v>-4.997034E-3</v>
      </c>
      <c r="O6109">
        <v>0.99939699999999998</v>
      </c>
      <c r="P6109">
        <v>8.1199809999999997E-2</v>
      </c>
      <c r="Q6109">
        <v>0.18661030000000001</v>
      </c>
      <c r="R6109">
        <v>0.97907259999999996</v>
      </c>
      <c r="S6109">
        <v>-8.9263919999999997E-2</v>
      </c>
      <c r="T6109">
        <v>2.5171639999999999E-2</v>
      </c>
      <c r="U6109">
        <v>3.0672000000000001</v>
      </c>
      <c r="V6109">
        <v>4.6955339999999998E-2</v>
      </c>
      <c r="W6109">
        <v>0.1916474</v>
      </c>
      <c r="X6109">
        <v>0.98033990000000004</v>
      </c>
      <c r="Y6109">
        <v>-6.3419299999999998E-2</v>
      </c>
      <c r="Z6109">
        <v>1.3188439999999999E-2</v>
      </c>
      <c r="AA6109">
        <v>0.9978998</v>
      </c>
      <c r="AB6109">
        <v>39</v>
      </c>
      <c r="AC6109">
        <v>-10.794099999999901</v>
      </c>
      <c r="AD6109">
        <v>3.0403500000000001</v>
      </c>
      <c r="AE6109">
        <v>370.09820999999999</v>
      </c>
      <c r="AF6109">
        <v>-23.5036837124218</v>
      </c>
      <c r="AG6109">
        <v>3.0403500000000001</v>
      </c>
      <c r="AH6109">
        <v>369.483814131852</v>
      </c>
      <c r="AI6109">
        <v>89.529495136044602</v>
      </c>
      <c r="AJ6109">
        <v>93.639807204150898</v>
      </c>
      <c r="AK6109">
        <v>370.24310362462802</v>
      </c>
      <c r="AL6109">
        <v>78.951058947621306</v>
      </c>
      <c r="AM6109">
        <v>87.257799759634295</v>
      </c>
      <c r="AN6109">
        <v>0.99999992470663901</v>
      </c>
    </row>
    <row r="6110" spans="1:40" x14ac:dyDescent="0.25">
      <c r="A6110" t="str">
        <f>"20190303171133424"</f>
        <v>20190303171133424</v>
      </c>
      <c r="B6110" t="str">
        <f>"1551604293417046"</f>
        <v>1551604293417046</v>
      </c>
      <c r="C6110" t="s">
        <v>40</v>
      </c>
      <c r="D6110">
        <v>4.6224230000000004</v>
      </c>
      <c r="E6110">
        <v>0.46262340000000002</v>
      </c>
      <c r="F6110" t="s">
        <v>109</v>
      </c>
      <c r="G6110">
        <v>-199.20740000000001</v>
      </c>
      <c r="H6110">
        <v>4.0004470000000003</v>
      </c>
      <c r="I6110">
        <v>391.87</v>
      </c>
      <c r="J6110">
        <v>-188.33940000000001</v>
      </c>
      <c r="K6110">
        <v>1.121084</v>
      </c>
      <c r="L6110">
        <v>22.19885</v>
      </c>
      <c r="M6110">
        <v>3.3099219999999999E-2</v>
      </c>
      <c r="N6110">
        <v>-5.0069379999999998E-3</v>
      </c>
      <c r="O6110">
        <v>0.99943950000000004</v>
      </c>
      <c r="P6110">
        <v>8.0991809999999997E-2</v>
      </c>
      <c r="Q6110">
        <v>0.1856718</v>
      </c>
      <c r="R6110">
        <v>0.97926829999999998</v>
      </c>
      <c r="S6110">
        <v>-8.9950559999999999E-2</v>
      </c>
      <c r="T6110">
        <v>2.3861529999999999E-2</v>
      </c>
      <c r="U6110">
        <v>3.0670470000000001</v>
      </c>
      <c r="V6110">
        <v>4.7979760000000003E-2</v>
      </c>
      <c r="W6110">
        <v>0.190724</v>
      </c>
      <c r="X6110">
        <v>0.98047050000000002</v>
      </c>
      <c r="Y6110">
        <v>-6.2382849999999997E-2</v>
      </c>
      <c r="Z6110">
        <v>1.277321E-2</v>
      </c>
      <c r="AA6110">
        <v>0.99797060000000004</v>
      </c>
      <c r="AB6110">
        <v>39</v>
      </c>
      <c r="AC6110">
        <v>-10.867999999999901</v>
      </c>
      <c r="AD6110">
        <v>2.8793630000000001</v>
      </c>
      <c r="AE6110">
        <v>369.67115000000001</v>
      </c>
      <c r="AF6110">
        <v>-23.0966253842412</v>
      </c>
      <c r="AG6110">
        <v>2.8793630000000001</v>
      </c>
      <c r="AH6110">
        <v>369.08649190554098</v>
      </c>
      <c r="AI6110">
        <v>89.553898749025194</v>
      </c>
      <c r="AJ6110">
        <v>93.580775348814598</v>
      </c>
      <c r="AK6110">
        <v>369.81966327193197</v>
      </c>
      <c r="AL6110">
        <v>79.004961555433596</v>
      </c>
      <c r="AM6110">
        <v>87.198440397394194</v>
      </c>
      <c r="AN6110">
        <v>1.0000000514579499</v>
      </c>
    </row>
    <row r="6111" spans="1:40" x14ac:dyDescent="0.25">
      <c r="A6111" t="str">
        <f>"20190303171133447"</f>
        <v>20190303171133447</v>
      </c>
      <c r="B6111" t="str">
        <f>"1551604293436566"</f>
        <v>1551604293436566</v>
      </c>
      <c r="C6111" t="s">
        <v>40</v>
      </c>
      <c r="D6111">
        <v>4.6914850000000001</v>
      </c>
      <c r="E6111">
        <v>0.4627597</v>
      </c>
      <c r="F6111" t="s">
        <v>109</v>
      </c>
      <c r="G6111">
        <v>-199.1156</v>
      </c>
      <c r="H6111">
        <v>3.6841550000000001</v>
      </c>
      <c r="I6111">
        <v>391.87</v>
      </c>
      <c r="J6111">
        <v>-188.32689999999999</v>
      </c>
      <c r="K6111">
        <v>1.1210800000000001</v>
      </c>
      <c r="L6111">
        <v>22.603909999999999</v>
      </c>
      <c r="M6111">
        <v>3.1904139999999998E-2</v>
      </c>
      <c r="N6111">
        <v>-5.0168030000000002E-3</v>
      </c>
      <c r="O6111">
        <v>0.99947830000000004</v>
      </c>
      <c r="P6111">
        <v>8.0494120000000002E-2</v>
      </c>
      <c r="Q6111">
        <v>0.1841188</v>
      </c>
      <c r="R6111">
        <v>0.97960250000000004</v>
      </c>
      <c r="S6111">
        <v>-8.9401250000000002E-2</v>
      </c>
      <c r="T6111">
        <v>2.126372E-2</v>
      </c>
      <c r="U6111">
        <v>3.0668639999999998</v>
      </c>
      <c r="V6111">
        <v>4.8646410000000001E-2</v>
      </c>
      <c r="W6111">
        <v>0.1891842</v>
      </c>
      <c r="X6111">
        <v>0.98073589999999999</v>
      </c>
      <c r="Y6111">
        <v>-6.1012700000000003E-2</v>
      </c>
      <c r="Z6111">
        <v>1.193891E-2</v>
      </c>
      <c r="AA6111">
        <v>0.9980656</v>
      </c>
      <c r="AB6111">
        <v>40</v>
      </c>
      <c r="AC6111">
        <v>-10.7887</v>
      </c>
      <c r="AD6111">
        <v>2.563075</v>
      </c>
      <c r="AE6111">
        <v>369.266089999999</v>
      </c>
      <c r="AF6111">
        <v>-22.563387368362701</v>
      </c>
      <c r="AG6111">
        <v>2.563075</v>
      </c>
      <c r="AH6111">
        <v>368.71614700707801</v>
      </c>
      <c r="AI6111">
        <v>89.602467010146597</v>
      </c>
      <c r="AJ6111">
        <v>93.501817774278706</v>
      </c>
      <c r="AK6111">
        <v>369.41477077498598</v>
      </c>
      <c r="AL6111">
        <v>79.094821342335905</v>
      </c>
      <c r="AM6111">
        <v>87.160345114311497</v>
      </c>
      <c r="AN6111">
        <v>1.0000000201421599</v>
      </c>
    </row>
    <row r="6112" spans="1:40" x14ac:dyDescent="0.25">
      <c r="A6112" t="str">
        <f>"20190303171133470"</f>
        <v>20190303171133470</v>
      </c>
      <c r="B6112" t="str">
        <f>"1551604293457061"</f>
        <v>1551604293457061</v>
      </c>
      <c r="C6112" t="s">
        <v>40</v>
      </c>
      <c r="D6112">
        <v>4.6202139999999998</v>
      </c>
      <c r="E6112">
        <v>0.46291759999999899</v>
      </c>
      <c r="F6112" t="s">
        <v>109</v>
      </c>
      <c r="G6112">
        <v>-199.16909999999999</v>
      </c>
      <c r="H6112">
        <v>3.1598039999999998</v>
      </c>
      <c r="I6112">
        <v>391.87</v>
      </c>
      <c r="J6112">
        <v>-188.31469999999999</v>
      </c>
      <c r="K6112">
        <v>1.121073</v>
      </c>
      <c r="L6112">
        <v>23.013120000000001</v>
      </c>
      <c r="M6112">
        <v>3.0701800000000001E-2</v>
      </c>
      <c r="N6112">
        <v>-5.0271830000000002E-3</v>
      </c>
      <c r="O6112">
        <v>0.99951599999999996</v>
      </c>
      <c r="P6112">
        <v>7.9645599999999997E-2</v>
      </c>
      <c r="Q6112">
        <v>0.1821266</v>
      </c>
      <c r="R6112">
        <v>0.98004409999999997</v>
      </c>
      <c r="S6112">
        <v>-9.0042109999999995E-2</v>
      </c>
      <c r="T6112">
        <v>1.6931180000000001E-2</v>
      </c>
      <c r="U6112">
        <v>3.066681</v>
      </c>
      <c r="V6112">
        <v>4.896876E-2</v>
      </c>
      <c r="W6112">
        <v>0.18720600000000001</v>
      </c>
      <c r="X6112">
        <v>0.98109939999999995</v>
      </c>
      <c r="Y6112">
        <v>-6.0022350000000002E-2</v>
      </c>
      <c r="Z6112">
        <v>1.054016E-2</v>
      </c>
      <c r="AA6112">
        <v>0.99814139999999996</v>
      </c>
      <c r="AB6112">
        <v>40</v>
      </c>
      <c r="AC6112">
        <v>-10.854399999999901</v>
      </c>
      <c r="AD6112">
        <v>2.0387309999999998</v>
      </c>
      <c r="AE6112">
        <v>368.85687999999999</v>
      </c>
      <c r="AF6112">
        <v>-22.173318839607202</v>
      </c>
      <c r="AG6112">
        <v>2.0387309999999998</v>
      </c>
      <c r="AH6112">
        <v>368.33849566225803</v>
      </c>
      <c r="AI6112">
        <v>89.683447644903296</v>
      </c>
      <c r="AJ6112">
        <v>93.444946200199496</v>
      </c>
      <c r="AK6112">
        <v>369.010921083901</v>
      </c>
      <c r="AL6112">
        <v>79.2102260606801</v>
      </c>
      <c r="AM6112">
        <v>87.142616867322104</v>
      </c>
      <c r="AN6112">
        <v>1.00000002928614</v>
      </c>
    </row>
    <row r="6113" spans="1:40" x14ac:dyDescent="0.25">
      <c r="A6113" t="str">
        <f>"20190303171133491"</f>
        <v>20190303171133491</v>
      </c>
      <c r="B6113" t="str">
        <f>"1551604293476582"</f>
        <v>1551604293476582</v>
      </c>
      <c r="C6113" t="s">
        <v>40</v>
      </c>
      <c r="D6113">
        <v>4.693352</v>
      </c>
      <c r="E6113">
        <v>0.46296229999999999</v>
      </c>
      <c r="F6113" t="s">
        <v>109</v>
      </c>
      <c r="G6113">
        <v>-199.30160000000001</v>
      </c>
      <c r="H6113">
        <v>2.414714</v>
      </c>
      <c r="I6113">
        <v>391.87</v>
      </c>
      <c r="J6113">
        <v>-188.30430000000001</v>
      </c>
      <c r="K6113">
        <v>1.1210610000000001</v>
      </c>
      <c r="L6113">
        <v>23.378170000000001</v>
      </c>
      <c r="M6113">
        <v>2.9634190000000001E-2</v>
      </c>
      <c r="N6113">
        <v>-5.0368119999999999E-3</v>
      </c>
      <c r="O6113">
        <v>0.99954810000000005</v>
      </c>
      <c r="P6113">
        <v>7.865395E-2</v>
      </c>
      <c r="Q6113">
        <v>0.17977899999999999</v>
      </c>
      <c r="R6113">
        <v>0.98055749999999997</v>
      </c>
      <c r="S6113">
        <v>-9.1339110000000001E-2</v>
      </c>
      <c r="T6113">
        <v>1.0754700000000001E-2</v>
      </c>
      <c r="U6113">
        <v>3.0664980000000002</v>
      </c>
      <c r="V6113">
        <v>4.9016299999999999E-2</v>
      </c>
      <c r="W6113">
        <v>0.18487100000000001</v>
      </c>
      <c r="X6113">
        <v>0.98153970000000001</v>
      </c>
      <c r="Y6113">
        <v>-5.9379979999999999E-2</v>
      </c>
      <c r="Z6113">
        <v>8.5399199999999995E-3</v>
      </c>
      <c r="AA6113">
        <v>0.9981989</v>
      </c>
      <c r="AB6113">
        <v>40</v>
      </c>
      <c r="AC6113">
        <v>-10.9972999999999</v>
      </c>
      <c r="AD6113">
        <v>1.2936529999999999</v>
      </c>
      <c r="AE6113">
        <v>368.49182999999999</v>
      </c>
      <c r="AF6113">
        <v>-21.9122958066169</v>
      </c>
      <c r="AG6113">
        <v>1.2936529999999999</v>
      </c>
      <c r="AH6113">
        <v>367.99955660594901</v>
      </c>
      <c r="AI6113">
        <v>89.798941326048805</v>
      </c>
      <c r="AJ6113">
        <v>93.407616699568294</v>
      </c>
      <c r="AK6113">
        <v>368.65362592517101</v>
      </c>
      <c r="AL6113">
        <v>79.346388849149093</v>
      </c>
      <c r="AM6113">
        <v>87.141128338818305</v>
      </c>
      <c r="AN6113">
        <v>1.0000000334913799</v>
      </c>
    </row>
    <row r="6114" spans="1:40" x14ac:dyDescent="0.25">
      <c r="A6114" t="str">
        <f>"20190303171133511"</f>
        <v>20190303171133511</v>
      </c>
      <c r="B6114" t="str">
        <f>"1551604293497079"</f>
        <v>1551604293497079</v>
      </c>
      <c r="C6114" t="s">
        <v>40</v>
      </c>
      <c r="D6114">
        <v>4.6347759999999996</v>
      </c>
      <c r="E6114">
        <v>0.4631131</v>
      </c>
      <c r="F6114" t="s">
        <v>109</v>
      </c>
      <c r="G6114">
        <v>-199.55410000000001</v>
      </c>
      <c r="H6114">
        <v>1.5709229999999901</v>
      </c>
      <c r="I6114">
        <v>391.87</v>
      </c>
      <c r="J6114">
        <v>-188.29390000000001</v>
      </c>
      <c r="K6114">
        <v>1.121054</v>
      </c>
      <c r="L6114">
        <v>23.753879999999999</v>
      </c>
      <c r="M6114">
        <v>2.853957E-2</v>
      </c>
      <c r="N6114">
        <v>-5.0469929999999996E-3</v>
      </c>
      <c r="O6114">
        <v>0.99957989999999997</v>
      </c>
      <c r="P6114">
        <v>7.780745E-2</v>
      </c>
      <c r="Q6114">
        <v>0.179153799999999</v>
      </c>
      <c r="R6114">
        <v>0.98073949999999999</v>
      </c>
      <c r="S6114">
        <v>-9.3612669999999995E-2</v>
      </c>
      <c r="T6114">
        <v>3.74341E-3</v>
      </c>
      <c r="U6114">
        <v>3.0663149999999999</v>
      </c>
      <c r="V6114">
        <v>4.9240899999999997E-2</v>
      </c>
      <c r="W6114">
        <v>0.18425659999999999</v>
      </c>
      <c r="X6114">
        <v>0.98164399999999996</v>
      </c>
      <c r="Y6114">
        <v>-5.9028209999999998E-2</v>
      </c>
      <c r="Z6114">
        <v>6.2678959999999898E-3</v>
      </c>
      <c r="AA6114">
        <v>0.99823669999999998</v>
      </c>
      <c r="AB6114">
        <v>40</v>
      </c>
      <c r="AC6114">
        <v>-11.2601999999999</v>
      </c>
      <c r="AD6114">
        <v>0.44986899999999902</v>
      </c>
      <c r="AE6114">
        <v>368.11612000000002</v>
      </c>
      <c r="AF6114">
        <v>-21.761590536066102</v>
      </c>
      <c r="AG6114">
        <v>0.44986899999999902</v>
      </c>
      <c r="AH6114">
        <v>367.64425511886702</v>
      </c>
      <c r="AI6114">
        <v>89.930012381972602</v>
      </c>
      <c r="AJ6114">
        <v>93.387497942807698</v>
      </c>
      <c r="AK6114">
        <v>368.288022513199</v>
      </c>
      <c r="AL6114">
        <v>79.382206903858005</v>
      </c>
      <c r="AM6114">
        <v>87.128355078454902</v>
      </c>
      <c r="AN6114">
        <v>1.00000005180618</v>
      </c>
    </row>
    <row r="6115" spans="1:40" x14ac:dyDescent="0.25">
      <c r="A6115" t="str">
        <f>"20190303171133534"</f>
        <v>20190303171133534</v>
      </c>
      <c r="B6115" t="str">
        <f>"1551604293526358"</f>
        <v>1551604293526358</v>
      </c>
      <c r="C6115" t="s">
        <v>40</v>
      </c>
      <c r="D6115">
        <v>4.6581099999999998</v>
      </c>
      <c r="E6115">
        <v>0.46315109999999898</v>
      </c>
      <c r="F6115" t="s">
        <v>109</v>
      </c>
      <c r="G6115">
        <v>-199.63399999999999</v>
      </c>
      <c r="H6115">
        <v>1.3332660000000001</v>
      </c>
      <c r="I6115">
        <v>391.87</v>
      </c>
      <c r="J6115">
        <v>-188.28299999999999</v>
      </c>
      <c r="K6115">
        <v>1.1210530000000001</v>
      </c>
      <c r="L6115">
        <v>24.167539999999999</v>
      </c>
      <c r="M6115">
        <v>2.7338350000000001E-2</v>
      </c>
      <c r="N6115">
        <v>-5.0585329999999996E-3</v>
      </c>
      <c r="O6115">
        <v>0.99961350000000004</v>
      </c>
      <c r="P6115">
        <v>7.6408130000000005E-2</v>
      </c>
      <c r="Q6115">
        <v>0.17879990000000001</v>
      </c>
      <c r="R6115">
        <v>0.98091410000000001</v>
      </c>
      <c r="S6115">
        <v>-9.4451900000000005E-2</v>
      </c>
      <c r="T6115">
        <v>1.767516E-3</v>
      </c>
      <c r="U6115">
        <v>3.066071</v>
      </c>
      <c r="V6115">
        <v>4.9017030000000003E-2</v>
      </c>
      <c r="W6115">
        <v>0.18391489999999999</v>
      </c>
      <c r="X6115">
        <v>0.98171920000000001</v>
      </c>
      <c r="Y6115">
        <v>-5.8104000000000003E-2</v>
      </c>
      <c r="Z6115">
        <v>5.6361839999999998E-3</v>
      </c>
      <c r="AA6115">
        <v>0.99829469999999998</v>
      </c>
      <c r="AB6115">
        <v>40</v>
      </c>
      <c r="AC6115">
        <v>-11.351000000000001</v>
      </c>
      <c r="AD6115">
        <v>0.21221300000000001</v>
      </c>
      <c r="AE6115">
        <v>367.70245999999997</v>
      </c>
      <c r="AF6115">
        <v>-21.399256735321799</v>
      </c>
      <c r="AG6115">
        <v>0.21221300000000001</v>
      </c>
      <c r="AH6115">
        <v>367.25457932278698</v>
      </c>
      <c r="AI6115">
        <v>89.966948487079605</v>
      </c>
      <c r="AJ6115">
        <v>93.334750302808501</v>
      </c>
      <c r="AK6115">
        <v>367.87756014296201</v>
      </c>
      <c r="AL6115">
        <v>79.402124434197304</v>
      </c>
      <c r="AM6115">
        <v>87.141607696318999</v>
      </c>
      <c r="AN6115">
        <v>0.999999973660335</v>
      </c>
    </row>
    <row r="6116" spans="1:40" x14ac:dyDescent="0.25">
      <c r="A6116" t="str">
        <f>"20190303171133557"</f>
        <v>20190303171133557</v>
      </c>
      <c r="B6116" t="str">
        <f>"1551604293546854"</f>
        <v>1551604293546854</v>
      </c>
      <c r="C6116" t="s">
        <v>40</v>
      </c>
      <c r="D6116">
        <v>4.6366480000000001</v>
      </c>
      <c r="E6116">
        <v>0.46326289999999998</v>
      </c>
      <c r="F6116" t="s">
        <v>109</v>
      </c>
      <c r="G6116">
        <v>-200.0712</v>
      </c>
      <c r="H6116">
        <v>1.3615349999999999</v>
      </c>
      <c r="I6116">
        <v>391.87</v>
      </c>
      <c r="J6116">
        <v>-188.27250000000001</v>
      </c>
      <c r="K6116">
        <v>1.1210500000000001</v>
      </c>
      <c r="L6116">
        <v>24.585599999999999</v>
      </c>
      <c r="M6116">
        <v>2.612795E-2</v>
      </c>
      <c r="N6116">
        <v>-5.070527E-3</v>
      </c>
      <c r="O6116">
        <v>0.99964580000000003</v>
      </c>
      <c r="P6116">
        <v>7.4366829999999995E-2</v>
      </c>
      <c r="Q6116">
        <v>0.1776546</v>
      </c>
      <c r="R6116">
        <v>0.98127900000000001</v>
      </c>
      <c r="S6116">
        <v>-9.8281859999999999E-2</v>
      </c>
      <c r="T6116">
        <v>2.0049809999999999E-3</v>
      </c>
      <c r="U6116">
        <v>3.065674</v>
      </c>
      <c r="V6116">
        <v>4.8157829999999999E-2</v>
      </c>
      <c r="W6116">
        <v>0.1827801</v>
      </c>
      <c r="X6116">
        <v>0.9819736</v>
      </c>
      <c r="Y6116">
        <v>-5.8145099999999998E-2</v>
      </c>
      <c r="Z6116">
        <v>5.7255960000000003E-3</v>
      </c>
      <c r="AA6116">
        <v>0.9982917</v>
      </c>
      <c r="AB6116">
        <v>40</v>
      </c>
      <c r="AC6116">
        <v>-11.798699999999901</v>
      </c>
      <c r="AD6116">
        <v>0.24048499999999901</v>
      </c>
      <c r="AE6116">
        <v>367.28440000000001</v>
      </c>
      <c r="AF6116">
        <v>-21.391174038055802</v>
      </c>
      <c r="AG6116">
        <v>0.24048499999999901</v>
      </c>
      <c r="AH6116">
        <v>366.85057150334001</v>
      </c>
      <c r="AI6116">
        <v>89.962504055752007</v>
      </c>
      <c r="AJ6116">
        <v>93.337156418926</v>
      </c>
      <c r="AK6116">
        <v>367.47378406096999</v>
      </c>
      <c r="AL6116">
        <v>79.468264601491796</v>
      </c>
      <c r="AM6116">
        <v>87.192356792684294</v>
      </c>
      <c r="AN6116">
        <v>0.99999994632163802</v>
      </c>
    </row>
    <row r="6117" spans="1:40" x14ac:dyDescent="0.25">
      <c r="A6117" t="str">
        <f>"20190303171133580"</f>
        <v>20190303171133580</v>
      </c>
      <c r="B6117" t="str">
        <f>"1551604293566374"</f>
        <v>1551604293566374</v>
      </c>
      <c r="C6117" t="s">
        <v>40</v>
      </c>
      <c r="D6117">
        <v>4.6539339999999996</v>
      </c>
      <c r="E6117">
        <v>0.46332250000000003</v>
      </c>
      <c r="F6117" t="s">
        <v>109</v>
      </c>
      <c r="G6117">
        <v>-200.703</v>
      </c>
      <c r="H6117">
        <v>0.96726129999999999</v>
      </c>
      <c r="I6117">
        <v>391.87</v>
      </c>
      <c r="J6117">
        <v>-188.2627</v>
      </c>
      <c r="K6117">
        <v>1.121041</v>
      </c>
      <c r="L6117">
        <v>24.9939</v>
      </c>
      <c r="M6117">
        <v>2.494915E-2</v>
      </c>
      <c r="N6117">
        <v>-5.0824210000000002E-3</v>
      </c>
      <c r="O6117">
        <v>0.9996758</v>
      </c>
      <c r="P6117">
        <v>7.2090029999999999E-2</v>
      </c>
      <c r="Q6117">
        <v>0.17707800000000001</v>
      </c>
      <c r="R6117">
        <v>0.98155309999999996</v>
      </c>
      <c r="S6117">
        <v>-0.1037445</v>
      </c>
      <c r="T6117">
        <v>-1.2835259999999999E-3</v>
      </c>
      <c r="U6117">
        <v>3.0653380000000001</v>
      </c>
      <c r="V6117">
        <v>4.7033039999999998E-2</v>
      </c>
      <c r="W6117">
        <v>0.18221370000000001</v>
      </c>
      <c r="X6117">
        <v>0.98213340000000005</v>
      </c>
      <c r="Y6117">
        <v>-5.8748519999999999E-2</v>
      </c>
      <c r="Z6117">
        <v>4.6665270000000002E-3</v>
      </c>
      <c r="AA6117">
        <v>0.99826190000000004</v>
      </c>
      <c r="AB6117">
        <v>40</v>
      </c>
      <c r="AC6117">
        <v>-12.440300000000001</v>
      </c>
      <c r="AD6117">
        <v>-0.15377969999999899</v>
      </c>
      <c r="AE6117">
        <v>366.87610000000001</v>
      </c>
      <c r="AF6117">
        <v>-21.589788802076701</v>
      </c>
      <c r="AG6117">
        <v>-0.15377969999999899</v>
      </c>
      <c r="AH6117">
        <v>366.45145318091102</v>
      </c>
      <c r="AI6117">
        <v>90.024002293335698</v>
      </c>
      <c r="AJ6117">
        <v>93.371730409764297</v>
      </c>
      <c r="AK6117">
        <v>367.08692453847499</v>
      </c>
      <c r="AL6117">
        <v>79.501271562048601</v>
      </c>
      <c r="AM6117">
        <v>87.258277227449796</v>
      </c>
      <c r="AN6117">
        <v>0.99999997735744495</v>
      </c>
    </row>
    <row r="6118" spans="1:40" x14ac:dyDescent="0.25">
      <c r="A6118" t="str">
        <f>"20190303171133600"</f>
        <v>20190303171133600</v>
      </c>
      <c r="B6118" t="str">
        <f>"1551604293586871"</f>
        <v>1551604293586871</v>
      </c>
      <c r="C6118" t="s">
        <v>40</v>
      </c>
      <c r="D6118">
        <v>4.6619840000000003</v>
      </c>
      <c r="E6118">
        <v>0.4633641</v>
      </c>
      <c r="F6118" t="s">
        <v>109</v>
      </c>
      <c r="G6118">
        <v>-201.3733</v>
      </c>
      <c r="H6118">
        <v>0.78097249999999996</v>
      </c>
      <c r="I6118">
        <v>391.87</v>
      </c>
      <c r="J6118">
        <v>-188.25450000000001</v>
      </c>
      <c r="K6118">
        <v>1.1210370000000001</v>
      </c>
      <c r="L6118">
        <v>25.3522</v>
      </c>
      <c r="M6118">
        <v>2.3916529999999998E-2</v>
      </c>
      <c r="N6118">
        <v>-5.09305E-3</v>
      </c>
      <c r="O6118">
        <v>0.99970099999999995</v>
      </c>
      <c r="P6118">
        <v>7.0473229999999998E-2</v>
      </c>
      <c r="Q6118">
        <v>0.17712410000000001</v>
      </c>
      <c r="R6118">
        <v>0.98166220000000004</v>
      </c>
      <c r="S6118">
        <v>-0.1095276</v>
      </c>
      <c r="T6118">
        <v>-2.8409960000000001E-3</v>
      </c>
      <c r="U6118">
        <v>3.0649410000000001</v>
      </c>
      <c r="V6118">
        <v>4.6426990000000001E-2</v>
      </c>
      <c r="W6118">
        <v>0.18226899999999999</v>
      </c>
      <c r="X6118">
        <v>0.98215200000000003</v>
      </c>
      <c r="Y6118">
        <v>-5.9602960000000003E-2</v>
      </c>
      <c r="Z6118">
        <v>4.1698209999999998E-3</v>
      </c>
      <c r="AA6118">
        <v>0.99821349999999998</v>
      </c>
      <c r="AB6118">
        <v>40</v>
      </c>
      <c r="AC6118">
        <v>-13.118799999999901</v>
      </c>
      <c r="AD6118">
        <v>-0.34006449999999999</v>
      </c>
      <c r="AE6118">
        <v>366.51780000000002</v>
      </c>
      <c r="AF6118">
        <v>-21.8809760979047</v>
      </c>
      <c r="AG6118">
        <v>-0.34006449999999999</v>
      </c>
      <c r="AH6118">
        <v>366.098883128387</v>
      </c>
      <c r="AI6118">
        <v>90.053126485745096</v>
      </c>
      <c r="AJ6118">
        <v>93.420381817053396</v>
      </c>
      <c r="AK6118">
        <v>366.75234830429298</v>
      </c>
      <c r="AL6118">
        <v>79.498049408498105</v>
      </c>
      <c r="AM6118">
        <v>87.293604339843597</v>
      </c>
      <c r="AN6118">
        <v>1.00000000243273</v>
      </c>
    </row>
    <row r="6119" spans="1:40" x14ac:dyDescent="0.25">
      <c r="A6119" t="str">
        <f>"20190303171133624"</f>
        <v>20190303171133624</v>
      </c>
      <c r="B6119" t="str">
        <f>"1551604293616875"</f>
        <v>1551604293616875</v>
      </c>
      <c r="C6119" t="s">
        <v>40</v>
      </c>
      <c r="D6119">
        <v>4.7011909999999997</v>
      </c>
      <c r="E6119">
        <v>0.4634779</v>
      </c>
      <c r="F6119" t="s">
        <v>109</v>
      </c>
      <c r="G6119">
        <v>-201.9402</v>
      </c>
      <c r="H6119">
        <v>0.9425325</v>
      </c>
      <c r="I6119">
        <v>391.00349999999997</v>
      </c>
      <c r="J6119">
        <v>-188.2449</v>
      </c>
      <c r="K6119">
        <v>1.121049</v>
      </c>
      <c r="L6119">
        <v>25.790620000000001</v>
      </c>
      <c r="M6119">
        <v>2.2655249999999998E-2</v>
      </c>
      <c r="N6119">
        <v>-5.1062369999999996E-3</v>
      </c>
      <c r="O6119">
        <v>0.99973029999999996</v>
      </c>
      <c r="P6119">
        <v>6.9355959999999994E-2</v>
      </c>
      <c r="Q6119">
        <v>0.17797289999999999</v>
      </c>
      <c r="R6119">
        <v>0.98158820000000002</v>
      </c>
      <c r="S6119">
        <v>-0.11470030000000001</v>
      </c>
      <c r="T6119">
        <v>-1.496077E-3</v>
      </c>
      <c r="U6119">
        <v>3.0645449999999999</v>
      </c>
      <c r="V6119">
        <v>4.6546280000000002E-2</v>
      </c>
      <c r="W6119">
        <v>0.18313119999999999</v>
      </c>
      <c r="X6119">
        <v>0.98198589999999997</v>
      </c>
      <c r="Y6119">
        <v>-6.003083E-2</v>
      </c>
      <c r="Z6119">
        <v>4.6210189999999996E-3</v>
      </c>
      <c r="AA6119">
        <v>0.99818580000000001</v>
      </c>
      <c r="AB6119">
        <v>41</v>
      </c>
      <c r="AC6119">
        <v>-13.6953</v>
      </c>
      <c r="AD6119">
        <v>-0.178516499999999</v>
      </c>
      <c r="AE6119">
        <v>365.21287999999998</v>
      </c>
      <c r="AF6119">
        <v>-21.965876529536999</v>
      </c>
      <c r="AG6119">
        <v>-0.178516499999999</v>
      </c>
      <c r="AH6119">
        <v>364.80877935161402</v>
      </c>
      <c r="AI6119">
        <v>90.0279865805512</v>
      </c>
      <c r="AJ6119">
        <v>93.445734955820299</v>
      </c>
      <c r="AK6119">
        <v>365.46952963532601</v>
      </c>
      <c r="AL6119">
        <v>79.447802720066406</v>
      </c>
      <c r="AM6119">
        <v>87.286202609726004</v>
      </c>
      <c r="AN6119">
        <v>0.99999995019704202</v>
      </c>
    </row>
    <row r="6120" spans="1:40" x14ac:dyDescent="0.25">
      <c r="A6120" t="str">
        <f>"20190303171133649"</f>
        <v>20190303171133649</v>
      </c>
      <c r="B6120" t="str">
        <f>"1551604293636395"</f>
        <v>1551604293636395</v>
      </c>
      <c r="C6120" t="s">
        <v>40</v>
      </c>
      <c r="D6120">
        <v>4.8324009999999999</v>
      </c>
      <c r="E6120">
        <v>0.49060550000000003</v>
      </c>
      <c r="F6120" t="s">
        <v>109</v>
      </c>
      <c r="G6120">
        <v>-202.28319999999999</v>
      </c>
      <c r="H6120">
        <v>1.3924160000000001</v>
      </c>
      <c r="I6120">
        <v>391.00349999999997</v>
      </c>
      <c r="J6120">
        <v>-188.23580000000001</v>
      </c>
      <c r="K6120">
        <v>1.1210530000000001</v>
      </c>
      <c r="L6120">
        <v>26.234470000000002</v>
      </c>
      <c r="M6120">
        <v>2.137959E-2</v>
      </c>
      <c r="N6120">
        <v>-5.1196970000000003E-3</v>
      </c>
      <c r="O6120">
        <v>0.99975829999999999</v>
      </c>
      <c r="P6120">
        <v>6.6917229999999994E-2</v>
      </c>
      <c r="Q6120">
        <v>0.17793399999999901</v>
      </c>
      <c r="R6120">
        <v>0.98176450000000004</v>
      </c>
      <c r="S6120">
        <v>-0.1177826</v>
      </c>
      <c r="T6120">
        <v>2.2767780000000001E-3</v>
      </c>
      <c r="U6120">
        <v>3.0641780000000001</v>
      </c>
      <c r="V6120">
        <v>4.5355560000000003E-2</v>
      </c>
      <c r="W6120">
        <v>0.1831026</v>
      </c>
      <c r="X6120">
        <v>0.982047</v>
      </c>
      <c r="Y6120">
        <v>-5.976418E-2</v>
      </c>
      <c r="Z6120">
        <v>5.8636259999999898E-3</v>
      </c>
      <c r="AA6120">
        <v>0.99819530000000001</v>
      </c>
      <c r="AB6120">
        <v>41</v>
      </c>
      <c r="AC6120">
        <v>-14.0473999999999</v>
      </c>
      <c r="AD6120">
        <v>0.27136299999999902</v>
      </c>
      <c r="AE6120">
        <v>364.76902999999999</v>
      </c>
      <c r="AF6120">
        <v>-21.842891720295899</v>
      </c>
      <c r="AG6120">
        <v>0.27136299999999902</v>
      </c>
      <c r="AH6120">
        <v>364.385119755956</v>
      </c>
      <c r="AI6120">
        <v>89.9574074478151</v>
      </c>
      <c r="AJ6120">
        <v>93.430463081979099</v>
      </c>
      <c r="AK6120">
        <v>365.03931439797702</v>
      </c>
      <c r="AL6120">
        <v>79.449470090842993</v>
      </c>
      <c r="AM6120">
        <v>87.355689860632495</v>
      </c>
      <c r="AN6120">
        <v>0.99999999957933605</v>
      </c>
    </row>
    <row r="6121" spans="1:40" x14ac:dyDescent="0.25">
      <c r="A6121" t="str">
        <f>"20190303171133673"</f>
        <v>20190303171133673</v>
      </c>
      <c r="B6121" t="str">
        <f>"1551604293666651"</f>
        <v>1551604293666651</v>
      </c>
      <c r="C6121" t="s">
        <v>40</v>
      </c>
      <c r="D6121">
        <v>4.7719490000000002</v>
      </c>
      <c r="E6121">
        <v>0.49912129999999999</v>
      </c>
      <c r="F6121" t="s">
        <v>109</v>
      </c>
      <c r="G6121">
        <v>-177.3099</v>
      </c>
      <c r="H6121">
        <v>1.5186999999999999</v>
      </c>
      <c r="I6121">
        <v>391.00349999999997</v>
      </c>
      <c r="J6121">
        <v>-188.22720000000001</v>
      </c>
      <c r="K6121">
        <v>1.121051</v>
      </c>
      <c r="L6121">
        <v>26.682040000000001</v>
      </c>
      <c r="M6121">
        <v>2.0094190000000001E-2</v>
      </c>
      <c r="N6121">
        <v>-5.133454E-3</v>
      </c>
      <c r="O6121">
        <v>0.99978489999999998</v>
      </c>
      <c r="P6121">
        <v>6.4547149999999998E-2</v>
      </c>
      <c r="Q6121">
        <v>0.17769160000000001</v>
      </c>
      <c r="R6121">
        <v>0.98196709999999998</v>
      </c>
      <c r="S6121">
        <v>9.1323849999999998E-2</v>
      </c>
      <c r="T6121">
        <v>3.323674E-3</v>
      </c>
      <c r="U6121">
        <v>3.048889</v>
      </c>
      <c r="V6121">
        <v>4.4243339999999999E-2</v>
      </c>
      <c r="W6121">
        <v>0.1828719</v>
      </c>
      <c r="X6121">
        <v>0.98214069999999998</v>
      </c>
      <c r="Y6121">
        <v>9.8475549999999992E-3</v>
      </c>
      <c r="Z6121">
        <v>6.2214169999999999E-3</v>
      </c>
      <c r="AA6121">
        <v>0.99993220000000005</v>
      </c>
      <c r="AB6121">
        <v>41</v>
      </c>
      <c r="AC6121">
        <v>10.917299999999999</v>
      </c>
      <c r="AD6121">
        <v>0.39764899999999898</v>
      </c>
      <c r="AE6121">
        <v>364.32146</v>
      </c>
      <c r="AF6121">
        <v>3.5942501759789698</v>
      </c>
      <c r="AG6121">
        <v>0.39764899999999898</v>
      </c>
      <c r="AH6121">
        <v>364.46684180128602</v>
      </c>
      <c r="AI6121">
        <v>89.9374909045886</v>
      </c>
      <c r="AJ6121">
        <v>89.434986488583903</v>
      </c>
      <c r="AK6121">
        <v>364.48478093283802</v>
      </c>
      <c r="AL6121">
        <v>79.462915033673895</v>
      </c>
      <c r="AM6121">
        <v>87.420691352305994</v>
      </c>
      <c r="AN6121">
        <v>0.99999997977022703</v>
      </c>
    </row>
    <row r="6122" spans="1:40" x14ac:dyDescent="0.25">
      <c r="A6122" t="str">
        <f>"20190303171133692"</f>
        <v>20190303171133692</v>
      </c>
      <c r="B6122" t="str">
        <f>"1551604293687147"</f>
        <v>1551604293687147</v>
      </c>
      <c r="C6122" t="s">
        <v>40</v>
      </c>
      <c r="D6122">
        <v>4.7700719999999999</v>
      </c>
      <c r="E6122">
        <v>0.5013282</v>
      </c>
      <c r="F6122" t="s">
        <v>62</v>
      </c>
      <c r="G6122">
        <v>0</v>
      </c>
      <c r="H6122">
        <v>0</v>
      </c>
      <c r="I6122">
        <v>0</v>
      </c>
      <c r="J6122">
        <v>-188.2209</v>
      </c>
      <c r="K6122">
        <v>1.1210500000000001</v>
      </c>
      <c r="L6122">
        <v>27.02853</v>
      </c>
      <c r="M6122">
        <v>1.9100180000000001E-2</v>
      </c>
      <c r="N6122">
        <v>-5.1441909999999898E-3</v>
      </c>
      <c r="O6122">
        <v>0.99980429999999998</v>
      </c>
      <c r="P6122">
        <v>6.3339160000000005E-2</v>
      </c>
      <c r="Q6122">
        <v>0.17805879999999999</v>
      </c>
      <c r="R6122">
        <v>0.9819793</v>
      </c>
      <c r="S6122">
        <v>0.15270999999999901</v>
      </c>
      <c r="T6122">
        <v>1.112664E-2</v>
      </c>
      <c r="U6122">
        <v>3.0430299999999999</v>
      </c>
      <c r="V6122">
        <v>4.400917E-2</v>
      </c>
      <c r="W6122">
        <v>0.1832493</v>
      </c>
      <c r="X6122">
        <v>0.98208090000000003</v>
      </c>
      <c r="Y6122">
        <v>3.1032830000000001E-2</v>
      </c>
      <c r="Z6122">
        <v>8.7938770000000003E-3</v>
      </c>
      <c r="AA6122">
        <v>0.99947969999999997</v>
      </c>
      <c r="AB6122">
        <v>41</v>
      </c>
      <c r="AC6122">
        <v>0.15270999999999901</v>
      </c>
      <c r="AD6122">
        <v>1.112664E-2</v>
      </c>
      <c r="AE6122">
        <v>3.0430299999999999</v>
      </c>
      <c r="AF6122">
        <v>9.4557687926760003E-2</v>
      </c>
      <c r="AG6122">
        <v>1.112664E-2</v>
      </c>
      <c r="AH6122">
        <v>3.0453510748962098</v>
      </c>
      <c r="AI6122">
        <v>89.790763174210397</v>
      </c>
      <c r="AJ6122">
        <v>88.221546140932006</v>
      </c>
      <c r="AK6122">
        <v>3.0468390387145901</v>
      </c>
      <c r="AL6122">
        <v>79.440920178596997</v>
      </c>
      <c r="AM6122">
        <v>87.434168741314394</v>
      </c>
      <c r="AN6122">
        <v>1.0000000035696901</v>
      </c>
    </row>
    <row r="6123" spans="1:40" x14ac:dyDescent="0.25">
      <c r="A6123" t="str">
        <f>"20190303171133715"</f>
        <v>20190303171133715</v>
      </c>
      <c r="B6123" t="str">
        <f>"1551604293706667"</f>
        <v>1551604293706667</v>
      </c>
      <c r="C6123" t="s">
        <v>40</v>
      </c>
      <c r="D6123">
        <v>4.8211690000000003</v>
      </c>
      <c r="E6123">
        <v>0.50266040000000001</v>
      </c>
      <c r="F6123" t="s">
        <v>45</v>
      </c>
      <c r="G6123">
        <v>-168.81610000000001</v>
      </c>
      <c r="H6123">
        <v>2.6289250000000002</v>
      </c>
      <c r="I6123">
        <v>381.38529999999997</v>
      </c>
      <c r="J6123">
        <v>-188.21379999999999</v>
      </c>
      <c r="K6123">
        <v>1.121054</v>
      </c>
      <c r="L6123">
        <v>27.446169999999999</v>
      </c>
      <c r="M6123">
        <v>1.7902709999999999E-2</v>
      </c>
      <c r="N6123">
        <v>-5.1572149999999997E-3</v>
      </c>
      <c r="O6123">
        <v>0.9998264</v>
      </c>
      <c r="P6123">
        <v>6.2306729999999998E-2</v>
      </c>
      <c r="Q6123">
        <v>0.17810719999999999</v>
      </c>
      <c r="R6123">
        <v>0.98203649999999998</v>
      </c>
      <c r="S6123">
        <v>0.16658020000000001</v>
      </c>
      <c r="T6123">
        <v>1.294506E-2</v>
      </c>
      <c r="U6123">
        <v>3.0419619999999998</v>
      </c>
      <c r="V6123">
        <v>4.4150090000000003E-2</v>
      </c>
      <c r="W6123">
        <v>0.18331169999999999</v>
      </c>
      <c r="X6123">
        <v>0.98206289999999996</v>
      </c>
      <c r="Y6123">
        <v>3.679143E-2</v>
      </c>
      <c r="Z6123">
        <v>9.4043970000000001E-3</v>
      </c>
      <c r="AA6123">
        <v>0.99927869999999996</v>
      </c>
      <c r="AB6123">
        <v>41</v>
      </c>
      <c r="AC6123">
        <v>19.397699999999901</v>
      </c>
      <c r="AD6123">
        <v>1.507871</v>
      </c>
      <c r="AE6123">
        <v>353.93912999999998</v>
      </c>
      <c r="AF6123">
        <v>13.057800754139601</v>
      </c>
      <c r="AG6123">
        <v>1.507871</v>
      </c>
      <c r="AH6123">
        <v>354.22327016083102</v>
      </c>
      <c r="AI6123">
        <v>89.756268178911299</v>
      </c>
      <c r="AJ6123">
        <v>87.8888505553019</v>
      </c>
      <c r="AK6123">
        <v>354.46707175550199</v>
      </c>
      <c r="AL6123">
        <v>79.437283007252205</v>
      </c>
      <c r="AM6123">
        <v>87.425916713121893</v>
      </c>
      <c r="AN6123">
        <v>0.999999974680153</v>
      </c>
    </row>
    <row r="6124" spans="1:40" x14ac:dyDescent="0.25">
      <c r="A6124" t="str">
        <f>"20190303171133736"</f>
        <v>20190303171133736</v>
      </c>
      <c r="B6124" t="str">
        <f>"1551604293727163"</f>
        <v>1551604293727163</v>
      </c>
      <c r="C6124" t="s">
        <v>40</v>
      </c>
      <c r="D6124">
        <v>4.7702809999999998</v>
      </c>
      <c r="E6124">
        <v>0.50345419999999996</v>
      </c>
      <c r="F6124" t="s">
        <v>45</v>
      </c>
      <c r="G6124">
        <v>-167.96260000000001</v>
      </c>
      <c r="H6124">
        <v>2.5937809999999999</v>
      </c>
      <c r="I6124">
        <v>381.38529999999997</v>
      </c>
      <c r="J6124">
        <v>-188.2073</v>
      </c>
      <c r="K6124">
        <v>1.1210610000000001</v>
      </c>
      <c r="L6124">
        <v>27.853999999999999</v>
      </c>
      <c r="M6124">
        <v>1.673467E-2</v>
      </c>
      <c r="N6124">
        <v>-5.1700399999999999E-3</v>
      </c>
      <c r="O6124">
        <v>0.99984660000000003</v>
      </c>
      <c r="P6124">
        <v>6.0142069999999999E-2</v>
      </c>
      <c r="Q6124">
        <v>0.17813989999999999</v>
      </c>
      <c r="R6124">
        <v>0.98216550000000002</v>
      </c>
      <c r="S6124">
        <v>0.1740265</v>
      </c>
      <c r="T6124">
        <v>1.265645E-2</v>
      </c>
      <c r="U6124">
        <v>3.041534</v>
      </c>
      <c r="V6124">
        <v>4.3128840000000002E-2</v>
      </c>
      <c r="W6124">
        <v>0.18335480000000001</v>
      </c>
      <c r="X6124">
        <v>0.98210019999999998</v>
      </c>
      <c r="Y6124">
        <v>4.0405089999999998E-2</v>
      </c>
      <c r="Z6124">
        <v>9.3226669999999998E-3</v>
      </c>
      <c r="AA6124">
        <v>0.99913989999999997</v>
      </c>
      <c r="AB6124">
        <v>41</v>
      </c>
      <c r="AC6124">
        <v>20.244699999999899</v>
      </c>
      <c r="AD6124">
        <v>1.47272</v>
      </c>
      <c r="AE6124">
        <v>353.53129999999999</v>
      </c>
      <c r="AF6124">
        <v>14.325308485447</v>
      </c>
      <c r="AG6124">
        <v>1.47272</v>
      </c>
      <c r="AH6124">
        <v>353.81446521972703</v>
      </c>
      <c r="AI6124">
        <v>89.761708225175198</v>
      </c>
      <c r="AJ6124">
        <v>87.681463767043496</v>
      </c>
      <c r="AK6124">
        <v>354.10741190509299</v>
      </c>
      <c r="AL6124">
        <v>79.434770624345205</v>
      </c>
      <c r="AM6124">
        <v>87.485476714786699</v>
      </c>
      <c r="AN6124">
        <v>0.999999941181411</v>
      </c>
    </row>
    <row r="6125" spans="1:40" x14ac:dyDescent="0.25">
      <c r="A6125" t="str">
        <f>"20190303171133759"</f>
        <v>20190303171133759</v>
      </c>
      <c r="B6125" t="str">
        <f>"1551604293746684"</f>
        <v>1551604293746684</v>
      </c>
      <c r="C6125" t="s">
        <v>40</v>
      </c>
      <c r="D6125">
        <v>4.8862829999999997</v>
      </c>
      <c r="E6125">
        <v>0.50414250000000005</v>
      </c>
      <c r="F6125" t="s">
        <v>45</v>
      </c>
      <c r="G6125">
        <v>-167.91409999999999</v>
      </c>
      <c r="H6125">
        <v>2.5418880000000001</v>
      </c>
      <c r="I6125">
        <v>381.38529999999997</v>
      </c>
      <c r="J6125">
        <v>-188.2012</v>
      </c>
      <c r="K6125">
        <v>1.121068</v>
      </c>
      <c r="L6125">
        <v>28.269169999999999</v>
      </c>
      <c r="M6125">
        <v>1.5546569999999999E-2</v>
      </c>
      <c r="N6125">
        <v>-5.1831780000000001E-3</v>
      </c>
      <c r="O6125">
        <v>0.99986569999999997</v>
      </c>
      <c r="P6125">
        <v>5.7547910000000001E-2</v>
      </c>
      <c r="Q6125">
        <v>0.17906830000000001</v>
      </c>
      <c r="R6125">
        <v>0.98215209999999997</v>
      </c>
      <c r="S6125">
        <v>0.1745911</v>
      </c>
      <c r="T6125">
        <v>1.222467E-2</v>
      </c>
      <c r="U6125">
        <v>3.0415649999999999</v>
      </c>
      <c r="V6125">
        <v>4.1697379999999999E-2</v>
      </c>
      <c r="W6125">
        <v>0.1842917</v>
      </c>
      <c r="X6125">
        <v>0.98198669999999999</v>
      </c>
      <c r="Y6125">
        <v>4.1776679999999997E-2</v>
      </c>
      <c r="Z6125">
        <v>9.1941590000000004E-3</v>
      </c>
      <c r="AA6125">
        <v>0.99908470000000005</v>
      </c>
      <c r="AB6125">
        <v>41</v>
      </c>
      <c r="AC6125">
        <v>20.287099999999999</v>
      </c>
      <c r="AD6125">
        <v>1.42082</v>
      </c>
      <c r="AE6125">
        <v>353.11613</v>
      </c>
      <c r="AF6125">
        <v>14.794590964128099</v>
      </c>
      <c r="AG6125">
        <v>1.42082</v>
      </c>
      <c r="AH6125">
        <v>353.38314958352203</v>
      </c>
      <c r="AI6125">
        <v>89.769838195240595</v>
      </c>
      <c r="AJ6125">
        <v>87.6026788494285</v>
      </c>
      <c r="AK6125">
        <v>353.695559854571</v>
      </c>
      <c r="AL6125">
        <v>79.380160124294093</v>
      </c>
      <c r="AM6125">
        <v>87.568552030624105</v>
      </c>
      <c r="AN6125">
        <v>0.99999999058232203</v>
      </c>
    </row>
    <row r="6126" spans="1:40" x14ac:dyDescent="0.25">
      <c r="A6126" t="str">
        <f>"20190303171133780"</f>
        <v>20190303171133780</v>
      </c>
      <c r="B6126" t="str">
        <f>"1551604293767179"</f>
        <v>1551604293767179</v>
      </c>
      <c r="C6126" t="s">
        <v>40</v>
      </c>
      <c r="D6126">
        <v>4.5710639999999998</v>
      </c>
      <c r="E6126">
        <v>0.50464549999999997</v>
      </c>
      <c r="F6126" t="s">
        <v>45</v>
      </c>
      <c r="G6126">
        <v>-168.1096</v>
      </c>
      <c r="H6126">
        <v>2.85575</v>
      </c>
      <c r="I6126">
        <v>381.38529999999997</v>
      </c>
      <c r="J6126">
        <v>-188.19569999999999</v>
      </c>
      <c r="K6126">
        <v>1.121076</v>
      </c>
      <c r="L6126">
        <v>28.676269999999999</v>
      </c>
      <c r="M6126">
        <v>1.438278E-2</v>
      </c>
      <c r="N6126">
        <v>-5.1962989999999997E-3</v>
      </c>
      <c r="O6126">
        <v>0.99988310000000002</v>
      </c>
      <c r="P6126">
        <v>5.5515090000000003E-2</v>
      </c>
      <c r="Q6126">
        <v>0.1805784</v>
      </c>
      <c r="R6126">
        <v>0.98199259999999999</v>
      </c>
      <c r="S6126">
        <v>0.1730652</v>
      </c>
      <c r="T6126">
        <v>1.494288E-2</v>
      </c>
      <c r="U6126">
        <v>3.0416560000000001</v>
      </c>
      <c r="V6126">
        <v>4.0803319999999997E-2</v>
      </c>
      <c r="W6126">
        <v>0.18581139999999999</v>
      </c>
      <c r="X6126">
        <v>0.98173790000000005</v>
      </c>
      <c r="Y6126">
        <v>4.2437900000000001E-2</v>
      </c>
      <c r="Z6126">
        <v>1.0099790000000001E-2</v>
      </c>
      <c r="AA6126">
        <v>0.99904809999999999</v>
      </c>
      <c r="AB6126">
        <v>42</v>
      </c>
      <c r="AC6126">
        <v>20.086099999999899</v>
      </c>
      <c r="AD6126">
        <v>1.734674</v>
      </c>
      <c r="AE6126">
        <v>352.70902999999998</v>
      </c>
      <c r="AF6126">
        <v>15.010655710638799</v>
      </c>
      <c r="AG6126">
        <v>1.734674</v>
      </c>
      <c r="AH6126">
        <v>352.95293383361297</v>
      </c>
      <c r="AI6126">
        <v>89.718662375446399</v>
      </c>
      <c r="AJ6126">
        <v>87.564748219881295</v>
      </c>
      <c r="AK6126">
        <v>353.27624089443799</v>
      </c>
      <c r="AL6126">
        <v>79.291558042665699</v>
      </c>
      <c r="AM6126">
        <v>87.620023369399604</v>
      </c>
      <c r="AN6126">
        <v>1.00000004579469</v>
      </c>
    </row>
    <row r="6127" spans="1:40" x14ac:dyDescent="0.25">
      <c r="A6127" t="str">
        <f>"20190303171133802"</f>
        <v>20190303171133802</v>
      </c>
      <c r="B6127" t="str">
        <f>"1551604293796459"</f>
        <v>1551604293796459</v>
      </c>
      <c r="C6127" t="s">
        <v>40</v>
      </c>
      <c r="D6127">
        <v>4.8225300000000004</v>
      </c>
      <c r="E6127">
        <v>0.5052915</v>
      </c>
      <c r="F6127" t="s">
        <v>45</v>
      </c>
      <c r="G6127">
        <v>-168.4015</v>
      </c>
      <c r="H6127">
        <v>3.1100180000000002</v>
      </c>
      <c r="I6127">
        <v>381.38529999999997</v>
      </c>
      <c r="J6127">
        <v>-188.1908</v>
      </c>
      <c r="K6127">
        <v>1.121078</v>
      </c>
      <c r="L6127">
        <v>29.07611</v>
      </c>
      <c r="M6127">
        <v>1.3241060000000001E-2</v>
      </c>
      <c r="N6127">
        <v>-5.209076E-3</v>
      </c>
      <c r="O6127">
        <v>0.99989879999999998</v>
      </c>
      <c r="P6127">
        <v>5.3327239999999998E-2</v>
      </c>
      <c r="Q6127">
        <v>0.18083270000000001</v>
      </c>
      <c r="R6127">
        <v>0.98206709999999997</v>
      </c>
      <c r="S6127">
        <v>0.17073060000000001</v>
      </c>
      <c r="T6127">
        <v>1.715589E-2</v>
      </c>
      <c r="U6127">
        <v>3.0422060000000002</v>
      </c>
      <c r="V6127">
        <v>3.9732950000000003E-2</v>
      </c>
      <c r="W6127">
        <v>0.1860752</v>
      </c>
      <c r="X6127">
        <v>0.98173180000000004</v>
      </c>
      <c r="Y6127">
        <v>4.2803899999999999E-2</v>
      </c>
      <c r="Z6127">
        <v>1.083843E-2</v>
      </c>
      <c r="AA6127">
        <v>0.99902469999999999</v>
      </c>
      <c r="AB6127">
        <v>42</v>
      </c>
      <c r="AC6127">
        <v>19.789300000000001</v>
      </c>
      <c r="AD6127">
        <v>1.9889399999999999</v>
      </c>
      <c r="AE6127">
        <v>352.30919</v>
      </c>
      <c r="AF6127">
        <v>15.1220744004659</v>
      </c>
      <c r="AG6127">
        <v>1.9889399999999999</v>
      </c>
      <c r="AH6127">
        <v>352.52913813066999</v>
      </c>
      <c r="AI6127">
        <v>89.677042408010095</v>
      </c>
      <c r="AJ6127">
        <v>87.543748576575396</v>
      </c>
      <c r="AK6127">
        <v>352.85893250369901</v>
      </c>
      <c r="AL6127">
        <v>79.276174728076995</v>
      </c>
      <c r="AM6127">
        <v>87.682372546672596</v>
      </c>
      <c r="AN6127">
        <v>1.00000000725099</v>
      </c>
    </row>
    <row r="6128" spans="1:40" x14ac:dyDescent="0.25">
      <c r="A6128" t="str">
        <f>"20190303171133827"</f>
        <v>20190303171133827</v>
      </c>
      <c r="B6128" t="str">
        <f>"1551604293816742"</f>
        <v>1551604293816742</v>
      </c>
      <c r="C6128" t="s">
        <v>40</v>
      </c>
      <c r="D6128">
        <v>4.8787760000000002</v>
      </c>
      <c r="E6128">
        <v>0.50574279999999905</v>
      </c>
      <c r="F6128" t="s">
        <v>45</v>
      </c>
      <c r="G6128">
        <v>-168.56610000000001</v>
      </c>
      <c r="H6128">
        <v>3.0244049999999998</v>
      </c>
      <c r="I6128">
        <v>381.38529999999997</v>
      </c>
      <c r="J6128">
        <v>-188.1857</v>
      </c>
      <c r="K6128">
        <v>1.121076</v>
      </c>
      <c r="L6128">
        <v>29.533940000000001</v>
      </c>
      <c r="M6128">
        <v>1.1937740000000001E-2</v>
      </c>
      <c r="N6128">
        <v>-5.2235900000000002E-3</v>
      </c>
      <c r="O6128">
        <v>0.99991509999999995</v>
      </c>
      <c r="P6128">
        <v>5.0122199999999999E-2</v>
      </c>
      <c r="Q6128">
        <v>0.17913119999999999</v>
      </c>
      <c r="R6128">
        <v>0.98254759999999997</v>
      </c>
      <c r="S6128">
        <v>0.169479399999999</v>
      </c>
      <c r="T6128">
        <v>1.643789E-2</v>
      </c>
      <c r="U6128">
        <v>3.0425420000000001</v>
      </c>
      <c r="V6128">
        <v>3.7805770000000002E-2</v>
      </c>
      <c r="W6128">
        <v>0.18438450000000001</v>
      </c>
      <c r="X6128">
        <v>0.98212679999999997</v>
      </c>
      <c r="Y6128">
        <v>4.36905E-2</v>
      </c>
      <c r="Z6128">
        <v>1.061697E-2</v>
      </c>
      <c r="AA6128">
        <v>0.99898869999999895</v>
      </c>
      <c r="AB6128">
        <v>42</v>
      </c>
      <c r="AC6128">
        <v>19.619599999999899</v>
      </c>
      <c r="AD6128">
        <v>1.903329</v>
      </c>
      <c r="AE6128">
        <v>351.85136</v>
      </c>
      <c r="AF6128">
        <v>15.4173848160915</v>
      </c>
      <c r="AG6128">
        <v>1.903329</v>
      </c>
      <c r="AH6128">
        <v>352.05023431025</v>
      </c>
      <c r="AI6128">
        <v>89.690534968992594</v>
      </c>
      <c r="AJ6128">
        <v>87.492440181571297</v>
      </c>
      <c r="AK6128">
        <v>352.39280057026099</v>
      </c>
      <c r="AL6128">
        <v>79.374750315656698</v>
      </c>
      <c r="AM6128">
        <v>87.795557438186705</v>
      </c>
      <c r="AN6128">
        <v>0.99999998568189097</v>
      </c>
    </row>
    <row r="6129" spans="1:40" x14ac:dyDescent="0.25">
      <c r="A6129" t="str">
        <f>"20190303171133850"</f>
        <v>20190303171133850</v>
      </c>
      <c r="B6129" t="str">
        <f>"1551604293836260"</f>
        <v>1551604293836260</v>
      </c>
      <c r="C6129" t="s">
        <v>40</v>
      </c>
      <c r="D6129">
        <v>4.7674059999999896</v>
      </c>
      <c r="E6129">
        <v>0.50611839999999997</v>
      </c>
      <c r="F6129" t="s">
        <v>45</v>
      </c>
      <c r="G6129">
        <v>-169.17750000000001</v>
      </c>
      <c r="H6129">
        <v>2.2737699999999998</v>
      </c>
      <c r="I6129">
        <v>381.38529999999997</v>
      </c>
      <c r="J6129">
        <v>-188.18119999999999</v>
      </c>
      <c r="K6129">
        <v>1.121076</v>
      </c>
      <c r="L6129">
        <v>29.986360000000001</v>
      </c>
      <c r="M6129">
        <v>1.0661210000000001E-2</v>
      </c>
      <c r="N6129">
        <v>-5.2378770000000002E-3</v>
      </c>
      <c r="O6129">
        <v>0.99992939999999997</v>
      </c>
      <c r="P6129">
        <v>4.7006810000000003E-2</v>
      </c>
      <c r="Q6129">
        <v>0.17841770000000001</v>
      </c>
      <c r="R6129">
        <v>0.98283140000000002</v>
      </c>
      <c r="S6129">
        <v>0.16439819999999999</v>
      </c>
      <c r="T6129">
        <v>9.9701879999999996E-3</v>
      </c>
      <c r="U6129">
        <v>3.043091</v>
      </c>
      <c r="V6129">
        <v>3.5943790000000003E-2</v>
      </c>
      <c r="W6129">
        <v>0.18368010000000001</v>
      </c>
      <c r="X6129">
        <v>0.98232870000000005</v>
      </c>
      <c r="Y6129">
        <v>4.3293690000000003E-2</v>
      </c>
      <c r="Z6129">
        <v>8.5084150000000001E-3</v>
      </c>
      <c r="AA6129">
        <v>0.99902619999999998</v>
      </c>
      <c r="AB6129">
        <v>42</v>
      </c>
      <c r="AC6129">
        <v>19.003699999999899</v>
      </c>
      <c r="AD6129">
        <v>1.1526940000000001</v>
      </c>
      <c r="AE6129">
        <v>351.39893999999998</v>
      </c>
      <c r="AF6129">
        <v>15.2560667945157</v>
      </c>
      <c r="AG6129">
        <v>1.1526940000000001</v>
      </c>
      <c r="AH6129">
        <v>351.57780178592799</v>
      </c>
      <c r="AI6129">
        <v>89.812325542496595</v>
      </c>
      <c r="AJ6129">
        <v>87.515314631838805</v>
      </c>
      <c r="AK6129">
        <v>351.91053832774298</v>
      </c>
      <c r="AL6129">
        <v>79.4158109756995</v>
      </c>
      <c r="AM6129">
        <v>87.904459971882602</v>
      </c>
      <c r="AN6129">
        <v>1.00000000500963</v>
      </c>
    </row>
    <row r="6130" spans="1:40" x14ac:dyDescent="0.25">
      <c r="A6130" t="str">
        <f>"20190303171133872"</f>
        <v>20190303171133872</v>
      </c>
      <c r="B6130" t="str">
        <f>"1551604293866638"</f>
        <v>1551604293866638</v>
      </c>
      <c r="C6130" t="s">
        <v>40</v>
      </c>
      <c r="D6130">
        <v>4.8808309999999997</v>
      </c>
      <c r="E6130">
        <v>0.51251199999999997</v>
      </c>
      <c r="F6130" t="s">
        <v>62</v>
      </c>
      <c r="G6130">
        <v>0</v>
      </c>
      <c r="H6130">
        <v>0</v>
      </c>
      <c r="I6130">
        <v>0</v>
      </c>
      <c r="J6130">
        <v>-188.17760000000001</v>
      </c>
      <c r="K6130">
        <v>1.121076</v>
      </c>
      <c r="L6130">
        <v>30.39603</v>
      </c>
      <c r="M6130">
        <v>9.5230109999999996E-3</v>
      </c>
      <c r="N6130">
        <v>-5.2534499999999998E-3</v>
      </c>
      <c r="O6130">
        <v>0.99994090000000002</v>
      </c>
      <c r="P6130">
        <v>4.5493739999999998E-2</v>
      </c>
      <c r="Q6130">
        <v>0.1801102</v>
      </c>
      <c r="R6130">
        <v>0.98259379999999996</v>
      </c>
      <c r="S6130">
        <v>0.15876770000000001</v>
      </c>
      <c r="T6130">
        <v>5.7072640000000001E-3</v>
      </c>
      <c r="U6130">
        <v>3.0437620000000001</v>
      </c>
      <c r="V6130">
        <v>3.5548250000000003E-2</v>
      </c>
      <c r="W6130">
        <v>0.18538550000000001</v>
      </c>
      <c r="X6130">
        <v>0.98202270000000003</v>
      </c>
      <c r="Y6130">
        <v>4.2576570000000001E-2</v>
      </c>
      <c r="Z6130">
        <v>7.1249249999999998E-3</v>
      </c>
      <c r="AA6130">
        <v>0.99906779999999995</v>
      </c>
      <c r="AB6130">
        <v>42</v>
      </c>
      <c r="AC6130">
        <v>0.15876770000000001</v>
      </c>
      <c r="AD6130">
        <v>5.7072640000000001E-3</v>
      </c>
      <c r="AE6130">
        <v>3.0437620000000001</v>
      </c>
      <c r="AF6130">
        <v>0.12977386776793501</v>
      </c>
      <c r="AG6130">
        <v>5.7072640000000001E-3</v>
      </c>
      <c r="AH6130">
        <v>3.0451252672213198</v>
      </c>
      <c r="AI6130">
        <v>89.892712062019001</v>
      </c>
      <c r="AJ6130">
        <v>87.559706840518402</v>
      </c>
      <c r="AK6130">
        <v>3.0478946377274201</v>
      </c>
      <c r="AL6130">
        <v>79.316391531948497</v>
      </c>
      <c r="AM6130">
        <v>87.926854689268495</v>
      </c>
      <c r="AN6130">
        <v>1.0000000225018</v>
      </c>
    </row>
    <row r="6131" spans="1:40" x14ac:dyDescent="0.25">
      <c r="A6131" t="str">
        <f>"20190303171133903"</f>
        <v>20190303171133903</v>
      </c>
      <c r="B6131" t="str">
        <f>"1551604293896871"</f>
        <v>1551604293896871</v>
      </c>
      <c r="C6131" t="s">
        <v>40</v>
      </c>
      <c r="D6131">
        <v>4.8830830000000001</v>
      </c>
      <c r="E6131">
        <v>0.5106446</v>
      </c>
      <c r="F6131" t="s">
        <v>42</v>
      </c>
      <c r="G6131">
        <v>-184.16079999999999</v>
      </c>
      <c r="H6131" s="1">
        <v>-2.0874519999999999E-6</v>
      </c>
      <c r="I6131">
        <v>91.216610000000003</v>
      </c>
      <c r="J6131">
        <v>-188.17330000000001</v>
      </c>
      <c r="K6131">
        <v>1.121065</v>
      </c>
      <c r="L6131">
        <v>30.981870000000001</v>
      </c>
      <c r="M6131">
        <v>7.9411039999999992E-3</v>
      </c>
      <c r="N6131">
        <v>-5.2862150000000004E-3</v>
      </c>
      <c r="O6131">
        <v>0.99995449999999997</v>
      </c>
      <c r="P6131">
        <v>4.3744680000000001E-2</v>
      </c>
      <c r="Q6131">
        <v>0.18202950000000001</v>
      </c>
      <c r="R6131">
        <v>0.98231950000000001</v>
      </c>
      <c r="S6131">
        <v>0.20170589999999999</v>
      </c>
      <c r="T6131">
        <v>-5.629551E-2</v>
      </c>
      <c r="U6131">
        <v>3.054138</v>
      </c>
      <c r="V6131">
        <v>3.5357260000000001E-2</v>
      </c>
      <c r="W6131">
        <v>0.187333</v>
      </c>
      <c r="X6131">
        <v>0.98165990000000003</v>
      </c>
      <c r="Y6131">
        <v>5.7964620000000001E-2</v>
      </c>
      <c r="Z6131">
        <v>-1.310882E-2</v>
      </c>
      <c r="AA6131">
        <v>0.99823249999999997</v>
      </c>
      <c r="AB6131">
        <v>42</v>
      </c>
      <c r="AC6131">
        <v>4.0125000000000099</v>
      </c>
      <c r="AD6131">
        <v>-1.1210670874519999</v>
      </c>
      <c r="AE6131">
        <v>60.234740000000002</v>
      </c>
      <c r="AF6131">
        <v>3.5328181244939598</v>
      </c>
      <c r="AG6131">
        <v>-1.1210670874519999</v>
      </c>
      <c r="AH6131">
        <v>60.2439289227678</v>
      </c>
      <c r="AI6131">
        <v>91.064254600374198</v>
      </c>
      <c r="AJ6131">
        <v>86.6439104745089</v>
      </c>
      <c r="AK6131">
        <v>60.357837663113997</v>
      </c>
      <c r="AL6131">
        <v>79.202817841474996</v>
      </c>
      <c r="AM6131">
        <v>87.937222013199204</v>
      </c>
      <c r="AN6131">
        <v>0.99999997399585805</v>
      </c>
    </row>
    <row r="6132" spans="1:40" x14ac:dyDescent="0.25">
      <c r="A6132" t="str">
        <f>"20190303171133926"</f>
        <v>20190303171133926</v>
      </c>
      <c r="B6132" t="str">
        <f>"1551604293916391"</f>
        <v>1551604293916391</v>
      </c>
      <c r="C6132" t="s">
        <v>40</v>
      </c>
      <c r="D6132">
        <v>4.9339690000000003</v>
      </c>
      <c r="E6132">
        <v>0.51093840000000001</v>
      </c>
      <c r="F6132" t="s">
        <v>45</v>
      </c>
      <c r="G6132">
        <v>-168.67699999999999</v>
      </c>
      <c r="H6132">
        <v>1.0360049999999901</v>
      </c>
      <c r="I6132">
        <v>353.69009999999997</v>
      </c>
      <c r="J6132">
        <v>-188.17060000000001</v>
      </c>
      <c r="K6132">
        <v>1.1210450000000001</v>
      </c>
      <c r="L6132">
        <v>31.40579</v>
      </c>
      <c r="M6132">
        <v>6.8348189999999998E-3</v>
      </c>
      <c r="N6132">
        <v>-5.3141179999999996E-3</v>
      </c>
      <c r="O6132">
        <v>0.99996249999999998</v>
      </c>
      <c r="P6132">
        <v>4.1542000000000003E-2</v>
      </c>
      <c r="Q6132">
        <v>0.1806498</v>
      </c>
      <c r="R6132">
        <v>0.98266980000000004</v>
      </c>
      <c r="S6132">
        <v>0.18402099999999999</v>
      </c>
      <c r="T6132">
        <v>-8.0204009999999999E-4</v>
      </c>
      <c r="U6132">
        <v>3.0459589999999999</v>
      </c>
      <c r="V6132">
        <v>3.4251429999999999E-2</v>
      </c>
      <c r="W6132">
        <v>0.18597730000000001</v>
      </c>
      <c r="X6132">
        <v>0.98195690000000002</v>
      </c>
      <c r="Y6132">
        <v>5.3479390000000002E-2</v>
      </c>
      <c r="Z6132">
        <v>5.0501510000000001E-3</v>
      </c>
      <c r="AA6132">
        <v>0.9985562</v>
      </c>
      <c r="AB6132">
        <v>42</v>
      </c>
      <c r="AC6132">
        <v>19.493599999999901</v>
      </c>
      <c r="AD6132">
        <v>-8.5040000000000199E-2</v>
      </c>
      <c r="AE6132">
        <v>322.28430999999898</v>
      </c>
      <c r="AF6132">
        <v>17.290357385771699</v>
      </c>
      <c r="AG6132">
        <v>-8.5040000000000199E-2</v>
      </c>
      <c r="AH6132">
        <v>322.40999672932998</v>
      </c>
      <c r="AI6132">
        <v>90.015090851747104</v>
      </c>
      <c r="AJ6132">
        <v>86.930255176754699</v>
      </c>
      <c r="AK6132">
        <v>322.87330283152198</v>
      </c>
      <c r="AL6132">
        <v>79.281883936208104</v>
      </c>
      <c r="AM6132">
        <v>88.002288010284104</v>
      </c>
      <c r="AN6132">
        <v>1.00000003501497</v>
      </c>
    </row>
    <row r="6133" spans="1:40" x14ac:dyDescent="0.25">
      <c r="A6133" t="str">
        <f>"20190303171133948"</f>
        <v>20190303171133948</v>
      </c>
      <c r="B6133" t="str">
        <f>"1551604293936887"</f>
        <v>1551604293936887</v>
      </c>
      <c r="C6133" t="s">
        <v>40</v>
      </c>
      <c r="D6133">
        <v>4.8782079999999999</v>
      </c>
      <c r="E6133">
        <v>0.51099110000000003</v>
      </c>
      <c r="F6133" t="s">
        <v>45</v>
      </c>
      <c r="G6133">
        <v>-169.01660000000001</v>
      </c>
      <c r="H6133">
        <v>0.70278450000000003</v>
      </c>
      <c r="I6133">
        <v>353.69009999999997</v>
      </c>
      <c r="J6133">
        <v>-188.16839999999999</v>
      </c>
      <c r="K6133">
        <v>1.1210230000000001</v>
      </c>
      <c r="L6133">
        <v>31.831759999999999</v>
      </c>
      <c r="M6133">
        <v>5.7561449999999998E-3</v>
      </c>
      <c r="N6133">
        <v>-5.345898E-3</v>
      </c>
      <c r="O6133">
        <v>0.99996910000000006</v>
      </c>
      <c r="P6133">
        <v>3.9086290000000003E-2</v>
      </c>
      <c r="Q6133">
        <v>0.17954579999999901</v>
      </c>
      <c r="R6133">
        <v>0.98297279999999998</v>
      </c>
      <c r="S6133">
        <v>0.18103030000000001</v>
      </c>
      <c r="T6133">
        <v>-3.9522649999999999E-3</v>
      </c>
      <c r="U6133">
        <v>3.0459900000000002</v>
      </c>
      <c r="V6133">
        <v>3.2866550000000001E-2</v>
      </c>
      <c r="W6133">
        <v>0.18490000000000001</v>
      </c>
      <c r="X6133">
        <v>0.98220759999999996</v>
      </c>
      <c r="Y6133">
        <v>5.3579139999999997E-2</v>
      </c>
      <c r="Z6133">
        <v>4.049576E-3</v>
      </c>
      <c r="AA6133">
        <v>0.99855539999999998</v>
      </c>
      <c r="AB6133">
        <v>42</v>
      </c>
      <c r="AC6133">
        <v>19.151799999999898</v>
      </c>
      <c r="AD6133">
        <v>-0.41823849999999901</v>
      </c>
      <c r="AE6133">
        <v>321.85834</v>
      </c>
      <c r="AF6133">
        <v>17.2987637717968</v>
      </c>
      <c r="AG6133">
        <v>-0.41823849999999901</v>
      </c>
      <c r="AH6133">
        <v>321.962708083964</v>
      </c>
      <c r="AI6133">
        <v>90.074321568168102</v>
      </c>
      <c r="AJ6133">
        <v>86.924507010623103</v>
      </c>
      <c r="AK6133">
        <v>322.42736786481902</v>
      </c>
      <c r="AL6133">
        <v>79.344697706556005</v>
      </c>
      <c r="AM6133">
        <v>88.083488426626104</v>
      </c>
      <c r="AN6133">
        <v>0.99999999480333102</v>
      </c>
    </row>
    <row r="6134" spans="1:40" x14ac:dyDescent="0.25">
      <c r="A6134" t="str">
        <f>"20190303171133971"</f>
        <v>20190303171133971</v>
      </c>
      <c r="B6134" t="str">
        <f>"1551604293956407"</f>
        <v>1551604293956407</v>
      </c>
      <c r="C6134" t="s">
        <v>40</v>
      </c>
      <c r="D6134">
        <v>4.8764190000000003</v>
      </c>
      <c r="E6134">
        <v>0.51142089999999996</v>
      </c>
      <c r="F6134" t="s">
        <v>45</v>
      </c>
      <c r="G6134">
        <v>-168.09440000000001</v>
      </c>
      <c r="H6134">
        <v>0.30984400000000001</v>
      </c>
      <c r="I6134">
        <v>381.38529999999997</v>
      </c>
      <c r="J6134">
        <v>-188.16669999999999</v>
      </c>
      <c r="K6134">
        <v>1.121008</v>
      </c>
      <c r="L6134">
        <v>32.264589999999998</v>
      </c>
      <c r="M6134">
        <v>4.6957989999999996E-3</v>
      </c>
      <c r="N6134">
        <v>-5.387111E-3</v>
      </c>
      <c r="O6134">
        <v>0.99997449999999999</v>
      </c>
      <c r="P6134">
        <v>3.7877090000000002E-2</v>
      </c>
      <c r="Q6134">
        <v>0.18018690000000001</v>
      </c>
      <c r="R6134">
        <v>0.98290279999999997</v>
      </c>
      <c r="S6134">
        <v>0.17494199999999999</v>
      </c>
      <c r="T6134">
        <v>-7.068515E-3</v>
      </c>
      <c r="U6134">
        <v>3.0462950000000002</v>
      </c>
      <c r="V6134">
        <v>3.2708000000000001E-2</v>
      </c>
      <c r="W6134">
        <v>0.18557850000000001</v>
      </c>
      <c r="X6134">
        <v>0.98208490000000004</v>
      </c>
      <c r="Y6134">
        <v>5.2643210000000003E-2</v>
      </c>
      <c r="Z6134">
        <v>3.0696019999999998E-3</v>
      </c>
      <c r="AA6134">
        <v>0.99860859999999996</v>
      </c>
      <c r="AB6134">
        <v>43</v>
      </c>
      <c r="AC6134">
        <v>20.072299999999899</v>
      </c>
      <c r="AD6134">
        <v>-0.811164</v>
      </c>
      <c r="AE6134">
        <v>349.12070999999997</v>
      </c>
      <c r="AF6134">
        <v>18.432555100486201</v>
      </c>
      <c r="AG6134">
        <v>-0.811164</v>
      </c>
      <c r="AH6134">
        <v>349.209238605184</v>
      </c>
      <c r="AI6134">
        <v>90.132904791985794</v>
      </c>
      <c r="AJ6134">
        <v>86.978520844134295</v>
      </c>
      <c r="AK6134">
        <v>349.696310249021</v>
      </c>
      <c r="AL6134">
        <v>79.305137626772705</v>
      </c>
      <c r="AM6134">
        <v>88.092488820964505</v>
      </c>
      <c r="AN6134">
        <v>0.99999997186712897</v>
      </c>
    </row>
    <row r="6135" spans="1:40" x14ac:dyDescent="0.25">
      <c r="A6135" t="str">
        <f>"20190303171133992"</f>
        <v>20190303171133992</v>
      </c>
      <c r="B6135" t="str">
        <f>"1551604293986664"</f>
        <v>1551604293986664</v>
      </c>
      <c r="C6135" t="s">
        <v>40</v>
      </c>
      <c r="D6135">
        <v>4.9405599999999996</v>
      </c>
      <c r="E6135">
        <v>0.5118762</v>
      </c>
      <c r="F6135" t="s">
        <v>45</v>
      </c>
      <c r="G6135">
        <v>-168.1172</v>
      </c>
      <c r="H6135">
        <v>0.45346930000000002</v>
      </c>
      <c r="I6135">
        <v>381.38529999999997</v>
      </c>
      <c r="J6135">
        <v>-188.16540000000001</v>
      </c>
      <c r="K6135">
        <v>1.1210009999999999</v>
      </c>
      <c r="L6135">
        <v>32.682650000000002</v>
      </c>
      <c r="M6135">
        <v>3.7023529999999998E-3</v>
      </c>
      <c r="N6135">
        <v>-5.438305E-3</v>
      </c>
      <c r="O6135">
        <v>0.99997840000000005</v>
      </c>
      <c r="P6135">
        <v>3.7252059999999997E-2</v>
      </c>
      <c r="Q6135">
        <v>0.18164569999999999</v>
      </c>
      <c r="R6135">
        <v>0.98265820000000004</v>
      </c>
      <c r="S6135">
        <v>0.17495729999999901</v>
      </c>
      <c r="T6135">
        <v>-5.8243269999999998E-3</v>
      </c>
      <c r="U6135">
        <v>3.0465089999999999</v>
      </c>
      <c r="V6135">
        <v>3.306514E-2</v>
      </c>
      <c r="W6135">
        <v>0.18708559999999999</v>
      </c>
      <c r="X6135">
        <v>0.98178699999999997</v>
      </c>
      <c r="Y6135">
        <v>5.3636169999999997E-2</v>
      </c>
      <c r="Z6135">
        <v>3.5289129999999998E-3</v>
      </c>
      <c r="AA6135">
        <v>0.99855430000000001</v>
      </c>
      <c r="AB6135">
        <v>43</v>
      </c>
      <c r="AC6135">
        <v>20.048200000000001</v>
      </c>
      <c r="AD6135">
        <v>-0.66753169999999895</v>
      </c>
      <c r="AE6135">
        <v>348.70264999999898</v>
      </c>
      <c r="AF6135">
        <v>18.756954739400399</v>
      </c>
      <c r="AG6135">
        <v>-0.66753169999999895</v>
      </c>
      <c r="AH6135">
        <v>348.77321269975403</v>
      </c>
      <c r="AI6135">
        <v>90.109502424473206</v>
      </c>
      <c r="AJ6135">
        <v>86.921609810571198</v>
      </c>
      <c r="AK6135">
        <v>349.27785908438898</v>
      </c>
      <c r="AL6135">
        <v>79.2172484354532</v>
      </c>
      <c r="AM6135">
        <v>88.071091605247503</v>
      </c>
      <c r="AN6135">
        <v>1.00000001928978</v>
      </c>
    </row>
    <row r="6136" spans="1:40" x14ac:dyDescent="0.25">
      <c r="A6136" t="str">
        <f>"20190303171134014"</f>
        <v>20190303171134014</v>
      </c>
      <c r="B6136" t="str">
        <f>"1551604294007160"</f>
        <v>1551604294007160</v>
      </c>
      <c r="C6136" t="s">
        <v>40</v>
      </c>
      <c r="D6136">
        <v>4.6669470000000004</v>
      </c>
      <c r="E6136">
        <v>0.51216439999999996</v>
      </c>
      <c r="F6136" t="s">
        <v>45</v>
      </c>
      <c r="G6136">
        <v>-167.99299999999999</v>
      </c>
      <c r="H6136">
        <v>0.9885311</v>
      </c>
      <c r="I6136">
        <v>381.38529999999997</v>
      </c>
      <c r="J6136">
        <v>-188.1644</v>
      </c>
      <c r="K6136">
        <v>1.1209929999999999</v>
      </c>
      <c r="L6136">
        <v>33.107239999999997</v>
      </c>
      <c r="M6136">
        <v>2.7168130000000002E-3</v>
      </c>
      <c r="N6136">
        <v>-5.4977480000000002E-3</v>
      </c>
      <c r="O6136">
        <v>0.99998120000000001</v>
      </c>
      <c r="P6136">
        <v>3.637253E-2</v>
      </c>
      <c r="Q6136">
        <v>0.18180560000000001</v>
      </c>
      <c r="R6136">
        <v>0.98266160000000002</v>
      </c>
      <c r="S6136">
        <v>0.17623900000000001</v>
      </c>
      <c r="T6136">
        <v>-1.1565690000000001E-3</v>
      </c>
      <c r="U6136">
        <v>3.046478</v>
      </c>
      <c r="V6136">
        <v>3.3161490000000002E-2</v>
      </c>
      <c r="W6136">
        <v>0.18730250000000001</v>
      </c>
      <c r="X6136">
        <v>0.98174240000000002</v>
      </c>
      <c r="Y6136">
        <v>5.5039350000000001E-2</v>
      </c>
      <c r="Z6136">
        <v>5.118287E-3</v>
      </c>
      <c r="AA6136">
        <v>0.99847109999999994</v>
      </c>
      <c r="AB6136">
        <v>43</v>
      </c>
      <c r="AC6136">
        <v>20.171399999999998</v>
      </c>
      <c r="AD6136">
        <v>-0.13246189999999999</v>
      </c>
      <c r="AE6136">
        <v>348.27805999999998</v>
      </c>
      <c r="AF6136">
        <v>19.225102124790201</v>
      </c>
      <c r="AG6136">
        <v>-0.13246189999999999</v>
      </c>
      <c r="AH6136">
        <v>348.33152715669098</v>
      </c>
      <c r="AI6136">
        <v>90.021755063212495</v>
      </c>
      <c r="AJ6136">
        <v>86.840938292863299</v>
      </c>
      <c r="AK6136">
        <v>348.861684495698</v>
      </c>
      <c r="AL6136">
        <v>79.204597414447406</v>
      </c>
      <c r="AM6136">
        <v>88.065387319225394</v>
      </c>
      <c r="AN6136">
        <v>1.00000002544151</v>
      </c>
    </row>
    <row r="6137" spans="1:40" x14ac:dyDescent="0.25">
      <c r="A6137" t="str">
        <f>"20190303171134039"</f>
        <v>20190303171134039</v>
      </c>
      <c r="B6137" t="str">
        <f>"1551604294026679"</f>
        <v>1551604294026679</v>
      </c>
      <c r="C6137" t="s">
        <v>40</v>
      </c>
      <c r="D6137">
        <v>4.9376340000000001</v>
      </c>
      <c r="E6137">
        <v>0.51227520000000004</v>
      </c>
      <c r="F6137" t="s">
        <v>45</v>
      </c>
      <c r="G6137">
        <v>-168.04660000000001</v>
      </c>
      <c r="H6137">
        <v>1.0419449999999999</v>
      </c>
      <c r="I6137">
        <v>381.38529999999997</v>
      </c>
      <c r="J6137">
        <v>-188.16390000000001</v>
      </c>
      <c r="K6137">
        <v>1.1209849999999999</v>
      </c>
      <c r="L6137">
        <v>33.57687</v>
      </c>
      <c r="M6137">
        <v>1.647794E-3</v>
      </c>
      <c r="N6137">
        <v>-5.5681890000000003E-3</v>
      </c>
      <c r="O6137">
        <v>0.99998310000000001</v>
      </c>
      <c r="P6137">
        <v>3.485133E-2</v>
      </c>
      <c r="Q6137">
        <v>0.18080830000000001</v>
      </c>
      <c r="R6137">
        <v>0.98290069999999996</v>
      </c>
      <c r="S6137">
        <v>0.17597960000000001</v>
      </c>
      <c r="T6137">
        <v>-6.9069859999999999E-4</v>
      </c>
      <c r="U6137">
        <v>3.0465390000000001</v>
      </c>
      <c r="V6137">
        <v>3.2699909999999999E-2</v>
      </c>
      <c r="W6137">
        <v>0.1863727</v>
      </c>
      <c r="X6137">
        <v>0.9819348</v>
      </c>
      <c r="Y6137">
        <v>5.6020760000000003E-2</v>
      </c>
      <c r="Z6137">
        <v>5.3415779999999996E-3</v>
      </c>
      <c r="AA6137">
        <v>0.99841530000000001</v>
      </c>
      <c r="AB6137">
        <v>43</v>
      </c>
      <c r="AC6137">
        <v>20.1173</v>
      </c>
      <c r="AD6137">
        <v>-7.9039999999999999E-2</v>
      </c>
      <c r="AE6137">
        <v>347.80842999999999</v>
      </c>
      <c r="AF6137">
        <v>19.544146129845601</v>
      </c>
      <c r="AG6137">
        <v>-7.9039999999999999E-2</v>
      </c>
      <c r="AH6137">
        <v>347.84108957362599</v>
      </c>
      <c r="AI6137">
        <v>90.012998828812997</v>
      </c>
      <c r="AJ6137">
        <v>86.784103556996499</v>
      </c>
      <c r="AK6137">
        <v>348.38972931335701</v>
      </c>
      <c r="AL6137">
        <v>79.258825777468701</v>
      </c>
      <c r="AM6137">
        <v>88.0926689789503</v>
      </c>
      <c r="AN6137">
        <v>1.00000000943516</v>
      </c>
    </row>
    <row r="6138" spans="1:40" x14ac:dyDescent="0.25">
      <c r="A6138" t="str">
        <f>"20190303171134062"</f>
        <v>20190303171134062</v>
      </c>
      <c r="B6138" t="str">
        <f>"1551604294056935"</f>
        <v>1551604294056935</v>
      </c>
      <c r="C6138" t="s">
        <v>40</v>
      </c>
      <c r="D6138">
        <v>4.9427149999999997</v>
      </c>
      <c r="E6138">
        <v>0.5154318</v>
      </c>
      <c r="F6138" t="s">
        <v>45</v>
      </c>
      <c r="G6138">
        <v>-168.40389999999999</v>
      </c>
      <c r="H6138">
        <v>0.68001940000000005</v>
      </c>
      <c r="I6138">
        <v>381.38529999999997</v>
      </c>
      <c r="J6138">
        <v>-188.16390000000001</v>
      </c>
      <c r="K6138">
        <v>1.1209769999999999</v>
      </c>
      <c r="L6138">
        <v>34.027769999999997</v>
      </c>
      <c r="M6138">
        <v>6.3728949999999895E-4</v>
      </c>
      <c r="N6138">
        <v>-5.6398000000000004E-3</v>
      </c>
      <c r="O6138">
        <v>0.99998390000000004</v>
      </c>
      <c r="P6138">
        <v>3.3028620000000002E-2</v>
      </c>
      <c r="Q6138">
        <v>0.18053669999999999</v>
      </c>
      <c r="R6138">
        <v>0.98301349999999998</v>
      </c>
      <c r="S6138">
        <v>0.17309569999999999</v>
      </c>
      <c r="T6138">
        <v>-3.862023E-3</v>
      </c>
      <c r="U6138">
        <v>3.0467529999999998</v>
      </c>
      <c r="V6138">
        <v>3.18762E-2</v>
      </c>
      <c r="W6138">
        <v>0.1861689</v>
      </c>
      <c r="X6138">
        <v>0.98200050000000005</v>
      </c>
      <c r="Y6138">
        <v>5.6083790000000001E-2</v>
      </c>
      <c r="Z6138">
        <v>4.3741459999999998E-3</v>
      </c>
      <c r="AA6138">
        <v>0.99841650000000004</v>
      </c>
      <c r="AB6138">
        <v>43</v>
      </c>
      <c r="AC6138">
        <v>19.760000000000002</v>
      </c>
      <c r="AD6138">
        <v>-0.44095760000000001</v>
      </c>
      <c r="AE6138">
        <v>347.35753</v>
      </c>
      <c r="AF6138">
        <v>19.5385937759021</v>
      </c>
      <c r="AG6138">
        <v>-0.44095760000000001</v>
      </c>
      <c r="AH6138">
        <v>347.36949450792002</v>
      </c>
      <c r="AI6138">
        <v>90.072617557706806</v>
      </c>
      <c r="AJ6138">
        <v>86.780659707227301</v>
      </c>
      <c r="AK6138">
        <v>347.918836519428</v>
      </c>
      <c r="AL6138">
        <v>79.270710197560405</v>
      </c>
      <c r="AM6138">
        <v>88.140804754860298</v>
      </c>
      <c r="AN6138">
        <v>0.99999996672694902</v>
      </c>
    </row>
    <row r="6139" spans="1:40" x14ac:dyDescent="0.25">
      <c r="A6139" t="str">
        <f>"20190303171134085"</f>
        <v>20190303171134085</v>
      </c>
      <c r="B6139" t="str">
        <f>"1551604294076456"</f>
        <v>1551604294076456</v>
      </c>
      <c r="C6139" t="s">
        <v>40</v>
      </c>
      <c r="D6139">
        <v>4.7105350000000001</v>
      </c>
      <c r="E6139">
        <v>0.51547529999999997</v>
      </c>
      <c r="F6139" t="s">
        <v>46</v>
      </c>
      <c r="G6139">
        <v>-177.27950000000001</v>
      </c>
      <c r="H6139">
        <v>0.32062439999999998</v>
      </c>
      <c r="I6139">
        <v>205.3689</v>
      </c>
      <c r="J6139">
        <v>-188.1643</v>
      </c>
      <c r="K6139">
        <v>1.1209709999999999</v>
      </c>
      <c r="L6139">
        <v>34.465449999999997</v>
      </c>
      <c r="M6139">
        <v>-3.3196389999999999E-4</v>
      </c>
      <c r="N6139">
        <v>-5.7102059999999998E-3</v>
      </c>
      <c r="O6139">
        <v>0.99998370000000003</v>
      </c>
      <c r="P6139">
        <v>3.2010520000000001E-2</v>
      </c>
      <c r="Q6139">
        <v>0.1815013</v>
      </c>
      <c r="R6139">
        <v>0.98286960000000001</v>
      </c>
      <c r="S6139">
        <v>0.19361880000000001</v>
      </c>
      <c r="T6139">
        <v>-1.423728E-2</v>
      </c>
      <c r="U6139">
        <v>3.0479430000000001</v>
      </c>
      <c r="V6139">
        <v>3.1812729999999997E-2</v>
      </c>
      <c r="W6139">
        <v>0.18720039999999999</v>
      </c>
      <c r="X6139">
        <v>0.98180650000000003</v>
      </c>
      <c r="Y6139">
        <v>6.3726000000000005E-2</v>
      </c>
      <c r="Z6139">
        <v>1.0486639999999999E-3</v>
      </c>
      <c r="AA6139">
        <v>0.99796689999999999</v>
      </c>
      <c r="AB6139">
        <v>43</v>
      </c>
      <c r="AC6139">
        <v>10.884799999999901</v>
      </c>
      <c r="AD6139">
        <v>-0.80034659999999902</v>
      </c>
      <c r="AE6139">
        <v>170.90344999999999</v>
      </c>
      <c r="AF6139">
        <v>10.9412951156696</v>
      </c>
      <c r="AG6139">
        <v>-0.80034659999999902</v>
      </c>
      <c r="AH6139">
        <v>170.89609441630299</v>
      </c>
      <c r="AI6139">
        <v>90.267779409395203</v>
      </c>
      <c r="AJ6139">
        <v>86.336747170057393</v>
      </c>
      <c r="AK6139">
        <v>171.24785423541601</v>
      </c>
      <c r="AL6139">
        <v>79.210552606415703</v>
      </c>
      <c r="AM6139">
        <v>88.144137703672001</v>
      </c>
      <c r="AN6139">
        <v>1.0000000214962299</v>
      </c>
    </row>
    <row r="6140" spans="1:40" x14ac:dyDescent="0.25">
      <c r="A6140" t="str">
        <f>"20190303171134150"</f>
        <v>20190303171134150</v>
      </c>
      <c r="B6140" t="str">
        <f>"1551604294146523"</f>
        <v>1551604294146523</v>
      </c>
      <c r="C6140" t="s">
        <v>40</v>
      </c>
      <c r="D6140">
        <v>6.9800039999999903</v>
      </c>
      <c r="E6140">
        <v>0.51547529999999997</v>
      </c>
      <c r="F6140" t="s">
        <v>46</v>
      </c>
      <c r="G6140">
        <v>-177.46809999999999</v>
      </c>
      <c r="H6140">
        <v>0.37898179999999998</v>
      </c>
      <c r="I6140">
        <v>205.3819</v>
      </c>
      <c r="J6140">
        <v>-188.16759999999999</v>
      </c>
      <c r="K6140">
        <v>1.120914</v>
      </c>
      <c r="L6140">
        <v>35.735439999999997</v>
      </c>
      <c r="M6140">
        <v>-2.9897259999999998E-3</v>
      </c>
      <c r="N6140">
        <v>-5.9221710000000004E-3</v>
      </c>
      <c r="O6140">
        <v>0.99997800000000003</v>
      </c>
      <c r="P6140">
        <v>2.7924109999999999E-2</v>
      </c>
      <c r="Q6140">
        <v>0.18132980000000001</v>
      </c>
      <c r="R6140">
        <v>0.98302579999999995</v>
      </c>
      <c r="S6140">
        <v>0.19078059999999999</v>
      </c>
      <c r="T6140">
        <v>-1.323438E-2</v>
      </c>
      <c r="U6140">
        <v>3.0485229999999999</v>
      </c>
      <c r="V6140">
        <v>3.0370600000000001E-2</v>
      </c>
      <c r="W6140">
        <v>0.18722849999999999</v>
      </c>
      <c r="X6140">
        <v>0.98184680000000002</v>
      </c>
      <c r="Y6140">
        <v>6.5440739999999997E-2</v>
      </c>
      <c r="Z6140">
        <v>1.5904630000000001E-3</v>
      </c>
      <c r="AA6140">
        <v>0.99785520000000005</v>
      </c>
      <c r="AB6140">
        <v>44</v>
      </c>
      <c r="AC6140">
        <v>10.6995</v>
      </c>
      <c r="AD6140">
        <v>-0.74193219999999904</v>
      </c>
      <c r="AE6140">
        <v>169.64645999999999</v>
      </c>
      <c r="AF6140">
        <v>11.206444011130101</v>
      </c>
      <c r="AG6140">
        <v>-0.74193219999999904</v>
      </c>
      <c r="AH6140">
        <v>169.61048142166101</v>
      </c>
      <c r="AI6140">
        <v>90.250083778512604</v>
      </c>
      <c r="AJ6140">
        <v>86.219867715594802</v>
      </c>
      <c r="AK6140">
        <v>169.98191156370601</v>
      </c>
      <c r="AL6140">
        <v>79.208913508245402</v>
      </c>
      <c r="AM6140">
        <v>88.228285162333805</v>
      </c>
      <c r="AN6140">
        <v>1.00000001161342</v>
      </c>
    </row>
    <row r="6141" spans="1:40" x14ac:dyDescent="0.25">
      <c r="A6141" t="str">
        <f>"20190303171134182"</f>
        <v>20190303171134182</v>
      </c>
      <c r="B6141" t="str">
        <f>"1551604294176773"</f>
        <v>1551604294176773</v>
      </c>
      <c r="C6141" t="s">
        <v>40</v>
      </c>
      <c r="D6141">
        <v>5.0350679999999999</v>
      </c>
      <c r="E6141">
        <v>0.50203540000000002</v>
      </c>
      <c r="F6141" t="s">
        <v>41</v>
      </c>
      <c r="G6141">
        <v>-172.78309999999999</v>
      </c>
      <c r="H6141">
        <v>-0.05</v>
      </c>
      <c r="I6141">
        <v>297.7835</v>
      </c>
      <c r="J6141">
        <v>-188.1704</v>
      </c>
      <c r="K6141">
        <v>1.120827</v>
      </c>
      <c r="L6141">
        <v>36.362580000000001</v>
      </c>
      <c r="M6141">
        <v>-4.1093379999999997E-3</v>
      </c>
      <c r="N6141">
        <v>-6.030901E-3</v>
      </c>
      <c r="O6141">
        <v>0.99997340000000001</v>
      </c>
      <c r="P6141">
        <v>2.6363370000000001E-2</v>
      </c>
      <c r="Q6141">
        <v>0.18147769999999999</v>
      </c>
      <c r="R6141">
        <v>0.98304159999999996</v>
      </c>
      <c r="S6141">
        <v>0.17901610000000001</v>
      </c>
      <c r="T6141">
        <v>-1.362491E-2</v>
      </c>
      <c r="U6141">
        <v>3.0492249999999999</v>
      </c>
      <c r="V6141">
        <v>2.9947370000000001E-2</v>
      </c>
      <c r="W6141">
        <v>0.1874758</v>
      </c>
      <c r="X6141">
        <v>0.98181260000000004</v>
      </c>
      <c r="Y6141">
        <v>6.2707620000000006E-2</v>
      </c>
      <c r="Z6141">
        <v>1.5716689999999999E-3</v>
      </c>
      <c r="AA6141">
        <v>0.99803070000000005</v>
      </c>
      <c r="AB6141">
        <v>44</v>
      </c>
      <c r="AC6141">
        <v>15.3873</v>
      </c>
      <c r="AD6141">
        <v>-1.1708270000000001</v>
      </c>
      <c r="AE6141">
        <v>261.42092000000002</v>
      </c>
      <c r="AF6141">
        <v>16.461127450172299</v>
      </c>
      <c r="AG6141">
        <v>-1.1708270000000001</v>
      </c>
      <c r="AH6141">
        <v>261.35025561204702</v>
      </c>
      <c r="AI6141">
        <v>90.256170901973206</v>
      </c>
      <c r="AJ6141">
        <v>86.395990153930697</v>
      </c>
      <c r="AK6141">
        <v>261.87076137147699</v>
      </c>
      <c r="AL6141">
        <v>79.194488726189505</v>
      </c>
      <c r="AM6141">
        <v>88.252898697457795</v>
      </c>
      <c r="AN6141">
        <v>1.0000000010371499</v>
      </c>
    </row>
    <row r="6142" spans="1:40" x14ac:dyDescent="0.25">
      <c r="A6142" t="str">
        <f>"20190303171134205"</f>
        <v>20190303171134205</v>
      </c>
      <c r="B6142" t="str">
        <f>"1551604294196294"</f>
        <v>1551604294196294</v>
      </c>
      <c r="C6142" t="s">
        <v>40</v>
      </c>
      <c r="D6142">
        <v>4.8304980000000004</v>
      </c>
      <c r="E6142">
        <v>0.4983822</v>
      </c>
      <c r="F6142" t="s">
        <v>42</v>
      </c>
      <c r="G6142">
        <v>-186.4333</v>
      </c>
      <c r="H6142" s="1">
        <v>-4.302313E-6</v>
      </c>
      <c r="I6142">
        <v>118.18680000000001</v>
      </c>
      <c r="J6142">
        <v>-188.17259999999999</v>
      </c>
      <c r="K6142">
        <v>1.120754</v>
      </c>
      <c r="L6142">
        <v>36.803130000000003</v>
      </c>
      <c r="M6142">
        <v>-4.778806E-3</v>
      </c>
      <c r="N6142">
        <v>-6.1138809999999998E-3</v>
      </c>
      <c r="O6142">
        <v>0.99996989999999997</v>
      </c>
      <c r="P6142">
        <v>2.5469459999999999E-2</v>
      </c>
      <c r="Q6142">
        <v>0.1811092</v>
      </c>
      <c r="R6142">
        <v>0.98313309999999998</v>
      </c>
      <c r="S6142">
        <v>6.4910889999999999E-2</v>
      </c>
      <c r="T6142">
        <v>-4.1885020000000002E-2</v>
      </c>
      <c r="U6142">
        <v>3.0577390000000002</v>
      </c>
      <c r="V6142">
        <v>2.974775E-2</v>
      </c>
      <c r="W6142">
        <v>0.18718309999999999</v>
      </c>
      <c r="X6142">
        <v>0.98187449999999998</v>
      </c>
      <c r="Y6142">
        <v>2.5999000000000001E-2</v>
      </c>
      <c r="Z6142">
        <v>-7.5787850000000002E-3</v>
      </c>
      <c r="AA6142">
        <v>0.99963329999999995</v>
      </c>
      <c r="AB6142">
        <v>44</v>
      </c>
      <c r="AC6142">
        <v>1.7392999999999801</v>
      </c>
      <c r="AD6142">
        <v>-1.1207583023129899</v>
      </c>
      <c r="AE6142">
        <v>81.383669999999995</v>
      </c>
      <c r="AF6142">
        <v>2.12780082505118</v>
      </c>
      <c r="AG6142">
        <v>-1.1207583023129899</v>
      </c>
      <c r="AH6142">
        <v>81.359006180069301</v>
      </c>
      <c r="AI6142">
        <v>90.788956459101897</v>
      </c>
      <c r="AJ6142">
        <v>88.501871790252807</v>
      </c>
      <c r="AK6142">
        <v>81.394542336276203</v>
      </c>
      <c r="AL6142">
        <v>79.21156129053</v>
      </c>
      <c r="AM6142">
        <v>88.264646535714903</v>
      </c>
      <c r="AN6142">
        <v>0.99999998765296105</v>
      </c>
    </row>
    <row r="6143" spans="1:40" x14ac:dyDescent="0.25">
      <c r="A6143" t="str">
        <f>"20190303171134227"</f>
        <v>20190303171134227</v>
      </c>
      <c r="B6143" t="str">
        <f>"1551604294216790"</f>
        <v>1551604294216790</v>
      </c>
      <c r="C6143" t="s">
        <v>40</v>
      </c>
      <c r="D6143">
        <v>4.843928</v>
      </c>
      <c r="E6143">
        <v>0.4953477</v>
      </c>
      <c r="F6143" t="s">
        <v>42</v>
      </c>
      <c r="G6143">
        <v>-187.36500000000001</v>
      </c>
      <c r="H6143" s="1">
        <v>-1.2549959999999999E-6</v>
      </c>
      <c r="I6143">
        <v>111.2757</v>
      </c>
      <c r="J6143">
        <v>-188.17509999999999</v>
      </c>
      <c r="K6143">
        <v>1.1206799999999999</v>
      </c>
      <c r="L6143">
        <v>37.250920000000001</v>
      </c>
      <c r="M6143">
        <v>-5.3607569999999998E-3</v>
      </c>
      <c r="N6143">
        <v>-6.2015619999999999E-3</v>
      </c>
      <c r="O6143">
        <v>0.99996640000000003</v>
      </c>
      <c r="P6143">
        <v>2.3501149999999998E-2</v>
      </c>
      <c r="Q6143">
        <v>0.18051719999999999</v>
      </c>
      <c r="R6143">
        <v>0.98329100000000003</v>
      </c>
      <c r="S6143">
        <v>3.3172609999999998E-2</v>
      </c>
      <c r="T6143">
        <v>-4.6036840000000002E-2</v>
      </c>
      <c r="U6143">
        <v>3.0590820000000001</v>
      </c>
      <c r="V6143">
        <v>2.83921E-2</v>
      </c>
      <c r="W6143">
        <v>0.18666920000000001</v>
      </c>
      <c r="X6143">
        <v>0.98201249999999995</v>
      </c>
      <c r="Y6143">
        <v>1.620224E-2</v>
      </c>
      <c r="Z6143">
        <v>-8.8444470000000001E-3</v>
      </c>
      <c r="AA6143">
        <v>0.99982959999999999</v>
      </c>
      <c r="AB6143">
        <v>44</v>
      </c>
      <c r="AC6143">
        <v>0.81009999999997695</v>
      </c>
      <c r="AD6143">
        <v>-1.1206812549959999</v>
      </c>
      <c r="AE6143">
        <v>74.024779999999893</v>
      </c>
      <c r="AF6143">
        <v>1.2066483205665799</v>
      </c>
      <c r="AG6143">
        <v>-1.1206812549959999</v>
      </c>
      <c r="AH6143">
        <v>74.002414326404804</v>
      </c>
      <c r="AI6143">
        <v>90.867496913779902</v>
      </c>
      <c r="AJ6143">
        <v>89.065844936586899</v>
      </c>
      <c r="AK6143">
        <v>74.020735289388398</v>
      </c>
      <c r="AL6143">
        <v>79.241534306341094</v>
      </c>
      <c r="AM6143">
        <v>88.343916746812795</v>
      </c>
      <c r="AN6143">
        <v>1.0000000258636399</v>
      </c>
    </row>
    <row r="6144" spans="1:40" x14ac:dyDescent="0.25">
      <c r="A6144" t="str">
        <f>"20190303171134250"</f>
        <v>20190303171134250</v>
      </c>
      <c r="B6144" t="str">
        <f>"1551604294236311"</f>
        <v>1551604294236311</v>
      </c>
      <c r="C6144" t="s">
        <v>40</v>
      </c>
      <c r="D6144">
        <v>4.9582129999999998</v>
      </c>
      <c r="E6144">
        <v>0.49311389999999999</v>
      </c>
      <c r="F6144" t="s">
        <v>42</v>
      </c>
      <c r="G6144">
        <v>-188.10329999999999</v>
      </c>
      <c r="H6144" s="1">
        <v>-3.117191E-6</v>
      </c>
      <c r="I6144">
        <v>106.1148</v>
      </c>
      <c r="J6144">
        <v>-188.17789999999999</v>
      </c>
      <c r="K6144">
        <v>1.120598</v>
      </c>
      <c r="L6144">
        <v>37.718380000000003</v>
      </c>
      <c r="M6144">
        <v>-5.8499499999999996E-3</v>
      </c>
      <c r="N6144">
        <v>-6.2982230000000004E-3</v>
      </c>
      <c r="O6144">
        <v>0.99996300000000005</v>
      </c>
      <c r="P6144">
        <v>2.1951189999999999E-2</v>
      </c>
      <c r="Q6144">
        <v>0.17953540000000001</v>
      </c>
      <c r="R6144">
        <v>0.98350660000000001</v>
      </c>
      <c r="S6144">
        <v>3.1890870000000002E-3</v>
      </c>
      <c r="T6144">
        <v>-4.9799080000000003E-2</v>
      </c>
      <c r="U6144">
        <v>3.0600589999999999</v>
      </c>
      <c r="V6144">
        <v>2.736972E-2</v>
      </c>
      <c r="W6144">
        <v>0.18577489999999999</v>
      </c>
      <c r="X6144">
        <v>0.9822111</v>
      </c>
      <c r="Y6144">
        <v>6.8916680000000001E-3</v>
      </c>
      <c r="Z6144">
        <v>-9.9733990000000008E-3</v>
      </c>
      <c r="AA6144">
        <v>0.99992650000000005</v>
      </c>
      <c r="AB6144">
        <v>44</v>
      </c>
      <c r="AC6144">
        <v>7.4600000000003705E-2</v>
      </c>
      <c r="AD6144">
        <v>-1.120601117191</v>
      </c>
      <c r="AE6144">
        <v>68.396419999999907</v>
      </c>
      <c r="AF6144">
        <v>0.47459492189274299</v>
      </c>
      <c r="AG6144">
        <v>-1.120601117191</v>
      </c>
      <c r="AH6144">
        <v>68.376458747117198</v>
      </c>
      <c r="AI6144">
        <v>90.938896546941294</v>
      </c>
      <c r="AJ6144">
        <v>89.602321473800004</v>
      </c>
      <c r="AK6144">
        <v>68.387287546736005</v>
      </c>
      <c r="AL6144">
        <v>79.293686224461794</v>
      </c>
      <c r="AM6144">
        <v>88.403842364774803</v>
      </c>
      <c r="AN6144">
        <v>1.0000000300030401</v>
      </c>
    </row>
    <row r="6145" spans="1:40" x14ac:dyDescent="0.25">
      <c r="A6145" t="str">
        <f>"20190303171134273"</f>
        <v>20190303171134273</v>
      </c>
      <c r="B6145" t="str">
        <f>"1551604294266566"</f>
        <v>1551604294266566</v>
      </c>
      <c r="C6145" t="s">
        <v>40</v>
      </c>
      <c r="D6145">
        <v>4.94407</v>
      </c>
      <c r="E6145">
        <v>0.49111749999999998</v>
      </c>
      <c r="F6145" t="s">
        <v>42</v>
      </c>
      <c r="G6145">
        <v>-188.5866</v>
      </c>
      <c r="H6145" s="1">
        <v>-2.301518E-6</v>
      </c>
      <c r="I6145">
        <v>104.41330000000001</v>
      </c>
      <c r="J6145">
        <v>-188.1806</v>
      </c>
      <c r="K6145">
        <v>1.1205130000000001</v>
      </c>
      <c r="L6145">
        <v>38.153170000000003</v>
      </c>
      <c r="M6145">
        <v>-6.1920409999999997E-3</v>
      </c>
      <c r="N6145">
        <v>-6.39187E-3</v>
      </c>
      <c r="O6145">
        <v>0.99996039999999997</v>
      </c>
      <c r="P6145">
        <v>2.115999E-2</v>
      </c>
      <c r="Q6145">
        <v>0.1801547</v>
      </c>
      <c r="R6145">
        <v>0.98341069999999997</v>
      </c>
      <c r="S6145">
        <v>-1.875305E-2</v>
      </c>
      <c r="T6145">
        <v>-5.1415799999999998E-2</v>
      </c>
      <c r="U6145">
        <v>3.06012</v>
      </c>
      <c r="V6145">
        <v>2.6955960000000001E-2</v>
      </c>
      <c r="W6145">
        <v>0.18647859999999999</v>
      </c>
      <c r="X6145">
        <v>0.9820892</v>
      </c>
      <c r="Y6145" s="1">
        <v>6.4402270000000003E-5</v>
      </c>
      <c r="Z6145">
        <v>-1.0407690000000001E-2</v>
      </c>
      <c r="AA6145">
        <v>0.9999458</v>
      </c>
      <c r="AB6145">
        <v>44</v>
      </c>
      <c r="AC6145">
        <v>-0.40600000000000502</v>
      </c>
      <c r="AD6145">
        <v>-1.1205153015179901</v>
      </c>
      <c r="AE6145">
        <v>66.260130000000004</v>
      </c>
      <c r="AF6145">
        <v>4.3003773391473397E-3</v>
      </c>
      <c r="AG6145">
        <v>-1.1205153015179901</v>
      </c>
      <c r="AH6145">
        <v>66.242430607351096</v>
      </c>
      <c r="AI6145">
        <v>90.969086954246393</v>
      </c>
      <c r="AJ6145">
        <v>89.996280428280699</v>
      </c>
      <c r="AK6145">
        <v>66.251907035223596</v>
      </c>
      <c r="AL6145">
        <v>79.252650265570495</v>
      </c>
      <c r="AM6145">
        <v>88.427764946567606</v>
      </c>
      <c r="AN6145">
        <v>1.00000004439705</v>
      </c>
    </row>
    <row r="6146" spans="1:40" x14ac:dyDescent="0.25">
      <c r="A6146" t="str">
        <f>"20190303171134294"</f>
        <v>20190303171134294</v>
      </c>
      <c r="B6146" t="str">
        <f>"1551604294287061"</f>
        <v>1551604294287061</v>
      </c>
      <c r="C6146" t="s">
        <v>40</v>
      </c>
      <c r="D6146">
        <v>4.9111789999999997</v>
      </c>
      <c r="E6146">
        <v>0.49010569999999998</v>
      </c>
      <c r="F6146" t="s">
        <v>42</v>
      </c>
      <c r="G6146">
        <v>-189.02160000000001</v>
      </c>
      <c r="H6146" s="1">
        <v>-3.4198919999999998E-6</v>
      </c>
      <c r="I6146">
        <v>107.20010000000001</v>
      </c>
      <c r="J6146">
        <v>-188.18340000000001</v>
      </c>
      <c r="K6146">
        <v>1.1204339999999999</v>
      </c>
      <c r="L6146">
        <v>38.581389999999999</v>
      </c>
      <c r="M6146">
        <v>-6.4320990000000001E-3</v>
      </c>
      <c r="N6146">
        <v>-6.4862909999999999E-3</v>
      </c>
      <c r="O6146">
        <v>0.99995829999999997</v>
      </c>
      <c r="P6146">
        <v>2.117426E-2</v>
      </c>
      <c r="Q6146">
        <v>0.18092639999999999</v>
      </c>
      <c r="R6146">
        <v>0.9832687</v>
      </c>
      <c r="S6146">
        <v>-3.727722E-2</v>
      </c>
      <c r="T6146">
        <v>-4.9667120000000002E-2</v>
      </c>
      <c r="U6146">
        <v>3.0605159999999998</v>
      </c>
      <c r="V6146">
        <v>2.7246260000000001E-2</v>
      </c>
      <c r="W6146">
        <v>0.18733630000000001</v>
      </c>
      <c r="X6146">
        <v>0.98191790000000001</v>
      </c>
      <c r="Y6146">
        <v>-5.746129E-3</v>
      </c>
      <c r="Z6146">
        <v>-9.7394460000000006E-3</v>
      </c>
      <c r="AA6146">
        <v>0.99993600000000005</v>
      </c>
      <c r="AB6146">
        <v>44</v>
      </c>
      <c r="AC6146">
        <v>-0.83819999999999995</v>
      </c>
      <c r="AD6146">
        <v>-1.120437419892</v>
      </c>
      <c r="AE6146">
        <v>68.618709999999993</v>
      </c>
      <c r="AF6146">
        <v>-0.396705296288202</v>
      </c>
      <c r="AG6146">
        <v>-1.120437419892</v>
      </c>
      <c r="AH6146">
        <v>68.604393516770301</v>
      </c>
      <c r="AI6146">
        <v>90.935647883997703</v>
      </c>
      <c r="AJ6146">
        <v>90.331309478723696</v>
      </c>
      <c r="AK6146">
        <v>68.6146891336533</v>
      </c>
      <c r="AL6146">
        <v>79.202625698236801</v>
      </c>
      <c r="AM6146">
        <v>88.410564432679806</v>
      </c>
      <c r="AN6146">
        <v>1.00000000516104</v>
      </c>
    </row>
    <row r="6147" spans="1:40" x14ac:dyDescent="0.25">
      <c r="A6147" t="str">
        <f>"20190303171134318"</f>
        <v>20190303171134318</v>
      </c>
      <c r="B6147" t="str">
        <f>"1551604294306581"</f>
        <v>1551604294306581</v>
      </c>
      <c r="C6147" t="s">
        <v>40</v>
      </c>
      <c r="D6147">
        <v>4.8996890000000004</v>
      </c>
      <c r="E6147">
        <v>0.48912679999999997</v>
      </c>
      <c r="F6147" t="s">
        <v>42</v>
      </c>
      <c r="G6147">
        <v>-189.26920000000001</v>
      </c>
      <c r="H6147" s="1">
        <v>-7.0212079999999998E-7</v>
      </c>
      <c r="I6147">
        <v>110.96729999999999</v>
      </c>
      <c r="J6147">
        <v>-188.18639999999999</v>
      </c>
      <c r="K6147">
        <v>1.120357</v>
      </c>
      <c r="L6147">
        <v>39.037199999999999</v>
      </c>
      <c r="M6147">
        <v>-6.6037639999999998E-3</v>
      </c>
      <c r="N6147">
        <v>-6.5843710000000003E-3</v>
      </c>
      <c r="O6147">
        <v>0.99995650000000003</v>
      </c>
      <c r="P6147">
        <v>2.115827E-2</v>
      </c>
      <c r="Q6147">
        <v>0.18081939999999999</v>
      </c>
      <c r="R6147">
        <v>0.98328870000000002</v>
      </c>
      <c r="S6147">
        <v>-4.5913700000000002E-2</v>
      </c>
      <c r="T6147">
        <v>-4.7376389999999997E-2</v>
      </c>
      <c r="U6147">
        <v>3.0607600000000001</v>
      </c>
      <c r="V6147">
        <v>2.7440699999999998E-2</v>
      </c>
      <c r="W6147">
        <v>0.18731990000000001</v>
      </c>
      <c r="X6147">
        <v>0.9819156</v>
      </c>
      <c r="Y6147">
        <v>-8.3943679999999993E-3</v>
      </c>
      <c r="Z6147">
        <v>-8.8915419999999901E-3</v>
      </c>
      <c r="AA6147">
        <v>0.99992530000000002</v>
      </c>
      <c r="AB6147">
        <v>44</v>
      </c>
      <c r="AC6147">
        <v>-1.08280000000002</v>
      </c>
      <c r="AD6147">
        <v>-1.1203577021208</v>
      </c>
      <c r="AE6147">
        <v>71.930099999999996</v>
      </c>
      <c r="AF6147">
        <v>-0.60760930518702805</v>
      </c>
      <c r="AG6147">
        <v>-1.1203577021208</v>
      </c>
      <c r="AH6147">
        <v>71.918238737171905</v>
      </c>
      <c r="AI6147">
        <v>90.892461867285107</v>
      </c>
      <c r="AJ6147">
        <v>90.484058301620195</v>
      </c>
      <c r="AK6147">
        <v>71.929531164225693</v>
      </c>
      <c r="AL6147">
        <v>79.203582130929206</v>
      </c>
      <c r="AM6147">
        <v>88.399223730105305</v>
      </c>
      <c r="AN6147">
        <v>0.99999999123793004</v>
      </c>
    </row>
    <row r="6148" spans="1:40" x14ac:dyDescent="0.25">
      <c r="A6148" t="str">
        <f>"20190303171134339"</f>
        <v>20190303171134339</v>
      </c>
      <c r="B6148" t="str">
        <f>"1551604294327078"</f>
        <v>1551604294327078</v>
      </c>
      <c r="C6148" t="s">
        <v>40</v>
      </c>
      <c r="D6148">
        <v>4.9412349999999998</v>
      </c>
      <c r="E6148">
        <v>0.48832409999999998</v>
      </c>
      <c r="F6148" t="s">
        <v>42</v>
      </c>
      <c r="G6148">
        <v>-189.45339999999999</v>
      </c>
      <c r="H6148" s="1">
        <v>-9.2847150000000004E-7</v>
      </c>
      <c r="I6148">
        <v>111.5711</v>
      </c>
      <c r="J6148">
        <v>-188.18940000000001</v>
      </c>
      <c r="K6148">
        <v>1.1202890000000001</v>
      </c>
      <c r="L6148">
        <v>39.481540000000003</v>
      </c>
      <c r="M6148">
        <v>-6.7082540000000003E-3</v>
      </c>
      <c r="N6148">
        <v>-6.6768829999999998E-3</v>
      </c>
      <c r="O6148">
        <v>0.99995520000000004</v>
      </c>
      <c r="P6148">
        <v>2.155717E-2</v>
      </c>
      <c r="Q6148">
        <v>0.1808024</v>
      </c>
      <c r="R6148">
        <v>0.98328320000000002</v>
      </c>
      <c r="S6148">
        <v>-5.3466800000000002E-2</v>
      </c>
      <c r="T6148">
        <v>-4.7277449999999999E-2</v>
      </c>
      <c r="U6148">
        <v>3.0608219999999999</v>
      </c>
      <c r="V6148">
        <v>2.797707E-2</v>
      </c>
      <c r="W6148">
        <v>0.18738920000000001</v>
      </c>
      <c r="X6148">
        <v>0.98188730000000002</v>
      </c>
      <c r="Y6148">
        <v>-1.075622E-2</v>
      </c>
      <c r="Z6148">
        <v>-8.7659750000000005E-3</v>
      </c>
      <c r="AA6148">
        <v>0.99990369999999995</v>
      </c>
      <c r="AB6148">
        <v>44</v>
      </c>
      <c r="AC6148">
        <v>-1.26399999999998</v>
      </c>
      <c r="AD6148">
        <v>-1.12028992847149</v>
      </c>
      <c r="AE6148">
        <v>72.089559999999906</v>
      </c>
      <c r="AF6148">
        <v>-0.78017734039720799</v>
      </c>
      <c r="AG6148">
        <v>-1.12028992847149</v>
      </c>
      <c r="AH6148">
        <v>72.079015600746899</v>
      </c>
      <c r="AI6148">
        <v>90.890397260895895</v>
      </c>
      <c r="AJ6148">
        <v>90.620140590857005</v>
      </c>
      <c r="AK6148">
        <v>72.091942796536003</v>
      </c>
      <c r="AL6148">
        <v>79.199540590738195</v>
      </c>
      <c r="AM6148">
        <v>88.367903882563795</v>
      </c>
      <c r="AN6148">
        <v>1.0000000493118499</v>
      </c>
    </row>
    <row r="6149" spans="1:40" x14ac:dyDescent="0.25">
      <c r="A6149" t="str">
        <f>"20190303171134361"</f>
        <v>20190303171134361</v>
      </c>
      <c r="B6149" t="str">
        <f>"1551604294346598"</f>
        <v>1551604294346598</v>
      </c>
      <c r="C6149" t="s">
        <v>40</v>
      </c>
      <c r="D6149">
        <v>5.0041289999999998</v>
      </c>
      <c r="E6149">
        <v>0.48764410000000002</v>
      </c>
      <c r="F6149" t="s">
        <v>42</v>
      </c>
      <c r="G6149">
        <v>-189.56530000000001</v>
      </c>
      <c r="H6149" s="1">
        <v>-9.3026880000000002E-7</v>
      </c>
      <c r="I6149">
        <v>111.6215</v>
      </c>
      <c r="J6149">
        <v>-188.19220000000001</v>
      </c>
      <c r="K6149">
        <v>1.1202219999999901</v>
      </c>
      <c r="L6149">
        <v>39.897190000000002</v>
      </c>
      <c r="M6149">
        <v>-6.7700950000000003E-3</v>
      </c>
      <c r="N6149">
        <v>-6.7593139999999998E-3</v>
      </c>
      <c r="O6149">
        <v>0.99995420000000002</v>
      </c>
      <c r="P6149">
        <v>2.281979E-2</v>
      </c>
      <c r="Q6149">
        <v>0.18048829999999999</v>
      </c>
      <c r="R6149">
        <v>0.98331239999999998</v>
      </c>
      <c r="S6149">
        <v>-5.8380130000000002E-2</v>
      </c>
      <c r="T6149">
        <v>-4.7535540000000001E-2</v>
      </c>
      <c r="U6149">
        <v>3.0610050000000002</v>
      </c>
      <c r="V6149">
        <v>2.9328679999999999E-2</v>
      </c>
      <c r="W6149">
        <v>0.18715309999999999</v>
      </c>
      <c r="X6149">
        <v>0.98189280000000001</v>
      </c>
      <c r="Y6149">
        <v>-1.229763E-2</v>
      </c>
      <c r="Z6149">
        <v>-8.7665699999999996E-3</v>
      </c>
      <c r="AA6149">
        <v>0.99988600000000005</v>
      </c>
      <c r="AB6149">
        <v>45</v>
      </c>
      <c r="AC6149">
        <v>-1.37309999999999</v>
      </c>
      <c r="AD6149">
        <v>-1.1202229302687901</v>
      </c>
      <c r="AE6149">
        <v>71.724310000000003</v>
      </c>
      <c r="AF6149">
        <v>-0.88726067121128804</v>
      </c>
      <c r="AG6149">
        <v>-1.1202229302687901</v>
      </c>
      <c r="AH6149">
        <v>71.714475079802199</v>
      </c>
      <c r="AI6149">
        <v>90.894853037597002</v>
      </c>
      <c r="AJ6149">
        <v>90.708834557325901</v>
      </c>
      <c r="AK6149">
        <v>71.728711593641094</v>
      </c>
      <c r="AL6149">
        <v>79.213310811949796</v>
      </c>
      <c r="AM6149">
        <v>88.289110478892397</v>
      </c>
      <c r="AN6149">
        <v>0.99999996250099499</v>
      </c>
    </row>
    <row r="6150" spans="1:40" x14ac:dyDescent="0.25">
      <c r="A6150" t="str">
        <f>"20190303171134383"</f>
        <v>20190303171134383</v>
      </c>
      <c r="B6150" t="str">
        <f>"1551604294376853"</f>
        <v>1551604294376853</v>
      </c>
      <c r="C6150" t="s">
        <v>40</v>
      </c>
      <c r="D6150">
        <v>5.0004359999999997</v>
      </c>
      <c r="E6150">
        <v>0.48684959999999999</v>
      </c>
      <c r="F6150" t="s">
        <v>42</v>
      </c>
      <c r="G6150">
        <v>-189.59620000000001</v>
      </c>
      <c r="H6150" s="1">
        <v>-7.7710099999999997E-7</v>
      </c>
      <c r="I6150">
        <v>111.2773</v>
      </c>
      <c r="J6150">
        <v>-188.1953</v>
      </c>
      <c r="K6150">
        <v>1.120169</v>
      </c>
      <c r="L6150">
        <v>40.347020000000001</v>
      </c>
      <c r="M6150">
        <v>-6.8097770000000004E-3</v>
      </c>
      <c r="N6150">
        <v>-6.8418680000000001E-3</v>
      </c>
      <c r="O6150">
        <v>0.99995339999999999</v>
      </c>
      <c r="P6150">
        <v>2.3957280000000001E-2</v>
      </c>
      <c r="Q6150">
        <v>0.1801471</v>
      </c>
      <c r="R6150">
        <v>0.98334790000000005</v>
      </c>
      <c r="S6150">
        <v>-6.0211180000000003E-2</v>
      </c>
      <c r="T6150">
        <v>-4.8040630000000001E-2</v>
      </c>
      <c r="U6150">
        <v>3.0611269999999999</v>
      </c>
      <c r="V6150">
        <v>3.0531010000000001E-2</v>
      </c>
      <c r="W6150">
        <v>0.1868899</v>
      </c>
      <c r="X6150">
        <v>0.98190639999999996</v>
      </c>
      <c r="Y6150">
        <v>-1.285498E-2</v>
      </c>
      <c r="Z6150">
        <v>-8.8481959999999991E-3</v>
      </c>
      <c r="AA6150">
        <v>0.99987820000000005</v>
      </c>
      <c r="AB6150">
        <v>45</v>
      </c>
      <c r="AC6150">
        <v>-1.4009</v>
      </c>
      <c r="AD6150">
        <v>-1.120169777101</v>
      </c>
      <c r="AE6150">
        <v>70.930279999999996</v>
      </c>
      <c r="AF6150">
        <v>-0.91760805133438195</v>
      </c>
      <c r="AG6150">
        <v>-1.120169777101</v>
      </c>
      <c r="AH6150">
        <v>70.920494320466005</v>
      </c>
      <c r="AI6150">
        <v>90.904820175075201</v>
      </c>
      <c r="AJ6150">
        <v>90.741282694004397</v>
      </c>
      <c r="AK6150">
        <v>70.935275424323606</v>
      </c>
      <c r="AL6150">
        <v>79.228663176508704</v>
      </c>
      <c r="AM6150">
        <v>88.219041451952094</v>
      </c>
      <c r="AN6150">
        <v>1.0000000778272899</v>
      </c>
    </row>
    <row r="6151" spans="1:40" x14ac:dyDescent="0.25">
      <c r="A6151" t="str">
        <f>"20190303171134408"</f>
        <v>20190303171134408</v>
      </c>
      <c r="B6151" t="str">
        <f>"1551604294396374"</f>
        <v>1551604294396374</v>
      </c>
      <c r="C6151" t="s">
        <v>40</v>
      </c>
      <c r="D6151">
        <v>5.0030159999999997</v>
      </c>
      <c r="E6151">
        <v>0.48642819999999998</v>
      </c>
      <c r="F6151" t="s">
        <v>42</v>
      </c>
      <c r="G6151">
        <v>-189.65969999999999</v>
      </c>
      <c r="H6151" s="1">
        <v>-5.0377259999999997E-7</v>
      </c>
      <c r="I6151">
        <v>110.6664</v>
      </c>
      <c r="J6151">
        <v>-188.1987</v>
      </c>
      <c r="K6151">
        <v>1.1201190000000001</v>
      </c>
      <c r="L6151">
        <v>40.836640000000003</v>
      </c>
      <c r="M6151">
        <v>-6.8346669999999896E-3</v>
      </c>
      <c r="N6151">
        <v>-6.9233690000000004E-3</v>
      </c>
      <c r="O6151">
        <v>0.99995270000000003</v>
      </c>
      <c r="P6151">
        <v>2.4894059999999999E-2</v>
      </c>
      <c r="Q6151">
        <v>0.1795216</v>
      </c>
      <c r="R6151">
        <v>0.98343899999999995</v>
      </c>
      <c r="S6151">
        <v>-6.3751219999999997E-2</v>
      </c>
      <c r="T6151">
        <v>-4.8765419999999997E-2</v>
      </c>
      <c r="U6151">
        <v>3.0612789999999999</v>
      </c>
      <c r="V6151">
        <v>3.1516629999999997E-2</v>
      </c>
      <c r="W6151">
        <v>0.18634129999999999</v>
      </c>
      <c r="X6151">
        <v>0.98197939999999995</v>
      </c>
      <c r="Y6151">
        <v>-1.3984730000000001E-2</v>
      </c>
      <c r="Z6151">
        <v>-9.0022880000000007E-3</v>
      </c>
      <c r="AA6151">
        <v>0.99986169999999996</v>
      </c>
      <c r="AB6151">
        <v>45</v>
      </c>
      <c r="AC6151">
        <v>-1.4609999999999801</v>
      </c>
      <c r="AD6151">
        <v>-1.1201195037725999</v>
      </c>
      <c r="AE6151">
        <v>69.829759999999993</v>
      </c>
      <c r="AF6151">
        <v>-0.98343835823051595</v>
      </c>
      <c r="AG6151">
        <v>-1.1201195037725999</v>
      </c>
      <c r="AH6151">
        <v>69.820157433133303</v>
      </c>
      <c r="AI6151">
        <v>90.919021864406105</v>
      </c>
      <c r="AJ6151">
        <v>90.806975285133902</v>
      </c>
      <c r="AK6151">
        <v>69.836066632469297</v>
      </c>
      <c r="AL6151">
        <v>79.260656406321303</v>
      </c>
      <c r="AM6151">
        <v>88.161722912127104</v>
      </c>
      <c r="AN6151">
        <v>0.99999996003830205</v>
      </c>
    </row>
    <row r="6152" spans="1:40" x14ac:dyDescent="0.25">
      <c r="A6152" t="str">
        <f>"20190303171134428"</f>
        <v>20190303171134428</v>
      </c>
      <c r="B6152" t="str">
        <f>"1551604294416871"</f>
        <v>1551604294416871</v>
      </c>
      <c r="C6152" t="s">
        <v>40</v>
      </c>
      <c r="D6152">
        <v>5.0032920000000001</v>
      </c>
      <c r="E6152">
        <v>0.48601929999999999</v>
      </c>
      <c r="F6152" t="s">
        <v>42</v>
      </c>
      <c r="G6152">
        <v>-189.63640000000001</v>
      </c>
      <c r="H6152" s="1">
        <v>-3.9776309999999996E-6</v>
      </c>
      <c r="I6152">
        <v>108.7544</v>
      </c>
      <c r="J6152">
        <v>-188.20160000000001</v>
      </c>
      <c r="K6152">
        <v>1.1200870000000001</v>
      </c>
      <c r="L6152">
        <v>41.25235</v>
      </c>
      <c r="M6152">
        <v>-6.8483219999999996E-3</v>
      </c>
      <c r="N6152">
        <v>-6.9862129999999998E-3</v>
      </c>
      <c r="O6152">
        <v>0.99995210000000001</v>
      </c>
      <c r="P6152">
        <v>2.498396E-2</v>
      </c>
      <c r="Q6152">
        <v>0.17894979999999999</v>
      </c>
      <c r="R6152">
        <v>0.983541</v>
      </c>
      <c r="S6152">
        <v>-6.480408E-2</v>
      </c>
      <c r="T6152">
        <v>-5.0489190000000003E-2</v>
      </c>
      <c r="U6152">
        <v>3.0613709999999998</v>
      </c>
      <c r="V6152">
        <v>3.1638099999999898E-2</v>
      </c>
      <c r="W6152">
        <v>0.1858292</v>
      </c>
      <c r="X6152">
        <v>0.98207259999999996</v>
      </c>
      <c r="Y6152">
        <v>-1.4314E-2</v>
      </c>
      <c r="Z6152">
        <v>-9.5016739999999999E-3</v>
      </c>
      <c r="AA6152">
        <v>0.99985239999999997</v>
      </c>
      <c r="AB6152">
        <v>45</v>
      </c>
      <c r="AC6152">
        <v>-1.4347999999999901</v>
      </c>
      <c r="AD6152">
        <v>-1.120090977631</v>
      </c>
      <c r="AE6152">
        <v>67.502049999999997</v>
      </c>
      <c r="AF6152">
        <v>-0.97221170559294401</v>
      </c>
      <c r="AG6152">
        <v>-1.120090977631</v>
      </c>
      <c r="AH6152">
        <v>67.491718288494695</v>
      </c>
      <c r="AI6152">
        <v>90.950693519752306</v>
      </c>
      <c r="AJ6152">
        <v>90.825283109665804</v>
      </c>
      <c r="AK6152">
        <v>67.508013131273401</v>
      </c>
      <c r="AL6152">
        <v>79.290519889615595</v>
      </c>
      <c r="AM6152">
        <v>88.1548178009906</v>
      </c>
      <c r="AN6152">
        <v>1.0000000263075</v>
      </c>
    </row>
    <row r="6153" spans="1:40" x14ac:dyDescent="0.25">
      <c r="A6153" t="str">
        <f>"20190303171134453"</f>
        <v>20190303171134453</v>
      </c>
      <c r="B6153" t="str">
        <f>"1551604294447126"</f>
        <v>1551604294447126</v>
      </c>
      <c r="C6153" t="s">
        <v>40</v>
      </c>
      <c r="D6153">
        <v>5.0014880000000002</v>
      </c>
      <c r="E6153">
        <v>0.48548639999999998</v>
      </c>
      <c r="F6153" t="s">
        <v>42</v>
      </c>
      <c r="G6153">
        <v>-189.63419999999999</v>
      </c>
      <c r="H6153" s="1">
        <v>-2.9369100000000001E-6</v>
      </c>
      <c r="I6153">
        <v>106.3275</v>
      </c>
      <c r="J6153">
        <v>-188.20509999999999</v>
      </c>
      <c r="K6153">
        <v>1.1200460000000001</v>
      </c>
      <c r="L6153">
        <v>41.755099999999999</v>
      </c>
      <c r="M6153">
        <v>-6.8612959999999898E-3</v>
      </c>
      <c r="N6153">
        <v>-7.055108E-3</v>
      </c>
      <c r="O6153">
        <v>0.99995160000000005</v>
      </c>
      <c r="P6153">
        <v>2.500026E-2</v>
      </c>
      <c r="Q6153">
        <v>0.1791412</v>
      </c>
      <c r="R6153">
        <v>0.98350570000000004</v>
      </c>
      <c r="S6153">
        <v>-6.7398070000000004E-2</v>
      </c>
      <c r="T6153">
        <v>-5.2695159999999998E-2</v>
      </c>
      <c r="U6153">
        <v>3.061493</v>
      </c>
      <c r="V6153">
        <v>3.1684909999999997E-2</v>
      </c>
      <c r="W6153">
        <v>0.186085</v>
      </c>
      <c r="X6153">
        <v>0.98202259999999997</v>
      </c>
      <c r="Y6153">
        <v>-1.5146690000000001E-2</v>
      </c>
      <c r="Z6153">
        <v>-1.0152059999999999E-2</v>
      </c>
      <c r="AA6153">
        <v>0.99983379999999999</v>
      </c>
      <c r="AB6153">
        <v>45</v>
      </c>
      <c r="AC6153">
        <v>-1.4291</v>
      </c>
      <c r="AD6153">
        <v>-1.12004893691</v>
      </c>
      <c r="AE6153">
        <v>64.572400000000002</v>
      </c>
      <c r="AF6153">
        <v>-0.98570856845440902</v>
      </c>
      <c r="AG6153">
        <v>-1.12004893691</v>
      </c>
      <c r="AH6153">
        <v>64.561270582866698</v>
      </c>
      <c r="AI6153">
        <v>90.993787190763996</v>
      </c>
      <c r="AJ6153">
        <v>90.874712541128901</v>
      </c>
      <c r="AK6153">
        <v>64.578508733766299</v>
      </c>
      <c r="AL6153">
        <v>79.275602885627507</v>
      </c>
      <c r="AM6153">
        <v>88.151995640141195</v>
      </c>
      <c r="AN6153">
        <v>0.99999997382873296</v>
      </c>
    </row>
    <row r="6154" spans="1:40" x14ac:dyDescent="0.25">
      <c r="A6154" t="str">
        <f>"20190303171134474"</f>
        <v>20190303171134474</v>
      </c>
      <c r="B6154" t="str">
        <f>"1551604294466646"</f>
        <v>1551604294466646</v>
      </c>
      <c r="C6154" t="s">
        <v>40</v>
      </c>
      <c r="D6154">
        <v>5.0626009999999999</v>
      </c>
      <c r="E6154">
        <v>0.4852031</v>
      </c>
      <c r="F6154" t="s">
        <v>42</v>
      </c>
      <c r="G6154">
        <v>-189.73849999999999</v>
      </c>
      <c r="H6154" s="1">
        <v>-3.2469479999999998E-6</v>
      </c>
      <c r="I6154">
        <v>107.0933</v>
      </c>
      <c r="J6154">
        <v>-188.208</v>
      </c>
      <c r="K6154">
        <v>1.1200209999999999</v>
      </c>
      <c r="L6154">
        <v>42.180329999999998</v>
      </c>
      <c r="M6154">
        <v>-6.871444E-3</v>
      </c>
      <c r="N6154">
        <v>-7.1073469999999904E-3</v>
      </c>
      <c r="O6154">
        <v>0.99995109999999998</v>
      </c>
      <c r="P6154">
        <v>2.5653720000000001E-2</v>
      </c>
      <c r="Q6154">
        <v>0.18012300000000001</v>
      </c>
      <c r="R6154">
        <v>0.98330949999999995</v>
      </c>
      <c r="S6154">
        <v>-7.1853639999999996E-2</v>
      </c>
      <c r="T6154">
        <v>-5.2484749999999997E-2</v>
      </c>
      <c r="U6154">
        <v>3.0617070000000002</v>
      </c>
      <c r="V6154">
        <v>3.2359880000000001E-2</v>
      </c>
      <c r="W6154">
        <v>0.18711420000000001</v>
      </c>
      <c r="X6154">
        <v>0.98180500000000004</v>
      </c>
      <c r="Y6154">
        <v>-1.6589139999999999E-2</v>
      </c>
      <c r="Z6154">
        <v>-1.002949E-2</v>
      </c>
      <c r="AA6154">
        <v>0.99981209999999998</v>
      </c>
      <c r="AB6154">
        <v>45</v>
      </c>
      <c r="AC6154">
        <v>-1.53049999999998</v>
      </c>
      <c r="AD6154">
        <v>-1.120024246948</v>
      </c>
      <c r="AE6154">
        <v>64.912970000000001</v>
      </c>
      <c r="AF6154">
        <v>-1.0840841835370501</v>
      </c>
      <c r="AG6154">
        <v>-1.120024246948</v>
      </c>
      <c r="AH6154">
        <v>64.902643063643097</v>
      </c>
      <c r="AI6154">
        <v>90.988516686503402</v>
      </c>
      <c r="AJ6154">
        <v>90.956935956337304</v>
      </c>
      <c r="AK6154">
        <v>64.921358345905006</v>
      </c>
      <c r="AL6154">
        <v>79.215579801000104</v>
      </c>
      <c r="AM6154">
        <v>88.112238579083595</v>
      </c>
      <c r="AN6154">
        <v>0.99999997185012601</v>
      </c>
    </row>
    <row r="6155" spans="1:40" x14ac:dyDescent="0.25">
      <c r="A6155" t="str">
        <f>"20190303171134497"</f>
        <v>20190303171134497</v>
      </c>
      <c r="B6155" t="str">
        <f>"1551604294486165"</f>
        <v>1551604294486165</v>
      </c>
      <c r="C6155" t="s">
        <v>40</v>
      </c>
      <c r="D6155">
        <v>5.0613239999999999</v>
      </c>
      <c r="E6155">
        <v>0.48497180000000001</v>
      </c>
      <c r="F6155" t="s">
        <v>42</v>
      </c>
      <c r="G6155">
        <v>-189.86279999999999</v>
      </c>
      <c r="H6155" s="1">
        <v>-9.8872259999999998E-7</v>
      </c>
      <c r="I6155">
        <v>111.88079999999999</v>
      </c>
      <c r="J6155">
        <v>-188.21129999999999</v>
      </c>
      <c r="K6155">
        <v>1.1199859999999999</v>
      </c>
      <c r="L6155">
        <v>42.639980000000001</v>
      </c>
      <c r="M6155">
        <v>-6.8823E-3</v>
      </c>
      <c r="N6155">
        <v>-7.1584259999999999E-3</v>
      </c>
      <c r="O6155">
        <v>0.99995069999999997</v>
      </c>
      <c r="P6155">
        <v>2.618144E-2</v>
      </c>
      <c r="Q6155">
        <v>0.1807839</v>
      </c>
      <c r="R6155">
        <v>0.98317429999999995</v>
      </c>
      <c r="S6155">
        <v>-7.2692870000000007E-2</v>
      </c>
      <c r="T6155">
        <v>-4.9200769999999998E-2</v>
      </c>
      <c r="U6155">
        <v>3.0618289999999999</v>
      </c>
      <c r="V6155">
        <v>3.2909359999999999E-2</v>
      </c>
      <c r="W6155">
        <v>0.18782289999999999</v>
      </c>
      <c r="X6155">
        <v>0.98165139999999995</v>
      </c>
      <c r="Y6155">
        <v>-1.6851519999999998E-2</v>
      </c>
      <c r="Z6155">
        <v>-8.9057049999999999E-3</v>
      </c>
      <c r="AA6155">
        <v>0.99981830000000005</v>
      </c>
      <c r="AB6155">
        <v>45</v>
      </c>
      <c r="AC6155">
        <v>-1.65149999999999</v>
      </c>
      <c r="AD6155">
        <v>-1.1199869887225999</v>
      </c>
      <c r="AE6155">
        <v>69.2408199999999</v>
      </c>
      <c r="AF6155">
        <v>-1.17460543502799</v>
      </c>
      <c r="AG6155">
        <v>-1.1199869887225999</v>
      </c>
      <c r="AH6155">
        <v>69.232442904730107</v>
      </c>
      <c r="AI6155">
        <v>90.926671031703293</v>
      </c>
      <c r="AJ6155">
        <v>90.971993402312805</v>
      </c>
      <c r="AK6155">
        <v>69.2514636620744</v>
      </c>
      <c r="AL6155">
        <v>79.174241348130394</v>
      </c>
      <c r="AM6155">
        <v>88.079907470695701</v>
      </c>
      <c r="AN6155">
        <v>0.99999996943098901</v>
      </c>
    </row>
    <row r="6156" spans="1:40" x14ac:dyDescent="0.25">
      <c r="A6156" t="str">
        <f>"20190303171134518"</f>
        <v>20190303171134518</v>
      </c>
      <c r="B6156" t="str">
        <f>"1551604294506663"</f>
        <v>1551604294506663</v>
      </c>
      <c r="C6156" t="s">
        <v>40</v>
      </c>
      <c r="D6156">
        <v>5.0037589999999996</v>
      </c>
      <c r="E6156">
        <v>0.4847631</v>
      </c>
      <c r="F6156" t="s">
        <v>42</v>
      </c>
      <c r="G6156">
        <v>-189.94470000000001</v>
      </c>
      <c r="H6156" s="1">
        <v>-2.7444860000000002E-6</v>
      </c>
      <c r="I6156">
        <v>116.0074</v>
      </c>
      <c r="J6156">
        <v>-188.21420000000001</v>
      </c>
      <c r="K6156">
        <v>1.1199680000000001</v>
      </c>
      <c r="L6156">
        <v>43.072450000000003</v>
      </c>
      <c r="M6156">
        <v>-6.8920219999999898E-3</v>
      </c>
      <c r="N6156">
        <v>-7.2014280000000002E-3</v>
      </c>
      <c r="O6156">
        <v>0.99995029999999996</v>
      </c>
      <c r="P6156">
        <v>2.6053840000000002E-2</v>
      </c>
      <c r="Q6156">
        <v>0.18082390000000001</v>
      </c>
      <c r="R6156">
        <v>0.98317030000000005</v>
      </c>
      <c r="S6156">
        <v>-7.2341920000000004E-2</v>
      </c>
      <c r="T6156">
        <v>-4.6740770000000001E-2</v>
      </c>
      <c r="U6156">
        <v>3.0618590000000001</v>
      </c>
      <c r="V6156">
        <v>3.2800699999999898E-2</v>
      </c>
      <c r="W6156">
        <v>0.1879034</v>
      </c>
      <c r="X6156">
        <v>0.98163959999999995</v>
      </c>
      <c r="Y6156">
        <v>-1.6727249999999999E-2</v>
      </c>
      <c r="Z6156">
        <v>-8.0595700000000003E-3</v>
      </c>
      <c r="AA6156">
        <v>0.99982760000000004</v>
      </c>
      <c r="AB6156">
        <v>45</v>
      </c>
      <c r="AC6156">
        <v>-1.7304999999999999</v>
      </c>
      <c r="AD6156">
        <v>-1.1199707444859901</v>
      </c>
      <c r="AE6156">
        <v>72.934950000000001</v>
      </c>
      <c r="AF6156">
        <v>-1.22748729646041</v>
      </c>
      <c r="AG6156">
        <v>-1.1199707444859901</v>
      </c>
      <c r="AH6156">
        <v>72.927957974203395</v>
      </c>
      <c r="AI6156">
        <v>90.879710184140905</v>
      </c>
      <c r="AJ6156">
        <v>90.964283151538694</v>
      </c>
      <c r="AK6156">
        <v>72.946885566271106</v>
      </c>
      <c r="AL6156">
        <v>79.169545093981498</v>
      </c>
      <c r="AM6156">
        <v>88.086219515265796</v>
      </c>
      <c r="AN6156">
        <v>0.99999993897010298</v>
      </c>
    </row>
    <row r="6157" spans="1:40" x14ac:dyDescent="0.25">
      <c r="A6157" t="str">
        <f>"20190303171134540"</f>
        <v>20190303171134540</v>
      </c>
      <c r="B6157" t="str">
        <f>"1551604294536917"</f>
        <v>1551604294536917</v>
      </c>
      <c r="C6157" t="s">
        <v>40</v>
      </c>
      <c r="D6157">
        <v>4.946434</v>
      </c>
      <c r="E6157">
        <v>0.48443079999999999</v>
      </c>
      <c r="F6157" t="s">
        <v>42</v>
      </c>
      <c r="G6157">
        <v>-189.9915</v>
      </c>
      <c r="H6157" s="1">
        <v>-2.7881679999999998E-6</v>
      </c>
      <c r="I6157">
        <v>116.0937</v>
      </c>
      <c r="J6157">
        <v>-188.21729999999999</v>
      </c>
      <c r="K6157">
        <v>1.119947</v>
      </c>
      <c r="L6157">
        <v>43.513240000000003</v>
      </c>
      <c r="M6157">
        <v>-6.900804E-3</v>
      </c>
      <c r="N6157">
        <v>-7.2411819999999997E-3</v>
      </c>
      <c r="O6157">
        <v>0.99995000000000001</v>
      </c>
      <c r="P6157">
        <v>2.563139E-2</v>
      </c>
      <c r="Q6157">
        <v>0.18017030000000001</v>
      </c>
      <c r="R6157">
        <v>0.98330139999999999</v>
      </c>
      <c r="S6157">
        <v>-7.4523930000000002E-2</v>
      </c>
      <c r="T6157">
        <v>-4.6963449999999997E-2</v>
      </c>
      <c r="U6157">
        <v>3.0619809999999998</v>
      </c>
      <c r="V6157">
        <v>3.2395569999999999E-2</v>
      </c>
      <c r="W6157">
        <v>0.18728800000000001</v>
      </c>
      <c r="X6157">
        <v>0.9817707</v>
      </c>
      <c r="Y6157">
        <v>-1.742952E-2</v>
      </c>
      <c r="Z6157">
        <v>-8.0916949999999994E-3</v>
      </c>
      <c r="AA6157">
        <v>0.99981529999999996</v>
      </c>
      <c r="AB6157">
        <v>45</v>
      </c>
      <c r="AC6157">
        <v>-1.7742</v>
      </c>
      <c r="AD6157">
        <v>-1.1199497881680001</v>
      </c>
      <c r="AE6157">
        <v>72.580459999999903</v>
      </c>
      <c r="AF6157">
        <v>-1.27297819278798</v>
      </c>
      <c r="AG6157">
        <v>-1.1199497881680001</v>
      </c>
      <c r="AH6157">
        <v>72.573706023815703</v>
      </c>
      <c r="AI6157">
        <v>90.8839763040164</v>
      </c>
      <c r="AJ6157">
        <v>91.004892862236503</v>
      </c>
      <c r="AK6157">
        <v>72.593509124704497</v>
      </c>
      <c r="AL6157">
        <v>79.205442757044096</v>
      </c>
      <c r="AM6157">
        <v>88.110092081825002</v>
      </c>
      <c r="AN6157">
        <v>0.99999998763905695</v>
      </c>
    </row>
    <row r="6158" spans="1:40" x14ac:dyDescent="0.25">
      <c r="A6158" t="str">
        <f>"20190303171134561"</f>
        <v>20190303171134561</v>
      </c>
      <c r="B6158" t="str">
        <f>"1551604294556437"</f>
        <v>1551604294556437</v>
      </c>
      <c r="C6158" t="s">
        <v>40</v>
      </c>
      <c r="D6158">
        <v>4.9493999999999998</v>
      </c>
      <c r="E6158">
        <v>0.48431869999999999</v>
      </c>
      <c r="F6158" t="s">
        <v>42</v>
      </c>
      <c r="G6158">
        <v>-190.01159999999999</v>
      </c>
      <c r="H6158" s="1">
        <v>-1.7830009999999999E-6</v>
      </c>
      <c r="I6158">
        <v>113.7381</v>
      </c>
      <c r="J6158">
        <v>-188.22030000000001</v>
      </c>
      <c r="K6158">
        <v>1.1199269999999999</v>
      </c>
      <c r="L6158">
        <v>43.943849999999998</v>
      </c>
      <c r="M6158">
        <v>-6.9083859999999999E-3</v>
      </c>
      <c r="N6158">
        <v>-7.2756590000000003E-3</v>
      </c>
      <c r="O6158">
        <v>0.99994970000000005</v>
      </c>
      <c r="P6158">
        <v>2.543277E-2</v>
      </c>
      <c r="Q6158">
        <v>0.1793901</v>
      </c>
      <c r="R6158">
        <v>0.98344920000000002</v>
      </c>
      <c r="S6158">
        <v>-7.8231809999999999E-2</v>
      </c>
      <c r="T6158">
        <v>-4.8831579999999999E-2</v>
      </c>
      <c r="U6158">
        <v>3.0619200000000002</v>
      </c>
      <c r="V6158">
        <v>3.2211469999999999E-2</v>
      </c>
      <c r="W6158">
        <v>0.18654180000000001</v>
      </c>
      <c r="X6158">
        <v>0.98191879999999998</v>
      </c>
      <c r="Y6158">
        <v>-1.863213E-2</v>
      </c>
      <c r="Z6158">
        <v>-8.6669290000000003E-3</v>
      </c>
      <c r="AA6158">
        <v>0.99978880000000003</v>
      </c>
      <c r="AB6158">
        <v>45</v>
      </c>
      <c r="AC6158">
        <v>-1.7912999999999699</v>
      </c>
      <c r="AD6158">
        <v>-1.1199287830010001</v>
      </c>
      <c r="AE6158">
        <v>69.794250000000005</v>
      </c>
      <c r="AF6158">
        <v>-1.30874213351478</v>
      </c>
      <c r="AG6158">
        <v>-1.1199287830010001</v>
      </c>
      <c r="AH6158">
        <v>69.7870028706905</v>
      </c>
      <c r="AI6158">
        <v>90.919231445427201</v>
      </c>
      <c r="AJ6158">
        <v>91.074363548687302</v>
      </c>
      <c r="AK6158">
        <v>69.808257506721901</v>
      </c>
      <c r="AL6158">
        <v>79.248963752899201</v>
      </c>
      <c r="AM6158">
        <v>88.121107698862502</v>
      </c>
      <c r="AN6158">
        <v>0.99999997587012002</v>
      </c>
    </row>
    <row r="6159" spans="1:40" x14ac:dyDescent="0.25">
      <c r="A6159" t="str">
        <f>"20190303171134584"</f>
        <v>20190303171134584</v>
      </c>
      <c r="B6159" t="str">
        <f>"1551604294576934"</f>
        <v>1551604294576934</v>
      </c>
      <c r="C6159" t="s">
        <v>40</v>
      </c>
      <c r="D6159">
        <v>4.946008</v>
      </c>
      <c r="E6159">
        <v>0.48427209999999898</v>
      </c>
      <c r="F6159" t="s">
        <v>42</v>
      </c>
      <c r="G6159">
        <v>-189.97790000000001</v>
      </c>
      <c r="H6159" s="1">
        <v>-8.0526129999999995E-7</v>
      </c>
      <c r="I6159">
        <v>111.4799</v>
      </c>
      <c r="J6159">
        <v>-188.22370000000001</v>
      </c>
      <c r="K6159">
        <v>1.1199190000000001</v>
      </c>
      <c r="L6159">
        <v>44.427370000000003</v>
      </c>
      <c r="M6159">
        <v>-6.9150449999999999E-3</v>
      </c>
      <c r="N6159">
        <v>-7.3048439999999996E-3</v>
      </c>
      <c r="O6159">
        <v>0.99994939999999999</v>
      </c>
      <c r="P6159">
        <v>2.4814119999999999E-2</v>
      </c>
      <c r="Q6159">
        <v>0.1789849</v>
      </c>
      <c r="R6159">
        <v>0.98353889999999999</v>
      </c>
      <c r="S6159">
        <v>-7.9681399999999999E-2</v>
      </c>
      <c r="T6159">
        <v>-5.0772789999999998E-2</v>
      </c>
      <c r="U6159">
        <v>3.061798</v>
      </c>
      <c r="V6159">
        <v>3.1605069999999999E-2</v>
      </c>
      <c r="W6159">
        <v>0.1861651</v>
      </c>
      <c r="X6159">
        <v>0.98201000000000005</v>
      </c>
      <c r="Y6159">
        <v>-1.909928E-2</v>
      </c>
      <c r="Z6159">
        <v>-9.271853E-3</v>
      </c>
      <c r="AA6159">
        <v>0.99977459999999996</v>
      </c>
      <c r="AB6159">
        <v>45</v>
      </c>
      <c r="AC6159">
        <v>-1.75419999999999</v>
      </c>
      <c r="AD6159">
        <v>-1.1199198052613</v>
      </c>
      <c r="AE6159">
        <v>67.052529999999905</v>
      </c>
      <c r="AF6159">
        <v>-1.29011477255239</v>
      </c>
      <c r="AG6159">
        <v>-1.1199198052613</v>
      </c>
      <c r="AH6159">
        <v>67.044367464405298</v>
      </c>
      <c r="AI6159">
        <v>90.956811739460306</v>
      </c>
      <c r="AJ6159">
        <v>91.102389549920602</v>
      </c>
      <c r="AK6159">
        <v>67.066130238733606</v>
      </c>
      <c r="AL6159">
        <v>79.270931966757402</v>
      </c>
      <c r="AM6159">
        <v>88.156625410662897</v>
      </c>
      <c r="AN6159">
        <v>0.99999998250385702</v>
      </c>
    </row>
    <row r="6160" spans="1:40" x14ac:dyDescent="0.25">
      <c r="A6160" t="str">
        <f>"20190303171134608"</f>
        <v>20190303171134608</v>
      </c>
      <c r="B6160" t="str">
        <f>"1551604294597430"</f>
        <v>1551604294597430</v>
      </c>
      <c r="C6160" t="s">
        <v>40</v>
      </c>
      <c r="D6160">
        <v>4.8301980000000002</v>
      </c>
      <c r="E6160">
        <v>0.48427189999999998</v>
      </c>
      <c r="F6160" t="s">
        <v>42</v>
      </c>
      <c r="G6160">
        <v>-189.9957</v>
      </c>
      <c r="H6160" s="1">
        <v>-5.7684319999999898E-7</v>
      </c>
      <c r="I6160">
        <v>110.93640000000001</v>
      </c>
      <c r="J6160">
        <v>-188.2269</v>
      </c>
      <c r="K6160">
        <v>1.1199140000000001</v>
      </c>
      <c r="L6160">
        <v>44.887329999999999</v>
      </c>
      <c r="M6160">
        <v>-6.9200750000000004E-3</v>
      </c>
      <c r="N6160">
        <v>-7.3231959999999997E-3</v>
      </c>
      <c r="O6160">
        <v>0.99994919999999998</v>
      </c>
      <c r="P6160">
        <v>2.4032660000000001E-2</v>
      </c>
      <c r="Q6160">
        <v>0.17936179999999999</v>
      </c>
      <c r="R6160">
        <v>0.98348959999999996</v>
      </c>
      <c r="S6160">
        <v>-8.1573489999999999E-2</v>
      </c>
      <c r="T6160">
        <v>-5.1553849999999998E-2</v>
      </c>
      <c r="U6160">
        <v>3.0616460000000001</v>
      </c>
      <c r="V6160">
        <v>3.0831850000000001E-2</v>
      </c>
      <c r="W6160">
        <v>0.18655910000000001</v>
      </c>
      <c r="X6160">
        <v>0.98195980000000005</v>
      </c>
      <c r="Y6160">
        <v>-1.9712839999999999E-2</v>
      </c>
      <c r="Z6160">
        <v>-9.5090609999999992E-3</v>
      </c>
      <c r="AA6160">
        <v>0.99976039999999999</v>
      </c>
      <c r="AB6160">
        <v>46</v>
      </c>
      <c r="AC6160">
        <v>-1.7687999999999899</v>
      </c>
      <c r="AD6160">
        <v>-1.1199145768431999</v>
      </c>
      <c r="AE6160">
        <v>66.04907</v>
      </c>
      <c r="AF6160">
        <v>-1.3113041240479999</v>
      </c>
      <c r="AG6160">
        <v>-1.1199145768431999</v>
      </c>
      <c r="AH6160">
        <v>66.040755946933501</v>
      </c>
      <c r="AI6160">
        <v>90.971333326786294</v>
      </c>
      <c r="AJ6160">
        <v>91.137514544614504</v>
      </c>
      <c r="AK6160">
        <v>66.063266443672106</v>
      </c>
      <c r="AL6160">
        <v>79.2479548128034</v>
      </c>
      <c r="AM6160">
        <v>88.201601828609896</v>
      </c>
      <c r="AN6160">
        <v>0.99999997479163605</v>
      </c>
    </row>
    <row r="6161" spans="1:40" x14ac:dyDescent="0.25">
      <c r="A6161" t="str">
        <f>"20190303171134629"</f>
        <v>20190303171134629</v>
      </c>
      <c r="B6161" t="str">
        <f>"1551604294616951"</f>
        <v>1551604294616951</v>
      </c>
      <c r="C6161" t="s">
        <v>40</v>
      </c>
      <c r="D6161">
        <v>4.7810540000000001</v>
      </c>
      <c r="E6161">
        <v>0.4842805</v>
      </c>
      <c r="F6161" t="s">
        <v>42</v>
      </c>
      <c r="G6161">
        <v>-190.0942</v>
      </c>
      <c r="H6161" s="1">
        <v>-1.7211849999999999E-6</v>
      </c>
      <c r="I6161">
        <v>113.5428</v>
      </c>
      <c r="J6161">
        <v>-188.22989999999999</v>
      </c>
      <c r="K6161">
        <v>1.11991</v>
      </c>
      <c r="L6161">
        <v>45.326689999999999</v>
      </c>
      <c r="M6161">
        <v>-6.9237860000000003E-3</v>
      </c>
      <c r="N6161">
        <v>-7.3361140000000003E-3</v>
      </c>
      <c r="O6161">
        <v>0.99994910000000004</v>
      </c>
      <c r="P6161">
        <v>2.3960849999999999E-2</v>
      </c>
      <c r="Q6161">
        <v>0.18043339999999999</v>
      </c>
      <c r="R6161">
        <v>0.98329529999999998</v>
      </c>
      <c r="S6161">
        <v>-8.3267209999999994E-2</v>
      </c>
      <c r="T6161">
        <v>-4.9939869999999997E-2</v>
      </c>
      <c r="U6161">
        <v>3.0615230000000002</v>
      </c>
      <c r="V6161">
        <v>3.0764960000000001E-2</v>
      </c>
      <c r="W6161">
        <v>0.18764120000000001</v>
      </c>
      <c r="X6161">
        <v>0.98175570000000001</v>
      </c>
      <c r="Y6161">
        <v>-2.0263E-2</v>
      </c>
      <c r="Z6161">
        <v>-8.969767E-3</v>
      </c>
      <c r="AA6161">
        <v>0.99975440000000004</v>
      </c>
      <c r="AB6161">
        <v>46</v>
      </c>
      <c r="AC6161">
        <v>-1.8643000000000101</v>
      </c>
      <c r="AD6161">
        <v>-1.119911721185</v>
      </c>
      <c r="AE6161">
        <v>68.21611</v>
      </c>
      <c r="AF6161">
        <v>-1.39155406985629</v>
      </c>
      <c r="AG6161">
        <v>-1.119911721185</v>
      </c>
      <c r="AH6161">
        <v>68.209013068286595</v>
      </c>
      <c r="AI6161">
        <v>90.940449091648404</v>
      </c>
      <c r="AJ6161">
        <v>91.168747541396897</v>
      </c>
      <c r="AK6161">
        <v>68.232397647615102</v>
      </c>
      <c r="AL6161">
        <v>79.184840540784805</v>
      </c>
      <c r="AM6161">
        <v>88.205128097694001</v>
      </c>
      <c r="AN6161">
        <v>0.99999997859186496</v>
      </c>
    </row>
    <row r="6162" spans="1:40" x14ac:dyDescent="0.25">
      <c r="A6162" t="str">
        <f>"20190303171134653"</f>
        <v>20190303171134653</v>
      </c>
      <c r="B6162" t="str">
        <f>"1551604294646230"</f>
        <v>1551604294646230</v>
      </c>
      <c r="C6162" t="s">
        <v>40</v>
      </c>
      <c r="D6162">
        <v>4.8344120000000004</v>
      </c>
      <c r="E6162">
        <v>0.4843365</v>
      </c>
      <c r="F6162" t="s">
        <v>84</v>
      </c>
      <c r="G6162">
        <v>-190.27459999999999</v>
      </c>
      <c r="H6162" s="1">
        <v>-3.7381570000000001E-7</v>
      </c>
      <c r="I6162">
        <v>120.1444</v>
      </c>
      <c r="J6162">
        <v>-188.23330000000001</v>
      </c>
      <c r="K6162">
        <v>1.1199110000000001</v>
      </c>
      <c r="L6162">
        <v>45.813049999999997</v>
      </c>
      <c r="M6162">
        <v>-6.9271860000000001E-3</v>
      </c>
      <c r="N6162">
        <v>-7.34840199999999E-3</v>
      </c>
      <c r="O6162">
        <v>0.99994899999999998</v>
      </c>
      <c r="P6162">
        <v>2.431092E-2</v>
      </c>
      <c r="Q6162">
        <v>0.1809143</v>
      </c>
      <c r="R6162">
        <v>0.98319829999999997</v>
      </c>
      <c r="S6162">
        <v>-8.3663940000000006E-2</v>
      </c>
      <c r="T6162">
        <v>-4.5824650000000001E-2</v>
      </c>
      <c r="U6162">
        <v>3.061401</v>
      </c>
      <c r="V6162">
        <v>3.111995E-2</v>
      </c>
      <c r="W6162">
        <v>0.18813340000000001</v>
      </c>
      <c r="X6162">
        <v>0.98165040000000003</v>
      </c>
      <c r="Y6162">
        <v>-2.0390539999999999E-2</v>
      </c>
      <c r="Z6162">
        <v>-7.6146690000000001E-3</v>
      </c>
      <c r="AA6162">
        <v>0.99976310000000002</v>
      </c>
      <c r="AB6162">
        <v>46</v>
      </c>
      <c r="AC6162">
        <v>-2.0412999999999699</v>
      </c>
      <c r="AD6162">
        <v>-1.1199113738157001</v>
      </c>
      <c r="AE6162">
        <v>74.33135</v>
      </c>
      <c r="AF6162">
        <v>-1.5259838916227699</v>
      </c>
      <c r="AG6162">
        <v>-1.1199113738157001</v>
      </c>
      <c r="AH6162">
        <v>74.326847921252707</v>
      </c>
      <c r="AI6162">
        <v>90.863050509731096</v>
      </c>
      <c r="AJ6162">
        <v>91.176158515804801</v>
      </c>
      <c r="AK6162">
        <v>74.350945859697802</v>
      </c>
      <c r="AL6162">
        <v>79.156129185002598</v>
      </c>
      <c r="AM6162">
        <v>88.184236631190302</v>
      </c>
      <c r="AN6162">
        <v>1.0000000676518499</v>
      </c>
    </row>
    <row r="6163" spans="1:40" x14ac:dyDescent="0.25">
      <c r="A6163" t="str">
        <f>"20190303171134676"</f>
        <v>20190303171134676</v>
      </c>
      <c r="B6163" t="str">
        <f>"1551604294666726"</f>
        <v>1551604294666726</v>
      </c>
      <c r="C6163" t="s">
        <v>40</v>
      </c>
      <c r="D6163">
        <v>4.7700360000000002</v>
      </c>
      <c r="E6163">
        <v>0.48439719999999997</v>
      </c>
      <c r="F6163" t="s">
        <v>84</v>
      </c>
      <c r="G6163">
        <v>-190.3751</v>
      </c>
      <c r="H6163" s="1">
        <v>-3.2510930000000001E-6</v>
      </c>
      <c r="I6163">
        <v>125.60550000000001</v>
      </c>
      <c r="J6163">
        <v>-188.23660000000001</v>
      </c>
      <c r="K6163">
        <v>1.1199030000000001</v>
      </c>
      <c r="L6163">
        <v>46.289549999999998</v>
      </c>
      <c r="M6163">
        <v>-6.9299779999999998E-3</v>
      </c>
      <c r="N6163">
        <v>-7.3594100000000003E-3</v>
      </c>
      <c r="O6163">
        <v>0.99994890000000003</v>
      </c>
      <c r="P6163">
        <v>2.455616E-2</v>
      </c>
      <c r="Q6163">
        <v>0.18095639999999999</v>
      </c>
      <c r="R6163">
        <v>0.98318450000000002</v>
      </c>
      <c r="S6163">
        <v>-8.2168580000000005E-2</v>
      </c>
      <c r="T6163">
        <v>-4.2964820000000001E-2</v>
      </c>
      <c r="U6163">
        <v>3.061188</v>
      </c>
      <c r="V6163">
        <v>3.1369569999999999E-2</v>
      </c>
      <c r="W6163">
        <v>0.18818589999999999</v>
      </c>
      <c r="X6163">
        <v>0.98163239999999996</v>
      </c>
      <c r="Y6163">
        <v>-1.990192E-2</v>
      </c>
      <c r="Z6163">
        <v>-6.6711569999999996E-3</v>
      </c>
      <c r="AA6163">
        <v>0.99977969999999905</v>
      </c>
      <c r="AB6163">
        <v>46</v>
      </c>
      <c r="AC6163">
        <v>-2.1384999999999899</v>
      </c>
      <c r="AD6163">
        <v>-1.119906251093</v>
      </c>
      <c r="AE6163">
        <v>79.315950000000001</v>
      </c>
      <c r="AF6163">
        <v>-1.5884595205480601</v>
      </c>
      <c r="AG6163">
        <v>-1.119906251093</v>
      </c>
      <c r="AH6163">
        <v>79.313064953707098</v>
      </c>
      <c r="AI6163">
        <v>90.808804645947106</v>
      </c>
      <c r="AJ6163">
        <v>91.147350198136394</v>
      </c>
      <c r="AK6163">
        <v>79.336874566689502</v>
      </c>
      <c r="AL6163">
        <v>79.153066541152498</v>
      </c>
      <c r="AM6163">
        <v>88.169648319662599</v>
      </c>
      <c r="AN6163">
        <v>1.0000000758052701</v>
      </c>
    </row>
    <row r="6164" spans="1:40" x14ac:dyDescent="0.25">
      <c r="A6164" t="str">
        <f>"20190303171134697"</f>
        <v>20190303171134697</v>
      </c>
      <c r="B6164" t="str">
        <f>"1551604294686247"</f>
        <v>1551604294686247</v>
      </c>
      <c r="C6164" t="s">
        <v>40</v>
      </c>
      <c r="D6164">
        <v>4.770213</v>
      </c>
      <c r="E6164">
        <v>0.48444720000000002</v>
      </c>
      <c r="F6164" t="s">
        <v>84</v>
      </c>
      <c r="G6164">
        <v>-190.40690000000001</v>
      </c>
      <c r="H6164" s="1">
        <v>-4.3349970000000001E-6</v>
      </c>
      <c r="I6164">
        <v>128.1566</v>
      </c>
      <c r="J6164">
        <v>-188.2396</v>
      </c>
      <c r="K6164">
        <v>1.119896</v>
      </c>
      <c r="L6164">
        <v>46.728360000000002</v>
      </c>
      <c r="M6164">
        <v>-6.9320220000000004E-3</v>
      </c>
      <c r="N6164">
        <v>-7.3687650000000002E-3</v>
      </c>
      <c r="O6164">
        <v>0.99994879999999997</v>
      </c>
      <c r="P6164">
        <v>2.5488190000000001E-2</v>
      </c>
      <c r="Q6164">
        <v>0.1800494</v>
      </c>
      <c r="R6164">
        <v>0.98332730000000002</v>
      </c>
      <c r="S6164">
        <v>-8.1146239999999994E-2</v>
      </c>
      <c r="T6164">
        <v>-4.1873689999999998E-2</v>
      </c>
      <c r="U6164">
        <v>3.061035</v>
      </c>
      <c r="V6164">
        <v>3.2305769999999998E-2</v>
      </c>
      <c r="W6164">
        <v>0.1872885</v>
      </c>
      <c r="X6164">
        <v>0.98177360000000002</v>
      </c>
      <c r="Y6164">
        <v>-1.9567649999999999E-2</v>
      </c>
      <c r="Z6164">
        <v>-6.3063340000000002E-3</v>
      </c>
      <c r="AA6164">
        <v>0.99978860000000003</v>
      </c>
      <c r="AB6164">
        <v>46</v>
      </c>
      <c r="AC6164">
        <v>-2.1673000000000102</v>
      </c>
      <c r="AD6164">
        <v>-1.119900334997</v>
      </c>
      <c r="AE6164">
        <v>81.428240000000002</v>
      </c>
      <c r="AF6164">
        <v>-1.6024673408301</v>
      </c>
      <c r="AG6164">
        <v>-1.119900334997</v>
      </c>
      <c r="AH6164">
        <v>81.425916726137601</v>
      </c>
      <c r="AI6164">
        <v>90.787821616933002</v>
      </c>
      <c r="AJ6164">
        <v>91.127439130724696</v>
      </c>
      <c r="AK6164">
        <v>81.449383011970397</v>
      </c>
      <c r="AL6164">
        <v>79.205413983015504</v>
      </c>
      <c r="AM6164">
        <v>88.115332655899707</v>
      </c>
      <c r="AN6164">
        <v>1.0000000233322499</v>
      </c>
    </row>
    <row r="6165" spans="1:40" x14ac:dyDescent="0.25">
      <c r="A6165" t="str">
        <f>"20190303171134719"</f>
        <v>20190303171134719</v>
      </c>
      <c r="B6165" t="str">
        <f>"1551604294706743"</f>
        <v>1551604294706743</v>
      </c>
      <c r="C6165" t="s">
        <v>40</v>
      </c>
      <c r="D6165">
        <v>4.6552170000000004</v>
      </c>
      <c r="E6165">
        <v>0.48452970000000001</v>
      </c>
      <c r="F6165" t="s">
        <v>84</v>
      </c>
      <c r="G6165">
        <v>-190.22749999999999</v>
      </c>
      <c r="H6165" s="1">
        <v>-2.8640270000000001E-6</v>
      </c>
      <c r="I6165">
        <v>124.76600000000001</v>
      </c>
      <c r="J6165">
        <v>-188.24279999999999</v>
      </c>
      <c r="K6165">
        <v>1.1198889999999999</v>
      </c>
      <c r="L6165">
        <v>47.185879999999997</v>
      </c>
      <c r="M6165">
        <v>-6.9341189999999999E-3</v>
      </c>
      <c r="N6165">
        <v>-7.3780109999999899E-3</v>
      </c>
      <c r="O6165">
        <v>0.99994870000000002</v>
      </c>
      <c r="P6165">
        <v>2.6505460000000002E-2</v>
      </c>
      <c r="Q6165">
        <v>0.1803825</v>
      </c>
      <c r="R6165">
        <v>0.98323939999999999</v>
      </c>
      <c r="S6165">
        <v>-7.7972410000000006E-2</v>
      </c>
      <c r="T6165">
        <v>-4.3926840000000002E-2</v>
      </c>
      <c r="U6165">
        <v>3.0609440000000001</v>
      </c>
      <c r="V6165">
        <v>3.3325479999999998E-2</v>
      </c>
      <c r="W6165">
        <v>0.1876304</v>
      </c>
      <c r="X6165">
        <v>0.98167420000000005</v>
      </c>
      <c r="Y6165">
        <v>-1.8530290000000001E-2</v>
      </c>
      <c r="Z6165">
        <v>-6.9682049999999999E-3</v>
      </c>
      <c r="AA6165">
        <v>0.99980400000000003</v>
      </c>
      <c r="AB6165">
        <v>46</v>
      </c>
      <c r="AC6165">
        <v>-1.9846999999999999</v>
      </c>
      <c r="AD6165">
        <v>-1.1198918640269999</v>
      </c>
      <c r="AE6165">
        <v>77.580119999999994</v>
      </c>
      <c r="AF6165">
        <v>-1.4463866370412</v>
      </c>
      <c r="AG6165">
        <v>-1.1198918640269999</v>
      </c>
      <c r="AH6165">
        <v>77.5758627841916</v>
      </c>
      <c r="AI6165">
        <v>90.826925678269305</v>
      </c>
      <c r="AJ6165">
        <v>91.068144729538801</v>
      </c>
      <c r="AK6165">
        <v>77.597427011484399</v>
      </c>
      <c r="AL6165">
        <v>79.185470701781099</v>
      </c>
      <c r="AM6165">
        <v>88.055692644056705</v>
      </c>
      <c r="AN6165">
        <v>0.99999999478351498</v>
      </c>
    </row>
    <row r="6166" spans="1:40" x14ac:dyDescent="0.25">
      <c r="A6166" t="str">
        <f>"20190303171134741"</f>
        <v>20190303171134741</v>
      </c>
      <c r="B6166" t="str">
        <f>"1551604294736998"</f>
        <v>1551604294736998</v>
      </c>
      <c r="C6166" t="s">
        <v>40</v>
      </c>
      <c r="D6166">
        <v>4.6284749999999999</v>
      </c>
      <c r="E6166">
        <v>0.48467320000000003</v>
      </c>
      <c r="F6166" t="s">
        <v>84</v>
      </c>
      <c r="G6166">
        <v>-190.21610000000001</v>
      </c>
      <c r="H6166" s="1">
        <v>-4.4871520000000004E-6</v>
      </c>
      <c r="I6166">
        <v>128.6173</v>
      </c>
      <c r="J6166">
        <v>-188.24600000000001</v>
      </c>
      <c r="K6166">
        <v>1.1198939999999999</v>
      </c>
      <c r="L6166">
        <v>47.640439999999998</v>
      </c>
      <c r="M6166">
        <v>-6.9359900000000004E-3</v>
      </c>
      <c r="N6166">
        <v>-7.3868680000000004E-3</v>
      </c>
      <c r="O6166">
        <v>0.99994870000000002</v>
      </c>
      <c r="P6166">
        <v>2.780243E-2</v>
      </c>
      <c r="Q6166">
        <v>0.18221399999999999</v>
      </c>
      <c r="R6166">
        <v>0.98286580000000001</v>
      </c>
      <c r="S6166">
        <v>-7.4172970000000005E-2</v>
      </c>
      <c r="T6166">
        <v>-4.209471E-2</v>
      </c>
      <c r="U6166">
        <v>3.0608520000000001</v>
      </c>
      <c r="V6166">
        <v>3.4622529999999999E-2</v>
      </c>
      <c r="W6166">
        <v>0.189467</v>
      </c>
      <c r="X6166">
        <v>0.9812765</v>
      </c>
      <c r="Y6166">
        <v>-1.728911E-2</v>
      </c>
      <c r="Z6166">
        <v>-6.3618440000000002E-3</v>
      </c>
      <c r="AA6166">
        <v>0.99983029999999995</v>
      </c>
      <c r="AB6166">
        <v>46</v>
      </c>
      <c r="AC6166">
        <v>-1.9701000000000299</v>
      </c>
      <c r="AD6166">
        <v>-1.1198984871519999</v>
      </c>
      <c r="AE6166">
        <v>80.976859999999903</v>
      </c>
      <c r="AF6166">
        <v>-1.40811345070515</v>
      </c>
      <c r="AG6166">
        <v>-1.1198984871519999</v>
      </c>
      <c r="AH6166">
        <v>80.9730988647798</v>
      </c>
      <c r="AI6166">
        <v>90.792259020432795</v>
      </c>
      <c r="AJ6166">
        <v>90.996267004028397</v>
      </c>
      <c r="AK6166">
        <v>80.993084247218206</v>
      </c>
      <c r="AL6166">
        <v>79.078319613025897</v>
      </c>
      <c r="AM6166">
        <v>87.979262441258399</v>
      </c>
      <c r="AN6166">
        <v>1.0000000165624201</v>
      </c>
    </row>
    <row r="6167" spans="1:40" x14ac:dyDescent="0.25">
      <c r="A6167" t="str">
        <f>"20190303171134761"</f>
        <v>20190303171134761</v>
      </c>
      <c r="B6167" t="str">
        <f>"1551604294756518"</f>
        <v>1551604294756518</v>
      </c>
      <c r="C6167" t="s">
        <v>40</v>
      </c>
      <c r="D6167">
        <v>4.712415</v>
      </c>
      <c r="E6167">
        <v>0.48474650000000002</v>
      </c>
      <c r="F6167" t="s">
        <v>84</v>
      </c>
      <c r="G6167">
        <v>-190.43430000000001</v>
      </c>
      <c r="H6167" s="1">
        <v>-9.5188389999999994E-6</v>
      </c>
      <c r="I6167">
        <v>144.86410000000001</v>
      </c>
      <c r="J6167">
        <v>-188.24889999999999</v>
      </c>
      <c r="K6167">
        <v>1.119896</v>
      </c>
      <c r="L6167">
        <v>48.05688</v>
      </c>
      <c r="M6167">
        <v>-6.9375579999999999E-3</v>
      </c>
      <c r="N6167">
        <v>-7.3949089999999999E-3</v>
      </c>
      <c r="O6167">
        <v>0.99994859999999997</v>
      </c>
      <c r="P6167">
        <v>2.8639850000000001E-2</v>
      </c>
      <c r="Q6167">
        <v>0.1833525</v>
      </c>
      <c r="R6167">
        <v>0.98263</v>
      </c>
      <c r="S6167">
        <v>-6.8893430000000005E-2</v>
      </c>
      <c r="T6167">
        <v>-3.5256740000000002E-2</v>
      </c>
      <c r="U6167">
        <v>3.060791</v>
      </c>
      <c r="V6167">
        <v>3.5460489999999997E-2</v>
      </c>
      <c r="W6167">
        <v>0.19061159999999999</v>
      </c>
      <c r="X6167">
        <v>0.98102489999999998</v>
      </c>
      <c r="Y6167">
        <v>-1.556487E-2</v>
      </c>
      <c r="Z6167">
        <v>-4.1213430000000004E-3</v>
      </c>
      <c r="AA6167">
        <v>0.99987040000000005</v>
      </c>
      <c r="AB6167">
        <v>46</v>
      </c>
      <c r="AC6167">
        <v>-2.1854000000000098</v>
      </c>
      <c r="AD6167">
        <v>-1.1199055188389999</v>
      </c>
      <c r="AE6167">
        <v>96.807220000000001</v>
      </c>
      <c r="AF6167">
        <v>-1.5135208948482</v>
      </c>
      <c r="AG6167">
        <v>-1.1199055188389999</v>
      </c>
      <c r="AH6167">
        <v>96.807103036077294</v>
      </c>
      <c r="AI6167">
        <v>90.662711266106797</v>
      </c>
      <c r="AJ6167">
        <v>90.8957121135238</v>
      </c>
      <c r="AK6167">
        <v>96.825410570304001</v>
      </c>
      <c r="AL6167">
        <v>79.011521841965802</v>
      </c>
      <c r="AM6167">
        <v>87.929866767339306</v>
      </c>
      <c r="AN6167">
        <v>1.0000000414128001</v>
      </c>
    </row>
    <row r="6168" spans="1:40" x14ac:dyDescent="0.25">
      <c r="A6168" t="str">
        <f>"20190303171134784"</f>
        <v>20190303171134784</v>
      </c>
      <c r="B6168" t="str">
        <f>"1551604294777014"</f>
        <v>1551604294777014</v>
      </c>
      <c r="C6168" t="s">
        <v>40</v>
      </c>
      <c r="D6168">
        <v>4.7149749999999999</v>
      </c>
      <c r="E6168">
        <v>0.48482189999999997</v>
      </c>
      <c r="F6168" t="s">
        <v>84</v>
      </c>
      <c r="G6168">
        <v>-190.62989999999999</v>
      </c>
      <c r="H6168" s="1">
        <v>-1.457575E-5</v>
      </c>
      <c r="I6168">
        <v>158.54089999999999</v>
      </c>
      <c r="J6168">
        <v>-188.25229999999999</v>
      </c>
      <c r="K6168">
        <v>1.119893</v>
      </c>
      <c r="L6168">
        <v>48.54327</v>
      </c>
      <c r="M6168">
        <v>-6.9392409999999996E-3</v>
      </c>
      <c r="N6168">
        <v>-7.4044509999999899E-3</v>
      </c>
      <c r="O6168">
        <v>0.99994850000000002</v>
      </c>
      <c r="P6168">
        <v>2.8770210000000001E-2</v>
      </c>
      <c r="Q6168">
        <v>0.18318999999999999</v>
      </c>
      <c r="R6168">
        <v>0.98265650000000004</v>
      </c>
      <c r="S6168">
        <v>-6.5963750000000002E-2</v>
      </c>
      <c r="T6168">
        <v>-3.102481E-2</v>
      </c>
      <c r="U6168">
        <v>3.06073</v>
      </c>
      <c r="V6168">
        <v>3.5593279999999998E-2</v>
      </c>
      <c r="W6168">
        <v>0.19045860000000001</v>
      </c>
      <c r="X6168">
        <v>0.98104979999999997</v>
      </c>
      <c r="Y6168">
        <v>-1.460727E-2</v>
      </c>
      <c r="Z6168">
        <v>-2.730012E-3</v>
      </c>
      <c r="AA6168">
        <v>0.99988960000000005</v>
      </c>
      <c r="AB6168">
        <v>46</v>
      </c>
      <c r="AC6168">
        <v>-2.3776000000000002</v>
      </c>
      <c r="AD6168">
        <v>-1.1199075757500001</v>
      </c>
      <c r="AE6168">
        <v>109.99763</v>
      </c>
      <c r="AF6168">
        <v>-1.6140545260627901</v>
      </c>
      <c r="AG6168">
        <v>-1.1199075757500001</v>
      </c>
      <c r="AH6168">
        <v>110.00008372355001</v>
      </c>
      <c r="AI6168">
        <v>90.5832436920345</v>
      </c>
      <c r="AJ6168">
        <v>90.840652779551803</v>
      </c>
      <c r="AK6168">
        <v>110.01762487974101</v>
      </c>
      <c r="AL6168">
        <v>79.020451615780701</v>
      </c>
      <c r="AM6168">
        <v>87.922174150020098</v>
      </c>
      <c r="AN6168">
        <v>1.00000003498757</v>
      </c>
    </row>
    <row r="6169" spans="1:40" x14ac:dyDescent="0.25">
      <c r="A6169" t="str">
        <f>"20190303171134808"</f>
        <v>20190303171134808</v>
      </c>
      <c r="B6169" t="str">
        <f>"1551604294796534"</f>
        <v>1551604294796534</v>
      </c>
      <c r="C6169" t="s">
        <v>40</v>
      </c>
      <c r="D6169">
        <v>4.5376289999999999</v>
      </c>
      <c r="E6169">
        <v>0.48489110000000002</v>
      </c>
      <c r="F6169" t="s">
        <v>42</v>
      </c>
      <c r="G6169">
        <v>-190.6251</v>
      </c>
      <c r="H6169" s="1">
        <v>-3.375703E-7</v>
      </c>
      <c r="I6169">
        <v>159.9539</v>
      </c>
      <c r="J6169">
        <v>-188.25559999999999</v>
      </c>
      <c r="K6169">
        <v>1.1198809999999999</v>
      </c>
      <c r="L6169">
        <v>49.023769999999999</v>
      </c>
      <c r="M6169">
        <v>-6.9407770000000004E-3</v>
      </c>
      <c r="N6169">
        <v>-7.4140309999999997E-3</v>
      </c>
      <c r="O6169">
        <v>0.99994839999999996</v>
      </c>
      <c r="P6169">
        <v>2.7910750000000002E-2</v>
      </c>
      <c r="Q6169">
        <v>0.18215200000000001</v>
      </c>
      <c r="R6169">
        <v>0.98287420000000003</v>
      </c>
      <c r="S6169">
        <v>-6.5185549999999995E-2</v>
      </c>
      <c r="T6169">
        <v>-3.076506E-2</v>
      </c>
      <c r="U6169">
        <v>3.0606080000000002</v>
      </c>
      <c r="V6169">
        <v>3.4737289999999997E-2</v>
      </c>
      <c r="W6169">
        <v>0.18943189999999999</v>
      </c>
      <c r="X6169">
        <v>0.98127920000000002</v>
      </c>
      <c r="Y6169">
        <v>-1.4352500000000001E-2</v>
      </c>
      <c r="Z6169">
        <v>-2.6360300000000001E-3</v>
      </c>
      <c r="AA6169">
        <v>0.99989349999999999</v>
      </c>
      <c r="AB6169">
        <v>46</v>
      </c>
      <c r="AC6169">
        <v>-2.3695000000000102</v>
      </c>
      <c r="AD6169">
        <v>-1.1198813375702901</v>
      </c>
      <c r="AE6169">
        <v>110.93013000000001</v>
      </c>
      <c r="AF6169">
        <v>-1.59931752087715</v>
      </c>
      <c r="AG6169">
        <v>-1.1198813375702901</v>
      </c>
      <c r="AH6169">
        <v>110.932603730094</v>
      </c>
      <c r="AI6169">
        <v>90.578329777486999</v>
      </c>
      <c r="AJ6169">
        <v>90.825977152121496</v>
      </c>
      <c r="AK6169">
        <v>110.949783781137</v>
      </c>
      <c r="AL6169">
        <v>79.080367561252004</v>
      </c>
      <c r="AM6169">
        <v>87.972575649400298</v>
      </c>
      <c r="AN6169">
        <v>0.99999999620339697</v>
      </c>
    </row>
    <row r="6170" spans="1:40" x14ac:dyDescent="0.25">
      <c r="A6170" t="str">
        <f>"20190303171134831"</f>
        <v>20190303171134831</v>
      </c>
      <c r="B6170" t="str">
        <f>"1551604294817030"</f>
        <v>1551604294817030</v>
      </c>
      <c r="C6170" t="s">
        <v>40</v>
      </c>
      <c r="D6170">
        <v>4.5662690000000001</v>
      </c>
      <c r="E6170">
        <v>0.48490610000000001</v>
      </c>
      <c r="F6170" t="s">
        <v>84</v>
      </c>
      <c r="G6170">
        <v>-190.47559999999999</v>
      </c>
      <c r="H6170" s="1">
        <v>-1.139647E-5</v>
      </c>
      <c r="I6170">
        <v>151.0547</v>
      </c>
      <c r="J6170">
        <v>-188.25890000000001</v>
      </c>
      <c r="K6170">
        <v>1.1198760000000001</v>
      </c>
      <c r="L6170">
        <v>49.494320000000002</v>
      </c>
      <c r="M6170">
        <v>-6.9421419999999897E-3</v>
      </c>
      <c r="N6170">
        <v>-7.4256840000000001E-3</v>
      </c>
      <c r="O6170">
        <v>0.99994830000000001</v>
      </c>
      <c r="P6170">
        <v>2.6853990000000001E-2</v>
      </c>
      <c r="Q6170">
        <v>0.18134310000000001</v>
      </c>
      <c r="R6170">
        <v>0.98305319999999996</v>
      </c>
      <c r="S6170">
        <v>-6.658936E-2</v>
      </c>
      <c r="T6170">
        <v>-3.3590910000000002E-2</v>
      </c>
      <c r="U6170">
        <v>3.0603940000000001</v>
      </c>
      <c r="V6170">
        <v>3.3683409999999997E-2</v>
      </c>
      <c r="W6170">
        <v>0.18863540000000001</v>
      </c>
      <c r="X6170">
        <v>0.98146929999999999</v>
      </c>
      <c r="Y6170">
        <v>-1.481092E-2</v>
      </c>
      <c r="Z6170">
        <v>-3.5480709999999999E-3</v>
      </c>
      <c r="AA6170">
        <v>0.999884</v>
      </c>
      <c r="AB6170">
        <v>46</v>
      </c>
      <c r="AC6170">
        <v>-2.2166999999999701</v>
      </c>
      <c r="AD6170">
        <v>-1.11988739647</v>
      </c>
      <c r="AE6170">
        <v>101.56037999999999</v>
      </c>
      <c r="AF6170">
        <v>-1.5113968561137201</v>
      </c>
      <c r="AG6170">
        <v>-1.11988739647</v>
      </c>
      <c r="AH6170">
        <v>101.560978657169</v>
      </c>
      <c r="AI6170">
        <v>90.631690623160694</v>
      </c>
      <c r="AJ6170">
        <v>90.852593883358495</v>
      </c>
      <c r="AK6170">
        <v>101.578397575663</v>
      </c>
      <c r="AL6170">
        <v>79.126840892240594</v>
      </c>
      <c r="AM6170">
        <v>88.034416288211702</v>
      </c>
      <c r="AN6170">
        <v>0.99999993654243602</v>
      </c>
    </row>
    <row r="6171" spans="1:40" x14ac:dyDescent="0.25">
      <c r="A6171" t="str">
        <f>"20190303171134853"</f>
        <v>20190303171134853</v>
      </c>
      <c r="B6171" t="str">
        <f>"1551604294847286"</f>
        <v>1551604294847286</v>
      </c>
      <c r="C6171" t="s">
        <v>40</v>
      </c>
      <c r="D6171">
        <v>4.5972249999999999</v>
      </c>
      <c r="E6171">
        <v>0.4850023</v>
      </c>
      <c r="F6171" t="s">
        <v>84</v>
      </c>
      <c r="G6171">
        <v>-190.42689999999999</v>
      </c>
      <c r="H6171" s="1">
        <v>-9.6572290000000006E-6</v>
      </c>
      <c r="I6171">
        <v>145.3939</v>
      </c>
      <c r="J6171">
        <v>-188.2621</v>
      </c>
      <c r="K6171">
        <v>1.119877</v>
      </c>
      <c r="L6171">
        <v>49.956629999999997</v>
      </c>
      <c r="M6171">
        <v>-6.9433129999999996E-3</v>
      </c>
      <c r="N6171">
        <v>-7.44348199999999E-3</v>
      </c>
      <c r="O6171">
        <v>0.99994819999999995</v>
      </c>
      <c r="P6171">
        <v>2.6071380000000002E-2</v>
      </c>
      <c r="Q6171">
        <v>0.182145</v>
      </c>
      <c r="R6171">
        <v>0.98292599999999997</v>
      </c>
      <c r="S6171">
        <v>-6.9183350000000005E-2</v>
      </c>
      <c r="T6171">
        <v>-3.573585E-2</v>
      </c>
      <c r="U6171">
        <v>3.060181</v>
      </c>
      <c r="V6171">
        <v>3.2901329999999999E-2</v>
      </c>
      <c r="W6171">
        <v>0.1894544</v>
      </c>
      <c r="X6171">
        <v>0.98133809999999999</v>
      </c>
      <c r="Y6171">
        <v>-1.565824E-2</v>
      </c>
      <c r="Z6171">
        <v>-4.2315529999999999E-3</v>
      </c>
      <c r="AA6171">
        <v>0.99986850000000005</v>
      </c>
      <c r="AB6171">
        <v>47</v>
      </c>
      <c r="AC6171">
        <v>-2.1647999999999801</v>
      </c>
      <c r="AD6171">
        <v>-1.119886657229</v>
      </c>
      <c r="AE6171">
        <v>95.437269999999998</v>
      </c>
      <c r="AF6171">
        <v>-1.5018719337853199</v>
      </c>
      <c r="AG6171">
        <v>-1.119886657229</v>
      </c>
      <c r="AH6171">
        <v>95.436866410405898</v>
      </c>
      <c r="AI6171">
        <v>90.6722128886082</v>
      </c>
      <c r="AJ6171">
        <v>90.901578436537406</v>
      </c>
      <c r="AK6171">
        <v>95.455252530534906</v>
      </c>
      <c r="AL6171">
        <v>79.079054306796905</v>
      </c>
      <c r="AM6171">
        <v>88.079763232860998</v>
      </c>
      <c r="AN6171">
        <v>0.99999996685336801</v>
      </c>
    </row>
    <row r="6172" spans="1:40" x14ac:dyDescent="0.25">
      <c r="A6172" t="str">
        <f>"20190303171134876"</f>
        <v>20190303171134876</v>
      </c>
      <c r="B6172" t="str">
        <f>"1551604294866806"</f>
        <v>1551604294866806</v>
      </c>
      <c r="C6172" t="s">
        <v>40</v>
      </c>
      <c r="D6172">
        <v>4.5602359999999997</v>
      </c>
      <c r="E6172">
        <v>0.48503800000000002</v>
      </c>
      <c r="F6172" t="s">
        <v>84</v>
      </c>
      <c r="G6172">
        <v>-190.71539999999999</v>
      </c>
      <c r="H6172" s="1">
        <v>-1.33141899999999E-5</v>
      </c>
      <c r="I6172">
        <v>155.58250000000001</v>
      </c>
      <c r="J6172">
        <v>-188.2654</v>
      </c>
      <c r="K6172">
        <v>1.1198900000000001</v>
      </c>
      <c r="L6172">
        <v>50.438960000000002</v>
      </c>
      <c r="M6172">
        <v>-6.9443930000000001E-3</v>
      </c>
      <c r="N6172">
        <v>-7.477025E-3</v>
      </c>
      <c r="O6172">
        <v>0.9999479</v>
      </c>
      <c r="P6172">
        <v>2.570513E-2</v>
      </c>
      <c r="Q6172">
        <v>0.1824249</v>
      </c>
      <c r="R6172">
        <v>0.98288379999999997</v>
      </c>
      <c r="S6172">
        <v>-7.1075440000000004E-2</v>
      </c>
      <c r="T6172">
        <v>-3.2443399999999997E-2</v>
      </c>
      <c r="U6172">
        <v>3.0599980000000002</v>
      </c>
      <c r="V6172">
        <v>3.2536059999999999E-2</v>
      </c>
      <c r="W6172">
        <v>0.1897662</v>
      </c>
      <c r="X6172">
        <v>0.98129</v>
      </c>
      <c r="Y6172">
        <v>-1.6276539999999999E-2</v>
      </c>
      <c r="Z6172">
        <v>-3.123018E-3</v>
      </c>
      <c r="AA6172">
        <v>0.99986269999999999</v>
      </c>
      <c r="AB6172">
        <v>47</v>
      </c>
      <c r="AC6172">
        <v>-2.4499999999999802</v>
      </c>
      <c r="AD6172">
        <v>-1.1199033141899899</v>
      </c>
      <c r="AE6172">
        <v>105.14354</v>
      </c>
      <c r="AF6172">
        <v>-1.7195674471812701</v>
      </c>
      <c r="AG6172">
        <v>-1.1199033141899899</v>
      </c>
      <c r="AH6172">
        <v>105.146096699861</v>
      </c>
      <c r="AI6172">
        <v>90.610148461233194</v>
      </c>
      <c r="AJ6172">
        <v>90.936936112795195</v>
      </c>
      <c r="AK6172">
        <v>105.16611976703901</v>
      </c>
      <c r="AL6172">
        <v>79.0608590633543</v>
      </c>
      <c r="AM6172">
        <v>88.100972960968903</v>
      </c>
      <c r="AN6172">
        <v>0.99999993498137896</v>
      </c>
    </row>
    <row r="6173" spans="1:40" x14ac:dyDescent="0.25">
      <c r="A6173" t="str">
        <f>"20190303171134896"</f>
        <v>20190303171134896</v>
      </c>
      <c r="B6173" t="str">
        <f>"1551604294887303"</f>
        <v>1551604294887303</v>
      </c>
      <c r="C6173" t="s">
        <v>40</v>
      </c>
      <c r="D6173">
        <v>4.715471</v>
      </c>
      <c r="E6173">
        <v>0.51308549999999997</v>
      </c>
      <c r="F6173" t="s">
        <v>42</v>
      </c>
      <c r="G6173">
        <v>-190.83920000000001</v>
      </c>
      <c r="H6173" s="1">
        <v>-4.16239E-7</v>
      </c>
      <c r="I6173">
        <v>159.99979999999999</v>
      </c>
      <c r="J6173">
        <v>-188.26840000000001</v>
      </c>
      <c r="K6173">
        <v>1.1198950000000001</v>
      </c>
      <c r="L6173">
        <v>50.868650000000002</v>
      </c>
      <c r="M6173">
        <v>-6.9453049999999997E-3</v>
      </c>
      <c r="N6173">
        <v>-7.5311900000000001E-3</v>
      </c>
      <c r="O6173">
        <v>0.99994749999999999</v>
      </c>
      <c r="P6173">
        <v>2.4937770000000001E-2</v>
      </c>
      <c r="Q6173">
        <v>0.18193680000000001</v>
      </c>
      <c r="R6173">
        <v>0.98299400000000003</v>
      </c>
      <c r="S6173">
        <v>-7.1884160000000002E-2</v>
      </c>
      <c r="T6173">
        <v>-3.127754E-2</v>
      </c>
      <c r="U6173">
        <v>3.0599370000000001</v>
      </c>
      <c r="V6173">
        <v>3.17705E-2</v>
      </c>
      <c r="W6173">
        <v>0.18933220000000001</v>
      </c>
      <c r="X6173">
        <v>0.98139900000000002</v>
      </c>
      <c r="Y6173">
        <v>-1.6540220000000001E-2</v>
      </c>
      <c r="Z6173">
        <v>-2.6881449999999999E-3</v>
      </c>
      <c r="AA6173">
        <v>0.99985959999999996</v>
      </c>
      <c r="AB6173">
        <v>47</v>
      </c>
      <c r="AC6173">
        <v>-2.57079999999999</v>
      </c>
      <c r="AD6173">
        <v>-1.119895416239</v>
      </c>
      <c r="AE6173">
        <v>109.13115000000001</v>
      </c>
      <c r="AF6173">
        <v>-1.8125765870619599</v>
      </c>
      <c r="AG6173">
        <v>-1.119895416239</v>
      </c>
      <c r="AH6173">
        <v>109.134886922258</v>
      </c>
      <c r="AI6173">
        <v>90.587843021765593</v>
      </c>
      <c r="AJ6173">
        <v>90.9515146244552</v>
      </c>
      <c r="AK6173">
        <v>109.155683054806</v>
      </c>
      <c r="AL6173">
        <v>79.086185514114206</v>
      </c>
      <c r="AM6173">
        <v>88.145830521416599</v>
      </c>
      <c r="AN6173">
        <v>1.0000000219140399</v>
      </c>
    </row>
    <row r="6174" spans="1:40" x14ac:dyDescent="0.25">
      <c r="A6174" t="str">
        <f>"20190303171134920"</f>
        <v>20190303171134920</v>
      </c>
      <c r="B6174" t="str">
        <f>"1551604294907116"</f>
        <v>1551604294907116</v>
      </c>
      <c r="C6174" t="s">
        <v>40</v>
      </c>
      <c r="D6174">
        <v>4.5473860000000004</v>
      </c>
      <c r="E6174">
        <v>0.52078469999999999</v>
      </c>
      <c r="F6174" t="s">
        <v>52</v>
      </c>
      <c r="G6174">
        <v>-177.38040000000001</v>
      </c>
      <c r="H6174">
        <v>8.0001180000000005E-2</v>
      </c>
      <c r="I6174">
        <v>270.64499999999998</v>
      </c>
      <c r="J6174">
        <v>-188.27180000000001</v>
      </c>
      <c r="K6174">
        <v>1.119907</v>
      </c>
      <c r="L6174">
        <v>51.358060000000002</v>
      </c>
      <c r="M6174">
        <v>-6.9462940000000004E-3</v>
      </c>
      <c r="N6174">
        <v>-7.6235169999999998E-3</v>
      </c>
      <c r="O6174">
        <v>0.99994680000000002</v>
      </c>
      <c r="P6174">
        <v>2.4405449999999999E-2</v>
      </c>
      <c r="Q6174">
        <v>0.18165510000000001</v>
      </c>
      <c r="R6174">
        <v>0.98305940000000003</v>
      </c>
      <c r="S6174">
        <v>0.151138299999999</v>
      </c>
      <c r="T6174">
        <v>-1.443493E-2</v>
      </c>
      <c r="U6174">
        <v>3.050751</v>
      </c>
      <c r="V6174">
        <v>3.1239739999999998E-2</v>
      </c>
      <c r="W6174">
        <v>0.18914210000000001</v>
      </c>
      <c r="X6174">
        <v>0.98145269999999996</v>
      </c>
      <c r="Y6174">
        <v>5.6414600000000002E-2</v>
      </c>
      <c r="Z6174">
        <v>2.9001690000000002E-3</v>
      </c>
      <c r="AA6174">
        <v>0.99840320000000005</v>
      </c>
      <c r="AB6174">
        <v>47</v>
      </c>
      <c r="AC6174">
        <v>10.891400000000001</v>
      </c>
      <c r="AD6174">
        <v>-1.03990582</v>
      </c>
      <c r="AE6174">
        <v>219.28693999999999</v>
      </c>
      <c r="AF6174">
        <v>12.4141345740929</v>
      </c>
      <c r="AG6174">
        <v>-1.03990582</v>
      </c>
      <c r="AH6174">
        <v>219.20107475979</v>
      </c>
      <c r="AI6174">
        <v>90.271378451350202</v>
      </c>
      <c r="AJ6174">
        <v>86.758599210712404</v>
      </c>
      <c r="AK6174">
        <v>219.55478431859601</v>
      </c>
      <c r="AL6174">
        <v>79.097277941128993</v>
      </c>
      <c r="AM6174">
        <v>88.176885000967999</v>
      </c>
      <c r="AN6174">
        <v>1.00000002884248</v>
      </c>
    </row>
    <row r="6175" spans="1:40" x14ac:dyDescent="0.25">
      <c r="A6175" t="str">
        <f>"20190303171134941"</f>
        <v>20190303171134941</v>
      </c>
      <c r="B6175" t="str">
        <f>"1551604294926636"</f>
        <v>1551604294926636</v>
      </c>
      <c r="C6175" t="s">
        <v>40</v>
      </c>
      <c r="D6175">
        <v>4.5233639999999999</v>
      </c>
      <c r="E6175">
        <v>0.52482220000000002</v>
      </c>
      <c r="F6175" t="s">
        <v>42</v>
      </c>
      <c r="G6175">
        <v>-180.01910000000001</v>
      </c>
      <c r="H6175" s="1">
        <v>-3.1030530000000002E-6</v>
      </c>
      <c r="I6175">
        <v>170.96270000000001</v>
      </c>
      <c r="J6175">
        <v>-188.2749</v>
      </c>
      <c r="K6175">
        <v>1.1199239999999999</v>
      </c>
      <c r="L6175">
        <v>51.80545</v>
      </c>
      <c r="M6175">
        <v>-6.9471580000000002E-3</v>
      </c>
      <c r="N6175">
        <v>-7.7277159999999999E-3</v>
      </c>
      <c r="O6175">
        <v>0.999946</v>
      </c>
      <c r="P6175">
        <v>2.4510170000000001E-2</v>
      </c>
      <c r="Q6175">
        <v>0.18118029999999999</v>
      </c>
      <c r="R6175">
        <v>0.98314440000000003</v>
      </c>
      <c r="S6175">
        <v>0.21057129999999999</v>
      </c>
      <c r="T6175">
        <v>-2.857494E-2</v>
      </c>
      <c r="U6175">
        <v>3.051758</v>
      </c>
      <c r="V6175">
        <v>3.1345999999999999E-2</v>
      </c>
      <c r="W6175">
        <v>0.1887703</v>
      </c>
      <c r="X6175">
        <v>0.98152090000000003</v>
      </c>
      <c r="Y6175">
        <v>7.5760469999999996E-2</v>
      </c>
      <c r="Z6175">
        <v>-1.6086259999999999E-3</v>
      </c>
      <c r="AA6175">
        <v>0.99712469999999997</v>
      </c>
      <c r="AB6175">
        <v>47</v>
      </c>
      <c r="AC6175">
        <v>8.25579999999999</v>
      </c>
      <c r="AD6175">
        <v>-1.119927103053</v>
      </c>
      <c r="AE6175">
        <v>119.15725</v>
      </c>
      <c r="AF6175">
        <v>9.0826312368253603</v>
      </c>
      <c r="AG6175">
        <v>-1.119927103053</v>
      </c>
      <c r="AH6175">
        <v>119.08654889760901</v>
      </c>
      <c r="AI6175">
        <v>90.5372512894686</v>
      </c>
      <c r="AJ6175">
        <v>85.638542701431803</v>
      </c>
      <c r="AK6175">
        <v>119.43765970263701</v>
      </c>
      <c r="AL6175">
        <v>79.118971401659095</v>
      </c>
      <c r="AM6175">
        <v>88.170815018369396</v>
      </c>
      <c r="AN6175">
        <v>1.00000003750744</v>
      </c>
    </row>
    <row r="6176" spans="1:40" x14ac:dyDescent="0.25">
      <c r="A6176" t="str">
        <f>"20190303171134963"</f>
        <v>20190303171134963</v>
      </c>
      <c r="B6176" t="str">
        <f>"1551604294956892"</f>
        <v>1551604294956892</v>
      </c>
      <c r="C6176" t="s">
        <v>40</v>
      </c>
      <c r="D6176">
        <v>4.4726019999999904</v>
      </c>
      <c r="E6176">
        <v>0.527976</v>
      </c>
      <c r="F6176" t="s">
        <v>84</v>
      </c>
      <c r="G6176">
        <v>-180.77330000000001</v>
      </c>
      <c r="H6176" s="1">
        <v>-1.063487E-5</v>
      </c>
      <c r="I6176">
        <v>146.13939999999999</v>
      </c>
      <c r="J6176">
        <v>-188.2782</v>
      </c>
      <c r="K6176">
        <v>1.1199429999999999</v>
      </c>
      <c r="L6176">
        <v>52.283450000000002</v>
      </c>
      <c r="M6176">
        <v>-6.947946E-3</v>
      </c>
      <c r="N6176">
        <v>-7.8490939999999992E-3</v>
      </c>
      <c r="O6176">
        <v>0.99994499999999997</v>
      </c>
      <c r="P6176">
        <v>2.4873119999999999E-2</v>
      </c>
      <c r="Q6176">
        <v>0.18067530000000001</v>
      </c>
      <c r="R6176">
        <v>0.9832282</v>
      </c>
      <c r="S6176">
        <v>0.24270630000000001</v>
      </c>
      <c r="T6176">
        <v>-3.6234139999999998E-2</v>
      </c>
      <c r="U6176">
        <v>3.052063</v>
      </c>
      <c r="V6176">
        <v>3.1710370000000002E-2</v>
      </c>
      <c r="W6176">
        <v>0.18838440000000001</v>
      </c>
      <c r="X6176">
        <v>0.98158330000000005</v>
      </c>
      <c r="Y6176">
        <v>8.6188899999999902E-2</v>
      </c>
      <c r="Z6176">
        <v>-3.9789200000000004E-3</v>
      </c>
      <c r="AA6176">
        <v>0.99627089999999996</v>
      </c>
      <c r="AB6176">
        <v>47</v>
      </c>
      <c r="AC6176">
        <v>7.5048999999999904</v>
      </c>
      <c r="AD6176">
        <v>-1.1199536348700001</v>
      </c>
      <c r="AE6176">
        <v>93.855950000000007</v>
      </c>
      <c r="AF6176">
        <v>8.1556911364905904</v>
      </c>
      <c r="AG6176">
        <v>-1.1199536348700001</v>
      </c>
      <c r="AH6176">
        <v>93.7882696103283</v>
      </c>
      <c r="AI6176">
        <v>90.681581544162498</v>
      </c>
      <c r="AJ6176">
        <v>85.030144415778096</v>
      </c>
      <c r="AK6176">
        <v>94.148866751319602</v>
      </c>
      <c r="AL6176">
        <v>79.141485400611103</v>
      </c>
      <c r="AM6176">
        <v>88.149684582105493</v>
      </c>
      <c r="AN6176">
        <v>1.00000000228389</v>
      </c>
    </row>
    <row r="6177" spans="1:40" x14ac:dyDescent="0.25">
      <c r="A6177" t="str">
        <f>"20190303171134986"</f>
        <v>20190303171134986</v>
      </c>
      <c r="B6177" t="str">
        <f>"1551604294976412"</f>
        <v>1551604294976412</v>
      </c>
      <c r="C6177" t="s">
        <v>40</v>
      </c>
      <c r="D6177">
        <v>4.5553499999999998</v>
      </c>
      <c r="E6177">
        <v>0.52978190000000003</v>
      </c>
      <c r="F6177" t="s">
        <v>84</v>
      </c>
      <c r="G6177">
        <v>-181.40860000000001</v>
      </c>
      <c r="H6177" s="1">
        <v>-5.5828390000000002E-6</v>
      </c>
      <c r="I6177">
        <v>130.35120000000001</v>
      </c>
      <c r="J6177">
        <v>-188.2816</v>
      </c>
      <c r="K6177">
        <v>1.1199589999999999</v>
      </c>
      <c r="L6177">
        <v>52.766269999999999</v>
      </c>
      <c r="M6177">
        <v>-6.9486069999999999E-3</v>
      </c>
      <c r="N6177">
        <v>-7.9931710000000003E-3</v>
      </c>
      <c r="O6177">
        <v>0.9999439</v>
      </c>
      <c r="P6177">
        <v>2.555992E-2</v>
      </c>
      <c r="Q6177">
        <v>0.18014640000000001</v>
      </c>
      <c r="R6177">
        <v>0.98330770000000001</v>
      </c>
      <c r="S6177">
        <v>0.26860050000000002</v>
      </c>
      <c r="T6177">
        <v>-4.3789740000000001E-2</v>
      </c>
      <c r="U6177">
        <v>3.0524290000000001</v>
      </c>
      <c r="V6177">
        <v>3.2398379999999997E-2</v>
      </c>
      <c r="W6177">
        <v>0.18799759999999999</v>
      </c>
      <c r="X6177">
        <v>0.98163500000000004</v>
      </c>
      <c r="Y6177">
        <v>9.4566769999999994E-2</v>
      </c>
      <c r="Z6177">
        <v>-6.2888900000000001E-3</v>
      </c>
      <c r="AA6177">
        <v>0.99549869999999996</v>
      </c>
      <c r="AB6177">
        <v>47</v>
      </c>
      <c r="AC6177">
        <v>6.8729999999999896</v>
      </c>
      <c r="AD6177">
        <v>-1.1199645828389999</v>
      </c>
      <c r="AE6177">
        <v>77.58493</v>
      </c>
      <c r="AF6177">
        <v>7.4104263260151901</v>
      </c>
      <c r="AG6177">
        <v>-1.1199645828389999</v>
      </c>
      <c r="AH6177">
        <v>77.519269928450797</v>
      </c>
      <c r="AI6177">
        <v>90.823971052953695</v>
      </c>
      <c r="AJ6177">
        <v>84.539424043362203</v>
      </c>
      <c r="AK6177">
        <v>77.880716157725004</v>
      </c>
      <c r="AL6177">
        <v>79.164050709698401</v>
      </c>
      <c r="AM6177">
        <v>88.109667178014107</v>
      </c>
      <c r="AN6177">
        <v>1.0000000129286899</v>
      </c>
    </row>
    <row r="6178" spans="1:40" x14ac:dyDescent="0.25">
      <c r="A6178" t="str">
        <f>"20190303171135008"</f>
        <v>20190303171135008</v>
      </c>
      <c r="B6178" t="str">
        <f>"1551604294996908"</f>
        <v>1551604294996908</v>
      </c>
      <c r="C6178" t="s">
        <v>40</v>
      </c>
      <c r="D6178">
        <v>4.572641</v>
      </c>
      <c r="E6178">
        <v>0.53105780000000002</v>
      </c>
      <c r="F6178" t="s">
        <v>84</v>
      </c>
      <c r="G6178">
        <v>-181.4605</v>
      </c>
      <c r="H6178" s="1">
        <v>-4.2309499999999997E-6</v>
      </c>
      <c r="I6178">
        <v>125.7976</v>
      </c>
      <c r="J6178">
        <v>-188.28489999999999</v>
      </c>
      <c r="K6178">
        <v>1.1199840000000001</v>
      </c>
      <c r="L6178">
        <v>53.2378199999999</v>
      </c>
      <c r="M6178">
        <v>-6.9493100000000002E-3</v>
      </c>
      <c r="N6178">
        <v>-8.1713489999999996E-3</v>
      </c>
      <c r="O6178">
        <v>0.99994249999999996</v>
      </c>
      <c r="P6178">
        <v>2.5675529999999998E-2</v>
      </c>
      <c r="Q6178">
        <v>0.17946029999999999</v>
      </c>
      <c r="R6178">
        <v>0.98343009999999997</v>
      </c>
      <c r="S6178">
        <v>0.2850647</v>
      </c>
      <c r="T6178">
        <v>-4.6805020000000003E-2</v>
      </c>
      <c r="U6178">
        <v>3.0520939999999999</v>
      </c>
      <c r="V6178">
        <v>3.2515589999999997E-2</v>
      </c>
      <c r="W6178">
        <v>0.1874876</v>
      </c>
      <c r="X6178">
        <v>0.98172870000000001</v>
      </c>
      <c r="Y6178">
        <v>9.9900290000000003E-2</v>
      </c>
      <c r="Z6178">
        <v>-7.0879209999999996E-3</v>
      </c>
      <c r="AA6178">
        <v>0.99497219999999997</v>
      </c>
      <c r="AB6178">
        <v>47</v>
      </c>
      <c r="AC6178">
        <v>6.82439999999999</v>
      </c>
      <c r="AD6178">
        <v>-1.11998823095</v>
      </c>
      <c r="AE6178">
        <v>72.559780000000003</v>
      </c>
      <c r="AF6178">
        <v>7.3267621213403</v>
      </c>
      <c r="AG6178">
        <v>-1.11998823095</v>
      </c>
      <c r="AH6178">
        <v>72.493481134358305</v>
      </c>
      <c r="AI6178">
        <v>90.880635301066505</v>
      </c>
      <c r="AJ6178">
        <v>84.228834323445895</v>
      </c>
      <c r="AK6178">
        <v>72.871397844406303</v>
      </c>
      <c r="AL6178">
        <v>79.193800989373102</v>
      </c>
      <c r="AM6178">
        <v>88.103014311280603</v>
      </c>
      <c r="AN6178">
        <v>1.0000000520752399</v>
      </c>
    </row>
    <row r="6179" spans="1:40" x14ac:dyDescent="0.25">
      <c r="A6179" t="str">
        <f>"20190303171135031"</f>
        <v>20190303171135031</v>
      </c>
      <c r="B6179" t="str">
        <f>"1551604295016428"</f>
        <v>1551604295016428</v>
      </c>
      <c r="C6179" t="s">
        <v>40</v>
      </c>
      <c r="D6179">
        <v>4.5843439999999998</v>
      </c>
      <c r="E6179">
        <v>0.53212910000000002</v>
      </c>
      <c r="F6179" t="s">
        <v>84</v>
      </c>
      <c r="G6179">
        <v>-181.83439999999999</v>
      </c>
      <c r="H6179" s="1">
        <v>-2.24524E-6</v>
      </c>
      <c r="I6179">
        <v>119.90089999999999</v>
      </c>
      <c r="J6179">
        <v>-188.28800000000001</v>
      </c>
      <c r="K6179">
        <v>1.1200209999999999</v>
      </c>
      <c r="L6179">
        <v>53.684660000000001</v>
      </c>
      <c r="M6179">
        <v>-6.9499380000000001E-3</v>
      </c>
      <c r="N6179">
        <v>-8.3823990000000004E-3</v>
      </c>
      <c r="O6179">
        <v>0.99994070000000002</v>
      </c>
      <c r="P6179">
        <v>2.5793690000000001E-2</v>
      </c>
      <c r="Q6179">
        <v>0.17843629999999999</v>
      </c>
      <c r="R6179">
        <v>0.98361330000000002</v>
      </c>
      <c r="S6179">
        <v>0.29533389999999998</v>
      </c>
      <c r="T6179">
        <v>-5.1278829999999997E-2</v>
      </c>
      <c r="U6179">
        <v>3.0521850000000001</v>
      </c>
      <c r="V6179">
        <v>3.2635699999999997E-2</v>
      </c>
      <c r="W6179">
        <v>0.18667210000000001</v>
      </c>
      <c r="X6179">
        <v>0.98188010000000003</v>
      </c>
      <c r="Y6179">
        <v>0.103213</v>
      </c>
      <c r="Z6179">
        <v>-8.3292179999999993E-3</v>
      </c>
      <c r="AA6179">
        <v>0.99462439999999996</v>
      </c>
      <c r="AB6179">
        <v>47</v>
      </c>
      <c r="AC6179">
        <v>6.45359999999999</v>
      </c>
      <c r="AD6179">
        <v>-1.1200232452400001</v>
      </c>
      <c r="AE6179">
        <v>66.216239999999999</v>
      </c>
      <c r="AF6179">
        <v>6.91170020266956</v>
      </c>
      <c r="AG6179">
        <v>-1.1200232452400001</v>
      </c>
      <c r="AH6179">
        <v>66.1510389566632</v>
      </c>
      <c r="AI6179">
        <v>90.964748783967806</v>
      </c>
      <c r="AJ6179">
        <v>84.035172220340698</v>
      </c>
      <c r="AK6179">
        <v>66.520568298891106</v>
      </c>
      <c r="AL6179">
        <v>79.241365398236496</v>
      </c>
      <c r="AM6179">
        <v>88.096305512763706</v>
      </c>
      <c r="AN6179">
        <v>1.0000000463044501</v>
      </c>
    </row>
    <row r="6180" spans="1:40" x14ac:dyDescent="0.25">
      <c r="A6180" t="str">
        <f>"20190303171135055"</f>
        <v>20190303171135055</v>
      </c>
      <c r="B6180" t="str">
        <f>"1551604295046684"</f>
        <v>1551604295046684</v>
      </c>
      <c r="C6180" t="s">
        <v>40</v>
      </c>
      <c r="D6180">
        <v>4.632028</v>
      </c>
      <c r="E6180">
        <v>0.53334569999999903</v>
      </c>
      <c r="F6180" t="s">
        <v>42</v>
      </c>
      <c r="G6180">
        <v>-182.2227</v>
      </c>
      <c r="H6180" s="1">
        <v>-3.7280519999999999E-6</v>
      </c>
      <c r="I6180">
        <v>114.5223</v>
      </c>
      <c r="J6180">
        <v>-188.29150000000001</v>
      </c>
      <c r="K6180">
        <v>1.1200669999999999</v>
      </c>
      <c r="L6180">
        <v>54.199309999999997</v>
      </c>
      <c r="M6180">
        <v>-6.9506409999999996E-3</v>
      </c>
      <c r="N6180">
        <v>-8.6799089999999995E-3</v>
      </c>
      <c r="O6180">
        <v>0.9999382</v>
      </c>
      <c r="P6180">
        <v>2.5810159999999999E-2</v>
      </c>
      <c r="Q6180">
        <v>0.17746199999999901</v>
      </c>
      <c r="R6180">
        <v>0.98378909999999997</v>
      </c>
      <c r="S6180">
        <v>0.30429079999999997</v>
      </c>
      <c r="T6180">
        <v>-5.619097E-2</v>
      </c>
      <c r="U6180">
        <v>3.0521850000000001</v>
      </c>
      <c r="V6180">
        <v>3.2654130000000003E-2</v>
      </c>
      <c r="W6180">
        <v>0.18599180000000001</v>
      </c>
      <c r="X6180">
        <v>0.98200849999999995</v>
      </c>
      <c r="Y6180">
        <v>0.1061015</v>
      </c>
      <c r="Z6180">
        <v>-9.6268399999999994E-3</v>
      </c>
      <c r="AA6180">
        <v>0.99430870000000005</v>
      </c>
      <c r="AB6180">
        <v>47</v>
      </c>
      <c r="AC6180">
        <v>6.0688000000000004</v>
      </c>
      <c r="AD6180">
        <v>-1.1200707280519999</v>
      </c>
      <c r="AE6180">
        <v>60.322989999999997</v>
      </c>
      <c r="AF6180">
        <v>6.4857389615023902</v>
      </c>
      <c r="AG6180">
        <v>-1.1200707280519999</v>
      </c>
      <c r="AH6180">
        <v>60.258782042412903</v>
      </c>
      <c r="AI6180">
        <v>91.058759220734402</v>
      </c>
      <c r="AJ6180">
        <v>83.856822332961499</v>
      </c>
      <c r="AK6180">
        <v>60.617160784282902</v>
      </c>
      <c r="AL6180">
        <v>79.281037667872297</v>
      </c>
      <c r="AM6180">
        <v>88.095480121728102</v>
      </c>
      <c r="AN6180">
        <v>0.99999996797277202</v>
      </c>
    </row>
    <row r="6181" spans="1:40" x14ac:dyDescent="0.25">
      <c r="A6181" t="str">
        <f>"20190303171135077"</f>
        <v>20190303171135077</v>
      </c>
      <c r="B6181" t="str">
        <f>"1551604295067180"</f>
        <v>1551604295067180</v>
      </c>
      <c r="C6181" t="s">
        <v>40</v>
      </c>
      <c r="D6181">
        <v>4.6737159999999998</v>
      </c>
      <c r="E6181">
        <v>0.53416529999999995</v>
      </c>
      <c r="F6181" t="s">
        <v>42</v>
      </c>
      <c r="G6181">
        <v>-182.28020000000001</v>
      </c>
      <c r="H6181" s="1">
        <v>-3.0610559999999999E-6</v>
      </c>
      <c r="I6181">
        <v>112.60720000000001</v>
      </c>
      <c r="J6181">
        <v>-188.29480000000001</v>
      </c>
      <c r="K6181">
        <v>1.1201190000000001</v>
      </c>
      <c r="L6181">
        <v>54.668430000000001</v>
      </c>
      <c r="M6181">
        <v>-6.9512469999999998E-3</v>
      </c>
      <c r="N6181">
        <v>-8.9997640000000004E-3</v>
      </c>
      <c r="O6181">
        <v>0.99993529999999997</v>
      </c>
      <c r="P6181">
        <v>2.656416E-2</v>
      </c>
      <c r="Q6181">
        <v>0.17716009999999999</v>
      </c>
      <c r="R6181">
        <v>0.98382349999999996</v>
      </c>
      <c r="S6181">
        <v>0.3140869</v>
      </c>
      <c r="T6181">
        <v>-5.8522579999999998E-2</v>
      </c>
      <c r="U6181">
        <v>3.051758</v>
      </c>
      <c r="V6181">
        <v>3.3409029999999999E-2</v>
      </c>
      <c r="W6181">
        <v>0.186004</v>
      </c>
      <c r="X6181">
        <v>0.98198090000000005</v>
      </c>
      <c r="Y6181">
        <v>0.1092728</v>
      </c>
      <c r="Z6181">
        <v>-1.006262E-2</v>
      </c>
      <c r="AA6181">
        <v>0.99396090000000004</v>
      </c>
      <c r="AB6181">
        <v>47</v>
      </c>
      <c r="AC6181">
        <v>6.0145999999999997</v>
      </c>
      <c r="AD6181">
        <v>-1.1201220610560001</v>
      </c>
      <c r="AE6181">
        <v>57.938769999999998</v>
      </c>
      <c r="AF6181">
        <v>6.4148456560440197</v>
      </c>
      <c r="AG6181">
        <v>-1.1201220610560001</v>
      </c>
      <c r="AH6181">
        <v>57.874159015676597</v>
      </c>
      <c r="AI6181">
        <v>91.102042031678806</v>
      </c>
      <c r="AJ6181">
        <v>83.675080554636693</v>
      </c>
      <c r="AK6181">
        <v>58.239361260185099</v>
      </c>
      <c r="AL6181">
        <v>79.280327347775</v>
      </c>
      <c r="AM6181">
        <v>88.051430157917096</v>
      </c>
      <c r="AN6181">
        <v>1.0000000696331699</v>
      </c>
    </row>
    <row r="6182" spans="1:40" x14ac:dyDescent="0.25">
      <c r="A6182" t="str">
        <f>"20190303171135099"</f>
        <v>20190303171135099</v>
      </c>
      <c r="B6182" t="str">
        <f>"1551604295086699"</f>
        <v>1551604295086699</v>
      </c>
      <c r="C6182" t="s">
        <v>40</v>
      </c>
      <c r="D6182">
        <v>4.5740189999999998</v>
      </c>
      <c r="E6182">
        <v>0.5347575</v>
      </c>
      <c r="F6182" t="s">
        <v>42</v>
      </c>
      <c r="G6182">
        <v>-182.20570000000001</v>
      </c>
      <c r="H6182" s="1">
        <v>-2.953876E-6</v>
      </c>
      <c r="I6182">
        <v>112.23399999999999</v>
      </c>
      <c r="J6182">
        <v>-188.298</v>
      </c>
      <c r="K6182">
        <v>1.120174</v>
      </c>
      <c r="L6182">
        <v>55.138919999999999</v>
      </c>
      <c r="M6182">
        <v>-6.9517449999999996E-3</v>
      </c>
      <c r="N6182">
        <v>-9.3597920000000005E-3</v>
      </c>
      <c r="O6182">
        <v>0.99993209999999999</v>
      </c>
      <c r="P6182">
        <v>2.7328849999999998E-2</v>
      </c>
      <c r="Q6182">
        <v>0.17667040000000001</v>
      </c>
      <c r="R6182">
        <v>0.98389059999999995</v>
      </c>
      <c r="S6182">
        <v>0.32275389999999998</v>
      </c>
      <c r="T6182">
        <v>-5.937278E-2</v>
      </c>
      <c r="U6182">
        <v>3.0512999999999999</v>
      </c>
      <c r="V6182">
        <v>3.4174709999999997E-2</v>
      </c>
      <c r="W6182">
        <v>0.18586859999999999</v>
      </c>
      <c r="X6182">
        <v>0.98198010000000002</v>
      </c>
      <c r="Y6182">
        <v>0.1120797</v>
      </c>
      <c r="Z6182">
        <v>-9.9762859999999991E-3</v>
      </c>
      <c r="AA6182">
        <v>0.99364909999999995</v>
      </c>
      <c r="AB6182">
        <v>47</v>
      </c>
      <c r="AC6182">
        <v>6.0922999999999901</v>
      </c>
      <c r="AD6182">
        <v>-1.120176953876</v>
      </c>
      <c r="AE6182">
        <v>57.095080000000003</v>
      </c>
      <c r="AF6182">
        <v>6.4866118224639502</v>
      </c>
      <c r="AG6182">
        <v>-1.120176953876</v>
      </c>
      <c r="AH6182">
        <v>57.029641290409103</v>
      </c>
      <c r="AI6182">
        <v>91.118052695793693</v>
      </c>
      <c r="AJ6182">
        <v>83.511004220503494</v>
      </c>
      <c r="AK6182">
        <v>57.408282634617002</v>
      </c>
      <c r="AL6182">
        <v>79.288221930182104</v>
      </c>
      <c r="AM6182">
        <v>88.006806138614905</v>
      </c>
      <c r="AN6182">
        <v>0.99999998203277696</v>
      </c>
    </row>
    <row r="6183" spans="1:40" x14ac:dyDescent="0.25">
      <c r="A6183" t="str">
        <f>"20190303171135119"</f>
        <v>20190303171135119</v>
      </c>
      <c r="B6183" t="str">
        <f>"1551604295107197"</f>
        <v>1551604295107197</v>
      </c>
      <c r="C6183" t="s">
        <v>40</v>
      </c>
      <c r="D6183">
        <v>4.6233500000000003</v>
      </c>
      <c r="E6183">
        <v>0.53520440000000002</v>
      </c>
      <c r="F6183" t="s">
        <v>42</v>
      </c>
      <c r="G6183">
        <v>-182.24430000000001</v>
      </c>
      <c r="H6183" s="1">
        <v>-2.592411E-6</v>
      </c>
      <c r="I6183">
        <v>111.202</v>
      </c>
      <c r="J6183">
        <v>-188.30109999999999</v>
      </c>
      <c r="K6183">
        <v>1.120215</v>
      </c>
      <c r="L6183">
        <v>55.575899999999997</v>
      </c>
      <c r="M6183">
        <v>-6.9520429999999998E-3</v>
      </c>
      <c r="N6183">
        <v>-9.6978429999999994E-3</v>
      </c>
      <c r="O6183">
        <v>0.99992879999999995</v>
      </c>
      <c r="P6183">
        <v>2.7813959999999999E-2</v>
      </c>
      <c r="Q6183">
        <v>0.17626259999999999</v>
      </c>
      <c r="R6183">
        <v>0.98395010000000005</v>
      </c>
      <c r="S6183">
        <v>0.32943729999999999</v>
      </c>
      <c r="T6183">
        <v>-6.0958980000000003E-2</v>
      </c>
      <c r="U6183">
        <v>3.0509029999999999</v>
      </c>
      <c r="V6183">
        <v>3.4660549999999998E-2</v>
      </c>
      <c r="W6183">
        <v>0.1857936</v>
      </c>
      <c r="X6183">
        <v>0.98197730000000005</v>
      </c>
      <c r="Y6183">
        <v>0.114243899999999</v>
      </c>
      <c r="Z6183">
        <v>-1.0152370000000001E-2</v>
      </c>
      <c r="AA6183">
        <v>0.99340090000000003</v>
      </c>
      <c r="AB6183">
        <v>47</v>
      </c>
      <c r="AC6183">
        <v>6.0567999999999804</v>
      </c>
      <c r="AD6183">
        <v>-1.1202175924110001</v>
      </c>
      <c r="AE6183">
        <v>55.626100000000001</v>
      </c>
      <c r="AF6183">
        <v>6.4408053654272699</v>
      </c>
      <c r="AG6183">
        <v>-1.1202175924110001</v>
      </c>
      <c r="AH6183">
        <v>55.560377850236101</v>
      </c>
      <c r="AI6183">
        <v>91.147368911420401</v>
      </c>
      <c r="AJ6183">
        <v>83.387534255670701</v>
      </c>
      <c r="AK6183">
        <v>55.943672100342702</v>
      </c>
      <c r="AL6183">
        <v>79.292595664937906</v>
      </c>
      <c r="AM6183">
        <v>87.978487761618894</v>
      </c>
      <c r="AN6183">
        <v>1.0000000166212699</v>
      </c>
    </row>
    <row r="6184" spans="1:40" x14ac:dyDescent="0.25">
      <c r="A6184" t="str">
        <f>"20190303171135141"</f>
        <v>20190303171135141</v>
      </c>
      <c r="B6184" t="str">
        <f>"1551604295126716"</f>
        <v>1551604295126716</v>
      </c>
      <c r="C6184" t="s">
        <v>40</v>
      </c>
      <c r="D6184">
        <v>4.5851300000000004</v>
      </c>
      <c r="E6184">
        <v>0.53558899999999998</v>
      </c>
      <c r="F6184" t="s">
        <v>42</v>
      </c>
      <c r="G6184">
        <v>-182.33959999999999</v>
      </c>
      <c r="H6184" s="1">
        <v>-2.1386709999999998E-6</v>
      </c>
      <c r="I6184">
        <v>109.9432</v>
      </c>
      <c r="J6184">
        <v>-188.30430000000001</v>
      </c>
      <c r="K6184">
        <v>1.1202559999999999</v>
      </c>
      <c r="L6184">
        <v>56.037019999999998</v>
      </c>
      <c r="M6184">
        <v>-6.9517809999999998E-3</v>
      </c>
      <c r="N6184">
        <v>-1.005145E-2</v>
      </c>
      <c r="O6184">
        <v>0.99992530000000002</v>
      </c>
      <c r="P6184">
        <v>2.818909E-2</v>
      </c>
      <c r="Q6184">
        <v>0.1757619</v>
      </c>
      <c r="R6184">
        <v>0.98402909999999999</v>
      </c>
      <c r="S6184">
        <v>0.33451839999999999</v>
      </c>
      <c r="T6184">
        <v>-6.2859540000000005E-2</v>
      </c>
      <c r="U6184">
        <v>3.050751</v>
      </c>
      <c r="V6184">
        <v>3.503593E-2</v>
      </c>
      <c r="W6184">
        <v>0.1856409</v>
      </c>
      <c r="X6184">
        <v>0.9819928</v>
      </c>
      <c r="Y6184">
        <v>0.11588229999999999</v>
      </c>
      <c r="Z6184">
        <v>-1.04146E-2</v>
      </c>
      <c r="AA6184">
        <v>0.99320830000000004</v>
      </c>
      <c r="AB6184">
        <v>47</v>
      </c>
      <c r="AC6184">
        <v>5.9647000000000201</v>
      </c>
      <c r="AD6184">
        <v>-1.120258138671</v>
      </c>
      <c r="AE6184">
        <v>53.906179999999999</v>
      </c>
      <c r="AF6184">
        <v>6.3366152194310201</v>
      </c>
      <c r="AG6184">
        <v>-1.120258138671</v>
      </c>
      <c r="AH6184">
        <v>53.8404387487127</v>
      </c>
      <c r="AI6184">
        <v>91.183813165576296</v>
      </c>
      <c r="AJ6184">
        <v>83.287595810694995</v>
      </c>
      <c r="AK6184">
        <v>54.223615845775797</v>
      </c>
      <c r="AL6184">
        <v>79.301499014418297</v>
      </c>
      <c r="AM6184">
        <v>87.9566451060997</v>
      </c>
      <c r="AN6184">
        <v>0.99999995969780597</v>
      </c>
    </row>
    <row r="6185" spans="1:40" x14ac:dyDescent="0.25">
      <c r="A6185" t="str">
        <f>"20190303171135164"</f>
        <v>20190303171135164</v>
      </c>
      <c r="B6185" t="str">
        <f>"1551604295156972"</f>
        <v>1551604295156972</v>
      </c>
      <c r="C6185" t="s">
        <v>40</v>
      </c>
      <c r="D6185">
        <v>4.6182439999999998</v>
      </c>
      <c r="E6185">
        <v>0.53602240000000001</v>
      </c>
      <c r="F6185" t="s">
        <v>42</v>
      </c>
      <c r="G6185">
        <v>-182.3477</v>
      </c>
      <c r="H6185" s="1">
        <v>-2.0371949999999998E-6</v>
      </c>
      <c r="I6185">
        <v>109.65130000000001</v>
      </c>
      <c r="J6185">
        <v>-188.30770000000001</v>
      </c>
      <c r="K6185">
        <v>1.1202989999999999</v>
      </c>
      <c r="L6185">
        <v>56.535029999999999</v>
      </c>
      <c r="M6185">
        <v>-6.9506300000000002E-3</v>
      </c>
      <c r="N6185">
        <v>-1.042911E-2</v>
      </c>
      <c r="O6185">
        <v>0.99992139999999996</v>
      </c>
      <c r="P6185">
        <v>2.838632E-2</v>
      </c>
      <c r="Q6185">
        <v>0.17478160000000001</v>
      </c>
      <c r="R6185">
        <v>0.98419800000000002</v>
      </c>
      <c r="S6185">
        <v>0.33889770000000002</v>
      </c>
      <c r="T6185">
        <v>-6.373703E-2</v>
      </c>
      <c r="U6185">
        <v>3.0503849999999999</v>
      </c>
      <c r="V6185">
        <v>3.523308E-2</v>
      </c>
      <c r="W6185">
        <v>0.18503310000000001</v>
      </c>
      <c r="X6185">
        <v>0.98210050000000004</v>
      </c>
      <c r="Y6185">
        <v>0.1173015</v>
      </c>
      <c r="Z6185">
        <v>-1.0321520000000001E-2</v>
      </c>
      <c r="AA6185">
        <v>0.99304269999999994</v>
      </c>
      <c r="AB6185">
        <v>47</v>
      </c>
      <c r="AC6185">
        <v>5.96</v>
      </c>
      <c r="AD6185">
        <v>-1.120301037195</v>
      </c>
      <c r="AE6185">
        <v>53.116269999999901</v>
      </c>
      <c r="AF6185">
        <v>6.3262883933435701</v>
      </c>
      <c r="AG6185">
        <v>-1.120301037195</v>
      </c>
      <c r="AH6185">
        <v>53.050252762990198</v>
      </c>
      <c r="AI6185">
        <v>91.201268313254204</v>
      </c>
      <c r="AJ6185">
        <v>83.199543442853198</v>
      </c>
      <c r="AK6185">
        <v>53.437873436981398</v>
      </c>
      <c r="AL6185">
        <v>79.336937849247605</v>
      </c>
      <c r="AM6185">
        <v>87.945381959741596</v>
      </c>
      <c r="AN6185">
        <v>1.00000000506107</v>
      </c>
    </row>
    <row r="6186" spans="1:40" x14ac:dyDescent="0.25">
      <c r="A6186" t="str">
        <f>"20190303171135187"</f>
        <v>20190303171135187</v>
      </c>
      <c r="B6186" t="str">
        <f>"1551604295176493"</f>
        <v>1551604295176493</v>
      </c>
      <c r="C6186" t="s">
        <v>40</v>
      </c>
      <c r="D6186">
        <v>4.6144990000000004</v>
      </c>
      <c r="E6186">
        <v>0.5363156</v>
      </c>
      <c r="F6186" t="s">
        <v>42</v>
      </c>
      <c r="G6186">
        <v>-182.52590000000001</v>
      </c>
      <c r="H6186" s="1">
        <v>-4.8874079999999901E-6</v>
      </c>
      <c r="I6186">
        <v>107.935</v>
      </c>
      <c r="J6186">
        <v>-188.3109</v>
      </c>
      <c r="K6186">
        <v>1.120344</v>
      </c>
      <c r="L6186">
        <v>57.003599999999999</v>
      </c>
      <c r="M6186">
        <v>-6.9504110000000001E-3</v>
      </c>
      <c r="N6186">
        <v>-1.077352E-2</v>
      </c>
      <c r="O6186">
        <v>0.99991779999999997</v>
      </c>
      <c r="P6186">
        <v>2.831902E-2</v>
      </c>
      <c r="Q6186">
        <v>0.17525379999999999</v>
      </c>
      <c r="R6186">
        <v>0.98411590000000004</v>
      </c>
      <c r="S6186">
        <v>0.34309390000000001</v>
      </c>
      <c r="T6186">
        <v>-6.6478969999999998E-2</v>
      </c>
      <c r="U6186">
        <v>3.0500790000000002</v>
      </c>
      <c r="V6186">
        <v>3.516528E-2</v>
      </c>
      <c r="W6186">
        <v>0.1858428</v>
      </c>
      <c r="X6186">
        <v>0.98194999999999999</v>
      </c>
      <c r="Y6186">
        <v>0.11865920000000001</v>
      </c>
      <c r="Z6186">
        <v>-1.086822E-2</v>
      </c>
      <c r="AA6186">
        <v>0.99287559999999997</v>
      </c>
      <c r="AB6186">
        <v>47</v>
      </c>
      <c r="AC6186">
        <v>5.7849999999999904</v>
      </c>
      <c r="AD6186">
        <v>-1.1203488874079901</v>
      </c>
      <c r="AE6186">
        <v>50.931399999999996</v>
      </c>
      <c r="AF6186">
        <v>6.1359437341610299</v>
      </c>
      <c r="AG6186">
        <v>-1.1203488874079901</v>
      </c>
      <c r="AH6186">
        <v>50.865659927907203</v>
      </c>
      <c r="AI6186">
        <v>91.252693833017702</v>
      </c>
      <c r="AJ6186">
        <v>83.1216240197611</v>
      </c>
      <c r="AK6186">
        <v>51.246661813622701</v>
      </c>
      <c r="AL6186">
        <v>79.289726273803197</v>
      </c>
      <c r="AM6186">
        <v>87.949018309591906</v>
      </c>
      <c r="AN6186">
        <v>0.99999997286465803</v>
      </c>
    </row>
    <row r="6187" spans="1:40" x14ac:dyDescent="0.25">
      <c r="A6187" t="str">
        <f>"20190303171135210"</f>
        <v>20190303171135210</v>
      </c>
      <c r="B6187" t="str">
        <f>"1551604295196988"</f>
        <v>1551604295196988</v>
      </c>
      <c r="C6187" t="s">
        <v>40</v>
      </c>
      <c r="D6187">
        <v>4.6165839999999996</v>
      </c>
      <c r="E6187">
        <v>0.53651519999999897</v>
      </c>
      <c r="F6187" t="s">
        <v>42</v>
      </c>
      <c r="G6187">
        <v>-182.3817</v>
      </c>
      <c r="H6187" s="1">
        <v>-5.5395400000000003E-6</v>
      </c>
      <c r="I6187">
        <v>109.3955</v>
      </c>
      <c r="J6187">
        <v>-188.3142</v>
      </c>
      <c r="K6187">
        <v>1.120377</v>
      </c>
      <c r="L6187">
        <v>57.476230000000001</v>
      </c>
      <c r="M6187">
        <v>-6.9510290000000001E-3</v>
      </c>
      <c r="N6187">
        <v>-1.109914E-2</v>
      </c>
      <c r="O6187">
        <v>0.99991419999999998</v>
      </c>
      <c r="P6187">
        <v>2.8067769999999999E-2</v>
      </c>
      <c r="Q6187">
        <v>0.17532710000000001</v>
      </c>
      <c r="R6187">
        <v>0.98411009999999999</v>
      </c>
      <c r="S6187">
        <v>0.3451843</v>
      </c>
      <c r="T6187">
        <v>-6.5223569999999995E-2</v>
      </c>
      <c r="U6187">
        <v>3.0501100000000001</v>
      </c>
      <c r="V6187">
        <v>3.4914920000000002E-2</v>
      </c>
      <c r="W6187">
        <v>0.1862354</v>
      </c>
      <c r="X6187">
        <v>0.9818846</v>
      </c>
      <c r="Y6187">
        <v>0.1193308</v>
      </c>
      <c r="Z6187">
        <v>-1.0131940000000001E-2</v>
      </c>
      <c r="AA6187">
        <v>0.99280290000000004</v>
      </c>
      <c r="AB6187">
        <v>47</v>
      </c>
      <c r="AC6187">
        <v>5.9325000000000001</v>
      </c>
      <c r="AD6187">
        <v>-1.12038253954</v>
      </c>
      <c r="AE6187">
        <v>51.919269999999898</v>
      </c>
      <c r="AF6187">
        <v>6.2903797881728503</v>
      </c>
      <c r="AG6187">
        <v>-1.12038253954</v>
      </c>
      <c r="AH6187">
        <v>51.8529410117551</v>
      </c>
      <c r="AI6187">
        <v>91.228786978674805</v>
      </c>
      <c r="AJ6187">
        <v>83.083137741601504</v>
      </c>
      <c r="AK6187">
        <v>52.245111029482104</v>
      </c>
      <c r="AL6187">
        <v>79.266832805643006</v>
      </c>
      <c r="AM6187">
        <v>87.9634724589028</v>
      </c>
      <c r="AN6187">
        <v>1.00000002178446</v>
      </c>
    </row>
    <row r="6188" spans="1:40" x14ac:dyDescent="0.25">
      <c r="A6188" t="str">
        <f>"20190303171135230"</f>
        <v>20190303171135230</v>
      </c>
      <c r="B6188" t="str">
        <f>"1551604295216509"</f>
        <v>1551604295216509</v>
      </c>
      <c r="C6188" t="s">
        <v>40</v>
      </c>
      <c r="D6188">
        <v>4.6545670000000001</v>
      </c>
      <c r="E6188">
        <v>0.5367615</v>
      </c>
      <c r="F6188" t="s">
        <v>42</v>
      </c>
      <c r="G6188">
        <v>-182.44489999999999</v>
      </c>
      <c r="H6188" s="1">
        <v>-5.5154099999999996E-6</v>
      </c>
      <c r="I6188">
        <v>109.36539999999999</v>
      </c>
      <c r="J6188">
        <v>-188.31729999999999</v>
      </c>
      <c r="K6188">
        <v>1.120409</v>
      </c>
      <c r="L6188">
        <v>57.912289999999999</v>
      </c>
      <c r="M6188">
        <v>-6.9519400000000002E-3</v>
      </c>
      <c r="N6188">
        <v>-1.137298E-2</v>
      </c>
      <c r="O6188">
        <v>0.99991110000000005</v>
      </c>
      <c r="P6188">
        <v>2.82461E-2</v>
      </c>
      <c r="Q6188">
        <v>0.1751297</v>
      </c>
      <c r="R6188">
        <v>0.98414009999999996</v>
      </c>
      <c r="S6188">
        <v>0.3450317</v>
      </c>
      <c r="T6188">
        <v>-6.586206E-2</v>
      </c>
      <c r="U6188">
        <v>3.0503230000000001</v>
      </c>
      <c r="V6188">
        <v>3.509458E-2</v>
      </c>
      <c r="W6188">
        <v>0.1863071</v>
      </c>
      <c r="X6188">
        <v>0.98186459999999998</v>
      </c>
      <c r="Y6188">
        <v>0.1192742</v>
      </c>
      <c r="Z6188">
        <v>-1.0064439999999999E-2</v>
      </c>
      <c r="AA6188">
        <v>0.99281039999999998</v>
      </c>
      <c r="AB6188">
        <v>47</v>
      </c>
      <c r="AC6188">
        <v>5.8723999999999901</v>
      </c>
      <c r="AD6188">
        <v>-1.12041451541</v>
      </c>
      <c r="AE6188">
        <v>51.453109999999903</v>
      </c>
      <c r="AF6188">
        <v>6.2270654434847996</v>
      </c>
      <c r="AG6188">
        <v>-1.12041451541</v>
      </c>
      <c r="AH6188">
        <v>51.386986394213402</v>
      </c>
      <c r="AI6188">
        <v>91.239980560025003</v>
      </c>
      <c r="AJ6188">
        <v>83.090597162892706</v>
      </c>
      <c r="AK6188">
        <v>51.7750330120885</v>
      </c>
      <c r="AL6188">
        <v>79.2626515962056</v>
      </c>
      <c r="AM6188">
        <v>87.952960429999393</v>
      </c>
      <c r="AN6188">
        <v>1.0000000288944699</v>
      </c>
    </row>
    <row r="6189" spans="1:40" x14ac:dyDescent="0.25">
      <c r="A6189" t="str">
        <f>"20190303171135255"</f>
        <v>20190303171135255</v>
      </c>
      <c r="B6189" t="str">
        <f>"1551604295246764"</f>
        <v>1551604295246764</v>
      </c>
      <c r="C6189" t="s">
        <v>40</v>
      </c>
      <c r="D6189">
        <v>4.6147749999999998</v>
      </c>
      <c r="E6189">
        <v>0.5371148</v>
      </c>
      <c r="F6189" t="s">
        <v>42</v>
      </c>
      <c r="G6189">
        <v>-182.48670000000001</v>
      </c>
      <c r="H6189" s="1">
        <v>-5.4075600000000003E-6</v>
      </c>
      <c r="I6189">
        <v>109.1313</v>
      </c>
      <c r="J6189">
        <v>-188.32079999999999</v>
      </c>
      <c r="K6189">
        <v>1.1204270000000001</v>
      </c>
      <c r="L6189">
        <v>58.430970000000002</v>
      </c>
      <c r="M6189">
        <v>-6.9528480000000002E-3</v>
      </c>
      <c r="N6189">
        <v>-1.1665689999999999E-2</v>
      </c>
      <c r="O6189">
        <v>0.99990780000000001</v>
      </c>
      <c r="P6189">
        <v>2.8279740000000001E-2</v>
      </c>
      <c r="Q6189">
        <v>0.17524629999999999</v>
      </c>
      <c r="R6189">
        <v>0.98411839999999995</v>
      </c>
      <c r="S6189">
        <v>0.34722900000000001</v>
      </c>
      <c r="T6189">
        <v>-6.6724420000000007E-2</v>
      </c>
      <c r="U6189">
        <v>3.050262</v>
      </c>
      <c r="V6189">
        <v>3.5129100000000003E-2</v>
      </c>
      <c r="W6189">
        <v>0.18671090000000001</v>
      </c>
      <c r="X6189">
        <v>0.98178659999999995</v>
      </c>
      <c r="Y6189">
        <v>0.119982199999999</v>
      </c>
      <c r="Z6189">
        <v>-1.005086E-2</v>
      </c>
      <c r="AA6189">
        <v>0.99272510000000003</v>
      </c>
      <c r="AB6189">
        <v>47</v>
      </c>
      <c r="AC6189">
        <v>5.8340999999999701</v>
      </c>
      <c r="AD6189">
        <v>-1.1204324075600001</v>
      </c>
      <c r="AE6189">
        <v>50.700330000000001</v>
      </c>
      <c r="AF6189">
        <v>6.18351424831343</v>
      </c>
      <c r="AG6189">
        <v>-1.1204324075600001</v>
      </c>
      <c r="AH6189">
        <v>50.634132884400401</v>
      </c>
      <c r="AI6189">
        <v>91.258289413146002</v>
      </c>
      <c r="AJ6189">
        <v>83.037431588347403</v>
      </c>
      <c r="AK6189">
        <v>51.022609010066503</v>
      </c>
      <c r="AL6189">
        <v>79.239101716641201</v>
      </c>
      <c r="AM6189">
        <v>87.950785968577605</v>
      </c>
      <c r="AN6189">
        <v>0.99999997089258896</v>
      </c>
    </row>
    <row r="6190" spans="1:40" x14ac:dyDescent="0.25">
      <c r="A6190" t="str">
        <f>"20190303171135278"</f>
        <v>20190303171135278</v>
      </c>
      <c r="B6190" t="str">
        <f>"1551604295267260"</f>
        <v>1551604295267260</v>
      </c>
      <c r="C6190" t="s">
        <v>40</v>
      </c>
      <c r="D6190">
        <v>4.6151999999999997</v>
      </c>
      <c r="E6190">
        <v>0.53732029999999997</v>
      </c>
      <c r="F6190" t="s">
        <v>42</v>
      </c>
      <c r="G6190">
        <v>-182.38480000000001</v>
      </c>
      <c r="H6190" s="1">
        <v>-2.1782449999999999E-6</v>
      </c>
      <c r="I6190">
        <v>110.09480000000001</v>
      </c>
      <c r="J6190">
        <v>-188.32429999999999</v>
      </c>
      <c r="K6190">
        <v>1.1204400000000001</v>
      </c>
      <c r="L6190">
        <v>58.925379999999997</v>
      </c>
      <c r="M6190">
        <v>-6.9531999999999997E-3</v>
      </c>
      <c r="N6190">
        <v>-1.191009E-2</v>
      </c>
      <c r="O6190">
        <v>0.99990489999999999</v>
      </c>
      <c r="P6190">
        <v>2.8698620000000001E-2</v>
      </c>
      <c r="Q6190">
        <v>0.17417289999999999</v>
      </c>
      <c r="R6190">
        <v>0.98429679999999997</v>
      </c>
      <c r="S6190">
        <v>0.3504486</v>
      </c>
      <c r="T6190">
        <v>-6.6147449999999997E-2</v>
      </c>
      <c r="U6190">
        <v>3.0501100000000001</v>
      </c>
      <c r="V6190">
        <v>3.5549490000000003E-2</v>
      </c>
      <c r="W6190">
        <v>0.18587980000000001</v>
      </c>
      <c r="X6190">
        <v>0.98192919999999995</v>
      </c>
      <c r="Y6190">
        <v>0.1210223</v>
      </c>
      <c r="Z6190">
        <v>-9.616968E-3</v>
      </c>
      <c r="AA6190">
        <v>0.99260320000000002</v>
      </c>
      <c r="AB6190">
        <v>47</v>
      </c>
      <c r="AC6190">
        <v>5.9394999999999802</v>
      </c>
      <c r="AD6190">
        <v>-1.12044217824499</v>
      </c>
      <c r="AE6190">
        <v>51.169420000000002</v>
      </c>
      <c r="AF6190">
        <v>6.2921960595298696</v>
      </c>
      <c r="AG6190">
        <v>-1.12044217824499</v>
      </c>
      <c r="AH6190">
        <v>51.1027051280808</v>
      </c>
      <c r="AI6190">
        <v>91.246614787622207</v>
      </c>
      <c r="AJ6190">
        <v>82.980590950443798</v>
      </c>
      <c r="AK6190">
        <v>51.500811579371501</v>
      </c>
      <c r="AL6190">
        <v>79.287569140011598</v>
      </c>
      <c r="AM6190">
        <v>87.926585195611693</v>
      </c>
      <c r="AN6190">
        <v>1.00000001004997</v>
      </c>
    </row>
    <row r="6191" spans="1:40" x14ac:dyDescent="0.25">
      <c r="A6191" t="str">
        <f>"20190303171135299"</f>
        <v>20190303171135299</v>
      </c>
      <c r="B6191" t="str">
        <f>"1551604295286780"</f>
        <v>1551604295286780</v>
      </c>
      <c r="C6191" t="s">
        <v>40</v>
      </c>
      <c r="D6191">
        <v>4.6337080000000004</v>
      </c>
      <c r="E6191">
        <v>0.53750200000000004</v>
      </c>
      <c r="F6191" t="s">
        <v>42</v>
      </c>
      <c r="G6191">
        <v>-182.59139999999999</v>
      </c>
      <c r="H6191" s="1">
        <v>-5.0576979999999901E-6</v>
      </c>
      <c r="I6191">
        <v>108.3591</v>
      </c>
      <c r="J6191">
        <v>-188.32740000000001</v>
      </c>
      <c r="K6191">
        <v>1.120441</v>
      </c>
      <c r="L6191">
        <v>59.369660000000003</v>
      </c>
      <c r="M6191">
        <v>-6.9531760000000001E-3</v>
      </c>
      <c r="N6191">
        <v>-1.210001E-2</v>
      </c>
      <c r="O6191">
        <v>0.99990259999999997</v>
      </c>
      <c r="P6191">
        <v>2.8993270000000002E-2</v>
      </c>
      <c r="Q6191">
        <v>0.17351800000000001</v>
      </c>
      <c r="R6191">
        <v>0.98440380000000005</v>
      </c>
      <c r="S6191">
        <v>0.35368349999999998</v>
      </c>
      <c r="T6191">
        <v>-6.9125060000000002E-2</v>
      </c>
      <c r="U6191">
        <v>3.0497740000000002</v>
      </c>
      <c r="V6191">
        <v>3.5844769999999998E-2</v>
      </c>
      <c r="W6191">
        <v>0.18541270000000001</v>
      </c>
      <c r="X6191">
        <v>0.98200679999999996</v>
      </c>
      <c r="Y6191">
        <v>0.1220712</v>
      </c>
      <c r="Z6191">
        <v>-1.039547E-2</v>
      </c>
      <c r="AA6191">
        <v>0.99246690000000004</v>
      </c>
      <c r="AB6191">
        <v>47</v>
      </c>
      <c r="AC6191">
        <v>5.7360000000000104</v>
      </c>
      <c r="AD6191">
        <v>-1.120446057698</v>
      </c>
      <c r="AE6191">
        <v>48.989440000000002</v>
      </c>
      <c r="AF6191">
        <v>6.0733844964121202</v>
      </c>
      <c r="AG6191">
        <v>-1.120446057698</v>
      </c>
      <c r="AH6191">
        <v>48.923124099139997</v>
      </c>
      <c r="AI6191">
        <v>91.301978137894906</v>
      </c>
      <c r="AJ6191">
        <v>82.923426798735406</v>
      </c>
      <c r="AK6191">
        <v>49.311392904980202</v>
      </c>
      <c r="AL6191">
        <v>79.314805738312003</v>
      </c>
      <c r="AM6191">
        <v>87.909543343590499</v>
      </c>
      <c r="AN6191">
        <v>1.0000000360519401</v>
      </c>
    </row>
    <row r="6192" spans="1:40" x14ac:dyDescent="0.25">
      <c r="A6192" t="str">
        <f>"20190303171135320"</f>
        <v>20190303171135320</v>
      </c>
      <c r="B6192" t="str">
        <f>"1551604295306301"</f>
        <v>1551604295306301</v>
      </c>
      <c r="C6192" t="s">
        <v>40</v>
      </c>
      <c r="D6192">
        <v>4.6377300000000004</v>
      </c>
      <c r="E6192">
        <v>0.53766999999999998</v>
      </c>
      <c r="F6192" t="s">
        <v>42</v>
      </c>
      <c r="G6192">
        <v>-182.70869999999999</v>
      </c>
      <c r="H6192" s="1">
        <v>-4.64612E-6</v>
      </c>
      <c r="I6192">
        <v>107.4482</v>
      </c>
      <c r="J6192">
        <v>-188.3305</v>
      </c>
      <c r="K6192">
        <v>1.1204510000000001</v>
      </c>
      <c r="L6192">
        <v>59.820160000000001</v>
      </c>
      <c r="M6192">
        <v>-6.9530729999999997E-3</v>
      </c>
      <c r="N6192">
        <v>-1.226561E-2</v>
      </c>
      <c r="O6192">
        <v>0.99990060000000003</v>
      </c>
      <c r="P6192">
        <v>2.894615E-2</v>
      </c>
      <c r="Q6192">
        <v>0.17367089999999999</v>
      </c>
      <c r="R6192">
        <v>0.98437819999999998</v>
      </c>
      <c r="S6192">
        <v>0.35638429999999999</v>
      </c>
      <c r="T6192">
        <v>-7.1068530000000005E-2</v>
      </c>
      <c r="U6192">
        <v>3.0495610000000002</v>
      </c>
      <c r="V6192">
        <v>3.5797349999999999E-2</v>
      </c>
      <c r="W6192">
        <v>0.18572749999999999</v>
      </c>
      <c r="X6192">
        <v>0.98194899999999996</v>
      </c>
      <c r="Y6192">
        <v>0.1229445</v>
      </c>
      <c r="Z6192">
        <v>-1.0861300000000001E-2</v>
      </c>
      <c r="AA6192">
        <v>0.99235410000000002</v>
      </c>
      <c r="AB6192">
        <v>47</v>
      </c>
      <c r="AC6192">
        <v>5.6218000000000004</v>
      </c>
      <c r="AD6192">
        <v>-1.1204556461199999</v>
      </c>
      <c r="AE6192">
        <v>47.628039999999999</v>
      </c>
      <c r="AF6192">
        <v>5.9496027836794099</v>
      </c>
      <c r="AG6192">
        <v>-1.1204556461199999</v>
      </c>
      <c r="AH6192">
        <v>47.561836263126899</v>
      </c>
      <c r="AI6192">
        <v>91.339084540964905</v>
      </c>
      <c r="AJ6192">
        <v>82.869796485612994</v>
      </c>
      <c r="AK6192">
        <v>47.945609422125202</v>
      </c>
      <c r="AL6192">
        <v>79.296449783206995</v>
      </c>
      <c r="AM6192">
        <v>87.912183637395501</v>
      </c>
      <c r="AN6192">
        <v>0.99999999656213601</v>
      </c>
    </row>
    <row r="6193" spans="1:40" x14ac:dyDescent="0.25">
      <c r="A6193" t="str">
        <f>"20190303171135343"</f>
        <v>20190303171135343</v>
      </c>
      <c r="B6193" t="str">
        <f>"1551604295336557"</f>
        <v>1551604295336557</v>
      </c>
      <c r="C6193" t="s">
        <v>40</v>
      </c>
      <c r="D6193">
        <v>4.6418530000000002</v>
      </c>
      <c r="E6193">
        <v>0.53787059999999998</v>
      </c>
      <c r="F6193" t="s">
        <v>42</v>
      </c>
      <c r="G6193">
        <v>-182.6328</v>
      </c>
      <c r="H6193" s="1">
        <v>-5.0330410000000004E-6</v>
      </c>
      <c r="I6193">
        <v>108.31870000000001</v>
      </c>
      <c r="J6193">
        <v>-188.33369999999999</v>
      </c>
      <c r="K6193">
        <v>1.120458</v>
      </c>
      <c r="L6193">
        <v>60.2795699999999</v>
      </c>
      <c r="M6193">
        <v>-6.9530989999999999E-3</v>
      </c>
      <c r="N6193">
        <v>-1.240228E-2</v>
      </c>
      <c r="O6193">
        <v>0.99989890000000003</v>
      </c>
      <c r="P6193">
        <v>2.8774620000000001E-2</v>
      </c>
      <c r="Q6193">
        <v>0.1748634</v>
      </c>
      <c r="R6193">
        <v>0.98417220000000005</v>
      </c>
      <c r="S6193">
        <v>0.3582611</v>
      </c>
      <c r="T6193">
        <v>-7.0452210000000001E-2</v>
      </c>
      <c r="U6193">
        <v>3.0495000000000001</v>
      </c>
      <c r="V6193">
        <v>3.5624469999999998E-2</v>
      </c>
      <c r="W6193">
        <v>0.18705189999999999</v>
      </c>
      <c r="X6193">
        <v>0.98170389999999996</v>
      </c>
      <c r="Y6193">
        <v>0.1235493</v>
      </c>
      <c r="Z6193">
        <v>-1.0522800000000001E-2</v>
      </c>
      <c r="AA6193">
        <v>0.99228260000000001</v>
      </c>
      <c r="AB6193">
        <v>47</v>
      </c>
      <c r="AC6193">
        <v>5.7008999999999901</v>
      </c>
      <c r="AD6193">
        <v>-1.1204630330409999</v>
      </c>
      <c r="AE6193">
        <v>48.03913</v>
      </c>
      <c r="AF6193">
        <v>6.0315730413092297</v>
      </c>
      <c r="AG6193">
        <v>-1.1204630330409999</v>
      </c>
      <c r="AH6193">
        <v>47.972591578951103</v>
      </c>
      <c r="AI6193">
        <v>91.327527302428194</v>
      </c>
      <c r="AJ6193">
        <v>82.833829485454402</v>
      </c>
      <c r="AK6193">
        <v>48.363259335593902</v>
      </c>
      <c r="AL6193">
        <v>79.219214137236406</v>
      </c>
      <c r="AM6193">
        <v>87.921739404418403</v>
      </c>
      <c r="AN6193">
        <v>1.0000000317158</v>
      </c>
    </row>
    <row r="6194" spans="1:40" x14ac:dyDescent="0.25">
      <c r="A6194" t="str">
        <f>"20190303171135365"</f>
        <v>20190303171135365</v>
      </c>
      <c r="B6194" t="str">
        <f>"1551604295357054"</f>
        <v>1551604295357054</v>
      </c>
      <c r="C6194" t="s">
        <v>40</v>
      </c>
      <c r="D6194">
        <v>4.6373939999999996</v>
      </c>
      <c r="E6194">
        <v>0.53800309999999996</v>
      </c>
      <c r="F6194" t="s">
        <v>42</v>
      </c>
      <c r="G6194">
        <v>-182.3493</v>
      </c>
      <c r="H6194" s="1">
        <v>-2.5532910000000001E-6</v>
      </c>
      <c r="I6194">
        <v>111.1692</v>
      </c>
      <c r="J6194">
        <v>-188.33709999999999</v>
      </c>
      <c r="K6194">
        <v>1.1204609999999999</v>
      </c>
      <c r="L6194">
        <v>60.767060000000001</v>
      </c>
      <c r="M6194">
        <v>-6.9533169999999997E-3</v>
      </c>
      <c r="N6194">
        <v>-1.251096E-2</v>
      </c>
      <c r="O6194">
        <v>0.99989749999999999</v>
      </c>
      <c r="P6194">
        <v>2.8955020000000001E-2</v>
      </c>
      <c r="Q6194">
        <v>0.17525660000000001</v>
      </c>
      <c r="R6194">
        <v>0.98409690000000005</v>
      </c>
      <c r="S6194">
        <v>0.35862729999999998</v>
      </c>
      <c r="T6194">
        <v>-6.7146300000000006E-2</v>
      </c>
      <c r="U6194">
        <v>3.0496829999999999</v>
      </c>
      <c r="V6194">
        <v>3.5804610000000001E-2</v>
      </c>
      <c r="W6194">
        <v>0.18755079999999999</v>
      </c>
      <c r="X6194">
        <v>0.98160210000000003</v>
      </c>
      <c r="Y6194">
        <v>0.1236621</v>
      </c>
      <c r="Z6194">
        <v>-9.3368610000000001E-3</v>
      </c>
      <c r="AA6194">
        <v>0.99228050000000001</v>
      </c>
      <c r="AB6194">
        <v>47</v>
      </c>
      <c r="AC6194">
        <v>5.9877999999999902</v>
      </c>
      <c r="AD6194">
        <v>-1.1204635532909999</v>
      </c>
      <c r="AE6194">
        <v>50.402140000000003</v>
      </c>
      <c r="AF6194">
        <v>6.3350575563940801</v>
      </c>
      <c r="AG6194">
        <v>-1.1204635532909999</v>
      </c>
      <c r="AH6194">
        <v>50.3347540792982</v>
      </c>
      <c r="AI6194">
        <v>91.265228838335801</v>
      </c>
      <c r="AJ6194">
        <v>82.826556077956198</v>
      </c>
      <c r="AK6194">
        <v>50.744219976668298</v>
      </c>
      <c r="AL6194">
        <v>79.190113687811106</v>
      </c>
      <c r="AM6194">
        <v>87.911023251765599</v>
      </c>
      <c r="AN6194">
        <v>0.99999997770115001</v>
      </c>
    </row>
    <row r="6195" spans="1:40" x14ac:dyDescent="0.25">
      <c r="A6195" t="str">
        <f>"20190303171135389"</f>
        <v>20190303171135389</v>
      </c>
      <c r="B6195" t="str">
        <f>"1551604295376572"</f>
        <v>1551604295376572</v>
      </c>
      <c r="C6195" t="s">
        <v>40</v>
      </c>
      <c r="D6195">
        <v>4.6842030000000001</v>
      </c>
      <c r="E6195">
        <v>0.5381051</v>
      </c>
      <c r="F6195" t="s">
        <v>42</v>
      </c>
      <c r="G6195">
        <v>-182.28139999999999</v>
      </c>
      <c r="H6195" s="1">
        <v>-2.9009520000000002E-6</v>
      </c>
      <c r="I6195">
        <v>112.1377</v>
      </c>
      <c r="J6195">
        <v>-188.34049999999999</v>
      </c>
      <c r="K6195">
        <v>1.1204639999999999</v>
      </c>
      <c r="L6195">
        <v>61.254969999999901</v>
      </c>
      <c r="M6195">
        <v>-6.9536809999999998E-3</v>
      </c>
      <c r="N6195">
        <v>-1.259213E-2</v>
      </c>
      <c r="O6195">
        <v>0.99989649999999997</v>
      </c>
      <c r="P6195">
        <v>2.855835E-2</v>
      </c>
      <c r="Q6195">
        <v>0.1745293</v>
      </c>
      <c r="R6195">
        <v>0.98423769999999999</v>
      </c>
      <c r="S6195">
        <v>0.35951230000000001</v>
      </c>
      <c r="T6195">
        <v>-6.6519140000000004E-2</v>
      </c>
      <c r="U6195">
        <v>3.049744</v>
      </c>
      <c r="V6195">
        <v>3.5409309999999999E-2</v>
      </c>
      <c r="W6195">
        <v>0.18690480000000001</v>
      </c>
      <c r="X6195">
        <v>0.98173960000000005</v>
      </c>
      <c r="Y6195">
        <v>0.12394429999999999</v>
      </c>
      <c r="Z6195">
        <v>-9.0504169999999998E-3</v>
      </c>
      <c r="AA6195">
        <v>0.99224789999999996</v>
      </c>
      <c r="AB6195">
        <v>47</v>
      </c>
      <c r="AC6195">
        <v>6.0590999999999999</v>
      </c>
      <c r="AD6195">
        <v>-1.1204669009520001</v>
      </c>
      <c r="AE6195">
        <v>50.882730000000002</v>
      </c>
      <c r="AF6195">
        <v>6.4097391636876404</v>
      </c>
      <c r="AG6195">
        <v>-1.1204669009520001</v>
      </c>
      <c r="AH6195">
        <v>50.815067218301301</v>
      </c>
      <c r="AI6195">
        <v>91.253233728673493</v>
      </c>
      <c r="AJ6195">
        <v>82.810761873314405</v>
      </c>
      <c r="AK6195">
        <v>51.229983980312902</v>
      </c>
      <c r="AL6195">
        <v>79.2277925764987</v>
      </c>
      <c r="AM6195">
        <v>87.934355555471001</v>
      </c>
      <c r="AN6195">
        <v>0.99999993285293498</v>
      </c>
    </row>
    <row r="6196" spans="1:40" x14ac:dyDescent="0.25">
      <c r="A6196" t="str">
        <f>"20190303171135409"</f>
        <v>20190303171135409</v>
      </c>
      <c r="B6196" t="str">
        <f>"1551604295397069"</f>
        <v>1551604295397069</v>
      </c>
      <c r="C6196" t="s">
        <v>40</v>
      </c>
      <c r="D6196">
        <v>4.6689449999999999</v>
      </c>
      <c r="E6196">
        <v>0.53822919999999996</v>
      </c>
      <c r="F6196" t="s">
        <v>42</v>
      </c>
      <c r="G6196">
        <v>-182.49019999999999</v>
      </c>
      <c r="H6196" s="1">
        <v>-2.4161699999999999E-6</v>
      </c>
      <c r="I6196">
        <v>110.8764</v>
      </c>
      <c r="J6196">
        <v>-188.34350000000001</v>
      </c>
      <c r="K6196">
        <v>1.120466</v>
      </c>
      <c r="L6196">
        <v>61.687289999999997</v>
      </c>
      <c r="M6196">
        <v>-6.9540319999999997E-3</v>
      </c>
      <c r="N6196">
        <v>-1.264969E-2</v>
      </c>
      <c r="O6196">
        <v>0.9998958</v>
      </c>
      <c r="P6196">
        <v>2.8298469999999999E-2</v>
      </c>
      <c r="Q6196">
        <v>0.17490339999999999</v>
      </c>
      <c r="R6196">
        <v>0.98417880000000002</v>
      </c>
      <c r="S6196">
        <v>0.35957339999999999</v>
      </c>
      <c r="T6196">
        <v>-6.8866250000000004E-2</v>
      </c>
      <c r="U6196">
        <v>3.0498349999999999</v>
      </c>
      <c r="V6196">
        <v>3.5149409999999999E-2</v>
      </c>
      <c r="W6196">
        <v>0.18733440000000001</v>
      </c>
      <c r="X6196">
        <v>0.98166710000000001</v>
      </c>
      <c r="Y6196">
        <v>0.12395929999999999</v>
      </c>
      <c r="Z6196">
        <v>-9.7556810000000004E-3</v>
      </c>
      <c r="AA6196">
        <v>0.99223939999999999</v>
      </c>
      <c r="AB6196">
        <v>47</v>
      </c>
      <c r="AC6196">
        <v>5.8533000000000097</v>
      </c>
      <c r="AD6196">
        <v>-1.12046841617</v>
      </c>
      <c r="AE6196">
        <v>49.189109999999999</v>
      </c>
      <c r="AF6196">
        <v>6.1920804200442099</v>
      </c>
      <c r="AG6196">
        <v>-1.12046841617</v>
      </c>
      <c r="AH6196">
        <v>49.122080882923399</v>
      </c>
      <c r="AI6196">
        <v>91.296426981011393</v>
      </c>
      <c r="AJ6196">
        <v>82.815478308805993</v>
      </c>
      <c r="AK6196">
        <v>49.523490786377302</v>
      </c>
      <c r="AL6196">
        <v>79.2027362127223</v>
      </c>
      <c r="AM6196">
        <v>87.949352834664694</v>
      </c>
      <c r="AN6196">
        <v>0.99999997683455799</v>
      </c>
    </row>
    <row r="6197" spans="1:40" x14ac:dyDescent="0.25">
      <c r="A6197" t="str">
        <f>"20190303171135431"</f>
        <v>20190303171135431</v>
      </c>
      <c r="B6197" t="str">
        <f>"1551604295417198"</f>
        <v>1551604295417198</v>
      </c>
      <c r="C6197" t="s">
        <v>40</v>
      </c>
      <c r="D6197">
        <v>4.717206</v>
      </c>
      <c r="E6197">
        <v>0.53833540000000002</v>
      </c>
      <c r="F6197" t="s">
        <v>42</v>
      </c>
      <c r="G6197">
        <v>-182.41720000000001</v>
      </c>
      <c r="H6197" s="1">
        <v>-2.7757270000000001E-6</v>
      </c>
      <c r="I6197">
        <v>111.8759</v>
      </c>
      <c r="J6197">
        <v>-188.3467</v>
      </c>
      <c r="K6197">
        <v>1.120476</v>
      </c>
      <c r="L6197">
        <v>62.144129999999997</v>
      </c>
      <c r="M6197">
        <v>-6.9543399999999998E-3</v>
      </c>
      <c r="N6197">
        <v>-1.27005E-2</v>
      </c>
      <c r="O6197">
        <v>0.99989519999999998</v>
      </c>
      <c r="P6197">
        <v>2.865465E-2</v>
      </c>
      <c r="Q6197">
        <v>0.17579059999999999</v>
      </c>
      <c r="R6197">
        <v>0.98401050000000001</v>
      </c>
      <c r="S6197">
        <v>0.36013790000000001</v>
      </c>
      <c r="T6197">
        <v>-6.8090800000000007E-2</v>
      </c>
      <c r="U6197">
        <v>3.049957</v>
      </c>
      <c r="V6197">
        <v>3.5504750000000002E-2</v>
      </c>
      <c r="W6197">
        <v>0.18826970000000001</v>
      </c>
      <c r="X6197">
        <v>0.9814754</v>
      </c>
      <c r="Y6197">
        <v>0.12413639999999999</v>
      </c>
      <c r="Z6197">
        <v>-9.4512060000000002E-3</v>
      </c>
      <c r="AA6197">
        <v>0.9922202</v>
      </c>
      <c r="AB6197">
        <v>47</v>
      </c>
      <c r="AC6197">
        <v>5.9294999999999902</v>
      </c>
      <c r="AD6197">
        <v>-1.1204787757269901</v>
      </c>
      <c r="AE6197">
        <v>49.731769999999997</v>
      </c>
      <c r="AF6197">
        <v>6.2720968915112296</v>
      </c>
      <c r="AG6197">
        <v>-1.1204787757269901</v>
      </c>
      <c r="AH6197">
        <v>49.664470767838701</v>
      </c>
      <c r="AI6197">
        <v>91.2822478676392</v>
      </c>
      <c r="AJ6197">
        <v>82.802253857116</v>
      </c>
      <c r="AK6197">
        <v>50.071492176215997</v>
      </c>
      <c r="AL6197">
        <v>79.148177091618194</v>
      </c>
      <c r="AM6197">
        <v>87.928235736195603</v>
      </c>
      <c r="AN6197">
        <v>1.0000000140079</v>
      </c>
    </row>
    <row r="6198" spans="1:40" x14ac:dyDescent="0.25">
      <c r="A6198" t="str">
        <f>"20190303171135457"</f>
        <v>20190303171135457</v>
      </c>
      <c r="B6198" t="str">
        <f>"1551604295446478"</f>
        <v>1551604295446478</v>
      </c>
      <c r="C6198" t="s">
        <v>40</v>
      </c>
      <c r="D6198">
        <v>4.7375360000000004</v>
      </c>
      <c r="E6198">
        <v>0.53849369999999996</v>
      </c>
      <c r="F6198" t="s">
        <v>42</v>
      </c>
      <c r="G6198">
        <v>-182.15979999999999</v>
      </c>
      <c r="H6198" s="1">
        <v>-3.6812020000000001E-6</v>
      </c>
      <c r="I6198">
        <v>114.33540000000001</v>
      </c>
      <c r="J6198">
        <v>-188.3503</v>
      </c>
      <c r="K6198">
        <v>1.1204889999999901</v>
      </c>
      <c r="L6198">
        <v>62.664760000000001</v>
      </c>
      <c r="M6198">
        <v>-6.9546109999999899E-3</v>
      </c>
      <c r="N6198">
        <v>-1.274843E-2</v>
      </c>
      <c r="O6198">
        <v>0.99989459999999997</v>
      </c>
      <c r="P6198">
        <v>2.936865E-2</v>
      </c>
      <c r="Q6198">
        <v>0.17707529999999999</v>
      </c>
      <c r="R6198">
        <v>0.98375900000000005</v>
      </c>
      <c r="S6198">
        <v>0.36154170000000002</v>
      </c>
      <c r="T6198">
        <v>-6.5477369999999993E-2</v>
      </c>
      <c r="U6198">
        <v>3.0498959999999999</v>
      </c>
      <c r="V6198">
        <v>3.6217300000000001E-2</v>
      </c>
      <c r="W6198">
        <v>0.18959809999999999</v>
      </c>
      <c r="X6198">
        <v>0.9811936</v>
      </c>
      <c r="Y6198">
        <v>0.1245908</v>
      </c>
      <c r="Z6198">
        <v>-8.5523439999999999E-3</v>
      </c>
      <c r="AA6198">
        <v>0.99217129999999998</v>
      </c>
      <c r="AB6198">
        <v>47</v>
      </c>
      <c r="AC6198">
        <v>6.1905000000000099</v>
      </c>
      <c r="AD6198">
        <v>-1.12049268120199</v>
      </c>
      <c r="AE6198">
        <v>51.670639999999999</v>
      </c>
      <c r="AF6198">
        <v>6.5466936252868297</v>
      </c>
      <c r="AG6198">
        <v>-1.12049268120199</v>
      </c>
      <c r="AH6198">
        <v>51.602411457266697</v>
      </c>
      <c r="AI6198">
        <v>91.234034317801701</v>
      </c>
      <c r="AJ6198">
        <v>82.769627283374206</v>
      </c>
      <c r="AK6198">
        <v>52.0281036505949</v>
      </c>
      <c r="AL6198">
        <v>79.070669362178805</v>
      </c>
      <c r="AM6198">
        <v>87.886088133496401</v>
      </c>
      <c r="AN6198">
        <v>1.0000000065119199</v>
      </c>
    </row>
    <row r="6199" spans="1:40" x14ac:dyDescent="0.25">
      <c r="A6199" t="str">
        <f>"20190303171135478"</f>
        <v>20190303171135478</v>
      </c>
      <c r="B6199" t="str">
        <f>"1551604295466974"</f>
        <v>1551604295466974</v>
      </c>
      <c r="C6199" t="s">
        <v>40</v>
      </c>
      <c r="D6199">
        <v>4.7435049999999999</v>
      </c>
      <c r="E6199">
        <v>0.55220740000000001</v>
      </c>
      <c r="F6199" t="s">
        <v>42</v>
      </c>
      <c r="G6199">
        <v>-181.69450000000001</v>
      </c>
      <c r="H6199" s="1">
        <v>-5.1728949999999997E-6</v>
      </c>
      <c r="I6199">
        <v>118.2567</v>
      </c>
      <c r="J6199">
        <v>-188.3536</v>
      </c>
      <c r="K6199">
        <v>1.1204970000000001</v>
      </c>
      <c r="L6199">
        <v>63.137970000000003</v>
      </c>
      <c r="M6199">
        <v>-6.9548120000000003E-3</v>
      </c>
      <c r="N6199">
        <v>-1.27832E-2</v>
      </c>
      <c r="O6199">
        <v>0.99989410000000001</v>
      </c>
      <c r="P6199">
        <v>2.9191620000000001E-2</v>
      </c>
      <c r="Q6199">
        <v>0.17791489999999999</v>
      </c>
      <c r="R6199">
        <v>0.98361279999999995</v>
      </c>
      <c r="S6199">
        <v>0.3651276</v>
      </c>
      <c r="T6199">
        <v>-6.1469080000000002E-2</v>
      </c>
      <c r="U6199">
        <v>3.0497130000000001</v>
      </c>
      <c r="V6199">
        <v>3.6039479999999999E-2</v>
      </c>
      <c r="W6199">
        <v>0.19046979999999999</v>
      </c>
      <c r="X6199">
        <v>0.98103130000000005</v>
      </c>
      <c r="Y6199">
        <v>0.1257501</v>
      </c>
      <c r="Z6199">
        <v>-7.2119439999999996E-3</v>
      </c>
      <c r="AA6199">
        <v>0.99203569999999996</v>
      </c>
      <c r="AB6199">
        <v>47</v>
      </c>
      <c r="AC6199">
        <v>6.6590999999999898</v>
      </c>
      <c r="AD6199">
        <v>-1.12050217289499</v>
      </c>
      <c r="AE6199">
        <v>55.118729999999999</v>
      </c>
      <c r="AF6199">
        <v>7.0394433608796696</v>
      </c>
      <c r="AG6199">
        <v>-1.12050217289499</v>
      </c>
      <c r="AH6199">
        <v>55.048657839361098</v>
      </c>
      <c r="AI6199">
        <v>91.1566645513049</v>
      </c>
      <c r="AJ6199">
        <v>82.712751767955993</v>
      </c>
      <c r="AK6199">
        <v>55.508233784417499</v>
      </c>
      <c r="AL6199">
        <v>79.019797550258303</v>
      </c>
      <c r="AM6199">
        <v>87.896109995158298</v>
      </c>
      <c r="AN6199">
        <v>1.0000000002052001</v>
      </c>
    </row>
    <row r="6200" spans="1:40" x14ac:dyDescent="0.25">
      <c r="A6200" t="str">
        <f>"20190303171135501"</f>
        <v>20190303171135501</v>
      </c>
      <c r="B6200" t="str">
        <f>"1551604295497231"</f>
        <v>1551604295497231</v>
      </c>
      <c r="C6200" t="s">
        <v>40</v>
      </c>
      <c r="D6200">
        <v>4.7514760000000003</v>
      </c>
      <c r="E6200">
        <v>0.55324030000000002</v>
      </c>
      <c r="F6200" t="s">
        <v>42</v>
      </c>
      <c r="G6200">
        <v>-180.18960000000001</v>
      </c>
      <c r="H6200" s="1">
        <v>-4.6469460000000003E-6</v>
      </c>
      <c r="I6200">
        <v>115.63290000000001</v>
      </c>
      <c r="J6200">
        <v>-188.35679999999999</v>
      </c>
      <c r="K6200">
        <v>1.1205000000000001</v>
      </c>
      <c r="L6200">
        <v>63.604579999999999</v>
      </c>
      <c r="M6200">
        <v>-6.9550280000000003E-3</v>
      </c>
      <c r="N6200">
        <v>-1.281146E-2</v>
      </c>
      <c r="O6200">
        <v>0.9998937</v>
      </c>
      <c r="P6200">
        <v>2.9610020000000001E-2</v>
      </c>
      <c r="Q6200">
        <v>0.17852709999999999</v>
      </c>
      <c r="R6200">
        <v>0.98348930000000001</v>
      </c>
      <c r="S6200">
        <v>0.47396850000000001</v>
      </c>
      <c r="T6200">
        <v>-6.5052390000000002E-2</v>
      </c>
      <c r="U6200">
        <v>3.0476679999999998</v>
      </c>
      <c r="V6200">
        <v>3.6457259999999998E-2</v>
      </c>
      <c r="W6200">
        <v>0.19110820000000001</v>
      </c>
      <c r="X6200">
        <v>0.98089170000000003</v>
      </c>
      <c r="Y6200">
        <v>0.16050049999999999</v>
      </c>
      <c r="Z6200">
        <v>-8.2572099999999992E-3</v>
      </c>
      <c r="AA6200">
        <v>0.98700120000000002</v>
      </c>
      <c r="AB6200">
        <v>47</v>
      </c>
      <c r="AC6200">
        <v>8.1671999999999798</v>
      </c>
      <c r="AD6200">
        <v>-1.120504646946</v>
      </c>
      <c r="AE6200">
        <v>52.028320000000001</v>
      </c>
      <c r="AF6200">
        <v>8.5250315957693399</v>
      </c>
      <c r="AG6200">
        <v>-1.120504646946</v>
      </c>
      <c r="AH6200">
        <v>51.946739231614202</v>
      </c>
      <c r="AI6200">
        <v>91.219386812508901</v>
      </c>
      <c r="AJ6200">
        <v>80.680207648840295</v>
      </c>
      <c r="AK6200">
        <v>52.653541297523603</v>
      </c>
      <c r="AL6200">
        <v>78.982535473845104</v>
      </c>
      <c r="AM6200">
        <v>87.871440783689494</v>
      </c>
      <c r="AN6200">
        <v>1.0000000015214101</v>
      </c>
    </row>
    <row r="6201" spans="1:40" x14ac:dyDescent="0.25">
      <c r="A6201" t="str">
        <f>"20190303171135533"</f>
        <v>20190303171135533</v>
      </c>
      <c r="B6201" t="str">
        <f>"1551604295526514"</f>
        <v>1551604295526514</v>
      </c>
      <c r="C6201" t="s">
        <v>40</v>
      </c>
      <c r="D6201">
        <v>4.779871</v>
      </c>
      <c r="E6201">
        <v>0.55341629999999997</v>
      </c>
      <c r="F6201" t="s">
        <v>84</v>
      </c>
      <c r="G6201">
        <v>-179.3252</v>
      </c>
      <c r="H6201">
        <v>7.9988480000000001E-2</v>
      </c>
      <c r="I6201">
        <v>120.4235</v>
      </c>
      <c r="J6201">
        <v>-188.36150000000001</v>
      </c>
      <c r="K6201">
        <v>1.120506</v>
      </c>
      <c r="L6201">
        <v>64.281649999999999</v>
      </c>
      <c r="M6201">
        <v>-6.9553710000000001E-3</v>
      </c>
      <c r="N6201">
        <v>-1.2844309999999999E-2</v>
      </c>
      <c r="O6201">
        <v>0.99989329999999998</v>
      </c>
      <c r="P6201">
        <v>3.0636070000000001E-2</v>
      </c>
      <c r="Q6201">
        <v>0.17814240000000001</v>
      </c>
      <c r="R6201">
        <v>0.9835277</v>
      </c>
      <c r="S6201">
        <v>0.48416140000000002</v>
      </c>
      <c r="T6201">
        <v>-5.5779339999999997E-2</v>
      </c>
      <c r="U6201">
        <v>3.0459290000000001</v>
      </c>
      <c r="V6201">
        <v>3.7483879999999997E-2</v>
      </c>
      <c r="W6201">
        <v>0.19075629999999999</v>
      </c>
      <c r="X6201">
        <v>0.9809215</v>
      </c>
      <c r="Y6201">
        <v>0.16381419999999999</v>
      </c>
      <c r="Z6201">
        <v>-5.2212099999999996E-3</v>
      </c>
      <c r="AA6201">
        <v>0.98647739999999995</v>
      </c>
      <c r="AB6201">
        <v>47</v>
      </c>
      <c r="AC6201">
        <v>9.0363000000000095</v>
      </c>
      <c r="AD6201">
        <v>-1.0405175200000001</v>
      </c>
      <c r="AE6201">
        <v>56.141849999999998</v>
      </c>
      <c r="AF6201">
        <v>9.4234457995071903</v>
      </c>
      <c r="AG6201">
        <v>-1.0405175200000001</v>
      </c>
      <c r="AH6201">
        <v>56.058865864313297</v>
      </c>
      <c r="AI6201">
        <v>91.048644594823998</v>
      </c>
      <c r="AJ6201">
        <v>80.457841281236796</v>
      </c>
      <c r="AK6201">
        <v>56.854906995252001</v>
      </c>
      <c r="AL6201">
        <v>79.003075696524704</v>
      </c>
      <c r="AM6201">
        <v>87.811625418309106</v>
      </c>
      <c r="AN6201">
        <v>0.99999999820589702</v>
      </c>
    </row>
    <row r="6202" spans="1:40" x14ac:dyDescent="0.25">
      <c r="A6202" t="str">
        <f>"20190303171135555"</f>
        <v>20190303171135555</v>
      </c>
      <c r="B6202" t="str">
        <f>"1551604295547010"</f>
        <v>1551604295547010</v>
      </c>
      <c r="C6202" t="s">
        <v>40</v>
      </c>
      <c r="D6202">
        <v>4.7924280000000001</v>
      </c>
      <c r="E6202">
        <v>0.55351859999999997</v>
      </c>
      <c r="F6202" t="s">
        <v>84</v>
      </c>
      <c r="G6202">
        <v>-178.99</v>
      </c>
      <c r="H6202">
        <v>7.9988569999999995E-2</v>
      </c>
      <c r="I6202">
        <v>122.7265</v>
      </c>
      <c r="J6202">
        <v>-188.36490000000001</v>
      </c>
      <c r="K6202">
        <v>1.120509</v>
      </c>
      <c r="L6202">
        <v>64.763890000000004</v>
      </c>
      <c r="M6202">
        <v>-6.9556449999999999E-3</v>
      </c>
      <c r="N6202">
        <v>-1.286313E-2</v>
      </c>
      <c r="O6202">
        <v>0.99989309999999998</v>
      </c>
      <c r="P6202">
        <v>3.1817270000000002E-2</v>
      </c>
      <c r="Q6202">
        <v>0.17855099999999999</v>
      </c>
      <c r="R6202">
        <v>0.98341610000000002</v>
      </c>
      <c r="S6202">
        <v>0.48823549999999899</v>
      </c>
      <c r="T6202">
        <v>-5.4208869999999999E-2</v>
      </c>
      <c r="U6202">
        <v>3.044861</v>
      </c>
      <c r="V6202">
        <v>3.8664560000000001E-2</v>
      </c>
      <c r="W6202">
        <v>0.1911813</v>
      </c>
      <c r="X6202">
        <v>0.98079289999999997</v>
      </c>
      <c r="Y6202">
        <v>0.16515569999999999</v>
      </c>
      <c r="Z6202">
        <v>-4.6958529999999998E-3</v>
      </c>
      <c r="AA6202">
        <v>0.98625629999999997</v>
      </c>
      <c r="AB6202">
        <v>47</v>
      </c>
      <c r="AC6202">
        <v>9.3748999999999896</v>
      </c>
      <c r="AD6202">
        <v>-1.0405204299999999</v>
      </c>
      <c r="AE6202">
        <v>57.962609999999998</v>
      </c>
      <c r="AF6202">
        <v>9.7748041452069998</v>
      </c>
      <c r="AG6202">
        <v>-1.0405204299999999</v>
      </c>
      <c r="AH6202">
        <v>57.877817564392203</v>
      </c>
      <c r="AI6202">
        <v>91.015567175566403</v>
      </c>
      <c r="AJ6202">
        <v>80.413951642307296</v>
      </c>
      <c r="AK6202">
        <v>58.706654178717002</v>
      </c>
      <c r="AL6202">
        <v>78.978268182917304</v>
      </c>
      <c r="AM6202">
        <v>87.742469806127602</v>
      </c>
      <c r="AN6202">
        <v>0.99999997518004602</v>
      </c>
    </row>
    <row r="6203" spans="1:40" x14ac:dyDescent="0.25">
      <c r="A6203" t="str">
        <f>"20190303171135578"</f>
        <v>20190303171135578</v>
      </c>
      <c r="B6203" t="str">
        <f>"1551604295566530"</f>
        <v>1551604295566530</v>
      </c>
      <c r="C6203" t="s">
        <v>40</v>
      </c>
      <c r="D6203">
        <v>4.8138239999999897</v>
      </c>
      <c r="E6203">
        <v>0.55347190000000002</v>
      </c>
      <c r="F6203" t="s">
        <v>84</v>
      </c>
      <c r="G6203">
        <v>-178.4255</v>
      </c>
      <c r="H6203">
        <v>7.9988359999999994E-2</v>
      </c>
      <c r="I6203">
        <v>126.1409</v>
      </c>
      <c r="J6203">
        <v>-188.3681</v>
      </c>
      <c r="K6203">
        <v>1.1205160000000001</v>
      </c>
      <c r="L6203">
        <v>65.231259999999907</v>
      </c>
      <c r="M6203">
        <v>-6.9558839999999999E-3</v>
      </c>
      <c r="N6203">
        <v>-1.287816E-2</v>
      </c>
      <c r="O6203">
        <v>0.99989289999999997</v>
      </c>
      <c r="P6203">
        <v>3.2337280000000003E-2</v>
      </c>
      <c r="Q6203">
        <v>0.17884630000000001</v>
      </c>
      <c r="R6203">
        <v>0.98334540000000004</v>
      </c>
      <c r="S6203">
        <v>0.49295040000000001</v>
      </c>
      <c r="T6203">
        <v>-5.160534E-2</v>
      </c>
      <c r="U6203">
        <v>3.0440369999999999</v>
      </c>
      <c r="V6203">
        <v>3.9184320000000002E-2</v>
      </c>
      <c r="W6203">
        <v>0.19149060000000001</v>
      </c>
      <c r="X6203">
        <v>0.98071189999999997</v>
      </c>
      <c r="Y6203">
        <v>0.16668759999999999</v>
      </c>
      <c r="Z6203">
        <v>-3.8374820000000001E-3</v>
      </c>
      <c r="AA6203">
        <v>0.9860023</v>
      </c>
      <c r="AB6203">
        <v>47</v>
      </c>
      <c r="AC6203">
        <v>9.9426000000000005</v>
      </c>
      <c r="AD6203">
        <v>-1.0405276400000001</v>
      </c>
      <c r="AE6203">
        <v>60.909640000000003</v>
      </c>
      <c r="AF6203">
        <v>10.3631291278683</v>
      </c>
      <c r="AG6203">
        <v>-1.0405276400000001</v>
      </c>
      <c r="AH6203">
        <v>60.821711762989501</v>
      </c>
      <c r="AI6203">
        <v>90.966189204350897</v>
      </c>
      <c r="AJ6203">
        <v>80.330496840089396</v>
      </c>
      <c r="AK6203">
        <v>61.707031729541598</v>
      </c>
      <c r="AL6203">
        <v>78.960212693284305</v>
      </c>
      <c r="AM6203">
        <v>87.711965551195604</v>
      </c>
      <c r="AN6203">
        <v>0.99999994581191398</v>
      </c>
    </row>
    <row r="6204" spans="1:40" x14ac:dyDescent="0.25">
      <c r="A6204" t="str">
        <f>"20190303171135600"</f>
        <v>20190303171135600</v>
      </c>
      <c r="B6204" t="str">
        <f>"1551604295596785"</f>
        <v>1551604295596785</v>
      </c>
      <c r="C6204" t="s">
        <v>40</v>
      </c>
      <c r="D6204">
        <v>4.8350369999999998</v>
      </c>
      <c r="E6204">
        <v>0.55381759999999902</v>
      </c>
      <c r="F6204" t="s">
        <v>84</v>
      </c>
      <c r="G6204">
        <v>-178.15870000000001</v>
      </c>
      <c r="H6204">
        <v>7.9987959999999997E-2</v>
      </c>
      <c r="I6204">
        <v>128.114</v>
      </c>
      <c r="J6204">
        <v>-188.37139999999999</v>
      </c>
      <c r="K6204">
        <v>1.1205210000000001</v>
      </c>
      <c r="L6204">
        <v>65.701629999999994</v>
      </c>
      <c r="M6204">
        <v>-6.9561279999999998E-3</v>
      </c>
      <c r="N6204">
        <v>-1.2890789999999999E-2</v>
      </c>
      <c r="O6204">
        <v>0.99989269999999997</v>
      </c>
      <c r="P6204">
        <v>3.322025E-2</v>
      </c>
      <c r="Q6204">
        <v>0.1785996</v>
      </c>
      <c r="R6204">
        <v>0.98336089999999998</v>
      </c>
      <c r="S6204">
        <v>0.49417109999999898</v>
      </c>
      <c r="T6204">
        <v>-5.0364970000000002E-2</v>
      </c>
      <c r="U6204">
        <v>3.0437319999999999</v>
      </c>
      <c r="V6204">
        <v>4.0067609999999997E-2</v>
      </c>
      <c r="W6204">
        <v>0.19125619999999999</v>
      </c>
      <c r="X6204">
        <v>0.98072199999999998</v>
      </c>
      <c r="Y6204">
        <v>0.167089299999999</v>
      </c>
      <c r="Z6204">
        <v>-3.4234869999999998E-3</v>
      </c>
      <c r="AA6204">
        <v>0.98593580000000003</v>
      </c>
      <c r="AB6204">
        <v>47</v>
      </c>
      <c r="AC6204">
        <v>10.2126999999999</v>
      </c>
      <c r="AD6204">
        <v>-1.0405330399999999</v>
      </c>
      <c r="AE6204">
        <v>62.412370000000003</v>
      </c>
      <c r="AF6204">
        <v>10.6437560797311</v>
      </c>
      <c r="AG6204">
        <v>-1.0405330399999999</v>
      </c>
      <c r="AH6204">
        <v>62.322941905621597</v>
      </c>
      <c r="AI6204">
        <v>90.942862579389498</v>
      </c>
      <c r="AJ6204">
        <v>80.308306849386</v>
      </c>
      <c r="AK6204">
        <v>63.233862291209398</v>
      </c>
      <c r="AL6204">
        <v>78.973896265921496</v>
      </c>
      <c r="AM6204">
        <v>87.660469598076901</v>
      </c>
      <c r="AN6204">
        <v>0.999999994346776</v>
      </c>
    </row>
    <row r="6205" spans="1:40" x14ac:dyDescent="0.25">
      <c r="A6205" t="str">
        <f>"20190303171135622"</f>
        <v>20190303171135622</v>
      </c>
      <c r="B6205" t="str">
        <f>"1551604295617281"</f>
        <v>1551604295617281</v>
      </c>
      <c r="C6205" t="s">
        <v>40</v>
      </c>
      <c r="D6205">
        <v>4.8317860000000001</v>
      </c>
      <c r="E6205">
        <v>0.55399039999999999</v>
      </c>
      <c r="F6205" t="s">
        <v>84</v>
      </c>
      <c r="G6205">
        <v>-178.3074</v>
      </c>
      <c r="H6205">
        <v>7.9988130000000005E-2</v>
      </c>
      <c r="I6205">
        <v>127.05589999999999</v>
      </c>
      <c r="J6205">
        <v>-188.37450000000001</v>
      </c>
      <c r="K6205">
        <v>1.12052</v>
      </c>
      <c r="L6205">
        <v>66.153319999999994</v>
      </c>
      <c r="M6205">
        <v>-6.9563649999999999E-3</v>
      </c>
      <c r="N6205">
        <v>-1.2901019999999999E-2</v>
      </c>
      <c r="O6205">
        <v>0.99989260000000002</v>
      </c>
      <c r="P6205">
        <v>3.4477830000000001E-2</v>
      </c>
      <c r="Q6205">
        <v>0.1784085</v>
      </c>
      <c r="R6205">
        <v>0.98335220000000001</v>
      </c>
      <c r="S6205">
        <v>0.4991913</v>
      </c>
      <c r="T6205">
        <v>-5.1612140000000001E-2</v>
      </c>
      <c r="U6205">
        <v>3.0432739999999998</v>
      </c>
      <c r="V6205">
        <v>4.1325319999999999E-2</v>
      </c>
      <c r="W6205">
        <v>0.19107499999999999</v>
      </c>
      <c r="X6205">
        <v>0.9807051</v>
      </c>
      <c r="Y6205">
        <v>0.16869589999999901</v>
      </c>
      <c r="Z6205">
        <v>-3.8152400000000001E-3</v>
      </c>
      <c r="AA6205">
        <v>0.98566069999999995</v>
      </c>
      <c r="AB6205">
        <v>47</v>
      </c>
      <c r="AC6205">
        <v>10.0671</v>
      </c>
      <c r="AD6205">
        <v>-1.0405318699999999</v>
      </c>
      <c r="AE6205">
        <v>60.90258</v>
      </c>
      <c r="AF6205">
        <v>10.487572269098999</v>
      </c>
      <c r="AG6205">
        <v>-1.0405318699999999</v>
      </c>
      <c r="AH6205">
        <v>60.813790297863797</v>
      </c>
      <c r="AI6205">
        <v>90.965986225790004</v>
      </c>
      <c r="AJ6205">
        <v>80.215364148333805</v>
      </c>
      <c r="AK6205">
        <v>61.720247642606097</v>
      </c>
      <c r="AL6205">
        <v>78.984473003008006</v>
      </c>
      <c r="AM6205">
        <v>87.587076401992505</v>
      </c>
      <c r="AN6205">
        <v>0.99999996543205505</v>
      </c>
    </row>
    <row r="6206" spans="1:40" x14ac:dyDescent="0.25">
      <c r="A6206" t="str">
        <f>"20190303171135645"</f>
        <v>20190303171135645</v>
      </c>
      <c r="B6206" t="str">
        <f>"1551604295636802"</f>
        <v>1551604295636802</v>
      </c>
      <c r="C6206" t="s">
        <v>40</v>
      </c>
      <c r="D6206">
        <v>4.807194</v>
      </c>
      <c r="E6206">
        <v>0.55421640000000005</v>
      </c>
      <c r="F6206" t="s">
        <v>84</v>
      </c>
      <c r="G6206">
        <v>-178.60560000000001</v>
      </c>
      <c r="H6206">
        <v>7.9988550000000005E-2</v>
      </c>
      <c r="I6206">
        <v>125.158</v>
      </c>
      <c r="J6206">
        <v>-188.37790000000001</v>
      </c>
      <c r="K6206">
        <v>1.12053</v>
      </c>
      <c r="L6206">
        <v>66.649140000000003</v>
      </c>
      <c r="M6206">
        <v>-6.9566109999999997E-3</v>
      </c>
      <c r="N6206">
        <v>-1.291048E-2</v>
      </c>
      <c r="O6206">
        <v>0.99989249999999996</v>
      </c>
      <c r="P6206">
        <v>3.5879479999999998E-2</v>
      </c>
      <c r="Q6206">
        <v>0.17827809999999999</v>
      </c>
      <c r="R6206">
        <v>0.98332580000000003</v>
      </c>
      <c r="S6206">
        <v>0.50378420000000002</v>
      </c>
      <c r="T6206">
        <v>-5.3660270000000003E-2</v>
      </c>
      <c r="U6206">
        <v>3.0428769999999998</v>
      </c>
      <c r="V6206">
        <v>4.2726989999999999E-2</v>
      </c>
      <c r="W6206">
        <v>0.19095329999999999</v>
      </c>
      <c r="X6206">
        <v>0.98066880000000001</v>
      </c>
      <c r="Y6206">
        <v>0.1701635</v>
      </c>
      <c r="Z6206">
        <v>-4.4671440000000001E-3</v>
      </c>
      <c r="AA6206">
        <v>0.98540570000000005</v>
      </c>
      <c r="AB6206">
        <v>47</v>
      </c>
      <c r="AC6206">
        <v>9.7722999999999995</v>
      </c>
      <c r="AD6206">
        <v>-1.0405414500000001</v>
      </c>
      <c r="AE6206">
        <v>58.508859999999899</v>
      </c>
      <c r="AF6206">
        <v>10.1759896404964</v>
      </c>
      <c r="AG6206">
        <v>-1.0405414500000001</v>
      </c>
      <c r="AH6206">
        <v>58.421480010861501</v>
      </c>
      <c r="AI6206">
        <v>91.005251489869906</v>
      </c>
      <c r="AJ6206">
        <v>80.1192175938491</v>
      </c>
      <c r="AK6206">
        <v>59.310225242635497</v>
      </c>
      <c r="AL6206">
        <v>78.9915773827842</v>
      </c>
      <c r="AM6206">
        <v>87.505244464882395</v>
      </c>
      <c r="AN6206">
        <v>1.00000002687439</v>
      </c>
    </row>
    <row r="6207" spans="1:40" x14ac:dyDescent="0.25">
      <c r="A6207" t="str">
        <f>"20190303171135670"</f>
        <v>20190303171135670</v>
      </c>
      <c r="B6207" t="str">
        <f>"1551604295656322"</f>
        <v>1551604295656322</v>
      </c>
      <c r="C6207" t="s">
        <v>40</v>
      </c>
      <c r="D6207">
        <v>4.8110650000000001</v>
      </c>
      <c r="E6207">
        <v>0.55439589999999905</v>
      </c>
      <c r="F6207" t="s">
        <v>84</v>
      </c>
      <c r="G6207">
        <v>-178.89279999999999</v>
      </c>
      <c r="H6207">
        <v>7.9988580000000004E-2</v>
      </c>
      <c r="I6207">
        <v>123.3386</v>
      </c>
      <c r="J6207">
        <v>-188.38149999999999</v>
      </c>
      <c r="K6207">
        <v>1.1205350000000001</v>
      </c>
      <c r="L6207">
        <v>67.165530000000004</v>
      </c>
      <c r="M6207">
        <v>-6.9568640000000001E-3</v>
      </c>
      <c r="N6207">
        <v>-1.291875E-2</v>
      </c>
      <c r="O6207">
        <v>0.99989240000000001</v>
      </c>
      <c r="P6207">
        <v>3.7135040000000001E-2</v>
      </c>
      <c r="Q6207">
        <v>0.17822539999999901</v>
      </c>
      <c r="R6207">
        <v>0.98328870000000002</v>
      </c>
      <c r="S6207">
        <v>0.50904850000000001</v>
      </c>
      <c r="T6207">
        <v>-5.5843950000000003E-2</v>
      </c>
      <c r="U6207">
        <v>3.0424190000000002</v>
      </c>
      <c r="V6207">
        <v>4.3982519999999997E-2</v>
      </c>
      <c r="W6207">
        <v>0.19090840000000001</v>
      </c>
      <c r="X6207">
        <v>0.98062199999999999</v>
      </c>
      <c r="Y6207">
        <v>0.17184469999999999</v>
      </c>
      <c r="Z6207">
        <v>-5.1635889999999997E-3</v>
      </c>
      <c r="AA6207">
        <v>0.9851105</v>
      </c>
      <c r="AB6207">
        <v>47</v>
      </c>
      <c r="AC6207">
        <v>9.4886999999999908</v>
      </c>
      <c r="AD6207">
        <v>-1.0405464200000001</v>
      </c>
      <c r="AE6207">
        <v>56.173070000000003</v>
      </c>
      <c r="AF6207">
        <v>9.8759965447008096</v>
      </c>
      <c r="AG6207">
        <v>-1.0405464200000001</v>
      </c>
      <c r="AH6207">
        <v>56.086981757229999</v>
      </c>
      <c r="AI6207">
        <v>91.0467506160239</v>
      </c>
      <c r="AJ6207">
        <v>80.013525872302907</v>
      </c>
      <c r="AK6207">
        <v>56.959350130061701</v>
      </c>
      <c r="AL6207">
        <v>78.994197799987006</v>
      </c>
      <c r="AM6207">
        <v>87.431910570191505</v>
      </c>
      <c r="AN6207">
        <v>0.99999999307005505</v>
      </c>
    </row>
    <row r="6208" spans="1:40" x14ac:dyDescent="0.25">
      <c r="A6208" t="str">
        <f>"20190303171135693"</f>
        <v>20190303171135693</v>
      </c>
      <c r="B6208" t="str">
        <f>"1551604295686578"</f>
        <v>1551604295686578</v>
      </c>
      <c r="C6208" t="s">
        <v>40</v>
      </c>
      <c r="D6208">
        <v>4.8350569999999999</v>
      </c>
      <c r="E6208">
        <v>0.55448569999999997</v>
      </c>
      <c r="F6208" t="s">
        <v>84</v>
      </c>
      <c r="G6208">
        <v>-179.0223</v>
      </c>
      <c r="H6208">
        <v>7.9988550000000005E-2</v>
      </c>
      <c r="I6208">
        <v>122.58929999999999</v>
      </c>
      <c r="J6208">
        <v>-188.38480000000001</v>
      </c>
      <c r="K6208">
        <v>1.120539</v>
      </c>
      <c r="L6208">
        <v>67.641109999999998</v>
      </c>
      <c r="M6208">
        <v>-6.9570980000000001E-3</v>
      </c>
      <c r="N6208">
        <v>-1.292517E-2</v>
      </c>
      <c r="O6208">
        <v>0.99989220000000001</v>
      </c>
      <c r="P6208">
        <v>3.778277E-2</v>
      </c>
      <c r="Q6208">
        <v>0.178677799999999</v>
      </c>
      <c r="R6208">
        <v>0.983182</v>
      </c>
      <c r="S6208">
        <v>0.51368709999999995</v>
      </c>
      <c r="T6208">
        <v>-5.7110910000000001E-2</v>
      </c>
      <c r="U6208">
        <v>3.0419619999999998</v>
      </c>
      <c r="V6208">
        <v>4.4629740000000001E-2</v>
      </c>
      <c r="W6208">
        <v>0.19136520000000001</v>
      </c>
      <c r="X6208">
        <v>0.98050369999999998</v>
      </c>
      <c r="Y6208">
        <v>0.1733286</v>
      </c>
      <c r="Z6208">
        <v>-5.565413E-3</v>
      </c>
      <c r="AA6208">
        <v>0.98484830000000001</v>
      </c>
      <c r="AB6208">
        <v>47</v>
      </c>
      <c r="AC6208">
        <v>9.3625000000000096</v>
      </c>
      <c r="AD6208">
        <v>-1.04055045</v>
      </c>
      <c r="AE6208">
        <v>54.948189999999997</v>
      </c>
      <c r="AF6208">
        <v>9.7411905742434399</v>
      </c>
      <c r="AG6208">
        <v>-1.04055045</v>
      </c>
      <c r="AH6208">
        <v>54.862599625765803</v>
      </c>
      <c r="AI6208">
        <v>91.069839892043206</v>
      </c>
      <c r="AJ6208">
        <v>79.931713195626699</v>
      </c>
      <c r="AK6208">
        <v>55.730408008014798</v>
      </c>
      <c r="AL6208">
        <v>78.967533337817997</v>
      </c>
      <c r="AM6208">
        <v>87.393857876705795</v>
      </c>
      <c r="AN6208">
        <v>0.99999997958859799</v>
      </c>
    </row>
    <row r="6209" spans="1:40" x14ac:dyDescent="0.25">
      <c r="A6209" t="str">
        <f>"20190303171135714"</f>
        <v>20190303171135714</v>
      </c>
      <c r="B6209" t="str">
        <f>"1551604295707074"</f>
        <v>1551604295707074</v>
      </c>
      <c r="C6209" t="s">
        <v>40</v>
      </c>
      <c r="D6209">
        <v>4.8504360000000002</v>
      </c>
      <c r="E6209">
        <v>0.55465520000000001</v>
      </c>
      <c r="F6209" t="s">
        <v>84</v>
      </c>
      <c r="G6209">
        <v>-179.03129999999999</v>
      </c>
      <c r="H6209">
        <v>7.9988569999999995E-2</v>
      </c>
      <c r="I6209">
        <v>122.78660000000001</v>
      </c>
      <c r="J6209">
        <v>-188.3879</v>
      </c>
      <c r="K6209">
        <v>1.1205430000000001</v>
      </c>
      <c r="L6209">
        <v>68.079470000000001</v>
      </c>
      <c r="M6209">
        <v>-6.9573219999999898E-3</v>
      </c>
      <c r="N6209">
        <v>-1.2930189999999999E-2</v>
      </c>
      <c r="O6209">
        <v>0.99989220000000001</v>
      </c>
      <c r="P6209">
        <v>3.9697709999999997E-2</v>
      </c>
      <c r="Q6209">
        <v>0.18008589999999999</v>
      </c>
      <c r="R6209">
        <v>0.98284950000000004</v>
      </c>
      <c r="S6209">
        <v>0.51596070000000005</v>
      </c>
      <c r="T6209">
        <v>-5.73988E-2</v>
      </c>
      <c r="U6209">
        <v>3.0419309999999999</v>
      </c>
      <c r="V6209">
        <v>4.654258E-2</v>
      </c>
      <c r="W6209">
        <v>0.19277330000000001</v>
      </c>
      <c r="X6209">
        <v>0.98013890000000004</v>
      </c>
      <c r="Y6209">
        <v>0.1740457</v>
      </c>
      <c r="Z6209">
        <v>-5.6514349999999998E-3</v>
      </c>
      <c r="AA6209">
        <v>0.98472139999999997</v>
      </c>
      <c r="AB6209">
        <v>47</v>
      </c>
      <c r="AC6209">
        <v>9.3566000000000091</v>
      </c>
      <c r="AD6209">
        <v>-1.04055443</v>
      </c>
      <c r="AE6209">
        <v>54.707129999999999</v>
      </c>
      <c r="AF6209">
        <v>9.7335991289870503</v>
      </c>
      <c r="AG6209">
        <v>-1.04055443</v>
      </c>
      <c r="AH6209">
        <v>54.6215041770621</v>
      </c>
      <c r="AI6209">
        <v>91.074445671775393</v>
      </c>
      <c r="AJ6209">
        <v>79.895905447346195</v>
      </c>
      <c r="AK6209">
        <v>55.4917509553486</v>
      </c>
      <c r="AL6209">
        <v>78.885324869889203</v>
      </c>
      <c r="AM6209">
        <v>87.281312127347505</v>
      </c>
      <c r="AN6209">
        <v>1.0000000101195701</v>
      </c>
    </row>
    <row r="6210" spans="1:40" x14ac:dyDescent="0.25">
      <c r="A6210" t="str">
        <f>"20190303171135734"</f>
        <v>20190303171135734</v>
      </c>
      <c r="B6210" t="str">
        <f>"1551604295727100"</f>
        <v>1551604295727100</v>
      </c>
      <c r="C6210" t="s">
        <v>40</v>
      </c>
      <c r="D6210">
        <v>4.8299919999999998</v>
      </c>
      <c r="E6210">
        <v>0.5548805</v>
      </c>
      <c r="F6210" t="s">
        <v>84</v>
      </c>
      <c r="G6210">
        <v>-178.3837</v>
      </c>
      <c r="H6210">
        <v>7.9988320000000002E-2</v>
      </c>
      <c r="I6210">
        <v>126.2808</v>
      </c>
      <c r="J6210">
        <v>-188.39099999999999</v>
      </c>
      <c r="K6210">
        <v>1.120549</v>
      </c>
      <c r="L6210">
        <v>68.530299999999997</v>
      </c>
      <c r="M6210">
        <v>-6.9575349999999999E-3</v>
      </c>
      <c r="N6210">
        <v>-1.2934559999999999E-2</v>
      </c>
      <c r="O6210">
        <v>0.99989209999999995</v>
      </c>
      <c r="P6210">
        <v>4.1747329999999999E-2</v>
      </c>
      <c r="Q6210">
        <v>0.18044859999999999</v>
      </c>
      <c r="R6210">
        <v>0.98269810000000002</v>
      </c>
      <c r="S6210">
        <v>0.52275090000000002</v>
      </c>
      <c r="T6210">
        <v>-5.4372190000000001E-2</v>
      </c>
      <c r="U6210">
        <v>3.0411990000000002</v>
      </c>
      <c r="V6210">
        <v>4.859132E-2</v>
      </c>
      <c r="W6210">
        <v>0.19313830000000001</v>
      </c>
      <c r="X6210">
        <v>0.97996760000000005</v>
      </c>
      <c r="Y6210">
        <v>0.1762224</v>
      </c>
      <c r="Z6210">
        <v>-4.6644199999999999E-3</v>
      </c>
      <c r="AA6210">
        <v>0.98433939999999998</v>
      </c>
      <c r="AB6210">
        <v>47</v>
      </c>
      <c r="AC6210">
        <v>10.007299999999899</v>
      </c>
      <c r="AD6210">
        <v>-1.04056068</v>
      </c>
      <c r="AE6210">
        <v>57.750500000000002</v>
      </c>
      <c r="AF6210">
        <v>10.4056127395048</v>
      </c>
      <c r="AG6210">
        <v>-1.04056068</v>
      </c>
      <c r="AH6210">
        <v>57.661295661856599</v>
      </c>
      <c r="AI6210">
        <v>91.017421830496403</v>
      </c>
      <c r="AJ6210">
        <v>79.770446165875796</v>
      </c>
      <c r="AK6210">
        <v>58.601916013193197</v>
      </c>
      <c r="AL6210">
        <v>78.864011353638602</v>
      </c>
      <c r="AM6210">
        <v>87.161335496562302</v>
      </c>
      <c r="AN6210">
        <v>1.0000000081779901</v>
      </c>
    </row>
    <row r="6211" spans="1:40" x14ac:dyDescent="0.25">
      <c r="A6211" t="str">
        <f>"20190303171135756"</f>
        <v>20190303171135756</v>
      </c>
      <c r="B6211" t="str">
        <f>"1551604295746621"</f>
        <v>1551604295746621</v>
      </c>
      <c r="C6211" t="s">
        <v>40</v>
      </c>
      <c r="D6211">
        <v>4.8228489999999997</v>
      </c>
      <c r="E6211">
        <v>0.55494270000000001</v>
      </c>
      <c r="F6211" t="s">
        <v>84</v>
      </c>
      <c r="G6211">
        <v>-178.19970000000001</v>
      </c>
      <c r="H6211">
        <v>7.9988149999999994E-2</v>
      </c>
      <c r="I6211">
        <v>126.9813</v>
      </c>
      <c r="J6211">
        <v>-188.39410000000001</v>
      </c>
      <c r="K6211">
        <v>1.1205480000000001</v>
      </c>
      <c r="L6211">
        <v>68.981539999999995</v>
      </c>
      <c r="M6211">
        <v>-6.9577609999999998E-3</v>
      </c>
      <c r="N6211">
        <v>-1.293853E-2</v>
      </c>
      <c r="O6211">
        <v>0.99989209999999995</v>
      </c>
      <c r="P6211">
        <v>4.3202980000000002E-2</v>
      </c>
      <c r="Q6211">
        <v>0.1797483</v>
      </c>
      <c r="R6211">
        <v>0.98276350000000001</v>
      </c>
      <c r="S6211">
        <v>0.53009030000000001</v>
      </c>
      <c r="T6211">
        <v>-5.4123400000000002E-2</v>
      </c>
      <c r="U6211">
        <v>3.0402529999999999</v>
      </c>
      <c r="V6211">
        <v>5.0047559999999998E-2</v>
      </c>
      <c r="W6211">
        <v>0.19244249999999999</v>
      </c>
      <c r="X6211">
        <v>0.98003119999999999</v>
      </c>
      <c r="Y6211">
        <v>0.17857999999999999</v>
      </c>
      <c r="Z6211">
        <v>-4.5778310000000001E-3</v>
      </c>
      <c r="AA6211">
        <v>0.98391470000000003</v>
      </c>
      <c r="AB6211">
        <v>47</v>
      </c>
      <c r="AC6211">
        <v>10.1944</v>
      </c>
      <c r="AD6211">
        <v>-1.04055985</v>
      </c>
      <c r="AE6211">
        <v>57.999760000000002</v>
      </c>
      <c r="AF6211">
        <v>10.5944275966805</v>
      </c>
      <c r="AG6211">
        <v>-1.04055985</v>
      </c>
      <c r="AH6211">
        <v>57.909338966097998</v>
      </c>
      <c r="AI6211">
        <v>91.012620925285603</v>
      </c>
      <c r="AJ6211">
        <v>79.632475103901101</v>
      </c>
      <c r="AK6211">
        <v>58.879675613858304</v>
      </c>
      <c r="AL6211">
        <v>78.904640011721398</v>
      </c>
      <c r="AM6211">
        <v>87.076598016045693</v>
      </c>
      <c r="AN6211">
        <v>1.00000001352082</v>
      </c>
    </row>
    <row r="6212" spans="1:40" x14ac:dyDescent="0.25">
      <c r="A6212" t="str">
        <f>"20190303171135778"</f>
        <v>20190303171135778</v>
      </c>
      <c r="B6212" t="str">
        <f>"1551604295767117"</f>
        <v>1551604295767117</v>
      </c>
      <c r="C6212" t="s">
        <v>40</v>
      </c>
      <c r="D6212">
        <v>4.8956160000000004</v>
      </c>
      <c r="E6212">
        <v>0.55498289999999995</v>
      </c>
      <c r="F6212" t="s">
        <v>84</v>
      </c>
      <c r="G6212">
        <v>-178.75749999999999</v>
      </c>
      <c r="H6212">
        <v>7.9988589999999998E-2</v>
      </c>
      <c r="I6212">
        <v>123.7704</v>
      </c>
      <c r="J6212">
        <v>-188.3973</v>
      </c>
      <c r="K6212">
        <v>1.120547</v>
      </c>
      <c r="L6212">
        <v>69.440640000000002</v>
      </c>
      <c r="M6212">
        <v>-6.9580129999999999E-3</v>
      </c>
      <c r="N6212">
        <v>-1.294174E-2</v>
      </c>
      <c r="O6212">
        <v>0.99989209999999995</v>
      </c>
      <c r="P6212">
        <v>4.3860499999999997E-2</v>
      </c>
      <c r="Q6212">
        <v>0.17908299999999999</v>
      </c>
      <c r="R6212">
        <v>0.98285579999999995</v>
      </c>
      <c r="S6212">
        <v>0.53463749999999999</v>
      </c>
      <c r="T6212">
        <v>-5.7729959999999997E-2</v>
      </c>
      <c r="U6212">
        <v>3.0396730000000001</v>
      </c>
      <c r="V6212">
        <v>5.070591E-2</v>
      </c>
      <c r="W6212">
        <v>0.19178220000000001</v>
      </c>
      <c r="X6212">
        <v>0.98012679999999996</v>
      </c>
      <c r="Y6212">
        <v>0.18003720000000001</v>
      </c>
      <c r="Z6212">
        <v>-5.7406499999999999E-3</v>
      </c>
      <c r="AA6212">
        <v>0.98364309999999999</v>
      </c>
      <c r="AB6212">
        <v>47</v>
      </c>
      <c r="AC6212">
        <v>9.6397999999999993</v>
      </c>
      <c r="AD6212">
        <v>-1.04055841</v>
      </c>
      <c r="AE6212">
        <v>54.329759999999901</v>
      </c>
      <c r="AF6212">
        <v>10.0140641440757</v>
      </c>
      <c r="AG6212">
        <v>-1.04055841</v>
      </c>
      <c r="AH6212">
        <v>54.242075145037703</v>
      </c>
      <c r="AI6212">
        <v>91.080745458950801</v>
      </c>
      <c r="AJ6212">
        <v>79.539945265326395</v>
      </c>
      <c r="AK6212">
        <v>55.168532321661402</v>
      </c>
      <c r="AL6212">
        <v>78.943190601481504</v>
      </c>
      <c r="AM6212">
        <v>87.038498562346902</v>
      </c>
      <c r="AN6212">
        <v>1.0000000228120001</v>
      </c>
    </row>
    <row r="6213" spans="1:40" x14ac:dyDescent="0.25">
      <c r="A6213" t="str">
        <f>"20190303171135800"</f>
        <v>20190303171135800</v>
      </c>
      <c r="B6213" t="str">
        <f>"1551604295786637"</f>
        <v>1551604295786637</v>
      </c>
      <c r="C6213" t="s">
        <v>40</v>
      </c>
      <c r="D6213">
        <v>4.8742799999999997</v>
      </c>
      <c r="E6213">
        <v>0.55498729999999996</v>
      </c>
      <c r="F6213" t="s">
        <v>84</v>
      </c>
      <c r="G6213">
        <v>-178.98480000000001</v>
      </c>
      <c r="H6213">
        <v>7.9988569999999995E-2</v>
      </c>
      <c r="I6213">
        <v>122.7355</v>
      </c>
      <c r="J6213">
        <v>-188.40049999999999</v>
      </c>
      <c r="K6213">
        <v>1.120544</v>
      </c>
      <c r="L6213">
        <v>69.890169999999998</v>
      </c>
      <c r="M6213">
        <v>-6.9582990000000003E-3</v>
      </c>
      <c r="N6213">
        <v>-1.2944290000000001E-2</v>
      </c>
      <c r="O6213">
        <v>0.999892</v>
      </c>
      <c r="P6213">
        <v>4.5034190000000002E-2</v>
      </c>
      <c r="Q6213">
        <v>0.1801624</v>
      </c>
      <c r="R6213">
        <v>0.98260539999999996</v>
      </c>
      <c r="S6213">
        <v>0.53675839999999997</v>
      </c>
      <c r="T6213">
        <v>-5.9338689999999999E-2</v>
      </c>
      <c r="U6213">
        <v>3.0391849999999998</v>
      </c>
      <c r="V6213">
        <v>5.1878170000000001E-2</v>
      </c>
      <c r="W6213">
        <v>0.19286030000000001</v>
      </c>
      <c r="X6213">
        <v>0.97985390000000006</v>
      </c>
      <c r="Y6213">
        <v>0.1807289</v>
      </c>
      <c r="Z6213">
        <v>-6.2594299999999999E-3</v>
      </c>
      <c r="AA6213">
        <v>0.98351310000000003</v>
      </c>
      <c r="AB6213">
        <v>47</v>
      </c>
      <c r="AC6213">
        <v>9.4156999999999798</v>
      </c>
      <c r="AD6213">
        <v>-1.0405554299999999</v>
      </c>
      <c r="AE6213">
        <v>52.845329999999997</v>
      </c>
      <c r="AF6213">
        <v>9.7795413881378597</v>
      </c>
      <c r="AG6213">
        <v>-1.0405554299999999</v>
      </c>
      <c r="AH6213">
        <v>52.758701541860702</v>
      </c>
      <c r="AI6213">
        <v>91.110973077323393</v>
      </c>
      <c r="AJ6213">
        <v>79.4986413610266</v>
      </c>
      <c r="AK6213">
        <v>53.667520659597599</v>
      </c>
      <c r="AL6213">
        <v>78.880245286926595</v>
      </c>
      <c r="AM6213">
        <v>86.969316049471701</v>
      </c>
      <c r="AN6213">
        <v>1.0000000525919199</v>
      </c>
    </row>
    <row r="6214" spans="1:40" x14ac:dyDescent="0.25">
      <c r="A6214" t="str">
        <f>"20190303171135824"</f>
        <v>20190303171135824</v>
      </c>
      <c r="B6214" t="str">
        <f>"1551604295816422"</f>
        <v>1551604295816422</v>
      </c>
      <c r="C6214" t="s">
        <v>40</v>
      </c>
      <c r="D6214">
        <v>4.883699</v>
      </c>
      <c r="E6214">
        <v>0.55507620000000002</v>
      </c>
      <c r="F6214" t="s">
        <v>84</v>
      </c>
      <c r="G6214">
        <v>-178.61969999999999</v>
      </c>
      <c r="H6214">
        <v>7.9988580000000004E-2</v>
      </c>
      <c r="I6214">
        <v>124.9738</v>
      </c>
      <c r="J6214">
        <v>-188.404</v>
      </c>
      <c r="K6214">
        <v>1.1205480000000001</v>
      </c>
      <c r="L6214">
        <v>70.403719999999893</v>
      </c>
      <c r="M6214">
        <v>-6.9587709999999999E-3</v>
      </c>
      <c r="N6214">
        <v>-1.2946610000000001E-2</v>
      </c>
      <c r="O6214">
        <v>0.999892</v>
      </c>
      <c r="P6214">
        <v>4.7351900000000002E-2</v>
      </c>
      <c r="Q6214">
        <v>0.18148549999999999</v>
      </c>
      <c r="R6214">
        <v>0.98225289999999998</v>
      </c>
      <c r="S6214">
        <v>0.53959659999999998</v>
      </c>
      <c r="T6214">
        <v>-5.7406430000000001E-2</v>
      </c>
      <c r="U6214">
        <v>3.03891</v>
      </c>
      <c r="V6214">
        <v>5.4193930000000001E-2</v>
      </c>
      <c r="W6214">
        <v>0.19418099999999999</v>
      </c>
      <c r="X6214">
        <v>0.97946759999999999</v>
      </c>
      <c r="Y6214">
        <v>0.1816363</v>
      </c>
      <c r="Z6214">
        <v>-5.6301980000000003E-3</v>
      </c>
      <c r="AA6214">
        <v>0.98334969999999999</v>
      </c>
      <c r="AB6214">
        <v>47</v>
      </c>
      <c r="AC6214">
        <v>9.7843000000000302</v>
      </c>
      <c r="AD6214">
        <v>-1.0405594199999999</v>
      </c>
      <c r="AE6214">
        <v>54.570079999999997</v>
      </c>
      <c r="AF6214">
        <v>10.160256355364799</v>
      </c>
      <c r="AG6214">
        <v>-1.0405594199999999</v>
      </c>
      <c r="AH6214">
        <v>54.481473589043702</v>
      </c>
      <c r="AI6214">
        <v>91.075637500859102</v>
      </c>
      <c r="AJ6214">
        <v>79.436251869841598</v>
      </c>
      <c r="AK6214">
        <v>55.430537951087501</v>
      </c>
      <c r="AL6214">
        <v>78.803116255710705</v>
      </c>
      <c r="AM6214">
        <v>86.833054375777294</v>
      </c>
      <c r="AN6214">
        <v>1.0000000111298</v>
      </c>
    </row>
    <row r="6215" spans="1:40" x14ac:dyDescent="0.25">
      <c r="A6215" t="str">
        <f>"20190303171135845"</f>
        <v>20190303171135845</v>
      </c>
      <c r="B6215" t="str">
        <f>"1551604295836919"</f>
        <v>1551604295836919</v>
      </c>
      <c r="C6215" t="s">
        <v>40</v>
      </c>
      <c r="D6215">
        <v>4.8970859999999998</v>
      </c>
      <c r="E6215">
        <v>0.55512930000000005</v>
      </c>
      <c r="F6215" t="s">
        <v>84</v>
      </c>
      <c r="G6215">
        <v>-177.92140000000001</v>
      </c>
      <c r="H6215">
        <v>7.9987950000000002E-2</v>
      </c>
      <c r="I6215">
        <v>128.74080000000001</v>
      </c>
      <c r="J6215">
        <v>-188.40710000000001</v>
      </c>
      <c r="K6215">
        <v>1.120555</v>
      </c>
      <c r="L6215">
        <v>70.857029999999995</v>
      </c>
      <c r="M6215">
        <v>-6.9590229999999999E-3</v>
      </c>
      <c r="N6215">
        <v>-1.2948289999999999E-2</v>
      </c>
      <c r="O6215">
        <v>0.99989189999999994</v>
      </c>
      <c r="P6215">
        <v>4.9816949999999999E-2</v>
      </c>
      <c r="Q6215">
        <v>0.18258779999999999</v>
      </c>
      <c r="R6215">
        <v>0.98192670000000004</v>
      </c>
      <c r="S6215">
        <v>0.54588319999999901</v>
      </c>
      <c r="T6215">
        <v>-5.4187180000000001E-2</v>
      </c>
      <c r="U6215">
        <v>3.037903</v>
      </c>
      <c r="V6215">
        <v>5.6656900000000003E-2</v>
      </c>
      <c r="W6215">
        <v>0.19528010000000001</v>
      </c>
      <c r="X6215">
        <v>0.97910960000000002</v>
      </c>
      <c r="Y6215">
        <v>0.183666</v>
      </c>
      <c r="Z6215">
        <v>-4.5856619999999999E-3</v>
      </c>
      <c r="AA6215">
        <v>0.98297800000000002</v>
      </c>
      <c r="AB6215">
        <v>47</v>
      </c>
      <c r="AC6215">
        <v>10.4857</v>
      </c>
      <c r="AD6215">
        <v>-1.0405670499999999</v>
      </c>
      <c r="AE6215">
        <v>57.883769999999998</v>
      </c>
      <c r="AF6215">
        <v>10.884888465710199</v>
      </c>
      <c r="AG6215">
        <v>-1.0405670499999999</v>
      </c>
      <c r="AH6215">
        <v>57.791308978063498</v>
      </c>
      <c r="AI6215">
        <v>91.013713042557001</v>
      </c>
      <c r="AJ6215">
        <v>79.333404705864893</v>
      </c>
      <c r="AK6215">
        <v>58.816655550060901</v>
      </c>
      <c r="AL6215">
        <v>78.7389128890797</v>
      </c>
      <c r="AM6215">
        <v>86.688230539696605</v>
      </c>
      <c r="AN6215">
        <v>0.99999996529288904</v>
      </c>
    </row>
    <row r="6216" spans="1:40" x14ac:dyDescent="0.25">
      <c r="A6216" t="str">
        <f>"20190303171135870"</f>
        <v>20190303171135870</v>
      </c>
      <c r="B6216" t="str">
        <f>"1551604295856438"</f>
        <v>1551604295856438</v>
      </c>
      <c r="C6216" t="s">
        <v>40</v>
      </c>
      <c r="D6216">
        <v>4.8898029999999997</v>
      </c>
      <c r="E6216">
        <v>0.555253</v>
      </c>
      <c r="F6216" t="s">
        <v>84</v>
      </c>
      <c r="G6216">
        <v>-176.3579</v>
      </c>
      <c r="H6216" s="1">
        <v>-5.7532829999999998E-6</v>
      </c>
      <c r="I6216">
        <v>136.94399999999999</v>
      </c>
      <c r="J6216">
        <v>-188.41069999999999</v>
      </c>
      <c r="K6216">
        <v>1.120565</v>
      </c>
      <c r="L6216">
        <v>71.364840000000001</v>
      </c>
      <c r="M6216">
        <v>-6.9593009999999898E-3</v>
      </c>
      <c r="N6216">
        <v>-1.294994E-2</v>
      </c>
      <c r="O6216">
        <v>0.99989189999999994</v>
      </c>
      <c r="P6216">
        <v>5.1093350000000003E-2</v>
      </c>
      <c r="Q6216">
        <v>0.1819867</v>
      </c>
      <c r="R6216">
        <v>0.98197259999999997</v>
      </c>
      <c r="S6216">
        <v>0.55366519999999997</v>
      </c>
      <c r="T6216">
        <v>-5.1490069999999999E-2</v>
      </c>
      <c r="U6216">
        <v>3.0367130000000002</v>
      </c>
      <c r="V6216">
        <v>5.7933829999999999E-2</v>
      </c>
      <c r="W6216">
        <v>0.19468099999999999</v>
      </c>
      <c r="X6216">
        <v>0.97915419999999997</v>
      </c>
      <c r="Y6216">
        <v>0.18617300000000001</v>
      </c>
      <c r="Z6216">
        <v>-3.709604E-3</v>
      </c>
      <c r="AA6216">
        <v>0.98250999999999999</v>
      </c>
      <c r="AB6216">
        <v>47</v>
      </c>
      <c r="AC6216">
        <v>12.0527999999999</v>
      </c>
      <c r="AD6216">
        <v>-1.120570753283</v>
      </c>
      <c r="AE6216">
        <v>65.579159999999902</v>
      </c>
      <c r="AF6216">
        <v>12.505399508564</v>
      </c>
      <c r="AG6216">
        <v>-1.120570753283</v>
      </c>
      <c r="AH6216">
        <v>65.475193036712596</v>
      </c>
      <c r="AI6216">
        <v>90.963083613560698</v>
      </c>
      <c r="AJ6216">
        <v>79.187049532459795</v>
      </c>
      <c r="AK6216">
        <v>66.668145308510603</v>
      </c>
      <c r="AL6216">
        <v>78.7739107092913</v>
      </c>
      <c r="AM6216">
        <v>86.613915730658505</v>
      </c>
      <c r="AN6216">
        <v>0.99999998389855405</v>
      </c>
    </row>
    <row r="6217" spans="1:40" x14ac:dyDescent="0.25">
      <c r="A6217" t="str">
        <f>"20190303171135892"</f>
        <v>20190303171135892</v>
      </c>
      <c r="B6217" t="str">
        <f>"1551604295886695"</f>
        <v>1551604295886695</v>
      </c>
      <c r="C6217" t="s">
        <v>40</v>
      </c>
      <c r="D6217">
        <v>4.9217589999999998</v>
      </c>
      <c r="E6217">
        <v>0.55529729999999999</v>
      </c>
      <c r="F6217" t="s">
        <v>84</v>
      </c>
      <c r="G6217">
        <v>-176.7362</v>
      </c>
      <c r="H6217" s="1">
        <v>-5.2097119999999998E-6</v>
      </c>
      <c r="I6217">
        <v>134.82140000000001</v>
      </c>
      <c r="J6217">
        <v>-188.41390000000001</v>
      </c>
      <c r="K6217">
        <v>1.1205529999999999</v>
      </c>
      <c r="L6217">
        <v>71.83081</v>
      </c>
      <c r="M6217">
        <v>-6.9595150000000003E-3</v>
      </c>
      <c r="N6217">
        <v>-1.2951219999999999E-2</v>
      </c>
      <c r="O6217">
        <v>0.99989189999999994</v>
      </c>
      <c r="P6217">
        <v>5.2750810000000002E-2</v>
      </c>
      <c r="Q6217">
        <v>0.18174100000000001</v>
      </c>
      <c r="R6217">
        <v>0.98193059999999999</v>
      </c>
      <c r="S6217">
        <v>0.55853269999999899</v>
      </c>
      <c r="T6217">
        <v>-5.36108E-2</v>
      </c>
      <c r="U6217">
        <v>3.0359189999999998</v>
      </c>
      <c r="V6217">
        <v>5.9591140000000001E-2</v>
      </c>
      <c r="W6217">
        <v>0.19443589999999999</v>
      </c>
      <c r="X6217">
        <v>0.97910339999999996</v>
      </c>
      <c r="Y6217">
        <v>0.18774080000000001</v>
      </c>
      <c r="Z6217">
        <v>-4.3939850000000004E-3</v>
      </c>
      <c r="AA6217">
        <v>0.98220879999999999</v>
      </c>
      <c r="AB6217">
        <v>47</v>
      </c>
      <c r="AC6217">
        <v>11.6777</v>
      </c>
      <c r="AD6217">
        <v>-1.1205582097119999</v>
      </c>
      <c r="AE6217">
        <v>62.990589999999997</v>
      </c>
      <c r="AF6217">
        <v>12.1121322404342</v>
      </c>
      <c r="AG6217">
        <v>-1.1205582097119999</v>
      </c>
      <c r="AH6217">
        <v>62.888545928750297</v>
      </c>
      <c r="AI6217">
        <v>91.002379620465803</v>
      </c>
      <c r="AJ6217">
        <v>79.098500308230896</v>
      </c>
      <c r="AK6217">
        <v>64.054106871797501</v>
      </c>
      <c r="AL6217">
        <v>78.788227049738296</v>
      </c>
      <c r="AM6217">
        <v>86.517105064569193</v>
      </c>
      <c r="AN6217">
        <v>0.99999994553343297</v>
      </c>
    </row>
    <row r="6218" spans="1:40" x14ac:dyDescent="0.25">
      <c r="A6218" t="str">
        <f>"20190303171135912"</f>
        <v>20190303171135912</v>
      </c>
      <c r="B6218" t="str">
        <f>"1551604295907191"</f>
        <v>1551604295907191</v>
      </c>
      <c r="C6218" t="s">
        <v>40</v>
      </c>
      <c r="D6218">
        <v>4.9165519999999896</v>
      </c>
      <c r="E6218">
        <v>0.55531850000000005</v>
      </c>
      <c r="F6218" t="s">
        <v>84</v>
      </c>
      <c r="G6218">
        <v>-177.81129999999999</v>
      </c>
      <c r="H6218">
        <v>7.9987920000000004E-2</v>
      </c>
      <c r="I6218">
        <v>128.91650000000001</v>
      </c>
      <c r="J6218">
        <v>-188.41679999999999</v>
      </c>
      <c r="K6218">
        <v>1.12056</v>
      </c>
      <c r="L6218">
        <v>72.244630000000001</v>
      </c>
      <c r="M6218">
        <v>-6.9596800000000002E-3</v>
      </c>
      <c r="N6218">
        <v>-1.2952170000000001E-2</v>
      </c>
      <c r="O6218">
        <v>0.99989189999999994</v>
      </c>
      <c r="P6218">
        <v>5.4030689999999999E-2</v>
      </c>
      <c r="Q6218">
        <v>0.1825881</v>
      </c>
      <c r="R6218">
        <v>0.98170380000000002</v>
      </c>
      <c r="S6218">
        <v>0.56372069999999996</v>
      </c>
      <c r="T6218">
        <v>-5.5325149999999997E-2</v>
      </c>
      <c r="U6218">
        <v>3.0351560000000002</v>
      </c>
      <c r="V6218">
        <v>6.0869609999999998E-2</v>
      </c>
      <c r="W6218">
        <v>0.1952806</v>
      </c>
      <c r="X6218">
        <v>0.97885670000000002</v>
      </c>
      <c r="Y6218">
        <v>0.18940650000000001</v>
      </c>
      <c r="Z6218">
        <v>-4.9465469999999999E-3</v>
      </c>
      <c r="AA6218">
        <v>0.98188629999999999</v>
      </c>
      <c r="AB6218">
        <v>47</v>
      </c>
      <c r="AC6218">
        <v>10.605499999999999</v>
      </c>
      <c r="AD6218">
        <v>-1.04057208</v>
      </c>
      <c r="AE6218">
        <v>56.671869999999998</v>
      </c>
      <c r="AF6218">
        <v>10.996112486817401</v>
      </c>
      <c r="AG6218">
        <v>-1.04057208</v>
      </c>
      <c r="AH6218">
        <v>56.578250828874602</v>
      </c>
      <c r="AI6218">
        <v>91.034301041126994</v>
      </c>
      <c r="AJ6218">
        <v>79.0015470606468</v>
      </c>
      <c r="AK6218">
        <v>57.646298640341698</v>
      </c>
      <c r="AL6218">
        <v>78.738884424395906</v>
      </c>
      <c r="AM6218">
        <v>86.441678549631803</v>
      </c>
      <c r="AN6218">
        <v>1.0000000306464001</v>
      </c>
    </row>
    <row r="6219" spans="1:40" x14ac:dyDescent="0.25">
      <c r="A6219" t="str">
        <f>"20190303171135935"</f>
        <v>20190303171135935</v>
      </c>
      <c r="B6219" t="str">
        <f>"1551604295926713"</f>
        <v>1551604295926713</v>
      </c>
      <c r="C6219" t="s">
        <v>40</v>
      </c>
      <c r="D6219">
        <v>4.9481890000000002</v>
      </c>
      <c r="E6219">
        <v>0.55535069999999997</v>
      </c>
      <c r="F6219" t="s">
        <v>84</v>
      </c>
      <c r="G6219">
        <v>-176.6267</v>
      </c>
      <c r="H6219" s="1">
        <v>-5.3469880000000003E-6</v>
      </c>
      <c r="I6219">
        <v>135.38</v>
      </c>
      <c r="J6219">
        <v>-188.42019999999999</v>
      </c>
      <c r="K6219">
        <v>1.120566</v>
      </c>
      <c r="L6219">
        <v>72.739689999999996</v>
      </c>
      <c r="M6219">
        <v>-6.9599279999999998E-3</v>
      </c>
      <c r="N6219">
        <v>-1.2953020000000001E-2</v>
      </c>
      <c r="O6219">
        <v>0.99989189999999994</v>
      </c>
      <c r="P6219">
        <v>5.5845980000000003E-2</v>
      </c>
      <c r="Q6219">
        <v>0.18335270000000001</v>
      </c>
      <c r="R6219">
        <v>0.98145959999999999</v>
      </c>
      <c r="S6219">
        <v>0.56671139999999998</v>
      </c>
      <c r="T6219">
        <v>-5.3862210000000001E-2</v>
      </c>
      <c r="U6219">
        <v>3.034729</v>
      </c>
      <c r="V6219">
        <v>6.2683440000000007E-2</v>
      </c>
      <c r="W6219">
        <v>0.19604279999999999</v>
      </c>
      <c r="X6219">
        <v>0.97858979999999995</v>
      </c>
      <c r="Y6219">
        <v>0.1903675</v>
      </c>
      <c r="Z6219">
        <v>-4.4714539999999997E-3</v>
      </c>
      <c r="AA6219">
        <v>0.98170270000000004</v>
      </c>
      <c r="AB6219">
        <v>47</v>
      </c>
      <c r="AC6219">
        <v>11.7934999999999</v>
      </c>
      <c r="AD6219">
        <v>-1.1205713469880001</v>
      </c>
      <c r="AE6219">
        <v>62.640309999999999</v>
      </c>
      <c r="AF6219">
        <v>12.225444524005001</v>
      </c>
      <c r="AG6219">
        <v>-1.1205713469880001</v>
      </c>
      <c r="AH6219">
        <v>62.5373759348183</v>
      </c>
      <c r="AI6219">
        <v>91.007473848926395</v>
      </c>
      <c r="AJ6219">
        <v>78.938735612995202</v>
      </c>
      <c r="AK6219">
        <v>63.731001582950199</v>
      </c>
      <c r="AL6219">
        <v>78.694352441035903</v>
      </c>
      <c r="AM6219">
        <v>86.334933581812606</v>
      </c>
      <c r="AN6219">
        <v>0.99999999487305602</v>
      </c>
    </row>
    <row r="6220" spans="1:40" x14ac:dyDescent="0.25">
      <c r="A6220" t="str">
        <f>"20190303171135957"</f>
        <v>20190303171135957</v>
      </c>
      <c r="B6220" t="str">
        <f>"1551604295947207"</f>
        <v>1551604295947207</v>
      </c>
      <c r="C6220" t="s">
        <v>40</v>
      </c>
      <c r="D6220">
        <v>5.0518369999999999</v>
      </c>
      <c r="E6220">
        <v>0.53530519999999904</v>
      </c>
      <c r="F6220" t="s">
        <v>84</v>
      </c>
      <c r="G6220">
        <v>-176.18389999999999</v>
      </c>
      <c r="H6220" s="1">
        <v>-5.8995019999999996E-6</v>
      </c>
      <c r="I6220">
        <v>137.67189999999999</v>
      </c>
      <c r="J6220">
        <v>-188.42339999999999</v>
      </c>
      <c r="K6220">
        <v>1.1205700000000001</v>
      </c>
      <c r="L6220">
        <v>73.195650000000001</v>
      </c>
      <c r="M6220">
        <v>-6.9601730000000001E-3</v>
      </c>
      <c r="N6220">
        <v>-1.295367E-2</v>
      </c>
      <c r="O6220">
        <v>0.99989189999999994</v>
      </c>
      <c r="P6220">
        <v>5.5928810000000002E-2</v>
      </c>
      <c r="Q6220">
        <v>0.18235009999999999</v>
      </c>
      <c r="R6220">
        <v>0.98164169999999995</v>
      </c>
      <c r="S6220">
        <v>0.57173160000000001</v>
      </c>
      <c r="T6220">
        <v>-5.2357790000000001E-2</v>
      </c>
      <c r="U6220">
        <v>3.0339049999999999</v>
      </c>
      <c r="V6220">
        <v>6.2767729999999994E-2</v>
      </c>
      <c r="W6220">
        <v>0.19504299999999999</v>
      </c>
      <c r="X6220">
        <v>0.97878410000000005</v>
      </c>
      <c r="Y6220">
        <v>0.1919854</v>
      </c>
      <c r="Z6220">
        <v>-3.9831770000000001E-3</v>
      </c>
      <c r="AA6220">
        <v>0.98138970000000003</v>
      </c>
      <c r="AB6220">
        <v>47</v>
      </c>
      <c r="AC6220">
        <v>12.2394999999999</v>
      </c>
      <c r="AD6220">
        <v>-1.1205758995020001</v>
      </c>
      <c r="AE6220">
        <v>64.476249999999993</v>
      </c>
      <c r="AF6220">
        <v>12.6843089082129</v>
      </c>
      <c r="AG6220">
        <v>-1.1205758995020001</v>
      </c>
      <c r="AH6220">
        <v>64.370724704570904</v>
      </c>
      <c r="AI6220">
        <v>90.978500929601395</v>
      </c>
      <c r="AJ6220">
        <v>78.852631666428394</v>
      </c>
      <c r="AK6220">
        <v>65.618119310272604</v>
      </c>
      <c r="AL6220">
        <v>78.752763740328902</v>
      </c>
      <c r="AM6220">
        <v>86.330745195204997</v>
      </c>
      <c r="AN6220">
        <v>0.99999993709557899</v>
      </c>
    </row>
    <row r="6221" spans="1:40" x14ac:dyDescent="0.25">
      <c r="A6221" t="str">
        <f>"20190303171135978"</f>
        <v>20190303171135978</v>
      </c>
      <c r="B6221" t="str">
        <f>"1551604295966728"</f>
        <v>1551604295966728</v>
      </c>
      <c r="C6221" t="s">
        <v>40</v>
      </c>
      <c r="D6221">
        <v>5.1073000000000004</v>
      </c>
      <c r="E6221">
        <v>0.50028229999999996</v>
      </c>
      <c r="F6221" t="s">
        <v>42</v>
      </c>
      <c r="G6221">
        <v>-183.77699999999999</v>
      </c>
      <c r="H6221" s="1">
        <v>-4.6024519999999999E-6</v>
      </c>
      <c r="I6221">
        <v>107.7881</v>
      </c>
      <c r="J6221">
        <v>-188.4265</v>
      </c>
      <c r="K6221">
        <v>1.1205670000000001</v>
      </c>
      <c r="L6221">
        <v>73.645480000000006</v>
      </c>
      <c r="M6221">
        <v>-6.9604289999999997E-3</v>
      </c>
      <c r="N6221">
        <v>-1.2954149999999999E-2</v>
      </c>
      <c r="O6221">
        <v>0.99989189999999994</v>
      </c>
      <c r="P6221">
        <v>5.4247980000000001E-2</v>
      </c>
      <c r="Q6221">
        <v>0.1813263</v>
      </c>
      <c r="R6221">
        <v>0.98192559999999995</v>
      </c>
      <c r="S6221">
        <v>0.40982059999999998</v>
      </c>
      <c r="T6221">
        <v>-9.8836779999999999E-2</v>
      </c>
      <c r="U6221">
        <v>3.0511170000000001</v>
      </c>
      <c r="V6221">
        <v>6.108914E-2</v>
      </c>
      <c r="W6221">
        <v>0.19402330000000001</v>
      </c>
      <c r="X6221">
        <v>0.97909299999999999</v>
      </c>
      <c r="Y6221">
        <v>0.13995350000000001</v>
      </c>
      <c r="Z6221">
        <v>-1.9116169999999998E-2</v>
      </c>
      <c r="AA6221">
        <v>0.98997349999999995</v>
      </c>
      <c r="AB6221">
        <v>47</v>
      </c>
      <c r="AC6221">
        <v>4.6494999999999802</v>
      </c>
      <c r="AD6221">
        <v>-1.1205716024519901</v>
      </c>
      <c r="AE6221">
        <v>34.142619999999901</v>
      </c>
      <c r="AF6221">
        <v>4.8818916690670902</v>
      </c>
      <c r="AG6221">
        <v>-1.1205716024519901</v>
      </c>
      <c r="AH6221">
        <v>34.073392864234201</v>
      </c>
      <c r="AI6221">
        <v>91.864580172653106</v>
      </c>
      <c r="AJ6221">
        <v>81.846393052375404</v>
      </c>
      <c r="AK6221">
        <v>34.4395796760816</v>
      </c>
      <c r="AL6221">
        <v>78.812327000452996</v>
      </c>
      <c r="AM6221">
        <v>86.429738040649895</v>
      </c>
      <c r="AN6221">
        <v>1.00000001330891</v>
      </c>
    </row>
    <row r="6222" spans="1:40" x14ac:dyDescent="0.25">
      <c r="A6222" t="str">
        <f>"20190303171136000"</f>
        <v>20190303171136000</v>
      </c>
      <c r="B6222" t="str">
        <f>"1551604295987223"</f>
        <v>1551604295987223</v>
      </c>
      <c r="C6222" t="s">
        <v>40</v>
      </c>
      <c r="D6222">
        <v>5.1371070000000003</v>
      </c>
      <c r="E6222">
        <v>0.49568469999999998</v>
      </c>
      <c r="F6222" t="s">
        <v>84</v>
      </c>
      <c r="G6222">
        <v>-185.28960000000001</v>
      </c>
      <c r="H6222" s="1">
        <v>-1.0611149999999999E-5</v>
      </c>
      <c r="I6222">
        <v>147.6679</v>
      </c>
      <c r="J6222">
        <v>-188.4297</v>
      </c>
      <c r="K6222">
        <v>1.120566</v>
      </c>
      <c r="L6222">
        <v>74.103579999999994</v>
      </c>
      <c r="M6222">
        <v>-6.9606769999999898E-3</v>
      </c>
      <c r="N6222">
        <v>-1.2954469999999999E-2</v>
      </c>
      <c r="O6222">
        <v>0.99989189999999994</v>
      </c>
      <c r="P6222">
        <v>5.3063579999999999E-2</v>
      </c>
      <c r="Q6222">
        <v>0.18236359999999999</v>
      </c>
      <c r="R6222">
        <v>0.98179819999999995</v>
      </c>
      <c r="S6222">
        <v>0.12953190000000001</v>
      </c>
      <c r="T6222">
        <v>-4.627204E-2</v>
      </c>
      <c r="U6222">
        <v>3.05661</v>
      </c>
      <c r="V6222">
        <v>5.9904180000000001E-2</v>
      </c>
      <c r="W6222">
        <v>0.19505939999999999</v>
      </c>
      <c r="X6222">
        <v>0.97896030000000001</v>
      </c>
      <c r="Y6222">
        <v>4.9284550000000003E-2</v>
      </c>
      <c r="Z6222">
        <v>-2.1639189999999998E-3</v>
      </c>
      <c r="AA6222">
        <v>0.99878250000000002</v>
      </c>
      <c r="AB6222">
        <v>47</v>
      </c>
      <c r="AC6222">
        <v>3.1400999999999799</v>
      </c>
      <c r="AD6222">
        <v>-1.12057661115</v>
      </c>
      <c r="AE6222">
        <v>73.564319999999995</v>
      </c>
      <c r="AF6222">
        <v>3.6512786628323601</v>
      </c>
      <c r="AG6222">
        <v>-1.12057661115</v>
      </c>
      <c r="AH6222">
        <v>73.523649647854498</v>
      </c>
      <c r="AI6222">
        <v>90.872104865275602</v>
      </c>
      <c r="AJ6222">
        <v>87.156953843238497</v>
      </c>
      <c r="AK6222">
        <v>73.622785775570705</v>
      </c>
      <c r="AL6222">
        <v>78.751806116086698</v>
      </c>
      <c r="AM6222">
        <v>86.498343849383204</v>
      </c>
      <c r="AN6222">
        <v>0.99999997464295998</v>
      </c>
    </row>
    <row r="6223" spans="1:40" x14ac:dyDescent="0.25">
      <c r="A6223" t="str">
        <f>"20190303171136024"</f>
        <v>20190303171136024</v>
      </c>
      <c r="B6223" t="str">
        <f>"1551604296016503"</f>
        <v>1551604296016503</v>
      </c>
      <c r="C6223" t="s">
        <v>40</v>
      </c>
      <c r="D6223">
        <v>5.0187169999999997</v>
      </c>
      <c r="E6223">
        <v>0.4937223</v>
      </c>
      <c r="F6223" t="s">
        <v>84</v>
      </c>
      <c r="G6223">
        <v>-186.68430000000001</v>
      </c>
      <c r="H6223" s="1">
        <v>-6.64321E-6</v>
      </c>
      <c r="I6223">
        <v>134.6233</v>
      </c>
      <c r="J6223">
        <v>-188.4331</v>
      </c>
      <c r="K6223">
        <v>1.1205719999999999</v>
      </c>
      <c r="L6223">
        <v>74.591189999999997</v>
      </c>
      <c r="M6223">
        <v>-6.9609390000000002E-3</v>
      </c>
      <c r="N6223">
        <v>-1.2954759999999999E-2</v>
      </c>
      <c r="O6223">
        <v>0.99989189999999994</v>
      </c>
      <c r="P6223">
        <v>5.2966630000000001E-2</v>
      </c>
      <c r="Q6223">
        <v>0.1836305</v>
      </c>
      <c r="R6223">
        <v>0.98156730000000003</v>
      </c>
      <c r="S6223">
        <v>8.8287350000000001E-2</v>
      </c>
      <c r="T6223">
        <v>-5.6683780000000003E-2</v>
      </c>
      <c r="U6223">
        <v>3.0613709999999998</v>
      </c>
      <c r="V6223">
        <v>5.9805909999999997E-2</v>
      </c>
      <c r="W6223">
        <v>0.19632379999999999</v>
      </c>
      <c r="X6223">
        <v>0.97871359999999996</v>
      </c>
      <c r="Y6223">
        <v>3.5777370000000003E-2</v>
      </c>
      <c r="Z6223">
        <v>-5.5468080000000003E-3</v>
      </c>
      <c r="AA6223">
        <v>0.99934440000000002</v>
      </c>
      <c r="AB6223">
        <v>47</v>
      </c>
      <c r="AC6223">
        <v>1.7487999999999799</v>
      </c>
      <c r="AD6223">
        <v>-1.12057864321</v>
      </c>
      <c r="AE6223">
        <v>60.032109999999903</v>
      </c>
      <c r="AF6223">
        <v>2.1659184955915398</v>
      </c>
      <c r="AG6223">
        <v>-1.12057864321</v>
      </c>
      <c r="AH6223">
        <v>59.997593680269397</v>
      </c>
      <c r="AI6223">
        <v>91.069295920764702</v>
      </c>
      <c r="AJ6223">
        <v>87.932515052276898</v>
      </c>
      <c r="AK6223">
        <v>60.0471327112949</v>
      </c>
      <c r="AL6223">
        <v>78.677933844116694</v>
      </c>
      <c r="AM6223">
        <v>86.503194877917807</v>
      </c>
      <c r="AN6223">
        <v>1.00000004607116</v>
      </c>
    </row>
    <row r="6224" spans="1:40" x14ac:dyDescent="0.25">
      <c r="A6224" t="str">
        <f>"20190303171136045"</f>
        <v>20190303171136045</v>
      </c>
      <c r="B6224" t="str">
        <f>"1551604296036999"</f>
        <v>1551604296036999</v>
      </c>
      <c r="C6224" t="s">
        <v>40</v>
      </c>
      <c r="D6224">
        <v>5.1280279999999996</v>
      </c>
      <c r="E6224">
        <v>0.49330089999999999</v>
      </c>
      <c r="F6224" t="s">
        <v>84</v>
      </c>
      <c r="G6224">
        <v>-187.0136</v>
      </c>
      <c r="H6224" s="1">
        <v>-7.01366E-6</v>
      </c>
      <c r="I6224">
        <v>135.84119999999999</v>
      </c>
      <c r="J6224">
        <v>-188.43629999999999</v>
      </c>
      <c r="K6224">
        <v>1.1205780000000001</v>
      </c>
      <c r="L6224">
        <v>75.059539999999998</v>
      </c>
      <c r="M6224">
        <v>-6.9611600000000001E-3</v>
      </c>
      <c r="N6224">
        <v>-1.295499E-2</v>
      </c>
      <c r="O6224">
        <v>0.99989189999999994</v>
      </c>
      <c r="P6224">
        <v>5.3320300000000001E-2</v>
      </c>
      <c r="Q6224">
        <v>0.1843513</v>
      </c>
      <c r="R6224">
        <v>0.98141299999999998</v>
      </c>
      <c r="S6224">
        <v>7.0983889999999994E-2</v>
      </c>
      <c r="T6224">
        <v>-5.6037900000000002E-2</v>
      </c>
      <c r="U6224">
        <v>3.0629879999999998</v>
      </c>
      <c r="V6224">
        <v>6.0158740000000002E-2</v>
      </c>
      <c r="W6224">
        <v>0.19704289999999999</v>
      </c>
      <c r="X6224">
        <v>0.97854739999999996</v>
      </c>
      <c r="Y6224">
        <v>3.0121390000000001E-2</v>
      </c>
      <c r="Z6224">
        <v>-5.3294459999999998E-3</v>
      </c>
      <c r="AA6224">
        <v>0.99953199999999998</v>
      </c>
      <c r="AB6224">
        <v>47</v>
      </c>
      <c r="AC6224">
        <v>1.4226999999999901</v>
      </c>
      <c r="AD6224">
        <v>-1.12058501366</v>
      </c>
      <c r="AE6224">
        <v>60.781659999999903</v>
      </c>
      <c r="AF6224">
        <v>1.84518504712192</v>
      </c>
      <c r="AG6224">
        <v>-1.12058501366</v>
      </c>
      <c r="AH6224">
        <v>60.749645409581703</v>
      </c>
      <c r="AI6224">
        <v>91.056268316755407</v>
      </c>
      <c r="AJ6224">
        <v>88.260256144002994</v>
      </c>
      <c r="AK6224">
        <v>60.787990886530103</v>
      </c>
      <c r="AL6224">
        <v>78.635911058964894</v>
      </c>
      <c r="AM6224">
        <v>86.482020918410299</v>
      </c>
      <c r="AN6224">
        <v>0.99999999624277802</v>
      </c>
    </row>
    <row r="6225" spans="1:40" x14ac:dyDescent="0.25">
      <c r="A6225" t="str">
        <f>"20190303171136072"</f>
        <v>20190303171136072</v>
      </c>
      <c r="B6225" t="str">
        <f>"1551604296056519"</f>
        <v>1551604296056519</v>
      </c>
      <c r="C6225" t="s">
        <v>40</v>
      </c>
      <c r="D6225">
        <v>5.132625</v>
      </c>
      <c r="E6225">
        <v>0.49280849999999998</v>
      </c>
      <c r="F6225" t="s">
        <v>84</v>
      </c>
      <c r="G6225">
        <v>-187.01920000000001</v>
      </c>
      <c r="H6225" s="1">
        <v>-7.7921899999999905E-6</v>
      </c>
      <c r="I6225">
        <v>138.13980000000001</v>
      </c>
      <c r="J6225">
        <v>-188.44</v>
      </c>
      <c r="K6225">
        <v>1.1205799999999999</v>
      </c>
      <c r="L6225">
        <v>75.58981</v>
      </c>
      <c r="M6225">
        <v>-6.9614029999999997E-3</v>
      </c>
      <c r="N6225">
        <v>-1.295516E-2</v>
      </c>
      <c r="O6225">
        <v>0.9998918</v>
      </c>
      <c r="P6225">
        <v>5.3307500000000001E-2</v>
      </c>
      <c r="Q6225">
        <v>0.18423929999999999</v>
      </c>
      <c r="R6225">
        <v>0.98143480000000005</v>
      </c>
      <c r="S6225">
        <v>6.8817139999999999E-2</v>
      </c>
      <c r="T6225">
        <v>-5.4417729999999997E-2</v>
      </c>
      <c r="U6225">
        <v>3.0632929999999998</v>
      </c>
      <c r="V6225">
        <v>6.014634E-2</v>
      </c>
      <c r="W6225">
        <v>0.1969311</v>
      </c>
      <c r="X6225">
        <v>0.97857059999999996</v>
      </c>
      <c r="Y6225">
        <v>2.941299E-2</v>
      </c>
      <c r="Z6225">
        <v>-4.7993050000000002E-3</v>
      </c>
      <c r="AA6225">
        <v>0.99955579999999999</v>
      </c>
      <c r="AB6225">
        <v>47</v>
      </c>
      <c r="AC6225">
        <v>1.4207999999999801</v>
      </c>
      <c r="AD6225">
        <v>-1.1205877921899901</v>
      </c>
      <c r="AE6225">
        <v>62.549990000000001</v>
      </c>
      <c r="AF6225">
        <v>1.8556425591725001</v>
      </c>
      <c r="AG6225">
        <v>-1.1205877921899901</v>
      </c>
      <c r="AH6225">
        <v>62.518527543915802</v>
      </c>
      <c r="AI6225">
        <v>91.026412887723495</v>
      </c>
      <c r="AJ6225">
        <v>88.299875490473497</v>
      </c>
      <c r="AK6225">
        <v>62.556098124537598</v>
      </c>
      <c r="AL6225">
        <v>78.642443982607006</v>
      </c>
      <c r="AM6225">
        <v>86.482827406352001</v>
      </c>
      <c r="AN6225">
        <v>0.99999992977347996</v>
      </c>
    </row>
    <row r="6226" spans="1:40" x14ac:dyDescent="0.25">
      <c r="A6226" t="str">
        <f>"20190303171136092"</f>
        <v>20190303171136092</v>
      </c>
      <c r="B6226" t="str">
        <f>"1551604296086775"</f>
        <v>1551604296086775</v>
      </c>
      <c r="C6226" t="s">
        <v>40</v>
      </c>
      <c r="D6226">
        <v>5.1887150000000002</v>
      </c>
      <c r="E6226">
        <v>0.49233349999999998</v>
      </c>
      <c r="F6226" t="s">
        <v>84</v>
      </c>
      <c r="G6226">
        <v>-187.1583</v>
      </c>
      <c r="H6226" s="1">
        <v>-6.9219669999999997E-6</v>
      </c>
      <c r="I6226">
        <v>135.58080000000001</v>
      </c>
      <c r="J6226">
        <v>-188.44309999999999</v>
      </c>
      <c r="K6226">
        <v>1.120579</v>
      </c>
      <c r="L6226">
        <v>76.026030000000006</v>
      </c>
      <c r="M6226">
        <v>-6.9616230000000001E-3</v>
      </c>
      <c r="N6226">
        <v>-1.295523E-2</v>
      </c>
      <c r="O6226">
        <v>0.9998918</v>
      </c>
      <c r="P6226">
        <v>5.4058040000000002E-2</v>
      </c>
      <c r="Q6226">
        <v>0.18454029999999999</v>
      </c>
      <c r="R6226">
        <v>0.98133709999999996</v>
      </c>
      <c r="S6226">
        <v>6.5460210000000005E-2</v>
      </c>
      <c r="T6226">
        <v>-5.7232020000000002E-2</v>
      </c>
      <c r="U6226">
        <v>3.0639340000000002</v>
      </c>
      <c r="V6226">
        <v>6.0896409999999998E-2</v>
      </c>
      <c r="W6226">
        <v>0.19723080000000001</v>
      </c>
      <c r="X6226">
        <v>0.97846390000000005</v>
      </c>
      <c r="Y6226">
        <v>2.831384E-2</v>
      </c>
      <c r="Z6226">
        <v>-5.7139499999999998E-3</v>
      </c>
      <c r="AA6226">
        <v>0.99958279999999999</v>
      </c>
      <c r="AB6226">
        <v>47</v>
      </c>
      <c r="AC6226">
        <v>1.28479999999999</v>
      </c>
      <c r="AD6226">
        <v>-1.120585921967</v>
      </c>
      <c r="AE6226">
        <v>59.554769999999998</v>
      </c>
      <c r="AF6226">
        <v>1.6988003621987</v>
      </c>
      <c r="AG6226">
        <v>-1.120585921967</v>
      </c>
      <c r="AH6226">
        <v>59.523317489777</v>
      </c>
      <c r="AI6226">
        <v>91.0780840137528</v>
      </c>
      <c r="AJ6226">
        <v>88.365217521162094</v>
      </c>
      <c r="AK6226">
        <v>59.5580973543304</v>
      </c>
      <c r="AL6226">
        <v>78.624929523763797</v>
      </c>
      <c r="AM6226">
        <v>86.438690478174706</v>
      </c>
      <c r="AN6226">
        <v>0.999999982411368</v>
      </c>
    </row>
    <row r="6227" spans="1:40" x14ac:dyDescent="0.25">
      <c r="A6227" t="str">
        <f>"20190303171136114"</f>
        <v>20190303171136114</v>
      </c>
      <c r="B6227" t="str">
        <f>"1551604296107271"</f>
        <v>1551604296107271</v>
      </c>
      <c r="C6227" t="s">
        <v>40</v>
      </c>
      <c r="D6227">
        <v>5.0622160000000003</v>
      </c>
      <c r="E6227">
        <v>0.49214839999999999</v>
      </c>
      <c r="F6227" t="s">
        <v>84</v>
      </c>
      <c r="G6227">
        <v>-187.21690000000001</v>
      </c>
      <c r="H6227" s="1">
        <v>-6.5302279999999997E-6</v>
      </c>
      <c r="I6227">
        <v>134.36680000000001</v>
      </c>
      <c r="J6227">
        <v>-188.4462</v>
      </c>
      <c r="K6227">
        <v>1.120587</v>
      </c>
      <c r="L6227">
        <v>76.473419999999905</v>
      </c>
      <c r="M6227">
        <v>-6.9618619999999897E-3</v>
      </c>
      <c r="N6227">
        <v>-1.295521E-2</v>
      </c>
      <c r="O6227">
        <v>0.9998918</v>
      </c>
      <c r="P6227">
        <v>5.5272910000000001E-2</v>
      </c>
      <c r="Q6227">
        <v>0.18526670000000001</v>
      </c>
      <c r="R6227">
        <v>0.98113260000000002</v>
      </c>
      <c r="S6227">
        <v>6.4407350000000002E-2</v>
      </c>
      <c r="T6227">
        <v>-5.8863159999999998E-2</v>
      </c>
      <c r="U6227">
        <v>3.064575</v>
      </c>
      <c r="V6227">
        <v>6.2110100000000001E-2</v>
      </c>
      <c r="W6227">
        <v>0.1979544</v>
      </c>
      <c r="X6227">
        <v>0.97824149999999999</v>
      </c>
      <c r="Y6227">
        <v>2.796626E-2</v>
      </c>
      <c r="Z6227">
        <v>-6.2421150000000003E-3</v>
      </c>
      <c r="AA6227">
        <v>0.99958939999999996</v>
      </c>
      <c r="AB6227">
        <v>47</v>
      </c>
      <c r="AC6227">
        <v>1.2292999999999901</v>
      </c>
      <c r="AD6227">
        <v>-1.1205935302279999</v>
      </c>
      <c r="AE6227">
        <v>57.893380000000001</v>
      </c>
      <c r="AF6227">
        <v>1.63173869725959</v>
      </c>
      <c r="AG6227">
        <v>-1.1205935302279999</v>
      </c>
      <c r="AH6227">
        <v>57.861749070494298</v>
      </c>
      <c r="AI6227">
        <v>91.109053041147604</v>
      </c>
      <c r="AJ6227">
        <v>88.384650135606606</v>
      </c>
      <c r="AK6227">
        <v>57.895598334700502</v>
      </c>
      <c r="AL6227">
        <v>78.582636897922001</v>
      </c>
      <c r="AM6227">
        <v>86.367076761305896</v>
      </c>
      <c r="AN6227">
        <v>1.0000000206618</v>
      </c>
    </row>
    <row r="6228" spans="1:40" x14ac:dyDescent="0.25">
      <c r="A6228" t="str">
        <f>"20190303171136136"</f>
        <v>20190303171136136</v>
      </c>
      <c r="B6228" t="str">
        <f>"1551604296126790"</f>
        <v>1551604296126790</v>
      </c>
      <c r="C6228" t="s">
        <v>40</v>
      </c>
      <c r="D6228">
        <v>5.121861</v>
      </c>
      <c r="E6228">
        <v>0.49210130000000002</v>
      </c>
      <c r="F6228" t="s">
        <v>84</v>
      </c>
      <c r="G6228">
        <v>-187.1849</v>
      </c>
      <c r="H6228" s="1">
        <v>-6.7258150000000002E-6</v>
      </c>
      <c r="I6228">
        <v>134.97239999999999</v>
      </c>
      <c r="J6228">
        <v>-188.4494</v>
      </c>
      <c r="K6228">
        <v>1.120593</v>
      </c>
      <c r="L6228">
        <v>76.944490000000002</v>
      </c>
      <c r="M6228">
        <v>-6.9621269999999898E-3</v>
      </c>
      <c r="N6228">
        <v>-1.2955049999999999E-2</v>
      </c>
      <c r="O6228">
        <v>0.9998918</v>
      </c>
      <c r="P6228">
        <v>5.5704879999999998E-2</v>
      </c>
      <c r="Q6228">
        <v>0.18595310000000001</v>
      </c>
      <c r="R6228">
        <v>0.98097829999999997</v>
      </c>
      <c r="S6228">
        <v>6.6085820000000003E-2</v>
      </c>
      <c r="T6228">
        <v>-5.8713670000000003E-2</v>
      </c>
      <c r="U6228">
        <v>3.0650629999999999</v>
      </c>
      <c r="V6228">
        <v>6.2541250000000007E-2</v>
      </c>
      <c r="W6228">
        <v>0.19863810000000001</v>
      </c>
      <c r="X6228">
        <v>0.97807540000000004</v>
      </c>
      <c r="Y6228">
        <v>2.8510210000000001E-2</v>
      </c>
      <c r="Z6228">
        <v>-6.1902040000000004E-3</v>
      </c>
      <c r="AA6228">
        <v>0.99957439999999997</v>
      </c>
      <c r="AB6228">
        <v>47</v>
      </c>
      <c r="AC6228">
        <v>1.26449999999999</v>
      </c>
      <c r="AD6228">
        <v>-1.120599725815</v>
      </c>
      <c r="AE6228">
        <v>58.027909999999899</v>
      </c>
      <c r="AF6228">
        <v>1.66787924408787</v>
      </c>
      <c r="AG6228">
        <v>-1.120599725815</v>
      </c>
      <c r="AH6228">
        <v>57.996080851233998</v>
      </c>
      <c r="AI6228">
        <v>91.106473423884196</v>
      </c>
      <c r="AJ6228">
        <v>88.352714388532704</v>
      </c>
      <c r="AK6228">
        <v>58.030879357642299</v>
      </c>
      <c r="AL6228">
        <v>78.542669825047199</v>
      </c>
      <c r="AM6228">
        <v>86.341306781187896</v>
      </c>
      <c r="AN6228">
        <v>0.99999999540416595</v>
      </c>
    </row>
    <row r="6229" spans="1:40" x14ac:dyDescent="0.25">
      <c r="A6229" t="str">
        <f>"20190303171136158"</f>
        <v>20190303171136158</v>
      </c>
      <c r="B6229" t="str">
        <f>"1551604296146311"</f>
        <v>1551604296146311</v>
      </c>
      <c r="C6229" t="s">
        <v>40</v>
      </c>
      <c r="D6229">
        <v>5.0735229999999998</v>
      </c>
      <c r="E6229">
        <v>0.49183759999999999</v>
      </c>
      <c r="F6229" t="s">
        <v>84</v>
      </c>
      <c r="G6229">
        <v>-187.1251</v>
      </c>
      <c r="H6229" s="1">
        <v>-7.5695379999999999E-6</v>
      </c>
      <c r="I6229">
        <v>137.52969999999999</v>
      </c>
      <c r="J6229">
        <v>-188.45269999999999</v>
      </c>
      <c r="K6229">
        <v>1.1205879999999999</v>
      </c>
      <c r="L6229">
        <v>77.405940000000001</v>
      </c>
      <c r="M6229">
        <v>-6.9623640000000004E-3</v>
      </c>
      <c r="N6229">
        <v>-1.2954820000000001E-2</v>
      </c>
      <c r="O6229">
        <v>0.9998918</v>
      </c>
      <c r="P6229">
        <v>5.5282900000000003E-2</v>
      </c>
      <c r="Q6229">
        <v>0.1856218</v>
      </c>
      <c r="R6229">
        <v>0.98106490000000002</v>
      </c>
      <c r="S6229">
        <v>6.7001340000000006E-2</v>
      </c>
      <c r="T6229">
        <v>-5.6692840000000001E-2</v>
      </c>
      <c r="U6229">
        <v>3.0650940000000002</v>
      </c>
      <c r="V6229">
        <v>6.2120120000000001E-2</v>
      </c>
      <c r="W6229">
        <v>0.19830819999999999</v>
      </c>
      <c r="X6229">
        <v>0.97816919999999996</v>
      </c>
      <c r="Y6229">
        <v>2.8808810000000001E-2</v>
      </c>
      <c r="Z6229">
        <v>-5.5312590000000002E-3</v>
      </c>
      <c r="AA6229">
        <v>0.99956970000000001</v>
      </c>
      <c r="AB6229">
        <v>47</v>
      </c>
      <c r="AC6229">
        <v>1.3275999999999799</v>
      </c>
      <c r="AD6229">
        <v>-1.1205955695380001</v>
      </c>
      <c r="AE6229">
        <v>60.123759999999898</v>
      </c>
      <c r="AF6229">
        <v>1.7456003759113301</v>
      </c>
      <c r="AG6229">
        <v>-1.1205955695380001</v>
      </c>
      <c r="AH6229">
        <v>60.0921938039751</v>
      </c>
      <c r="AI6229">
        <v>91.067874031410796</v>
      </c>
      <c r="AJ6229">
        <v>88.336099745781297</v>
      </c>
      <c r="AK6229">
        <v>60.127985258757498</v>
      </c>
      <c r="AL6229">
        <v>78.561955621148599</v>
      </c>
      <c r="AM6229">
        <v>86.366224398730196</v>
      </c>
      <c r="AN6229">
        <v>1.00000001766234</v>
      </c>
    </row>
    <row r="6230" spans="1:40" x14ac:dyDescent="0.25">
      <c r="A6230" t="str">
        <f>"20190303171136180"</f>
        <v>20190303171136180</v>
      </c>
      <c r="B6230" t="str">
        <f>"1551604296166808"</f>
        <v>1551604296166808</v>
      </c>
      <c r="C6230" t="s">
        <v>40</v>
      </c>
      <c r="D6230">
        <v>5.1238580000000002</v>
      </c>
      <c r="E6230">
        <v>0.49160320000000002</v>
      </c>
      <c r="F6230" t="s">
        <v>84</v>
      </c>
      <c r="G6230">
        <v>-187.24690000000001</v>
      </c>
      <c r="H6230" s="1">
        <v>-6.8898849999999997E-6</v>
      </c>
      <c r="I6230">
        <v>135.4966</v>
      </c>
      <c r="J6230">
        <v>-188.45590000000001</v>
      </c>
      <c r="K6230">
        <v>1.1205940000000001</v>
      </c>
      <c r="L6230">
        <v>77.87567</v>
      </c>
      <c r="M6230">
        <v>-6.9626089999999998E-3</v>
      </c>
      <c r="N6230">
        <v>-1.295458E-2</v>
      </c>
      <c r="O6230">
        <v>0.9998918</v>
      </c>
      <c r="P6230">
        <v>5.4463730000000002E-2</v>
      </c>
      <c r="Q6230">
        <v>0.1851507</v>
      </c>
      <c r="R6230">
        <v>0.98119970000000001</v>
      </c>
      <c r="S6230">
        <v>6.3629149999999995E-2</v>
      </c>
      <c r="T6230">
        <v>-5.9134720000000002E-2</v>
      </c>
      <c r="U6230">
        <v>3.0654910000000002</v>
      </c>
      <c r="V6230">
        <v>6.1302120000000002E-2</v>
      </c>
      <c r="W6230">
        <v>0.19783890000000001</v>
      </c>
      <c r="X6230">
        <v>0.97831579999999996</v>
      </c>
      <c r="Y6230">
        <v>2.7707119999999998E-2</v>
      </c>
      <c r="Z6230">
        <v>-6.3256659999999998E-3</v>
      </c>
      <c r="AA6230">
        <v>0.99959609999999999</v>
      </c>
      <c r="AB6230">
        <v>47</v>
      </c>
      <c r="AC6230">
        <v>1.2090000000000001</v>
      </c>
      <c r="AD6230">
        <v>-1.120600889885</v>
      </c>
      <c r="AE6230">
        <v>57.620930000000001</v>
      </c>
      <c r="AF6230">
        <v>1.60958787591273</v>
      </c>
      <c r="AG6230">
        <v>-1.120600889885</v>
      </c>
      <c r="AH6230">
        <v>57.589342874495898</v>
      </c>
      <c r="AI6230">
        <v>91.114312876319005</v>
      </c>
      <c r="AJ6230">
        <v>88.3990338337846</v>
      </c>
      <c r="AK6230">
        <v>57.622729301907803</v>
      </c>
      <c r="AL6230">
        <v>78.589387752345004</v>
      </c>
      <c r="AM6230">
        <v>86.414484360623206</v>
      </c>
      <c r="AN6230">
        <v>0.99999999239967197</v>
      </c>
    </row>
    <row r="6231" spans="1:40" x14ac:dyDescent="0.25">
      <c r="A6231" t="str">
        <f>"20190303171136201"</f>
        <v>20190303171136201</v>
      </c>
      <c r="B6231" t="str">
        <f>"1551604296197063"</f>
        <v>1551604296197063</v>
      </c>
      <c r="C6231" t="s">
        <v>40</v>
      </c>
      <c r="D6231">
        <v>5.0086490000000001</v>
      </c>
      <c r="E6231">
        <v>0.49141980000000002</v>
      </c>
      <c r="F6231" t="s">
        <v>84</v>
      </c>
      <c r="G6231">
        <v>-187.37950000000001</v>
      </c>
      <c r="H6231" s="1">
        <v>-6.1586319999999998E-6</v>
      </c>
      <c r="I6231">
        <v>133.2346</v>
      </c>
      <c r="J6231">
        <v>-188.459</v>
      </c>
      <c r="K6231">
        <v>1.120592</v>
      </c>
      <c r="L6231">
        <v>78.322779999999995</v>
      </c>
      <c r="M6231">
        <v>-6.9627719999999999E-3</v>
      </c>
      <c r="N6231">
        <v>-1.295434E-2</v>
      </c>
      <c r="O6231">
        <v>0.9998918</v>
      </c>
      <c r="P6231">
        <v>5.4035439999999997E-2</v>
      </c>
      <c r="Q6231">
        <v>0.1848659</v>
      </c>
      <c r="R6231">
        <v>0.98127710000000001</v>
      </c>
      <c r="S6231">
        <v>5.9616089999999997E-2</v>
      </c>
      <c r="T6231">
        <v>-6.2061070000000003E-2</v>
      </c>
      <c r="U6231">
        <v>3.065887</v>
      </c>
      <c r="V6231">
        <v>6.0874539999999998E-2</v>
      </c>
      <c r="W6231">
        <v>0.1975547</v>
      </c>
      <c r="X6231">
        <v>0.97839989999999999</v>
      </c>
      <c r="Y6231">
        <v>2.6396679999999999E-2</v>
      </c>
      <c r="Z6231">
        <v>-7.2778649999999997E-3</v>
      </c>
      <c r="AA6231">
        <v>0.99962499999999999</v>
      </c>
      <c r="AB6231">
        <v>47</v>
      </c>
      <c r="AC6231">
        <v>1.0794999999999899</v>
      </c>
      <c r="AD6231">
        <v>-1.120598158632</v>
      </c>
      <c r="AE6231">
        <v>54.911819999999899</v>
      </c>
      <c r="AF6231">
        <v>1.4612361097086499</v>
      </c>
      <c r="AG6231">
        <v>-1.120598158632</v>
      </c>
      <c r="AH6231">
        <v>54.880125472977802</v>
      </c>
      <c r="AI6231">
        <v>91.169346572462999</v>
      </c>
      <c r="AJ6231">
        <v>88.474805135443205</v>
      </c>
      <c r="AK6231">
        <v>54.911010946177598</v>
      </c>
      <c r="AL6231">
        <v>78.605998770424506</v>
      </c>
      <c r="AM6231">
        <v>86.439733904030305</v>
      </c>
      <c r="AN6231">
        <v>0.99999996671615499</v>
      </c>
    </row>
    <row r="6232" spans="1:40" x14ac:dyDescent="0.25">
      <c r="A6232" t="str">
        <f>"20190303171136225"</f>
        <v>20190303171136225</v>
      </c>
      <c r="B6232" t="str">
        <f>"1551604296216583"</f>
        <v>1551604296216583</v>
      </c>
      <c r="C6232" t="s">
        <v>40</v>
      </c>
      <c r="D6232">
        <v>5.0077109999999996</v>
      </c>
      <c r="E6232">
        <v>0.49135960000000001</v>
      </c>
      <c r="F6232" t="s">
        <v>84</v>
      </c>
      <c r="G6232">
        <v>-187.4485</v>
      </c>
      <c r="H6232" s="1">
        <v>-6.0122849999999998E-6</v>
      </c>
      <c r="I6232">
        <v>132.78960000000001</v>
      </c>
      <c r="J6232">
        <v>-188.4624</v>
      </c>
      <c r="K6232">
        <v>1.120595</v>
      </c>
      <c r="L6232">
        <v>78.810730000000007</v>
      </c>
      <c r="M6232">
        <v>-6.9628329999999999E-3</v>
      </c>
      <c r="N6232">
        <v>-1.2954190000000001E-2</v>
      </c>
      <c r="O6232">
        <v>0.99989189999999994</v>
      </c>
      <c r="P6232">
        <v>5.3933059999999998E-2</v>
      </c>
      <c r="Q6232">
        <v>0.1852878</v>
      </c>
      <c r="R6232">
        <v>0.98120309999999999</v>
      </c>
      <c r="S6232">
        <v>5.6884770000000001E-2</v>
      </c>
      <c r="T6232">
        <v>-6.3079360000000001E-2</v>
      </c>
      <c r="U6232">
        <v>3.065979</v>
      </c>
      <c r="V6232">
        <v>6.0771720000000001E-2</v>
      </c>
      <c r="W6232">
        <v>0.19797590000000001</v>
      </c>
      <c r="X6232">
        <v>0.9783212</v>
      </c>
      <c r="Y6232">
        <v>2.5506049999999999E-2</v>
      </c>
      <c r="Z6232">
        <v>-7.6097389999999999E-3</v>
      </c>
      <c r="AA6232">
        <v>0.99964569999999997</v>
      </c>
      <c r="AB6232">
        <v>47</v>
      </c>
      <c r="AC6232">
        <v>1.0139</v>
      </c>
      <c r="AD6232">
        <v>-1.1206010122849901</v>
      </c>
      <c r="AE6232">
        <v>53.978869999999901</v>
      </c>
      <c r="AF6232">
        <v>1.3891543125708501</v>
      </c>
      <c r="AG6232">
        <v>-1.1206010122849901</v>
      </c>
      <c r="AH6232">
        <v>53.947259233587602</v>
      </c>
      <c r="AI6232">
        <v>91.189591657680296</v>
      </c>
      <c r="AJ6232">
        <v>88.524946487092507</v>
      </c>
      <c r="AK6232">
        <v>53.976775331143799</v>
      </c>
      <c r="AL6232">
        <v>78.581380097239006</v>
      </c>
      <c r="AM6232">
        <v>86.445446748582597</v>
      </c>
      <c r="AN6232">
        <v>1.000000014651</v>
      </c>
    </row>
    <row r="6233" spans="1:40" x14ac:dyDescent="0.25">
      <c r="A6233" t="str">
        <f>"20190303171136247"</f>
        <v>20190303171136247</v>
      </c>
      <c r="B6233" t="str">
        <f>"1551604296237080"</f>
        <v>1551604296237080</v>
      </c>
      <c r="C6233" t="s">
        <v>40</v>
      </c>
      <c r="D6233">
        <v>5.0017329999999998</v>
      </c>
      <c r="E6233">
        <v>0.49137999999999998</v>
      </c>
      <c r="F6233" t="s">
        <v>84</v>
      </c>
      <c r="G6233">
        <v>-187.44499999999999</v>
      </c>
      <c r="H6233" s="1">
        <v>-6.4441109999999999E-6</v>
      </c>
      <c r="I6233">
        <v>134.13890000000001</v>
      </c>
      <c r="J6233">
        <v>-188.4657</v>
      </c>
      <c r="K6233">
        <v>1.120603</v>
      </c>
      <c r="L6233">
        <v>79.284180000000006</v>
      </c>
      <c r="M6233">
        <v>-6.963197E-3</v>
      </c>
      <c r="N6233">
        <v>-1.2953900000000001E-2</v>
      </c>
      <c r="O6233">
        <v>0.99989189999999994</v>
      </c>
      <c r="P6233">
        <v>5.3670950000000002E-2</v>
      </c>
      <c r="Q6233">
        <v>0.1861236</v>
      </c>
      <c r="R6233">
        <v>0.98105940000000003</v>
      </c>
      <c r="S6233">
        <v>5.6381229999999997E-2</v>
      </c>
      <c r="T6233">
        <v>-6.2099929999999998E-2</v>
      </c>
      <c r="U6233">
        <v>3.0661010000000002</v>
      </c>
      <c r="V6233">
        <v>6.0509029999999998E-2</v>
      </c>
      <c r="W6233">
        <v>0.19880919999999999</v>
      </c>
      <c r="X6233">
        <v>0.9781685</v>
      </c>
      <c r="Y6233">
        <v>2.534169E-2</v>
      </c>
      <c r="Z6233">
        <v>-7.2900949999999999E-3</v>
      </c>
      <c r="AA6233">
        <v>0.99965230000000005</v>
      </c>
      <c r="AB6233">
        <v>47</v>
      </c>
      <c r="AC6233">
        <v>1.0206999999999999</v>
      </c>
      <c r="AD6233">
        <v>-1.1206094441109999</v>
      </c>
      <c r="AE6233">
        <v>54.854719999999901</v>
      </c>
      <c r="AF6233">
        <v>1.40208657300978</v>
      </c>
      <c r="AG6233">
        <v>-1.1206094441109999</v>
      </c>
      <c r="AH6233">
        <v>54.823410398743697</v>
      </c>
      <c r="AI6233">
        <v>91.170599806974494</v>
      </c>
      <c r="AJ6233">
        <v>88.535002928649007</v>
      </c>
      <c r="AK6233">
        <v>54.852784250514802</v>
      </c>
      <c r="AL6233">
        <v>78.532667390432195</v>
      </c>
      <c r="AM6233">
        <v>86.460221316353298</v>
      </c>
      <c r="AN6233">
        <v>1.00000002755421</v>
      </c>
    </row>
    <row r="6234" spans="1:40" x14ac:dyDescent="0.25">
      <c r="A6234" t="str">
        <f>"20190303171136270"</f>
        <v>20190303171136270</v>
      </c>
      <c r="B6234" t="str">
        <f>"1551604296256600"</f>
        <v>1551604296256600</v>
      </c>
      <c r="C6234" t="s">
        <v>40</v>
      </c>
      <c r="D6234">
        <v>5.0028220000000001</v>
      </c>
      <c r="E6234">
        <v>0.49140440000000002</v>
      </c>
      <c r="F6234" t="s">
        <v>84</v>
      </c>
      <c r="G6234">
        <v>-187.41120000000001</v>
      </c>
      <c r="H6234" s="1">
        <v>-7.45016E-6</v>
      </c>
      <c r="I6234">
        <v>137.26009999999999</v>
      </c>
      <c r="J6234">
        <v>-188.46899999999999</v>
      </c>
      <c r="K6234">
        <v>1.1206050000000001</v>
      </c>
      <c r="L6234">
        <v>79.75403</v>
      </c>
      <c r="M6234">
        <v>-6.96366E-3</v>
      </c>
      <c r="N6234">
        <v>-1.295338E-2</v>
      </c>
      <c r="O6234">
        <v>0.99989189999999994</v>
      </c>
      <c r="P6234">
        <v>5.331553E-2</v>
      </c>
      <c r="Q6234">
        <v>0.18569089999999999</v>
      </c>
      <c r="R6234">
        <v>0.9811607</v>
      </c>
      <c r="S6234">
        <v>5.577087E-2</v>
      </c>
      <c r="T6234">
        <v>-5.9264299999999999E-2</v>
      </c>
      <c r="U6234">
        <v>3.0661010000000002</v>
      </c>
      <c r="V6234">
        <v>6.015479E-2</v>
      </c>
      <c r="W6234">
        <v>0.19837740000000001</v>
      </c>
      <c r="X6234">
        <v>0.97827799999999998</v>
      </c>
      <c r="Y6234">
        <v>2.5143530000000001E-2</v>
      </c>
      <c r="Z6234">
        <v>-6.3665170000000004E-3</v>
      </c>
      <c r="AA6234">
        <v>0.99966359999999999</v>
      </c>
      <c r="AB6234">
        <v>47</v>
      </c>
      <c r="AC6234">
        <v>1.0578000000000101</v>
      </c>
      <c r="AD6234">
        <v>-1.1206124501600001</v>
      </c>
      <c r="AE6234">
        <v>57.506070000000001</v>
      </c>
      <c r="AF6234">
        <v>1.45770728950673</v>
      </c>
      <c r="AG6234">
        <v>-1.1206124501600001</v>
      </c>
      <c r="AH6234">
        <v>57.475490445930497</v>
      </c>
      <c r="AI6234">
        <v>91.116608088473797</v>
      </c>
      <c r="AJ6234">
        <v>88.547162038654704</v>
      </c>
      <c r="AK6234">
        <v>57.504892703191601</v>
      </c>
      <c r="AL6234">
        <v>78.557910394403507</v>
      </c>
      <c r="AM6234">
        <v>86.481285036978093</v>
      </c>
      <c r="AN6234">
        <v>1.0000000184373501</v>
      </c>
    </row>
    <row r="6235" spans="1:40" x14ac:dyDescent="0.25">
      <c r="A6235" t="str">
        <f>"20190303171136293"</f>
        <v>20190303171136293</v>
      </c>
      <c r="B6235" t="str">
        <f>"1551604296286855"</f>
        <v>1551604296286855</v>
      </c>
      <c r="C6235" t="s">
        <v>40</v>
      </c>
      <c r="D6235">
        <v>5.0030029999999996</v>
      </c>
      <c r="E6235">
        <v>0.49141180000000001</v>
      </c>
      <c r="F6235" t="s">
        <v>84</v>
      </c>
      <c r="G6235">
        <v>-187.4496</v>
      </c>
      <c r="H6235" s="1">
        <v>-7.1171180000000001E-6</v>
      </c>
      <c r="I6235">
        <v>136.24369999999999</v>
      </c>
      <c r="J6235">
        <v>-188.47239999999999</v>
      </c>
      <c r="K6235">
        <v>1.120593</v>
      </c>
      <c r="L6235">
        <v>80.236630000000005</v>
      </c>
      <c r="M6235">
        <v>-6.9640379999999997E-3</v>
      </c>
      <c r="N6235">
        <v>-1.2952750000000001E-2</v>
      </c>
      <c r="O6235">
        <v>0.99989189999999994</v>
      </c>
      <c r="P6235">
        <v>5.3152480000000002E-2</v>
      </c>
      <c r="Q6235">
        <v>0.18487580000000001</v>
      </c>
      <c r="R6235">
        <v>0.98132350000000002</v>
      </c>
      <c r="S6235">
        <v>5.5328370000000002E-2</v>
      </c>
      <c r="T6235">
        <v>-6.0823679999999998E-2</v>
      </c>
      <c r="U6235">
        <v>3.0661010000000002</v>
      </c>
      <c r="V6235">
        <v>5.9993209999999998E-2</v>
      </c>
      <c r="W6235">
        <v>0.19756360000000001</v>
      </c>
      <c r="X6235">
        <v>0.97845260000000001</v>
      </c>
      <c r="Y6235">
        <v>2.4999560000000001E-2</v>
      </c>
      <c r="Z6235">
        <v>-6.8754530000000001E-3</v>
      </c>
      <c r="AA6235">
        <v>0.99966379999999999</v>
      </c>
      <c r="AB6235">
        <v>47</v>
      </c>
      <c r="AC6235">
        <v>1.0227999999999799</v>
      </c>
      <c r="AD6235">
        <v>-1.120600117118</v>
      </c>
      <c r="AE6235">
        <v>56.007069999999899</v>
      </c>
      <c r="AF6235">
        <v>1.4122780787056599</v>
      </c>
      <c r="AG6235">
        <v>-1.120600117118</v>
      </c>
      <c r="AH6235">
        <v>55.976186883615803</v>
      </c>
      <c r="AI6235">
        <v>91.146499403731198</v>
      </c>
      <c r="AJ6235">
        <v>88.554735235540207</v>
      </c>
      <c r="AK6235">
        <v>56.005212007665499</v>
      </c>
      <c r="AL6235">
        <v>78.605479268676504</v>
      </c>
      <c r="AM6235">
        <v>86.491337551822099</v>
      </c>
      <c r="AN6235">
        <v>1.0000000258689099</v>
      </c>
    </row>
    <row r="6236" spans="1:40" x14ac:dyDescent="0.25">
      <c r="A6236" t="str">
        <f>"20190303171136314"</f>
        <v>20190303171136314</v>
      </c>
      <c r="B6236" t="str">
        <f>"1551604296306376"</f>
        <v>1551604296306376</v>
      </c>
      <c r="C6236" t="s">
        <v>40</v>
      </c>
      <c r="D6236">
        <v>4.945856</v>
      </c>
      <c r="E6236">
        <v>0.49143120000000001</v>
      </c>
      <c r="F6236" t="s">
        <v>84</v>
      </c>
      <c r="G6236">
        <v>-187.51150000000001</v>
      </c>
      <c r="H6236" s="1">
        <v>-6.3644560000000003E-6</v>
      </c>
      <c r="I6236">
        <v>133.90199999999999</v>
      </c>
      <c r="J6236">
        <v>-188.47540000000001</v>
      </c>
      <c r="K6236">
        <v>1.1205879999999999</v>
      </c>
      <c r="L6236">
        <v>80.681370000000001</v>
      </c>
      <c r="M6236">
        <v>-6.9642619999999997E-3</v>
      </c>
      <c r="N6236">
        <v>-1.2952170000000001E-2</v>
      </c>
      <c r="O6236">
        <v>0.99989189999999994</v>
      </c>
      <c r="P6236">
        <v>5.3101809999999999E-2</v>
      </c>
      <c r="Q6236">
        <v>0.184503</v>
      </c>
      <c r="R6236">
        <v>0.98139639999999995</v>
      </c>
      <c r="S6236">
        <v>5.4901119999999998E-2</v>
      </c>
      <c r="T6236">
        <v>-6.4025280000000004E-2</v>
      </c>
      <c r="U6236">
        <v>3.0661619999999998</v>
      </c>
      <c r="V6236">
        <v>5.9943259999999998E-2</v>
      </c>
      <c r="W6236">
        <v>0.19719149999999999</v>
      </c>
      <c r="X6236">
        <v>0.97853069999999998</v>
      </c>
      <c r="Y6236">
        <v>2.4859900000000001E-2</v>
      </c>
      <c r="Z6236">
        <v>-7.9191290000000004E-3</v>
      </c>
      <c r="AA6236">
        <v>0.99965959999999998</v>
      </c>
      <c r="AB6236">
        <v>47</v>
      </c>
      <c r="AC6236">
        <v>0.96389999999999498</v>
      </c>
      <c r="AD6236">
        <v>-1.1205943644559999</v>
      </c>
      <c r="AE6236">
        <v>53.22063</v>
      </c>
      <c r="AF6236">
        <v>1.33395890850758</v>
      </c>
      <c r="AG6236">
        <v>-1.1205943644559999</v>
      </c>
      <c r="AH6236">
        <v>53.189052629204802</v>
      </c>
      <c r="AI6236">
        <v>91.206557624704502</v>
      </c>
      <c r="AJ6236">
        <v>88.5633472814675</v>
      </c>
      <c r="AK6236">
        <v>53.217576961860601</v>
      </c>
      <c r="AL6236">
        <v>78.627226632561602</v>
      </c>
      <c r="AM6236">
        <v>86.494530663559203</v>
      </c>
      <c r="AN6236">
        <v>1.00000000646708</v>
      </c>
    </row>
    <row r="6237" spans="1:40" x14ac:dyDescent="0.25">
      <c r="A6237" t="str">
        <f>"20190303171136338"</f>
        <v>20190303171136338</v>
      </c>
      <c r="B6237" t="str">
        <f>"1551604296326871"</f>
        <v>1551604296326871</v>
      </c>
      <c r="C6237" t="s">
        <v>40</v>
      </c>
      <c r="D6237">
        <v>5.1112209999999996</v>
      </c>
      <c r="E6237">
        <v>0.49155870000000002</v>
      </c>
      <c r="F6237" t="s">
        <v>84</v>
      </c>
      <c r="G6237">
        <v>-187.53870000000001</v>
      </c>
      <c r="H6237" s="1">
        <v>-6.2281069999999997E-6</v>
      </c>
      <c r="I6237">
        <v>133.48070000000001</v>
      </c>
      <c r="J6237">
        <v>-188.47890000000001</v>
      </c>
      <c r="K6237">
        <v>1.1205849999999999</v>
      </c>
      <c r="L6237">
        <v>81.171970000000002</v>
      </c>
      <c r="M6237">
        <v>-6.9644299999999998E-3</v>
      </c>
      <c r="N6237">
        <v>-1.2951590000000001E-2</v>
      </c>
      <c r="O6237">
        <v>0.99989189999999994</v>
      </c>
      <c r="P6237">
        <v>5.3528079999999999E-2</v>
      </c>
      <c r="Q6237">
        <v>0.18464079999999999</v>
      </c>
      <c r="R6237">
        <v>0.98134730000000003</v>
      </c>
      <c r="S6237">
        <v>5.4397580000000001E-2</v>
      </c>
      <c r="T6237">
        <v>-6.5075160000000007E-2</v>
      </c>
      <c r="U6237">
        <v>3.0661619999999998</v>
      </c>
      <c r="V6237">
        <v>6.0369329999999999E-2</v>
      </c>
      <c r="W6237">
        <v>0.197328</v>
      </c>
      <c r="X6237">
        <v>0.97847700000000004</v>
      </c>
      <c r="Y6237">
        <v>2.4695890000000002E-2</v>
      </c>
      <c r="Z6237">
        <v>-8.2619419999999996E-3</v>
      </c>
      <c r="AA6237">
        <v>0.99966080000000002</v>
      </c>
      <c r="AB6237">
        <v>47</v>
      </c>
      <c r="AC6237">
        <v>0.94020000000000403</v>
      </c>
      <c r="AD6237">
        <v>-1.1205912281069901</v>
      </c>
      <c r="AE6237">
        <v>52.308729999999997</v>
      </c>
      <c r="AF6237">
        <v>1.30391002102561</v>
      </c>
      <c r="AG6237">
        <v>-1.1205912281069901</v>
      </c>
      <c r="AH6237">
        <v>52.2769290104319</v>
      </c>
      <c r="AI6237">
        <v>91.227603931650606</v>
      </c>
      <c r="AJ6237">
        <v>88.571204244953805</v>
      </c>
      <c r="AK6237">
        <v>52.305192981243998</v>
      </c>
      <c r="AL6237">
        <v>78.619249136352394</v>
      </c>
      <c r="AM6237">
        <v>86.469483714826495</v>
      </c>
      <c r="AN6237">
        <v>1.00000001755882</v>
      </c>
    </row>
    <row r="6238" spans="1:40" x14ac:dyDescent="0.25">
      <c r="A6238" t="str">
        <f>"20190303171136360"</f>
        <v>20190303171136360</v>
      </c>
      <c r="B6238" t="str">
        <f>"1551604296346391"</f>
        <v>1551604296346391</v>
      </c>
      <c r="C6238" t="s">
        <v>40</v>
      </c>
      <c r="D6238">
        <v>4.8322940000000001</v>
      </c>
      <c r="E6238">
        <v>0.5316246</v>
      </c>
      <c r="F6238" t="s">
        <v>84</v>
      </c>
      <c r="G6238">
        <v>-187.49590000000001</v>
      </c>
      <c r="H6238" s="1">
        <v>-6.5654090000000003E-6</v>
      </c>
      <c r="I6238">
        <v>134.5274</v>
      </c>
      <c r="J6238">
        <v>-188.4819</v>
      </c>
      <c r="K6238">
        <v>1.1205860000000001</v>
      </c>
      <c r="L6238">
        <v>81.61618</v>
      </c>
      <c r="M6238">
        <v>-6.964586E-3</v>
      </c>
      <c r="N6238">
        <v>-1.2951229999999999E-2</v>
      </c>
      <c r="O6238">
        <v>0.99989189999999994</v>
      </c>
      <c r="P6238">
        <v>5.3623999999999998E-2</v>
      </c>
      <c r="Q6238">
        <v>0.1845299</v>
      </c>
      <c r="R6238">
        <v>0.98136290000000004</v>
      </c>
      <c r="S6238">
        <v>5.6488040000000003E-2</v>
      </c>
      <c r="T6238">
        <v>-6.439483E-2</v>
      </c>
      <c r="U6238">
        <v>3.066071</v>
      </c>
      <c r="V6238">
        <v>6.0465499999999998E-2</v>
      </c>
      <c r="W6238">
        <v>0.19721720000000001</v>
      </c>
      <c r="X6238">
        <v>0.97849339999999996</v>
      </c>
      <c r="Y6238">
        <v>2.5377830000000001E-2</v>
      </c>
      <c r="Z6238">
        <v>-8.0408709999999998E-3</v>
      </c>
      <c r="AA6238">
        <v>0.99964560000000002</v>
      </c>
      <c r="AB6238">
        <v>47</v>
      </c>
      <c r="AC6238">
        <v>0.98599999999999</v>
      </c>
      <c r="AD6238">
        <v>-1.1205925654090001</v>
      </c>
      <c r="AE6238">
        <v>52.911219999999901</v>
      </c>
      <c r="AF6238">
        <v>1.3539046565869099</v>
      </c>
      <c r="AG6238">
        <v>-1.1205925654090001</v>
      </c>
      <c r="AH6238">
        <v>52.879358664846997</v>
      </c>
      <c r="AI6238">
        <v>91.213603808561501</v>
      </c>
      <c r="AJ6238">
        <v>88.533339276642707</v>
      </c>
      <c r="AK6238">
        <v>52.908556570013403</v>
      </c>
      <c r="AL6238">
        <v>78.6257247597663</v>
      </c>
      <c r="AM6238">
        <v>86.463932881725299</v>
      </c>
      <c r="AN6238">
        <v>1.00000001725482</v>
      </c>
    </row>
    <row r="6239" spans="1:40" x14ac:dyDescent="0.25">
      <c r="A6239" t="str">
        <f>"20190303171136381"</f>
        <v>20190303171136381</v>
      </c>
      <c r="B6239" t="str">
        <f>"1551604296366888"</f>
        <v>1551604296366888</v>
      </c>
      <c r="C6239" t="s">
        <v>40</v>
      </c>
      <c r="D6239">
        <v>4.863842</v>
      </c>
      <c r="E6239">
        <v>0.53817169999999903</v>
      </c>
      <c r="F6239" t="s">
        <v>84</v>
      </c>
      <c r="G6239">
        <v>-182.48859999999999</v>
      </c>
      <c r="H6239" s="1">
        <v>-5.4594340000000003E-6</v>
      </c>
      <c r="I6239">
        <v>130.16130000000001</v>
      </c>
      <c r="J6239">
        <v>-188.48509999999999</v>
      </c>
      <c r="K6239">
        <v>1.1205879999999999</v>
      </c>
      <c r="L6239">
        <v>82.071469999999906</v>
      </c>
      <c r="M6239">
        <v>-6.9648130000000003E-3</v>
      </c>
      <c r="N6239">
        <v>-1.295086E-2</v>
      </c>
      <c r="O6239">
        <v>0.99989189999999994</v>
      </c>
      <c r="P6239">
        <v>5.3449249999999997E-2</v>
      </c>
      <c r="Q6239">
        <v>0.18399740000000001</v>
      </c>
      <c r="R6239">
        <v>0.98147240000000002</v>
      </c>
      <c r="S6239">
        <v>0.37651059999999997</v>
      </c>
      <c r="T6239">
        <v>-7.039666E-2</v>
      </c>
      <c r="U6239">
        <v>3.049652</v>
      </c>
      <c r="V6239">
        <v>6.0291730000000002E-2</v>
      </c>
      <c r="W6239">
        <v>0.19668569999999999</v>
      </c>
      <c r="X6239">
        <v>0.97861109999999896</v>
      </c>
      <c r="Y6239">
        <v>0.12940389999999999</v>
      </c>
      <c r="Z6239">
        <v>-9.9377370000000003E-3</v>
      </c>
      <c r="AA6239">
        <v>0.99154219999999904</v>
      </c>
      <c r="AB6239">
        <v>47</v>
      </c>
      <c r="AC6239">
        <v>5.9964999999999904</v>
      </c>
      <c r="AD6239">
        <v>-1.1205934594339999</v>
      </c>
      <c r="AE6239">
        <v>48.089829999999999</v>
      </c>
      <c r="AF6239">
        <v>6.32793590828053</v>
      </c>
      <c r="AG6239">
        <v>-1.1205934594339999</v>
      </c>
      <c r="AH6239">
        <v>48.021219707539103</v>
      </c>
      <c r="AI6239">
        <v>91.325323232627497</v>
      </c>
      <c r="AJ6239">
        <v>82.493171559244999</v>
      </c>
      <c r="AK6239">
        <v>48.449314182559597</v>
      </c>
      <c r="AL6239">
        <v>78.656785897502601</v>
      </c>
      <c r="AM6239">
        <v>86.474492408600796</v>
      </c>
      <c r="AN6239">
        <v>1.0000000211670399</v>
      </c>
    </row>
    <row r="6240" spans="1:40" x14ac:dyDescent="0.25">
      <c r="A6240" t="str">
        <f>"20190303171136403"</f>
        <v>20190303171136403</v>
      </c>
      <c r="B6240" t="str">
        <f>"1551604296397144"</f>
        <v>1551604296397144</v>
      </c>
      <c r="C6240" t="s">
        <v>40</v>
      </c>
      <c r="D6240">
        <v>4.8500670000000001</v>
      </c>
      <c r="E6240">
        <v>0.54188429999999999</v>
      </c>
      <c r="F6240" t="s">
        <v>84</v>
      </c>
      <c r="G6240">
        <v>-182.7449</v>
      </c>
      <c r="H6240" s="1">
        <v>-2.9134669999999999E-6</v>
      </c>
      <c r="I6240">
        <v>122.9922</v>
      </c>
      <c r="J6240">
        <v>-188.48849999999999</v>
      </c>
      <c r="K6240">
        <v>1.1205849999999999</v>
      </c>
      <c r="L6240">
        <v>82.550929999999994</v>
      </c>
      <c r="M6240">
        <v>-6.9650859999999997E-3</v>
      </c>
      <c r="N6240">
        <v>-1.2950369999999999E-2</v>
      </c>
      <c r="O6240">
        <v>0.99989189999999994</v>
      </c>
      <c r="P6240">
        <v>5.3637110000000002E-2</v>
      </c>
      <c r="Q6240">
        <v>0.18337590000000001</v>
      </c>
      <c r="R6240">
        <v>0.98157850000000002</v>
      </c>
      <c r="S6240">
        <v>0.42770390000000003</v>
      </c>
      <c r="T6240">
        <v>-8.3495379999999994E-2</v>
      </c>
      <c r="U6240">
        <v>3.0490110000000001</v>
      </c>
      <c r="V6240">
        <v>6.0480569999999997E-2</v>
      </c>
      <c r="W6240">
        <v>0.1960653</v>
      </c>
      <c r="X6240">
        <v>0.97872389999999998</v>
      </c>
      <c r="Y6240">
        <v>0.14575940000000001</v>
      </c>
      <c r="Z6240">
        <v>-1.414032E-2</v>
      </c>
      <c r="AA6240">
        <v>0.98921899999999996</v>
      </c>
      <c r="AB6240">
        <v>47</v>
      </c>
      <c r="AC6240">
        <v>5.7435999999999803</v>
      </c>
      <c r="AD6240">
        <v>-1.120587913467</v>
      </c>
      <c r="AE6240">
        <v>40.441269999999903</v>
      </c>
      <c r="AF6240">
        <v>6.0206300174192604</v>
      </c>
      <c r="AG6240">
        <v>-1.120587913467</v>
      </c>
      <c r="AH6240">
        <v>40.369898094659199</v>
      </c>
      <c r="AI6240">
        <v>91.572624475246698</v>
      </c>
      <c r="AJ6240">
        <v>81.517620184763402</v>
      </c>
      <c r="AK6240">
        <v>40.831756945441697</v>
      </c>
      <c r="AL6240">
        <v>78.693037680093497</v>
      </c>
      <c r="AM6240">
        <v>86.463884688960405</v>
      </c>
      <c r="AN6240">
        <v>0.999999986821412</v>
      </c>
    </row>
    <row r="6241" spans="1:40" x14ac:dyDescent="0.25">
      <c r="A6241" t="str">
        <f>"20190303171136427"</f>
        <v>20190303171136427</v>
      </c>
      <c r="B6241" t="str">
        <f>"1551604296416663"</f>
        <v>1551604296416663</v>
      </c>
      <c r="C6241" t="s">
        <v>40</v>
      </c>
      <c r="D6241">
        <v>4.7944000000000004</v>
      </c>
      <c r="E6241">
        <v>0.54364780000000001</v>
      </c>
      <c r="F6241" t="s">
        <v>42</v>
      </c>
      <c r="G6241">
        <v>-182.9316</v>
      </c>
      <c r="H6241" s="1">
        <v>-5.507807E-6</v>
      </c>
      <c r="I6241">
        <v>119.5489</v>
      </c>
      <c r="J6241">
        <v>-188.49180000000001</v>
      </c>
      <c r="K6241">
        <v>1.1205780000000001</v>
      </c>
      <c r="L6241">
        <v>83.028630000000007</v>
      </c>
      <c r="M6241">
        <v>-6.9653579999999996E-3</v>
      </c>
      <c r="N6241">
        <v>-1.2949830000000001E-2</v>
      </c>
      <c r="O6241">
        <v>0.99989189999999994</v>
      </c>
      <c r="P6241">
        <v>5.3260769999999999E-2</v>
      </c>
      <c r="Q6241">
        <v>0.1824335</v>
      </c>
      <c r="R6241">
        <v>0.98177460000000005</v>
      </c>
      <c r="S6241">
        <v>0.45787050000000001</v>
      </c>
      <c r="T6241">
        <v>-9.2333319999999997E-2</v>
      </c>
      <c r="U6241">
        <v>3.0485229999999999</v>
      </c>
      <c r="V6241">
        <v>6.0105829999999999E-2</v>
      </c>
      <c r="W6241">
        <v>0.19512479999999999</v>
      </c>
      <c r="X6241">
        <v>0.97893490000000005</v>
      </c>
      <c r="Y6241">
        <v>0.15534899999999999</v>
      </c>
      <c r="Z6241">
        <v>-1.696829E-2</v>
      </c>
      <c r="AA6241">
        <v>0.98771390000000003</v>
      </c>
      <c r="AB6241">
        <v>47</v>
      </c>
      <c r="AC6241">
        <v>5.5602</v>
      </c>
      <c r="AD6241">
        <v>-1.1205835078069999</v>
      </c>
      <c r="AE6241">
        <v>36.520269999999996</v>
      </c>
      <c r="AF6241">
        <v>5.8091177984818598</v>
      </c>
      <c r="AG6241">
        <v>-1.1205835078069999</v>
      </c>
      <c r="AH6241">
        <v>36.447114325667499</v>
      </c>
      <c r="AI6241">
        <v>91.739093393792501</v>
      </c>
      <c r="AJ6241">
        <v>80.944092187850899</v>
      </c>
      <c r="AK6241">
        <v>36.924161461878697</v>
      </c>
      <c r="AL6241">
        <v>78.747985488647998</v>
      </c>
      <c r="AM6241">
        <v>86.486495086712395</v>
      </c>
      <c r="AN6241">
        <v>0.99999996840651895</v>
      </c>
    </row>
    <row r="6242" spans="1:40" x14ac:dyDescent="0.25">
      <c r="A6242" t="str">
        <f>"20190303171136447"</f>
        <v>20190303171136447</v>
      </c>
      <c r="B6242" t="str">
        <f>"1551604296437159"</f>
        <v>1551604296437159</v>
      </c>
      <c r="C6242" t="s">
        <v>40</v>
      </c>
      <c r="D6242">
        <v>4.8359529999999999</v>
      </c>
      <c r="E6242">
        <v>0.54457369999999905</v>
      </c>
      <c r="F6242" t="s">
        <v>42</v>
      </c>
      <c r="G6242">
        <v>-183.03280000000001</v>
      </c>
      <c r="H6242" s="1">
        <v>-5.0276409999999996E-6</v>
      </c>
      <c r="I6242">
        <v>118.47150000000001</v>
      </c>
      <c r="J6242">
        <v>-188.4948</v>
      </c>
      <c r="K6242">
        <v>1.1205799999999999</v>
      </c>
      <c r="L6242">
        <v>83.463750000000005</v>
      </c>
      <c r="M6242">
        <v>-6.9654519999999996E-3</v>
      </c>
      <c r="N6242">
        <v>-1.294934E-2</v>
      </c>
      <c r="O6242">
        <v>0.99989189999999994</v>
      </c>
      <c r="P6242">
        <v>5.3026610000000002E-2</v>
      </c>
      <c r="Q6242">
        <v>0.1812317</v>
      </c>
      <c r="R6242">
        <v>0.98200980000000004</v>
      </c>
      <c r="S6242">
        <v>0.46948240000000002</v>
      </c>
      <c r="T6242">
        <v>-9.6371410000000005E-2</v>
      </c>
      <c r="U6242">
        <v>3.0481259999999999</v>
      </c>
      <c r="V6242">
        <v>5.9873320000000001E-2</v>
      </c>
      <c r="W6242">
        <v>0.1939256</v>
      </c>
      <c r="X6242">
        <v>0.97918740000000004</v>
      </c>
      <c r="Y6242">
        <v>0.15903870000000001</v>
      </c>
      <c r="Z6242">
        <v>-1.8262250000000001E-2</v>
      </c>
      <c r="AA6242">
        <v>0.98710339999999996</v>
      </c>
      <c r="AB6242">
        <v>47</v>
      </c>
      <c r="AC6242">
        <v>5.4619999999999802</v>
      </c>
      <c r="AD6242">
        <v>-1.1205850276410001</v>
      </c>
      <c r="AE6242">
        <v>35.007750000000001</v>
      </c>
      <c r="AF6242">
        <v>5.7000311711401999</v>
      </c>
      <c r="AG6242">
        <v>-1.1205850276410001</v>
      </c>
      <c r="AH6242">
        <v>34.933908888356797</v>
      </c>
      <c r="AI6242">
        <v>91.813300157439897</v>
      </c>
      <c r="AJ6242">
        <v>80.732932426891594</v>
      </c>
      <c r="AK6242">
        <v>35.413613997672698</v>
      </c>
      <c r="AL6242">
        <v>78.818032557656906</v>
      </c>
      <c r="AM6242">
        <v>86.5009529580351</v>
      </c>
      <c r="AN6242">
        <v>0.99999995855097001</v>
      </c>
    </row>
    <row r="6243" spans="1:40" x14ac:dyDescent="0.25">
      <c r="A6243" t="str">
        <f>"20190303171136471"</f>
        <v>20190303171136471</v>
      </c>
      <c r="B6243" t="str">
        <f>"1551604296456679"</f>
        <v>1551604296456679</v>
      </c>
      <c r="C6243" t="s">
        <v>40</v>
      </c>
      <c r="D6243">
        <v>4.78207</v>
      </c>
      <c r="E6243">
        <v>0.54549829999999999</v>
      </c>
      <c r="F6243" t="s">
        <v>42</v>
      </c>
      <c r="G6243">
        <v>-183.2295</v>
      </c>
      <c r="H6243" s="1">
        <v>-4.4263420000000002E-6</v>
      </c>
      <c r="I6243">
        <v>117.1512</v>
      </c>
      <c r="J6243">
        <v>-188.4982</v>
      </c>
      <c r="K6243">
        <v>1.120576</v>
      </c>
      <c r="L6243">
        <v>83.944209999999998</v>
      </c>
      <c r="M6243">
        <v>-6.9655419999999999E-3</v>
      </c>
      <c r="N6243">
        <v>-1.294879E-2</v>
      </c>
      <c r="O6243">
        <v>0.99989189999999994</v>
      </c>
      <c r="P6243">
        <v>5.2479570000000003E-2</v>
      </c>
      <c r="Q6243">
        <v>0.18073810000000001</v>
      </c>
      <c r="R6243">
        <v>0.98213019999999995</v>
      </c>
      <c r="S6243">
        <v>0.4763947</v>
      </c>
      <c r="T6243">
        <v>-0.1013873</v>
      </c>
      <c r="U6243">
        <v>3.0479430000000001</v>
      </c>
      <c r="V6243">
        <v>5.9327150000000002E-2</v>
      </c>
      <c r="W6243">
        <v>0.19343299999999999</v>
      </c>
      <c r="X6243">
        <v>0.97931809999999997</v>
      </c>
      <c r="Y6243">
        <v>0.16122619999999999</v>
      </c>
      <c r="Z6243">
        <v>-1.9876560000000001E-2</v>
      </c>
      <c r="AA6243">
        <v>0.98671730000000002</v>
      </c>
      <c r="AB6243">
        <v>47</v>
      </c>
      <c r="AC6243">
        <v>5.2686999999999902</v>
      </c>
      <c r="AD6243">
        <v>-1.1205804263420001</v>
      </c>
      <c r="AE6243">
        <v>33.206989999999998</v>
      </c>
      <c r="AF6243">
        <v>5.4937938213754798</v>
      </c>
      <c r="AG6243">
        <v>-1.1205804263420001</v>
      </c>
      <c r="AH6243">
        <v>33.132678600760897</v>
      </c>
      <c r="AI6243">
        <v>91.910990252798896</v>
      </c>
      <c r="AJ6243">
        <v>80.585332866016202</v>
      </c>
      <c r="AK6243">
        <v>33.6037477419558</v>
      </c>
      <c r="AL6243">
        <v>78.8468015368599</v>
      </c>
      <c r="AM6243">
        <v>86.533254973223507</v>
      </c>
      <c r="AN6243">
        <v>0.99999998860186601</v>
      </c>
    </row>
    <row r="6244" spans="1:40" x14ac:dyDescent="0.25">
      <c r="A6244" t="str">
        <f>"20190303171136495"</f>
        <v>20190303171136495</v>
      </c>
      <c r="B6244" t="str">
        <f>"1551604296486935"</f>
        <v>1551604296486935</v>
      </c>
      <c r="C6244" t="s">
        <v>40</v>
      </c>
      <c r="D6244">
        <v>4.7839869999999998</v>
      </c>
      <c r="E6244">
        <v>0.54686119999999905</v>
      </c>
      <c r="F6244" t="s">
        <v>42</v>
      </c>
      <c r="G6244">
        <v>-183.22190000000001</v>
      </c>
      <c r="H6244" s="1">
        <v>-4.4774240000000003E-6</v>
      </c>
      <c r="I6244">
        <v>117.2671</v>
      </c>
      <c r="J6244">
        <v>-188.5018</v>
      </c>
      <c r="K6244">
        <v>1.1205639999999999</v>
      </c>
      <c r="L6244">
        <v>84.463589999999996</v>
      </c>
      <c r="M6244">
        <v>-6.9587159999999898E-3</v>
      </c>
      <c r="N6244">
        <v>-1.294824E-2</v>
      </c>
      <c r="O6244">
        <v>0.99989189999999994</v>
      </c>
      <c r="P6244">
        <v>5.2392389999999997E-2</v>
      </c>
      <c r="Q6244">
        <v>0.1804499</v>
      </c>
      <c r="R6244">
        <v>0.98218780000000006</v>
      </c>
      <c r="S6244">
        <v>0.48255920000000002</v>
      </c>
      <c r="T6244">
        <v>-0.1024867</v>
      </c>
      <c r="U6244">
        <v>3.0476679999999998</v>
      </c>
      <c r="V6244">
        <v>5.923519E-2</v>
      </c>
      <c r="W6244">
        <v>0.19314480000000001</v>
      </c>
      <c r="X6244">
        <v>0.97938049999999999</v>
      </c>
      <c r="Y6244">
        <v>0.1631783</v>
      </c>
      <c r="Z6244">
        <v>-2.0225170000000001E-2</v>
      </c>
      <c r="AA6244">
        <v>0.98638930000000002</v>
      </c>
      <c r="AB6244">
        <v>47</v>
      </c>
      <c r="AC6244">
        <v>5.2798999999999898</v>
      </c>
      <c r="AD6244">
        <v>-1.1205684774239999</v>
      </c>
      <c r="AE6244">
        <v>32.803509999999903</v>
      </c>
      <c r="AF6244">
        <v>5.5018036316875003</v>
      </c>
      <c r="AG6244">
        <v>-1.1205684774239999</v>
      </c>
      <c r="AH6244">
        <v>32.728744246811999</v>
      </c>
      <c r="AI6244">
        <v>91.933817783964898</v>
      </c>
      <c r="AJ6244">
        <v>80.4576188410242</v>
      </c>
      <c r="AK6244">
        <v>33.206870025455203</v>
      </c>
      <c r="AL6244">
        <v>78.863631044945706</v>
      </c>
      <c r="AM6244">
        <v>86.538835524889706</v>
      </c>
      <c r="AN6244">
        <v>0.99999994264081105</v>
      </c>
    </row>
    <row r="6245" spans="1:40" x14ac:dyDescent="0.25">
      <c r="A6245" t="str">
        <f>"20190303171136517"</f>
        <v>20190303171136517</v>
      </c>
      <c r="B6245" t="str">
        <f>"1551604296506455"</f>
        <v>1551604296506455</v>
      </c>
      <c r="C6245" t="s">
        <v>40</v>
      </c>
      <c r="D6245">
        <v>4.7876329999999996</v>
      </c>
      <c r="E6245">
        <v>0.54755940000000003</v>
      </c>
      <c r="F6245" t="s">
        <v>42</v>
      </c>
      <c r="G6245">
        <v>-183.06620000000001</v>
      </c>
      <c r="H6245" s="1">
        <v>-4.8507799999999997E-6</v>
      </c>
      <c r="I6245">
        <v>118.07299999999999</v>
      </c>
      <c r="J6245">
        <v>-188.50489999999999</v>
      </c>
      <c r="K6245">
        <v>1.120549</v>
      </c>
      <c r="L6245">
        <v>84.916319999999999</v>
      </c>
      <c r="M6245">
        <v>-6.9204150000000001E-3</v>
      </c>
      <c r="N6245">
        <v>-1.2947790000000001E-2</v>
      </c>
      <c r="O6245">
        <v>0.99989220000000001</v>
      </c>
      <c r="P6245">
        <v>5.2743749999999999E-2</v>
      </c>
      <c r="Q6245">
        <v>0.18016769999999999</v>
      </c>
      <c r="R6245">
        <v>0.9822208</v>
      </c>
      <c r="S6245">
        <v>0.49275210000000003</v>
      </c>
      <c r="T6245">
        <v>-0.10158250000000001</v>
      </c>
      <c r="U6245">
        <v>3.046783</v>
      </c>
      <c r="V6245">
        <v>5.9556739999999997E-2</v>
      </c>
      <c r="W6245">
        <v>0.19286039999999999</v>
      </c>
      <c r="X6245">
        <v>0.97941710000000004</v>
      </c>
      <c r="Y6245">
        <v>0.16640170000000001</v>
      </c>
      <c r="Z6245">
        <v>-1.992493E-2</v>
      </c>
      <c r="AA6245">
        <v>0.98585670000000003</v>
      </c>
      <c r="AB6245">
        <v>47</v>
      </c>
      <c r="AC6245">
        <v>5.4386999999999803</v>
      </c>
      <c r="AD6245">
        <v>-1.1205538507799999</v>
      </c>
      <c r="AE6245">
        <v>33.156679999999902</v>
      </c>
      <c r="AF6245">
        <v>5.6617498280206204</v>
      </c>
      <c r="AG6245">
        <v>-1.1205538507799999</v>
      </c>
      <c r="AH6245">
        <v>33.081450645251302</v>
      </c>
      <c r="AI6245">
        <v>91.912231498737398</v>
      </c>
      <c r="AJ6245">
        <v>80.288163799970604</v>
      </c>
      <c r="AK6245">
        <v>33.581146925645399</v>
      </c>
      <c r="AL6245">
        <v>78.880238826969105</v>
      </c>
      <c r="AM6245">
        <v>86.520222842875697</v>
      </c>
      <c r="AN6245">
        <v>0.99999999746999801</v>
      </c>
    </row>
    <row r="6246" spans="1:40" x14ac:dyDescent="0.25">
      <c r="A6246" t="str">
        <f>"20190303171136538"</f>
        <v>20190303171136538</v>
      </c>
      <c r="B6246" t="str">
        <f>"1551604296526951"</f>
        <v>1551604296526951</v>
      </c>
      <c r="C6246" t="s">
        <v>40</v>
      </c>
      <c r="D6246">
        <v>4.7732919999999996</v>
      </c>
      <c r="E6246">
        <v>0.54815729999999996</v>
      </c>
      <c r="F6246" t="s">
        <v>42</v>
      </c>
      <c r="G6246">
        <v>-182.9769</v>
      </c>
      <c r="H6246" s="1">
        <v>-5.1030239999999999E-6</v>
      </c>
      <c r="I6246">
        <v>118.6241</v>
      </c>
      <c r="J6246">
        <v>-188.50800000000001</v>
      </c>
      <c r="K6246">
        <v>1.1205069999999999</v>
      </c>
      <c r="L6246">
        <v>85.371859999999998</v>
      </c>
      <c r="M6246">
        <v>-6.8246299999999999E-3</v>
      </c>
      <c r="N6246">
        <v>-1.294738E-2</v>
      </c>
      <c r="O6246">
        <v>0.99989289999999997</v>
      </c>
      <c r="P6246">
        <v>5.2043930000000002E-2</v>
      </c>
      <c r="Q6246">
        <v>0.17933650000000001</v>
      </c>
      <c r="R6246">
        <v>0.98241020000000001</v>
      </c>
      <c r="S6246">
        <v>0.49954219999999999</v>
      </c>
      <c r="T6246">
        <v>-0.1012604</v>
      </c>
      <c r="U6246">
        <v>3.0460509999999998</v>
      </c>
      <c r="V6246">
        <v>5.8781170000000001E-2</v>
      </c>
      <c r="W6246">
        <v>0.192026</v>
      </c>
      <c r="X6246">
        <v>0.97962780000000005</v>
      </c>
      <c r="Y6246">
        <v>0.168485</v>
      </c>
      <c r="Z6246">
        <v>-1.9817310000000001E-2</v>
      </c>
      <c r="AA6246">
        <v>0.98550499999999996</v>
      </c>
      <c r="AB6246">
        <v>47</v>
      </c>
      <c r="AC6246">
        <v>5.5310999999999799</v>
      </c>
      <c r="AD6246">
        <v>-1.120512103024</v>
      </c>
      <c r="AE6246">
        <v>33.25224</v>
      </c>
      <c r="AF6246">
        <v>5.7515692913173204</v>
      </c>
      <c r="AG6246">
        <v>-1.120512103024</v>
      </c>
      <c r="AH6246">
        <v>33.177055986871601</v>
      </c>
      <c r="AI6246">
        <v>91.905948606266094</v>
      </c>
      <c r="AJ6246">
        <v>80.164961329102198</v>
      </c>
      <c r="AK6246">
        <v>33.690549723058197</v>
      </c>
      <c r="AL6246">
        <v>78.928956178378399</v>
      </c>
      <c r="AM6246">
        <v>86.566165549804197</v>
      </c>
      <c r="AN6246">
        <v>0.99999991857770099</v>
      </c>
    </row>
    <row r="6247" spans="1:40" x14ac:dyDescent="0.25">
      <c r="A6247" t="str">
        <f>"20190303171136571"</f>
        <v>20190303171136571</v>
      </c>
      <c r="B6247" t="str">
        <f>"1551604296557208"</f>
        <v>1551604296557208</v>
      </c>
      <c r="C6247" t="s">
        <v>40</v>
      </c>
      <c r="D6247">
        <v>4.7454140000000002</v>
      </c>
      <c r="E6247">
        <v>0.54912810000000001</v>
      </c>
      <c r="F6247" t="s">
        <v>42</v>
      </c>
      <c r="G6247">
        <v>-183.0205</v>
      </c>
      <c r="H6247" s="1">
        <v>-5.0808959999999998E-6</v>
      </c>
      <c r="I6247">
        <v>118.59059999999999</v>
      </c>
      <c r="J6247">
        <v>-188.51240000000001</v>
      </c>
      <c r="K6247">
        <v>1.12043</v>
      </c>
      <c r="L6247">
        <v>86.043030000000002</v>
      </c>
      <c r="M6247">
        <v>-6.582259E-3</v>
      </c>
      <c r="N6247">
        <v>-1.2946900000000001E-2</v>
      </c>
      <c r="O6247">
        <v>0.99989450000000002</v>
      </c>
      <c r="P6247">
        <v>5.1313079999999997E-2</v>
      </c>
      <c r="Q6247">
        <v>0.1787918</v>
      </c>
      <c r="R6247">
        <v>0.98254790000000003</v>
      </c>
      <c r="S6247">
        <v>0.50314329999999996</v>
      </c>
      <c r="T6247">
        <v>-0.1027392</v>
      </c>
      <c r="U6247">
        <v>3.0458069999999999</v>
      </c>
      <c r="V6247">
        <v>5.7849850000000001E-2</v>
      </c>
      <c r="W6247">
        <v>0.1914719</v>
      </c>
      <c r="X6247">
        <v>0.97979179999999999</v>
      </c>
      <c r="Y6247">
        <v>0.16939070000000001</v>
      </c>
      <c r="Z6247">
        <v>-2.029311E-2</v>
      </c>
      <c r="AA6247">
        <v>0.98534010000000005</v>
      </c>
      <c r="AB6247">
        <v>47</v>
      </c>
      <c r="AC6247">
        <v>5.49190000000001</v>
      </c>
      <c r="AD6247">
        <v>-1.120435080896</v>
      </c>
      <c r="AE6247">
        <v>32.547569999999901</v>
      </c>
      <c r="AF6247">
        <v>5.69946833274971</v>
      </c>
      <c r="AG6247">
        <v>-1.120435080896</v>
      </c>
      <c r="AH6247">
        <v>32.473295529261698</v>
      </c>
      <c r="AI6247">
        <v>91.946380211875095</v>
      </c>
      <c r="AJ6247">
        <v>80.045267065187602</v>
      </c>
      <c r="AK6247">
        <v>32.988698619031403</v>
      </c>
      <c r="AL6247">
        <v>78.961305292493805</v>
      </c>
      <c r="AM6247">
        <v>86.621007960318394</v>
      </c>
      <c r="AN6247">
        <v>1.0000000324909299</v>
      </c>
    </row>
    <row r="6248" spans="1:40" x14ac:dyDescent="0.25">
      <c r="A6248" t="str">
        <f>"20190303171136595"</f>
        <v>20190303171136595</v>
      </c>
      <c r="B6248" t="str">
        <f>"1551604296586488"</f>
        <v>1551604296586488</v>
      </c>
      <c r="C6248" t="s">
        <v>40</v>
      </c>
      <c r="D6248">
        <v>4.7175240000000001</v>
      </c>
      <c r="E6248">
        <v>0.54989829999999995</v>
      </c>
      <c r="F6248" t="s">
        <v>42</v>
      </c>
      <c r="G6248">
        <v>-182.90880000000001</v>
      </c>
      <c r="H6248" s="1">
        <v>-5.4933630000000002E-6</v>
      </c>
      <c r="I6248">
        <v>119.50579999999999</v>
      </c>
      <c r="J6248">
        <v>-188.5155</v>
      </c>
      <c r="K6248">
        <v>1.12036</v>
      </c>
      <c r="L6248">
        <v>86.547359999999998</v>
      </c>
      <c r="M6248">
        <v>-6.2888369999999898E-3</v>
      </c>
      <c r="N6248">
        <v>-1.2946579999999999E-2</v>
      </c>
      <c r="O6248">
        <v>0.99989640000000002</v>
      </c>
      <c r="P6248">
        <v>5.1195829999999998E-2</v>
      </c>
      <c r="Q6248">
        <v>0.1793051</v>
      </c>
      <c r="R6248">
        <v>0.98246049999999996</v>
      </c>
      <c r="S6248">
        <v>0.50994870000000003</v>
      </c>
      <c r="T6248">
        <v>-0.1019634</v>
      </c>
      <c r="U6248">
        <v>3.0452270000000001</v>
      </c>
      <c r="V6248">
        <v>5.7480549999999998E-2</v>
      </c>
      <c r="W6248">
        <v>0.19197310000000001</v>
      </c>
      <c r="X6248">
        <v>0.97971540000000001</v>
      </c>
      <c r="Y6248">
        <v>0.1712746</v>
      </c>
      <c r="Z6248">
        <v>-2.0037679999999999E-2</v>
      </c>
      <c r="AA6248">
        <v>0.9850196</v>
      </c>
      <c r="AB6248">
        <v>47</v>
      </c>
      <c r="AC6248">
        <v>5.6066999999999796</v>
      </c>
      <c r="AD6248">
        <v>-1.1203654933630001</v>
      </c>
      <c r="AE6248">
        <v>32.958440000000003</v>
      </c>
      <c r="AF6248">
        <v>5.8073548295820299</v>
      </c>
      <c r="AG6248">
        <v>-1.1203654933630001</v>
      </c>
      <c r="AH6248">
        <v>32.885593608783402</v>
      </c>
      <c r="AI6248">
        <v>91.9215227048022</v>
      </c>
      <c r="AJ6248">
        <v>79.985236737957507</v>
      </c>
      <c r="AK6248">
        <v>33.413213792711502</v>
      </c>
      <c r="AL6248">
        <v>78.932045216095602</v>
      </c>
      <c r="AM6248">
        <v>86.642267933475793</v>
      </c>
      <c r="AN6248">
        <v>0.99999997487453596</v>
      </c>
    </row>
    <row r="6249" spans="1:40" x14ac:dyDescent="0.25">
      <c r="A6249" t="str">
        <f>"20190303171136619"</f>
        <v>20190303171136619</v>
      </c>
      <c r="B6249" t="str">
        <f>"1551604296606983"</f>
        <v>1551604296606983</v>
      </c>
      <c r="C6249" t="s">
        <v>40</v>
      </c>
      <c r="D6249">
        <v>4.7038500000000001</v>
      </c>
      <c r="E6249">
        <v>0.55036350000000001</v>
      </c>
      <c r="F6249" t="s">
        <v>84</v>
      </c>
      <c r="G6249">
        <v>-182.66050000000001</v>
      </c>
      <c r="H6249" s="1">
        <v>-2.3759809999999999E-6</v>
      </c>
      <c r="I6249">
        <v>121.0911</v>
      </c>
      <c r="J6249">
        <v>-188.51820000000001</v>
      </c>
      <c r="K6249">
        <v>1.120258</v>
      </c>
      <c r="L6249">
        <v>87.036069999999995</v>
      </c>
      <c r="M6249">
        <v>-5.8482389999999999E-3</v>
      </c>
      <c r="N6249">
        <v>-1.294651E-2</v>
      </c>
      <c r="O6249">
        <v>0.99989910000000004</v>
      </c>
      <c r="P6249">
        <v>5.1898970000000003E-2</v>
      </c>
      <c r="Q6249">
        <v>0.18002409999999999</v>
      </c>
      <c r="R6249">
        <v>0.9822921</v>
      </c>
      <c r="S6249">
        <v>0.51605219999999996</v>
      </c>
      <c r="T6249">
        <v>-9.8748450000000002E-2</v>
      </c>
      <c r="U6249">
        <v>3.0446780000000002</v>
      </c>
      <c r="V6249">
        <v>5.779923E-2</v>
      </c>
      <c r="W6249">
        <v>0.19267500000000001</v>
      </c>
      <c r="X6249">
        <v>0.97955890000000001</v>
      </c>
      <c r="Y6249">
        <v>0.17279340000000001</v>
      </c>
      <c r="Z6249">
        <v>-1.8995069999999999E-2</v>
      </c>
      <c r="AA6249">
        <v>0.98477490000000001</v>
      </c>
      <c r="AB6249">
        <v>47</v>
      </c>
      <c r="AC6249">
        <v>5.8576999999999897</v>
      </c>
      <c r="AD6249">
        <v>-1.1202603759809999</v>
      </c>
      <c r="AE6249">
        <v>34.055030000000002</v>
      </c>
      <c r="AF6249">
        <v>6.0504193195071503</v>
      </c>
      <c r="AG6249">
        <v>-1.1202603759809999</v>
      </c>
      <c r="AH6249">
        <v>33.984468931318503</v>
      </c>
      <c r="AI6249">
        <v>91.858800411627399</v>
      </c>
      <c r="AJ6249">
        <v>79.9051255758758</v>
      </c>
      <c r="AK6249">
        <v>34.537033540760397</v>
      </c>
      <c r="AL6249">
        <v>78.891064789044506</v>
      </c>
      <c r="AM6249">
        <v>86.623156986407594</v>
      </c>
      <c r="AN6249">
        <v>1.0000000225914001</v>
      </c>
    </row>
    <row r="6250" spans="1:40" x14ac:dyDescent="0.25">
      <c r="A6250" t="str">
        <f>"20190303171136639"</f>
        <v>20190303171136639</v>
      </c>
      <c r="B6250" t="str">
        <f>"1551604296626503"</f>
        <v>1551604296626503</v>
      </c>
      <c r="C6250" t="s">
        <v>40</v>
      </c>
      <c r="D6250">
        <v>4.6836599999999997</v>
      </c>
      <c r="E6250">
        <v>0.55080859999999998</v>
      </c>
      <c r="F6250" t="s">
        <v>84</v>
      </c>
      <c r="G6250">
        <v>-182.3809</v>
      </c>
      <c r="H6250" s="1">
        <v>-2.9408939999999999E-6</v>
      </c>
      <c r="I6250">
        <v>122.7565</v>
      </c>
      <c r="J6250">
        <v>-188.52029999999999</v>
      </c>
      <c r="K6250">
        <v>1.120147</v>
      </c>
      <c r="L6250">
        <v>87.458680000000001</v>
      </c>
      <c r="M6250">
        <v>-5.3289139999999997E-3</v>
      </c>
      <c r="N6250">
        <v>-1.2946829999999999E-2</v>
      </c>
      <c r="O6250">
        <v>0.99990199999999996</v>
      </c>
      <c r="P6250">
        <v>5.220561E-2</v>
      </c>
      <c r="Q6250">
        <v>0.1805476</v>
      </c>
      <c r="R6250">
        <v>0.98217980000000005</v>
      </c>
      <c r="S6250">
        <v>0.52299499999999999</v>
      </c>
      <c r="T6250">
        <v>-9.5463870000000006E-2</v>
      </c>
      <c r="U6250">
        <v>3.0439449999999999</v>
      </c>
      <c r="V6250">
        <v>5.7648570000000003E-2</v>
      </c>
      <c r="W6250">
        <v>0.19318270000000001</v>
      </c>
      <c r="X6250">
        <v>0.97946770000000005</v>
      </c>
      <c r="Y6250">
        <v>0.1745072</v>
      </c>
      <c r="Z6250">
        <v>-1.7930290000000002E-2</v>
      </c>
      <c r="AA6250">
        <v>0.98449260000000005</v>
      </c>
      <c r="AB6250">
        <v>47</v>
      </c>
      <c r="AC6250">
        <v>6.1393999999999904</v>
      </c>
      <c r="AD6250">
        <v>-1.1201499408939899</v>
      </c>
      <c r="AE6250">
        <v>35.297820000000002</v>
      </c>
      <c r="AF6250">
        <v>6.3212486573301199</v>
      </c>
      <c r="AG6250">
        <v>-1.1201499408939899</v>
      </c>
      <c r="AH6250">
        <v>35.230162466784797</v>
      </c>
      <c r="AI6250">
        <v>91.792510609776301</v>
      </c>
      <c r="AJ6250">
        <v>79.827819688216096</v>
      </c>
      <c r="AK6250">
        <v>35.810295557478099</v>
      </c>
      <c r="AL6250">
        <v>78.861417871100301</v>
      </c>
      <c r="AM6250">
        <v>86.631625922339595</v>
      </c>
      <c r="AN6250">
        <v>0.99999994427281003</v>
      </c>
    </row>
    <row r="6251" spans="1:40" x14ac:dyDescent="0.25">
      <c r="A6251" t="str">
        <f>"20190303171136662"</f>
        <v>20190303171136662</v>
      </c>
      <c r="B6251" t="str">
        <f>"1551604296656760"</f>
        <v>1551604296656760</v>
      </c>
      <c r="C6251" t="s">
        <v>40</v>
      </c>
      <c r="D6251">
        <v>4.6736820000000003</v>
      </c>
      <c r="E6251">
        <v>0.55146859999999998</v>
      </c>
      <c r="F6251" t="s">
        <v>84</v>
      </c>
      <c r="G6251">
        <v>-182.11279999999999</v>
      </c>
      <c r="H6251" s="1">
        <v>-3.7096579999999999E-6</v>
      </c>
      <c r="I6251">
        <v>124.3907</v>
      </c>
      <c r="J6251">
        <v>-188.5222</v>
      </c>
      <c r="K6251">
        <v>1.120009</v>
      </c>
      <c r="L6251">
        <v>87.939149999999998</v>
      </c>
      <c r="M6251">
        <v>-4.5925200000000001E-3</v>
      </c>
      <c r="N6251">
        <v>-1.2947709999999999E-2</v>
      </c>
      <c r="O6251">
        <v>0.99990559999999995</v>
      </c>
      <c r="P6251">
        <v>5.3545679999999998E-2</v>
      </c>
      <c r="Q6251">
        <v>0.1805513</v>
      </c>
      <c r="R6251">
        <v>0.98210699999999995</v>
      </c>
      <c r="S6251">
        <v>0.52799989999999997</v>
      </c>
      <c r="T6251">
        <v>-9.230447E-2</v>
      </c>
      <c r="U6251">
        <v>3.0433349999999999</v>
      </c>
      <c r="V6251">
        <v>5.8330229999999997E-2</v>
      </c>
      <c r="W6251">
        <v>0.1931659</v>
      </c>
      <c r="X6251">
        <v>0.97943069999999999</v>
      </c>
      <c r="Y6251">
        <v>0.17539099999999999</v>
      </c>
      <c r="Z6251">
        <v>-1.6908380000000001E-2</v>
      </c>
      <c r="AA6251">
        <v>0.9843537</v>
      </c>
      <c r="AB6251">
        <v>47</v>
      </c>
      <c r="AC6251">
        <v>6.4093999999999998</v>
      </c>
      <c r="AD6251">
        <v>-1.1200127096579999</v>
      </c>
      <c r="AE6251">
        <v>36.451549999999997</v>
      </c>
      <c r="AF6251">
        <v>6.5707335773074096</v>
      </c>
      <c r="AG6251">
        <v>-1.1200127096579999</v>
      </c>
      <c r="AH6251">
        <v>36.388404076138201</v>
      </c>
      <c r="AI6251">
        <v>91.734931866847404</v>
      </c>
      <c r="AJ6251">
        <v>79.764274607560395</v>
      </c>
      <c r="AK6251">
        <v>36.993849751304097</v>
      </c>
      <c r="AL6251">
        <v>78.862399416334</v>
      </c>
      <c r="AM6251">
        <v>86.591761796121006</v>
      </c>
      <c r="AN6251">
        <v>0.99999998837857595</v>
      </c>
    </row>
    <row r="6252" spans="1:40" x14ac:dyDescent="0.25">
      <c r="A6252" t="str">
        <f>"20190303171136684"</f>
        <v>20190303171136684</v>
      </c>
      <c r="B6252" t="str">
        <f>"1551604296677256"</f>
        <v>1551604296677256</v>
      </c>
      <c r="C6252" t="s">
        <v>40</v>
      </c>
      <c r="D6252">
        <v>4.6576219999999999</v>
      </c>
      <c r="E6252">
        <v>0.55166759999999904</v>
      </c>
      <c r="F6252" t="s">
        <v>84</v>
      </c>
      <c r="G6252">
        <v>-181.8742</v>
      </c>
      <c r="H6252" s="1">
        <v>-4.1102869999999997E-6</v>
      </c>
      <c r="I6252">
        <v>125.5548</v>
      </c>
      <c r="J6252">
        <v>-188.52369999999999</v>
      </c>
      <c r="K6252">
        <v>1.1198760000000001</v>
      </c>
      <c r="L6252">
        <v>88.399109999999993</v>
      </c>
      <c r="M6252">
        <v>-3.7496719999999999E-3</v>
      </c>
      <c r="N6252">
        <v>-1.294878E-2</v>
      </c>
      <c r="O6252">
        <v>0.9999091</v>
      </c>
      <c r="P6252">
        <v>5.4692099999999903E-2</v>
      </c>
      <c r="Q6252">
        <v>0.18119779999999999</v>
      </c>
      <c r="R6252">
        <v>0.98192469999999998</v>
      </c>
      <c r="S6252">
        <v>0.537628199999999</v>
      </c>
      <c r="T6252">
        <v>-9.0575929999999999E-2</v>
      </c>
      <c r="U6252">
        <v>3.041992</v>
      </c>
      <c r="V6252">
        <v>5.8714240000000001E-2</v>
      </c>
      <c r="W6252">
        <v>0.1937923</v>
      </c>
      <c r="X6252">
        <v>0.97928400000000004</v>
      </c>
      <c r="Y6252">
        <v>0.17765839999999999</v>
      </c>
      <c r="Z6252">
        <v>-1.634832E-2</v>
      </c>
      <c r="AA6252">
        <v>0.98395639999999995</v>
      </c>
      <c r="AB6252">
        <v>47</v>
      </c>
      <c r="AC6252">
        <v>6.6494999999999802</v>
      </c>
      <c r="AD6252">
        <v>-1.119880110287</v>
      </c>
      <c r="AE6252">
        <v>37.15569</v>
      </c>
      <c r="AF6252">
        <v>6.7828160774778397</v>
      </c>
      <c r="AG6252">
        <v>-1.119880110287</v>
      </c>
      <c r="AH6252">
        <v>37.097838221235897</v>
      </c>
      <c r="AI6252">
        <v>91.700895543883206</v>
      </c>
      <c r="AJ6252">
        <v>79.638719491610601</v>
      </c>
      <c r="AK6252">
        <v>37.7294358040416</v>
      </c>
      <c r="AL6252">
        <v>78.825818075897899</v>
      </c>
      <c r="AM6252">
        <v>86.568864796542897</v>
      </c>
      <c r="AN6252">
        <v>0.99999998508703303</v>
      </c>
    </row>
    <row r="6253" spans="1:40" x14ac:dyDescent="0.25">
      <c r="A6253" t="str">
        <f>"20190303171136708"</f>
        <v>20190303171136708</v>
      </c>
      <c r="B6253" t="str">
        <f>"1551604296696775"</f>
        <v>1551604296696775</v>
      </c>
      <c r="C6253" t="s">
        <v>40</v>
      </c>
      <c r="D6253">
        <v>4.650944</v>
      </c>
      <c r="E6253">
        <v>0.56008139999999995</v>
      </c>
      <c r="F6253" t="s">
        <v>84</v>
      </c>
      <c r="G6253">
        <v>-181.6189</v>
      </c>
      <c r="H6253" s="1">
        <v>-4.5389589999999996E-6</v>
      </c>
      <c r="I6253">
        <v>127.0684</v>
      </c>
      <c r="J6253">
        <v>-188.5248</v>
      </c>
      <c r="K6253">
        <v>1.1197269999999999</v>
      </c>
      <c r="L6253">
        <v>88.897219999999905</v>
      </c>
      <c r="M6253">
        <v>-2.6810559999999998E-3</v>
      </c>
      <c r="N6253">
        <v>-1.294999E-2</v>
      </c>
      <c r="O6253">
        <v>0.99991260000000004</v>
      </c>
      <c r="P6253">
        <v>5.5816890000000001E-2</v>
      </c>
      <c r="Q6253">
        <v>0.1824836</v>
      </c>
      <c r="R6253">
        <v>0.98162320000000003</v>
      </c>
      <c r="S6253">
        <v>0.543045</v>
      </c>
      <c r="T6253">
        <v>-8.8075399999999901E-2</v>
      </c>
      <c r="U6253">
        <v>3.041229</v>
      </c>
      <c r="V6253">
        <v>5.8864069999999998E-2</v>
      </c>
      <c r="W6253">
        <v>0.19505330000000001</v>
      </c>
      <c r="X6253">
        <v>0.97902460000000002</v>
      </c>
      <c r="Y6253">
        <v>0.17835090000000001</v>
      </c>
      <c r="Z6253">
        <v>-1.554088E-2</v>
      </c>
      <c r="AA6253">
        <v>0.98384419999999995</v>
      </c>
      <c r="AB6253">
        <v>47</v>
      </c>
      <c r="AC6253">
        <v>6.9058999999999999</v>
      </c>
      <c r="AD6253">
        <v>-1.1197315389589999</v>
      </c>
      <c r="AE6253">
        <v>38.17118</v>
      </c>
      <c r="AF6253">
        <v>7.00238816769747</v>
      </c>
      <c r="AG6253">
        <v>-1.1197315389589999</v>
      </c>
      <c r="AH6253">
        <v>38.1207624605387</v>
      </c>
      <c r="AI6253">
        <v>91.654809972505305</v>
      </c>
      <c r="AJ6253">
        <v>79.5913938221656</v>
      </c>
      <c r="AK6253">
        <v>38.774731067323501</v>
      </c>
      <c r="AL6253">
        <v>78.752162389298704</v>
      </c>
      <c r="AM6253">
        <v>86.559220817958803</v>
      </c>
      <c r="AN6253">
        <v>0.99999996799150603</v>
      </c>
    </row>
    <row r="6254" spans="1:40" x14ac:dyDescent="0.25">
      <c r="A6254" t="str">
        <f>"20190303171136730"</f>
        <v>20190303171136730</v>
      </c>
      <c r="B6254" t="str">
        <f>"1551604296717271"</f>
        <v>1551604296717271</v>
      </c>
      <c r="C6254" t="s">
        <v>40</v>
      </c>
      <c r="D6254">
        <v>4.6406349999999996</v>
      </c>
      <c r="E6254">
        <v>0.55991579999999996</v>
      </c>
      <c r="F6254" t="s">
        <v>84</v>
      </c>
      <c r="G6254">
        <v>-178.03960000000001</v>
      </c>
      <c r="H6254" s="1">
        <v>-8.0580940000000002E-6</v>
      </c>
      <c r="I6254">
        <v>140.61590000000001</v>
      </c>
      <c r="J6254">
        <v>-188.52520000000001</v>
      </c>
      <c r="K6254">
        <v>1.1195710000000001</v>
      </c>
      <c r="L6254">
        <v>89.378910000000005</v>
      </c>
      <c r="M6254">
        <v>-1.491614E-3</v>
      </c>
      <c r="N6254">
        <v>-1.2951000000000001E-2</v>
      </c>
      <c r="O6254">
        <v>0.999915</v>
      </c>
      <c r="P6254">
        <v>5.7317050000000001E-2</v>
      </c>
      <c r="Q6254">
        <v>0.18297869999999999</v>
      </c>
      <c r="R6254">
        <v>0.98144469999999995</v>
      </c>
      <c r="S6254">
        <v>0.61497500000000005</v>
      </c>
      <c r="T6254">
        <v>-6.5674300000000005E-2</v>
      </c>
      <c r="U6254">
        <v>3.0333860000000001</v>
      </c>
      <c r="V6254">
        <v>5.9270740000000002E-2</v>
      </c>
      <c r="W6254">
        <v>0.19552520000000001</v>
      </c>
      <c r="X6254">
        <v>0.97890600000000005</v>
      </c>
      <c r="Y6254">
        <v>0.20010439999999999</v>
      </c>
      <c r="Z6254">
        <v>-8.2590919999999905E-3</v>
      </c>
      <c r="AA6254">
        <v>0.97973980000000005</v>
      </c>
      <c r="AB6254">
        <v>47</v>
      </c>
      <c r="AC6254">
        <v>10.4856</v>
      </c>
      <c r="AD6254">
        <v>-1.1195790580939999</v>
      </c>
      <c r="AE6254">
        <v>51.236989999999999</v>
      </c>
      <c r="AF6254">
        <v>10.5571824867343</v>
      </c>
      <c r="AG6254">
        <v>-1.1195790580939999</v>
      </c>
      <c r="AH6254">
        <v>51.197828638049501</v>
      </c>
      <c r="AI6254">
        <v>91.226922907205804</v>
      </c>
      <c r="AJ6254">
        <v>78.348703141608894</v>
      </c>
      <c r="AK6254">
        <v>52.286950729380003</v>
      </c>
      <c r="AL6254">
        <v>78.724594523491902</v>
      </c>
      <c r="AM6254">
        <v>86.535088733538103</v>
      </c>
      <c r="AN6254">
        <v>1.00000004064559</v>
      </c>
    </row>
    <row r="6255" spans="1:40" x14ac:dyDescent="0.25">
      <c r="A6255" t="str">
        <f>"20190303171136749"</f>
        <v>20190303171136749</v>
      </c>
      <c r="B6255" t="str">
        <f>"1551604296736793"</f>
        <v>1551604296736793</v>
      </c>
      <c r="C6255" t="s">
        <v>40</v>
      </c>
      <c r="D6255">
        <v>4.6571790000000002</v>
      </c>
      <c r="E6255">
        <v>0.55999180000000004</v>
      </c>
      <c r="F6255" t="s">
        <v>84</v>
      </c>
      <c r="G6255">
        <v>-178.35939999999999</v>
      </c>
      <c r="H6255" s="1">
        <v>-7.8092880000000004E-6</v>
      </c>
      <c r="I6255">
        <v>139.2603</v>
      </c>
      <c r="J6255">
        <v>-188.52500000000001</v>
      </c>
      <c r="K6255">
        <v>1.119435</v>
      </c>
      <c r="L6255">
        <v>89.777590000000004</v>
      </c>
      <c r="M6255">
        <v>-3.822354E-4</v>
      </c>
      <c r="N6255">
        <v>-1.295199E-2</v>
      </c>
      <c r="O6255">
        <v>0.99991600000000003</v>
      </c>
      <c r="P6255">
        <v>5.8923620000000003E-2</v>
      </c>
      <c r="Q6255">
        <v>0.18286169999999999</v>
      </c>
      <c r="R6255">
        <v>0.98137129999999995</v>
      </c>
      <c r="S6255">
        <v>0.61817929999999999</v>
      </c>
      <c r="T6255">
        <v>-6.8081740000000002E-2</v>
      </c>
      <c r="U6255">
        <v>3.0332949999999999</v>
      </c>
      <c r="V6255">
        <v>5.9851769999999999E-2</v>
      </c>
      <c r="W6255">
        <v>0.19538820000000001</v>
      </c>
      <c r="X6255">
        <v>0.97889800000000005</v>
      </c>
      <c r="Y6255">
        <v>0.20001479999999999</v>
      </c>
      <c r="Z6255">
        <v>-9.0354479999999997E-3</v>
      </c>
      <c r="AA6255">
        <v>0.97975120000000004</v>
      </c>
      <c r="AB6255">
        <v>47</v>
      </c>
      <c r="AC6255">
        <v>10.1656</v>
      </c>
      <c r="AD6255">
        <v>-1.119442809288</v>
      </c>
      <c r="AE6255">
        <v>49.482709999999997</v>
      </c>
      <c r="AF6255">
        <v>10.1795160274488</v>
      </c>
      <c r="AG6255">
        <v>-1.119442809288</v>
      </c>
      <c r="AH6255">
        <v>49.454534739444703</v>
      </c>
      <c r="AI6255">
        <v>91.270096329421605</v>
      </c>
      <c r="AJ6255">
        <v>78.368922286611493</v>
      </c>
      <c r="AK6255">
        <v>50.503729615260099</v>
      </c>
      <c r="AL6255">
        <v>78.732598399707996</v>
      </c>
      <c r="AM6255">
        <v>86.5011777174402</v>
      </c>
      <c r="AN6255">
        <v>1.00000003873768</v>
      </c>
    </row>
    <row r="6256" spans="1:40" x14ac:dyDescent="0.25">
      <c r="A6256" t="str">
        <f>"20190303171136771"</f>
        <v>20190303171136771</v>
      </c>
      <c r="B6256" t="str">
        <f>"1551604296767048"</f>
        <v>1551604296767048</v>
      </c>
      <c r="C6256" t="s">
        <v>40</v>
      </c>
      <c r="D6256">
        <v>4.6421700000000001</v>
      </c>
      <c r="E6256">
        <v>0.56042740000000002</v>
      </c>
      <c r="F6256" t="s">
        <v>84</v>
      </c>
      <c r="G6256">
        <v>-178.46549999999999</v>
      </c>
      <c r="H6256" s="1">
        <v>-7.6868760000000002E-6</v>
      </c>
      <c r="I6256">
        <v>138.72139999999999</v>
      </c>
      <c r="J6256">
        <v>-188.52420000000001</v>
      </c>
      <c r="K6256">
        <v>1.1192679999999999</v>
      </c>
      <c r="L6256">
        <v>90.242130000000003</v>
      </c>
      <c r="M6256">
        <v>1.0469170000000001E-3</v>
      </c>
      <c r="N6256">
        <v>-1.295351E-2</v>
      </c>
      <c r="O6256">
        <v>0.99991549999999996</v>
      </c>
      <c r="P6256">
        <v>6.0538839999999997E-2</v>
      </c>
      <c r="Q6256">
        <v>0.18279419999999999</v>
      </c>
      <c r="R6256">
        <v>0.98128559999999998</v>
      </c>
      <c r="S6256">
        <v>0.6232605</v>
      </c>
      <c r="T6256">
        <v>-6.9357989999999994E-2</v>
      </c>
      <c r="U6256">
        <v>3.0324399999999998</v>
      </c>
      <c r="V6256">
        <v>6.0141979999999998E-2</v>
      </c>
      <c r="W6256">
        <v>0.1952979</v>
      </c>
      <c r="X6256">
        <v>0.97889820000000005</v>
      </c>
      <c r="Y6256">
        <v>0.2002427</v>
      </c>
      <c r="Z6256">
        <v>-9.4497590000000003E-3</v>
      </c>
      <c r="AA6256">
        <v>0.97970069999999998</v>
      </c>
      <c r="AB6256">
        <v>47</v>
      </c>
      <c r="AC6256">
        <v>10.0587</v>
      </c>
      <c r="AD6256">
        <v>-1.1192756868760001</v>
      </c>
      <c r="AE6256">
        <v>48.4792699999999</v>
      </c>
      <c r="AF6256">
        <v>10.002824586088</v>
      </c>
      <c r="AG6256">
        <v>-1.1192756868760001</v>
      </c>
      <c r="AH6256">
        <v>48.465007262525198</v>
      </c>
      <c r="AI6256">
        <v>91.295683552724995</v>
      </c>
      <c r="AJ6256">
        <v>78.338316140556401</v>
      </c>
      <c r="AK6256">
        <v>49.499153595994997</v>
      </c>
      <c r="AL6256">
        <v>78.7378734747181</v>
      </c>
      <c r="AM6256">
        <v>86.484255751910098</v>
      </c>
      <c r="AN6256">
        <v>1.00000000673298</v>
      </c>
    </row>
    <row r="6257" spans="1:40" x14ac:dyDescent="0.25">
      <c r="A6257" t="str">
        <f>"20190303171136794"</f>
        <v>20190303171136794</v>
      </c>
      <c r="B6257" t="str">
        <f>"1551604296786568"</f>
        <v>1551604296786568</v>
      </c>
      <c r="C6257" t="s">
        <v>40</v>
      </c>
      <c r="D6257">
        <v>4.6558840000000004</v>
      </c>
      <c r="E6257">
        <v>0.56079259999999997</v>
      </c>
      <c r="F6257" t="s">
        <v>84</v>
      </c>
      <c r="G6257">
        <v>-178.38310000000001</v>
      </c>
      <c r="H6257" s="1">
        <v>-7.6883829999999993E-6</v>
      </c>
      <c r="I6257">
        <v>138.8723</v>
      </c>
      <c r="J6257">
        <v>-188.52250000000001</v>
      </c>
      <c r="K6257">
        <v>1.1190960000000001</v>
      </c>
      <c r="L6257">
        <v>90.716610000000003</v>
      </c>
      <c r="M6257">
        <v>2.6520929999999999E-3</v>
      </c>
      <c r="N6257">
        <v>-1.295544E-2</v>
      </c>
      <c r="O6257">
        <v>0.99991260000000004</v>
      </c>
      <c r="P6257">
        <v>6.2317369999999997E-2</v>
      </c>
      <c r="Q6257">
        <v>0.18227570000000001</v>
      </c>
      <c r="R6257">
        <v>0.98127070000000005</v>
      </c>
      <c r="S6257">
        <v>0.63211059999999997</v>
      </c>
      <c r="T6257">
        <v>-6.9766759999999997E-2</v>
      </c>
      <c r="U6257">
        <v>3.0312190000000001</v>
      </c>
      <c r="V6257">
        <v>6.0424659999999998E-2</v>
      </c>
      <c r="W6257">
        <v>0.19475680000000001</v>
      </c>
      <c r="X6257">
        <v>0.97898859999999999</v>
      </c>
      <c r="Y6257">
        <v>0.20148959999999999</v>
      </c>
      <c r="Z6257">
        <v>-9.5812540000000009E-3</v>
      </c>
      <c r="AA6257">
        <v>0.97944379999999998</v>
      </c>
      <c r="AB6257">
        <v>47</v>
      </c>
      <c r="AC6257">
        <v>10.139399999999901</v>
      </c>
      <c r="AD6257">
        <v>-1.1191036883829999</v>
      </c>
      <c r="AE6257">
        <v>48.1556899999999</v>
      </c>
      <c r="AF6257">
        <v>10.006465531252299</v>
      </c>
      <c r="AG6257">
        <v>-1.1191036883829999</v>
      </c>
      <c r="AH6257">
        <v>48.157509433296397</v>
      </c>
      <c r="AI6257">
        <v>91.303393079277001</v>
      </c>
      <c r="AJ6257">
        <v>78.261759172628501</v>
      </c>
      <c r="AK6257">
        <v>49.198856290685498</v>
      </c>
      <c r="AL6257">
        <v>78.769483289162693</v>
      </c>
      <c r="AM6257">
        <v>86.468098092755596</v>
      </c>
      <c r="AN6257">
        <v>1.0000000148061501</v>
      </c>
    </row>
    <row r="6258" spans="1:40" x14ac:dyDescent="0.25">
      <c r="A6258" t="str">
        <f>"20190303171136823"</f>
        <v>20190303171136823</v>
      </c>
      <c r="B6258" t="str">
        <f>"1551604296816357"</f>
        <v>1551604296816357</v>
      </c>
      <c r="C6258" t="s">
        <v>40</v>
      </c>
      <c r="D6258">
        <v>4.6705480000000001</v>
      </c>
      <c r="E6258">
        <v>0.56114540000000002</v>
      </c>
      <c r="F6258" t="s">
        <v>84</v>
      </c>
      <c r="G6258">
        <v>-178.4939</v>
      </c>
      <c r="H6258" s="1">
        <v>-7.4954530000000002E-6</v>
      </c>
      <c r="I6258">
        <v>138.1234</v>
      </c>
      <c r="J6258">
        <v>-188.51929999999999</v>
      </c>
      <c r="K6258">
        <v>1.1188830000000001</v>
      </c>
      <c r="L6258">
        <v>91.292330000000007</v>
      </c>
      <c r="M6258">
        <v>4.7937509999999997E-3</v>
      </c>
      <c r="N6258">
        <v>-1.2957990000000001E-2</v>
      </c>
      <c r="O6258">
        <v>0.99990460000000003</v>
      </c>
      <c r="P6258">
        <v>6.471441E-2</v>
      </c>
      <c r="Q6258">
        <v>0.1824663</v>
      </c>
      <c r="R6258">
        <v>0.98108010000000001</v>
      </c>
      <c r="S6258">
        <v>0.6409454</v>
      </c>
      <c r="T6258">
        <v>-7.1523790000000004E-2</v>
      </c>
      <c r="U6258">
        <v>3.029846</v>
      </c>
      <c r="V6258">
        <v>6.0817709999999997E-2</v>
      </c>
      <c r="W6258">
        <v>0.1949176</v>
      </c>
      <c r="X6258">
        <v>0.97893229999999998</v>
      </c>
      <c r="Y6258">
        <v>0.20221359999999999</v>
      </c>
      <c r="Z6258">
        <v>-1.0150289999999999E-2</v>
      </c>
      <c r="AA6258">
        <v>0.97928879999999996</v>
      </c>
      <c r="AB6258">
        <v>47</v>
      </c>
      <c r="AC6258">
        <v>10.0253999999999</v>
      </c>
      <c r="AD6258">
        <v>-1.1188904954529999</v>
      </c>
      <c r="AE6258">
        <v>46.831069999999997</v>
      </c>
      <c r="AF6258">
        <v>9.7954229582808505</v>
      </c>
      <c r="AG6258">
        <v>-1.1188904954529999</v>
      </c>
      <c r="AH6258">
        <v>46.853021974568797</v>
      </c>
      <c r="AI6258">
        <v>91.339071621638197</v>
      </c>
      <c r="AJ6258">
        <v>78.191426964639902</v>
      </c>
      <c r="AK6258">
        <v>47.879096639575998</v>
      </c>
      <c r="AL6258">
        <v>78.760090585919002</v>
      </c>
      <c r="AM6258">
        <v>86.444978600043996</v>
      </c>
      <c r="AN6258">
        <v>1.00000005631134</v>
      </c>
    </row>
    <row r="6259" spans="1:40" x14ac:dyDescent="0.25">
      <c r="A6259" t="str">
        <f>"20190303171136839"</f>
        <v>20190303171136839</v>
      </c>
      <c r="B6259" t="str">
        <f>"1551604296827092"</f>
        <v>1551604296827092</v>
      </c>
      <c r="C6259" t="s">
        <v>40</v>
      </c>
      <c r="D6259">
        <v>4.7001480000000004</v>
      </c>
      <c r="E6259">
        <v>0.56376110000000001</v>
      </c>
      <c r="F6259" t="s">
        <v>84</v>
      </c>
      <c r="G6259">
        <v>-178.3125</v>
      </c>
      <c r="H6259" s="1">
        <v>-7.595357E-6</v>
      </c>
      <c r="I6259">
        <v>138.732</v>
      </c>
      <c r="J6259">
        <v>-188.51669999999999</v>
      </c>
      <c r="K6259">
        <v>1.118765</v>
      </c>
      <c r="L6259">
        <v>91.650480000000002</v>
      </c>
      <c r="M6259">
        <v>6.2080269999999996E-3</v>
      </c>
      <c r="N6259">
        <v>-1.295956E-2</v>
      </c>
      <c r="O6259">
        <v>0.99989680000000003</v>
      </c>
      <c r="P6259">
        <v>6.7028729999999995E-2</v>
      </c>
      <c r="Q6259">
        <v>0.18254490000000001</v>
      </c>
      <c r="R6259">
        <v>0.98091010000000001</v>
      </c>
      <c r="S6259">
        <v>0.65151979999999998</v>
      </c>
      <c r="T6259">
        <v>-7.1421029999999996E-2</v>
      </c>
      <c r="U6259">
        <v>3.028168</v>
      </c>
      <c r="V6259">
        <v>6.1802530000000001E-2</v>
      </c>
      <c r="W6259">
        <v>0.1949748</v>
      </c>
      <c r="X6259">
        <v>0.97885919999999904</v>
      </c>
      <c r="Y6259">
        <v>0.20420820000000001</v>
      </c>
      <c r="Z6259">
        <v>-1.0116699999999999E-2</v>
      </c>
      <c r="AA6259">
        <v>0.97887519999999995</v>
      </c>
      <c r="AB6259">
        <v>47</v>
      </c>
      <c r="AC6259">
        <v>10.204199999999901</v>
      </c>
      <c r="AD6259">
        <v>-1.118772595357</v>
      </c>
      <c r="AE6259">
        <v>47.081519999999998</v>
      </c>
      <c r="AF6259">
        <v>9.9063527541577603</v>
      </c>
      <c r="AG6259">
        <v>-1.118772595357</v>
      </c>
      <c r="AH6259">
        <v>47.118553858214902</v>
      </c>
      <c r="AI6259">
        <v>91.331073573575694</v>
      </c>
      <c r="AJ6259">
        <v>78.126878994687601</v>
      </c>
      <c r="AK6259">
        <v>48.161661045892401</v>
      </c>
      <c r="AL6259">
        <v>78.756748852025893</v>
      </c>
      <c r="AM6259">
        <v>86.387294376070798</v>
      </c>
      <c r="AN6259">
        <v>1.0000000293870399</v>
      </c>
    </row>
    <row r="6260" spans="1:40" x14ac:dyDescent="0.25">
      <c r="A6260" t="str">
        <f>"20190303171136861"</f>
        <v>20190303171136861</v>
      </c>
      <c r="B6260" t="str">
        <f>"1551604296846612"</f>
        <v>1551604296846612</v>
      </c>
      <c r="C6260" t="s">
        <v>40</v>
      </c>
      <c r="D6260">
        <v>4.6899499999999996</v>
      </c>
      <c r="E6260">
        <v>0.56358719999999995</v>
      </c>
      <c r="F6260" t="s">
        <v>84</v>
      </c>
      <c r="G6260">
        <v>-178.94309999999999</v>
      </c>
      <c r="H6260" s="1">
        <v>-6.4544679999999997E-6</v>
      </c>
      <c r="I6260">
        <v>134.3468</v>
      </c>
      <c r="J6260">
        <v>-188.5128</v>
      </c>
      <c r="K6260">
        <v>1.118635</v>
      </c>
      <c r="L6260">
        <v>92.088750000000005</v>
      </c>
      <c r="M6260">
        <v>8.020358E-3</v>
      </c>
      <c r="N6260">
        <v>-1.296191E-2</v>
      </c>
      <c r="O6260">
        <v>0.99988379999999999</v>
      </c>
      <c r="P6260">
        <v>7.0185049999999999E-2</v>
      </c>
      <c r="Q6260">
        <v>0.18258769999999999</v>
      </c>
      <c r="R6260">
        <v>0.98068129999999998</v>
      </c>
      <c r="S6260">
        <v>0.67868039999999996</v>
      </c>
      <c r="T6260">
        <v>-7.93103E-2</v>
      </c>
      <c r="U6260">
        <v>3.026764</v>
      </c>
      <c r="V6260">
        <v>6.3245910000000002E-2</v>
      </c>
      <c r="W6260">
        <v>0.19499159999999999</v>
      </c>
      <c r="X6260">
        <v>0.97876359999999996</v>
      </c>
      <c r="Y6260">
        <v>0.21089050000000001</v>
      </c>
      <c r="Z6260">
        <v>-1.2632610000000001E-2</v>
      </c>
      <c r="AA6260">
        <v>0.97742810000000002</v>
      </c>
      <c r="AB6260">
        <v>47</v>
      </c>
      <c r="AC6260">
        <v>9.5697000000000099</v>
      </c>
      <c r="AD6260">
        <v>-1.1186414544679999</v>
      </c>
      <c r="AE6260">
        <v>42.258049999999997</v>
      </c>
      <c r="AF6260">
        <v>9.2242903825177898</v>
      </c>
      <c r="AG6260">
        <v>-1.1186414544679999</v>
      </c>
      <c r="AH6260">
        <v>42.3052502361232</v>
      </c>
      <c r="AI6260">
        <v>91.479915627885703</v>
      </c>
      <c r="AJ6260">
        <v>77.699671441382193</v>
      </c>
      <c r="AK6260">
        <v>43.313659384836903</v>
      </c>
      <c r="AL6260">
        <v>78.755766849057196</v>
      </c>
      <c r="AM6260">
        <v>86.3027919263006</v>
      </c>
      <c r="AN6260">
        <v>0.99999997694362297</v>
      </c>
    </row>
    <row r="6261" spans="1:40" x14ac:dyDescent="0.25">
      <c r="A6261" t="str">
        <f>"20190303171136883"</f>
        <v>20190303171136883</v>
      </c>
      <c r="B6261" t="str">
        <f>"1551604296876868"</f>
        <v>1551604296876868</v>
      </c>
      <c r="C6261" t="s">
        <v>40</v>
      </c>
      <c r="D6261">
        <v>4.6800800000000002</v>
      </c>
      <c r="E6261">
        <v>0.56399659999999996</v>
      </c>
      <c r="F6261" t="s">
        <v>84</v>
      </c>
      <c r="G6261">
        <v>-178.8477</v>
      </c>
      <c r="H6261" s="1">
        <v>-6.5175309999999997E-6</v>
      </c>
      <c r="I6261">
        <v>134.6968</v>
      </c>
      <c r="J6261">
        <v>-188.50739999999999</v>
      </c>
      <c r="K6261">
        <v>1.1185020000000001</v>
      </c>
      <c r="L6261">
        <v>92.569550000000007</v>
      </c>
      <c r="M6261">
        <v>1.008741E-2</v>
      </c>
      <c r="N6261">
        <v>-1.2968469999999999E-2</v>
      </c>
      <c r="O6261">
        <v>0.999865</v>
      </c>
      <c r="P6261">
        <v>7.2806889999999999E-2</v>
      </c>
      <c r="Q6261">
        <v>0.18136340000000001</v>
      </c>
      <c r="R6261">
        <v>0.98071730000000001</v>
      </c>
      <c r="S6261">
        <v>0.68612669999999998</v>
      </c>
      <c r="T6261">
        <v>-7.941318E-2</v>
      </c>
      <c r="U6261">
        <v>3.0247799999999998</v>
      </c>
      <c r="V6261">
        <v>6.3894480000000003E-2</v>
      </c>
      <c r="W6261">
        <v>0.19375339999999999</v>
      </c>
      <c r="X6261">
        <v>0.97896740000000004</v>
      </c>
      <c r="Y6261">
        <v>0.21129580000000001</v>
      </c>
      <c r="Z6261">
        <v>-1.2670020000000001E-2</v>
      </c>
      <c r="AA6261">
        <v>0.97733999999999999</v>
      </c>
      <c r="AB6261">
        <v>47</v>
      </c>
      <c r="AC6261">
        <v>9.6596999999999795</v>
      </c>
      <c r="AD6261">
        <v>-1.1185085175309999</v>
      </c>
      <c r="AE6261">
        <v>42.127249999999897</v>
      </c>
      <c r="AF6261">
        <v>9.2280375757409097</v>
      </c>
      <c r="AG6261">
        <v>-1.1185085175309999</v>
      </c>
      <c r="AH6261">
        <v>42.194297101788401</v>
      </c>
      <c r="AI6261">
        <v>91.483424528300603</v>
      </c>
      <c r="AJ6261">
        <v>77.663459066181701</v>
      </c>
      <c r="AK6261">
        <v>43.206092703657703</v>
      </c>
      <c r="AL6261">
        <v>78.828090420817702</v>
      </c>
      <c r="AM6261">
        <v>86.265760166702705</v>
      </c>
      <c r="AN6261">
        <v>1.0000000274243901</v>
      </c>
    </row>
    <row r="6262" spans="1:40" x14ac:dyDescent="0.25">
      <c r="A6262" t="str">
        <f>"20190303171136908"</f>
        <v>20190303171136908</v>
      </c>
      <c r="B6262" t="str">
        <f>"1551604296896388"</f>
        <v>1551604296896388</v>
      </c>
      <c r="C6262" t="s">
        <v>40</v>
      </c>
      <c r="D6262">
        <v>4.6835709999999997</v>
      </c>
      <c r="E6262">
        <v>0.56425119999999995</v>
      </c>
      <c r="F6262" t="s">
        <v>84</v>
      </c>
      <c r="G6262">
        <v>-178.929</v>
      </c>
      <c r="H6262" s="1">
        <v>-6.3525819999999999E-6</v>
      </c>
      <c r="I6262">
        <v>134.0804</v>
      </c>
      <c r="J6262">
        <v>-188.5008</v>
      </c>
      <c r="K6262">
        <v>1.1183780000000001</v>
      </c>
      <c r="L6262">
        <v>93.071899999999999</v>
      </c>
      <c r="M6262">
        <v>1.231236E-2</v>
      </c>
      <c r="N6262">
        <v>-1.2977610000000001E-2</v>
      </c>
      <c r="O6262">
        <v>0.99983999999999995</v>
      </c>
      <c r="P6262">
        <v>7.5253730000000005E-2</v>
      </c>
      <c r="Q6262">
        <v>0.18005450000000001</v>
      </c>
      <c r="R6262">
        <v>0.98077380000000003</v>
      </c>
      <c r="S6262">
        <v>0.6973724</v>
      </c>
      <c r="T6262">
        <v>-8.1435199999999999E-2</v>
      </c>
      <c r="U6262">
        <v>3.022278</v>
      </c>
      <c r="V6262">
        <v>6.4204880000000006E-2</v>
      </c>
      <c r="W6262">
        <v>0.19243689999999999</v>
      </c>
      <c r="X6262">
        <v>0.97920669999999999</v>
      </c>
      <c r="Y6262">
        <v>0.21274760000000001</v>
      </c>
      <c r="Z6262">
        <v>-1.332178E-2</v>
      </c>
      <c r="AA6262">
        <v>0.97701640000000001</v>
      </c>
      <c r="AB6262">
        <v>47</v>
      </c>
      <c r="AC6262">
        <v>9.5717999999999908</v>
      </c>
      <c r="AD6262">
        <v>-1.1183843525820001</v>
      </c>
      <c r="AE6262">
        <v>41.008499999999998</v>
      </c>
      <c r="AF6262">
        <v>9.0597302545347098</v>
      </c>
      <c r="AG6262">
        <v>-1.1183843525820001</v>
      </c>
      <c r="AH6262">
        <v>41.094267145981199</v>
      </c>
      <c r="AI6262">
        <v>91.5223853315984</v>
      </c>
      <c r="AJ6262">
        <v>77.567327418704096</v>
      </c>
      <c r="AK6262">
        <v>42.095941468392198</v>
      </c>
      <c r="AL6262">
        <v>78.904966762542202</v>
      </c>
      <c r="AM6262">
        <v>86.248585276549093</v>
      </c>
      <c r="AN6262">
        <v>0.99999999421115704</v>
      </c>
    </row>
    <row r="6263" spans="1:40" x14ac:dyDescent="0.25">
      <c r="A6263" t="str">
        <f>"20190303171136930"</f>
        <v>20190303171136930</v>
      </c>
      <c r="B6263" t="str">
        <f>"1551604296916883"</f>
        <v>1551604296916883</v>
      </c>
      <c r="C6263" t="s">
        <v>40</v>
      </c>
      <c r="D6263">
        <v>4.7049300000000001</v>
      </c>
      <c r="E6263">
        <v>0.56435409999999997</v>
      </c>
      <c r="F6263" t="s">
        <v>84</v>
      </c>
      <c r="G6263">
        <v>-179.28370000000001</v>
      </c>
      <c r="H6263" s="1">
        <v>-5.9878789999999999E-6</v>
      </c>
      <c r="I6263">
        <v>132.40610000000001</v>
      </c>
      <c r="J6263">
        <v>-188.49350000000001</v>
      </c>
      <c r="K6263">
        <v>1.118276</v>
      </c>
      <c r="L6263">
        <v>93.549379999999999</v>
      </c>
      <c r="M6263">
        <v>1.4470240000000001E-2</v>
      </c>
      <c r="N6263">
        <v>-1.2986009999999999E-2</v>
      </c>
      <c r="O6263">
        <v>0.99981100000000001</v>
      </c>
      <c r="P6263">
        <v>7.7637410000000004E-2</v>
      </c>
      <c r="Q6263">
        <v>0.18015</v>
      </c>
      <c r="R6263">
        <v>0.98057039999999995</v>
      </c>
      <c r="S6263">
        <v>0.70773319999999995</v>
      </c>
      <c r="T6263">
        <v>-8.5874800000000001E-2</v>
      </c>
      <c r="U6263">
        <v>3.0202640000000001</v>
      </c>
      <c r="V6263">
        <v>6.4517770000000002E-2</v>
      </c>
      <c r="W6263">
        <v>0.1925239</v>
      </c>
      <c r="X6263">
        <v>0.97916899999999996</v>
      </c>
      <c r="Y6263">
        <v>0.21395400000000001</v>
      </c>
      <c r="Z6263">
        <v>-1.47513E-2</v>
      </c>
      <c r="AA6263">
        <v>0.97673239999999995</v>
      </c>
      <c r="AB6263">
        <v>47</v>
      </c>
      <c r="AC6263">
        <v>9.2097999999999995</v>
      </c>
      <c r="AD6263">
        <v>-1.118281987879</v>
      </c>
      <c r="AE6263">
        <v>38.856720000000003</v>
      </c>
      <c r="AF6263">
        <v>8.6397467262885108</v>
      </c>
      <c r="AG6263">
        <v>-1.118281987879</v>
      </c>
      <c r="AH6263">
        <v>38.955381034197501</v>
      </c>
      <c r="AI6263">
        <v>91.6053361896072</v>
      </c>
      <c r="AJ6263">
        <v>77.4950280059428</v>
      </c>
      <c r="AK6263">
        <v>39.917633817879803</v>
      </c>
      <c r="AL6263">
        <v>78.8998866881889</v>
      </c>
      <c r="AM6263">
        <v>86.230211350228501</v>
      </c>
      <c r="AN6263">
        <v>0.99999996263899005</v>
      </c>
    </row>
    <row r="6264" spans="1:40" x14ac:dyDescent="0.25">
      <c r="A6264" t="str">
        <f>"20190303171136951"</f>
        <v>20190303171136951</v>
      </c>
      <c r="B6264" t="str">
        <f>"1551604296936404"</f>
        <v>1551604296936404</v>
      </c>
      <c r="C6264" t="s">
        <v>40</v>
      </c>
      <c r="D6264">
        <v>4.8359759999999996</v>
      </c>
      <c r="E6264">
        <v>0.53177229999999998</v>
      </c>
      <c r="F6264" t="s">
        <v>84</v>
      </c>
      <c r="G6264">
        <v>-179.25139999999999</v>
      </c>
      <c r="H6264" s="1">
        <v>-6.0052459999999997E-6</v>
      </c>
      <c r="I6264">
        <v>132.51329999999999</v>
      </c>
      <c r="J6264">
        <v>-188.48609999999999</v>
      </c>
      <c r="K6264">
        <v>1.118204</v>
      </c>
      <c r="L6264">
        <v>93.972080000000005</v>
      </c>
      <c r="M6264">
        <v>1.640341E-2</v>
      </c>
      <c r="N6264">
        <v>-1.2995349999999999E-2</v>
      </c>
      <c r="O6264">
        <v>0.99978100000000003</v>
      </c>
      <c r="P6264">
        <v>7.9763050000000002E-2</v>
      </c>
      <c r="Q6264">
        <v>0.17988319999999999</v>
      </c>
      <c r="R6264">
        <v>0.98044880000000001</v>
      </c>
      <c r="S6264">
        <v>0.71601870000000001</v>
      </c>
      <c r="T6264">
        <v>-8.663738E-2</v>
      </c>
      <c r="U6264">
        <v>3.0186769999999998</v>
      </c>
      <c r="V6264">
        <v>6.4779429999999999E-2</v>
      </c>
      <c r="W6264">
        <v>0.19225390000000001</v>
      </c>
      <c r="X6264">
        <v>0.97920479999999999</v>
      </c>
      <c r="Y6264">
        <v>0.2147174</v>
      </c>
      <c r="Z6264">
        <v>-1.499312E-2</v>
      </c>
      <c r="AA6264">
        <v>0.97656109999999896</v>
      </c>
      <c r="AB6264">
        <v>47</v>
      </c>
      <c r="AC6264">
        <v>9.2347000000000001</v>
      </c>
      <c r="AD6264">
        <v>-1.118210005246</v>
      </c>
      <c r="AE6264">
        <v>38.541219999999903</v>
      </c>
      <c r="AF6264">
        <v>8.5943547634147208</v>
      </c>
      <c r="AG6264">
        <v>-1.118210005246</v>
      </c>
      <c r="AH6264">
        <v>38.6567534227678</v>
      </c>
      <c r="AI6264">
        <v>91.617442511224695</v>
      </c>
      <c r="AJ6264">
        <v>77.465592012899506</v>
      </c>
      <c r="AK6264">
        <v>39.616384395902799</v>
      </c>
      <c r="AL6264">
        <v>78.915651337119002</v>
      </c>
      <c r="AM6264">
        <v>86.215104826999493</v>
      </c>
      <c r="AN6264">
        <v>0.99999998847968696</v>
      </c>
    </row>
    <row r="6265" spans="1:40" x14ac:dyDescent="0.25">
      <c r="A6265" t="str">
        <f>"20190303171136972"</f>
        <v>20190303171136972</v>
      </c>
      <c r="B6265" t="str">
        <f>"1551604296966660"</f>
        <v>1551604296966660</v>
      </c>
      <c r="C6265" t="s">
        <v>40</v>
      </c>
      <c r="D6265">
        <v>4.8897349999999999</v>
      </c>
      <c r="E6265">
        <v>0.51945479999999999</v>
      </c>
      <c r="F6265" t="s">
        <v>84</v>
      </c>
      <c r="G6265">
        <v>-181.9597</v>
      </c>
      <c r="H6265" s="1">
        <v>-7.7681049999999997E-6</v>
      </c>
      <c r="I6265">
        <v>136.79990000000001</v>
      </c>
      <c r="J6265">
        <v>-188.47720000000001</v>
      </c>
      <c r="K6265">
        <v>1.1181410000000001</v>
      </c>
      <c r="L6265">
        <v>94.42886</v>
      </c>
      <c r="M6265">
        <v>1.8506979999999999E-2</v>
      </c>
      <c r="N6265">
        <v>-1.301134E-2</v>
      </c>
      <c r="O6265">
        <v>0.99974410000000002</v>
      </c>
      <c r="P6265">
        <v>8.0748669999999995E-2</v>
      </c>
      <c r="Q6265">
        <v>0.17938799999999999</v>
      </c>
      <c r="R6265">
        <v>0.98045890000000002</v>
      </c>
      <c r="S6265">
        <v>0.46275329999999898</v>
      </c>
      <c r="T6265">
        <v>-7.9286930000000005E-2</v>
      </c>
      <c r="U6265">
        <v>3.0367130000000002</v>
      </c>
      <c r="V6265">
        <v>6.3727870000000006E-2</v>
      </c>
      <c r="W6265">
        <v>0.1917719</v>
      </c>
      <c r="X6265">
        <v>0.97936829999999997</v>
      </c>
      <c r="Y6265">
        <v>0.13227839999999999</v>
      </c>
      <c r="Z6265">
        <v>-1.283928E-2</v>
      </c>
      <c r="AA6265">
        <v>0.9911295</v>
      </c>
      <c r="AB6265">
        <v>47</v>
      </c>
      <c r="AC6265">
        <v>6.5175000000000098</v>
      </c>
      <c r="AD6265">
        <v>-1.118148768105</v>
      </c>
      <c r="AE6265">
        <v>42.371040000000001</v>
      </c>
      <c r="AF6265">
        <v>5.7282602420480604</v>
      </c>
      <c r="AG6265">
        <v>-1.118148768105</v>
      </c>
      <c r="AH6265">
        <v>42.455528586492903</v>
      </c>
      <c r="AI6265">
        <v>91.495105675436804</v>
      </c>
      <c r="AJ6265">
        <v>82.315841399947004</v>
      </c>
      <c r="AK6265">
        <v>42.854814544304801</v>
      </c>
      <c r="AL6265">
        <v>78.943791486333296</v>
      </c>
      <c r="AM6265">
        <v>86.276990384634402</v>
      </c>
      <c r="AN6265">
        <v>0.99999998504461796</v>
      </c>
    </row>
    <row r="6266" spans="1:40" x14ac:dyDescent="0.25">
      <c r="A6266" t="str">
        <f>"20190303171136995"</f>
        <v>20190303171136995</v>
      </c>
      <c r="B6266" t="str">
        <f>"1551604296987157"</f>
        <v>1551604296987157</v>
      </c>
      <c r="C6266" t="s">
        <v>40</v>
      </c>
      <c r="D6266">
        <v>4.8841349999999997</v>
      </c>
      <c r="E6266">
        <v>0.51659979999999905</v>
      </c>
      <c r="F6266" t="s">
        <v>84</v>
      </c>
      <c r="G6266">
        <v>-181.88339999999999</v>
      </c>
      <c r="H6266" s="1">
        <v>-1.1256009999999999E-5</v>
      </c>
      <c r="I6266">
        <v>148.80510000000001</v>
      </c>
      <c r="J6266">
        <v>-188.4666</v>
      </c>
      <c r="K6266">
        <v>1.11808</v>
      </c>
      <c r="L6266">
        <v>94.920929999999998</v>
      </c>
      <c r="M6266">
        <v>2.0783139999999999E-2</v>
      </c>
      <c r="N6266">
        <v>-1.303345E-2</v>
      </c>
      <c r="O6266">
        <v>0.99969909999999995</v>
      </c>
      <c r="P6266">
        <v>8.1117259999999997E-2</v>
      </c>
      <c r="Q6266">
        <v>0.17847070000000001</v>
      </c>
      <c r="R6266">
        <v>0.98059580000000002</v>
      </c>
      <c r="S6266">
        <v>0.36874390000000001</v>
      </c>
      <c r="T6266">
        <v>-6.2530039999999995E-2</v>
      </c>
      <c r="U6266">
        <v>3.0408629999999999</v>
      </c>
      <c r="V6266">
        <v>6.188155E-2</v>
      </c>
      <c r="W6266">
        <v>0.1908822</v>
      </c>
      <c r="X6266">
        <v>0.97966050000000005</v>
      </c>
      <c r="Y6266">
        <v>9.9696350000000003E-2</v>
      </c>
      <c r="Z6266">
        <v>-7.410158E-3</v>
      </c>
      <c r="AA6266">
        <v>0.99499029999999999</v>
      </c>
      <c r="AB6266">
        <v>47</v>
      </c>
      <c r="AC6266">
        <v>6.5831999999999997</v>
      </c>
      <c r="AD6266">
        <v>-1.11809125601</v>
      </c>
      <c r="AE6266">
        <v>53.884169999999997</v>
      </c>
      <c r="AF6266">
        <v>5.4594844553603297</v>
      </c>
      <c r="AG6266">
        <v>-1.11809125601</v>
      </c>
      <c r="AH6266">
        <v>53.986458138215099</v>
      </c>
      <c r="AI6266">
        <v>91.180440719636707</v>
      </c>
      <c r="AJ6266">
        <v>84.225485312661405</v>
      </c>
      <c r="AK6266">
        <v>54.273324579247401</v>
      </c>
      <c r="AL6266">
        <v>78.995727348582804</v>
      </c>
      <c r="AM6266">
        <v>86.385638354607195</v>
      </c>
      <c r="AN6266">
        <v>1.00000001788374</v>
      </c>
    </row>
    <row r="6267" spans="1:40" x14ac:dyDescent="0.25">
      <c r="A6267" t="str">
        <f>"20190303171137018"</f>
        <v>20190303171137018</v>
      </c>
      <c r="B6267" t="str">
        <f>"1551604297006676"</f>
        <v>1551604297006676</v>
      </c>
      <c r="C6267" t="s">
        <v>40</v>
      </c>
      <c r="D6267">
        <v>4.8838670000000004</v>
      </c>
      <c r="E6267">
        <v>0.51515920000000004</v>
      </c>
      <c r="F6267" t="s">
        <v>84</v>
      </c>
      <c r="G6267">
        <v>-182.2851</v>
      </c>
      <c r="H6267" s="1">
        <v>-1.125912E-5</v>
      </c>
      <c r="I6267">
        <v>148.96010000000001</v>
      </c>
      <c r="J6267">
        <v>-188.4555</v>
      </c>
      <c r="K6267">
        <v>1.118034</v>
      </c>
      <c r="L6267">
        <v>95.386600000000001</v>
      </c>
      <c r="M6267">
        <v>2.2942919999999999E-2</v>
      </c>
      <c r="N6267">
        <v>-1.305883E-2</v>
      </c>
      <c r="O6267">
        <v>0.99965150000000003</v>
      </c>
      <c r="P6267">
        <v>8.2191940000000005E-2</v>
      </c>
      <c r="Q6267">
        <v>0.1785293</v>
      </c>
      <c r="R6267">
        <v>0.98049569999999997</v>
      </c>
      <c r="S6267">
        <v>0.34797670000000003</v>
      </c>
      <c r="T6267">
        <v>-6.2940599999999999E-2</v>
      </c>
      <c r="U6267">
        <v>3.0420229999999999</v>
      </c>
      <c r="V6267">
        <v>6.0859660000000003E-2</v>
      </c>
      <c r="W6267">
        <v>0.19096550000000001</v>
      </c>
      <c r="X6267">
        <v>0.97970829999999998</v>
      </c>
      <c r="Y6267">
        <v>9.0799550000000007E-2</v>
      </c>
      <c r="Z6267">
        <v>-7.5272890000000004E-3</v>
      </c>
      <c r="AA6267">
        <v>0.99584070000000002</v>
      </c>
      <c r="AB6267">
        <v>47</v>
      </c>
      <c r="AC6267">
        <v>6.1703999999999999</v>
      </c>
      <c r="AD6267">
        <v>-1.1180452591200001</v>
      </c>
      <c r="AE6267">
        <v>53.573500000000003</v>
      </c>
      <c r="AF6267">
        <v>4.9374159637581396</v>
      </c>
      <c r="AG6267">
        <v>-1.1180452591200001</v>
      </c>
      <c r="AH6267">
        <v>53.6779025537964</v>
      </c>
      <c r="AI6267">
        <v>91.188214137760198</v>
      </c>
      <c r="AJ6267">
        <v>84.744591713019304</v>
      </c>
      <c r="AK6267">
        <v>53.916095223740697</v>
      </c>
      <c r="AL6267">
        <v>78.990865379996507</v>
      </c>
      <c r="AM6267">
        <v>86.445343305858898</v>
      </c>
      <c r="AN6267">
        <v>1.0000000367472199</v>
      </c>
    </row>
    <row r="6268" spans="1:40" x14ac:dyDescent="0.25">
      <c r="A6268" t="str">
        <f>"20190303171137039"</f>
        <v>20190303171137039</v>
      </c>
      <c r="B6268" t="str">
        <f>"1551604297027173"</f>
        <v>1551604297027173</v>
      </c>
      <c r="C6268" t="s">
        <v>40</v>
      </c>
      <c r="D6268">
        <v>4.6573029999999997</v>
      </c>
      <c r="E6268">
        <v>0.5142428</v>
      </c>
      <c r="F6268" t="s">
        <v>84</v>
      </c>
      <c r="G6268">
        <v>-182.29429999999999</v>
      </c>
      <c r="H6268" s="1">
        <v>-1.1607480000000001E-5</v>
      </c>
      <c r="I6268">
        <v>150.3946</v>
      </c>
      <c r="J6268">
        <v>-188.44399999999999</v>
      </c>
      <c r="K6268">
        <v>1.1179969999999999</v>
      </c>
      <c r="L6268">
        <v>95.827730000000003</v>
      </c>
      <c r="M6268">
        <v>2.499241E-2</v>
      </c>
      <c r="N6268">
        <v>-1.308426E-2</v>
      </c>
      <c r="O6268">
        <v>0.99960199999999999</v>
      </c>
      <c r="P6268">
        <v>8.3944409999999997E-2</v>
      </c>
      <c r="Q6268">
        <v>0.17978829999999901</v>
      </c>
      <c r="R6268">
        <v>0.98011709999999996</v>
      </c>
      <c r="S6268">
        <v>0.34075929999999999</v>
      </c>
      <c r="T6268">
        <v>-6.183636E-2</v>
      </c>
      <c r="U6268">
        <v>3.0423580000000001</v>
      </c>
      <c r="V6268">
        <v>6.0633590000000001E-2</v>
      </c>
      <c r="W6268">
        <v>0.19224179999999999</v>
      </c>
      <c r="X6268">
        <v>0.97947260000000003</v>
      </c>
      <c r="Y6268">
        <v>8.641335E-2</v>
      </c>
      <c r="Z6268">
        <v>-7.145195E-3</v>
      </c>
      <c r="AA6268">
        <v>0.99623379999999995</v>
      </c>
      <c r="AB6268">
        <v>47</v>
      </c>
      <c r="AC6268">
        <v>6.1497000000000197</v>
      </c>
      <c r="AD6268">
        <v>-1.11800860748</v>
      </c>
      <c r="AE6268">
        <v>54.566870000000002</v>
      </c>
      <c r="AF6268">
        <v>4.7819221753022401</v>
      </c>
      <c r="AG6268">
        <v>-1.11800860748</v>
      </c>
      <c r="AH6268">
        <v>54.680865017328301</v>
      </c>
      <c r="AI6268">
        <v>91.166857934821493</v>
      </c>
      <c r="AJ6268">
        <v>85.002114696714003</v>
      </c>
      <c r="AK6268">
        <v>54.9009446365027</v>
      </c>
      <c r="AL6268">
        <v>78.916357452221902</v>
      </c>
      <c r="AM6268">
        <v>86.457663754306495</v>
      </c>
      <c r="AN6268">
        <v>0.99999995802714303</v>
      </c>
    </row>
    <row r="6269" spans="1:40" x14ac:dyDescent="0.25">
      <c r="A6269" t="str">
        <f>"20190303171137064"</f>
        <v>20190303171137064</v>
      </c>
      <c r="B6269" t="str">
        <f>"1551604297056452"</f>
        <v>1551604297056452</v>
      </c>
      <c r="C6269" t="s">
        <v>40</v>
      </c>
      <c r="D6269">
        <v>4.884741</v>
      </c>
      <c r="E6269">
        <v>0.51335640000000005</v>
      </c>
      <c r="F6269" t="s">
        <v>84</v>
      </c>
      <c r="G6269">
        <v>-181.81950000000001</v>
      </c>
      <c r="H6269" s="1">
        <v>-1.3103719999999999E-5</v>
      </c>
      <c r="I6269">
        <v>155.36660000000001</v>
      </c>
      <c r="J6269">
        <v>-188.4297</v>
      </c>
      <c r="K6269">
        <v>1.1179669999999999</v>
      </c>
      <c r="L6269">
        <v>96.329250000000002</v>
      </c>
      <c r="M6269">
        <v>2.7324899999999999E-2</v>
      </c>
      <c r="N6269">
        <v>-1.3113100000000001E-2</v>
      </c>
      <c r="O6269">
        <v>0.9995406</v>
      </c>
      <c r="P6269">
        <v>8.6955080000000004E-2</v>
      </c>
      <c r="Q6269">
        <v>0.17991289999999999</v>
      </c>
      <c r="R6269">
        <v>0.97983169999999997</v>
      </c>
      <c r="S6269">
        <v>0.338501</v>
      </c>
      <c r="T6269">
        <v>-5.7128909999999998E-2</v>
      </c>
      <c r="U6269">
        <v>3.0423580000000001</v>
      </c>
      <c r="V6269">
        <v>6.1377609999999999E-2</v>
      </c>
      <c r="W6269">
        <v>0.192384</v>
      </c>
      <c r="X6269">
        <v>0.9793984</v>
      </c>
      <c r="Y6269">
        <v>8.3360320000000002E-2</v>
      </c>
      <c r="Z6269">
        <v>-5.5811999999999997E-3</v>
      </c>
      <c r="AA6269">
        <v>0.99650380000000005</v>
      </c>
      <c r="AB6269">
        <v>47</v>
      </c>
      <c r="AC6269">
        <v>6.6101999999999901</v>
      </c>
      <c r="AD6269">
        <v>-1.1179801037199999</v>
      </c>
      <c r="AE6269">
        <v>59.037350000000004</v>
      </c>
      <c r="AF6269">
        <v>4.99263476452699</v>
      </c>
      <c r="AG6269">
        <v>-1.1179801037199999</v>
      </c>
      <c r="AH6269">
        <v>59.174982936238102</v>
      </c>
      <c r="AI6269">
        <v>91.078517008116506</v>
      </c>
      <c r="AJ6269">
        <v>85.177336543432801</v>
      </c>
      <c r="AK6269">
        <v>59.395748054118698</v>
      </c>
      <c r="AL6269">
        <v>78.908055714192898</v>
      </c>
      <c r="AM6269">
        <v>86.414038383852898</v>
      </c>
      <c r="AN6269">
        <v>1.0000000201939301</v>
      </c>
    </row>
    <row r="6270" spans="1:40" x14ac:dyDescent="0.25">
      <c r="A6270" t="str">
        <f>"20190303171137085"</f>
        <v>20190303171137085</v>
      </c>
      <c r="B6270" t="str">
        <f>"1551604297076948"</f>
        <v>1551604297076948</v>
      </c>
      <c r="C6270" t="s">
        <v>40</v>
      </c>
      <c r="D6270">
        <v>4.8233319999999997</v>
      </c>
      <c r="E6270">
        <v>0.51296439999999999</v>
      </c>
      <c r="F6270" t="s">
        <v>84</v>
      </c>
      <c r="G6270">
        <v>-181.68969999999999</v>
      </c>
      <c r="H6270" s="1">
        <v>-1.36590299999999E-5</v>
      </c>
      <c r="I6270">
        <v>156.61879999999999</v>
      </c>
      <c r="J6270">
        <v>-188.416</v>
      </c>
      <c r="K6270">
        <v>1.117947</v>
      </c>
      <c r="L6270">
        <v>96.780119999999997</v>
      </c>
      <c r="M6270">
        <v>2.942258E-2</v>
      </c>
      <c r="N6270">
        <v>-1.31459E-2</v>
      </c>
      <c r="O6270">
        <v>0.99948060000000005</v>
      </c>
      <c r="P6270">
        <v>8.9224689999999995E-2</v>
      </c>
      <c r="Q6270">
        <v>0.179790899999999</v>
      </c>
      <c r="R6270">
        <v>0.97965000000000002</v>
      </c>
      <c r="S6270">
        <v>0.340072599999999</v>
      </c>
      <c r="T6270">
        <v>-5.6408170000000001E-2</v>
      </c>
      <c r="U6270">
        <v>3.0419309999999999</v>
      </c>
      <c r="V6270">
        <v>6.1602709999999998E-2</v>
      </c>
      <c r="W6270">
        <v>0.19228899999999999</v>
      </c>
      <c r="X6270">
        <v>0.97940289999999997</v>
      </c>
      <c r="Y6270">
        <v>8.1793279999999996E-2</v>
      </c>
      <c r="Z6270">
        <v>-5.3161240000000002E-3</v>
      </c>
      <c r="AA6270">
        <v>0.9966351</v>
      </c>
      <c r="AB6270">
        <v>47</v>
      </c>
      <c r="AC6270">
        <v>6.7263000000000002</v>
      </c>
      <c r="AD6270">
        <v>-1.11796065903</v>
      </c>
      <c r="AE6270">
        <v>59.838679999999997</v>
      </c>
      <c r="AF6270">
        <v>4.9609168971325301</v>
      </c>
      <c r="AG6270">
        <v>-1.11796065903</v>
      </c>
      <c r="AH6270">
        <v>59.990012995061498</v>
      </c>
      <c r="AI6270">
        <v>91.063996859782605</v>
      </c>
      <c r="AJ6270">
        <v>85.272641222000502</v>
      </c>
      <c r="AK6270">
        <v>60.205167482891703</v>
      </c>
      <c r="AL6270">
        <v>78.913602113854907</v>
      </c>
      <c r="AM6270">
        <v>86.400938007070195</v>
      </c>
      <c r="AN6270">
        <v>0.99999999696437603</v>
      </c>
    </row>
    <row r="6271" spans="1:40" x14ac:dyDescent="0.25">
      <c r="A6271" t="str">
        <f>"20190303171137109"</f>
        <v>20190303171137109</v>
      </c>
      <c r="B6271" t="str">
        <f>"1551604297096468"</f>
        <v>1551604297096468</v>
      </c>
      <c r="C6271" t="s">
        <v>40</v>
      </c>
      <c r="D6271">
        <v>4.6754160000000002</v>
      </c>
      <c r="E6271">
        <v>0.5126851</v>
      </c>
      <c r="F6271" t="s">
        <v>84</v>
      </c>
      <c r="G6271">
        <v>-181.48609999999999</v>
      </c>
      <c r="H6271" s="1">
        <v>-1.422102E-5</v>
      </c>
      <c r="I6271">
        <v>157.88730000000001</v>
      </c>
      <c r="J6271">
        <v>-188.39959999999999</v>
      </c>
      <c r="K6271">
        <v>1.1179330000000001</v>
      </c>
      <c r="L6271">
        <v>97.282749999999993</v>
      </c>
      <c r="M6271">
        <v>3.176002E-2</v>
      </c>
      <c r="N6271">
        <v>-1.320583E-2</v>
      </c>
      <c r="O6271">
        <v>0.99940830000000003</v>
      </c>
      <c r="P6271">
        <v>9.163512E-2</v>
      </c>
      <c r="Q6271">
        <v>0.17932799999999999</v>
      </c>
      <c r="R6271">
        <v>0.97951239999999995</v>
      </c>
      <c r="S6271">
        <v>0.3448792</v>
      </c>
      <c r="T6271">
        <v>-5.5637359999999997E-2</v>
      </c>
      <c r="U6271">
        <v>3.0411069999999998</v>
      </c>
      <c r="V6271">
        <v>6.1727789999999998E-2</v>
      </c>
      <c r="W6271">
        <v>0.19188189999999999</v>
      </c>
      <c r="X6271">
        <v>0.97947490000000004</v>
      </c>
      <c r="Y6271">
        <v>8.1048019999999998E-2</v>
      </c>
      <c r="Z6271">
        <v>-5.008307E-3</v>
      </c>
      <c r="AA6271">
        <v>0.99669759999999996</v>
      </c>
      <c r="AB6271">
        <v>47</v>
      </c>
      <c r="AC6271">
        <v>6.9134999999999902</v>
      </c>
      <c r="AD6271">
        <v>-1.1179472210200001</v>
      </c>
      <c r="AE6271">
        <v>60.604550000000003</v>
      </c>
      <c r="AF6271">
        <v>4.98336821407963</v>
      </c>
      <c r="AG6271">
        <v>-1.1179472210200001</v>
      </c>
      <c r="AH6271">
        <v>60.7731490964836</v>
      </c>
      <c r="AI6271">
        <v>91.050336229001402</v>
      </c>
      <c r="AJ6271">
        <v>85.312262257980393</v>
      </c>
      <c r="AK6271">
        <v>60.987370953743401</v>
      </c>
      <c r="AL6271">
        <v>78.937370212141204</v>
      </c>
      <c r="AM6271">
        <v>86.393914028042403</v>
      </c>
      <c r="AN6271">
        <v>1.00000003166795</v>
      </c>
    </row>
    <row r="6272" spans="1:40" x14ac:dyDescent="0.25">
      <c r="A6272" t="str">
        <f>"20190303171137134"</f>
        <v>20190303171137134</v>
      </c>
      <c r="B6272" t="str">
        <f>"1551604297126724"</f>
        <v>1551604297126724</v>
      </c>
      <c r="C6272" t="s">
        <v>40</v>
      </c>
      <c r="D6272">
        <v>4.879588</v>
      </c>
      <c r="E6272">
        <v>0.51240019999999997</v>
      </c>
      <c r="F6272" t="s">
        <v>84</v>
      </c>
      <c r="G6272">
        <v>-181.4648</v>
      </c>
      <c r="H6272" s="1">
        <v>-1.4018710000000001E-5</v>
      </c>
      <c r="I6272">
        <v>157.4323</v>
      </c>
      <c r="J6272">
        <v>-188.3819</v>
      </c>
      <c r="K6272">
        <v>1.1179319999999999</v>
      </c>
      <c r="L6272">
        <v>97.787959999999998</v>
      </c>
      <c r="M6272">
        <v>3.4106419999999998E-2</v>
      </c>
      <c r="N6272">
        <v>-1.330458E-2</v>
      </c>
      <c r="O6272">
        <v>0.99932960000000004</v>
      </c>
      <c r="P6272">
        <v>9.495816E-2</v>
      </c>
      <c r="Q6272">
        <v>0.1787822</v>
      </c>
      <c r="R6272">
        <v>0.97929560000000004</v>
      </c>
      <c r="S6272">
        <v>0.35052489999999997</v>
      </c>
      <c r="T6272">
        <v>-5.6507710000000003E-2</v>
      </c>
      <c r="U6272">
        <v>3.040314</v>
      </c>
      <c r="V6272">
        <v>6.2755089999999999E-2</v>
      </c>
      <c r="W6272">
        <v>0.1914237</v>
      </c>
      <c r="X6272">
        <v>0.97949920000000001</v>
      </c>
      <c r="Y6272">
        <v>8.056352E-2</v>
      </c>
      <c r="Z6272">
        <v>-5.1974769999999998E-3</v>
      </c>
      <c r="AA6272">
        <v>0.99673590000000001</v>
      </c>
      <c r="AB6272">
        <v>47</v>
      </c>
      <c r="AC6272">
        <v>6.9170999999999996</v>
      </c>
      <c r="AD6272">
        <v>-1.1179460187100001</v>
      </c>
      <c r="AE6272">
        <v>59.64434</v>
      </c>
      <c r="AF6272">
        <v>4.8769492619985302</v>
      </c>
      <c r="AG6272">
        <v>-1.1179460187100001</v>
      </c>
      <c r="AH6272">
        <v>59.824832844746297</v>
      </c>
      <c r="AI6272">
        <v>91.067022220642102</v>
      </c>
      <c r="AJ6272">
        <v>85.339526019817001</v>
      </c>
      <c r="AK6272">
        <v>60.033699388815798</v>
      </c>
      <c r="AL6272">
        <v>78.9641181680296</v>
      </c>
      <c r="AM6272">
        <v>86.334153039977593</v>
      </c>
      <c r="AN6272">
        <v>0.99999995852161805</v>
      </c>
    </row>
    <row r="6273" spans="1:40" x14ac:dyDescent="0.25">
      <c r="A6273" t="str">
        <f>"20190303171137152"</f>
        <v>20190303171137152</v>
      </c>
      <c r="B6273" t="str">
        <f>"1551604297147220"</f>
        <v>1551604297147220</v>
      </c>
      <c r="C6273" t="s">
        <v>40</v>
      </c>
      <c r="D6273">
        <v>4.8835110000000004</v>
      </c>
      <c r="E6273">
        <v>0.51211579999999901</v>
      </c>
      <c r="F6273" t="s">
        <v>84</v>
      </c>
      <c r="G6273">
        <v>-181.34809999999999</v>
      </c>
      <c r="H6273" s="1">
        <v>-1.402075E-5</v>
      </c>
      <c r="I6273">
        <v>157.43879999999999</v>
      </c>
      <c r="J6273">
        <v>-188.36779999999999</v>
      </c>
      <c r="K6273">
        <v>1.117942</v>
      </c>
      <c r="L6273">
        <v>98.167109999999994</v>
      </c>
      <c r="M6273">
        <v>3.5865250000000001E-2</v>
      </c>
      <c r="N6273">
        <v>-1.3406899999999999E-2</v>
      </c>
      <c r="O6273">
        <v>0.99926669999999995</v>
      </c>
      <c r="P6273">
        <v>9.7897579999999998E-2</v>
      </c>
      <c r="Q6273">
        <v>0.17813870000000001</v>
      </c>
      <c r="R6273">
        <v>0.97912339999999998</v>
      </c>
      <c r="S6273">
        <v>0.35835270000000002</v>
      </c>
      <c r="T6273">
        <v>-5.6956529999999998E-2</v>
      </c>
      <c r="U6273">
        <v>3.0390630000000001</v>
      </c>
      <c r="V6273">
        <v>6.3970330000000006E-2</v>
      </c>
      <c r="W6273">
        <v>0.1908724</v>
      </c>
      <c r="X6273">
        <v>0.97952819999999996</v>
      </c>
      <c r="Y6273">
        <v>8.1388150000000006E-2</v>
      </c>
      <c r="Z6273">
        <v>-5.2465400000000001E-3</v>
      </c>
      <c r="AA6273">
        <v>0.99666869999999996</v>
      </c>
      <c r="AB6273">
        <v>47</v>
      </c>
      <c r="AC6273">
        <v>7.0197000000000003</v>
      </c>
      <c r="AD6273">
        <v>-1.1179560207499999</v>
      </c>
      <c r="AE6273">
        <v>59.2716899999999</v>
      </c>
      <c r="AF6273">
        <v>4.8874831903216904</v>
      </c>
      <c r="AG6273">
        <v>-1.1179560207499999</v>
      </c>
      <c r="AH6273">
        <v>59.464473386406098</v>
      </c>
      <c r="AI6273">
        <v>91.073437984878893</v>
      </c>
      <c r="AJ6273">
        <v>85.301326921907204</v>
      </c>
      <c r="AK6273">
        <v>59.675463238441701</v>
      </c>
      <c r="AL6273">
        <v>78.996299002431599</v>
      </c>
      <c r="AM6273">
        <v>86.2634741595094</v>
      </c>
      <c r="AN6273">
        <v>0.99999998539865398</v>
      </c>
    </row>
    <row r="6274" spans="1:40" x14ac:dyDescent="0.25">
      <c r="A6274" t="str">
        <f>"20190303171137173"</f>
        <v>20190303171137173</v>
      </c>
      <c r="B6274" t="str">
        <f>"1551604297166741"</f>
        <v>1551604297166741</v>
      </c>
      <c r="C6274" t="s">
        <v>40</v>
      </c>
      <c r="D6274">
        <v>4.8231890000000002</v>
      </c>
      <c r="E6274">
        <v>0.5118182</v>
      </c>
      <c r="F6274" t="s">
        <v>84</v>
      </c>
      <c r="G6274">
        <v>-181.4366</v>
      </c>
      <c r="H6274" s="1">
        <v>-1.333292E-5</v>
      </c>
      <c r="I6274">
        <v>155.88900000000001</v>
      </c>
      <c r="J6274">
        <v>-188.3501</v>
      </c>
      <c r="K6274">
        <v>1.117958</v>
      </c>
      <c r="L6274">
        <v>98.62012</v>
      </c>
      <c r="M6274">
        <v>3.7967430000000003E-2</v>
      </c>
      <c r="N6274">
        <v>-1.3540440000000001E-2</v>
      </c>
      <c r="O6274">
        <v>0.99918720000000005</v>
      </c>
      <c r="P6274">
        <v>0.100331</v>
      </c>
      <c r="Q6274">
        <v>0.1777637</v>
      </c>
      <c r="R6274">
        <v>0.97894519999999996</v>
      </c>
      <c r="S6274">
        <v>0.36482239999999999</v>
      </c>
      <c r="T6274">
        <v>-5.8843850000000003E-2</v>
      </c>
      <c r="U6274">
        <v>3.038208</v>
      </c>
      <c r="V6274">
        <v>6.4344410000000005E-2</v>
      </c>
      <c r="W6274">
        <v>0.19062519999999999</v>
      </c>
      <c r="X6274">
        <v>0.97955190000000003</v>
      </c>
      <c r="Y6274">
        <v>8.1415680000000004E-2</v>
      </c>
      <c r="Z6274">
        <v>-5.7331989999999996E-3</v>
      </c>
      <c r="AA6274">
        <v>0.99666370000000004</v>
      </c>
      <c r="AB6274">
        <v>46</v>
      </c>
      <c r="AC6274">
        <v>6.9134999999999902</v>
      </c>
      <c r="AD6274">
        <v>-1.1179713329200001</v>
      </c>
      <c r="AE6274">
        <v>57.268880000000003</v>
      </c>
      <c r="AF6274">
        <v>4.7321852012542296</v>
      </c>
      <c r="AG6274">
        <v>-1.1179713329200001</v>
      </c>
      <c r="AH6274">
        <v>57.468506243058997</v>
      </c>
      <c r="AI6274">
        <v>91.110712295290796</v>
      </c>
      <c r="AJ6274">
        <v>85.292658059183495</v>
      </c>
      <c r="AK6274">
        <v>57.673847162199202</v>
      </c>
      <c r="AL6274">
        <v>79.010728131299103</v>
      </c>
      <c r="AM6274">
        <v>86.241777148381999</v>
      </c>
      <c r="AN6274">
        <v>1.0000000473834401</v>
      </c>
    </row>
    <row r="6275" spans="1:40" x14ac:dyDescent="0.25">
      <c r="A6275" t="str">
        <f>"20190303171137196"</f>
        <v>20190303171137196</v>
      </c>
      <c r="B6275" t="str">
        <f>"1551604297187236"</f>
        <v>1551604297187236</v>
      </c>
      <c r="C6275" t="s">
        <v>40</v>
      </c>
      <c r="D6275">
        <v>4.7765979999999999</v>
      </c>
      <c r="E6275">
        <v>0.52997269999999996</v>
      </c>
      <c r="F6275" t="s">
        <v>84</v>
      </c>
      <c r="G6275">
        <v>-181.4324</v>
      </c>
      <c r="H6275" s="1">
        <v>-1.3106819999999999E-5</v>
      </c>
      <c r="I6275">
        <v>155.3802</v>
      </c>
      <c r="J6275">
        <v>-188.33019999999999</v>
      </c>
      <c r="K6275">
        <v>1.117969</v>
      </c>
      <c r="L6275">
        <v>99.102630000000005</v>
      </c>
      <c r="M6275">
        <v>4.020671E-2</v>
      </c>
      <c r="N6275">
        <v>-1.3678559999999999E-2</v>
      </c>
      <c r="O6275">
        <v>0.99909780000000004</v>
      </c>
      <c r="P6275">
        <v>0.1024292</v>
      </c>
      <c r="Q6275">
        <v>0.1771896</v>
      </c>
      <c r="R6275">
        <v>0.97883200000000004</v>
      </c>
      <c r="S6275">
        <v>0.37019350000000001</v>
      </c>
      <c r="T6275">
        <v>-5.9826850000000001E-2</v>
      </c>
      <c r="U6275">
        <v>3.037445</v>
      </c>
      <c r="V6275">
        <v>6.4244609999999994E-2</v>
      </c>
      <c r="W6275">
        <v>0.19018750000000001</v>
      </c>
      <c r="X6275">
        <v>0.9796435</v>
      </c>
      <c r="Y6275">
        <v>8.0947969999999994E-2</v>
      </c>
      <c r="Z6275">
        <v>-5.9196819999999999E-3</v>
      </c>
      <c r="AA6275">
        <v>0.99670080000000005</v>
      </c>
      <c r="AB6275">
        <v>46</v>
      </c>
      <c r="AC6275">
        <v>6.8977999999999797</v>
      </c>
      <c r="AD6275">
        <v>-1.11798210682</v>
      </c>
      <c r="AE6275">
        <v>56.277569999999997</v>
      </c>
      <c r="AF6275">
        <v>4.6274745911142299</v>
      </c>
      <c r="AG6275">
        <v>-1.11798210682</v>
      </c>
      <c r="AH6275">
        <v>56.487456111691998</v>
      </c>
      <c r="AI6275">
        <v>91.130047642023399</v>
      </c>
      <c r="AJ6275">
        <v>85.316764875787001</v>
      </c>
      <c r="AK6275">
        <v>56.687706807145602</v>
      </c>
      <c r="AL6275">
        <v>79.036273550533494</v>
      </c>
      <c r="AM6275">
        <v>86.247939452497903</v>
      </c>
      <c r="AN6275">
        <v>1.0000000210812701</v>
      </c>
    </row>
    <row r="6276" spans="1:40" x14ac:dyDescent="0.25">
      <c r="A6276" t="str">
        <f>"20190303171137218"</f>
        <v>20190303171137218</v>
      </c>
      <c r="B6276" t="str">
        <f>"1551604297206756"</f>
        <v>1551604297206756</v>
      </c>
      <c r="C6276" t="s">
        <v>40</v>
      </c>
      <c r="D6276">
        <v>4.7535930000000004</v>
      </c>
      <c r="E6276">
        <v>0.54353229999999997</v>
      </c>
      <c r="F6276" t="s">
        <v>84</v>
      </c>
      <c r="G6276">
        <v>-179.69470000000001</v>
      </c>
      <c r="H6276" s="1">
        <v>-1.141755E-5</v>
      </c>
      <c r="I6276">
        <v>149.2089</v>
      </c>
      <c r="J6276">
        <v>-188.3108</v>
      </c>
      <c r="K6276">
        <v>1.1179790000000001</v>
      </c>
      <c r="L6276">
        <v>99.547669999999997</v>
      </c>
      <c r="M6276">
        <v>4.2271120000000002E-2</v>
      </c>
      <c r="N6276">
        <v>-1.379438E-2</v>
      </c>
      <c r="O6276">
        <v>0.99901090000000003</v>
      </c>
      <c r="P6276">
        <v>0.1043265</v>
      </c>
      <c r="Q6276">
        <v>0.17725949999999999</v>
      </c>
      <c r="R6276">
        <v>0.97861900000000002</v>
      </c>
      <c r="S6276">
        <v>0.52091980000000004</v>
      </c>
      <c r="T6276">
        <v>-6.7440390000000003E-2</v>
      </c>
      <c r="U6276">
        <v>3.022583</v>
      </c>
      <c r="V6276">
        <v>6.4123199999999894E-2</v>
      </c>
      <c r="W6276">
        <v>0.19037100000000001</v>
      </c>
      <c r="X6276">
        <v>0.97961580000000004</v>
      </c>
      <c r="Y6276">
        <v>0.12798880000000001</v>
      </c>
      <c r="Z6276">
        <v>-8.2794749999999997E-3</v>
      </c>
      <c r="AA6276">
        <v>0.99174110000000004</v>
      </c>
      <c r="AB6276">
        <v>46</v>
      </c>
      <c r="AC6276">
        <v>8.6160999999999799</v>
      </c>
      <c r="AD6276">
        <v>-1.1179904175499999</v>
      </c>
      <c r="AE6276">
        <v>49.661229999999897</v>
      </c>
      <c r="AF6276">
        <v>6.5057607952514198</v>
      </c>
      <c r="AG6276">
        <v>-1.1179904175499999</v>
      </c>
      <c r="AH6276">
        <v>49.956501671761899</v>
      </c>
      <c r="AI6276">
        <v>91.271292823737895</v>
      </c>
      <c r="AJ6276">
        <v>82.580213157939099</v>
      </c>
      <c r="AK6276">
        <v>50.390742060218898</v>
      </c>
      <c r="AL6276">
        <v>79.025563979804701</v>
      </c>
      <c r="AM6276">
        <v>86.254904337216104</v>
      </c>
      <c r="AN6276">
        <v>1.0000000090144401</v>
      </c>
    </row>
    <row r="6277" spans="1:40" x14ac:dyDescent="0.25">
      <c r="A6277" t="str">
        <f>"20190303171137240"</f>
        <v>20190303171137240</v>
      </c>
      <c r="B6277" t="str">
        <f>"1551604297226898"</f>
        <v>1551604297226898</v>
      </c>
      <c r="C6277" t="s">
        <v>40</v>
      </c>
      <c r="D6277">
        <v>4.7466720000000002</v>
      </c>
      <c r="E6277">
        <v>0.55043569999999997</v>
      </c>
      <c r="F6277" t="s">
        <v>84</v>
      </c>
      <c r="G6277">
        <v>-178.4521</v>
      </c>
      <c r="H6277" s="1">
        <v>-9.9835119999999997E-6</v>
      </c>
      <c r="I6277">
        <v>146.34440000000001</v>
      </c>
      <c r="J6277">
        <v>-188.28989999999999</v>
      </c>
      <c r="K6277">
        <v>1.1179859999999999</v>
      </c>
      <c r="L6277">
        <v>100.0042</v>
      </c>
      <c r="M6277">
        <v>4.4387169999999997E-2</v>
      </c>
      <c r="N6277">
        <v>-1.3902670000000001E-2</v>
      </c>
      <c r="O6277">
        <v>0.99891759999999996</v>
      </c>
      <c r="P6277">
        <v>0.1065942</v>
      </c>
      <c r="Q6277">
        <v>0.1771578</v>
      </c>
      <c r="R6277">
        <v>0.97839299999999996</v>
      </c>
      <c r="S6277">
        <v>0.63430790000000004</v>
      </c>
      <c r="T6277">
        <v>-7.1931960000000003E-2</v>
      </c>
      <c r="U6277">
        <v>3.0109249999999999</v>
      </c>
      <c r="V6277">
        <v>6.431974E-2</v>
      </c>
      <c r="W6277">
        <v>0.1903734</v>
      </c>
      <c r="X6277">
        <v>0.97960250000000004</v>
      </c>
      <c r="Y6277">
        <v>0.1624516</v>
      </c>
      <c r="Z6277">
        <v>-9.5957119999999993E-3</v>
      </c>
      <c r="AA6277">
        <v>0.98666980000000004</v>
      </c>
      <c r="AB6277">
        <v>46</v>
      </c>
      <c r="AC6277">
        <v>9.8377999999999801</v>
      </c>
      <c r="AD6277">
        <v>-1.1179959835119999</v>
      </c>
      <c r="AE6277">
        <v>46.340200000000003</v>
      </c>
      <c r="AF6277">
        <v>7.7666670715453696</v>
      </c>
      <c r="AG6277">
        <v>-1.1179959835119999</v>
      </c>
      <c r="AH6277">
        <v>46.705220097207203</v>
      </c>
      <c r="AI6277">
        <v>91.352675293768399</v>
      </c>
      <c r="AJ6277">
        <v>80.558610327245702</v>
      </c>
      <c r="AK6277">
        <v>47.359778470216099</v>
      </c>
      <c r="AL6277">
        <v>79.025424465837304</v>
      </c>
      <c r="AM6277">
        <v>86.243407440420896</v>
      </c>
      <c r="AN6277">
        <v>1.0000000591937299</v>
      </c>
    </row>
    <row r="6278" spans="1:40" x14ac:dyDescent="0.25">
      <c r="A6278" t="str">
        <f>"20190303171137263"</f>
        <v>20190303171137263</v>
      </c>
      <c r="B6278" t="str">
        <f>"1551604297257155"</f>
        <v>1551604297257155</v>
      </c>
      <c r="C6278" t="s">
        <v>40</v>
      </c>
      <c r="D6278">
        <v>4.7124300000000003</v>
      </c>
      <c r="E6278">
        <v>0.55557679999999998</v>
      </c>
      <c r="F6278" t="s">
        <v>84</v>
      </c>
      <c r="G6278">
        <v>-177.7681</v>
      </c>
      <c r="H6278" s="1">
        <v>-9.3717440000000008E-6</v>
      </c>
      <c r="I6278">
        <v>145.41650000000001</v>
      </c>
      <c r="J6278">
        <v>-188.26779999999999</v>
      </c>
      <c r="K6278">
        <v>1.117998</v>
      </c>
      <c r="L6278">
        <v>100.4646</v>
      </c>
      <c r="M6278">
        <v>4.6521449999999999E-2</v>
      </c>
      <c r="N6278">
        <v>-1.400181E-2</v>
      </c>
      <c r="O6278">
        <v>0.99881920000000002</v>
      </c>
      <c r="P6278">
        <v>0.108649499999999</v>
      </c>
      <c r="Q6278">
        <v>0.17697660000000001</v>
      </c>
      <c r="R6278">
        <v>0.97819970000000001</v>
      </c>
      <c r="S6278">
        <v>0.69596859999999905</v>
      </c>
      <c r="T6278">
        <v>-7.3950169999999996E-2</v>
      </c>
      <c r="U6278">
        <v>3.0038149999999999</v>
      </c>
      <c r="V6278">
        <v>6.4282610000000004E-2</v>
      </c>
      <c r="W6278">
        <v>0.19029009999999999</v>
      </c>
      <c r="X6278">
        <v>0.97962110000000002</v>
      </c>
      <c r="Y6278">
        <v>0.1800871</v>
      </c>
      <c r="Z6278">
        <v>-1.0126100000000001E-2</v>
      </c>
      <c r="AA6278">
        <v>0.98359850000000004</v>
      </c>
      <c r="AB6278">
        <v>46</v>
      </c>
      <c r="AC6278">
        <v>10.499699999999899</v>
      </c>
      <c r="AD6278">
        <v>-1.118007371744</v>
      </c>
      <c r="AE6278">
        <v>44.951900000000002</v>
      </c>
      <c r="AF6278">
        <v>8.3919746419593508</v>
      </c>
      <c r="AG6278">
        <v>-1.118007371744</v>
      </c>
      <c r="AH6278">
        <v>45.365119774677801</v>
      </c>
      <c r="AI6278">
        <v>91.388205334535996</v>
      </c>
      <c r="AJ6278">
        <v>79.519481012398202</v>
      </c>
      <c r="AK6278">
        <v>46.148339851455397</v>
      </c>
      <c r="AL6278">
        <v>79.030285837825105</v>
      </c>
      <c r="AM6278">
        <v>86.245640894146902</v>
      </c>
      <c r="AN6278">
        <v>1.00000003783581</v>
      </c>
    </row>
    <row r="6279" spans="1:40" x14ac:dyDescent="0.25">
      <c r="A6279" t="str">
        <f>"20190303171137287"</f>
        <v>20190303171137287</v>
      </c>
      <c r="B6279" t="str">
        <f>"1551604297276675"</f>
        <v>1551604297276675</v>
      </c>
      <c r="C6279" t="s">
        <v>40</v>
      </c>
      <c r="D6279">
        <v>4.7373949999999896</v>
      </c>
      <c r="E6279">
        <v>0.55736889999999994</v>
      </c>
      <c r="F6279" t="s">
        <v>84</v>
      </c>
      <c r="G6279">
        <v>-177.1643</v>
      </c>
      <c r="H6279" s="1">
        <v>-9.0089799999999999E-6</v>
      </c>
      <c r="I6279">
        <v>145.24469999999999</v>
      </c>
      <c r="J6279">
        <v>-188.2432</v>
      </c>
      <c r="K6279">
        <v>1.118004</v>
      </c>
      <c r="L6279">
        <v>100.95650000000001</v>
      </c>
      <c r="M6279">
        <v>4.8803609999999997E-2</v>
      </c>
      <c r="N6279">
        <v>-1.4096819999999999E-2</v>
      </c>
      <c r="O6279">
        <v>0.99870890000000001</v>
      </c>
      <c r="P6279">
        <v>0.1104465</v>
      </c>
      <c r="Q6279">
        <v>0.17747449999999901</v>
      </c>
      <c r="R6279">
        <v>0.97790820000000001</v>
      </c>
      <c r="S6279">
        <v>0.74333190000000005</v>
      </c>
      <c r="T6279">
        <v>-7.4845789999999995E-2</v>
      </c>
      <c r="U6279">
        <v>2.997833</v>
      </c>
      <c r="V6279">
        <v>6.3849820000000002E-2</v>
      </c>
      <c r="W6279">
        <v>0.1908831</v>
      </c>
      <c r="X6279">
        <v>0.97953400000000002</v>
      </c>
      <c r="Y6279">
        <v>0.19294359999999999</v>
      </c>
      <c r="Z6279">
        <v>-1.0300780000000001E-2</v>
      </c>
      <c r="AA6279">
        <v>0.98115580000000002</v>
      </c>
      <c r="AB6279">
        <v>46</v>
      </c>
      <c r="AC6279">
        <v>11.078900000000001</v>
      </c>
      <c r="AD6279">
        <v>-1.11801300897999</v>
      </c>
      <c r="AE6279">
        <v>44.288199999999897</v>
      </c>
      <c r="AF6279">
        <v>8.8987199894722497</v>
      </c>
      <c r="AG6279">
        <v>-1.11801300897999</v>
      </c>
      <c r="AH6279">
        <v>44.749321871235502</v>
      </c>
      <c r="AI6279">
        <v>91.403701168403401</v>
      </c>
      <c r="AJ6279">
        <v>78.753046572699901</v>
      </c>
      <c r="AK6279">
        <v>45.639226313279202</v>
      </c>
      <c r="AL6279">
        <v>78.995674698187997</v>
      </c>
      <c r="AM6279">
        <v>86.270515320240193</v>
      </c>
      <c r="AN6279">
        <v>1.0000000072678199</v>
      </c>
    </row>
    <row r="6280" spans="1:40" x14ac:dyDescent="0.25">
      <c r="A6280" t="str">
        <f>"20190303171137310"</f>
        <v>20190303171137310</v>
      </c>
      <c r="B6280" t="str">
        <f>"1551604297297170"</f>
        <v>1551604297297170</v>
      </c>
      <c r="C6280" t="s">
        <v>40</v>
      </c>
      <c r="D6280">
        <v>4.7395550000000002</v>
      </c>
      <c r="E6280">
        <v>0.5586217</v>
      </c>
      <c r="F6280" t="s">
        <v>84</v>
      </c>
      <c r="G6280">
        <v>-176.5728</v>
      </c>
      <c r="H6280" s="1">
        <v>-9.1122989999999997E-6</v>
      </c>
      <c r="I6280">
        <v>146.75190000000001</v>
      </c>
      <c r="J6280">
        <v>-188.2174</v>
      </c>
      <c r="K6280">
        <v>1.1180209999999999</v>
      </c>
      <c r="L6280">
        <v>101.4492</v>
      </c>
      <c r="M6280">
        <v>5.1093380000000001E-2</v>
      </c>
      <c r="N6280">
        <v>-1.418108E-2</v>
      </c>
      <c r="O6280">
        <v>0.99859319999999896</v>
      </c>
      <c r="P6280">
        <v>0.112216899999999</v>
      </c>
      <c r="Q6280">
        <v>0.17807879999999901</v>
      </c>
      <c r="R6280">
        <v>0.97759669999999999</v>
      </c>
      <c r="S6280">
        <v>0.76319890000000001</v>
      </c>
      <c r="T6280">
        <v>-7.311368E-2</v>
      </c>
      <c r="U6280">
        <v>2.9948429999999999</v>
      </c>
      <c r="V6280">
        <v>6.3384029999999994E-2</v>
      </c>
      <c r="W6280">
        <v>0.19157299999999999</v>
      </c>
      <c r="X6280">
        <v>0.97942949999999995</v>
      </c>
      <c r="Y6280">
        <v>0.1970432</v>
      </c>
      <c r="Z6280">
        <v>-9.6510850000000002E-3</v>
      </c>
      <c r="AA6280">
        <v>0.98034730000000003</v>
      </c>
      <c r="AB6280">
        <v>46</v>
      </c>
      <c r="AC6280">
        <v>11.644599999999899</v>
      </c>
      <c r="AD6280">
        <v>-1.118030112299</v>
      </c>
      <c r="AE6280">
        <v>45.302700000000002</v>
      </c>
      <c r="AF6280">
        <v>9.3091684315827408</v>
      </c>
      <c r="AG6280">
        <v>-1.118030112299</v>
      </c>
      <c r="AH6280">
        <v>45.812365990773401</v>
      </c>
      <c r="AI6280">
        <v>91.370012582331498</v>
      </c>
      <c r="AJ6280">
        <v>78.513766900473001</v>
      </c>
      <c r="AK6280">
        <v>46.761987616996699</v>
      </c>
      <c r="AL6280">
        <v>78.955402485409493</v>
      </c>
      <c r="AM6280">
        <v>86.297252364112097</v>
      </c>
      <c r="AN6280">
        <v>0.99999994752914401</v>
      </c>
    </row>
    <row r="6281" spans="1:40" x14ac:dyDescent="0.25">
      <c r="A6281" t="str">
        <f>"20190303171137330"</f>
        <v>20190303171137330</v>
      </c>
      <c r="B6281" t="str">
        <f>"1551604297317369"</f>
        <v>1551604297317369</v>
      </c>
      <c r="C6281" t="s">
        <v>40</v>
      </c>
      <c r="D6281">
        <v>4.7210970000000003</v>
      </c>
      <c r="E6281">
        <v>0.55928369999999905</v>
      </c>
      <c r="F6281" t="s">
        <v>84</v>
      </c>
      <c r="G6281">
        <v>-175.9716</v>
      </c>
      <c r="H6281" s="1">
        <v>-9.2756449999999995E-6</v>
      </c>
      <c r="I6281">
        <v>148.49680000000001</v>
      </c>
      <c r="J6281">
        <v>-188.19499999999999</v>
      </c>
      <c r="K6281">
        <v>1.1180300000000001</v>
      </c>
      <c r="L6281">
        <v>101.85980000000001</v>
      </c>
      <c r="M6281">
        <v>5.3003519999999998E-2</v>
      </c>
      <c r="N6281">
        <v>-1.424301E-2</v>
      </c>
      <c r="O6281">
        <v>0.99849270000000001</v>
      </c>
      <c r="P6281">
        <v>0.1136436</v>
      </c>
      <c r="Q6281">
        <v>0.17850669999999999</v>
      </c>
      <c r="R6281">
        <v>0.97735380000000005</v>
      </c>
      <c r="S6281">
        <v>0.77885439999999995</v>
      </c>
      <c r="T6281">
        <v>-7.1108699999999997E-2</v>
      </c>
      <c r="U6281">
        <v>2.9923099999999998</v>
      </c>
      <c r="V6281">
        <v>6.294371E-2</v>
      </c>
      <c r="W6281">
        <v>0.1920644</v>
      </c>
      <c r="X6281">
        <v>0.9793617</v>
      </c>
      <c r="Y6281">
        <v>0.20017650000000001</v>
      </c>
      <c r="Z6281">
        <v>-8.9372889999999993E-3</v>
      </c>
      <c r="AA6281">
        <v>0.97971909999999895</v>
      </c>
      <c r="AB6281">
        <v>46</v>
      </c>
      <c r="AC6281">
        <v>12.2233999999999</v>
      </c>
      <c r="AD6281">
        <v>-1.1180392756449999</v>
      </c>
      <c r="AE6281">
        <v>46.637</v>
      </c>
      <c r="AF6281">
        <v>9.7288064496653401</v>
      </c>
      <c r="AG6281">
        <v>-1.1180392756449999</v>
      </c>
      <c r="AH6281">
        <v>47.193999546608403</v>
      </c>
      <c r="AI6281">
        <v>91.329161779514607</v>
      </c>
      <c r="AJ6281">
        <v>78.3519307991765</v>
      </c>
      <c r="AK6281">
        <v>48.199307878456203</v>
      </c>
      <c r="AL6281">
        <v>78.926715112126999</v>
      </c>
      <c r="AM6281">
        <v>86.322650155151393</v>
      </c>
      <c r="AN6281">
        <v>0.99999999190140698</v>
      </c>
    </row>
    <row r="6282" spans="1:40" x14ac:dyDescent="0.25">
      <c r="A6282" t="str">
        <f>"20190303171137352"</f>
        <v>20190303171137352</v>
      </c>
      <c r="B6282" t="str">
        <f>"1551604297346649"</f>
        <v>1551604297346649</v>
      </c>
      <c r="C6282" t="s">
        <v>40</v>
      </c>
      <c r="D6282">
        <v>4.7302470000000003</v>
      </c>
      <c r="E6282">
        <v>0.56033739999999999</v>
      </c>
      <c r="F6282" t="s">
        <v>84</v>
      </c>
      <c r="G6282">
        <v>-175.7578</v>
      </c>
      <c r="H6282" s="1">
        <v>-9.3092280000000005E-6</v>
      </c>
      <c r="I6282">
        <v>149.02770000000001</v>
      </c>
      <c r="J6282">
        <v>-188.1694</v>
      </c>
      <c r="K6282">
        <v>1.1180410000000001</v>
      </c>
      <c r="L6282">
        <v>102.3139</v>
      </c>
      <c r="M6282">
        <v>5.5117239999999998E-2</v>
      </c>
      <c r="N6282">
        <v>-1.4303669999999999E-2</v>
      </c>
      <c r="O6282">
        <v>0.99837739999999997</v>
      </c>
      <c r="P6282">
        <v>0.1156985</v>
      </c>
      <c r="Q6282">
        <v>0.17823459999999999</v>
      </c>
      <c r="R6282">
        <v>0.97716239999999999</v>
      </c>
      <c r="S6282">
        <v>0.78860469999999905</v>
      </c>
      <c r="T6282">
        <v>-7.0891620000000002E-2</v>
      </c>
      <c r="U6282">
        <v>2.9907840000000001</v>
      </c>
      <c r="V6282">
        <v>6.2923010000000001E-2</v>
      </c>
      <c r="W6282">
        <v>0.19185289999999999</v>
      </c>
      <c r="X6282">
        <v>0.97940450000000001</v>
      </c>
      <c r="Y6282">
        <v>0.20121259999999999</v>
      </c>
      <c r="Z6282">
        <v>-8.8072500000000008E-3</v>
      </c>
      <c r="AA6282">
        <v>0.97950800000000005</v>
      </c>
      <c r="AB6282">
        <v>46</v>
      </c>
      <c r="AC6282">
        <v>12.4115999999999</v>
      </c>
      <c r="AD6282">
        <v>-1.1180503092280001</v>
      </c>
      <c r="AE6282">
        <v>46.713799999999999</v>
      </c>
      <c r="AF6282">
        <v>9.8124795690609794</v>
      </c>
      <c r="AG6282">
        <v>-1.1180503092280001</v>
      </c>
      <c r="AH6282">
        <v>47.301628955520997</v>
      </c>
      <c r="AI6282">
        <v>91.325809896728998</v>
      </c>
      <c r="AJ6282">
        <v>78.280508204377895</v>
      </c>
      <c r="AK6282">
        <v>48.321619319234202</v>
      </c>
      <c r="AL6282">
        <v>78.939062974353206</v>
      </c>
      <c r="AM6282">
        <v>86.324016398104703</v>
      </c>
      <c r="AN6282">
        <v>1.00000000752306</v>
      </c>
    </row>
    <row r="6283" spans="1:40" x14ac:dyDescent="0.25">
      <c r="A6283" t="str">
        <f>"20190303171137374"</f>
        <v>20190303171137374</v>
      </c>
      <c r="B6283" t="str">
        <f>"1551604297367147"</f>
        <v>1551604297367147</v>
      </c>
      <c r="C6283" t="s">
        <v>40</v>
      </c>
      <c r="D6283">
        <v>4.7382839999999904</v>
      </c>
      <c r="E6283">
        <v>0.56098040000000005</v>
      </c>
      <c r="F6283" t="s">
        <v>84</v>
      </c>
      <c r="G6283">
        <v>-176.2362</v>
      </c>
      <c r="H6283" s="1">
        <v>-8.9144209999999997E-6</v>
      </c>
      <c r="I6283">
        <v>146.73169999999999</v>
      </c>
      <c r="J6283">
        <v>-188.14179999999999</v>
      </c>
      <c r="K6283">
        <v>1.1180479999999999</v>
      </c>
      <c r="L6283">
        <v>102.7838</v>
      </c>
      <c r="M6283">
        <v>5.7305469999999997E-2</v>
      </c>
      <c r="N6283">
        <v>-1.4358539999999999E-2</v>
      </c>
      <c r="O6283">
        <v>0.99825339999999996</v>
      </c>
      <c r="P6283">
        <v>0.11790109999999999</v>
      </c>
      <c r="Q6283">
        <v>0.177615299999999</v>
      </c>
      <c r="R6283">
        <v>0.97701190000000004</v>
      </c>
      <c r="S6283">
        <v>0.802948</v>
      </c>
      <c r="T6283">
        <v>-7.5230119999999998E-2</v>
      </c>
      <c r="U6283">
        <v>2.9887389999999998</v>
      </c>
      <c r="V6283">
        <v>6.2971470000000002E-2</v>
      </c>
      <c r="W6283">
        <v>0.19128990000000001</v>
      </c>
      <c r="X6283">
        <v>0.97951149999999998</v>
      </c>
      <c r="Y6283">
        <v>0.2036134</v>
      </c>
      <c r="Z6283">
        <v>-1.015695E-2</v>
      </c>
      <c r="AA6283">
        <v>0.9789987</v>
      </c>
      <c r="AB6283">
        <v>46</v>
      </c>
      <c r="AC6283">
        <v>11.9055999999999</v>
      </c>
      <c r="AD6283">
        <v>-1.118056914421</v>
      </c>
      <c r="AE6283">
        <v>43.947899999999898</v>
      </c>
      <c r="AF6283">
        <v>9.3616717916008305</v>
      </c>
      <c r="AG6283">
        <v>-1.118056914421</v>
      </c>
      <c r="AH6283">
        <v>44.531140608761</v>
      </c>
      <c r="AI6283">
        <v>91.407487094126097</v>
      </c>
      <c r="AJ6283">
        <v>78.127735454261099</v>
      </c>
      <c r="AK6283">
        <v>45.518275823176602</v>
      </c>
      <c r="AL6283">
        <v>78.971929199475994</v>
      </c>
      <c r="AM6283">
        <v>86.321593882452802</v>
      </c>
      <c r="AN6283">
        <v>1.00000000525411</v>
      </c>
    </row>
    <row r="6284" spans="1:40" x14ac:dyDescent="0.25">
      <c r="A6284" t="str">
        <f>"20190303171137398"</f>
        <v>20190303171137398</v>
      </c>
      <c r="B6284" t="str">
        <f>"1551604297386666"</f>
        <v>1551604297386666</v>
      </c>
      <c r="C6284" t="s">
        <v>40</v>
      </c>
      <c r="D6284">
        <v>4.7418069999999997</v>
      </c>
      <c r="E6284">
        <v>0.5614865</v>
      </c>
      <c r="F6284" t="s">
        <v>84</v>
      </c>
      <c r="G6284">
        <v>-176.24709999999999</v>
      </c>
      <c r="H6284" s="1">
        <v>-8.8070470000000008E-6</v>
      </c>
      <c r="I6284">
        <v>146.37889999999999</v>
      </c>
      <c r="J6284">
        <v>-188.11340000000001</v>
      </c>
      <c r="K6284">
        <v>1.1180540000000001</v>
      </c>
      <c r="L6284">
        <v>103.25109999999999</v>
      </c>
      <c r="M6284">
        <v>5.9482199999999999E-2</v>
      </c>
      <c r="N6284">
        <v>-1.4405609999999999E-2</v>
      </c>
      <c r="O6284">
        <v>0.99812540000000005</v>
      </c>
      <c r="P6284">
        <v>0.1201716</v>
      </c>
      <c r="Q6284">
        <v>0.17755689999999999</v>
      </c>
      <c r="R6284">
        <v>0.9767458</v>
      </c>
      <c r="S6284">
        <v>0.81477359999999999</v>
      </c>
      <c r="T6284">
        <v>-7.658529E-2</v>
      </c>
      <c r="U6284">
        <v>2.9862060000000001</v>
      </c>
      <c r="V6284">
        <v>6.3109319999999997E-2</v>
      </c>
      <c r="W6284">
        <v>0.19127769999999999</v>
      </c>
      <c r="X6284">
        <v>0.97950499999999996</v>
      </c>
      <c r="Y6284">
        <v>0.20529559999999999</v>
      </c>
      <c r="Z6284">
        <v>-1.0554010000000001E-2</v>
      </c>
      <c r="AA6284">
        <v>0.97864309999999999</v>
      </c>
      <c r="AB6284">
        <v>46</v>
      </c>
      <c r="AC6284">
        <v>11.866300000000001</v>
      </c>
      <c r="AD6284">
        <v>-1.118062807047</v>
      </c>
      <c r="AE6284">
        <v>43.127799999999901</v>
      </c>
      <c r="AF6284">
        <v>9.2738879610985308</v>
      </c>
      <c r="AG6284">
        <v>-1.118062807047</v>
      </c>
      <c r="AH6284">
        <v>43.730005977808098</v>
      </c>
      <c r="AI6284">
        <v>91.432735272507898</v>
      </c>
      <c r="AJ6284">
        <v>78.026593238207099</v>
      </c>
      <c r="AK6284">
        <v>44.716534807324201</v>
      </c>
      <c r="AL6284">
        <v>78.972641242618906</v>
      </c>
      <c r="AM6284">
        <v>86.313539317532104</v>
      </c>
      <c r="AN6284">
        <v>0.99999999490657598</v>
      </c>
    </row>
    <row r="6285" spans="1:40" x14ac:dyDescent="0.25">
      <c r="A6285" t="str">
        <f>"20190303171137419"</f>
        <v>20190303171137419</v>
      </c>
      <c r="B6285" t="str">
        <f>"1551604297407161"</f>
        <v>1551604297407161</v>
      </c>
      <c r="C6285" t="s">
        <v>40</v>
      </c>
      <c r="D6285">
        <v>4.7589839999999999</v>
      </c>
      <c r="E6285">
        <v>0.56200539999999999</v>
      </c>
      <c r="F6285" t="s">
        <v>84</v>
      </c>
      <c r="G6285">
        <v>-176.14830000000001</v>
      </c>
      <c r="H6285" s="1">
        <v>-8.7752940000000008E-6</v>
      </c>
      <c r="I6285">
        <v>146.4708</v>
      </c>
      <c r="J6285">
        <v>-188.08580000000001</v>
      </c>
      <c r="K6285">
        <v>1.1180570000000001</v>
      </c>
      <c r="L6285">
        <v>103.68899999999999</v>
      </c>
      <c r="M6285">
        <v>6.152154E-2</v>
      </c>
      <c r="N6285">
        <v>-1.4443589999999999E-2</v>
      </c>
      <c r="O6285">
        <v>0.99800120000000003</v>
      </c>
      <c r="P6285">
        <v>0.12242119999999999</v>
      </c>
      <c r="Q6285">
        <v>0.178426799999999</v>
      </c>
      <c r="R6285">
        <v>0.97630779999999995</v>
      </c>
      <c r="S6285">
        <v>0.82604979999999995</v>
      </c>
      <c r="T6285">
        <v>-7.7189450000000007E-2</v>
      </c>
      <c r="U6285">
        <v>2.9838260000000001</v>
      </c>
      <c r="V6285">
        <v>6.3378470000000006E-2</v>
      </c>
      <c r="W6285">
        <v>0.19218089999999999</v>
      </c>
      <c r="X6285">
        <v>0.97931080000000004</v>
      </c>
      <c r="Y6285">
        <v>0.2069308</v>
      </c>
      <c r="Z6285">
        <v>-1.071571E-2</v>
      </c>
      <c r="AA6285">
        <v>0.97829690000000002</v>
      </c>
      <c r="AB6285">
        <v>46</v>
      </c>
      <c r="AC6285">
        <v>11.9375</v>
      </c>
      <c r="AD6285">
        <v>-1.118065775294</v>
      </c>
      <c r="AE6285">
        <v>42.781799999999997</v>
      </c>
      <c r="AF6285">
        <v>9.2767275492241392</v>
      </c>
      <c r="AG6285">
        <v>-1.118065775294</v>
      </c>
      <c r="AH6285">
        <v>43.407728294126898</v>
      </c>
      <c r="AI6285">
        <v>91.442890077802403</v>
      </c>
      <c r="AJ6285">
        <v>77.936706292446601</v>
      </c>
      <c r="AK6285">
        <v>44.402011449450796</v>
      </c>
      <c r="AL6285">
        <v>78.919913377523699</v>
      </c>
      <c r="AM6285">
        <v>86.297128749129996</v>
      </c>
      <c r="AN6285">
        <v>0.99999998589049499</v>
      </c>
    </row>
    <row r="6286" spans="1:40" x14ac:dyDescent="0.25">
      <c r="A6286" t="str">
        <f>"20190303171137442"</f>
        <v>20190303171137442</v>
      </c>
      <c r="B6286" t="str">
        <f>"1551604297436619"</f>
        <v>1551604297436619</v>
      </c>
      <c r="C6286" t="s">
        <v>40</v>
      </c>
      <c r="D6286">
        <v>4.7447339999999896</v>
      </c>
      <c r="E6286">
        <v>0.56267500000000004</v>
      </c>
      <c r="F6286" t="s">
        <v>84</v>
      </c>
      <c r="G6286">
        <v>-175.69550000000001</v>
      </c>
      <c r="H6286" s="1">
        <v>-8.9361359999999992E-6</v>
      </c>
      <c r="I6286">
        <v>147.839</v>
      </c>
      <c r="J6286">
        <v>-188.05520000000001</v>
      </c>
      <c r="K6286">
        <v>1.118066</v>
      </c>
      <c r="L6286">
        <v>104.1576</v>
      </c>
      <c r="M6286">
        <v>6.3704860000000002E-2</v>
      </c>
      <c r="N6286">
        <v>-1.4478690000000001E-2</v>
      </c>
      <c r="O6286">
        <v>0.99786379999999997</v>
      </c>
      <c r="P6286">
        <v>0.12538460000000001</v>
      </c>
      <c r="Q6286">
        <v>0.17867469999999999</v>
      </c>
      <c r="R6286">
        <v>0.97588629999999998</v>
      </c>
      <c r="S6286">
        <v>0.83677669999999904</v>
      </c>
      <c r="T6286">
        <v>-7.550859E-2</v>
      </c>
      <c r="U6286">
        <v>2.9816739999999999</v>
      </c>
      <c r="V6286">
        <v>6.4213889999999996E-2</v>
      </c>
      <c r="W6286">
        <v>0.19245699999999999</v>
      </c>
      <c r="X6286">
        <v>0.97920220000000002</v>
      </c>
      <c r="Y6286">
        <v>0.20823920000000001</v>
      </c>
      <c r="Z6286">
        <v>-1.013871E-2</v>
      </c>
      <c r="AA6286">
        <v>0.97802540000000004</v>
      </c>
      <c r="AB6286">
        <v>46</v>
      </c>
      <c r="AC6286">
        <v>12.3597</v>
      </c>
      <c r="AD6286">
        <v>-1.1180749361360001</v>
      </c>
      <c r="AE6286">
        <v>43.681399999999996</v>
      </c>
      <c r="AF6286">
        <v>9.5457900005930192</v>
      </c>
      <c r="AG6286">
        <v>-1.1180749361360001</v>
      </c>
      <c r="AH6286">
        <v>44.353205896034801</v>
      </c>
      <c r="AI6286">
        <v>91.4117189769145</v>
      </c>
      <c r="AJ6286">
        <v>77.853957374545203</v>
      </c>
      <c r="AK6286">
        <v>45.382585553869603</v>
      </c>
      <c r="AL6286">
        <v>78.903793632776697</v>
      </c>
      <c r="AM6286">
        <v>86.248043143462894</v>
      </c>
      <c r="AN6286">
        <v>1.00000003450138</v>
      </c>
    </row>
    <row r="6287" spans="1:40" x14ac:dyDescent="0.25">
      <c r="A6287" t="str">
        <f>"20190303171137463"</f>
        <v>20190303171137463</v>
      </c>
      <c r="B6287" t="str">
        <f>"1551604297457115"</f>
        <v>1551604297457115</v>
      </c>
      <c r="C6287" t="s">
        <v>40</v>
      </c>
      <c r="D6287">
        <v>4.734121</v>
      </c>
      <c r="E6287">
        <v>0.56308599999999998</v>
      </c>
      <c r="F6287" t="s">
        <v>84</v>
      </c>
      <c r="G6287">
        <v>-175.5865</v>
      </c>
      <c r="H6287" s="1">
        <v>-8.8667419999999992E-6</v>
      </c>
      <c r="I6287">
        <v>147.83430000000001</v>
      </c>
      <c r="J6287">
        <v>-188.02510000000001</v>
      </c>
      <c r="K6287">
        <v>1.1180699999999999</v>
      </c>
      <c r="L6287">
        <v>104.60420000000001</v>
      </c>
      <c r="M6287">
        <v>6.5785579999999996E-2</v>
      </c>
      <c r="N6287">
        <v>-1.450746E-2</v>
      </c>
      <c r="O6287">
        <v>0.99772830000000001</v>
      </c>
      <c r="P6287">
        <v>0.12779689999999999</v>
      </c>
      <c r="Q6287">
        <v>0.17759829999999999</v>
      </c>
      <c r="R6287">
        <v>0.97576989999999997</v>
      </c>
      <c r="S6287">
        <v>0.85038760000000002</v>
      </c>
      <c r="T6287">
        <v>-7.6254489999999994E-2</v>
      </c>
      <c r="U6287">
        <v>2.9788209999999999</v>
      </c>
      <c r="V6287">
        <v>6.4572130000000005E-2</v>
      </c>
      <c r="W6287">
        <v>0.19140969999999999</v>
      </c>
      <c r="X6287">
        <v>0.97938389999999997</v>
      </c>
      <c r="Y6287">
        <v>0.21057790000000001</v>
      </c>
      <c r="Z6287">
        <v>-1.035465E-2</v>
      </c>
      <c r="AA6287">
        <v>0.97752229999999996</v>
      </c>
      <c r="AB6287">
        <v>46</v>
      </c>
      <c r="AC6287">
        <v>12.438599999999999</v>
      </c>
      <c r="AD6287">
        <v>-1.1180788667420001</v>
      </c>
      <c r="AE6287">
        <v>43.2301</v>
      </c>
      <c r="AF6287">
        <v>9.5615261906407998</v>
      </c>
      <c r="AG6287">
        <v>-1.1180788667420001</v>
      </c>
      <c r="AH6287">
        <v>43.927663801959099</v>
      </c>
      <c r="AI6287">
        <v>91.424674622626796</v>
      </c>
      <c r="AJ6287">
        <v>77.720239162239096</v>
      </c>
      <c r="AK6287">
        <v>44.970129314296102</v>
      </c>
      <c r="AL6287">
        <v>78.964936201737302</v>
      </c>
      <c r="AM6287">
        <v>86.2278697381809</v>
      </c>
      <c r="AN6287">
        <v>1.0000000284030099</v>
      </c>
    </row>
    <row r="6288" spans="1:40" x14ac:dyDescent="0.25">
      <c r="A6288" t="str">
        <f>"20190303171137486"</f>
        <v>20190303171137486</v>
      </c>
      <c r="B6288" t="str">
        <f>"1551604297476635"</f>
        <v>1551604297476635</v>
      </c>
      <c r="C6288" t="s">
        <v>40</v>
      </c>
      <c r="D6288">
        <v>4.7096999999999998</v>
      </c>
      <c r="E6288">
        <v>0.56351609999999996</v>
      </c>
      <c r="F6288" t="s">
        <v>84</v>
      </c>
      <c r="G6288">
        <v>-176.04990000000001</v>
      </c>
      <c r="H6288" s="1">
        <v>-8.5672929999999993E-6</v>
      </c>
      <c r="I6288">
        <v>146.01730000000001</v>
      </c>
      <c r="J6288">
        <v>-187.99209999999999</v>
      </c>
      <c r="K6288">
        <v>1.118077</v>
      </c>
      <c r="L6288">
        <v>105.0789</v>
      </c>
      <c r="M6288">
        <v>6.7998690000000001E-2</v>
      </c>
      <c r="N6288">
        <v>-1.4533590000000001E-2</v>
      </c>
      <c r="O6288">
        <v>0.99757960000000001</v>
      </c>
      <c r="P6288">
        <v>0.130718899999999</v>
      </c>
      <c r="Q6288">
        <v>0.1770533</v>
      </c>
      <c r="R6288">
        <v>0.97548170000000001</v>
      </c>
      <c r="S6288">
        <v>0.86067199999999899</v>
      </c>
      <c r="T6288">
        <v>-8.0357670000000006E-2</v>
      </c>
      <c r="U6288">
        <v>2.97641</v>
      </c>
      <c r="V6288">
        <v>6.5322909999999998E-2</v>
      </c>
      <c r="W6288">
        <v>0.1908869</v>
      </c>
      <c r="X6288">
        <v>0.97943610000000003</v>
      </c>
      <c r="Y6288">
        <v>0.21173159999999999</v>
      </c>
      <c r="Z6288">
        <v>-1.166389E-2</v>
      </c>
      <c r="AA6288">
        <v>0.97725830000000002</v>
      </c>
      <c r="AB6288">
        <v>46</v>
      </c>
      <c r="AC6288">
        <v>11.9421999999999</v>
      </c>
      <c r="AD6288">
        <v>-1.1180855672929999</v>
      </c>
      <c r="AE6288">
        <v>40.938400000000001</v>
      </c>
      <c r="AF6288">
        <v>9.1242292425596307</v>
      </c>
      <c r="AG6288">
        <v>-1.1180855672929999</v>
      </c>
      <c r="AH6288">
        <v>41.627148847223502</v>
      </c>
      <c r="AI6288">
        <v>91.502905353878006</v>
      </c>
      <c r="AJ6288">
        <v>77.636889551941294</v>
      </c>
      <c r="AK6288">
        <v>42.630050384153499</v>
      </c>
      <c r="AL6288">
        <v>78.995452620666896</v>
      </c>
      <c r="AM6288">
        <v>86.184342790600198</v>
      </c>
      <c r="AN6288">
        <v>0.99999998257284395</v>
      </c>
    </row>
    <row r="6289" spans="1:40" x14ac:dyDescent="0.25">
      <c r="A6289" t="str">
        <f>"20190303171137510"</f>
        <v>20190303171137510</v>
      </c>
      <c r="B6289" t="str">
        <f>"1551604297497131"</f>
        <v>1551604297497131</v>
      </c>
      <c r="C6289" t="s">
        <v>40</v>
      </c>
      <c r="D6289">
        <v>4.7224599999999999</v>
      </c>
      <c r="E6289">
        <v>0.56385410000000002</v>
      </c>
      <c r="F6289" t="s">
        <v>84</v>
      </c>
      <c r="G6289">
        <v>-176.09599999999901</v>
      </c>
      <c r="H6289" s="1">
        <v>-8.4478319999999999E-6</v>
      </c>
      <c r="I6289">
        <v>145.55950000000001</v>
      </c>
      <c r="J6289">
        <v>-187.9579</v>
      </c>
      <c r="K6289">
        <v>1.118079</v>
      </c>
      <c r="L6289">
        <v>105.5566</v>
      </c>
      <c r="M6289">
        <v>7.0226070000000002E-2</v>
      </c>
      <c r="N6289">
        <v>-1.4555830000000001E-2</v>
      </c>
      <c r="O6289">
        <v>0.99742489999999995</v>
      </c>
      <c r="P6289">
        <v>0.13427049999999999</v>
      </c>
      <c r="Q6289">
        <v>0.1776885</v>
      </c>
      <c r="R6289">
        <v>0.97488370000000002</v>
      </c>
      <c r="S6289">
        <v>0.87374879999999999</v>
      </c>
      <c r="T6289">
        <v>-8.2121250000000007E-2</v>
      </c>
      <c r="U6289">
        <v>2.9732210000000001</v>
      </c>
      <c r="V6289">
        <v>6.6716849999999994E-2</v>
      </c>
      <c r="W6289">
        <v>0.19153229999999999</v>
      </c>
      <c r="X6289">
        <v>0.97921619999999998</v>
      </c>
      <c r="Y6289">
        <v>0.21378620000000001</v>
      </c>
      <c r="Z6289">
        <v>-1.221934E-2</v>
      </c>
      <c r="AA6289">
        <v>0.97680400000000001</v>
      </c>
      <c r="AB6289">
        <v>46</v>
      </c>
      <c r="AC6289">
        <v>11.8619</v>
      </c>
      <c r="AD6289">
        <v>-1.118087447832</v>
      </c>
      <c r="AE6289">
        <v>40.002899999999997</v>
      </c>
      <c r="AF6289">
        <v>9.0165892964805998</v>
      </c>
      <c r="AG6289">
        <v>-1.118087447832</v>
      </c>
      <c r="AH6289">
        <v>40.707987531338397</v>
      </c>
      <c r="AI6289">
        <v>91.536082675694303</v>
      </c>
      <c r="AJ6289">
        <v>77.510939797576796</v>
      </c>
      <c r="AK6289">
        <v>41.709582243580499</v>
      </c>
      <c r="AL6289">
        <v>78.957779713612794</v>
      </c>
      <c r="AM6289">
        <v>86.102295487518901</v>
      </c>
      <c r="AN6289">
        <v>1.00000006317982</v>
      </c>
    </row>
    <row r="6290" spans="1:40" x14ac:dyDescent="0.25">
      <c r="A6290" t="str">
        <f>"20190303171137532"</f>
        <v>20190303171137532</v>
      </c>
      <c r="B6290" t="str">
        <f>"1551604297526916"</f>
        <v>1551604297526916</v>
      </c>
      <c r="C6290" t="s">
        <v>40</v>
      </c>
      <c r="D6290">
        <v>4.7324159999999997</v>
      </c>
      <c r="E6290">
        <v>0.56424600000000003</v>
      </c>
      <c r="F6290" t="s">
        <v>84</v>
      </c>
      <c r="G6290">
        <v>-175.74299999999999</v>
      </c>
      <c r="H6290" s="1">
        <v>-8.5188090000000001E-6</v>
      </c>
      <c r="I6290">
        <v>146.458</v>
      </c>
      <c r="J6290">
        <v>-187.92410000000001</v>
      </c>
      <c r="K6290">
        <v>1.1180890000000001</v>
      </c>
      <c r="L6290">
        <v>106.01430000000001</v>
      </c>
      <c r="M6290">
        <v>7.236078E-2</v>
      </c>
      <c r="N6290">
        <v>-1.4573859999999999E-2</v>
      </c>
      <c r="O6290">
        <v>0.99727200000000005</v>
      </c>
      <c r="P6290">
        <v>0.1383095</v>
      </c>
      <c r="Q6290">
        <v>0.17869879999999999</v>
      </c>
      <c r="R6290">
        <v>0.9741341</v>
      </c>
      <c r="S6290">
        <v>0.88694759999999995</v>
      </c>
      <c r="T6290">
        <v>-8.1186410000000001E-2</v>
      </c>
      <c r="U6290">
        <v>2.9699249999999999</v>
      </c>
      <c r="V6290">
        <v>6.87025E-2</v>
      </c>
      <c r="W6290">
        <v>0.19254309999999999</v>
      </c>
      <c r="X6290">
        <v>0.97888050000000004</v>
      </c>
      <c r="Y6290">
        <v>0.21597930000000001</v>
      </c>
      <c r="Z6290">
        <v>-1.19045E-2</v>
      </c>
      <c r="AA6290">
        <v>0.97632540000000001</v>
      </c>
      <c r="AB6290">
        <v>46</v>
      </c>
      <c r="AC6290">
        <v>12.181100000000001</v>
      </c>
      <c r="AD6290">
        <v>-1.1180975188090001</v>
      </c>
      <c r="AE6290">
        <v>40.4436999999999</v>
      </c>
      <c r="AF6290">
        <v>9.2158543209781794</v>
      </c>
      <c r="AG6290">
        <v>-1.1180975188090001</v>
      </c>
      <c r="AH6290">
        <v>41.190319705868902</v>
      </c>
      <c r="AI6290">
        <v>91.5173954651749</v>
      </c>
      <c r="AJ6290">
        <v>77.388438883297894</v>
      </c>
      <c r="AK6290">
        <v>42.223507083125497</v>
      </c>
      <c r="AL6290">
        <v>78.898765560891505</v>
      </c>
      <c r="AM6290">
        <v>85.9852924351014</v>
      </c>
      <c r="AN6290">
        <v>0.99999995607205405</v>
      </c>
    </row>
    <row r="6291" spans="1:40" x14ac:dyDescent="0.25">
      <c r="A6291" t="str">
        <f>"20190303171137554"</f>
        <v>20190303171137554</v>
      </c>
      <c r="B6291" t="str">
        <f>"1551604297547414"</f>
        <v>1551604297547414</v>
      </c>
      <c r="C6291" t="s">
        <v>40</v>
      </c>
      <c r="D6291">
        <v>4.7420030000000004</v>
      </c>
      <c r="E6291">
        <v>0.56459759999999903</v>
      </c>
      <c r="F6291" t="s">
        <v>84</v>
      </c>
      <c r="G6291">
        <v>-175.24690000000001</v>
      </c>
      <c r="H6291" s="1">
        <v>-8.6199420000000001E-6</v>
      </c>
      <c r="I6291">
        <v>147.72489999999999</v>
      </c>
      <c r="J6291">
        <v>-187.89099999999999</v>
      </c>
      <c r="K6291">
        <v>1.1181000000000001</v>
      </c>
      <c r="L6291">
        <v>106.44889999999999</v>
      </c>
      <c r="M6291">
        <v>7.4390199999999906E-2</v>
      </c>
      <c r="N6291">
        <v>-1.45882999999999E-2</v>
      </c>
      <c r="O6291">
        <v>0.99712250000000002</v>
      </c>
      <c r="P6291">
        <v>0.14206559999999999</v>
      </c>
      <c r="Q6291">
        <v>0.1791595</v>
      </c>
      <c r="R6291">
        <v>0.9735087</v>
      </c>
      <c r="S6291">
        <v>0.90153499999999998</v>
      </c>
      <c r="T6291">
        <v>-7.9513310000000004E-2</v>
      </c>
      <c r="U6291">
        <v>2.9662480000000002</v>
      </c>
      <c r="V6291">
        <v>7.0498530000000004E-2</v>
      </c>
      <c r="W6291">
        <v>0.19300400000000001</v>
      </c>
      <c r="X6291">
        <v>0.97866209999999998</v>
      </c>
      <c r="Y6291">
        <v>0.21872630000000001</v>
      </c>
      <c r="Z6291">
        <v>-1.1353800000000001E-2</v>
      </c>
      <c r="AA6291">
        <v>0.97572020000000004</v>
      </c>
      <c r="AB6291">
        <v>46</v>
      </c>
      <c r="AC6291">
        <v>12.6440999999999</v>
      </c>
      <c r="AD6291">
        <v>-1.1181086199420001</v>
      </c>
      <c r="AE6291">
        <v>41.276000000000003</v>
      </c>
      <c r="AF6291">
        <v>9.5318073847718097</v>
      </c>
      <c r="AG6291">
        <v>-1.1181086199420001</v>
      </c>
      <c r="AH6291">
        <v>42.074080723870701</v>
      </c>
      <c r="AI6291">
        <v>91.484658155670402</v>
      </c>
      <c r="AJ6291">
        <v>77.235213379175093</v>
      </c>
      <c r="AK6291">
        <v>43.154765526708204</v>
      </c>
      <c r="AL6291">
        <v>78.871854163373001</v>
      </c>
      <c r="AM6291">
        <v>85.879780017491996</v>
      </c>
      <c r="AN6291">
        <v>1.00000004636228</v>
      </c>
    </row>
    <row r="6292" spans="1:40" x14ac:dyDescent="0.25">
      <c r="A6292" t="str">
        <f>"20190303171137575"</f>
        <v>20190303171137575</v>
      </c>
      <c r="B6292" t="str">
        <f>"1551604297566933"</f>
        <v>1551604297566933</v>
      </c>
      <c r="C6292" t="s">
        <v>40</v>
      </c>
      <c r="D6292">
        <v>4.7920740000000004</v>
      </c>
      <c r="E6292">
        <v>0.56488760000000005</v>
      </c>
      <c r="F6292" t="s">
        <v>84</v>
      </c>
      <c r="G6292">
        <v>-174.97900000000001</v>
      </c>
      <c r="H6292" s="1">
        <v>-8.625883E-6</v>
      </c>
      <c r="I6292">
        <v>148.2587</v>
      </c>
      <c r="J6292">
        <v>-187.85509999999999</v>
      </c>
      <c r="K6292">
        <v>1.1181019999999999</v>
      </c>
      <c r="L6292">
        <v>106.9093</v>
      </c>
      <c r="M6292">
        <v>7.6547340000000005E-2</v>
      </c>
      <c r="N6292">
        <v>-1.460125E-2</v>
      </c>
      <c r="O6292">
        <v>0.99695900000000004</v>
      </c>
      <c r="P6292">
        <v>0.14487439999999999</v>
      </c>
      <c r="Q6292">
        <v>0.17889730000000001</v>
      </c>
      <c r="R6292">
        <v>0.97314290000000003</v>
      </c>
      <c r="S6292">
        <v>0.91496279999999997</v>
      </c>
      <c r="T6292">
        <v>-7.9230549999999997E-2</v>
      </c>
      <c r="U6292">
        <v>2.9626920000000001</v>
      </c>
      <c r="V6292">
        <v>7.1201890000000004E-2</v>
      </c>
      <c r="W6292">
        <v>0.19274939999999999</v>
      </c>
      <c r="X6292">
        <v>0.97866129999999996</v>
      </c>
      <c r="Y6292">
        <v>0.2209825</v>
      </c>
      <c r="Z6292">
        <v>-1.125632E-2</v>
      </c>
      <c r="AA6292">
        <v>0.97521279999999999</v>
      </c>
      <c r="AB6292">
        <v>46</v>
      </c>
      <c r="AC6292">
        <v>12.8760999999999</v>
      </c>
      <c r="AD6292">
        <v>-1.118110625883</v>
      </c>
      <c r="AE6292">
        <v>41.349400000000003</v>
      </c>
      <c r="AF6292">
        <v>9.66634548354779</v>
      </c>
      <c r="AG6292">
        <v>-1.118110625883</v>
      </c>
      <c r="AH6292">
        <v>42.1856699784311</v>
      </c>
      <c r="AI6292">
        <v>91.479905301495407</v>
      </c>
      <c r="AJ6292">
        <v>77.094144848057795</v>
      </c>
      <c r="AK6292">
        <v>43.293407788116198</v>
      </c>
      <c r="AL6292">
        <v>78.886720187588296</v>
      </c>
      <c r="AM6292">
        <v>85.838813104602494</v>
      </c>
      <c r="AN6292">
        <v>0.99999999022881003</v>
      </c>
    </row>
    <row r="6293" spans="1:40" x14ac:dyDescent="0.25">
      <c r="A6293" t="str">
        <f>"20190303171137598"</f>
        <v>20190303171137598</v>
      </c>
      <c r="B6293" t="str">
        <f>"1551604297586453"</f>
        <v>1551604297586453</v>
      </c>
      <c r="C6293" t="s">
        <v>40</v>
      </c>
      <c r="D6293">
        <v>4.7511580000000002</v>
      </c>
      <c r="E6293">
        <v>0.56518409999999997</v>
      </c>
      <c r="F6293" t="s">
        <v>84</v>
      </c>
      <c r="G6293">
        <v>-174.983</v>
      </c>
      <c r="H6293" s="1">
        <v>-8.5605730000000001E-6</v>
      </c>
      <c r="I6293">
        <v>148.04910000000001</v>
      </c>
      <c r="J6293">
        <v>-187.81970000000001</v>
      </c>
      <c r="K6293">
        <v>1.1180969999999999</v>
      </c>
      <c r="L6293">
        <v>107.3502</v>
      </c>
      <c r="M6293">
        <v>7.8633640000000005E-2</v>
      </c>
      <c r="N6293">
        <v>-1.461174E-2</v>
      </c>
      <c r="O6293">
        <v>0.99679649999999997</v>
      </c>
      <c r="P6293">
        <v>0.14761759999999999</v>
      </c>
      <c r="Q6293">
        <v>0.17760490000000001</v>
      </c>
      <c r="R6293">
        <v>0.97296740000000004</v>
      </c>
      <c r="S6293">
        <v>0.92605590000000004</v>
      </c>
      <c r="T6293">
        <v>-8.0440159999999997E-2</v>
      </c>
      <c r="U6293">
        <v>2.9597169999999999</v>
      </c>
      <c r="V6293">
        <v>7.1891430000000006E-2</v>
      </c>
      <c r="W6293">
        <v>0.19146450000000001</v>
      </c>
      <c r="X6293">
        <v>0.97886309999999999</v>
      </c>
      <c r="Y6293">
        <v>0.22254769999999999</v>
      </c>
      <c r="Z6293">
        <v>-1.1644389999999999E-2</v>
      </c>
      <c r="AA6293">
        <v>0.9748523</v>
      </c>
      <c r="AB6293">
        <v>46</v>
      </c>
      <c r="AC6293">
        <v>12.8367</v>
      </c>
      <c r="AD6293">
        <v>-1.1181055605729999</v>
      </c>
      <c r="AE6293">
        <v>40.698900000000002</v>
      </c>
      <c r="AF6293">
        <v>9.5897164696341992</v>
      </c>
      <c r="AG6293">
        <v>-1.1181055605729999</v>
      </c>
      <c r="AH6293">
        <v>41.553831570944197</v>
      </c>
      <c r="AI6293">
        <v>91.501852858002096</v>
      </c>
      <c r="AJ6293">
        <v>77.004897890140796</v>
      </c>
      <c r="AK6293">
        <v>42.6606814319574</v>
      </c>
      <c r="AL6293">
        <v>78.961736915898697</v>
      </c>
      <c r="AM6293">
        <v>85.799521596151394</v>
      </c>
      <c r="AN6293">
        <v>1.0000000005046501</v>
      </c>
    </row>
    <row r="6294" spans="1:40" x14ac:dyDescent="0.25">
      <c r="A6294" t="str">
        <f>"20190303171137629"</f>
        <v>20190303171137629</v>
      </c>
      <c r="B6294" t="str">
        <f>"1551604297617171"</f>
        <v>1551604297617171</v>
      </c>
      <c r="C6294" t="s">
        <v>40</v>
      </c>
      <c r="D6294">
        <v>4.7638109999999996</v>
      </c>
      <c r="E6294">
        <v>0.56559219999999999</v>
      </c>
      <c r="F6294" t="s">
        <v>84</v>
      </c>
      <c r="G6294">
        <v>-175.45269999999999</v>
      </c>
      <c r="H6294" s="1">
        <v>-8.3059490000000003E-6</v>
      </c>
      <c r="I6294">
        <v>146.35849999999999</v>
      </c>
      <c r="J6294">
        <v>-187.76509999999999</v>
      </c>
      <c r="K6294">
        <v>1.1180699999999999</v>
      </c>
      <c r="L6294">
        <v>108.0073</v>
      </c>
      <c r="M6294">
        <v>8.1811519999999999E-2</v>
      </c>
      <c r="N6294">
        <v>-1.462492E-2</v>
      </c>
      <c r="O6294">
        <v>0.99654050000000005</v>
      </c>
      <c r="P6294">
        <v>0.15077009999999999</v>
      </c>
      <c r="Q6294">
        <v>0.1779009</v>
      </c>
      <c r="R6294">
        <v>0.97242980000000001</v>
      </c>
      <c r="S6294">
        <v>0.93734740000000005</v>
      </c>
      <c r="T6294">
        <v>-8.4746360000000007E-2</v>
      </c>
      <c r="U6294">
        <v>2.9566189999999999</v>
      </c>
      <c r="V6294">
        <v>7.1964E-2</v>
      </c>
      <c r="W6294">
        <v>0.19176679999999999</v>
      </c>
      <c r="X6294">
        <v>0.97879859999999996</v>
      </c>
      <c r="Y6294">
        <v>0.22310930000000001</v>
      </c>
      <c r="Z6294">
        <v>-1.303575E-2</v>
      </c>
      <c r="AA6294">
        <v>0.97470630000000003</v>
      </c>
      <c r="AB6294">
        <v>46</v>
      </c>
      <c r="AC6294">
        <v>12.312399999999901</v>
      </c>
      <c r="AD6294">
        <v>-1.118078305949</v>
      </c>
      <c r="AE6294">
        <v>38.351199999999899</v>
      </c>
      <c r="AF6294">
        <v>9.1261802637478606</v>
      </c>
      <c r="AG6294">
        <v>-1.118078305949</v>
      </c>
      <c r="AH6294">
        <v>39.199811957587002</v>
      </c>
      <c r="AI6294">
        <v>91.591246298602897</v>
      </c>
      <c r="AJ6294">
        <v>76.894317677352404</v>
      </c>
      <c r="AK6294">
        <v>40.263662560860404</v>
      </c>
      <c r="AL6294">
        <v>78.944089512678104</v>
      </c>
      <c r="AM6294">
        <v>85.795020585661604</v>
      </c>
      <c r="AN6294">
        <v>1.0000000111201</v>
      </c>
    </row>
    <row r="6295" spans="1:40" x14ac:dyDescent="0.25">
      <c r="A6295" t="str">
        <f>"20190303171137654"</f>
        <v>20190303171137654</v>
      </c>
      <c r="B6295" t="str">
        <f>"1551604297647402"</f>
        <v>1551604297647402</v>
      </c>
      <c r="C6295" t="s">
        <v>40</v>
      </c>
      <c r="D6295">
        <v>4.7770669999999997</v>
      </c>
      <c r="E6295">
        <v>0.56597259999999905</v>
      </c>
      <c r="F6295" t="s">
        <v>84</v>
      </c>
      <c r="G6295">
        <v>-175.16550000000001</v>
      </c>
      <c r="H6295" s="1">
        <v>-8.3939570000000003E-6</v>
      </c>
      <c r="I6295">
        <v>147.1832</v>
      </c>
      <c r="J6295">
        <v>-187.72399999999999</v>
      </c>
      <c r="K6295">
        <v>1.118047</v>
      </c>
      <c r="L6295">
        <v>108.4859</v>
      </c>
      <c r="M6295">
        <v>8.4182899999999894E-2</v>
      </c>
      <c r="N6295">
        <v>-1.463304E-2</v>
      </c>
      <c r="O6295">
        <v>0.99634290000000003</v>
      </c>
      <c r="P6295">
        <v>0.152059</v>
      </c>
      <c r="Q6295">
        <v>0.1794337</v>
      </c>
      <c r="R6295">
        <v>0.97194729999999996</v>
      </c>
      <c r="S6295">
        <v>0.94979860000000005</v>
      </c>
      <c r="T6295">
        <v>-8.4284189999999995E-2</v>
      </c>
      <c r="U6295">
        <v>2.953201</v>
      </c>
      <c r="V6295">
        <v>7.0979799999999996E-2</v>
      </c>
      <c r="W6295">
        <v>0.1933048</v>
      </c>
      <c r="X6295">
        <v>0.97856790000000005</v>
      </c>
      <c r="Y6295">
        <v>0.22484319999999999</v>
      </c>
      <c r="Z6295">
        <v>-1.2885189999999999E-2</v>
      </c>
      <c r="AA6295">
        <v>0.97430969999999995</v>
      </c>
      <c r="AB6295">
        <v>46</v>
      </c>
      <c r="AC6295">
        <v>12.5585</v>
      </c>
      <c r="AD6295">
        <v>-1.1180553939569999</v>
      </c>
      <c r="AE6295">
        <v>38.697299999999998</v>
      </c>
      <c r="AF6295">
        <v>9.2489270790450107</v>
      </c>
      <c r="AG6295">
        <v>-1.1180553939569999</v>
      </c>
      <c r="AH6295">
        <v>39.587334225172199</v>
      </c>
      <c r="AI6295">
        <v>91.575358941037095</v>
      </c>
      <c r="AJ6295">
        <v>76.849669008334402</v>
      </c>
      <c r="AK6295">
        <v>40.668780791080302</v>
      </c>
      <c r="AL6295">
        <v>78.854288357351194</v>
      </c>
      <c r="AM6295">
        <v>85.851352576690402</v>
      </c>
      <c r="AN6295">
        <v>1.0000000063107399</v>
      </c>
    </row>
    <row r="6296" spans="1:40" x14ac:dyDescent="0.25">
      <c r="A6296" t="str">
        <f>"20190303171137679"</f>
        <v>20190303171137679</v>
      </c>
      <c r="B6296" t="str">
        <f>"1551604297666922"</f>
        <v>1551604297666922</v>
      </c>
      <c r="C6296" t="s">
        <v>40</v>
      </c>
      <c r="D6296">
        <v>4.7796649999999996</v>
      </c>
      <c r="E6296">
        <v>0.56619419999999898</v>
      </c>
      <c r="F6296" t="s">
        <v>84</v>
      </c>
      <c r="G6296">
        <v>-174.4828</v>
      </c>
      <c r="H6296" s="1">
        <v>-8.7526899999999994E-6</v>
      </c>
      <c r="I6296">
        <v>149.3424</v>
      </c>
      <c r="J6296">
        <v>-187.6789</v>
      </c>
      <c r="K6296">
        <v>1.1180019999999999</v>
      </c>
      <c r="L6296">
        <v>108.9956</v>
      </c>
      <c r="M6296">
        <v>8.6796999999999999E-2</v>
      </c>
      <c r="N6296">
        <v>-1.4640709999999999E-2</v>
      </c>
      <c r="O6296">
        <v>0.99611839999999996</v>
      </c>
      <c r="P6296">
        <v>0.15279709999999999</v>
      </c>
      <c r="Q6296">
        <v>0.17971609999999999</v>
      </c>
      <c r="R6296">
        <v>0.97177939999999996</v>
      </c>
      <c r="S6296">
        <v>0.95666499999999999</v>
      </c>
      <c r="T6296">
        <v>-8.0778119999999995E-2</v>
      </c>
      <c r="U6296">
        <v>2.9518279999999999</v>
      </c>
      <c r="V6296">
        <v>6.9182889999999997E-2</v>
      </c>
      <c r="W6296">
        <v>0.19359860000000001</v>
      </c>
      <c r="X6296">
        <v>0.97863849999999997</v>
      </c>
      <c r="Y6296">
        <v>0.22447710000000001</v>
      </c>
      <c r="Z6296">
        <v>-1.174359E-2</v>
      </c>
      <c r="AA6296">
        <v>0.97440859999999996</v>
      </c>
      <c r="AB6296">
        <v>46</v>
      </c>
      <c r="AC6296">
        <v>13.196099999999999</v>
      </c>
      <c r="AD6296">
        <v>-1.1180107526899901</v>
      </c>
      <c r="AE6296">
        <v>40.346800000000002</v>
      </c>
      <c r="AF6296">
        <v>9.6372459495902199</v>
      </c>
      <c r="AG6296">
        <v>-1.1180107526899901</v>
      </c>
      <c r="AH6296">
        <v>41.311348544020198</v>
      </c>
      <c r="AI6296">
        <v>91.509703552279902</v>
      </c>
      <c r="AJ6296">
        <v>76.868698728592904</v>
      </c>
      <c r="AK6296">
        <v>42.435291633987198</v>
      </c>
      <c r="AL6296">
        <v>78.837130697217404</v>
      </c>
      <c r="AM6296">
        <v>85.956316694490894</v>
      </c>
      <c r="AN6296">
        <v>1.0000000019364801</v>
      </c>
    </row>
    <row r="6297" spans="1:40" x14ac:dyDescent="0.25">
      <c r="A6297" t="str">
        <f>"20190303171137699"</f>
        <v>20190303171137699</v>
      </c>
      <c r="B6297" t="str">
        <f>"1551604297686442"</f>
        <v>1551604297686442</v>
      </c>
      <c r="C6297" t="s">
        <v>40</v>
      </c>
      <c r="D6297">
        <v>4.816033</v>
      </c>
      <c r="E6297">
        <v>0.56646039999999998</v>
      </c>
      <c r="F6297" t="s">
        <v>84</v>
      </c>
      <c r="G6297">
        <v>-174.4597</v>
      </c>
      <c r="H6297">
        <v>6.0329789999999999E-3</v>
      </c>
      <c r="I6297">
        <v>149.6163</v>
      </c>
      <c r="J6297">
        <v>-187.64279999999999</v>
      </c>
      <c r="K6297">
        <v>1.1179429999999999</v>
      </c>
      <c r="L6297">
        <v>109.39239999999999</v>
      </c>
      <c r="M6297">
        <v>8.8909050000000003E-2</v>
      </c>
      <c r="N6297">
        <v>-1.464609E-2</v>
      </c>
      <c r="O6297">
        <v>0.99593200000000004</v>
      </c>
      <c r="P6297">
        <v>0.15327470000000001</v>
      </c>
      <c r="Q6297">
        <v>0.17858560000000001</v>
      </c>
      <c r="R6297">
        <v>0.97191260000000002</v>
      </c>
      <c r="S6297">
        <v>0.96035769999999998</v>
      </c>
      <c r="T6297">
        <v>-8.0783250000000001E-2</v>
      </c>
      <c r="U6297">
        <v>2.95105</v>
      </c>
      <c r="V6297">
        <v>6.7584539999999999E-2</v>
      </c>
      <c r="W6297">
        <v>0.19247990000000001</v>
      </c>
      <c r="X6297">
        <v>0.97897080000000003</v>
      </c>
      <c r="Y6297">
        <v>0.22358919999999999</v>
      </c>
      <c r="Z6297">
        <v>-1.1742539999999999E-2</v>
      </c>
      <c r="AA6297">
        <v>0.9746127</v>
      </c>
      <c r="AB6297">
        <v>46</v>
      </c>
      <c r="AC6297">
        <v>13.1830999999999</v>
      </c>
      <c r="AD6297">
        <v>-1.1119100209999999</v>
      </c>
      <c r="AE6297">
        <v>40.2239</v>
      </c>
      <c r="AF6297">
        <v>9.5476397480558592</v>
      </c>
      <c r="AG6297">
        <v>-1.1119100209999999</v>
      </c>
      <c r="AH6297">
        <v>41.208357176881201</v>
      </c>
      <c r="AI6297">
        <v>91.505748298857895</v>
      </c>
      <c r="AJ6297">
        <v>76.955204988857702</v>
      </c>
      <c r="AK6297">
        <v>42.314565693988598</v>
      </c>
      <c r="AL6297">
        <v>78.902456224423901</v>
      </c>
      <c r="AM6297">
        <v>86.050776377335595</v>
      </c>
      <c r="AN6297">
        <v>1.00000000460183</v>
      </c>
    </row>
    <row r="6298" spans="1:40" x14ac:dyDescent="0.25">
      <c r="A6298" t="str">
        <f>"20190303171137721"</f>
        <v>20190303171137721</v>
      </c>
      <c r="B6298" t="str">
        <f>"1551604297706938"</f>
        <v>1551604297706938</v>
      </c>
      <c r="C6298" t="s">
        <v>40</v>
      </c>
      <c r="D6298">
        <v>4.7648820000000001</v>
      </c>
      <c r="E6298">
        <v>0.57424129999999995</v>
      </c>
      <c r="F6298" t="s">
        <v>84</v>
      </c>
      <c r="G6298">
        <v>-174.89150000000001</v>
      </c>
      <c r="H6298" s="1">
        <v>-8.6287749999999994E-6</v>
      </c>
      <c r="I6298">
        <v>148.39920000000001</v>
      </c>
      <c r="J6298">
        <v>-187.59979999999999</v>
      </c>
      <c r="K6298">
        <v>1.117861</v>
      </c>
      <c r="L6298">
        <v>109.8528</v>
      </c>
      <c r="M6298">
        <v>9.1444609999999996E-2</v>
      </c>
      <c r="N6298">
        <v>-1.465168E-2</v>
      </c>
      <c r="O6298">
        <v>0.99570239999999999</v>
      </c>
      <c r="P6298">
        <v>0.155226</v>
      </c>
      <c r="Q6298">
        <v>0.17807400000000001</v>
      </c>
      <c r="R6298">
        <v>0.97169669999999997</v>
      </c>
      <c r="S6298">
        <v>0.96440119999999896</v>
      </c>
      <c r="T6298">
        <v>-8.4552409999999995E-2</v>
      </c>
      <c r="U6298">
        <v>2.9501499999999998</v>
      </c>
      <c r="V6298">
        <v>6.7078269999999995E-2</v>
      </c>
      <c r="W6298">
        <v>0.19196750000000001</v>
      </c>
      <c r="X6298">
        <v>0.97910620000000004</v>
      </c>
      <c r="Y6298">
        <v>0.22239590000000001</v>
      </c>
      <c r="Z6298">
        <v>-1.296129E-2</v>
      </c>
      <c r="AA6298">
        <v>0.97487029999999997</v>
      </c>
      <c r="AB6298">
        <v>45</v>
      </c>
      <c r="AC6298">
        <v>12.7082999999999</v>
      </c>
      <c r="AD6298">
        <v>-1.1178696287750001</v>
      </c>
      <c r="AE6298">
        <v>38.546399999999998</v>
      </c>
      <c r="AF6298">
        <v>9.1228835796117203</v>
      </c>
      <c r="AG6298">
        <v>-1.1178696287750001</v>
      </c>
      <c r="AH6298">
        <v>39.5171154438586</v>
      </c>
      <c r="AI6298">
        <v>91.578859230686305</v>
      </c>
      <c r="AJ6298">
        <v>77.000497452872807</v>
      </c>
      <c r="AK6298">
        <v>40.571899762241003</v>
      </c>
      <c r="AL6298">
        <v>78.932372245674898</v>
      </c>
      <c r="AM6298">
        <v>86.080807476894293</v>
      </c>
      <c r="AN6298">
        <v>0.99999998312044103</v>
      </c>
    </row>
    <row r="6299" spans="1:40" x14ac:dyDescent="0.25">
      <c r="A6299" t="str">
        <f>"20190303171137744"</f>
        <v>20190303171137744</v>
      </c>
      <c r="B6299" t="str">
        <f>"1551604297737196"</f>
        <v>1551604297737196</v>
      </c>
      <c r="C6299" t="s">
        <v>40</v>
      </c>
      <c r="D6299">
        <v>4.824465</v>
      </c>
      <c r="E6299">
        <v>0.57492529999999997</v>
      </c>
      <c r="F6299" t="s">
        <v>84</v>
      </c>
      <c r="G6299">
        <v>-176.48390000000001</v>
      </c>
      <c r="H6299" s="1">
        <v>-7.3984150000000004E-6</v>
      </c>
      <c r="I6299">
        <v>141.5702</v>
      </c>
      <c r="J6299">
        <v>-187.55600000000001</v>
      </c>
      <c r="K6299">
        <v>1.1177709999999901</v>
      </c>
      <c r="L6299">
        <v>110.307</v>
      </c>
      <c r="M6299">
        <v>9.405123E-2</v>
      </c>
      <c r="N6299">
        <v>-1.4656489999999999E-2</v>
      </c>
      <c r="O6299">
        <v>0.99545950000000005</v>
      </c>
      <c r="P6299">
        <v>0.15730539999999901</v>
      </c>
      <c r="Q6299">
        <v>0.17664449999999901</v>
      </c>
      <c r="R6299">
        <v>0.97162320000000002</v>
      </c>
      <c r="S6299">
        <v>1.0309600000000001</v>
      </c>
      <c r="T6299">
        <v>-0.10367850000000001</v>
      </c>
      <c r="U6299">
        <v>2.941681</v>
      </c>
      <c r="V6299">
        <v>6.6613229999999996E-2</v>
      </c>
      <c r="W6299">
        <v>0.19053719999999999</v>
      </c>
      <c r="X6299">
        <v>0.97941730000000005</v>
      </c>
      <c r="Y6299">
        <v>0.24036650000000001</v>
      </c>
      <c r="Z6299">
        <v>-1.9058200000000001E-2</v>
      </c>
      <c r="AA6299">
        <v>0.97049510000000005</v>
      </c>
      <c r="AB6299">
        <v>45</v>
      </c>
      <c r="AC6299">
        <v>11.072099999999899</v>
      </c>
      <c r="AD6299">
        <v>-1.11777839841499</v>
      </c>
      <c r="AE6299">
        <v>31.263200000000001</v>
      </c>
      <c r="AF6299">
        <v>8.0731825538933695</v>
      </c>
      <c r="AG6299">
        <v>-1.11777839841499</v>
      </c>
      <c r="AH6299">
        <v>32.129553219987102</v>
      </c>
      <c r="AI6299">
        <v>91.932477418777594</v>
      </c>
      <c r="AJ6299">
        <v>75.895308964908807</v>
      </c>
      <c r="AK6299">
        <v>33.147155160170698</v>
      </c>
      <c r="AL6299">
        <v>79.015863740890197</v>
      </c>
      <c r="AM6299">
        <v>86.109127123681205</v>
      </c>
      <c r="AN6299">
        <v>0.999999997267081</v>
      </c>
    </row>
    <row r="6300" spans="1:40" x14ac:dyDescent="0.25">
      <c r="A6300" t="str">
        <f>"20190303171137766"</f>
        <v>20190303171137766</v>
      </c>
      <c r="B6300" t="str">
        <f>"1551604297756715"</f>
        <v>1551604297756715</v>
      </c>
      <c r="C6300" t="s">
        <v>40</v>
      </c>
      <c r="D6300">
        <v>4.8273380000000001</v>
      </c>
      <c r="E6300">
        <v>0.5757679</v>
      </c>
      <c r="F6300" t="s">
        <v>84</v>
      </c>
      <c r="G6300">
        <v>-176.42859999999999</v>
      </c>
      <c r="H6300" s="1">
        <v>-7.397642E-6</v>
      </c>
      <c r="I6300">
        <v>141.67420000000001</v>
      </c>
      <c r="J6300">
        <v>-187.5102</v>
      </c>
      <c r="K6300">
        <v>1.1176549999999901</v>
      </c>
      <c r="L6300">
        <v>110.76990000000001</v>
      </c>
      <c r="M6300">
        <v>9.6841010000000005E-2</v>
      </c>
      <c r="N6300">
        <v>-1.4661209999999999E-2</v>
      </c>
      <c r="O6300">
        <v>0.99519190000000002</v>
      </c>
      <c r="P6300">
        <v>0.15933320000000001</v>
      </c>
      <c r="Q6300">
        <v>0.17448610000000001</v>
      </c>
      <c r="R6300">
        <v>0.97168279999999996</v>
      </c>
      <c r="S6300">
        <v>1.0422209999999901</v>
      </c>
      <c r="T6300">
        <v>-0.1046933</v>
      </c>
      <c r="U6300">
        <v>2.9379119999999999</v>
      </c>
      <c r="V6300">
        <v>6.5904749999999998E-2</v>
      </c>
      <c r="W6300">
        <v>0.18837880000000001</v>
      </c>
      <c r="X6300">
        <v>0.9798827</v>
      </c>
      <c r="Y6300">
        <v>0.24133930000000001</v>
      </c>
      <c r="Z6300">
        <v>-1.9392659999999999E-2</v>
      </c>
      <c r="AA6300">
        <v>0.97024699999999997</v>
      </c>
      <c r="AB6300">
        <v>45</v>
      </c>
      <c r="AC6300">
        <v>11.0816</v>
      </c>
      <c r="AD6300">
        <v>-1.1176623976419999</v>
      </c>
      <c r="AE6300">
        <v>30.904299999999999</v>
      </c>
      <c r="AF6300">
        <v>8.0270757890818398</v>
      </c>
      <c r="AG6300">
        <v>-1.1176623976419999</v>
      </c>
      <c r="AH6300">
        <v>31.7954347226168</v>
      </c>
      <c r="AI6300">
        <v>91.952016525530297</v>
      </c>
      <c r="AJ6300">
        <v>75.831176353462496</v>
      </c>
      <c r="AK6300">
        <v>32.812082898818801</v>
      </c>
      <c r="AL6300">
        <v>79.141812708345498</v>
      </c>
      <c r="AM6300">
        <v>86.152207183449804</v>
      </c>
      <c r="AN6300">
        <v>1.00000005706064</v>
      </c>
    </row>
    <row r="6301" spans="1:40" x14ac:dyDescent="0.25">
      <c r="A6301" t="str">
        <f>"20190303171137787"</f>
        <v>20190303171137787</v>
      </c>
      <c r="B6301" t="str">
        <f>"1551604297777210"</f>
        <v>1551604297777210</v>
      </c>
      <c r="C6301" t="s">
        <v>40</v>
      </c>
      <c r="D6301">
        <v>4.8272690000000003</v>
      </c>
      <c r="E6301">
        <v>0.57610709999999998</v>
      </c>
      <c r="F6301" t="s">
        <v>84</v>
      </c>
      <c r="G6301">
        <v>-176.93780000000001</v>
      </c>
      <c r="H6301" s="1">
        <v>-7.230859E-6</v>
      </c>
      <c r="I6301">
        <v>140.17910000000001</v>
      </c>
      <c r="J6301">
        <v>-187.46530000000001</v>
      </c>
      <c r="K6301">
        <v>1.117526</v>
      </c>
      <c r="L6301">
        <v>111.2101</v>
      </c>
      <c r="M6301">
        <v>9.9647429999999995E-2</v>
      </c>
      <c r="N6301">
        <v>-1.46662999999999E-2</v>
      </c>
      <c r="O6301">
        <v>0.99491470000000004</v>
      </c>
      <c r="P6301">
        <v>0.16155720000000001</v>
      </c>
      <c r="Q6301">
        <v>0.173576799999999</v>
      </c>
      <c r="R6301">
        <v>0.97147850000000002</v>
      </c>
      <c r="S6301">
        <v>1.054916</v>
      </c>
      <c r="T6301">
        <v>-0.1115208</v>
      </c>
      <c r="U6301">
        <v>2.9344640000000002</v>
      </c>
      <c r="V6301">
        <v>6.5415840000000003E-2</v>
      </c>
      <c r="W6301">
        <v>0.18746180000000001</v>
      </c>
      <c r="X6301">
        <v>0.98009120000000005</v>
      </c>
      <c r="Y6301">
        <v>0.24266409999999999</v>
      </c>
      <c r="Z6301">
        <v>-2.1593649999999999E-2</v>
      </c>
      <c r="AA6301">
        <v>0.96987000000000001</v>
      </c>
      <c r="AB6301">
        <v>45</v>
      </c>
      <c r="AC6301">
        <v>10.5275</v>
      </c>
      <c r="AD6301">
        <v>-1.117533230859</v>
      </c>
      <c r="AE6301">
        <v>28.969000000000001</v>
      </c>
      <c r="AF6301">
        <v>7.5781323902236499</v>
      </c>
      <c r="AG6301">
        <v>-1.117533230859</v>
      </c>
      <c r="AH6301">
        <v>29.8347160582803</v>
      </c>
      <c r="AI6301">
        <v>92.079189054275403</v>
      </c>
      <c r="AJ6301">
        <v>75.748052028481595</v>
      </c>
      <c r="AK6301">
        <v>30.802390383280901</v>
      </c>
      <c r="AL6301">
        <v>79.195304890561005</v>
      </c>
      <c r="AM6301">
        <v>86.181477082618997</v>
      </c>
      <c r="AN6301">
        <v>0.99999995944979203</v>
      </c>
    </row>
    <row r="6302" spans="1:40" x14ac:dyDescent="0.25">
      <c r="A6302" t="str">
        <f>"20190303171137808"</f>
        <v>20190303171137808</v>
      </c>
      <c r="B6302" t="str">
        <f>"1551604297796730"</f>
        <v>1551604297796730</v>
      </c>
      <c r="C6302" t="s">
        <v>40</v>
      </c>
      <c r="D6302">
        <v>5.1055999999999999</v>
      </c>
      <c r="E6302">
        <v>0.57636489999999996</v>
      </c>
      <c r="F6302" t="s">
        <v>84</v>
      </c>
      <c r="G6302">
        <v>-177.07740000000001</v>
      </c>
      <c r="H6302" s="1">
        <v>-7.1846650000000001E-6</v>
      </c>
      <c r="I6302">
        <v>139.76769999999999</v>
      </c>
      <c r="J6302">
        <v>-187.4212</v>
      </c>
      <c r="K6302">
        <v>1.1173820000000001</v>
      </c>
      <c r="L6302">
        <v>111.629</v>
      </c>
      <c r="M6302">
        <v>0.10248500000000001</v>
      </c>
      <c r="N6302">
        <v>-1.4672050000000001E-2</v>
      </c>
      <c r="O6302">
        <v>0.99462629999999996</v>
      </c>
      <c r="P6302">
        <v>0.16503880000000001</v>
      </c>
      <c r="Q6302">
        <v>0.17393929999999999</v>
      </c>
      <c r="R6302">
        <v>0.97082820000000003</v>
      </c>
      <c r="S6302">
        <v>1.066254</v>
      </c>
      <c r="T6302">
        <v>-0.1147085</v>
      </c>
      <c r="U6302">
        <v>2.9312740000000002</v>
      </c>
      <c r="V6302">
        <v>6.6210950000000005E-2</v>
      </c>
      <c r="W6302">
        <v>0.18779899999999999</v>
      </c>
      <c r="X6302">
        <v>0.97997330000000005</v>
      </c>
      <c r="Y6302">
        <v>0.2435398</v>
      </c>
      <c r="Z6302">
        <v>-2.2620040000000001E-2</v>
      </c>
      <c r="AA6302">
        <v>0.96962709999999996</v>
      </c>
      <c r="AB6302">
        <v>45</v>
      </c>
      <c r="AC6302">
        <v>10.3437999999999</v>
      </c>
      <c r="AD6302">
        <v>-1.1173891846649999</v>
      </c>
      <c r="AE6302">
        <v>28.1387</v>
      </c>
      <c r="AF6302">
        <v>7.39494541314349</v>
      </c>
      <c r="AG6302">
        <v>-1.1173891846649999</v>
      </c>
      <c r="AH6302">
        <v>29.010403220979001</v>
      </c>
      <c r="AI6302">
        <v>92.137477697040694</v>
      </c>
      <c r="AJ6302">
        <v>75.699468948605599</v>
      </c>
      <c r="AK6302">
        <v>29.958926404281701</v>
      </c>
      <c r="AL6302">
        <v>79.175635987375699</v>
      </c>
      <c r="AM6302">
        <v>86.134740331374104</v>
      </c>
      <c r="AN6302">
        <v>1.0000000115068901</v>
      </c>
    </row>
    <row r="6303" spans="1:40" x14ac:dyDescent="0.25">
      <c r="A6303" t="str">
        <f>"20190303171137831"</f>
        <v>20190303171137831</v>
      </c>
      <c r="B6303" t="str">
        <f>"1551604297817226"</f>
        <v>1551604297817226</v>
      </c>
      <c r="C6303" t="s">
        <v>40</v>
      </c>
      <c r="D6303">
        <v>4.8729990000000001</v>
      </c>
      <c r="E6303">
        <v>0.58164490000000002</v>
      </c>
      <c r="F6303" t="s">
        <v>84</v>
      </c>
      <c r="G6303">
        <v>-176.6602</v>
      </c>
      <c r="H6303" s="1">
        <v>-7.2604629999999998E-6</v>
      </c>
      <c r="I6303">
        <v>140.80459999999999</v>
      </c>
      <c r="J6303">
        <v>-187.37180000000001</v>
      </c>
      <c r="K6303">
        <v>1.1171979999999999</v>
      </c>
      <c r="L6303">
        <v>112.0851</v>
      </c>
      <c r="M6303">
        <v>0.10578990000000001</v>
      </c>
      <c r="N6303">
        <v>-1.467953E-2</v>
      </c>
      <c r="O6303">
        <v>0.99428019999999995</v>
      </c>
      <c r="P6303">
        <v>0.16931669999999999</v>
      </c>
      <c r="Q6303">
        <v>0.17508789999999999</v>
      </c>
      <c r="R6303">
        <v>0.96988459999999999</v>
      </c>
      <c r="S6303">
        <v>1.079483</v>
      </c>
      <c r="T6303">
        <v>-0.1120901</v>
      </c>
      <c r="U6303">
        <v>2.9267270000000001</v>
      </c>
      <c r="V6303">
        <v>6.7395720000000006E-2</v>
      </c>
      <c r="W6303">
        <v>0.18891069999999999</v>
      </c>
      <c r="X6303">
        <v>0.97967879999999996</v>
      </c>
      <c r="Y6303">
        <v>0.24467140000000001</v>
      </c>
      <c r="Z6303">
        <v>-2.1781559999999998E-2</v>
      </c>
      <c r="AA6303">
        <v>0.96936140000000004</v>
      </c>
      <c r="AB6303">
        <v>45</v>
      </c>
      <c r="AC6303">
        <v>10.711600000000001</v>
      </c>
      <c r="AD6303">
        <v>-1.1172052604629901</v>
      </c>
      <c r="AE6303">
        <v>28.7195</v>
      </c>
      <c r="AF6303">
        <v>7.60281863550897</v>
      </c>
      <c r="AG6303">
        <v>-1.1172052604629901</v>
      </c>
      <c r="AH6303">
        <v>29.652215329484601</v>
      </c>
      <c r="AI6303">
        <v>92.090162009104404</v>
      </c>
      <c r="AJ6303">
        <v>75.619173804488398</v>
      </c>
      <c r="AK6303">
        <v>30.631762481851599</v>
      </c>
      <c r="AL6303">
        <v>79.110779201271498</v>
      </c>
      <c r="AM6303">
        <v>86.064612239335005</v>
      </c>
      <c r="AN6303">
        <v>0.99999999340912404</v>
      </c>
    </row>
    <row r="6304" spans="1:40" x14ac:dyDescent="0.25">
      <c r="A6304" t="str">
        <f>"20190303171137854"</f>
        <v>20190303171137854</v>
      </c>
      <c r="B6304" t="str">
        <f>"1551604297846507"</f>
        <v>1551604297846507</v>
      </c>
      <c r="C6304" t="s">
        <v>40</v>
      </c>
      <c r="D6304">
        <v>4.8603500000000004</v>
      </c>
      <c r="E6304">
        <v>0.58043659999999997</v>
      </c>
      <c r="F6304" t="s">
        <v>84</v>
      </c>
      <c r="G6304">
        <v>-179.06049999999999</v>
      </c>
      <c r="H6304" s="1">
        <v>-6.2406179999999899E-6</v>
      </c>
      <c r="I6304">
        <v>133.52629999999999</v>
      </c>
      <c r="J6304">
        <v>-187.31899999999999</v>
      </c>
      <c r="K6304">
        <v>1.1169709999999999</v>
      </c>
      <c r="L6304">
        <v>112.55549999999999</v>
      </c>
      <c r="M6304">
        <v>0.10946350000000001</v>
      </c>
      <c r="N6304">
        <v>-1.4688980000000001E-2</v>
      </c>
      <c r="O6304">
        <v>0.9938823</v>
      </c>
      <c r="P6304">
        <v>0.1733944</v>
      </c>
      <c r="Q6304">
        <v>0.17477010000000001</v>
      </c>
      <c r="R6304">
        <v>0.9692212</v>
      </c>
      <c r="S6304">
        <v>1.1329959999999999</v>
      </c>
      <c r="T6304">
        <v>-0.15229670000000001</v>
      </c>
      <c r="U6304">
        <v>2.9228519999999998</v>
      </c>
      <c r="V6304">
        <v>6.7994209999999999E-2</v>
      </c>
      <c r="W6304">
        <v>0.18856049999999999</v>
      </c>
      <c r="X6304">
        <v>0.97970489999999999</v>
      </c>
      <c r="Y6304">
        <v>0.25685150000000001</v>
      </c>
      <c r="Z6304">
        <v>-3.4550369999999997E-2</v>
      </c>
      <c r="AA6304">
        <v>0.9658331</v>
      </c>
      <c r="AB6304">
        <v>45</v>
      </c>
      <c r="AC6304">
        <v>8.2585000000000193</v>
      </c>
      <c r="AD6304">
        <v>-1.1169772406180001</v>
      </c>
      <c r="AE6304">
        <v>20.970800000000001</v>
      </c>
      <c r="AF6304">
        <v>5.89859014443857</v>
      </c>
      <c r="AG6304">
        <v>-1.1169772406180001</v>
      </c>
      <c r="AH6304">
        <v>21.695570880013701</v>
      </c>
      <c r="AI6304">
        <v>92.844154933833295</v>
      </c>
      <c r="AJ6304">
        <v>74.790079438894395</v>
      </c>
      <c r="AK6304">
        <v>22.510859593934399</v>
      </c>
      <c r="AL6304">
        <v>79.131211276684994</v>
      </c>
      <c r="AM6304">
        <v>86.029881763737905</v>
      </c>
      <c r="AN6304">
        <v>0.99999998291889103</v>
      </c>
    </row>
    <row r="6305" spans="1:40" x14ac:dyDescent="0.25">
      <c r="A6305" t="str">
        <f>"20190303171137876"</f>
        <v>20190303171137876</v>
      </c>
      <c r="B6305" t="str">
        <f>"1551604297867002"</f>
        <v>1551604297867002</v>
      </c>
      <c r="C6305" t="s">
        <v>40</v>
      </c>
      <c r="D6305">
        <v>4.8640910000000002</v>
      </c>
      <c r="E6305">
        <v>0.58071349999999999</v>
      </c>
      <c r="F6305" t="s">
        <v>84</v>
      </c>
      <c r="G6305">
        <v>-176.18539999999999</v>
      </c>
      <c r="H6305" s="1">
        <v>-7.0444660000000004E-6</v>
      </c>
      <c r="I6305">
        <v>141.0506</v>
      </c>
      <c r="J6305">
        <v>-187.26730000000001</v>
      </c>
      <c r="K6305">
        <v>1.116724</v>
      </c>
      <c r="L6305">
        <v>112.9997</v>
      </c>
      <c r="M6305">
        <v>0.113221</v>
      </c>
      <c r="N6305">
        <v>-1.4699719999999999E-2</v>
      </c>
      <c r="O6305">
        <v>0.99346109999999999</v>
      </c>
      <c r="P6305">
        <v>0.176572799999999</v>
      </c>
      <c r="Q6305">
        <v>0.1739503</v>
      </c>
      <c r="R6305">
        <v>0.96879479999999996</v>
      </c>
      <c r="S6305">
        <v>1.137894</v>
      </c>
      <c r="T6305">
        <v>-0.1141587</v>
      </c>
      <c r="U6305">
        <v>2.9122919999999999</v>
      </c>
      <c r="V6305">
        <v>6.7592109999999997E-2</v>
      </c>
      <c r="W6305">
        <v>0.18771750000000001</v>
      </c>
      <c r="X6305">
        <v>0.97989459999999995</v>
      </c>
      <c r="Y6305">
        <v>0.25593470000000001</v>
      </c>
      <c r="Z6305">
        <v>-2.2407320000000001E-2</v>
      </c>
      <c r="AA6305">
        <v>0.96643440000000003</v>
      </c>
      <c r="AB6305">
        <v>45</v>
      </c>
      <c r="AC6305">
        <v>11.081899999999999</v>
      </c>
      <c r="AD6305">
        <v>-1.1167310444659999</v>
      </c>
      <c r="AE6305">
        <v>28.050899999999999</v>
      </c>
      <c r="AF6305">
        <v>7.8236062885017397</v>
      </c>
      <c r="AG6305">
        <v>-1.1167310444659999</v>
      </c>
      <c r="AH6305">
        <v>29.085453860793901</v>
      </c>
      <c r="AI6305">
        <v>92.123378462856294</v>
      </c>
      <c r="AJ6305">
        <v>74.944540552286199</v>
      </c>
      <c r="AK6305">
        <v>30.139998836621199</v>
      </c>
      <c r="AL6305">
        <v>79.180389910614593</v>
      </c>
      <c r="AM6305">
        <v>86.054047228618998</v>
      </c>
      <c r="AN6305">
        <v>0.99999999012483098</v>
      </c>
    </row>
    <row r="6306" spans="1:40" x14ac:dyDescent="0.25">
      <c r="A6306" t="str">
        <f>"20190303171137898"</f>
        <v>20190303171137898</v>
      </c>
      <c r="B6306" t="str">
        <f>"1551604297886522"</f>
        <v>1551604297886522</v>
      </c>
      <c r="C6306" t="s">
        <v>40</v>
      </c>
      <c r="D6306">
        <v>4.9025379999999998</v>
      </c>
      <c r="E6306">
        <v>0.58101309999999995</v>
      </c>
      <c r="F6306" t="s">
        <v>84</v>
      </c>
      <c r="G6306">
        <v>-175.9913</v>
      </c>
      <c r="H6306" s="1">
        <v>-7.0572139999999999E-6</v>
      </c>
      <c r="I6306">
        <v>141.4633</v>
      </c>
      <c r="J6306">
        <v>-187.2159</v>
      </c>
      <c r="K6306">
        <v>1.1164419999999999</v>
      </c>
      <c r="L6306">
        <v>113.4254</v>
      </c>
      <c r="M6306">
        <v>0.1171307</v>
      </c>
      <c r="N6306">
        <v>-1.471213E-2</v>
      </c>
      <c r="O6306">
        <v>0.99300750000000004</v>
      </c>
      <c r="P6306">
        <v>0.1814375</v>
      </c>
      <c r="Q6306">
        <v>0.17437620000000001</v>
      </c>
      <c r="R6306">
        <v>0.96781890000000004</v>
      </c>
      <c r="S6306">
        <v>1.1517029999999999</v>
      </c>
      <c r="T6306">
        <v>-0.11405999999999999</v>
      </c>
      <c r="U6306">
        <v>2.9071959999999999</v>
      </c>
      <c r="V6306">
        <v>6.8797709999999998E-2</v>
      </c>
      <c r="W6306">
        <v>0.1880973</v>
      </c>
      <c r="X6306">
        <v>0.97973790000000005</v>
      </c>
      <c r="Y6306">
        <v>0.25667790000000001</v>
      </c>
      <c r="Z6306">
        <v>-2.2378249999999999E-2</v>
      </c>
      <c r="AA6306">
        <v>0.96623789999999998</v>
      </c>
      <c r="AB6306">
        <v>45</v>
      </c>
      <c r="AC6306">
        <v>11.224600000000001</v>
      </c>
      <c r="AD6306">
        <v>-1.116449057214</v>
      </c>
      <c r="AE6306">
        <v>28.0379</v>
      </c>
      <c r="AF6306">
        <v>7.8521339534222703</v>
      </c>
      <c r="AG6306">
        <v>-1.116449057214</v>
      </c>
      <c r="AH6306">
        <v>29.119952914288302</v>
      </c>
      <c r="AI6306">
        <v>92.119978520029605</v>
      </c>
      <c r="AJ6306">
        <v>74.909230004542295</v>
      </c>
      <c r="AK6306">
        <v>30.180691242087299</v>
      </c>
      <c r="AL6306">
        <v>79.158234812545004</v>
      </c>
      <c r="AM6306">
        <v>85.983253693778494</v>
      </c>
      <c r="AN6306">
        <v>1.0000000359324701</v>
      </c>
    </row>
    <row r="6307" spans="1:40" x14ac:dyDescent="0.25">
      <c r="A6307" t="str">
        <f>"20190303171137921"</f>
        <v>20190303171137921</v>
      </c>
      <c r="B6307" t="str">
        <f>"1551604297907018"</f>
        <v>1551604297907018</v>
      </c>
      <c r="C6307" t="s">
        <v>40</v>
      </c>
      <c r="D6307">
        <v>4.898066</v>
      </c>
      <c r="E6307">
        <v>0.58140879999999995</v>
      </c>
      <c r="F6307" t="s">
        <v>84</v>
      </c>
      <c r="G6307">
        <v>-175.82689999999999</v>
      </c>
      <c r="H6307" s="1">
        <v>-7.0393329999999999E-6</v>
      </c>
      <c r="I6307">
        <v>141.7244</v>
      </c>
      <c r="J6307">
        <v>-187.1566</v>
      </c>
      <c r="K6307">
        <v>1.116125</v>
      </c>
      <c r="L6307">
        <v>113.89749999999999</v>
      </c>
      <c r="M6307">
        <v>0.12178219999999999</v>
      </c>
      <c r="N6307">
        <v>-1.472825E-2</v>
      </c>
      <c r="O6307">
        <v>0.99244759999999999</v>
      </c>
      <c r="P6307">
        <v>0.18777430000000001</v>
      </c>
      <c r="Q6307">
        <v>0.17337929999999999</v>
      </c>
      <c r="R6307">
        <v>0.96678869999999895</v>
      </c>
      <c r="S6307">
        <v>1.1677090000000001</v>
      </c>
      <c r="T6307">
        <v>-0.1144688</v>
      </c>
      <c r="U6307">
        <v>2.9014739999999999</v>
      </c>
      <c r="V6307">
        <v>7.0738289999999995E-2</v>
      </c>
      <c r="W6307">
        <v>0.1870454</v>
      </c>
      <c r="X6307">
        <v>0.97980109999999998</v>
      </c>
      <c r="Y6307">
        <v>0.25739610000000002</v>
      </c>
      <c r="Z6307">
        <v>-2.2508070000000002E-2</v>
      </c>
      <c r="AA6307">
        <v>0.96604380000000001</v>
      </c>
      <c r="AB6307">
        <v>45</v>
      </c>
      <c r="AC6307">
        <v>11.329700000000001</v>
      </c>
      <c r="AD6307">
        <v>-1.1161320393330001</v>
      </c>
      <c r="AE6307">
        <v>27.826899999999998</v>
      </c>
      <c r="AF6307">
        <v>7.8453375517666801</v>
      </c>
      <c r="AG6307">
        <v>-1.1161320393330001</v>
      </c>
      <c r="AH6307">
        <v>28.959675256912998</v>
      </c>
      <c r="AI6307">
        <v>92.130421664777501</v>
      </c>
      <c r="AJ6307">
        <v>74.8420756010388</v>
      </c>
      <c r="AK6307">
        <v>30.024287885247901</v>
      </c>
      <c r="AL6307">
        <v>79.219593357064795</v>
      </c>
      <c r="AM6307">
        <v>85.870605249671598</v>
      </c>
      <c r="AN6307">
        <v>1.0000000414472401</v>
      </c>
    </row>
    <row r="6308" spans="1:40" x14ac:dyDescent="0.25">
      <c r="A6308" t="str">
        <f>"20190303171137944"</f>
        <v>20190303171137944</v>
      </c>
      <c r="B6308" t="str">
        <f>"1551604297937274"</f>
        <v>1551604297937274</v>
      </c>
      <c r="C6308" t="s">
        <v>40</v>
      </c>
      <c r="D6308">
        <v>4.9181800000000004</v>
      </c>
      <c r="E6308">
        <v>0.58182539999999905</v>
      </c>
      <c r="F6308" t="s">
        <v>84</v>
      </c>
      <c r="G6308">
        <v>-176.1088</v>
      </c>
      <c r="H6308" s="1">
        <v>-6.9282539999999901E-6</v>
      </c>
      <c r="I6308">
        <v>140.83869999999999</v>
      </c>
      <c r="J6308">
        <v>-187.09549999999999</v>
      </c>
      <c r="K6308">
        <v>1.1157979999999901</v>
      </c>
      <c r="L6308">
        <v>114.3653</v>
      </c>
      <c r="M6308">
        <v>0.1267305</v>
      </c>
      <c r="N6308">
        <v>-1.474431E-2</v>
      </c>
      <c r="O6308">
        <v>0.99182760000000003</v>
      </c>
      <c r="P6308">
        <v>0.19437370000000001</v>
      </c>
      <c r="Q6308">
        <v>0.17134170000000001</v>
      </c>
      <c r="R6308">
        <v>0.96584729999999996</v>
      </c>
      <c r="S6308">
        <v>1.186768</v>
      </c>
      <c r="T6308">
        <v>-0.1198964</v>
      </c>
      <c r="U6308">
        <v>2.8940579999999998</v>
      </c>
      <c r="V6308">
        <v>7.2622870000000006E-2</v>
      </c>
      <c r="W6308">
        <v>0.18495159999999999</v>
      </c>
      <c r="X6308">
        <v>0.98006059999999995</v>
      </c>
      <c r="Y6308">
        <v>0.25887270000000001</v>
      </c>
      <c r="Z6308">
        <v>-2.426091E-2</v>
      </c>
      <c r="AA6308">
        <v>0.96560670000000004</v>
      </c>
      <c r="AB6308">
        <v>45</v>
      </c>
      <c r="AC6308">
        <v>10.9866999999999</v>
      </c>
      <c r="AD6308">
        <v>-1.1158049282539999</v>
      </c>
      <c r="AE6308">
        <v>26.473399999999899</v>
      </c>
      <c r="AF6308">
        <v>7.5313315837602097</v>
      </c>
      <c r="AG6308">
        <v>-1.1158049282539999</v>
      </c>
      <c r="AH6308">
        <v>27.610562048900899</v>
      </c>
      <c r="AI6308">
        <v>92.232708670394203</v>
      </c>
      <c r="AJ6308">
        <v>74.742605467420503</v>
      </c>
      <c r="AK6308">
        <v>28.641038960182001</v>
      </c>
      <c r="AL6308">
        <v>79.341689172609705</v>
      </c>
      <c r="AM6308">
        <v>85.762105796448793</v>
      </c>
      <c r="AN6308">
        <v>0.99999997763097803</v>
      </c>
    </row>
    <row r="6309" spans="1:40" x14ac:dyDescent="0.25">
      <c r="A6309" t="str">
        <f>"20190303171137966"</f>
        <v>20190303171137966</v>
      </c>
      <c r="B6309" t="str">
        <f>"1551604297956794"</f>
        <v>1551604297956794</v>
      </c>
      <c r="C6309" t="s">
        <v>40</v>
      </c>
      <c r="D6309">
        <v>4.94184</v>
      </c>
      <c r="E6309">
        <v>0.58210019999999996</v>
      </c>
      <c r="F6309" t="s">
        <v>84</v>
      </c>
      <c r="G6309">
        <v>-176.46360000000001</v>
      </c>
      <c r="H6309" s="1">
        <v>-6.7917989999999997E-6</v>
      </c>
      <c r="I6309">
        <v>139.73439999999999</v>
      </c>
      <c r="J6309">
        <v>-187.03569999999999</v>
      </c>
      <c r="K6309">
        <v>1.1154729999999999</v>
      </c>
      <c r="L6309">
        <v>114.8047</v>
      </c>
      <c r="M6309">
        <v>0.1317313</v>
      </c>
      <c r="N6309">
        <v>-1.4760560000000001E-2</v>
      </c>
      <c r="O6309">
        <v>0.99117560000000005</v>
      </c>
      <c r="P6309">
        <v>0.20169419999999999</v>
      </c>
      <c r="Q6309">
        <v>0.16932150000000001</v>
      </c>
      <c r="R6309">
        <v>0.96470180000000005</v>
      </c>
      <c r="S6309">
        <v>1.2091670000000001</v>
      </c>
      <c r="T6309">
        <v>-0.1269014</v>
      </c>
      <c r="U6309">
        <v>2.8852540000000002</v>
      </c>
      <c r="V6309">
        <v>7.5193479999999993E-2</v>
      </c>
      <c r="W6309">
        <v>0.18286069999999999</v>
      </c>
      <c r="X6309">
        <v>0.98025910000000005</v>
      </c>
      <c r="Y6309">
        <v>0.26140089999999999</v>
      </c>
      <c r="Z6309">
        <v>-2.6523250000000002E-2</v>
      </c>
      <c r="AA6309">
        <v>0.96486590000000005</v>
      </c>
      <c r="AB6309">
        <v>45</v>
      </c>
      <c r="AC6309">
        <v>10.572099999999899</v>
      </c>
      <c r="AD6309">
        <v>-1.115479791799</v>
      </c>
      <c r="AE6309">
        <v>24.9297</v>
      </c>
      <c r="AF6309">
        <v>7.1833796448539697</v>
      </c>
      <c r="AG6309">
        <v>-1.115479791799</v>
      </c>
      <c r="AH6309">
        <v>26.0610058750203</v>
      </c>
      <c r="AI6309">
        <v>92.362901420817906</v>
      </c>
      <c r="AJ6309">
        <v>74.589818496452807</v>
      </c>
      <c r="AK6309">
        <v>27.055891511939802</v>
      </c>
      <c r="AL6309">
        <v>79.463567958546506</v>
      </c>
      <c r="AM6309">
        <v>85.613559015834099</v>
      </c>
      <c r="AN6309">
        <v>0.99999999908590498</v>
      </c>
    </row>
    <row r="6310" spans="1:40" x14ac:dyDescent="0.25">
      <c r="A6310" t="str">
        <f>"20190303171137987"</f>
        <v>20190303171137987</v>
      </c>
      <c r="B6310" t="str">
        <f>"1551604297977290"</f>
        <v>1551604297977290</v>
      </c>
      <c r="C6310" t="s">
        <v>40</v>
      </c>
      <c r="D6310">
        <v>4.9395429999999996</v>
      </c>
      <c r="E6310">
        <v>0.58232859999999997</v>
      </c>
      <c r="F6310" t="s">
        <v>84</v>
      </c>
      <c r="G6310">
        <v>-176.52440000000001</v>
      </c>
      <c r="H6310" s="1">
        <v>-6.6634899999999898E-6</v>
      </c>
      <c r="I6310">
        <v>139.25040000000001</v>
      </c>
      <c r="J6310">
        <v>-186.97800000000001</v>
      </c>
      <c r="K6310">
        <v>1.1151310000000001</v>
      </c>
      <c r="L6310">
        <v>115.2127</v>
      </c>
      <c r="M6310">
        <v>0.13673270000000001</v>
      </c>
      <c r="N6310">
        <v>-1.477906E-2</v>
      </c>
      <c r="O6310">
        <v>0.99049770000000004</v>
      </c>
      <c r="P6310">
        <v>0.20970829999999999</v>
      </c>
      <c r="Q6310">
        <v>0.1706636</v>
      </c>
      <c r="R6310">
        <v>0.96275449999999996</v>
      </c>
      <c r="S6310">
        <v>1.2359469999999999</v>
      </c>
      <c r="T6310">
        <v>-0.13116129999999901</v>
      </c>
      <c r="U6310">
        <v>2.8744049999999999</v>
      </c>
      <c r="V6310">
        <v>7.860578E-2</v>
      </c>
      <c r="W6310">
        <v>0.18410750000000001</v>
      </c>
      <c r="X6310">
        <v>0.97975789999999996</v>
      </c>
      <c r="Y6310">
        <v>0.26541690000000001</v>
      </c>
      <c r="Z6310">
        <v>-2.7905510000000001E-2</v>
      </c>
      <c r="AA6310">
        <v>0.96372979999999997</v>
      </c>
      <c r="AB6310">
        <v>45</v>
      </c>
      <c r="AC6310">
        <v>10.4535999999999</v>
      </c>
      <c r="AD6310">
        <v>-1.1151376634900001</v>
      </c>
      <c r="AE6310">
        <v>24.037700000000001</v>
      </c>
      <c r="AF6310">
        <v>7.0555298039122203</v>
      </c>
      <c r="AG6310">
        <v>-1.1151376634900001</v>
      </c>
      <c r="AH6310">
        <v>25.195792208337402</v>
      </c>
      <c r="AI6310">
        <v>92.440434996783296</v>
      </c>
      <c r="AJ6310">
        <v>74.356260624711894</v>
      </c>
      <c r="AK6310">
        <v>26.188775798577201</v>
      </c>
      <c r="AL6310">
        <v>79.390897748736506</v>
      </c>
      <c r="AM6310">
        <v>85.412996160584001</v>
      </c>
      <c r="AN6310">
        <v>0.99999999140903395</v>
      </c>
    </row>
    <row r="6311" spans="1:40" x14ac:dyDescent="0.25">
      <c r="A6311" t="str">
        <f>"20190303171138010"</f>
        <v>20190303171138010</v>
      </c>
      <c r="B6311" t="str">
        <f>"1551604297996811"</f>
        <v>1551604297996811</v>
      </c>
      <c r="C6311" t="s">
        <v>40</v>
      </c>
      <c r="D6311">
        <v>4.9632899999999998</v>
      </c>
      <c r="E6311">
        <v>0.58262069999999999</v>
      </c>
      <c r="F6311" t="s">
        <v>84</v>
      </c>
      <c r="G6311">
        <v>-175.73500000000001</v>
      </c>
      <c r="H6311" s="1">
        <v>-6.6486689999999998E-6</v>
      </c>
      <c r="I6311">
        <v>140.69380000000001</v>
      </c>
      <c r="J6311">
        <v>-186.9128</v>
      </c>
      <c r="K6311">
        <v>1.1147260000000001</v>
      </c>
      <c r="L6311">
        <v>115.655</v>
      </c>
      <c r="M6311">
        <v>0.14258479999999901</v>
      </c>
      <c r="N6311">
        <v>-1.480501E-2</v>
      </c>
      <c r="O6311">
        <v>0.98967179999999999</v>
      </c>
      <c r="P6311">
        <v>0.21812380000000001</v>
      </c>
      <c r="Q6311">
        <v>0.17168900000000001</v>
      </c>
      <c r="R6311">
        <v>0.9607002</v>
      </c>
      <c r="S6311">
        <v>1.2632749999999999</v>
      </c>
      <c r="T6311">
        <v>-0.12529870000000001</v>
      </c>
      <c r="U6311">
        <v>2.8630979999999999</v>
      </c>
      <c r="V6311">
        <v>8.1622150000000004E-2</v>
      </c>
      <c r="W6311">
        <v>0.1850308</v>
      </c>
      <c r="X6311">
        <v>0.97933729999999997</v>
      </c>
      <c r="Y6311">
        <v>0.26884649999999999</v>
      </c>
      <c r="Z6311">
        <v>-2.6022989999999999E-2</v>
      </c>
      <c r="AA6311">
        <v>0.9628314</v>
      </c>
      <c r="AB6311">
        <v>45</v>
      </c>
      <c r="AC6311">
        <v>11.1777999999999</v>
      </c>
      <c r="AD6311">
        <v>-1.1147326486689999</v>
      </c>
      <c r="AE6311">
        <v>25.038799999999998</v>
      </c>
      <c r="AF6311">
        <v>7.4806596455982701</v>
      </c>
      <c r="AG6311">
        <v>-1.1147326486689999</v>
      </c>
      <c r="AH6311">
        <v>26.3333503236124</v>
      </c>
      <c r="AI6311">
        <v>92.331819953486601</v>
      </c>
      <c r="AJ6311">
        <v>74.141450707787399</v>
      </c>
      <c r="AK6311">
        <v>27.397960451051599</v>
      </c>
      <c r="AL6311">
        <v>79.337072534958097</v>
      </c>
      <c r="AM6311">
        <v>85.235736143215206</v>
      </c>
      <c r="AN6311">
        <v>1.0000000597452701</v>
      </c>
    </row>
    <row r="6312" spans="1:40" x14ac:dyDescent="0.25">
      <c r="A6312" t="str">
        <f>"20190303171138031"</f>
        <v>20190303171138031</v>
      </c>
      <c r="B6312" t="str">
        <f>"1551604298027066"</f>
        <v>1551604298027066</v>
      </c>
      <c r="C6312" t="s">
        <v>40</v>
      </c>
      <c r="D6312">
        <v>5.0955000000000004</v>
      </c>
      <c r="E6312">
        <v>0.58297109999999996</v>
      </c>
      <c r="F6312" t="s">
        <v>84</v>
      </c>
      <c r="G6312">
        <v>-175.0727</v>
      </c>
      <c r="H6312" s="1">
        <v>-6.5961670000000002E-6</v>
      </c>
      <c r="I6312">
        <v>141.8058</v>
      </c>
      <c r="J6312">
        <v>-186.84289999999999</v>
      </c>
      <c r="K6312">
        <v>1.1142479999999999</v>
      </c>
      <c r="L6312">
        <v>116.1082</v>
      </c>
      <c r="M6312">
        <v>0.1490783</v>
      </c>
      <c r="N6312">
        <v>-1.483897E-2</v>
      </c>
      <c r="O6312">
        <v>0.98871399999999998</v>
      </c>
      <c r="P6312">
        <v>0.22547220000000001</v>
      </c>
      <c r="Q6312">
        <v>0.1705884</v>
      </c>
      <c r="R6312">
        <v>0.95919849999999995</v>
      </c>
      <c r="S6312">
        <v>1.29097</v>
      </c>
      <c r="T6312">
        <v>-0.121543899999999</v>
      </c>
      <c r="U6312">
        <v>2.851334</v>
      </c>
      <c r="V6312">
        <v>8.2861320000000002E-2</v>
      </c>
      <c r="W6312">
        <v>0.18385399999999999</v>
      </c>
      <c r="X6312">
        <v>0.97945479999999996</v>
      </c>
      <c r="Y6312">
        <v>0.27179179999999997</v>
      </c>
      <c r="Z6312">
        <v>-2.481146E-2</v>
      </c>
      <c r="AA6312">
        <v>0.96203620000000001</v>
      </c>
      <c r="AB6312">
        <v>45</v>
      </c>
      <c r="AC6312">
        <v>11.7701999999999</v>
      </c>
      <c r="AD6312">
        <v>-1.1142545961669901</v>
      </c>
      <c r="AE6312">
        <v>25.697600000000001</v>
      </c>
      <c r="AF6312">
        <v>7.7951526543845899</v>
      </c>
      <c r="AG6312">
        <v>-1.1142545961669901</v>
      </c>
      <c r="AH6312">
        <v>27.123098989419599</v>
      </c>
      <c r="AI6312">
        <v>92.261041748854794</v>
      </c>
      <c r="AJ6312">
        <v>73.965399706685105</v>
      </c>
      <c r="AK6312">
        <v>28.243025103556</v>
      </c>
      <c r="AL6312">
        <v>79.4056745454278</v>
      </c>
      <c r="AM6312">
        <v>85.164324060847406</v>
      </c>
      <c r="AN6312">
        <v>0.99999999845559095</v>
      </c>
    </row>
    <row r="6313" spans="1:40" x14ac:dyDescent="0.25">
      <c r="A6313" t="str">
        <f>"20190303171138054"</f>
        <v>20190303171138054</v>
      </c>
      <c r="B6313" t="str">
        <f>"1551604298046586"</f>
        <v>1551604298046586</v>
      </c>
      <c r="C6313" t="s">
        <v>40</v>
      </c>
      <c r="D6313">
        <v>4.9891880000000004</v>
      </c>
      <c r="E6313">
        <v>0.58321659999999997</v>
      </c>
      <c r="F6313" t="s">
        <v>84</v>
      </c>
      <c r="G6313">
        <v>-175.1328</v>
      </c>
      <c r="H6313" s="1">
        <v>-6.4930380000000001E-6</v>
      </c>
      <c r="I6313">
        <v>141.3715</v>
      </c>
      <c r="J6313">
        <v>-186.77</v>
      </c>
      <c r="K6313">
        <v>1.1137300000000001</v>
      </c>
      <c r="L6313">
        <v>116.5595</v>
      </c>
      <c r="M6313">
        <v>0.15607360000000001</v>
      </c>
      <c r="N6313">
        <v>-1.487933E-2</v>
      </c>
      <c r="O6313">
        <v>0.98763330000000005</v>
      </c>
      <c r="P6313">
        <v>0.233233</v>
      </c>
      <c r="Q6313">
        <v>0.16960600000000001</v>
      </c>
      <c r="R6313">
        <v>0.95751560000000002</v>
      </c>
      <c r="S6313">
        <v>1.316589</v>
      </c>
      <c r="T6313">
        <v>-0.125278</v>
      </c>
      <c r="U6313">
        <v>2.840408</v>
      </c>
      <c r="V6313">
        <v>8.4047940000000002E-2</v>
      </c>
      <c r="W6313">
        <v>0.18279319999999999</v>
      </c>
      <c r="X6313">
        <v>0.97955230000000004</v>
      </c>
      <c r="Y6313">
        <v>0.27351969999999998</v>
      </c>
      <c r="Z6313">
        <v>-2.599891E-2</v>
      </c>
      <c r="AA6313">
        <v>0.96151489999999995</v>
      </c>
      <c r="AB6313">
        <v>45</v>
      </c>
      <c r="AC6313">
        <v>11.6372</v>
      </c>
      <c r="AD6313">
        <v>-1.11373649303799</v>
      </c>
      <c r="AE6313">
        <v>24.812000000000001</v>
      </c>
      <c r="AF6313">
        <v>7.6090654894869996</v>
      </c>
      <c r="AG6313">
        <v>-1.11373649303799</v>
      </c>
      <c r="AH6313">
        <v>26.280928532549101</v>
      </c>
      <c r="AI6313">
        <v>92.331013530911505</v>
      </c>
      <c r="AJ6313">
        <v>73.852788173256997</v>
      </c>
      <c r="AK6313">
        <v>27.382941608457301</v>
      </c>
      <c r="AL6313">
        <v>79.467502368454703</v>
      </c>
      <c r="AM6313">
        <v>85.095895727464793</v>
      </c>
      <c r="AN6313">
        <v>1.0000000593098799</v>
      </c>
    </row>
    <row r="6314" spans="1:40" x14ac:dyDescent="0.25">
      <c r="A6314" t="str">
        <f>"20190303171138077"</f>
        <v>20190303171138077</v>
      </c>
      <c r="B6314" t="str">
        <f>"1551604298067083"</f>
        <v>1551604298067083</v>
      </c>
      <c r="C6314" t="s">
        <v>40</v>
      </c>
      <c r="D6314">
        <v>4.9605449999999998</v>
      </c>
      <c r="E6314">
        <v>0.58342369999999899</v>
      </c>
      <c r="F6314" t="s">
        <v>84</v>
      </c>
      <c r="G6314">
        <v>-175.10400000000001</v>
      </c>
      <c r="H6314" s="1">
        <v>-6.3934929999999999E-6</v>
      </c>
      <c r="I6314">
        <v>141.11930000000001</v>
      </c>
      <c r="J6314">
        <v>-186.6952</v>
      </c>
      <c r="K6314">
        <v>1.113183</v>
      </c>
      <c r="L6314">
        <v>117.00060000000001</v>
      </c>
      <c r="M6314">
        <v>0.1634661</v>
      </c>
      <c r="N6314">
        <v>-1.4924440000000001E-2</v>
      </c>
      <c r="O6314">
        <v>0.98643610000000004</v>
      </c>
      <c r="P6314">
        <v>0.24284729999999999</v>
      </c>
      <c r="Q6314">
        <v>0.16891689999999901</v>
      </c>
      <c r="R6314">
        <v>0.9552446</v>
      </c>
      <c r="S6314">
        <v>1.343567</v>
      </c>
      <c r="T6314">
        <v>-0.1282684</v>
      </c>
      <c r="U6314">
        <v>2.8285369999999999</v>
      </c>
      <c r="V6314">
        <v>8.6769429999999995E-2</v>
      </c>
      <c r="W6314">
        <v>0.1819924</v>
      </c>
      <c r="X6314">
        <v>0.97946409999999995</v>
      </c>
      <c r="Y6314">
        <v>0.27535029999999999</v>
      </c>
      <c r="Z6314">
        <v>-2.6943689999999999E-2</v>
      </c>
      <c r="AA6314">
        <v>0.96096630000000005</v>
      </c>
      <c r="AB6314">
        <v>45</v>
      </c>
      <c r="AC6314">
        <v>11.591199999999899</v>
      </c>
      <c r="AD6314">
        <v>-1.1131893934929999</v>
      </c>
      <c r="AE6314">
        <v>24.1187</v>
      </c>
      <c r="AF6314">
        <v>7.4792791674363404</v>
      </c>
      <c r="AG6314">
        <v>-1.1131893934929999</v>
      </c>
      <c r="AH6314">
        <v>25.644805081041699</v>
      </c>
      <c r="AI6314">
        <v>92.386241504373999</v>
      </c>
      <c r="AJ6314">
        <v>73.740733495325102</v>
      </c>
      <c r="AK6314">
        <v>26.7363953279954</v>
      </c>
      <c r="AL6314">
        <v>79.514167454422505</v>
      </c>
      <c r="AM6314">
        <v>84.937458552466595</v>
      </c>
      <c r="AN6314">
        <v>1.0000000454145399</v>
      </c>
    </row>
    <row r="6315" spans="1:40" x14ac:dyDescent="0.25">
      <c r="A6315" t="str">
        <f>"20190303171138098"</f>
        <v>20190303171138098</v>
      </c>
      <c r="B6315" t="str">
        <f>"1551604298086602"</f>
        <v>1551604298086602</v>
      </c>
      <c r="C6315" t="s">
        <v>40</v>
      </c>
      <c r="D6315">
        <v>4.9956170000000002</v>
      </c>
      <c r="E6315">
        <v>0.58358009999999905</v>
      </c>
      <c r="F6315" t="s">
        <v>84</v>
      </c>
      <c r="G6315">
        <v>-175.0504</v>
      </c>
      <c r="H6315" s="1">
        <v>-6.2730220000000001E-6</v>
      </c>
      <c r="I6315">
        <v>140.85</v>
      </c>
      <c r="J6315">
        <v>-186.6206</v>
      </c>
      <c r="K6315">
        <v>1.1126480000000001</v>
      </c>
      <c r="L6315">
        <v>117.4192</v>
      </c>
      <c r="M6315">
        <v>0.1710352</v>
      </c>
      <c r="N6315">
        <v>-1.4974090000000001E-2</v>
      </c>
      <c r="O6315">
        <v>0.98515109999999995</v>
      </c>
      <c r="P6315">
        <v>0.25296550000000001</v>
      </c>
      <c r="Q6315">
        <v>0.168042</v>
      </c>
      <c r="R6315">
        <v>0.9527698</v>
      </c>
      <c r="S6315">
        <v>1.3741760000000001</v>
      </c>
      <c r="T6315">
        <v>-0.13136529999999999</v>
      </c>
      <c r="U6315">
        <v>2.8144230000000001</v>
      </c>
      <c r="V6315">
        <v>8.9834399999999995E-2</v>
      </c>
      <c r="W6315">
        <v>0.18099779999999999</v>
      </c>
      <c r="X6315">
        <v>0.97937200000000002</v>
      </c>
      <c r="Y6315">
        <v>0.27829399999999999</v>
      </c>
      <c r="Z6315">
        <v>-2.792569E-2</v>
      </c>
      <c r="AA6315">
        <v>0.96008990000000005</v>
      </c>
      <c r="AB6315">
        <v>45</v>
      </c>
      <c r="AC6315">
        <v>11.5702</v>
      </c>
      <c r="AD6315">
        <v>-1.1126542730219999</v>
      </c>
      <c r="AE6315">
        <v>23.430799999999898</v>
      </c>
      <c r="AF6315">
        <v>7.3783561642775499</v>
      </c>
      <c r="AG6315">
        <v>-1.1126542730219999</v>
      </c>
      <c r="AH6315">
        <v>25.019242492808299</v>
      </c>
      <c r="AI6315">
        <v>92.442511884925096</v>
      </c>
      <c r="AJ6315">
        <v>73.568829294520796</v>
      </c>
      <c r="AK6315">
        <v>26.108248392646999</v>
      </c>
      <c r="AL6315">
        <v>79.572115450370106</v>
      </c>
      <c r="AM6315">
        <v>84.759122334021896</v>
      </c>
      <c r="AN6315">
        <v>0.99999996870609897</v>
      </c>
    </row>
    <row r="6316" spans="1:40" x14ac:dyDescent="0.25">
      <c r="A6316" t="str">
        <f>"20190303171138121"</f>
        <v>20190303171138121</v>
      </c>
      <c r="B6316" t="str">
        <f>"1551604298116858"</f>
        <v>1551604298116858</v>
      </c>
      <c r="C6316" t="s">
        <v>40</v>
      </c>
      <c r="D6316">
        <v>5.0055360000000002</v>
      </c>
      <c r="E6316">
        <v>0.58349309999999999</v>
      </c>
      <c r="F6316" t="s">
        <v>84</v>
      </c>
      <c r="G6316">
        <v>-175.0702</v>
      </c>
      <c r="H6316" s="1">
        <v>-6.1514969999999996E-6</v>
      </c>
      <c r="I6316">
        <v>140.4365</v>
      </c>
      <c r="J6316">
        <v>-186.53210000000001</v>
      </c>
      <c r="K6316">
        <v>1.112055</v>
      </c>
      <c r="L6316">
        <v>117.89100000000001</v>
      </c>
      <c r="M6316">
        <v>0.18013489999999999</v>
      </c>
      <c r="N6316">
        <v>-1.503611E-2</v>
      </c>
      <c r="O6316">
        <v>0.98352700000000004</v>
      </c>
      <c r="P6316">
        <v>0.2610962</v>
      </c>
      <c r="Q6316">
        <v>0.1674042</v>
      </c>
      <c r="R6316">
        <v>0.95068640000000004</v>
      </c>
      <c r="S6316">
        <v>1.4048769999999999</v>
      </c>
      <c r="T6316">
        <v>-0.13533220000000001</v>
      </c>
      <c r="U6316">
        <v>2.7995909999999999</v>
      </c>
      <c r="V6316">
        <v>8.9368580000000003E-2</v>
      </c>
      <c r="W6316">
        <v>0.18031220000000001</v>
      </c>
      <c r="X6316">
        <v>0.97954110000000005</v>
      </c>
      <c r="Y6316">
        <v>0.27984560000000003</v>
      </c>
      <c r="Z6316">
        <v>-2.9175690000000001E-2</v>
      </c>
      <c r="AA6316">
        <v>0.95960160000000005</v>
      </c>
      <c r="AB6316">
        <v>45</v>
      </c>
      <c r="AC6316">
        <v>11.4619</v>
      </c>
      <c r="AD6316">
        <v>-1.112061151497</v>
      </c>
      <c r="AE6316">
        <v>22.545499999999901</v>
      </c>
      <c r="AF6316">
        <v>7.1987547036105104</v>
      </c>
      <c r="AG6316">
        <v>-1.112061151497</v>
      </c>
      <c r="AH6316">
        <v>24.194760728836499</v>
      </c>
      <c r="AI6316">
        <v>92.5224919902777</v>
      </c>
      <c r="AJ6316">
        <v>73.430488804355207</v>
      </c>
      <c r="AK6316">
        <v>25.2674730832561</v>
      </c>
      <c r="AL6316">
        <v>79.612054900497498</v>
      </c>
      <c r="AM6316">
        <v>84.787042910415593</v>
      </c>
      <c r="AN6316">
        <v>0.99999999957463304</v>
      </c>
    </row>
    <row r="6317" spans="1:40" x14ac:dyDescent="0.25">
      <c r="A6317" t="str">
        <f>"20190303171138145"</f>
        <v>20190303171138145</v>
      </c>
      <c r="B6317" t="str">
        <f>"1551604298137354"</f>
        <v>1551604298137354</v>
      </c>
      <c r="C6317" t="s">
        <v>40</v>
      </c>
      <c r="D6317">
        <v>4.9891889999999997</v>
      </c>
      <c r="E6317">
        <v>0.58351790000000003</v>
      </c>
      <c r="F6317" t="s">
        <v>84</v>
      </c>
      <c r="G6317">
        <v>-174.648</v>
      </c>
      <c r="H6317" s="1">
        <v>-6.1419959999999997E-6</v>
      </c>
      <c r="I6317">
        <v>141.0479</v>
      </c>
      <c r="J6317">
        <v>-186.44380000000001</v>
      </c>
      <c r="K6317">
        <v>1.11148799999999</v>
      </c>
      <c r="L6317">
        <v>118.3389</v>
      </c>
      <c r="M6317">
        <v>0.18930469999999999</v>
      </c>
      <c r="N6317">
        <v>-1.509431E-2</v>
      </c>
      <c r="O6317">
        <v>0.98180239999999996</v>
      </c>
      <c r="P6317">
        <v>0.269580599999999</v>
      </c>
      <c r="Q6317">
        <v>0.16596369999999999</v>
      </c>
      <c r="R6317">
        <v>0.94856859999999998</v>
      </c>
      <c r="S6317">
        <v>1.4299930000000001</v>
      </c>
      <c r="T6317">
        <v>-0.13381279999999901</v>
      </c>
      <c r="U6317">
        <v>2.786438</v>
      </c>
      <c r="V6317">
        <v>8.9138399999999895E-2</v>
      </c>
      <c r="W6317">
        <v>0.17882519999999999</v>
      </c>
      <c r="X6317">
        <v>0.9798346</v>
      </c>
      <c r="Y6317">
        <v>0.2795801</v>
      </c>
      <c r="Z6317">
        <v>-2.8662969999999999E-2</v>
      </c>
      <c r="AA6317">
        <v>0.95969439999999995</v>
      </c>
      <c r="AB6317">
        <v>45</v>
      </c>
      <c r="AC6317">
        <v>11.7958</v>
      </c>
      <c r="AD6317">
        <v>-1.1114941419959901</v>
      </c>
      <c r="AE6317">
        <v>22.709</v>
      </c>
      <c r="AF6317">
        <v>7.2693395008016699</v>
      </c>
      <c r="AG6317">
        <v>-1.1114941419959901</v>
      </c>
      <c r="AH6317">
        <v>24.4853510915977</v>
      </c>
      <c r="AI6317">
        <v>92.491764520940393</v>
      </c>
      <c r="AJ6317">
        <v>73.464622600676407</v>
      </c>
      <c r="AK6317">
        <v>25.565819644290901</v>
      </c>
      <c r="AL6317">
        <v>79.698661229307703</v>
      </c>
      <c r="AM6317">
        <v>84.801944803472395</v>
      </c>
      <c r="AN6317">
        <v>0.999999974933379</v>
      </c>
    </row>
    <row r="6318" spans="1:40" x14ac:dyDescent="0.25">
      <c r="A6318" t="str">
        <f>"20190303171138167"</f>
        <v>20190303171138167</v>
      </c>
      <c r="B6318" t="str">
        <f>"1551604298156875"</f>
        <v>1551604298156875</v>
      </c>
      <c r="C6318" t="s">
        <v>40</v>
      </c>
      <c r="D6318">
        <v>4.994294</v>
      </c>
      <c r="E6318">
        <v>0.58352459999999995</v>
      </c>
      <c r="F6318" t="s">
        <v>84</v>
      </c>
      <c r="G6318">
        <v>-174.5258</v>
      </c>
      <c r="H6318" s="1">
        <v>-6.0753519999999998E-6</v>
      </c>
      <c r="I6318">
        <v>141.0094</v>
      </c>
      <c r="J6318">
        <v>-186.35040000000001</v>
      </c>
      <c r="K6318">
        <v>1.1109150000000001</v>
      </c>
      <c r="L6318">
        <v>118.7891</v>
      </c>
      <c r="M6318">
        <v>0.19906460000000001</v>
      </c>
      <c r="N6318">
        <v>-1.515327E-2</v>
      </c>
      <c r="O6318">
        <v>0.9798692</v>
      </c>
      <c r="P6318">
        <v>0.28020400000000001</v>
      </c>
      <c r="Q6318">
        <v>0.1641398</v>
      </c>
      <c r="R6318">
        <v>0.94580330000000001</v>
      </c>
      <c r="S6318">
        <v>1.457382</v>
      </c>
      <c r="T6318">
        <v>-0.13591900000000001</v>
      </c>
      <c r="U6318">
        <v>2.7722630000000001</v>
      </c>
      <c r="V6318">
        <v>9.0515399999999996E-2</v>
      </c>
      <c r="W6318">
        <v>0.176916299999999</v>
      </c>
      <c r="X6318">
        <v>0.98005489999999995</v>
      </c>
      <c r="Y6318">
        <v>0.2794662</v>
      </c>
      <c r="Z6318">
        <v>-2.9309330000000001E-2</v>
      </c>
      <c r="AA6318">
        <v>0.95970809999999995</v>
      </c>
      <c r="AB6318">
        <v>45</v>
      </c>
      <c r="AC6318">
        <v>11.8246</v>
      </c>
      <c r="AD6318">
        <v>-1.11092107535199</v>
      </c>
      <c r="AE6318">
        <v>22.220299999999899</v>
      </c>
      <c r="AF6318">
        <v>7.1501806683170299</v>
      </c>
      <c r="AG6318">
        <v>-1.11092107535199</v>
      </c>
      <c r="AH6318">
        <v>24.082705741797501</v>
      </c>
      <c r="AI6318">
        <v>92.532055816762806</v>
      </c>
      <c r="AJ6318">
        <v>73.463790386430006</v>
      </c>
      <c r="AK6318">
        <v>25.146290880987699</v>
      </c>
      <c r="AL6318">
        <v>79.809805857254503</v>
      </c>
      <c r="AM6318">
        <v>84.723275579789401</v>
      </c>
      <c r="AN6318">
        <v>1.0000000109284299</v>
      </c>
    </row>
    <row r="6319" spans="1:40" x14ac:dyDescent="0.25">
      <c r="A6319" t="str">
        <f>"20190303171138183"</f>
        <v>20190303171138183</v>
      </c>
      <c r="B6319" t="str">
        <f>"1551604298176395"</f>
        <v>1551604298176395</v>
      </c>
      <c r="C6319" t="s">
        <v>40</v>
      </c>
      <c r="D6319">
        <v>5.0083589999999996</v>
      </c>
      <c r="E6319">
        <v>0.58349589999999996</v>
      </c>
      <c r="F6319" t="s">
        <v>84</v>
      </c>
      <c r="G6319">
        <v>-174.65090000000001</v>
      </c>
      <c r="H6319" s="1">
        <v>-5.9477270000000004E-6</v>
      </c>
      <c r="I6319">
        <v>140.4436</v>
      </c>
      <c r="J6319">
        <v>-186.28059999999999</v>
      </c>
      <c r="K6319">
        <v>1.1104989999999999</v>
      </c>
      <c r="L6319">
        <v>119.1116</v>
      </c>
      <c r="M6319">
        <v>0.20639560000000001</v>
      </c>
      <c r="N6319">
        <v>-1.5198150000000001E-2</v>
      </c>
      <c r="O6319">
        <v>0.97835059999999996</v>
      </c>
      <c r="P6319">
        <v>0.28826289999999999</v>
      </c>
      <c r="Q6319">
        <v>0.1635974</v>
      </c>
      <c r="R6319">
        <v>0.94347250000000005</v>
      </c>
      <c r="S6319">
        <v>1.488693</v>
      </c>
      <c r="T6319">
        <v>-0.14135809999999999</v>
      </c>
      <c r="U6319">
        <v>2.7554020000000001</v>
      </c>
      <c r="V6319">
        <v>9.1680709999999999E-2</v>
      </c>
      <c r="W6319">
        <v>0.17630479999999901</v>
      </c>
      <c r="X6319">
        <v>0.98005679999999995</v>
      </c>
      <c r="Y6319">
        <v>0.2831417</v>
      </c>
      <c r="Z6319">
        <v>-3.105801E-2</v>
      </c>
      <c r="AA6319">
        <v>0.95857510000000001</v>
      </c>
      <c r="AB6319">
        <v>45</v>
      </c>
      <c r="AC6319">
        <v>11.6296999999999</v>
      </c>
      <c r="AD6319">
        <v>-1.1105049477269999</v>
      </c>
      <c r="AE6319">
        <v>21.332000000000001</v>
      </c>
      <c r="AF6319">
        <v>6.9613554897184704</v>
      </c>
      <c r="AG6319">
        <v>-1.1105049477269999</v>
      </c>
      <c r="AH6319">
        <v>23.2246623432437</v>
      </c>
      <c r="AI6319">
        <v>92.622455590742007</v>
      </c>
      <c r="AJ6319">
        <v>73.314434494877403</v>
      </c>
      <c r="AK6319">
        <v>24.270942141804898</v>
      </c>
      <c r="AL6319">
        <v>79.845401993604199</v>
      </c>
      <c r="AM6319">
        <v>84.655743333495295</v>
      </c>
      <c r="AN6319">
        <v>1.0000000331576899</v>
      </c>
    </row>
    <row r="6320" spans="1:40" x14ac:dyDescent="0.25">
      <c r="A6320" t="str">
        <f>"20190303171138198"</f>
        <v>20190303171138198</v>
      </c>
      <c r="B6320" t="str">
        <f>"1551604298187130"</f>
        <v>1551604298187130</v>
      </c>
      <c r="C6320" t="s">
        <v>40</v>
      </c>
      <c r="D6320">
        <v>5.0152710000000003</v>
      </c>
      <c r="E6320">
        <v>0.58351309999999901</v>
      </c>
      <c r="F6320" t="s">
        <v>84</v>
      </c>
      <c r="G6320">
        <v>-174.5866</v>
      </c>
      <c r="H6320" s="1">
        <v>-5.8822369999999997E-6</v>
      </c>
      <c r="I6320">
        <v>140.32929999999999</v>
      </c>
      <c r="J6320">
        <v>-186.21440000000001</v>
      </c>
      <c r="K6320">
        <v>1.11012</v>
      </c>
      <c r="L6320">
        <v>119.4079</v>
      </c>
      <c r="M6320">
        <v>0.21336340000000001</v>
      </c>
      <c r="N6320">
        <v>-1.524152E-2</v>
      </c>
      <c r="O6320">
        <v>0.976854</v>
      </c>
      <c r="P6320">
        <v>0.29749720000000002</v>
      </c>
      <c r="Q6320">
        <v>0.1621474</v>
      </c>
      <c r="R6320">
        <v>0.94085260000000004</v>
      </c>
      <c r="S6320">
        <v>1.5116579999999999</v>
      </c>
      <c r="T6320">
        <v>-0.14355270000000001</v>
      </c>
      <c r="U6320">
        <v>2.7427670000000002</v>
      </c>
      <c r="V6320">
        <v>9.4377699999999995E-2</v>
      </c>
      <c r="W6320">
        <v>0.1747495</v>
      </c>
      <c r="X6320">
        <v>0.98007929999999999</v>
      </c>
      <c r="Y6320">
        <v>0.2843156</v>
      </c>
      <c r="Z6320">
        <v>-3.1746959999999998E-2</v>
      </c>
      <c r="AA6320">
        <v>0.95820499999999997</v>
      </c>
      <c r="AB6320">
        <v>45</v>
      </c>
      <c r="AC6320">
        <v>11.627800000000001</v>
      </c>
      <c r="AD6320">
        <v>-1.1101258822369999</v>
      </c>
      <c r="AE6320">
        <v>20.921399999999899</v>
      </c>
      <c r="AF6320">
        <v>6.8808017643578303</v>
      </c>
      <c r="AG6320">
        <v>-1.1101258822369999</v>
      </c>
      <c r="AH6320">
        <v>22.871564201869099</v>
      </c>
      <c r="AI6320">
        <v>92.661167068733604</v>
      </c>
      <c r="AJ6320">
        <v>73.2563348754434</v>
      </c>
      <c r="AK6320">
        <v>23.909961552353501</v>
      </c>
      <c r="AL6320">
        <v>79.935918969067401</v>
      </c>
      <c r="AM6320">
        <v>84.499606292922394</v>
      </c>
      <c r="AN6320">
        <v>0.999999986148014</v>
      </c>
    </row>
    <row r="6321" spans="1:40" x14ac:dyDescent="0.25">
      <c r="A6321" t="str">
        <f>"20190303171138210"</f>
        <v>20190303171138210</v>
      </c>
      <c r="B6321" t="str">
        <f>"1551604298196890"</f>
        <v>1551604298196890</v>
      </c>
      <c r="C6321" t="s">
        <v>40</v>
      </c>
      <c r="D6321">
        <v>5.0225629999999999</v>
      </c>
      <c r="E6321">
        <v>0.58347109999999902</v>
      </c>
      <c r="F6321" t="s">
        <v>84</v>
      </c>
      <c r="G6321">
        <v>-174.68950000000001</v>
      </c>
      <c r="H6321" s="1">
        <v>-5.7707009999999999E-6</v>
      </c>
      <c r="I6321">
        <v>139.84360000000001</v>
      </c>
      <c r="J6321">
        <v>-186.1602</v>
      </c>
      <c r="K6321">
        <v>1.1098190000000001</v>
      </c>
      <c r="L6321">
        <v>119.6412</v>
      </c>
      <c r="M6321">
        <v>0.2190735</v>
      </c>
      <c r="N6321">
        <v>-1.52801E-2</v>
      </c>
      <c r="O6321">
        <v>0.97558869999999998</v>
      </c>
      <c r="P6321">
        <v>0.30363879999999999</v>
      </c>
      <c r="Q6321">
        <v>0.16200209999999901</v>
      </c>
      <c r="R6321">
        <v>0.93891360000000001</v>
      </c>
      <c r="S6321">
        <v>1.5383150000000001</v>
      </c>
      <c r="T6321">
        <v>-0.148176799999999</v>
      </c>
      <c r="U6321">
        <v>2.7277070000000001</v>
      </c>
      <c r="V6321">
        <v>9.5168459999999996E-2</v>
      </c>
      <c r="W6321">
        <v>0.17455609999999999</v>
      </c>
      <c r="X6321">
        <v>0.9800373</v>
      </c>
      <c r="Y6321">
        <v>0.28804459999999998</v>
      </c>
      <c r="Z6321">
        <v>-3.3236219999999997E-2</v>
      </c>
      <c r="AA6321">
        <v>0.95704009999999995</v>
      </c>
      <c r="AB6321">
        <v>45</v>
      </c>
      <c r="AC6321">
        <v>11.4706999999999</v>
      </c>
      <c r="AD6321">
        <v>-1.1098247707010001</v>
      </c>
      <c r="AE6321">
        <v>20.202400000000001</v>
      </c>
      <c r="AF6321">
        <v>6.7502595873759601</v>
      </c>
      <c r="AG6321">
        <v>-1.1098247707010001</v>
      </c>
      <c r="AH6321">
        <v>22.174149476141601</v>
      </c>
      <c r="AI6321">
        <v>92.7412817631389</v>
      </c>
      <c r="AJ6321">
        <v>73.068690485538397</v>
      </c>
      <c r="AK6321">
        <v>23.205400675465398</v>
      </c>
      <c r="AL6321">
        <v>79.947172970688101</v>
      </c>
      <c r="AM6321">
        <v>84.453570249520993</v>
      </c>
      <c r="AN6321">
        <v>0.99999998860863504</v>
      </c>
    </row>
    <row r="6322" spans="1:40" x14ac:dyDescent="0.25">
      <c r="A6322" t="str">
        <f>"20190303171138224"</f>
        <v>20190303171138224</v>
      </c>
      <c r="B6322" t="str">
        <f>"1551604298216411"</f>
        <v>1551604298216411</v>
      </c>
      <c r="C6322" t="s">
        <v>40</v>
      </c>
      <c r="D6322">
        <v>5.019209</v>
      </c>
      <c r="E6322">
        <v>0.58341809999999905</v>
      </c>
      <c r="F6322" t="s">
        <v>84</v>
      </c>
      <c r="G6322">
        <v>-174.4487</v>
      </c>
      <c r="H6322" s="1">
        <v>-5.7394740000000004E-6</v>
      </c>
      <c r="I6322">
        <v>140.0771</v>
      </c>
      <c r="J6322">
        <v>-186.101</v>
      </c>
      <c r="K6322">
        <v>1.109494</v>
      </c>
      <c r="L6322">
        <v>119.8904</v>
      </c>
      <c r="M6322">
        <v>0.22531880000000001</v>
      </c>
      <c r="N6322">
        <v>-1.532302E-2</v>
      </c>
      <c r="O6322">
        <v>0.97416460000000005</v>
      </c>
      <c r="P6322">
        <v>0.3099498</v>
      </c>
      <c r="Q6322">
        <v>0.161714</v>
      </c>
      <c r="R6322">
        <v>0.93689900000000004</v>
      </c>
      <c r="S6322">
        <v>1.5571140000000001</v>
      </c>
      <c r="T6322">
        <v>-0.14755750000000001</v>
      </c>
      <c r="U6322">
        <v>2.7170719999999999</v>
      </c>
      <c r="V6322">
        <v>9.5602149999999997E-2</v>
      </c>
      <c r="W6322">
        <v>0.17422839999999901</v>
      </c>
      <c r="X6322">
        <v>0.98005339999999996</v>
      </c>
      <c r="Y6322">
        <v>0.2885144</v>
      </c>
      <c r="Z6322">
        <v>-3.3011980000000003E-2</v>
      </c>
      <c r="AA6322">
        <v>0.95690629999999999</v>
      </c>
      <c r="AB6322">
        <v>45</v>
      </c>
      <c r="AC6322">
        <v>11.652299999999901</v>
      </c>
      <c r="AD6322">
        <v>-1.109499739474</v>
      </c>
      <c r="AE6322">
        <v>20.186699999999998</v>
      </c>
      <c r="AF6322">
        <v>6.7882327090163797</v>
      </c>
      <c r="AG6322">
        <v>-1.109499739474</v>
      </c>
      <c r="AH6322">
        <v>22.242868790623</v>
      </c>
      <c r="AI6322">
        <v>92.731443060270706</v>
      </c>
      <c r="AJ6322">
        <v>73.028496165200096</v>
      </c>
      <c r="AK6322">
        <v>23.282102676101299</v>
      </c>
      <c r="AL6322">
        <v>79.966240971438395</v>
      </c>
      <c r="AM6322">
        <v>84.4285443719439</v>
      </c>
      <c r="AN6322">
        <v>0.99999998665137102</v>
      </c>
    </row>
    <row r="6323" spans="1:40" x14ac:dyDescent="0.25">
      <c r="A6323" t="str">
        <f>"20190303171138236"</f>
        <v>20190303171138236</v>
      </c>
      <c r="B6323" t="str">
        <f>"1551604298227147"</f>
        <v>1551604298227147</v>
      </c>
      <c r="C6323" t="s">
        <v>40</v>
      </c>
      <c r="D6323">
        <v>5.0314870000000003</v>
      </c>
      <c r="E6323">
        <v>0.58338540000000005</v>
      </c>
      <c r="F6323" t="s">
        <v>84</v>
      </c>
      <c r="G6323">
        <v>-174.21690000000001</v>
      </c>
      <c r="H6323" s="1">
        <v>-5.70515099999999E-6</v>
      </c>
      <c r="I6323">
        <v>140.28870000000001</v>
      </c>
      <c r="J6323">
        <v>-186.03559999999999</v>
      </c>
      <c r="K6323">
        <v>1.1091409999999999</v>
      </c>
      <c r="L6323">
        <v>120.1589</v>
      </c>
      <c r="M6323">
        <v>0.23219229999999999</v>
      </c>
      <c r="N6323">
        <v>-1.537005E-2</v>
      </c>
      <c r="O6323">
        <v>0.97254850000000004</v>
      </c>
      <c r="P6323">
        <v>0.3169109</v>
      </c>
      <c r="Q6323">
        <v>0.1614168</v>
      </c>
      <c r="R6323">
        <v>0.93461870000000002</v>
      </c>
      <c r="S6323">
        <v>1.5764769999999999</v>
      </c>
      <c r="T6323">
        <v>-0.1471807</v>
      </c>
      <c r="U6323">
        <v>2.7059329999999999</v>
      </c>
      <c r="V6323">
        <v>9.6099160000000003E-2</v>
      </c>
      <c r="W6323">
        <v>0.17388789999999901</v>
      </c>
      <c r="X6323">
        <v>0.98006530000000003</v>
      </c>
      <c r="Y6323">
        <v>0.28858149999999999</v>
      </c>
      <c r="Z6323">
        <v>-3.2858869999999998E-2</v>
      </c>
      <c r="AA6323">
        <v>0.95689139999999995</v>
      </c>
      <c r="AB6323">
        <v>44</v>
      </c>
      <c r="AC6323">
        <v>11.8186999999999</v>
      </c>
      <c r="AD6323">
        <v>-1.109146705151</v>
      </c>
      <c r="AE6323">
        <v>20.129799999999999</v>
      </c>
      <c r="AF6323">
        <v>6.8057144960773899</v>
      </c>
      <c r="AG6323">
        <v>-1.109146705151</v>
      </c>
      <c r="AH6323">
        <v>22.273766238508198</v>
      </c>
      <c r="AI6323">
        <v>92.726518288241607</v>
      </c>
      <c r="AJ6323">
        <v>73.009549659604104</v>
      </c>
      <c r="AK6323">
        <v>23.316702568402999</v>
      </c>
      <c r="AL6323">
        <v>79.986052952290706</v>
      </c>
      <c r="AM6323">
        <v>84.399831084402805</v>
      </c>
      <c r="AN6323">
        <v>1.0000000212916</v>
      </c>
    </row>
    <row r="6324" spans="1:40" x14ac:dyDescent="0.25">
      <c r="A6324" t="str">
        <f>"20190303171138255"</f>
        <v>20190303171138255</v>
      </c>
      <c r="B6324" t="str">
        <f>"1551604298246667"</f>
        <v>1551604298246667</v>
      </c>
      <c r="C6324" t="s">
        <v>40</v>
      </c>
      <c r="D6324">
        <v>5.0197260000000004</v>
      </c>
      <c r="E6324">
        <v>0.58334730000000001</v>
      </c>
      <c r="F6324" t="s">
        <v>84</v>
      </c>
      <c r="G6324">
        <v>-173.94919999999999</v>
      </c>
      <c r="H6324" s="1">
        <v>-5.6656649999999999E-6</v>
      </c>
      <c r="I6324">
        <v>140.53360000000001</v>
      </c>
      <c r="J6324">
        <v>-185.94069999999999</v>
      </c>
      <c r="K6324">
        <v>1.108638</v>
      </c>
      <c r="L6324">
        <v>120.53270000000001</v>
      </c>
      <c r="M6324">
        <v>0.24215439999999999</v>
      </c>
      <c r="N6324">
        <v>-1.544075E-2</v>
      </c>
      <c r="O6324">
        <v>0.9701149</v>
      </c>
      <c r="P6324">
        <v>0.32779979999999997</v>
      </c>
      <c r="Q6324">
        <v>0.16018450000000001</v>
      </c>
      <c r="R6324">
        <v>0.93106829999999996</v>
      </c>
      <c r="S6324">
        <v>1.5977629999999901</v>
      </c>
      <c r="T6324">
        <v>-0.14662359999999999</v>
      </c>
      <c r="U6324">
        <v>2.6934200000000001</v>
      </c>
      <c r="V6324">
        <v>9.760866E-2</v>
      </c>
      <c r="W6324">
        <v>0.172575799999999</v>
      </c>
      <c r="X6324">
        <v>0.98014800000000002</v>
      </c>
      <c r="Y6324">
        <v>0.28631060000000003</v>
      </c>
      <c r="Z6324">
        <v>-3.2610859999999998E-2</v>
      </c>
      <c r="AA6324">
        <v>0.95758180000000004</v>
      </c>
      <c r="AB6324">
        <v>44</v>
      </c>
      <c r="AC6324">
        <v>11.9915</v>
      </c>
      <c r="AD6324">
        <v>-1.1086436656649901</v>
      </c>
      <c r="AE6324">
        <v>20.000900000000001</v>
      </c>
      <c r="AF6324">
        <v>6.77532352124111</v>
      </c>
      <c r="AG6324">
        <v>-1.1086436656649901</v>
      </c>
      <c r="AH6324">
        <v>22.259316950149898</v>
      </c>
      <c r="AI6324">
        <v>92.727936720707504</v>
      </c>
      <c r="AJ6324">
        <v>73.070722934870801</v>
      </c>
      <c r="AK6324">
        <v>23.294018345535299</v>
      </c>
      <c r="AL6324">
        <v>80.062384386053097</v>
      </c>
      <c r="AM6324">
        <v>84.312914184623594</v>
      </c>
      <c r="AN6324">
        <v>0.99999997957831699</v>
      </c>
    </row>
    <row r="6325" spans="1:40" x14ac:dyDescent="0.25">
      <c r="A6325" t="str">
        <f>"20190303171138269"</f>
        <v>20190303171138269</v>
      </c>
      <c r="B6325" t="str">
        <f>"1551604298257403"</f>
        <v>1551604298257403</v>
      </c>
      <c r="C6325" t="s">
        <v>40</v>
      </c>
      <c r="D6325">
        <v>5.0402180000000003</v>
      </c>
      <c r="E6325">
        <v>0.58328579999999997</v>
      </c>
      <c r="F6325" t="s">
        <v>84</v>
      </c>
      <c r="G6325">
        <v>-173.92609999999999</v>
      </c>
      <c r="H6325" s="1">
        <v>-5.5657610000000001E-6</v>
      </c>
      <c r="I6325">
        <v>140.25649999999999</v>
      </c>
      <c r="J6325">
        <v>-185.87729999999999</v>
      </c>
      <c r="K6325">
        <v>1.10832</v>
      </c>
      <c r="L6325">
        <v>120.7718</v>
      </c>
      <c r="M6325">
        <v>0.24877830000000001</v>
      </c>
      <c r="N6325">
        <v>-1.549057E-2</v>
      </c>
      <c r="O6325">
        <v>0.96843650000000003</v>
      </c>
      <c r="P6325">
        <v>0.33516200000000002</v>
      </c>
      <c r="Q6325">
        <v>0.15942310000000001</v>
      </c>
      <c r="R6325">
        <v>0.92857460000000003</v>
      </c>
      <c r="S6325">
        <v>1.629105</v>
      </c>
      <c r="T6325">
        <v>-0.15032419999999999</v>
      </c>
      <c r="U6325">
        <v>2.6744080000000001</v>
      </c>
      <c r="V6325">
        <v>9.8746189999999998E-2</v>
      </c>
      <c r="W6325">
        <v>0.17176179999999999</v>
      </c>
      <c r="X6325">
        <v>0.98017699999999996</v>
      </c>
      <c r="Y6325">
        <v>0.2909427</v>
      </c>
      <c r="Z6325">
        <v>-3.3797840000000003E-2</v>
      </c>
      <c r="AA6325">
        <v>0.95614330000000003</v>
      </c>
      <c r="AB6325">
        <v>44</v>
      </c>
      <c r="AC6325">
        <v>11.9512</v>
      </c>
      <c r="AD6325">
        <v>-1.1083255657610001</v>
      </c>
      <c r="AE6325">
        <v>19.484699999999901</v>
      </c>
      <c r="AF6325">
        <v>6.7116360766823702</v>
      </c>
      <c r="AG6325">
        <v>-1.1083255657610001</v>
      </c>
      <c r="AH6325">
        <v>21.7942772873457</v>
      </c>
      <c r="AI6325">
        <v>92.782476050000994</v>
      </c>
      <c r="AJ6325">
        <v>72.883572037654503</v>
      </c>
      <c r="AK6325">
        <v>22.831227887769298</v>
      </c>
      <c r="AL6325">
        <v>80.109729736543798</v>
      </c>
      <c r="AM6325">
        <v>84.247248055743498</v>
      </c>
      <c r="AN6325">
        <v>0.99999993865387604</v>
      </c>
    </row>
    <row r="6326" spans="1:40" x14ac:dyDescent="0.25">
      <c r="A6326" t="str">
        <f>"20190303171138281"</f>
        <v>20190303171138281</v>
      </c>
      <c r="B6326" t="str">
        <f>"1551604298276923"</f>
        <v>1551604298276923</v>
      </c>
      <c r="C6326" t="s">
        <v>40</v>
      </c>
      <c r="D6326">
        <v>5.0432249999999996</v>
      </c>
      <c r="E6326">
        <v>0.58323239999999998</v>
      </c>
      <c r="F6326" t="s">
        <v>84</v>
      </c>
      <c r="G6326">
        <v>-173.95869999999999</v>
      </c>
      <c r="H6326" s="1">
        <v>-5.4990869999999999E-6</v>
      </c>
      <c r="I6326">
        <v>140.00579999999999</v>
      </c>
      <c r="J6326">
        <v>-185.80770000000001</v>
      </c>
      <c r="K6326">
        <v>1.107979</v>
      </c>
      <c r="L6326">
        <v>121.0294</v>
      </c>
      <c r="M6326">
        <v>0.25602770000000002</v>
      </c>
      <c r="N6326">
        <v>-1.5543319999999999E-2</v>
      </c>
      <c r="O6326">
        <v>0.96654439999999997</v>
      </c>
      <c r="P6326">
        <v>0.3423967</v>
      </c>
      <c r="Q6326">
        <v>0.1585714</v>
      </c>
      <c r="R6326">
        <v>0.9260775</v>
      </c>
      <c r="S6326">
        <v>1.6493990000000001</v>
      </c>
      <c r="T6326">
        <v>-0.1533793</v>
      </c>
      <c r="U6326">
        <v>2.6617579999999998</v>
      </c>
      <c r="V6326">
        <v>9.9123020000000006E-2</v>
      </c>
      <c r="W6326">
        <v>0.17087859999999999</v>
      </c>
      <c r="X6326">
        <v>0.98029339999999998</v>
      </c>
      <c r="Y6326">
        <v>0.29105569999999997</v>
      </c>
      <c r="Z6326">
        <v>-3.4736860000000001E-2</v>
      </c>
      <c r="AA6326">
        <v>0.95607529999999996</v>
      </c>
      <c r="AB6326">
        <v>44</v>
      </c>
      <c r="AC6326">
        <v>11.849</v>
      </c>
      <c r="AD6326">
        <v>-1.107984499087</v>
      </c>
      <c r="AE6326">
        <v>18.976400000000002</v>
      </c>
      <c r="AF6326">
        <v>6.5787613755167396</v>
      </c>
      <c r="AG6326">
        <v>-1.107984499087</v>
      </c>
      <c r="AH6326">
        <v>21.325482440943698</v>
      </c>
      <c r="AI6326">
        <v>92.842239397793506</v>
      </c>
      <c r="AJ6326">
        <v>72.855373523530602</v>
      </c>
      <c r="AK6326">
        <v>22.3446622759264</v>
      </c>
      <c r="AL6326">
        <v>80.161093460181505</v>
      </c>
      <c r="AM6326">
        <v>84.226123826934995</v>
      </c>
      <c r="AN6326">
        <v>1.0000000095577199</v>
      </c>
    </row>
    <row r="6327" spans="1:40" x14ac:dyDescent="0.25">
      <c r="A6327" t="str">
        <f>"20190303171138299"</f>
        <v>20190303171138299</v>
      </c>
      <c r="B6327" t="str">
        <f>"1551604298286683"</f>
        <v>1551604298286683</v>
      </c>
      <c r="C6327" t="s">
        <v>40</v>
      </c>
      <c r="D6327">
        <v>5.0371269999999999</v>
      </c>
      <c r="E6327">
        <v>0.5832735</v>
      </c>
      <c r="F6327" t="s">
        <v>84</v>
      </c>
      <c r="G6327">
        <v>-174.00579999999999</v>
      </c>
      <c r="H6327" s="1">
        <v>-5.4397239999999996E-6</v>
      </c>
      <c r="I6327">
        <v>139.7578</v>
      </c>
      <c r="J6327">
        <v>-185.71770000000001</v>
      </c>
      <c r="K6327">
        <v>1.107553</v>
      </c>
      <c r="L6327">
        <v>121.352</v>
      </c>
      <c r="M6327">
        <v>0.26534659999999999</v>
      </c>
      <c r="N6327">
        <v>-1.5611E-2</v>
      </c>
      <c r="O6327">
        <v>0.96402670000000001</v>
      </c>
      <c r="P6327">
        <v>0.35273259999999901</v>
      </c>
      <c r="Q6327">
        <v>0.15677049999999901</v>
      </c>
      <c r="R6327">
        <v>0.92249809999999999</v>
      </c>
      <c r="S6327">
        <v>1.669373</v>
      </c>
      <c r="T6327">
        <v>-0.15672369999999999</v>
      </c>
      <c r="U6327">
        <v>2.649124</v>
      </c>
      <c r="V6327">
        <v>0.1006558</v>
      </c>
      <c r="W6327">
        <v>0.16900599999999999</v>
      </c>
      <c r="X6327">
        <v>0.98046180000000005</v>
      </c>
      <c r="Y6327">
        <v>0.2890144</v>
      </c>
      <c r="Z6327">
        <v>-3.5731640000000002E-2</v>
      </c>
      <c r="AA6327">
        <v>0.95665770000000006</v>
      </c>
      <c r="AB6327">
        <v>44</v>
      </c>
      <c r="AC6327">
        <v>11.7119</v>
      </c>
      <c r="AD6327">
        <v>-1.1075584397239999</v>
      </c>
      <c r="AE6327">
        <v>18.405799999999999</v>
      </c>
      <c r="AF6327">
        <v>6.3909766602570599</v>
      </c>
      <c r="AG6327">
        <v>-1.1075584397239999</v>
      </c>
      <c r="AH6327">
        <v>20.800326286256901</v>
      </c>
      <c r="AI6327">
        <v>92.913771674064506</v>
      </c>
      <c r="AJ6327">
        <v>72.920232182924707</v>
      </c>
      <c r="AK6327">
        <v>21.788181245439102</v>
      </c>
      <c r="AL6327">
        <v>80.269968965725198</v>
      </c>
      <c r="AM6327">
        <v>84.138457106629005</v>
      </c>
      <c r="AN6327">
        <v>0.99999997968443899</v>
      </c>
    </row>
    <row r="6328" spans="1:40" x14ac:dyDescent="0.25">
      <c r="A6328" t="str">
        <f>"20190303171138314"</f>
        <v>20190303171138314</v>
      </c>
      <c r="B6328" t="str">
        <f>"1551604298307179"</f>
        <v>1551604298307179</v>
      </c>
      <c r="C6328" t="s">
        <v>40</v>
      </c>
      <c r="D6328">
        <v>5.0653249999999996</v>
      </c>
      <c r="E6328">
        <v>0.60989579999999999</v>
      </c>
      <c r="F6328" t="s">
        <v>84</v>
      </c>
      <c r="G6328">
        <v>-174.14760000000001</v>
      </c>
      <c r="H6328" s="1">
        <v>-5.3242020000000003E-6</v>
      </c>
      <c r="I6328">
        <v>139.26679999999999</v>
      </c>
      <c r="J6328">
        <v>-185.63059999999999</v>
      </c>
      <c r="K6328">
        <v>1.107175</v>
      </c>
      <c r="L6328">
        <v>121.6525</v>
      </c>
      <c r="M6328">
        <v>0.27428780000000003</v>
      </c>
      <c r="N6328">
        <v>-1.567731E-2</v>
      </c>
      <c r="O6328">
        <v>0.96151980000000004</v>
      </c>
      <c r="P6328">
        <v>0.36193520000000001</v>
      </c>
      <c r="Q6328">
        <v>0.1561234</v>
      </c>
      <c r="R6328">
        <v>0.91903670000000004</v>
      </c>
      <c r="S6328">
        <v>1.6986540000000001</v>
      </c>
      <c r="T6328">
        <v>-0.16260579999999999</v>
      </c>
      <c r="U6328">
        <v>2.6301570000000001</v>
      </c>
      <c r="V6328">
        <v>0.10145120000000001</v>
      </c>
      <c r="W6328">
        <v>0.1683142</v>
      </c>
      <c r="X6328">
        <v>0.98049889999999995</v>
      </c>
      <c r="Y6328">
        <v>0.29073969999999999</v>
      </c>
      <c r="Z6328">
        <v>-3.756897E-2</v>
      </c>
      <c r="AA6328">
        <v>0.95606429999999998</v>
      </c>
      <c r="AB6328">
        <v>44</v>
      </c>
      <c r="AC6328">
        <v>11.482999999999899</v>
      </c>
      <c r="AD6328">
        <v>-1.107180324202</v>
      </c>
      <c r="AE6328">
        <v>17.614299999999901</v>
      </c>
      <c r="AF6328">
        <v>6.1933359236627803</v>
      </c>
      <c r="AG6328">
        <v>-1.107180324202</v>
      </c>
      <c r="AH6328">
        <v>20.033070309750698</v>
      </c>
      <c r="AI6328">
        <v>93.022517772645799</v>
      </c>
      <c r="AJ6328">
        <v>72.820713023321801</v>
      </c>
      <c r="AK6328">
        <v>20.997789506732602</v>
      </c>
      <c r="AL6328">
        <v>80.310183003581898</v>
      </c>
      <c r="AM6328">
        <v>84.092686407821006</v>
      </c>
      <c r="AN6328">
        <v>1.0000000544021399</v>
      </c>
    </row>
    <row r="6329" spans="1:40" x14ac:dyDescent="0.25">
      <c r="A6329" t="str">
        <f>"20190303171138334"</f>
        <v>20190303171138334</v>
      </c>
      <c r="B6329" t="str">
        <f>"1551604298327675"</f>
        <v>1551604298327675</v>
      </c>
      <c r="C6329" t="s">
        <v>40</v>
      </c>
      <c r="D6329">
        <v>5.0228539999999997</v>
      </c>
      <c r="E6329">
        <v>0.62253530000000001</v>
      </c>
      <c r="F6329" t="s">
        <v>42</v>
      </c>
      <c r="G6329">
        <v>-169.67789999999999</v>
      </c>
      <c r="H6329" s="1">
        <v>-9.3997619999999996E-7</v>
      </c>
      <c r="I6329">
        <v>142.65029999999999</v>
      </c>
      <c r="J6329">
        <v>-185.51650000000001</v>
      </c>
      <c r="K6329">
        <v>1.1067180000000001</v>
      </c>
      <c r="L6329">
        <v>122.0313</v>
      </c>
      <c r="M6329">
        <v>0.2858696</v>
      </c>
      <c r="N6329">
        <v>-1.5763639999999999E-2</v>
      </c>
      <c r="O6329">
        <v>0.95813890000000002</v>
      </c>
      <c r="P6329">
        <v>0.37438870000000002</v>
      </c>
      <c r="Q6329">
        <v>0.155856299999999</v>
      </c>
      <c r="R6329">
        <v>0.9140798</v>
      </c>
      <c r="S6329">
        <v>1.9221189999999999</v>
      </c>
      <c r="T6329">
        <v>-0.13340250000000001</v>
      </c>
      <c r="U6329">
        <v>2.5299990000000001</v>
      </c>
      <c r="V6329">
        <v>0.10310569999999999</v>
      </c>
      <c r="W6329">
        <v>0.16797239999999999</v>
      </c>
      <c r="X6329">
        <v>0.9803849</v>
      </c>
      <c r="Y6329">
        <v>0.35165069999999998</v>
      </c>
      <c r="Z6329">
        <v>-2.8099409999999998E-2</v>
      </c>
      <c r="AA6329">
        <v>0.93570949999999997</v>
      </c>
      <c r="AB6329">
        <v>44</v>
      </c>
      <c r="AC6329">
        <v>15.8386</v>
      </c>
      <c r="AD6329">
        <v>-1.1067189399762001</v>
      </c>
      <c r="AE6329">
        <v>20.6189999999999</v>
      </c>
      <c r="AF6329">
        <v>9.2655985490626005</v>
      </c>
      <c r="AG6329">
        <v>-1.1067189399762001</v>
      </c>
      <c r="AH6329">
        <v>24.2427325701569</v>
      </c>
      <c r="AI6329">
        <v>92.441790173038598</v>
      </c>
      <c r="AJ6329">
        <v>69.083089899737402</v>
      </c>
      <c r="AK6329">
        <v>25.9766477004374</v>
      </c>
      <c r="AL6329">
        <v>80.330049333336206</v>
      </c>
      <c r="AM6329">
        <v>83.9963529181274</v>
      </c>
      <c r="AN6329">
        <v>1.00000003234112</v>
      </c>
    </row>
    <row r="6330" spans="1:40" x14ac:dyDescent="0.25">
      <c r="A6330" t="str">
        <f>"20190303171138355"</f>
        <v>20190303171138355</v>
      </c>
      <c r="B6330" t="str">
        <f>"1551604298347194"</f>
        <v>1551604298347194</v>
      </c>
      <c r="C6330" t="s">
        <v>40</v>
      </c>
      <c r="D6330">
        <v>5.0297929999999997</v>
      </c>
      <c r="E6330">
        <v>0.6271774</v>
      </c>
      <c r="F6330" t="s">
        <v>42</v>
      </c>
      <c r="G6330">
        <v>-164.31790000000001</v>
      </c>
      <c r="H6330" s="1">
        <v>-4.4460560000000001E-6</v>
      </c>
      <c r="I6330">
        <v>147.46889999999999</v>
      </c>
      <c r="J6330">
        <v>-185.38409999999999</v>
      </c>
      <c r="K6330">
        <v>1.106225</v>
      </c>
      <c r="L6330">
        <v>122.4525</v>
      </c>
      <c r="M6330">
        <v>0.29911759999999998</v>
      </c>
      <c r="N6330">
        <v>-1.585926E-2</v>
      </c>
      <c r="O6330">
        <v>0.9540845</v>
      </c>
      <c r="P6330">
        <v>0.38827980000000001</v>
      </c>
      <c r="Q6330">
        <v>0.15553339999999999</v>
      </c>
      <c r="R6330">
        <v>0.90832159999999995</v>
      </c>
      <c r="S6330">
        <v>2.0504150000000001</v>
      </c>
      <c r="T6330">
        <v>-0.107047</v>
      </c>
      <c r="U6330">
        <v>2.4604339999999998</v>
      </c>
      <c r="V6330">
        <v>0.1046363</v>
      </c>
      <c r="W6330">
        <v>0.16757810000000001</v>
      </c>
      <c r="X6330">
        <v>0.9802902</v>
      </c>
      <c r="Y6330">
        <v>0.38080229999999998</v>
      </c>
      <c r="Z6330">
        <v>-1.9663219999999999E-2</v>
      </c>
      <c r="AA6330">
        <v>0.92444740000000003</v>
      </c>
      <c r="AB6330">
        <v>44</v>
      </c>
      <c r="AC6330">
        <v>21.066199999999899</v>
      </c>
      <c r="AD6330">
        <v>-1.106229446056</v>
      </c>
      <c r="AE6330">
        <v>25.016399999999901</v>
      </c>
      <c r="AF6330">
        <v>12.6032561999475</v>
      </c>
      <c r="AG6330">
        <v>-1.106229446056</v>
      </c>
      <c r="AH6330">
        <v>30.138342543505299</v>
      </c>
      <c r="AI6330">
        <v>91.939486659187295</v>
      </c>
      <c r="AJ6330">
        <v>67.306287064417404</v>
      </c>
      <c r="AK6330">
        <v>32.686166824797603</v>
      </c>
      <c r="AL6330">
        <v>80.352965828477096</v>
      </c>
      <c r="AM6330">
        <v>83.907310286655402</v>
      </c>
      <c r="AN6330">
        <v>1.0000000255466599</v>
      </c>
    </row>
    <row r="6331" spans="1:40" x14ac:dyDescent="0.25">
      <c r="A6331" t="str">
        <f>"20190303171138378"</f>
        <v>20190303171138378</v>
      </c>
      <c r="B6331" t="str">
        <f>"1551604298366714"</f>
        <v>1551604298366714</v>
      </c>
      <c r="C6331" t="s">
        <v>40</v>
      </c>
      <c r="D6331">
        <v>5.0016559999999997</v>
      </c>
      <c r="E6331">
        <v>0.62903169999999897</v>
      </c>
      <c r="F6331" t="s">
        <v>42</v>
      </c>
      <c r="G6331">
        <v>-161.46199999999999</v>
      </c>
      <c r="H6331">
        <v>7.9715339999999996E-2</v>
      </c>
      <c r="I6331">
        <v>149.64609999999999</v>
      </c>
      <c r="J6331">
        <v>-185.25309999999999</v>
      </c>
      <c r="K6331">
        <v>1.1057790000000001</v>
      </c>
      <c r="L6331">
        <v>122.8498</v>
      </c>
      <c r="M6331">
        <v>0.31199199999999999</v>
      </c>
      <c r="N6331">
        <v>-1.5950019999999999E-2</v>
      </c>
      <c r="O6331">
        <v>0.94995079999999998</v>
      </c>
      <c r="P6331">
        <v>0.40226010000000001</v>
      </c>
      <c r="Q6331">
        <v>0.15485639999999901</v>
      </c>
      <c r="R6331">
        <v>0.90233379999999996</v>
      </c>
      <c r="S6331">
        <v>2.121445</v>
      </c>
      <c r="T6331">
        <v>-9.1032150000000006E-2</v>
      </c>
      <c r="U6331">
        <v>2.4115600000000001</v>
      </c>
      <c r="V6331">
        <v>0.10663449999999999</v>
      </c>
      <c r="W6331">
        <v>0.16681689999999999</v>
      </c>
      <c r="X6331">
        <v>0.98020459999999998</v>
      </c>
      <c r="Y6331">
        <v>0.39304630000000002</v>
      </c>
      <c r="Z6331">
        <v>-1.4595749999999999E-2</v>
      </c>
      <c r="AA6331">
        <v>0.91940279999999996</v>
      </c>
      <c r="AB6331">
        <v>44</v>
      </c>
      <c r="AC6331">
        <v>23.791099999999901</v>
      </c>
      <c r="AD6331">
        <v>-1.0260636599999999</v>
      </c>
      <c r="AE6331">
        <v>26.796299999999899</v>
      </c>
      <c r="AF6331">
        <v>14.2302879405503</v>
      </c>
      <c r="AG6331">
        <v>-1.0260636599999999</v>
      </c>
      <c r="AH6331">
        <v>32.855045450262402</v>
      </c>
      <c r="AI6331">
        <v>91.641503014726794</v>
      </c>
      <c r="AJ6331">
        <v>66.581436232465904</v>
      </c>
      <c r="AK6331">
        <v>35.819099835760198</v>
      </c>
      <c r="AL6331">
        <v>80.397201108561703</v>
      </c>
      <c r="AM6331">
        <v>83.791322678933099</v>
      </c>
      <c r="AN6331">
        <v>0.99999992628850698</v>
      </c>
    </row>
    <row r="6332" spans="1:40" x14ac:dyDescent="0.25">
      <c r="A6332" t="str">
        <f>"20190303171138392"</f>
        <v>20190303171138392</v>
      </c>
      <c r="B6332" t="str">
        <f>"1551604298377450"</f>
        <v>1551604298377450</v>
      </c>
      <c r="C6332" t="s">
        <v>40</v>
      </c>
      <c r="D6332">
        <v>5.0298170000000004</v>
      </c>
      <c r="E6332">
        <v>0.62939829999999997</v>
      </c>
      <c r="F6332" t="s">
        <v>42</v>
      </c>
      <c r="G6332">
        <v>-160.74719999999999</v>
      </c>
      <c r="H6332">
        <v>7.1881570000000006E-2</v>
      </c>
      <c r="I6332">
        <v>149.63820000000001</v>
      </c>
      <c r="J6332">
        <v>-185.15520000000001</v>
      </c>
      <c r="K6332">
        <v>1.105475</v>
      </c>
      <c r="L6332">
        <v>123.13509999999999</v>
      </c>
      <c r="M6332">
        <v>0.32145000000000001</v>
      </c>
      <c r="N6332">
        <v>-1.601619E-2</v>
      </c>
      <c r="O6332">
        <v>0.9467911</v>
      </c>
      <c r="P6332">
        <v>0.41218280000000002</v>
      </c>
      <c r="Q6332">
        <v>0.15419279999999999</v>
      </c>
      <c r="R6332">
        <v>0.89795879999999995</v>
      </c>
      <c r="S6332">
        <v>2.1705930000000002</v>
      </c>
      <c r="T6332">
        <v>-9.1576930000000001E-2</v>
      </c>
      <c r="U6332">
        <v>2.3727719999999999</v>
      </c>
      <c r="V6332">
        <v>0.1077244</v>
      </c>
      <c r="W6332">
        <v>0.1661079</v>
      </c>
      <c r="X6332">
        <v>0.98020589999999996</v>
      </c>
      <c r="Y6332">
        <v>0.4017288</v>
      </c>
      <c r="Z6332">
        <v>-1.4790940000000001E-2</v>
      </c>
      <c r="AA6332">
        <v>0.91563919999999999</v>
      </c>
      <c r="AB6332">
        <v>44</v>
      </c>
      <c r="AC6332">
        <v>24.408000000000001</v>
      </c>
      <c r="AD6332">
        <v>-1.03359343</v>
      </c>
      <c r="AE6332">
        <v>26.5031</v>
      </c>
      <c r="AF6332">
        <v>14.579728975903301</v>
      </c>
      <c r="AG6332">
        <v>-1.03359343</v>
      </c>
      <c r="AH6332">
        <v>32.9159882190784</v>
      </c>
      <c r="AI6332">
        <v>91.644543737393604</v>
      </c>
      <c r="AJ6332">
        <v>66.109645972239903</v>
      </c>
      <c r="AK6332">
        <v>36.015261943068502</v>
      </c>
      <c r="AL6332">
        <v>80.438399265626501</v>
      </c>
      <c r="AM6332">
        <v>83.728375842681501</v>
      </c>
      <c r="AN6332">
        <v>0.99999999359628899</v>
      </c>
    </row>
    <row r="6333" spans="1:40" x14ac:dyDescent="0.25">
      <c r="A6333" t="str">
        <f>"20190303171138405"</f>
        <v>20190303171138405</v>
      </c>
      <c r="B6333" t="str">
        <f>"1551604298396971"</f>
        <v>1551604298396971</v>
      </c>
      <c r="C6333" t="s">
        <v>40</v>
      </c>
      <c r="D6333">
        <v>5.0593389999999996</v>
      </c>
      <c r="E6333">
        <v>0.62991209999999997</v>
      </c>
      <c r="F6333" t="s">
        <v>42</v>
      </c>
      <c r="G6333">
        <v>-160.3571</v>
      </c>
      <c r="H6333">
        <v>4.1584919999999997E-2</v>
      </c>
      <c r="I6333">
        <v>149.6163</v>
      </c>
      <c r="J6333">
        <v>-185.06450000000001</v>
      </c>
      <c r="K6333">
        <v>1.1052150000000001</v>
      </c>
      <c r="L6333">
        <v>123.3916</v>
      </c>
      <c r="M6333">
        <v>0.33007199999999998</v>
      </c>
      <c r="N6333">
        <v>-1.6075260000000001E-2</v>
      </c>
      <c r="O6333">
        <v>0.94381890000000002</v>
      </c>
      <c r="P6333">
        <v>0.42155520000000002</v>
      </c>
      <c r="Q6333">
        <v>0.15327379999999999</v>
      </c>
      <c r="R6333">
        <v>0.89375519999999997</v>
      </c>
      <c r="S6333">
        <v>2.1986690000000002</v>
      </c>
      <c r="T6333">
        <v>-9.4327569999999999E-2</v>
      </c>
      <c r="U6333">
        <v>2.3479000000000001</v>
      </c>
      <c r="V6333">
        <v>0.1090571</v>
      </c>
      <c r="W6333">
        <v>0.16513630000000001</v>
      </c>
      <c r="X6333">
        <v>0.9802227</v>
      </c>
      <c r="Y6333">
        <v>0.40403810000000001</v>
      </c>
      <c r="Z6333">
        <v>-1.5660779999999999E-2</v>
      </c>
      <c r="AA6333">
        <v>0.91460810000000003</v>
      </c>
      <c r="AB6333">
        <v>44</v>
      </c>
      <c r="AC6333">
        <v>24.7074</v>
      </c>
      <c r="AD6333">
        <v>-1.06363008</v>
      </c>
      <c r="AE6333">
        <v>26.224699999999999</v>
      </c>
      <c r="AF6333">
        <v>14.6523976300792</v>
      </c>
      <c r="AG6333">
        <v>-1.06363008</v>
      </c>
      <c r="AH6333">
        <v>32.882184916041702</v>
      </c>
      <c r="AI6333">
        <v>91.692372668546099</v>
      </c>
      <c r="AJ6333">
        <v>65.982107659764594</v>
      </c>
      <c r="AK6333">
        <v>36.014749063540499</v>
      </c>
      <c r="AL6333">
        <v>80.494847451598105</v>
      </c>
      <c r="AM6333">
        <v>83.651524769442702</v>
      </c>
      <c r="AN6333">
        <v>0.99999999511669402</v>
      </c>
    </row>
    <row r="6334" spans="1:40" x14ac:dyDescent="0.25">
      <c r="A6334" t="str">
        <f>"20190303171138422"</f>
        <v>20190303171138422</v>
      </c>
      <c r="B6334" t="str">
        <f>"1551604298406730"</f>
        <v>1551604298406730</v>
      </c>
      <c r="C6334" t="s">
        <v>40</v>
      </c>
      <c r="D6334">
        <v>5.0429659999999998</v>
      </c>
      <c r="E6334">
        <v>0.63000959999999995</v>
      </c>
      <c r="F6334" t="s">
        <v>42</v>
      </c>
      <c r="G6334">
        <v>-159.92869999999999</v>
      </c>
      <c r="H6334">
        <v>1.8641810000000002E-2</v>
      </c>
      <c r="I6334">
        <v>149.61619999999999</v>
      </c>
      <c r="J6334">
        <v>-184.9579</v>
      </c>
      <c r="K6334">
        <v>1.1049329999999999</v>
      </c>
      <c r="L6334">
        <v>123.6859</v>
      </c>
      <c r="M6334">
        <v>0.34008080000000002</v>
      </c>
      <c r="N6334">
        <v>-1.6141249999999999E-2</v>
      </c>
      <c r="O6334">
        <v>0.94025769999999997</v>
      </c>
      <c r="P6334">
        <v>0.43297400000000003</v>
      </c>
      <c r="Q6334">
        <v>0.1523678</v>
      </c>
      <c r="R6334">
        <v>0.88843549999999905</v>
      </c>
      <c r="S6334">
        <v>2.2265169999999999</v>
      </c>
      <c r="T6334">
        <v>-9.624779E-2</v>
      </c>
      <c r="U6334">
        <v>2.3229519999999999</v>
      </c>
      <c r="V6334">
        <v>0.1112316</v>
      </c>
      <c r="W6334">
        <v>0.16414389999999901</v>
      </c>
      <c r="X6334">
        <v>0.98014500000000004</v>
      </c>
      <c r="Y6334">
        <v>0.40493509999999999</v>
      </c>
      <c r="Z6334">
        <v>-1.6254129999999999E-2</v>
      </c>
      <c r="AA6334">
        <v>0.91420100000000004</v>
      </c>
      <c r="AB6334">
        <v>44</v>
      </c>
      <c r="AC6334">
        <v>25.029199999999999</v>
      </c>
      <c r="AD6334">
        <v>-1.0862911900000001</v>
      </c>
      <c r="AE6334">
        <v>25.9302999999999</v>
      </c>
      <c r="AF6334">
        <v>14.704058986110701</v>
      </c>
      <c r="AG6334">
        <v>-1.0862911900000001</v>
      </c>
      <c r="AH6334">
        <v>32.867538930155597</v>
      </c>
      <c r="AI6334">
        <v>91.728038927095</v>
      </c>
      <c r="AJ6334">
        <v>65.897533108026806</v>
      </c>
      <c r="AK6334">
        <v>36.023110561718397</v>
      </c>
      <c r="AL6334">
        <v>80.552494070323704</v>
      </c>
      <c r="AM6334">
        <v>83.525497352082098</v>
      </c>
      <c r="AN6334">
        <v>0.99999995488538396</v>
      </c>
    </row>
    <row r="6335" spans="1:40" x14ac:dyDescent="0.25">
      <c r="A6335" t="str">
        <f>"20190303171138434"</f>
        <v>20190303171138434</v>
      </c>
      <c r="B6335" t="str">
        <f>"1551604298427227"</f>
        <v>1551604298427227</v>
      </c>
      <c r="C6335" t="s">
        <v>40</v>
      </c>
      <c r="D6335">
        <v>5.0359299999999996</v>
      </c>
      <c r="E6335">
        <v>0.63009139999999997</v>
      </c>
      <c r="F6335" t="s">
        <v>42</v>
      </c>
      <c r="G6335">
        <v>-159.43010000000001</v>
      </c>
      <c r="H6335">
        <v>7.51091E-3</v>
      </c>
      <c r="I6335">
        <v>149.61619999999999</v>
      </c>
      <c r="J6335">
        <v>-184.86840000000001</v>
      </c>
      <c r="K6335">
        <v>1.1047089999999999</v>
      </c>
      <c r="L6335">
        <v>123.9263</v>
      </c>
      <c r="M6335">
        <v>0.34835060000000001</v>
      </c>
      <c r="N6335">
        <v>-1.6193559999999999E-2</v>
      </c>
      <c r="O6335">
        <v>0.93722439999999996</v>
      </c>
      <c r="P6335">
        <v>0.44132290000000002</v>
      </c>
      <c r="Q6335">
        <v>0.15230920000000001</v>
      </c>
      <c r="R6335">
        <v>0.884328</v>
      </c>
      <c r="S6335">
        <v>2.2575530000000001</v>
      </c>
      <c r="T6335">
        <v>-9.7050789999999998E-2</v>
      </c>
      <c r="U6335">
        <v>2.2931520000000001</v>
      </c>
      <c r="V6335">
        <v>0.11191039999999999</v>
      </c>
      <c r="W6335">
        <v>0.16405649999999999</v>
      </c>
      <c r="X6335">
        <v>0.98008240000000002</v>
      </c>
      <c r="Y6335">
        <v>0.40909450000000003</v>
      </c>
      <c r="Z6335">
        <v>-1.6535950000000001E-2</v>
      </c>
      <c r="AA6335">
        <v>0.91234219999999999</v>
      </c>
      <c r="AB6335">
        <v>44</v>
      </c>
      <c r="AC6335">
        <v>25.438300000000002</v>
      </c>
      <c r="AD6335">
        <v>-1.09719809</v>
      </c>
      <c r="AE6335">
        <v>25.689899999999898</v>
      </c>
      <c r="AF6335">
        <v>14.8805514930889</v>
      </c>
      <c r="AG6335">
        <v>-1.09719809</v>
      </c>
      <c r="AH6335">
        <v>32.912655484971701</v>
      </c>
      <c r="AI6335">
        <v>91.739895629878504</v>
      </c>
      <c r="AJ6335">
        <v>65.671204677475004</v>
      </c>
      <c r="AK6335">
        <v>36.136927753471298</v>
      </c>
      <c r="AL6335">
        <v>80.557570891760605</v>
      </c>
      <c r="AM6335">
        <v>83.485912241135694</v>
      </c>
      <c r="AN6335">
        <v>0.99999999180508403</v>
      </c>
    </row>
    <row r="6336" spans="1:40" x14ac:dyDescent="0.25">
      <c r="A6336" t="str">
        <f>"20190303171138446"</f>
        <v>20190303171138446</v>
      </c>
      <c r="B6336" t="str">
        <f>"1551604298436986"</f>
        <v>1551604298436986</v>
      </c>
      <c r="C6336" t="s">
        <v>40</v>
      </c>
      <c r="D6336">
        <v>5.0441070000000003</v>
      </c>
      <c r="E6336">
        <v>0.63007769999999996</v>
      </c>
      <c r="F6336" t="s">
        <v>42</v>
      </c>
      <c r="G6336">
        <v>-159.0831</v>
      </c>
      <c r="H6336">
        <v>1.148395E-2</v>
      </c>
      <c r="I6336">
        <v>149.61619999999999</v>
      </c>
      <c r="J6336">
        <v>-184.78129999999999</v>
      </c>
      <c r="K6336">
        <v>1.104508</v>
      </c>
      <c r="L6336">
        <v>124.15260000000001</v>
      </c>
      <c r="M6336">
        <v>0.35625580000000001</v>
      </c>
      <c r="N6336">
        <v>-1.6242309999999999E-2</v>
      </c>
      <c r="O6336">
        <v>0.9342473</v>
      </c>
      <c r="P6336">
        <v>0.44974540000000002</v>
      </c>
      <c r="Q6336">
        <v>0.15271850000000001</v>
      </c>
      <c r="R6336">
        <v>0.88000349999999905</v>
      </c>
      <c r="S6336">
        <v>2.2797700000000001</v>
      </c>
      <c r="T6336">
        <v>-9.6655610000000003E-2</v>
      </c>
      <c r="U6336">
        <v>2.2713320000000001</v>
      </c>
      <c r="V6336">
        <v>0.1131069</v>
      </c>
      <c r="W6336">
        <v>0.16441629999999999</v>
      </c>
      <c r="X6336">
        <v>0.97988470000000005</v>
      </c>
      <c r="Y6336">
        <v>0.410215</v>
      </c>
      <c r="Z6336">
        <v>-1.6415799999999901E-2</v>
      </c>
      <c r="AA6336">
        <v>0.91184109999999996</v>
      </c>
      <c r="AB6336">
        <v>44</v>
      </c>
      <c r="AC6336">
        <v>25.6981999999999</v>
      </c>
      <c r="AD6336">
        <v>-1.0930240499999999</v>
      </c>
      <c r="AE6336">
        <v>25.4635999999999</v>
      </c>
      <c r="AF6336">
        <v>14.925265060449201</v>
      </c>
      <c r="AG6336">
        <v>-1.0930240499999999</v>
      </c>
      <c r="AH6336">
        <v>32.918729252799999</v>
      </c>
      <c r="AI6336">
        <v>91.7321316111762</v>
      </c>
      <c r="AJ6336">
        <v>65.610585721804</v>
      </c>
      <c r="AK6336">
        <v>36.160765676596199</v>
      </c>
      <c r="AL6336">
        <v>80.536671761593098</v>
      </c>
      <c r="AM6336">
        <v>83.415557896177006</v>
      </c>
      <c r="AN6336">
        <v>0.999999957913694</v>
      </c>
    </row>
    <row r="6337" spans="1:40" x14ac:dyDescent="0.25">
      <c r="A6337" t="str">
        <f>"20190303171138459"</f>
        <v>20190303171138459</v>
      </c>
      <c r="B6337" t="str">
        <f>"1551604298446749"</f>
        <v>1551604298446749</v>
      </c>
      <c r="C6337" t="s">
        <v>40</v>
      </c>
      <c r="D6337">
        <v>5.0373299999999999</v>
      </c>
      <c r="E6337">
        <v>0.63007360000000001</v>
      </c>
      <c r="F6337" t="s">
        <v>42</v>
      </c>
      <c r="G6337">
        <v>-158.7311</v>
      </c>
      <c r="H6337">
        <v>2.62452E-2</v>
      </c>
      <c r="I6337">
        <v>149.61619999999999</v>
      </c>
      <c r="J6337">
        <v>-184.69220000000001</v>
      </c>
      <c r="K6337">
        <v>1.1043099999999999</v>
      </c>
      <c r="L6337">
        <v>124.3806</v>
      </c>
      <c r="M6337">
        <v>0.36425639999999998</v>
      </c>
      <c r="N6337">
        <v>-1.6289089999999999E-2</v>
      </c>
      <c r="O6337">
        <v>0.93115619999999999</v>
      </c>
      <c r="P6337">
        <v>0.45807569999999997</v>
      </c>
      <c r="Q6337">
        <v>0.153119899999999</v>
      </c>
      <c r="R6337">
        <v>0.87562609999999996</v>
      </c>
      <c r="S6337">
        <v>2.3012999999999999</v>
      </c>
      <c r="T6337">
        <v>-9.5254779999999997E-2</v>
      </c>
      <c r="U6337">
        <v>2.2494809999999998</v>
      </c>
      <c r="V6337">
        <v>0.114117899999999</v>
      </c>
      <c r="W6337">
        <v>0.16477329999999901</v>
      </c>
      <c r="X6337">
        <v>0.97970749999999995</v>
      </c>
      <c r="Y6337">
        <v>0.4110896</v>
      </c>
      <c r="Z6337">
        <v>-1.5982349999999999E-2</v>
      </c>
      <c r="AA6337">
        <v>0.91145489999999996</v>
      </c>
      <c r="AB6337">
        <v>44</v>
      </c>
      <c r="AC6337">
        <v>25.961099999999998</v>
      </c>
      <c r="AD6337">
        <v>-1.0780647999999999</v>
      </c>
      <c r="AE6337">
        <v>25.235599999999899</v>
      </c>
      <c r="AF6337">
        <v>14.9703255901831</v>
      </c>
      <c r="AG6337">
        <v>-1.0780647999999999</v>
      </c>
      <c r="AH6337">
        <v>32.929959195972501</v>
      </c>
      <c r="AI6337">
        <v>91.707077691182505</v>
      </c>
      <c r="AJ6337">
        <v>65.552927241679797</v>
      </c>
      <c r="AK6337">
        <v>36.189157003687001</v>
      </c>
      <c r="AL6337">
        <v>80.515934360099706</v>
      </c>
      <c r="AM6337">
        <v>83.356036162273497</v>
      </c>
      <c r="AN6337">
        <v>0.99999996052477402</v>
      </c>
    </row>
    <row r="6338" spans="1:40" x14ac:dyDescent="0.25">
      <c r="A6338" t="str">
        <f>"20190303171138472"</f>
        <v>20190303171138472</v>
      </c>
      <c r="B6338" t="str">
        <f>"1551604298456506"</f>
        <v>1551604298456506</v>
      </c>
      <c r="C6338" t="s">
        <v>40</v>
      </c>
      <c r="D6338">
        <v>5.0407260000000003</v>
      </c>
      <c r="E6338">
        <v>0.63004579999999999</v>
      </c>
      <c r="F6338" t="s">
        <v>42</v>
      </c>
      <c r="G6338">
        <v>-158.38849999999999</v>
      </c>
      <c r="H6338">
        <v>2.327738E-2</v>
      </c>
      <c r="I6338">
        <v>149.61619999999999</v>
      </c>
      <c r="J6338">
        <v>-184.59540000000001</v>
      </c>
      <c r="K6338">
        <v>1.104112</v>
      </c>
      <c r="L6338">
        <v>124.6212</v>
      </c>
      <c r="M6338">
        <v>0.37279430000000002</v>
      </c>
      <c r="N6338">
        <v>-1.6337620000000001E-2</v>
      </c>
      <c r="O6338">
        <v>0.92777019999999999</v>
      </c>
      <c r="P6338">
        <v>0.46708250000000001</v>
      </c>
      <c r="Q6338">
        <v>0.15313470000000001</v>
      </c>
      <c r="R6338">
        <v>0.87085230000000002</v>
      </c>
      <c r="S6338">
        <v>2.322235</v>
      </c>
      <c r="T6338">
        <v>-9.5439549999999998E-2</v>
      </c>
      <c r="U6338">
        <v>2.2279360000000001</v>
      </c>
      <c r="V6338">
        <v>0.11530260000000001</v>
      </c>
      <c r="W6338">
        <v>0.16473889999999999</v>
      </c>
      <c r="X6338">
        <v>0.97957459999999996</v>
      </c>
      <c r="Y6338">
        <v>0.41122320000000001</v>
      </c>
      <c r="Z6338">
        <v>-1.6039129999999999E-2</v>
      </c>
      <c r="AA6338">
        <v>0.91139360000000003</v>
      </c>
      <c r="AB6338">
        <v>44</v>
      </c>
      <c r="AC6338">
        <v>26.206900000000001</v>
      </c>
      <c r="AD6338">
        <v>-1.0808346200000001</v>
      </c>
      <c r="AE6338">
        <v>24.994999999999902</v>
      </c>
      <c r="AF6338">
        <v>14.9846418139802</v>
      </c>
      <c r="AG6338">
        <v>-1.0808346200000001</v>
      </c>
      <c r="AH6338">
        <v>32.934463002004897</v>
      </c>
      <c r="AI6338">
        <v>91.710987025362996</v>
      </c>
      <c r="AJ6338">
        <v>65.535241543909393</v>
      </c>
      <c r="AK6338">
        <v>36.199261691359197</v>
      </c>
      <c r="AL6338">
        <v>80.517932980923007</v>
      </c>
      <c r="AM6338">
        <v>83.286786538822</v>
      </c>
      <c r="AN6338">
        <v>0.99999999585256405</v>
      </c>
    </row>
    <row r="6339" spans="1:40" x14ac:dyDescent="0.25">
      <c r="A6339" t="str">
        <f>"20190303171138487"</f>
        <v>20190303171138487</v>
      </c>
      <c r="B6339" t="str">
        <f>"1551604298477003"</f>
        <v>1551604298477003</v>
      </c>
      <c r="C6339" t="s">
        <v>40</v>
      </c>
      <c r="D6339">
        <v>5.0252819999999998</v>
      </c>
      <c r="E6339">
        <v>0.62994209999999995</v>
      </c>
      <c r="F6339" t="s">
        <v>42</v>
      </c>
      <c r="G6339">
        <v>-158.01689999999999</v>
      </c>
      <c r="H6339">
        <v>8.2643879999999992E-3</v>
      </c>
      <c r="I6339">
        <v>149.61619999999999</v>
      </c>
      <c r="J6339">
        <v>-184.47669999999999</v>
      </c>
      <c r="K6339">
        <v>1.1038889999999999</v>
      </c>
      <c r="L6339">
        <v>124.90770000000001</v>
      </c>
      <c r="M6339">
        <v>0.38306020000000002</v>
      </c>
      <c r="N6339">
        <v>-1.6393700000000001E-2</v>
      </c>
      <c r="O6339">
        <v>0.92357789999999995</v>
      </c>
      <c r="P6339">
        <v>0.47816059999999999</v>
      </c>
      <c r="Q6339">
        <v>0.15357219999999999</v>
      </c>
      <c r="R6339">
        <v>0.864741599999999</v>
      </c>
      <c r="S6339">
        <v>2.3442229999999999</v>
      </c>
      <c r="T6339">
        <v>-9.6653580000000003E-2</v>
      </c>
      <c r="U6339">
        <v>2.2045590000000002</v>
      </c>
      <c r="V6339">
        <v>0.117079</v>
      </c>
      <c r="W6339">
        <v>0.16510059999999999</v>
      </c>
      <c r="X6339">
        <v>0.97930289999999998</v>
      </c>
      <c r="Y6339">
        <v>0.41019719999999998</v>
      </c>
      <c r="Z6339">
        <v>-1.6407970000000001E-2</v>
      </c>
      <c r="AA6339">
        <v>0.91184929999999997</v>
      </c>
      <c r="AB6339">
        <v>44</v>
      </c>
      <c r="AC6339">
        <v>26.459800000000001</v>
      </c>
      <c r="AD6339">
        <v>-1.0956246119999999</v>
      </c>
      <c r="AE6339">
        <v>24.708499999999901</v>
      </c>
      <c r="AF6339">
        <v>14.9611531522423</v>
      </c>
      <c r="AG6339">
        <v>-1.0956246119999999</v>
      </c>
      <c r="AH6339">
        <v>32.930189679445803</v>
      </c>
      <c r="AI6339">
        <v>91.735038039956805</v>
      </c>
      <c r="AJ6339">
        <v>65.566305614469101</v>
      </c>
      <c r="AK6339">
        <v>36.186100774462503</v>
      </c>
      <c r="AL6339">
        <v>80.496920803079803</v>
      </c>
      <c r="AM6339">
        <v>83.182452472426405</v>
      </c>
      <c r="AN6339">
        <v>0.99999993515488295</v>
      </c>
    </row>
    <row r="6340" spans="1:40" x14ac:dyDescent="0.25">
      <c r="A6340" t="str">
        <f>"20190303171138501"</f>
        <v>20190303171138501</v>
      </c>
      <c r="B6340" t="str">
        <f>"1551604298486763"</f>
        <v>1551604298486763</v>
      </c>
      <c r="C6340" t="s">
        <v>40</v>
      </c>
      <c r="D6340">
        <v>4.9733669999999996</v>
      </c>
      <c r="E6340">
        <v>0.62974410000000003</v>
      </c>
      <c r="F6340" t="s">
        <v>42</v>
      </c>
      <c r="G6340">
        <v>-157.54390000000001</v>
      </c>
      <c r="H6340">
        <v>1.7533409999999999E-2</v>
      </c>
      <c r="I6340">
        <v>149.61619999999999</v>
      </c>
      <c r="J6340">
        <v>-184.37690000000001</v>
      </c>
      <c r="K6340">
        <v>1.103715</v>
      </c>
      <c r="L6340">
        <v>125.1433</v>
      </c>
      <c r="M6340">
        <v>0.39155879999999998</v>
      </c>
      <c r="N6340">
        <v>-1.643793E-2</v>
      </c>
      <c r="O6340">
        <v>0.92000630000000005</v>
      </c>
      <c r="P6340">
        <v>0.48582969999999998</v>
      </c>
      <c r="Q6340">
        <v>0.15375920000000001</v>
      </c>
      <c r="R6340">
        <v>0.86042299999999905</v>
      </c>
      <c r="S6340">
        <v>2.3710019999999998</v>
      </c>
      <c r="T6340">
        <v>-9.5636009999999994E-2</v>
      </c>
      <c r="U6340">
        <v>2.1751860000000001</v>
      </c>
      <c r="V6340">
        <v>0.1168445</v>
      </c>
      <c r="W6340">
        <v>0.16529669999999999</v>
      </c>
      <c r="X6340">
        <v>0.97929790000000005</v>
      </c>
      <c r="Y6340">
        <v>0.41305350000000002</v>
      </c>
      <c r="Z6340">
        <v>-1.61228E-2</v>
      </c>
      <c r="AA6340">
        <v>0.91056409999999999</v>
      </c>
      <c r="AB6340">
        <v>44</v>
      </c>
      <c r="AC6340">
        <v>26.832999999999998</v>
      </c>
      <c r="AD6340">
        <v>-1.08618159</v>
      </c>
      <c r="AE6340">
        <v>24.472899999999999</v>
      </c>
      <c r="AF6340">
        <v>15.092489708942599</v>
      </c>
      <c r="AG6340">
        <v>-1.08618159</v>
      </c>
      <c r="AH6340">
        <v>32.996864383031998</v>
      </c>
      <c r="AI6340">
        <v>91.714637740102006</v>
      </c>
      <c r="AJ6340">
        <v>65.421039804633693</v>
      </c>
      <c r="AK6340">
        <v>36.300910390418601</v>
      </c>
      <c r="AL6340">
        <v>80.485529260163602</v>
      </c>
      <c r="AM6340">
        <v>83.195944926855006</v>
      </c>
      <c r="AN6340">
        <v>1.0000000065777701</v>
      </c>
    </row>
    <row r="6341" spans="1:40" x14ac:dyDescent="0.25">
      <c r="A6341" t="str">
        <f>"20190303171138512"</f>
        <v>20190303171138512</v>
      </c>
      <c r="B6341" t="str">
        <f>"1551604298496523"</f>
        <v>1551604298496523</v>
      </c>
      <c r="C6341" t="s">
        <v>40</v>
      </c>
      <c r="D6341">
        <v>5.0070129999999997</v>
      </c>
      <c r="E6341">
        <v>0.62962899999999999</v>
      </c>
      <c r="F6341" t="s">
        <v>42</v>
      </c>
      <c r="G6341">
        <v>-157.23519999999999</v>
      </c>
      <c r="H6341">
        <v>3.6964820000000002E-2</v>
      </c>
      <c r="I6341">
        <v>149.61619999999999</v>
      </c>
      <c r="J6341">
        <v>-184.28440000000001</v>
      </c>
      <c r="K6341">
        <v>1.103559</v>
      </c>
      <c r="L6341">
        <v>125.3563</v>
      </c>
      <c r="M6341">
        <v>0.39929969999999998</v>
      </c>
      <c r="N6341">
        <v>-1.6476890000000001E-2</v>
      </c>
      <c r="O6341">
        <v>0.91667240000000005</v>
      </c>
      <c r="P6341">
        <v>0.49380570000000001</v>
      </c>
      <c r="Q6341">
        <v>0.15388969999999999</v>
      </c>
      <c r="R6341">
        <v>0.85584689999999997</v>
      </c>
      <c r="S6341">
        <v>2.389297</v>
      </c>
      <c r="T6341">
        <v>-9.3906400000000001E-2</v>
      </c>
      <c r="U6341">
        <v>2.1543580000000002</v>
      </c>
      <c r="V6341">
        <v>0.1177668</v>
      </c>
      <c r="W6341">
        <v>0.16538749999999999</v>
      </c>
      <c r="X6341">
        <v>0.97917209999999999</v>
      </c>
      <c r="Y6341">
        <v>0.41322959999999898</v>
      </c>
      <c r="Z6341">
        <v>-1.5590909999999999E-2</v>
      </c>
      <c r="AA6341">
        <v>0.91049340000000001</v>
      </c>
      <c r="AB6341">
        <v>44</v>
      </c>
      <c r="AC6341">
        <v>27.049199999999999</v>
      </c>
      <c r="AD6341">
        <v>-1.0665941800000001</v>
      </c>
      <c r="AE6341">
        <v>24.259899999999899</v>
      </c>
      <c r="AF6341">
        <v>15.097325935869501</v>
      </c>
      <c r="AG6341">
        <v>-1.0665941800000001</v>
      </c>
      <c r="AH6341">
        <v>33.015154239440399</v>
      </c>
      <c r="AI6341">
        <v>91.682870948672601</v>
      </c>
      <c r="AJ6341">
        <v>65.426105360382493</v>
      </c>
      <c r="AK6341">
        <v>36.318965885783797</v>
      </c>
      <c r="AL6341">
        <v>80.480254355546506</v>
      </c>
      <c r="AM6341">
        <v>83.141874635720697</v>
      </c>
      <c r="AN6341">
        <v>1.00000002287844</v>
      </c>
    </row>
    <row r="6342" spans="1:40" x14ac:dyDescent="0.25">
      <c r="A6342" t="str">
        <f>"20190303171138527"</f>
        <v>20190303171138527</v>
      </c>
      <c r="B6342" t="str">
        <f>"1551604298517019"</f>
        <v>1551604298517019</v>
      </c>
      <c r="C6342" t="s">
        <v>40</v>
      </c>
      <c r="D6342">
        <v>5.0045999999999999</v>
      </c>
      <c r="E6342">
        <v>0.62937299999999996</v>
      </c>
      <c r="F6342" t="s">
        <v>42</v>
      </c>
      <c r="G6342">
        <v>-156.88480000000001</v>
      </c>
      <c r="H6342">
        <v>4.4360700000000003E-2</v>
      </c>
      <c r="I6342">
        <v>149.61619999999999</v>
      </c>
      <c r="J6342">
        <v>-184.16919999999999</v>
      </c>
      <c r="K6342">
        <v>1.1033820000000001</v>
      </c>
      <c r="L6342">
        <v>125.6144</v>
      </c>
      <c r="M6342">
        <v>0.4087519</v>
      </c>
      <c r="N6342">
        <v>-1.6522829999999999E-2</v>
      </c>
      <c r="O6342">
        <v>0.91249599999999997</v>
      </c>
      <c r="P6342">
        <v>0.50361329999999904</v>
      </c>
      <c r="Q6342">
        <v>0.1540472</v>
      </c>
      <c r="R6342">
        <v>0.85008419999999896</v>
      </c>
      <c r="S6342">
        <v>2.4084319999999999</v>
      </c>
      <c r="T6342">
        <v>-9.3103649999999996E-2</v>
      </c>
      <c r="U6342">
        <v>2.1324459999999998</v>
      </c>
      <c r="V6342">
        <v>0.1189931</v>
      </c>
      <c r="W6342">
        <v>0.16549330000000001</v>
      </c>
      <c r="X6342">
        <v>0.97900589999999998</v>
      </c>
      <c r="Y6342">
        <v>0.4120547</v>
      </c>
      <c r="Z6342">
        <v>-1.5334230000000001E-2</v>
      </c>
      <c r="AA6342">
        <v>0.91103009999999995</v>
      </c>
      <c r="AB6342">
        <v>44</v>
      </c>
      <c r="AC6342">
        <v>27.284399999999899</v>
      </c>
      <c r="AD6342">
        <v>-1.0590212999999999</v>
      </c>
      <c r="AE6342">
        <v>24.0017999999999</v>
      </c>
      <c r="AF6342">
        <v>15.0753801206546</v>
      </c>
      <c r="AG6342">
        <v>-1.0590212999999999</v>
      </c>
      <c r="AH6342">
        <v>33.030555594858001</v>
      </c>
      <c r="AI6342">
        <v>91.670704378370999</v>
      </c>
      <c r="AJ6342">
        <v>65.467707227345002</v>
      </c>
      <c r="AK6342">
        <v>36.323631630126002</v>
      </c>
      <c r="AL6342">
        <v>80.474107264108596</v>
      </c>
      <c r="AM6342">
        <v>83.069987169353695</v>
      </c>
      <c r="AN6342">
        <v>0.99999997121365403</v>
      </c>
    </row>
    <row r="6343" spans="1:40" x14ac:dyDescent="0.25">
      <c r="A6343" t="str">
        <f>"20190303171138541"</f>
        <v>20190303171138541</v>
      </c>
      <c r="B6343" t="str">
        <f>"1551604298526780"</f>
        <v>1551604298526780</v>
      </c>
      <c r="C6343" t="s">
        <v>40</v>
      </c>
      <c r="D6343">
        <v>5.0042980000000004</v>
      </c>
      <c r="E6343">
        <v>0.62920100000000001</v>
      </c>
      <c r="F6343" t="s">
        <v>42</v>
      </c>
      <c r="G6343">
        <v>-156.45939999999999</v>
      </c>
      <c r="H6343">
        <v>4.22779E-2</v>
      </c>
      <c r="I6343">
        <v>149.61619999999999</v>
      </c>
      <c r="J6343">
        <v>-184.0548</v>
      </c>
      <c r="K6343">
        <v>1.103213</v>
      </c>
      <c r="L6343">
        <v>125.8653</v>
      </c>
      <c r="M6343">
        <v>0.41798649999999998</v>
      </c>
      <c r="N6343">
        <v>-1.6565509999999999E-2</v>
      </c>
      <c r="O6343">
        <v>0.90830219999999995</v>
      </c>
      <c r="P6343">
        <v>0.51346800000000004</v>
      </c>
      <c r="Q6343">
        <v>0.1540378</v>
      </c>
      <c r="R6343">
        <v>0.84416999999999998</v>
      </c>
      <c r="S6343">
        <v>2.4310459999999998</v>
      </c>
      <c r="T6343">
        <v>-9.3092800000000003E-2</v>
      </c>
      <c r="U6343">
        <v>2.105728</v>
      </c>
      <c r="V6343">
        <v>0.120516</v>
      </c>
      <c r="W6343">
        <v>0.1654176</v>
      </c>
      <c r="X6343">
        <v>0.97883240000000005</v>
      </c>
      <c r="Y6343">
        <v>0.4127246</v>
      </c>
      <c r="Z6343">
        <v>-1.5347049999999999E-2</v>
      </c>
      <c r="AA6343">
        <v>0.91072649999999999</v>
      </c>
      <c r="AB6343">
        <v>44</v>
      </c>
      <c r="AC6343">
        <v>27.595400000000001</v>
      </c>
      <c r="AD6343">
        <v>-1.0609351</v>
      </c>
      <c r="AE6343">
        <v>23.750899999999898</v>
      </c>
      <c r="AF6343">
        <v>15.126640134976199</v>
      </c>
      <c r="AG6343">
        <v>-1.0609351</v>
      </c>
      <c r="AH6343">
        <v>33.083950906697801</v>
      </c>
      <c r="AI6343">
        <v>91.670509170645005</v>
      </c>
      <c r="AJ6343">
        <v>65.429178427614303</v>
      </c>
      <c r="AK6343">
        <v>36.393524597876997</v>
      </c>
      <c r="AL6343">
        <v>80.478505234824695</v>
      </c>
      <c r="AM6343">
        <v>82.980942717351795</v>
      </c>
      <c r="AN6343">
        <v>0.99999997796775897</v>
      </c>
    </row>
    <row r="6344" spans="1:40" x14ac:dyDescent="0.25">
      <c r="A6344" t="str">
        <f>"20190303171138558"</f>
        <v>20190303171138558</v>
      </c>
      <c r="B6344" t="str">
        <f>"1551604298547274"</f>
        <v>1551604298547274</v>
      </c>
      <c r="C6344" t="s">
        <v>40</v>
      </c>
      <c r="D6344">
        <v>5.0029409999999999</v>
      </c>
      <c r="E6344">
        <v>0.62879419999999897</v>
      </c>
      <c r="F6344" t="s">
        <v>42</v>
      </c>
      <c r="G6344">
        <v>-156.01349999999999</v>
      </c>
      <c r="H6344">
        <v>2.4231300000000001E-2</v>
      </c>
      <c r="I6344">
        <v>149.61619999999999</v>
      </c>
      <c r="J6344">
        <v>-183.91560000000001</v>
      </c>
      <c r="K6344">
        <v>1.103027</v>
      </c>
      <c r="L6344">
        <v>126.1623</v>
      </c>
      <c r="M6344">
        <v>0.42898639999999999</v>
      </c>
      <c r="N6344">
        <v>-1.6614090000000001E-2</v>
      </c>
      <c r="O6344">
        <v>0.90315820000000002</v>
      </c>
      <c r="P6344">
        <v>0.52602689999999996</v>
      </c>
      <c r="Q6344">
        <v>0.15428739999999999</v>
      </c>
      <c r="R6344">
        <v>0.83635590000000004</v>
      </c>
      <c r="S6344">
        <v>2.4539029999999999</v>
      </c>
      <c r="T6344">
        <v>-9.4421980000000003E-2</v>
      </c>
      <c r="U6344">
        <v>2.0784449999999999</v>
      </c>
      <c r="V6344">
        <v>0.1233635</v>
      </c>
      <c r="W6344">
        <v>0.1655422</v>
      </c>
      <c r="X6344">
        <v>0.97845660000000001</v>
      </c>
      <c r="Y6344">
        <v>0.41173470000000001</v>
      </c>
      <c r="Z6344">
        <v>-1.5755760000000001E-2</v>
      </c>
      <c r="AA6344">
        <v>0.91116759999999997</v>
      </c>
      <c r="AB6344">
        <v>43</v>
      </c>
      <c r="AC6344">
        <v>27.902100000000001</v>
      </c>
      <c r="AD6344">
        <v>-1.0787956999999999</v>
      </c>
      <c r="AE6344">
        <v>23.453899999999901</v>
      </c>
      <c r="AF6344">
        <v>15.1274444415057</v>
      </c>
      <c r="AG6344">
        <v>-1.0787956999999999</v>
      </c>
      <c r="AH6344">
        <v>33.127760091709497</v>
      </c>
      <c r="AI6344">
        <v>91.696742458621401</v>
      </c>
      <c r="AJ6344">
        <v>65.456687333681202</v>
      </c>
      <c r="AK6344">
        <v>36.434212825132398</v>
      </c>
      <c r="AL6344">
        <v>80.471267030054406</v>
      </c>
      <c r="AM6344">
        <v>82.814082081997896</v>
      </c>
      <c r="AN6344">
        <v>1.00000004559832</v>
      </c>
    </row>
    <row r="6345" spans="1:40" x14ac:dyDescent="0.25">
      <c r="A6345" t="str">
        <f>"20190303171138571"</f>
        <v>20190303171138571</v>
      </c>
      <c r="B6345" t="str">
        <f>"1551604298557035"</f>
        <v>1551604298557035</v>
      </c>
      <c r="C6345" t="s">
        <v>40</v>
      </c>
      <c r="D6345">
        <v>5.0278790000000004</v>
      </c>
      <c r="E6345">
        <v>0.62853809999999999</v>
      </c>
      <c r="F6345" t="s">
        <v>42</v>
      </c>
      <c r="G6345">
        <v>-156.1738</v>
      </c>
      <c r="H6345" s="1">
        <v>-3.8460129999999998E-6</v>
      </c>
      <c r="I6345">
        <v>149.03620000000001</v>
      </c>
      <c r="J6345">
        <v>-183.7961</v>
      </c>
      <c r="K6345">
        <v>1.1028830000000001</v>
      </c>
      <c r="L6345">
        <v>126.40900000000001</v>
      </c>
      <c r="M6345">
        <v>0.43819770000000002</v>
      </c>
      <c r="N6345">
        <v>-1.6653479999999998E-2</v>
      </c>
      <c r="O6345">
        <v>0.89872430000000003</v>
      </c>
      <c r="P6345">
        <v>0.53550390000000003</v>
      </c>
      <c r="Q6345">
        <v>0.15467149999999999</v>
      </c>
      <c r="R6345">
        <v>0.8302484</v>
      </c>
      <c r="S6345">
        <v>2.4803769999999998</v>
      </c>
      <c r="T6345">
        <v>-9.8621130000000001E-2</v>
      </c>
      <c r="U6345">
        <v>2.0451350000000001</v>
      </c>
      <c r="V6345">
        <v>0.1245914</v>
      </c>
      <c r="W6345">
        <v>0.16587180000000001</v>
      </c>
      <c r="X6345">
        <v>0.97824509999999998</v>
      </c>
      <c r="Y6345">
        <v>0.41444690000000001</v>
      </c>
      <c r="Z6345">
        <v>-1.709691E-2</v>
      </c>
      <c r="AA6345">
        <v>0.90991290000000002</v>
      </c>
      <c r="AB6345">
        <v>43</v>
      </c>
      <c r="AC6345">
        <v>27.622299999999999</v>
      </c>
      <c r="AD6345">
        <v>-1.1028868460129999</v>
      </c>
      <c r="AE6345">
        <v>22.627199999999998</v>
      </c>
      <c r="AF6345">
        <v>14.8975011639382</v>
      </c>
      <c r="AG6345">
        <v>-1.1028868460129999</v>
      </c>
      <c r="AH6345">
        <v>32.413220362759702</v>
      </c>
      <c r="AI6345">
        <v>91.7708323124251</v>
      </c>
      <c r="AJ6345">
        <v>65.315926396465102</v>
      </c>
      <c r="AK6345">
        <v>35.689897094408501</v>
      </c>
      <c r="AL6345">
        <v>80.452116905194302</v>
      </c>
      <c r="AM6345">
        <v>82.741763520684998</v>
      </c>
      <c r="AN6345">
        <v>0.99999997333160395</v>
      </c>
    </row>
    <row r="6346" spans="1:40" x14ac:dyDescent="0.25">
      <c r="A6346" t="str">
        <f>"20190303171138583"</f>
        <v>20190303171138583</v>
      </c>
      <c r="B6346" t="str">
        <f>"1551604298576555"</f>
        <v>1551604298576555</v>
      </c>
      <c r="C6346" t="s">
        <v>40</v>
      </c>
      <c r="D6346">
        <v>5.0194559999999999</v>
      </c>
      <c r="E6346">
        <v>0.62805509999999998</v>
      </c>
      <c r="F6346" t="s">
        <v>42</v>
      </c>
      <c r="G6346">
        <v>-156.11089999999999</v>
      </c>
      <c r="H6346" s="1">
        <v>-3.8167810000000001E-6</v>
      </c>
      <c r="I6346">
        <v>148.75069999999999</v>
      </c>
      <c r="J6346">
        <v>-183.6925</v>
      </c>
      <c r="K6346">
        <v>1.1027690000000001</v>
      </c>
      <c r="L6346">
        <v>126.6183</v>
      </c>
      <c r="M6346">
        <v>0.44604549999999998</v>
      </c>
      <c r="N6346">
        <v>-1.6685800000000001E-2</v>
      </c>
      <c r="O6346">
        <v>0.89485479999999995</v>
      </c>
      <c r="P6346">
        <v>0.54347190000000001</v>
      </c>
      <c r="Q6346">
        <v>0.15518579999999901</v>
      </c>
      <c r="R6346">
        <v>0.82495799999999997</v>
      </c>
      <c r="S6346">
        <v>2.5013429999999999</v>
      </c>
      <c r="T6346">
        <v>-9.9645139999999993E-2</v>
      </c>
      <c r="U6346">
        <v>2.01857</v>
      </c>
      <c r="V6346">
        <v>0.12555999999999901</v>
      </c>
      <c r="W6346">
        <v>0.1663425</v>
      </c>
      <c r="X6346">
        <v>0.97804139999999995</v>
      </c>
      <c r="Y6346">
        <v>0.41605409999999998</v>
      </c>
      <c r="Z6346">
        <v>-1.7438019999999999E-2</v>
      </c>
      <c r="AA6346">
        <v>0.90917269999999994</v>
      </c>
      <c r="AB6346">
        <v>43</v>
      </c>
      <c r="AC6346">
        <v>27.581600000000002</v>
      </c>
      <c r="AD6346">
        <v>-1.102772816781</v>
      </c>
      <c r="AE6346">
        <v>22.132399999999901</v>
      </c>
      <c r="AF6346">
        <v>14.7971417165268</v>
      </c>
      <c r="AG6346">
        <v>-1.102772816781</v>
      </c>
      <c r="AH6346">
        <v>32.0812049759937</v>
      </c>
      <c r="AI6346">
        <v>91.787856757456694</v>
      </c>
      <c r="AJ6346">
        <v>65.238948672645293</v>
      </c>
      <c r="AK6346">
        <v>35.346502282066503</v>
      </c>
      <c r="AL6346">
        <v>80.424768682209006</v>
      </c>
      <c r="AM6346">
        <v>82.684438324938</v>
      </c>
      <c r="AN6346">
        <v>1.0000000605101</v>
      </c>
    </row>
    <row r="6347" spans="1:40" x14ac:dyDescent="0.25">
      <c r="A6347" t="str">
        <f>"20190303171138595"</f>
        <v>20190303171138595</v>
      </c>
      <c r="B6347" t="str">
        <f>"1551604298587291"</f>
        <v>1551604298587291</v>
      </c>
      <c r="C6347" t="s">
        <v>40</v>
      </c>
      <c r="D6347">
        <v>5.0383899999999997</v>
      </c>
      <c r="E6347">
        <v>0.62775209999999904</v>
      </c>
      <c r="F6347" t="s">
        <v>42</v>
      </c>
      <c r="G6347">
        <v>-156.09</v>
      </c>
      <c r="H6347" s="1">
        <v>-3.7824750000000002E-6</v>
      </c>
      <c r="I6347">
        <v>148.5172</v>
      </c>
      <c r="J6347">
        <v>-183.589</v>
      </c>
      <c r="K6347">
        <v>1.102662</v>
      </c>
      <c r="L6347">
        <v>126.8245</v>
      </c>
      <c r="M6347">
        <v>0.45378849999999998</v>
      </c>
      <c r="N6347">
        <v>-1.6716439999999999E-2</v>
      </c>
      <c r="O6347">
        <v>0.89095259999999998</v>
      </c>
      <c r="P6347">
        <v>0.55124399999999996</v>
      </c>
      <c r="Q6347">
        <v>0.15600559999999999</v>
      </c>
      <c r="R6347">
        <v>0.81962939999999995</v>
      </c>
      <c r="S6347">
        <v>2.5172729999999999</v>
      </c>
      <c r="T6347">
        <v>-0.1005696</v>
      </c>
      <c r="U6347">
        <v>1.9971159999999999</v>
      </c>
      <c r="V6347">
        <v>0.1264719</v>
      </c>
      <c r="W6347">
        <v>0.16712009999999999</v>
      </c>
      <c r="X6347">
        <v>0.97779119999999997</v>
      </c>
      <c r="Y6347">
        <v>0.41571789999999997</v>
      </c>
      <c r="Z6347">
        <v>-1.7727949999999999E-2</v>
      </c>
      <c r="AA6347">
        <v>0.90932080000000004</v>
      </c>
      <c r="AB6347">
        <v>43</v>
      </c>
      <c r="AC6347">
        <v>27.498999999999999</v>
      </c>
      <c r="AD6347">
        <v>-1.1026657824749999</v>
      </c>
      <c r="AE6347">
        <v>21.692699999999999</v>
      </c>
      <c r="AF6347">
        <v>14.643942264220501</v>
      </c>
      <c r="AG6347">
        <v>-1.1026657824749999</v>
      </c>
      <c r="AH6347">
        <v>31.7788460464118</v>
      </c>
      <c r="AI6347">
        <v>91.804977495457905</v>
      </c>
      <c r="AJ6347">
        <v>65.259377981866507</v>
      </c>
      <c r="AK6347">
        <v>35.0079415691241</v>
      </c>
      <c r="AL6347">
        <v>80.379581920300197</v>
      </c>
      <c r="AM6347">
        <v>82.630024973068004</v>
      </c>
      <c r="AN6347">
        <v>0.999999950055528</v>
      </c>
    </row>
    <row r="6348" spans="1:40" x14ac:dyDescent="0.25">
      <c r="A6348" t="str">
        <f>"20190303171138612"</f>
        <v>20190303171138612</v>
      </c>
      <c r="B6348" t="str">
        <f>"1551604298606811"</f>
        <v>1551604298606811</v>
      </c>
      <c r="C6348" t="s">
        <v>40</v>
      </c>
      <c r="D6348">
        <v>5.0467579999999996</v>
      </c>
      <c r="E6348">
        <v>0.61756549999999999</v>
      </c>
      <c r="F6348" t="s">
        <v>42</v>
      </c>
      <c r="G6348">
        <v>-155.24610000000001</v>
      </c>
      <c r="H6348" s="1">
        <v>-4.137961E-6</v>
      </c>
      <c r="I6348">
        <v>148.9023</v>
      </c>
      <c r="J6348">
        <v>-183.44069999999999</v>
      </c>
      <c r="K6348">
        <v>1.102519</v>
      </c>
      <c r="L6348">
        <v>127.11060000000001</v>
      </c>
      <c r="M6348">
        <v>0.46460869999999999</v>
      </c>
      <c r="N6348">
        <v>-1.675801E-2</v>
      </c>
      <c r="O6348">
        <v>0.88535759999999897</v>
      </c>
      <c r="P6348">
        <v>0.56189540000000004</v>
      </c>
      <c r="Q6348">
        <v>0.1567026</v>
      </c>
      <c r="R6348">
        <v>0.81223020000000001</v>
      </c>
      <c r="S6348">
        <v>2.5345759999999999</v>
      </c>
      <c r="T6348">
        <v>-9.8606349999999995E-2</v>
      </c>
      <c r="U6348">
        <v>1.9743189999999999</v>
      </c>
      <c r="V6348">
        <v>0.12747329999999901</v>
      </c>
      <c r="W6348">
        <v>0.1677717</v>
      </c>
      <c r="X6348">
        <v>0.97754960000000002</v>
      </c>
      <c r="Y6348">
        <v>0.41274620000000001</v>
      </c>
      <c r="Z6348">
        <v>-1.709157E-2</v>
      </c>
      <c r="AA6348">
        <v>0.91068570000000004</v>
      </c>
      <c r="AB6348">
        <v>43</v>
      </c>
      <c r="AC6348">
        <v>28.194599999999902</v>
      </c>
      <c r="AD6348">
        <v>-1.1025231379610001</v>
      </c>
      <c r="AE6348">
        <v>21.791699999999899</v>
      </c>
      <c r="AF6348">
        <v>14.8255805957586</v>
      </c>
      <c r="AG6348">
        <v>-1.1025231379610001</v>
      </c>
      <c r="AH6348">
        <v>32.366467059540497</v>
      </c>
      <c r="AI6348">
        <v>91.773850848088699</v>
      </c>
      <c r="AJ6348">
        <v>65.389676138728902</v>
      </c>
      <c r="AK6348">
        <v>35.6174337535342</v>
      </c>
      <c r="AL6348">
        <v>80.341713847396903</v>
      </c>
      <c r="AM6348">
        <v>82.570503637072903</v>
      </c>
      <c r="AN6348">
        <v>1.00000000299697</v>
      </c>
    </row>
    <row r="6349" spans="1:40" x14ac:dyDescent="0.25">
      <c r="A6349" t="str">
        <f>"20190303171138625"</f>
        <v>20190303171138625</v>
      </c>
      <c r="B6349" t="str">
        <f>"1551604298616571"</f>
        <v>1551604298616571</v>
      </c>
      <c r="C6349" t="s">
        <v>40</v>
      </c>
      <c r="D6349">
        <v>5.0102149999999996</v>
      </c>
      <c r="E6349">
        <v>0.6177627</v>
      </c>
      <c r="F6349" t="s">
        <v>42</v>
      </c>
      <c r="G6349">
        <v>-163.0359</v>
      </c>
      <c r="H6349" s="1">
        <v>-4.216885E-6</v>
      </c>
      <c r="I6349">
        <v>143.4014</v>
      </c>
      <c r="J6349">
        <v>-183.31880000000001</v>
      </c>
      <c r="K6349">
        <v>1.1024050000000001</v>
      </c>
      <c r="L6349">
        <v>127.3399</v>
      </c>
      <c r="M6349">
        <v>0.47331909999999999</v>
      </c>
      <c r="N6349">
        <v>-1.6790090000000001E-2</v>
      </c>
      <c r="O6349">
        <v>0.88073099999999904</v>
      </c>
      <c r="P6349">
        <v>0.57037969999999905</v>
      </c>
      <c r="Q6349">
        <v>0.15634500000000001</v>
      </c>
      <c r="R6349">
        <v>0.80636419999999998</v>
      </c>
      <c r="S6349">
        <v>2.496048</v>
      </c>
      <c r="T6349">
        <v>-0.1348674</v>
      </c>
      <c r="U6349">
        <v>1.9927980000000001</v>
      </c>
      <c r="V6349">
        <v>0.1280753</v>
      </c>
      <c r="W6349">
        <v>0.16738910000000001</v>
      </c>
      <c r="X6349">
        <v>0.97753650000000003</v>
      </c>
      <c r="Y6349">
        <v>0.39251849999999999</v>
      </c>
      <c r="Z6349">
        <v>-2.8092869999999999E-2</v>
      </c>
      <c r="AA6349">
        <v>0.91931499999999999</v>
      </c>
      <c r="AB6349">
        <v>43</v>
      </c>
      <c r="AC6349">
        <v>20.282900000000001</v>
      </c>
      <c r="AD6349">
        <v>-1.1024092168849999</v>
      </c>
      <c r="AE6349">
        <v>16.061499999999899</v>
      </c>
      <c r="AF6349">
        <v>10.244411147719999</v>
      </c>
      <c r="AG6349">
        <v>-1.1024092168849999</v>
      </c>
      <c r="AH6349">
        <v>23.7064515751429</v>
      </c>
      <c r="AI6349">
        <v>92.444315510162895</v>
      </c>
      <c r="AJ6349">
        <v>66.629089151064306</v>
      </c>
      <c r="AK6349">
        <v>25.848773899927998</v>
      </c>
      <c r="AL6349">
        <v>80.363949643509798</v>
      </c>
      <c r="AM6349">
        <v>82.535713231220299</v>
      </c>
      <c r="AN6349">
        <v>1.0000000010505701</v>
      </c>
    </row>
    <row r="6350" spans="1:40" x14ac:dyDescent="0.25">
      <c r="A6350" t="str">
        <f>"20190303171138638"</f>
        <v>20190303171138638</v>
      </c>
      <c r="B6350" t="str">
        <f>"1551604298627307"</f>
        <v>1551604298627307</v>
      </c>
      <c r="C6350" t="s">
        <v>40</v>
      </c>
      <c r="D6350">
        <v>5.0058239999999996</v>
      </c>
      <c r="E6350">
        <v>0.61736669999999905</v>
      </c>
      <c r="F6350" t="s">
        <v>42</v>
      </c>
      <c r="G6350">
        <v>-162.07929999999999</v>
      </c>
      <c r="H6350" s="1">
        <v>-4.6754229999999997E-6</v>
      </c>
      <c r="I6350">
        <v>143.91569999999999</v>
      </c>
      <c r="J6350">
        <v>-183.19759999999999</v>
      </c>
      <c r="K6350">
        <v>1.1022940000000001</v>
      </c>
      <c r="L6350">
        <v>127.56440000000001</v>
      </c>
      <c r="M6350">
        <v>0.48185459999999902</v>
      </c>
      <c r="N6350">
        <v>-1.6820229999999999E-2</v>
      </c>
      <c r="O6350">
        <v>0.87608980000000003</v>
      </c>
      <c r="P6350">
        <v>0.57878859999999999</v>
      </c>
      <c r="Q6350">
        <v>0.15597839999999999</v>
      </c>
      <c r="R6350">
        <v>0.80042150000000001</v>
      </c>
      <c r="S6350">
        <v>2.5176850000000002</v>
      </c>
      <c r="T6350">
        <v>-0.1306776</v>
      </c>
      <c r="U6350">
        <v>1.9648589999999999</v>
      </c>
      <c r="V6350">
        <v>0.12880030000000001</v>
      </c>
      <c r="W6350">
        <v>0.16699040000000001</v>
      </c>
      <c r="X6350">
        <v>0.97750939999999997</v>
      </c>
      <c r="Y6350">
        <v>0.39378609999999997</v>
      </c>
      <c r="Z6350">
        <v>-2.6802200000000002E-2</v>
      </c>
      <c r="AA6350">
        <v>0.9188113</v>
      </c>
      <c r="AB6350">
        <v>43</v>
      </c>
      <c r="AC6350">
        <v>21.118300000000001</v>
      </c>
      <c r="AD6350">
        <v>-1.102298675423</v>
      </c>
      <c r="AE6350">
        <v>16.351299999999899</v>
      </c>
      <c r="AF6350">
        <v>10.6060150057284</v>
      </c>
      <c r="AG6350">
        <v>-1.102298675423</v>
      </c>
      <c r="AH6350">
        <v>24.462954081703</v>
      </c>
      <c r="AI6350">
        <v>92.367353918707906</v>
      </c>
      <c r="AJ6350">
        <v>66.560656848553705</v>
      </c>
      <c r="AK6350">
        <v>26.685927734952099</v>
      </c>
      <c r="AL6350">
        <v>80.387119283360605</v>
      </c>
      <c r="AM6350">
        <v>82.493734638146904</v>
      </c>
      <c r="AN6350">
        <v>0.99999996903030397</v>
      </c>
    </row>
    <row r="6351" spans="1:40" x14ac:dyDescent="0.25">
      <c r="A6351" t="str">
        <f>"20190303171138649"</f>
        <v>20190303171138649</v>
      </c>
      <c r="B6351" t="str">
        <f>"1551604298637066"</f>
        <v>1551604298637066</v>
      </c>
      <c r="C6351" t="s">
        <v>40</v>
      </c>
      <c r="D6351">
        <v>5.0176230000000004</v>
      </c>
      <c r="E6351">
        <v>0.61708669999999899</v>
      </c>
      <c r="F6351" t="s">
        <v>42</v>
      </c>
      <c r="G6351">
        <v>-162.2037</v>
      </c>
      <c r="H6351" s="1">
        <v>-4.5776939999999996E-6</v>
      </c>
      <c r="I6351">
        <v>143.63399999999999</v>
      </c>
      <c r="J6351">
        <v>-183.08019999999999</v>
      </c>
      <c r="K6351">
        <v>1.102198</v>
      </c>
      <c r="L6351">
        <v>127.77509999999999</v>
      </c>
      <c r="M6351">
        <v>0.4899212</v>
      </c>
      <c r="N6351">
        <v>-1.6848800000000001E-2</v>
      </c>
      <c r="O6351">
        <v>0.87160389999999999</v>
      </c>
      <c r="P6351">
        <v>0.58675509999999997</v>
      </c>
      <c r="Q6351">
        <v>0.15544649999999999</v>
      </c>
      <c r="R6351">
        <v>0.79470430000000003</v>
      </c>
      <c r="S6351">
        <v>2.535355</v>
      </c>
      <c r="T6351">
        <v>-0.13312089999999999</v>
      </c>
      <c r="U6351">
        <v>1.940674</v>
      </c>
      <c r="V6351">
        <v>0.12950429999999999</v>
      </c>
      <c r="W6351">
        <v>0.16642999999999999</v>
      </c>
      <c r="X6351">
        <v>0.97751200000000005</v>
      </c>
      <c r="Y6351">
        <v>0.39389669999999999</v>
      </c>
      <c r="Z6351">
        <v>-2.7522419999999999E-2</v>
      </c>
      <c r="AA6351">
        <v>0.91874259999999996</v>
      </c>
      <c r="AB6351">
        <v>43</v>
      </c>
      <c r="AC6351">
        <v>20.8765</v>
      </c>
      <c r="AD6351">
        <v>-1.1022025776940001</v>
      </c>
      <c r="AE6351">
        <v>15.858899999999901</v>
      </c>
      <c r="AF6351">
        <v>10.4095089856641</v>
      </c>
      <c r="AG6351">
        <v>-1.1022025776940001</v>
      </c>
      <c r="AH6351">
        <v>24.011493282067999</v>
      </c>
      <c r="AI6351">
        <v>92.411630804907205</v>
      </c>
      <c r="AJ6351">
        <v>66.562210177788103</v>
      </c>
      <c r="AK6351">
        <v>26.193979031061598</v>
      </c>
      <c r="AL6351">
        <v>80.419683936229703</v>
      </c>
      <c r="AM6351">
        <v>82.4531981738821</v>
      </c>
      <c r="AN6351">
        <v>1.00000000938124</v>
      </c>
    </row>
    <row r="6352" spans="1:40" x14ac:dyDescent="0.25">
      <c r="A6352" t="str">
        <f>"20190303171138667"</f>
        <v>20190303171138667</v>
      </c>
      <c r="B6352" t="str">
        <f>"1551604298656587"</f>
        <v>1551604298656587</v>
      </c>
      <c r="C6352" t="s">
        <v>40</v>
      </c>
      <c r="D6352">
        <v>4.9927159999999997</v>
      </c>
      <c r="E6352">
        <v>0.615990699999999</v>
      </c>
      <c r="F6352" t="s">
        <v>42</v>
      </c>
      <c r="G6352">
        <v>-162.51570000000001</v>
      </c>
      <c r="H6352" s="1">
        <v>-4.3856269999999997E-6</v>
      </c>
      <c r="I6352">
        <v>143.22649999999999</v>
      </c>
      <c r="J6352">
        <v>-182.91540000000001</v>
      </c>
      <c r="K6352">
        <v>1.102069</v>
      </c>
      <c r="L6352">
        <v>128.06479999999999</v>
      </c>
      <c r="M6352">
        <v>0.50103620000000004</v>
      </c>
      <c r="N6352">
        <v>-1.6887409999999999E-2</v>
      </c>
      <c r="O6352">
        <v>0.86526159999999996</v>
      </c>
      <c r="P6352">
        <v>0.59808409999999901</v>
      </c>
      <c r="Q6352">
        <v>0.15581809999999999</v>
      </c>
      <c r="R6352">
        <v>0.78614010000000001</v>
      </c>
      <c r="S6352">
        <v>2.5520480000000001</v>
      </c>
      <c r="T6352">
        <v>-0.136782399999999</v>
      </c>
      <c r="U6352">
        <v>1.917511</v>
      </c>
      <c r="V6352">
        <v>0.13110529999999901</v>
      </c>
      <c r="W6352">
        <v>0.16673180000000001</v>
      </c>
      <c r="X6352">
        <v>0.97724710000000004</v>
      </c>
      <c r="Y6352">
        <v>0.3903162</v>
      </c>
      <c r="Z6352">
        <v>-2.852592E-2</v>
      </c>
      <c r="AA6352">
        <v>0.92023889999999997</v>
      </c>
      <c r="AB6352">
        <v>43</v>
      </c>
      <c r="AC6352">
        <v>20.399699999999999</v>
      </c>
      <c r="AD6352">
        <v>-1.102073385627</v>
      </c>
      <c r="AE6352">
        <v>15.1616999999999</v>
      </c>
      <c r="AF6352">
        <v>10.0370797202315</v>
      </c>
      <c r="AG6352">
        <v>-1.102073385627</v>
      </c>
      <c r="AH6352">
        <v>23.2993484761605</v>
      </c>
      <c r="AI6352">
        <v>92.487432367888999</v>
      </c>
      <c r="AJ6352">
        <v>66.694202411719004</v>
      </c>
      <c r="AK6352">
        <v>25.393250569219202</v>
      </c>
      <c r="AL6352">
        <v>80.402146888369202</v>
      </c>
      <c r="AM6352">
        <v>82.358949528675595</v>
      </c>
      <c r="AN6352">
        <v>0.99999999363886904</v>
      </c>
    </row>
    <row r="6353" spans="1:40" x14ac:dyDescent="0.25">
      <c r="A6353" t="str">
        <f>"20190303171138680"</f>
        <v>20190303171138680</v>
      </c>
      <c r="B6353" t="str">
        <f>"1551604298667324"</f>
        <v>1551604298667324</v>
      </c>
      <c r="C6353" t="s">
        <v>40</v>
      </c>
      <c r="D6353">
        <v>5.0026409999999997</v>
      </c>
      <c r="E6353">
        <v>0.615990699999999</v>
      </c>
      <c r="F6353" t="s">
        <v>42</v>
      </c>
      <c r="G6353">
        <v>-162.79259999999999</v>
      </c>
      <c r="H6353" s="1">
        <v>-4.2101910000000003E-6</v>
      </c>
      <c r="I6353">
        <v>142.83699999999999</v>
      </c>
      <c r="J6353">
        <v>-182.7807</v>
      </c>
      <c r="K6353">
        <v>1.1019760000000001</v>
      </c>
      <c r="L6353">
        <v>128.2962</v>
      </c>
      <c r="M6353">
        <v>0.50993049999999995</v>
      </c>
      <c r="N6353">
        <v>-1.6917809999999998E-2</v>
      </c>
      <c r="O6353">
        <v>0.86004919999999996</v>
      </c>
      <c r="P6353">
        <v>0.60643049999999998</v>
      </c>
      <c r="Q6353">
        <v>0.15638239999999901</v>
      </c>
      <c r="R6353">
        <v>0.77960669999999899</v>
      </c>
      <c r="S6353">
        <v>2.571472</v>
      </c>
      <c r="T6353">
        <v>-0.14083289999999901</v>
      </c>
      <c r="U6353">
        <v>1.887726</v>
      </c>
      <c r="V6353">
        <v>0.13156609999999999</v>
      </c>
      <c r="W6353">
        <v>0.1672776</v>
      </c>
      <c r="X6353">
        <v>0.97709190000000001</v>
      </c>
      <c r="Y6353">
        <v>0.39102330000000002</v>
      </c>
      <c r="Z6353">
        <v>-2.9737719999999999E-2</v>
      </c>
      <c r="AA6353">
        <v>0.91990019999999995</v>
      </c>
      <c r="AB6353">
        <v>43</v>
      </c>
      <c r="AC6353">
        <v>19.988099999999999</v>
      </c>
      <c r="AD6353">
        <v>-1.1019802101909999</v>
      </c>
      <c r="AE6353">
        <v>14.540800000000001</v>
      </c>
      <c r="AF6353">
        <v>9.7579563208238191</v>
      </c>
      <c r="AG6353">
        <v>-1.1019802101909999</v>
      </c>
      <c r="AH6353">
        <v>22.656561872402101</v>
      </c>
      <c r="AI6353">
        <v>92.557785480592699</v>
      </c>
      <c r="AJ6353">
        <v>66.698935030335704</v>
      </c>
      <c r="AK6353">
        <v>24.6931542703792</v>
      </c>
      <c r="AL6353">
        <v>80.370429549828401</v>
      </c>
      <c r="AM6353">
        <v>82.331208817396202</v>
      </c>
      <c r="AN6353">
        <v>1.00000000758829</v>
      </c>
    </row>
    <row r="6354" spans="1:40" x14ac:dyDescent="0.25">
      <c r="A6354" t="str">
        <f>"20190303171138694"</f>
        <v>20190303171138694</v>
      </c>
      <c r="B6354" t="str">
        <f>"1551604298686842"</f>
        <v>1551604298686842</v>
      </c>
      <c r="C6354" t="s">
        <v>40</v>
      </c>
      <c r="D6354">
        <v>5.1017320000000002</v>
      </c>
      <c r="E6354">
        <v>0.61560059999999905</v>
      </c>
      <c r="F6354" t="s">
        <v>42</v>
      </c>
      <c r="G6354">
        <v>-162.3571</v>
      </c>
      <c r="H6354" s="1">
        <v>-4.3993210000000003E-6</v>
      </c>
      <c r="I6354">
        <v>142.96039999999999</v>
      </c>
      <c r="J6354">
        <v>-182.64340000000001</v>
      </c>
      <c r="K6354">
        <v>1.101898</v>
      </c>
      <c r="L6354">
        <v>128.52670000000001</v>
      </c>
      <c r="M6354">
        <v>0.51881709999999903</v>
      </c>
      <c r="N6354">
        <v>-1.6947940000000002E-2</v>
      </c>
      <c r="O6354">
        <v>0.85471730000000001</v>
      </c>
      <c r="P6354">
        <v>0.61481980000000003</v>
      </c>
      <c r="Q6354">
        <v>0.15778059999999999</v>
      </c>
      <c r="R6354">
        <v>0.77272369999999901</v>
      </c>
      <c r="S6354">
        <v>2.5912320000000002</v>
      </c>
      <c r="T6354">
        <v>-0.1398131</v>
      </c>
      <c r="U6354">
        <v>1.860519</v>
      </c>
      <c r="V6354">
        <v>0.13224149999999901</v>
      </c>
      <c r="W6354">
        <v>0.16864689999999999</v>
      </c>
      <c r="X6354">
        <v>0.97676529999999995</v>
      </c>
      <c r="Y6354">
        <v>0.3911907</v>
      </c>
      <c r="Z6354">
        <v>-2.937714E-2</v>
      </c>
      <c r="AA6354">
        <v>0.91984060000000001</v>
      </c>
      <c r="AB6354">
        <v>43</v>
      </c>
      <c r="AC6354">
        <v>20.286300000000001</v>
      </c>
      <c r="AD6354">
        <v>-1.101902399321</v>
      </c>
      <c r="AE6354">
        <v>14.4336999999999</v>
      </c>
      <c r="AF6354">
        <v>9.8327554717676904</v>
      </c>
      <c r="AG6354">
        <v>-1.101902399321</v>
      </c>
      <c r="AH6354">
        <v>22.820195482604301</v>
      </c>
      <c r="AI6354">
        <v>92.539115158744593</v>
      </c>
      <c r="AJ6354">
        <v>66.689778360780096</v>
      </c>
      <c r="AK6354">
        <v>24.872848468349599</v>
      </c>
      <c r="AL6354">
        <v>80.290843925751702</v>
      </c>
      <c r="AM6354">
        <v>82.289766603045194</v>
      </c>
      <c r="AN6354">
        <v>1.00000002124297</v>
      </c>
    </row>
    <row r="6355" spans="1:40" x14ac:dyDescent="0.25">
      <c r="A6355" t="str">
        <f>"20190303171138711"</f>
        <v>20190303171138711</v>
      </c>
      <c r="B6355" t="str">
        <f>"1551604298696603"</f>
        <v>1551604298696603</v>
      </c>
      <c r="C6355" t="s">
        <v>40</v>
      </c>
      <c r="D6355">
        <v>5.2350629999999896</v>
      </c>
      <c r="E6355">
        <v>0.63793849999999996</v>
      </c>
      <c r="F6355" t="s">
        <v>42</v>
      </c>
      <c r="G6355">
        <v>-161.41069999999999</v>
      </c>
      <c r="H6355" s="1">
        <v>-4.8500000000000002E-6</v>
      </c>
      <c r="I6355">
        <v>143.4522</v>
      </c>
      <c r="J6355">
        <v>-182.48079999999999</v>
      </c>
      <c r="K6355">
        <v>1.101812</v>
      </c>
      <c r="L6355">
        <v>128.7919</v>
      </c>
      <c r="M6355">
        <v>0.52908659999999996</v>
      </c>
      <c r="N6355">
        <v>-1.6982669999999998E-2</v>
      </c>
      <c r="O6355">
        <v>0.84839789999999904</v>
      </c>
      <c r="P6355">
        <v>0.62431890000000001</v>
      </c>
      <c r="Q6355">
        <v>0.15890609999999999</v>
      </c>
      <c r="R6355">
        <v>0.76483639999999997</v>
      </c>
      <c r="S6355">
        <v>2.6091160000000002</v>
      </c>
      <c r="T6355">
        <v>-0.13540379999999999</v>
      </c>
      <c r="U6355">
        <v>1.834076</v>
      </c>
      <c r="V6355">
        <v>0.13273889999999999</v>
      </c>
      <c r="W6355">
        <v>0.16975609999999999</v>
      </c>
      <c r="X6355">
        <v>0.97650559999999997</v>
      </c>
      <c r="Y6355">
        <v>0.38933649999999997</v>
      </c>
      <c r="Z6355">
        <v>-2.7965919999999998E-2</v>
      </c>
      <c r="AA6355">
        <v>0.92067089999999996</v>
      </c>
      <c r="AB6355">
        <v>43</v>
      </c>
      <c r="AC6355">
        <v>21.0701</v>
      </c>
      <c r="AD6355">
        <v>-1.1018168500000001</v>
      </c>
      <c r="AE6355">
        <v>14.660299999999999</v>
      </c>
      <c r="AF6355">
        <v>10.102106158911599</v>
      </c>
      <c r="AG6355">
        <v>-1.1018168500000001</v>
      </c>
      <c r="AH6355">
        <v>23.545692909629199</v>
      </c>
      <c r="AI6355">
        <v>92.4624248342258</v>
      </c>
      <c r="AJ6355">
        <v>66.778604543354902</v>
      </c>
      <c r="AK6355">
        <v>25.645003486282199</v>
      </c>
      <c r="AL6355">
        <v>80.226361180627606</v>
      </c>
      <c r="AM6355">
        <v>82.259083693192494</v>
      </c>
      <c r="AN6355">
        <v>0.99999996794588897</v>
      </c>
    </row>
    <row r="6356" spans="1:40" x14ac:dyDescent="0.25">
      <c r="A6356" t="str">
        <f>"20190303171138725"</f>
        <v>20190303171138725</v>
      </c>
      <c r="B6356" t="str">
        <f>"1551604298717099"</f>
        <v>1551604298717099</v>
      </c>
      <c r="C6356" t="s">
        <v>40</v>
      </c>
      <c r="D6356">
        <v>5.1893089999999997</v>
      </c>
      <c r="E6356">
        <v>0.64911589999999997</v>
      </c>
      <c r="F6356" t="s">
        <v>42</v>
      </c>
      <c r="G6356">
        <v>-151.9468</v>
      </c>
      <c r="H6356" s="1">
        <v>-4.9896789999999999E-6</v>
      </c>
      <c r="I6356">
        <v>147.37430000000001</v>
      </c>
      <c r="J6356">
        <v>-182.33690000000001</v>
      </c>
      <c r="K6356">
        <v>1.1017429999999999</v>
      </c>
      <c r="L6356">
        <v>129.0213</v>
      </c>
      <c r="M6356">
        <v>0.53798710000000005</v>
      </c>
      <c r="N6356">
        <v>-1.7012320000000001E-2</v>
      </c>
      <c r="O6356">
        <v>0.84278140000000001</v>
      </c>
      <c r="P6356">
        <v>0.63366899999999904</v>
      </c>
      <c r="Q6356">
        <v>0.16061600000000001</v>
      </c>
      <c r="R6356">
        <v>0.75674710000000001</v>
      </c>
      <c r="S6356">
        <v>2.7674259999999999</v>
      </c>
      <c r="T6356">
        <v>-9.9862339999999994E-2</v>
      </c>
      <c r="U6356">
        <v>1.684204</v>
      </c>
      <c r="V6356">
        <v>0.13476150000000001</v>
      </c>
      <c r="W6356">
        <v>0.1713751</v>
      </c>
      <c r="X6356">
        <v>0.97594570000000003</v>
      </c>
      <c r="Y6356">
        <v>0.4400251</v>
      </c>
      <c r="Z6356">
        <v>-1.7601849999999999E-2</v>
      </c>
      <c r="AA6356">
        <v>0.89781299999999997</v>
      </c>
      <c r="AB6356">
        <v>43</v>
      </c>
      <c r="AC6356">
        <v>30.3901</v>
      </c>
      <c r="AD6356">
        <v>-1.1017479896789999</v>
      </c>
      <c r="AE6356">
        <v>18.353000000000002</v>
      </c>
      <c r="AF6356">
        <v>15.7256666068791</v>
      </c>
      <c r="AG6356">
        <v>-1.1017479896789999</v>
      </c>
      <c r="AH6356">
        <v>31.7910365054545</v>
      </c>
      <c r="AI6356">
        <v>91.779224359269406</v>
      </c>
      <c r="AJ6356">
        <v>63.680365549743698</v>
      </c>
      <c r="AK6356">
        <v>35.484932590532203</v>
      </c>
      <c r="AL6356">
        <v>80.132220580010497</v>
      </c>
      <c r="AM6356">
        <v>82.138143029962606</v>
      </c>
      <c r="AN6356">
        <v>1.0000000480653699</v>
      </c>
    </row>
    <row r="6357" spans="1:40" x14ac:dyDescent="0.25">
      <c r="A6357" t="str">
        <f>"20190303171138742"</f>
        <v>20190303171138742</v>
      </c>
      <c r="B6357" t="str">
        <f>"1551604298736868"</f>
        <v>1551604298736868</v>
      </c>
      <c r="C6357" t="s">
        <v>40</v>
      </c>
      <c r="D6357">
        <v>5.19543</v>
      </c>
      <c r="E6357">
        <v>0.65418449999999995</v>
      </c>
      <c r="F6357" t="s">
        <v>41</v>
      </c>
      <c r="G6357">
        <v>-130.31290000000001</v>
      </c>
      <c r="H6357">
        <v>-0.05</v>
      </c>
      <c r="I6357">
        <v>157.9639</v>
      </c>
      <c r="J6357">
        <v>-182.1593</v>
      </c>
      <c r="K6357">
        <v>1.1016549999999901</v>
      </c>
      <c r="L6357">
        <v>129.2979</v>
      </c>
      <c r="M6357">
        <v>0.54873329999999998</v>
      </c>
      <c r="N6357">
        <v>-1.70476E-2</v>
      </c>
      <c r="O6357">
        <v>0.83582369999999995</v>
      </c>
      <c r="P6357">
        <v>0.64394359999999995</v>
      </c>
      <c r="Q6357">
        <v>0.16076319999999999</v>
      </c>
      <c r="R6357">
        <v>0.74799189999999904</v>
      </c>
      <c r="S6357">
        <v>2.8540800000000002</v>
      </c>
      <c r="T6357">
        <v>-6.3185569999999996E-2</v>
      </c>
      <c r="U6357">
        <v>1.5878139999999901</v>
      </c>
      <c r="V6357">
        <v>0.13565250000000001</v>
      </c>
      <c r="W6357">
        <v>0.17149029999999901</v>
      </c>
      <c r="X6357">
        <v>0.97580199999999995</v>
      </c>
      <c r="Y6357">
        <v>0.4635591</v>
      </c>
      <c r="Z6357">
        <v>-6.8286830000000003E-3</v>
      </c>
      <c r="AA6357">
        <v>0.88603969999999899</v>
      </c>
      <c r="AB6357">
        <v>43</v>
      </c>
      <c r="AC6357">
        <v>51.846399999999903</v>
      </c>
      <c r="AD6357">
        <v>-1.1516550000000001</v>
      </c>
      <c r="AE6357">
        <v>28.666</v>
      </c>
      <c r="AF6357">
        <v>27.598042647620002</v>
      </c>
      <c r="AG6357">
        <v>-1.1516550000000001</v>
      </c>
      <c r="AH6357">
        <v>52.397382332864503</v>
      </c>
      <c r="AI6357">
        <v>91.114073612219499</v>
      </c>
      <c r="AJ6357">
        <v>62.223931460775198</v>
      </c>
      <c r="AK6357">
        <v>59.232288007093402</v>
      </c>
      <c r="AL6357">
        <v>80.125520778208298</v>
      </c>
      <c r="AM6357">
        <v>82.085668751039094</v>
      </c>
      <c r="AN6357">
        <v>1.0000000334771599</v>
      </c>
    </row>
    <row r="6358" spans="1:40" x14ac:dyDescent="0.25">
      <c r="A6358" t="str">
        <f>"20190303171138757"</f>
        <v>20190303171138757</v>
      </c>
      <c r="B6358" t="str">
        <f>"1551604298746628"</f>
        <v>1551604298746628</v>
      </c>
      <c r="C6358" t="s">
        <v>40</v>
      </c>
      <c r="D6358">
        <v>5.1848970000000003</v>
      </c>
      <c r="E6358">
        <v>0.65551429999999999</v>
      </c>
      <c r="F6358" t="s">
        <v>50</v>
      </c>
      <c r="G6358">
        <v>-121.93</v>
      </c>
      <c r="H6358">
        <v>0.1870117</v>
      </c>
      <c r="I6358">
        <v>160.8135</v>
      </c>
      <c r="J6358">
        <v>-181.9967</v>
      </c>
      <c r="K6358">
        <v>1.1015839999999999</v>
      </c>
      <c r="L6358">
        <v>129.5453</v>
      </c>
      <c r="M6358">
        <v>0.55835579999999996</v>
      </c>
      <c r="N6358">
        <v>-1.707871E-2</v>
      </c>
      <c r="O6358">
        <v>0.82942579999999999</v>
      </c>
      <c r="P6358">
        <v>0.65428450000000005</v>
      </c>
      <c r="Q6358">
        <v>0.1604112</v>
      </c>
      <c r="R6358">
        <v>0.73904009999999998</v>
      </c>
      <c r="S6358">
        <v>2.9044340000000002</v>
      </c>
      <c r="T6358">
        <v>-4.4105289999999998E-2</v>
      </c>
      <c r="U6358">
        <v>1.5197750000000001</v>
      </c>
      <c r="V6358">
        <v>0.13792109999999999</v>
      </c>
      <c r="W6358">
        <v>0.1710411</v>
      </c>
      <c r="X6358">
        <v>0.97556279999999995</v>
      </c>
      <c r="Y6358">
        <v>0.47599960000000002</v>
      </c>
      <c r="Z6358">
        <v>-1.311757E-3</v>
      </c>
      <c r="AA6358">
        <v>0.87944449999999996</v>
      </c>
      <c r="AB6358">
        <v>43</v>
      </c>
      <c r="AC6358">
        <v>60.066699999999997</v>
      </c>
      <c r="AD6358">
        <v>-0.9145723</v>
      </c>
      <c r="AE6358">
        <v>31.2682</v>
      </c>
      <c r="AF6358">
        <v>32.360907300160598</v>
      </c>
      <c r="AG6358">
        <v>-0.9145723</v>
      </c>
      <c r="AH6358">
        <v>59.471068860847197</v>
      </c>
      <c r="AI6358">
        <v>90.773909604672497</v>
      </c>
      <c r="AJ6358">
        <v>61.4473821843537</v>
      </c>
      <c r="AK6358">
        <v>67.711688763707201</v>
      </c>
      <c r="AL6358">
        <v>80.151644003332095</v>
      </c>
      <c r="AM6358">
        <v>81.953084630209204</v>
      </c>
      <c r="AN6358">
        <v>1.00000003222912</v>
      </c>
    </row>
    <row r="6359" spans="1:40" x14ac:dyDescent="0.25">
      <c r="A6359" t="str">
        <f>"20190303171138777"</f>
        <v>20190303171138777</v>
      </c>
      <c r="B6359" t="str">
        <f>"1551604298767125"</f>
        <v>1551604298767125</v>
      </c>
      <c r="C6359" t="s">
        <v>40</v>
      </c>
      <c r="D6359">
        <v>5.2222689999999998</v>
      </c>
      <c r="E6359">
        <v>0.65765589999999996</v>
      </c>
      <c r="F6359" t="s">
        <v>50</v>
      </c>
      <c r="G6359">
        <v>-121.2693</v>
      </c>
      <c r="H6359">
        <v>0.22562219999999999</v>
      </c>
      <c r="I6359">
        <v>160.03890000000001</v>
      </c>
      <c r="J6359">
        <v>-181.76730000000001</v>
      </c>
      <c r="K6359">
        <v>1.10149599999999</v>
      </c>
      <c r="L6359">
        <v>129.88299999999899</v>
      </c>
      <c r="M6359">
        <v>0.5715344</v>
      </c>
      <c r="N6359">
        <v>-1.7121339999999999E-2</v>
      </c>
      <c r="O6359">
        <v>0.82039949999999995</v>
      </c>
      <c r="P6359">
        <v>0.66701440000000001</v>
      </c>
      <c r="Q6359">
        <v>0.160754799999999</v>
      </c>
      <c r="R6359">
        <v>0.72749549999999996</v>
      </c>
      <c r="S6359">
        <v>2.9323429999999999</v>
      </c>
      <c r="T6359">
        <v>-4.2296050000000002E-2</v>
      </c>
      <c r="U6359">
        <v>1.4724429999999999</v>
      </c>
      <c r="V6359">
        <v>0.1393672</v>
      </c>
      <c r="W6359">
        <v>0.17133139999999999</v>
      </c>
      <c r="X6359">
        <v>0.97530629999999996</v>
      </c>
      <c r="Y6359">
        <v>0.47666049999999899</v>
      </c>
      <c r="Z6359">
        <v>-8.794928E-4</v>
      </c>
      <c r="AA6359">
        <v>0.87908699999999995</v>
      </c>
      <c r="AB6359">
        <v>43</v>
      </c>
      <c r="AC6359">
        <v>60.497999999999998</v>
      </c>
      <c r="AD6359">
        <v>-0.87587379999999904</v>
      </c>
      <c r="AE6359">
        <v>30.155899999999999</v>
      </c>
      <c r="AF6359">
        <v>32.396704371116797</v>
      </c>
      <c r="AG6359">
        <v>-0.87587379999999904</v>
      </c>
      <c r="AH6359">
        <v>59.315309416542497</v>
      </c>
      <c r="AI6359">
        <v>90.742478404676106</v>
      </c>
      <c r="AJ6359">
        <v>61.357613266616497</v>
      </c>
      <c r="AK6359">
        <v>67.591564120112196</v>
      </c>
      <c r="AL6359">
        <v>80.134761733536394</v>
      </c>
      <c r="AM6359">
        <v>81.867725566490293</v>
      </c>
      <c r="AN6359">
        <v>1.0000000219407399</v>
      </c>
    </row>
    <row r="6360" spans="1:40" x14ac:dyDescent="0.25">
      <c r="A6360" t="str">
        <f>"20190303171138790"</f>
        <v>20190303171138790</v>
      </c>
      <c r="B6360" t="str">
        <f>"1551604298776885"</f>
        <v>1551604298776885</v>
      </c>
      <c r="C6360" t="s">
        <v>40</v>
      </c>
      <c r="D6360">
        <v>5.2300469999999999</v>
      </c>
      <c r="E6360">
        <v>0.65792109999999904</v>
      </c>
      <c r="F6360" t="s">
        <v>110</v>
      </c>
      <c r="G6360">
        <v>-111.005</v>
      </c>
      <c r="H6360">
        <v>0.25660709999999998</v>
      </c>
      <c r="I6360">
        <v>163.45590000000001</v>
      </c>
      <c r="J6360">
        <v>-181.61869999999999</v>
      </c>
      <c r="K6360">
        <v>1.101451</v>
      </c>
      <c r="L6360">
        <v>130.09520000000001</v>
      </c>
      <c r="M6360">
        <v>0.57983899999999999</v>
      </c>
      <c r="N6360">
        <v>-1.7147849999999999E-2</v>
      </c>
      <c r="O6360">
        <v>0.81455059999999901</v>
      </c>
      <c r="P6360">
        <v>0.67479129999999998</v>
      </c>
      <c r="Q6360">
        <v>0.16115109999999999</v>
      </c>
      <c r="R6360">
        <v>0.72019929999999999</v>
      </c>
      <c r="S6360">
        <v>2.9695429999999998</v>
      </c>
      <c r="T6360">
        <v>-3.5455699999999903E-2</v>
      </c>
      <c r="U6360">
        <v>1.40889</v>
      </c>
      <c r="V6360">
        <v>0.14002709999999999</v>
      </c>
      <c r="W6360">
        <v>0.17170729999999901</v>
      </c>
      <c r="X6360">
        <v>0.97514559999999995</v>
      </c>
      <c r="Y6360">
        <v>0.48735450000000002</v>
      </c>
      <c r="Z6360">
        <v>9.6700840000000002E-4</v>
      </c>
      <c r="AA6360">
        <v>0.87320370000000003</v>
      </c>
      <c r="AB6360">
        <v>43</v>
      </c>
      <c r="AC6360">
        <v>70.613699999999994</v>
      </c>
      <c r="AD6360">
        <v>-0.84484389999999998</v>
      </c>
      <c r="AE6360">
        <v>33.360700000000001</v>
      </c>
      <c r="AF6360">
        <v>38.175743204447002</v>
      </c>
      <c r="AG6360">
        <v>-0.84484389999999998</v>
      </c>
      <c r="AH6360">
        <v>68.120601076924899</v>
      </c>
      <c r="AI6360">
        <v>90.6198626128906</v>
      </c>
      <c r="AJ6360">
        <v>60.7331162678678</v>
      </c>
      <c r="AK6360">
        <v>78.093004946082004</v>
      </c>
      <c r="AL6360">
        <v>80.112899695466496</v>
      </c>
      <c r="AM6360">
        <v>81.828409895334502</v>
      </c>
      <c r="AN6360">
        <v>0.99999996340352904</v>
      </c>
    </row>
    <row r="6361" spans="1:40" x14ac:dyDescent="0.25">
      <c r="A6361" t="str">
        <f>"20190303171138805"</f>
        <v>20190303171138805</v>
      </c>
      <c r="B6361" t="str">
        <f>"1551604298796406"</f>
        <v>1551604298796406</v>
      </c>
      <c r="C6361" t="s">
        <v>40</v>
      </c>
      <c r="D6361">
        <v>5.214861</v>
      </c>
      <c r="E6361">
        <v>0.65831139999999999</v>
      </c>
      <c r="F6361" t="s">
        <v>110</v>
      </c>
      <c r="G6361">
        <v>-111.005</v>
      </c>
      <c r="H6361">
        <v>0.37774659999999999</v>
      </c>
      <c r="I6361">
        <v>162.59780000000001</v>
      </c>
      <c r="J6361">
        <v>-181.4631</v>
      </c>
      <c r="K6361">
        <v>1.101407</v>
      </c>
      <c r="L6361">
        <v>130.31309999999999</v>
      </c>
      <c r="M6361">
        <v>0.58837130000000004</v>
      </c>
      <c r="N6361">
        <v>-1.7174579999999998E-2</v>
      </c>
      <c r="O6361">
        <v>0.80840840000000003</v>
      </c>
      <c r="P6361">
        <v>0.68227510000000002</v>
      </c>
      <c r="Q6361">
        <v>0.162129299999999</v>
      </c>
      <c r="R6361">
        <v>0.71289199999999997</v>
      </c>
      <c r="S6361">
        <v>2.9861300000000002</v>
      </c>
      <c r="T6361">
        <v>-3.0603999999999999E-2</v>
      </c>
      <c r="U6361">
        <v>1.3744809999999901</v>
      </c>
      <c r="V6361">
        <v>0.14015089999999999</v>
      </c>
      <c r="W6361">
        <v>0.1726895</v>
      </c>
      <c r="X6361">
        <v>0.9749544</v>
      </c>
      <c r="Y6361">
        <v>0.48832059999999999</v>
      </c>
      <c r="Z6361">
        <v>2.2947359999999999E-3</v>
      </c>
      <c r="AA6361">
        <v>0.87266129999999997</v>
      </c>
      <c r="AB6361">
        <v>43</v>
      </c>
      <c r="AC6361">
        <v>70.458100000000002</v>
      </c>
      <c r="AD6361">
        <v>-0.72366039999999998</v>
      </c>
      <c r="AE6361">
        <v>32.284700000000001</v>
      </c>
      <c r="AF6361">
        <v>37.965821190417799</v>
      </c>
      <c r="AG6361">
        <v>-0.72366039999999998</v>
      </c>
      <c r="AH6361">
        <v>67.558825472644102</v>
      </c>
      <c r="AI6361">
        <v>90.535015877939003</v>
      </c>
      <c r="AJ6361">
        <v>60.665456224555697</v>
      </c>
      <c r="AK6361">
        <v>77.499175236130696</v>
      </c>
      <c r="AL6361">
        <v>80.055770864503501</v>
      </c>
      <c r="AM6361">
        <v>81.8197007361955</v>
      </c>
      <c r="AN6361">
        <v>1.00000001013021</v>
      </c>
    </row>
    <row r="6362" spans="1:40" x14ac:dyDescent="0.25">
      <c r="A6362" t="str">
        <f>"20190303171138819"</f>
        <v>20190303171138819</v>
      </c>
      <c r="B6362" t="str">
        <f>"1551604298807141"</f>
        <v>1551604298807141</v>
      </c>
      <c r="C6362" t="s">
        <v>40</v>
      </c>
      <c r="D6362">
        <v>5.1944939999999997</v>
      </c>
      <c r="E6362">
        <v>0.65862049999999905</v>
      </c>
      <c r="F6362" t="s">
        <v>110</v>
      </c>
      <c r="G6362">
        <v>-111.005</v>
      </c>
      <c r="H6362">
        <v>0.4963226</v>
      </c>
      <c r="I6362">
        <v>161.7604</v>
      </c>
      <c r="J6362">
        <v>-181.30269999999999</v>
      </c>
      <c r="K6362">
        <v>1.101364</v>
      </c>
      <c r="L6362">
        <v>130.53370000000001</v>
      </c>
      <c r="M6362">
        <v>0.59700249999999999</v>
      </c>
      <c r="N6362">
        <v>-1.7201029999999999E-2</v>
      </c>
      <c r="O6362">
        <v>0.80205490000000002</v>
      </c>
      <c r="P6362">
        <v>0.68991990000000003</v>
      </c>
      <c r="Q6362">
        <v>0.16315279999999999</v>
      </c>
      <c r="R6362">
        <v>0.70526</v>
      </c>
      <c r="S6362">
        <v>3.0027919999999999</v>
      </c>
      <c r="T6362">
        <v>-2.5787350000000001E-2</v>
      </c>
      <c r="U6362">
        <v>1.340225</v>
      </c>
      <c r="V6362">
        <v>0.14041619999999999</v>
      </c>
      <c r="W6362">
        <v>0.17371039999999999</v>
      </c>
      <c r="X6362">
        <v>0.97473480000000001</v>
      </c>
      <c r="Y6362">
        <v>0.48907319999999999</v>
      </c>
      <c r="Z6362">
        <v>3.6010550000000001E-3</v>
      </c>
      <c r="AA6362">
        <v>0.87223530000000005</v>
      </c>
      <c r="AB6362">
        <v>43</v>
      </c>
      <c r="AC6362">
        <v>70.297699999999907</v>
      </c>
      <c r="AD6362">
        <v>-0.60504139999999995</v>
      </c>
      <c r="AE6362">
        <v>31.226699999999902</v>
      </c>
      <c r="AF6362">
        <v>37.743447492188203</v>
      </c>
      <c r="AG6362">
        <v>-0.60504139999999995</v>
      </c>
      <c r="AH6362">
        <v>67.019202526844794</v>
      </c>
      <c r="AI6362">
        <v>90.450691634435898</v>
      </c>
      <c r="AJ6362">
        <v>60.612935609977797</v>
      </c>
      <c r="AK6362">
        <v>76.918836516327502</v>
      </c>
      <c r="AL6362">
        <v>79.9963796157475</v>
      </c>
      <c r="AM6362">
        <v>81.802604614647294</v>
      </c>
      <c r="AN6362">
        <v>0.99999997131081897</v>
      </c>
    </row>
    <row r="6363" spans="1:40" x14ac:dyDescent="0.25">
      <c r="A6363" t="str">
        <f>"20190303171138834"</f>
        <v>20190303171138834</v>
      </c>
      <c r="B6363" t="str">
        <f>"1551604298826662"</f>
        <v>1551604298826662</v>
      </c>
      <c r="C6363" t="s">
        <v>40</v>
      </c>
      <c r="D6363">
        <v>5.2036350000000002</v>
      </c>
      <c r="E6363">
        <v>0.65788500000000005</v>
      </c>
      <c r="F6363" t="s">
        <v>110</v>
      </c>
      <c r="G6363">
        <v>-111.005</v>
      </c>
      <c r="H6363">
        <v>0.56406969999999901</v>
      </c>
      <c r="I6363">
        <v>160.93620000000001</v>
      </c>
      <c r="J6363">
        <v>-181.11699999999999</v>
      </c>
      <c r="K6363">
        <v>1.1013189999999999</v>
      </c>
      <c r="L6363">
        <v>130.78290000000001</v>
      </c>
      <c r="M6363">
        <v>0.60676719999999995</v>
      </c>
      <c r="N6363">
        <v>-1.7230160000000001E-2</v>
      </c>
      <c r="O6363">
        <v>0.79469279999999998</v>
      </c>
      <c r="P6363">
        <v>0.69861169999999995</v>
      </c>
      <c r="Q6363">
        <v>0.1648047</v>
      </c>
      <c r="R6363">
        <v>0.6962623</v>
      </c>
      <c r="S6363">
        <v>3.0190730000000001</v>
      </c>
      <c r="T6363">
        <v>-2.3074979999999998E-2</v>
      </c>
      <c r="U6363">
        <v>1.3056950000000001</v>
      </c>
      <c r="V6363">
        <v>0.1409116</v>
      </c>
      <c r="W6363">
        <v>0.17535000000000001</v>
      </c>
      <c r="X6363">
        <v>0.97436970000000001</v>
      </c>
      <c r="Y6363">
        <v>0.4885256</v>
      </c>
      <c r="Z6363">
        <v>4.2800570000000003E-3</v>
      </c>
      <c r="AA6363">
        <v>0.87253910000000001</v>
      </c>
      <c r="AB6363">
        <v>42</v>
      </c>
      <c r="AC6363">
        <v>70.111999999999995</v>
      </c>
      <c r="AD6363">
        <v>-0.53724930000000004</v>
      </c>
      <c r="AE6363">
        <v>30.153300000000002</v>
      </c>
      <c r="AF6363">
        <v>37.425170488535102</v>
      </c>
      <c r="AG6363">
        <v>-0.53724930000000004</v>
      </c>
      <c r="AH6363">
        <v>66.510851957242494</v>
      </c>
      <c r="AI6363">
        <v>90.403337011306505</v>
      </c>
      <c r="AJ6363">
        <v>60.633860245494503</v>
      </c>
      <c r="AK6363">
        <v>76.319233820738205</v>
      </c>
      <c r="AL6363">
        <v>79.900973488287207</v>
      </c>
      <c r="AM6363">
        <v>81.771038546209695</v>
      </c>
      <c r="AN6363">
        <v>1.00000000689632</v>
      </c>
    </row>
    <row r="6364" spans="1:40" x14ac:dyDescent="0.25">
      <c r="A6364" t="str">
        <f>"20190303171138846"</f>
        <v>20190303171138846</v>
      </c>
      <c r="B6364" t="str">
        <f>"1551604298836421"</f>
        <v>1551604298836421</v>
      </c>
      <c r="C6364" t="s">
        <v>40</v>
      </c>
      <c r="D6364">
        <v>5.2340939999999998</v>
      </c>
      <c r="E6364">
        <v>0.65740529999999997</v>
      </c>
      <c r="F6364" t="s">
        <v>110</v>
      </c>
      <c r="G6364">
        <v>-112.1893</v>
      </c>
      <c r="H6364">
        <v>0.6609659</v>
      </c>
      <c r="I6364">
        <v>159.71080000000001</v>
      </c>
      <c r="J6364">
        <v>-180.9837</v>
      </c>
      <c r="K6364">
        <v>1.101294</v>
      </c>
      <c r="L6364">
        <v>130.95679999999999</v>
      </c>
      <c r="M6364">
        <v>0.61360550000000003</v>
      </c>
      <c r="N6364">
        <v>-1.7250109999999999E-2</v>
      </c>
      <c r="O6364">
        <v>0.78942429999999997</v>
      </c>
      <c r="P6364">
        <v>0.70450299999999999</v>
      </c>
      <c r="Q6364">
        <v>0.16514670000000001</v>
      </c>
      <c r="R6364">
        <v>0.69021889999999997</v>
      </c>
      <c r="S6364">
        <v>3.0309910000000002</v>
      </c>
      <c r="T6364">
        <v>-1.9363640000000001E-2</v>
      </c>
      <c r="U6364">
        <v>1.2720640000000001</v>
      </c>
      <c r="V6364">
        <v>0.14085699999999901</v>
      </c>
      <c r="W6364">
        <v>0.1757049</v>
      </c>
      <c r="X6364">
        <v>0.97431369999999895</v>
      </c>
      <c r="Y6364">
        <v>0.49043799999999999</v>
      </c>
      <c r="Z6364">
        <v>5.2464729999999998E-3</v>
      </c>
      <c r="AA6364">
        <v>0.87146029999999997</v>
      </c>
      <c r="AB6364">
        <v>42</v>
      </c>
      <c r="AC6364">
        <v>68.794399999999996</v>
      </c>
      <c r="AD6364">
        <v>-0.440328099999999</v>
      </c>
      <c r="AE6364">
        <v>28.754000000000001</v>
      </c>
      <c r="AF6364">
        <v>36.668535916113797</v>
      </c>
      <c r="AG6364">
        <v>-0.440328099999999</v>
      </c>
      <c r="AH6364">
        <v>64.919124329755903</v>
      </c>
      <c r="AI6364">
        <v>90.3383706986628</v>
      </c>
      <c r="AJ6364">
        <v>60.540757001416999</v>
      </c>
      <c r="AK6364">
        <v>74.560499722100104</v>
      </c>
      <c r="AL6364">
        <v>79.880318940132199</v>
      </c>
      <c r="AM6364">
        <v>81.773717117829193</v>
      </c>
      <c r="AN6364">
        <v>1.00000004617034</v>
      </c>
    </row>
    <row r="6365" spans="1:40" x14ac:dyDescent="0.25">
      <c r="A6365" t="str">
        <f>"20190303171138858"</f>
        <v>20190303171138858</v>
      </c>
      <c r="B6365" t="str">
        <f>"1551604298847158"</f>
        <v>1551604298847158</v>
      </c>
      <c r="C6365" t="s">
        <v>40</v>
      </c>
      <c r="D6365">
        <v>5.2188639999999999</v>
      </c>
      <c r="E6365">
        <v>0.65690459999999995</v>
      </c>
      <c r="F6365" t="s">
        <v>110</v>
      </c>
      <c r="G6365">
        <v>-112.1893</v>
      </c>
      <c r="H6365">
        <v>0.67239280000000001</v>
      </c>
      <c r="I6365">
        <v>159.232</v>
      </c>
      <c r="J6365">
        <v>-180.8426</v>
      </c>
      <c r="K6365">
        <v>1.101264</v>
      </c>
      <c r="L6365">
        <v>131.13919999999999</v>
      </c>
      <c r="M6365">
        <v>0.62075630000000004</v>
      </c>
      <c r="N6365">
        <v>-1.7270520000000001E-2</v>
      </c>
      <c r="O6365">
        <v>0.78381339999999999</v>
      </c>
      <c r="P6365">
        <v>0.71054240000000002</v>
      </c>
      <c r="Q6365">
        <v>0.1653222</v>
      </c>
      <c r="R6365">
        <v>0.683957699999999</v>
      </c>
      <c r="S6365">
        <v>3.0390169999999999</v>
      </c>
      <c r="T6365">
        <v>-1.8946649999999999E-2</v>
      </c>
      <c r="U6365">
        <v>1.249069</v>
      </c>
      <c r="V6365">
        <v>0.14060999999999901</v>
      </c>
      <c r="W6365">
        <v>0.175903</v>
      </c>
      <c r="X6365">
        <v>0.9743136</v>
      </c>
      <c r="Y6365">
        <v>0.48896289999999998</v>
      </c>
      <c r="Z6365">
        <v>5.2827019999999898E-3</v>
      </c>
      <c r="AA6365">
        <v>0.87228859999999997</v>
      </c>
      <c r="AB6365">
        <v>42</v>
      </c>
      <c r="AC6365">
        <v>68.653300000000002</v>
      </c>
      <c r="AD6365">
        <v>-0.42887119999999901</v>
      </c>
      <c r="AE6365">
        <v>28.0928</v>
      </c>
      <c r="AF6365">
        <v>36.3768017692935</v>
      </c>
      <c r="AG6365">
        <v>-0.42887119999999901</v>
      </c>
      <c r="AH6365">
        <v>64.643959216611705</v>
      </c>
      <c r="AI6365">
        <v>90.331268328746802</v>
      </c>
      <c r="AJ6365">
        <v>60.632434337727297</v>
      </c>
      <c r="AK6365">
        <v>74.177470303776403</v>
      </c>
      <c r="AL6365">
        <v>79.868788745293799</v>
      </c>
      <c r="AM6365">
        <v>81.787944582409693</v>
      </c>
      <c r="AN6365">
        <v>1.0000000143269701</v>
      </c>
    </row>
    <row r="6366" spans="1:40" x14ac:dyDescent="0.25">
      <c r="A6366" t="str">
        <f>"20190303171138879"</f>
        <v>20190303171138879</v>
      </c>
      <c r="B6366" t="str">
        <f>"1551604298866677"</f>
        <v>1551604298866677</v>
      </c>
      <c r="C6366" t="s">
        <v>40</v>
      </c>
      <c r="D6366">
        <v>5.219849</v>
      </c>
      <c r="E6366">
        <v>0.65604980000000002</v>
      </c>
      <c r="F6366" t="s">
        <v>110</v>
      </c>
      <c r="G6366">
        <v>-112.1893</v>
      </c>
      <c r="H6366">
        <v>0.67559049999999998</v>
      </c>
      <c r="I6366">
        <v>158.7329</v>
      </c>
      <c r="J6366">
        <v>-180.59989999999999</v>
      </c>
      <c r="K6366">
        <v>1.1012200000000001</v>
      </c>
      <c r="L6366">
        <v>131.44399999999999</v>
      </c>
      <c r="M6366">
        <v>0.63273409999999997</v>
      </c>
      <c r="N6366">
        <v>-1.7303969999999998E-2</v>
      </c>
      <c r="O6366">
        <v>0.77417579999999997</v>
      </c>
      <c r="P6366">
        <v>0.720364</v>
      </c>
      <c r="Q6366">
        <v>0.164928399999999</v>
      </c>
      <c r="R6366">
        <v>0.67370189999999996</v>
      </c>
      <c r="S6366">
        <v>3.0474700000000001</v>
      </c>
      <c r="T6366">
        <v>-1.8895149999999999E-2</v>
      </c>
      <c r="U6366">
        <v>1.224869</v>
      </c>
      <c r="V6366">
        <v>0.13966439999999999</v>
      </c>
      <c r="W6366">
        <v>0.175574799999999</v>
      </c>
      <c r="X6366">
        <v>0.97450879999999995</v>
      </c>
      <c r="Y6366">
        <v>0.48233609999999999</v>
      </c>
      <c r="Z6366">
        <v>5.1917509999999997E-3</v>
      </c>
      <c r="AA6366">
        <v>0.87597080000000005</v>
      </c>
      <c r="AB6366">
        <v>42</v>
      </c>
      <c r="AC6366">
        <v>68.410599999999903</v>
      </c>
      <c r="AD6366">
        <v>-0.42562949999999999</v>
      </c>
      <c r="AE6366">
        <v>27.288900000000002</v>
      </c>
      <c r="AF6366">
        <v>35.699365787424099</v>
      </c>
      <c r="AG6366">
        <v>-0.42562949999999999</v>
      </c>
      <c r="AH6366">
        <v>64.4196184027209</v>
      </c>
      <c r="AI6366">
        <v>90.331113119554701</v>
      </c>
      <c r="AJ6366">
        <v>61.006131680996297</v>
      </c>
      <c r="AK6366">
        <v>73.651294036478106</v>
      </c>
      <c r="AL6366">
        <v>79.887890645439498</v>
      </c>
      <c r="AM6366">
        <v>81.844036780673804</v>
      </c>
      <c r="AN6366">
        <v>1.00000002814991</v>
      </c>
    </row>
    <row r="6367" spans="1:40" x14ac:dyDescent="0.25">
      <c r="A6367" t="str">
        <f>"20190303171138892"</f>
        <v>20190303171138892</v>
      </c>
      <c r="B6367" t="str">
        <f>"1551604298876437"</f>
        <v>1551604298876437</v>
      </c>
      <c r="C6367" t="s">
        <v>40</v>
      </c>
      <c r="D6367">
        <v>5.2300740000000001</v>
      </c>
      <c r="E6367">
        <v>0.65569029999999995</v>
      </c>
      <c r="F6367" t="s">
        <v>110</v>
      </c>
      <c r="G6367">
        <v>-112.1893</v>
      </c>
      <c r="H6367">
        <v>0.6428642</v>
      </c>
      <c r="I6367">
        <v>157.9367</v>
      </c>
      <c r="J6367">
        <v>-180.44059999999999</v>
      </c>
      <c r="K6367">
        <v>1.1011959999999901</v>
      </c>
      <c r="L6367">
        <v>131.6386</v>
      </c>
      <c r="M6367">
        <v>0.64039019999999902</v>
      </c>
      <c r="N6367">
        <v>-1.732481E-2</v>
      </c>
      <c r="O6367">
        <v>0.76785439999999905</v>
      </c>
      <c r="P6367">
        <v>0.72668350000000004</v>
      </c>
      <c r="Q6367">
        <v>0.1649437</v>
      </c>
      <c r="R6367">
        <v>0.66687680000000005</v>
      </c>
      <c r="S6367">
        <v>3.06073</v>
      </c>
      <c r="T6367">
        <v>-2.0506980000000001E-2</v>
      </c>
      <c r="U6367">
        <v>1.185303</v>
      </c>
      <c r="V6367">
        <v>0.13918800000000001</v>
      </c>
      <c r="W6367">
        <v>0.17562649999999999</v>
      </c>
      <c r="X6367">
        <v>0.97456759999999998</v>
      </c>
      <c r="Y6367">
        <v>0.4847553</v>
      </c>
      <c r="Z6367">
        <v>4.6021100000000004E-3</v>
      </c>
      <c r="AA6367">
        <v>0.87463769999999996</v>
      </c>
      <c r="AB6367">
        <v>42</v>
      </c>
      <c r="AC6367">
        <v>68.251299999999901</v>
      </c>
      <c r="AD6367">
        <v>-0.45833179999999901</v>
      </c>
      <c r="AE6367">
        <v>26.298100000000002</v>
      </c>
      <c r="AF6367">
        <v>35.5699551105564</v>
      </c>
      <c r="AG6367">
        <v>-0.45833179999999901</v>
      </c>
      <c r="AH6367">
        <v>63.907653668396399</v>
      </c>
      <c r="AI6367">
        <v>90.359040962517497</v>
      </c>
      <c r="AJ6367">
        <v>60.900402896462701</v>
      </c>
      <c r="AK6367">
        <v>73.141096327615898</v>
      </c>
      <c r="AL6367">
        <v>79.884881277606297</v>
      </c>
      <c r="AM6367">
        <v>81.871968509842802</v>
      </c>
      <c r="AN6367">
        <v>0.99999998690800396</v>
      </c>
    </row>
    <row r="6368" spans="1:40" x14ac:dyDescent="0.25">
      <c r="A6368" t="str">
        <f>"20190303171138902"</f>
        <v>20190303171138902</v>
      </c>
      <c r="B6368" t="str">
        <f>"1551604298887173"</f>
        <v>1551604298887173</v>
      </c>
      <c r="C6368" t="s">
        <v>40</v>
      </c>
      <c r="D6368">
        <v>5.2163059999999897</v>
      </c>
      <c r="E6368">
        <v>0.65530449999999996</v>
      </c>
      <c r="F6368" t="s">
        <v>110</v>
      </c>
      <c r="G6368">
        <v>-111.7041</v>
      </c>
      <c r="H6368">
        <v>0.63039880000000004</v>
      </c>
      <c r="I6368">
        <v>157.5675</v>
      </c>
      <c r="J6368">
        <v>-180.30760000000001</v>
      </c>
      <c r="K6368">
        <v>1.1011770000000001</v>
      </c>
      <c r="L6368">
        <v>131.79830000000001</v>
      </c>
      <c r="M6368">
        <v>0.64667479999999999</v>
      </c>
      <c r="N6368">
        <v>-1.7341539999999999E-2</v>
      </c>
      <c r="O6368">
        <v>0.76256869999999999</v>
      </c>
      <c r="P6368">
        <v>0.7320276</v>
      </c>
      <c r="Q6368">
        <v>0.16514519999999999</v>
      </c>
      <c r="R6368">
        <v>0.66095590000000004</v>
      </c>
      <c r="S6368">
        <v>3.070236</v>
      </c>
      <c r="T6368">
        <v>-2.1028760000000001E-2</v>
      </c>
      <c r="U6368">
        <v>1.1581570000000001</v>
      </c>
      <c r="V6368">
        <v>0.1390777</v>
      </c>
      <c r="W6368">
        <v>0.17584379999999999</v>
      </c>
      <c r="X6368">
        <v>0.97454419999999997</v>
      </c>
      <c r="Y6368">
        <v>0.48523480000000002</v>
      </c>
      <c r="Z6368">
        <v>4.3614159999999999E-3</v>
      </c>
      <c r="AA6368">
        <v>0.87437299999999996</v>
      </c>
      <c r="AB6368">
        <v>42</v>
      </c>
      <c r="AC6368">
        <v>68.603499999999997</v>
      </c>
      <c r="AD6368">
        <v>-0.47077819999999998</v>
      </c>
      <c r="AE6368">
        <v>25.769199999999898</v>
      </c>
      <c r="AF6368">
        <v>35.654479080945102</v>
      </c>
      <c r="AG6368">
        <v>-0.47077819999999998</v>
      </c>
      <c r="AH6368">
        <v>64.021924100787601</v>
      </c>
      <c r="AI6368">
        <v>90.368081416858004</v>
      </c>
      <c r="AJ6368">
        <v>60.886108834025102</v>
      </c>
      <c r="AK6368">
        <v>73.282127945455798</v>
      </c>
      <c r="AL6368">
        <v>79.872234453703996</v>
      </c>
      <c r="AM6368">
        <v>81.878131218236305</v>
      </c>
      <c r="AN6368">
        <v>1.00000002319468</v>
      </c>
    </row>
    <row r="6369" spans="1:40" x14ac:dyDescent="0.25">
      <c r="A6369" t="str">
        <f>"20190303171138914"</f>
        <v>20190303171138914</v>
      </c>
      <c r="B6369" t="str">
        <f>"1551604298906692"</f>
        <v>1551604298906692</v>
      </c>
      <c r="C6369" t="s">
        <v>40</v>
      </c>
      <c r="D6369">
        <v>5.2075360000000002</v>
      </c>
      <c r="E6369">
        <v>0.65491009999999905</v>
      </c>
      <c r="F6369" t="s">
        <v>110</v>
      </c>
      <c r="G6369">
        <v>-110.4427</v>
      </c>
      <c r="H6369">
        <v>0.63421919999999898</v>
      </c>
      <c r="I6369">
        <v>157.5675</v>
      </c>
      <c r="J6369">
        <v>-180.1619</v>
      </c>
      <c r="K6369">
        <v>1.101159</v>
      </c>
      <c r="L6369">
        <v>131.971</v>
      </c>
      <c r="M6369">
        <v>0.65345839999999999</v>
      </c>
      <c r="N6369">
        <v>-1.7359299999999901E-2</v>
      </c>
      <c r="O6369">
        <v>0.75676350000000003</v>
      </c>
      <c r="P6369">
        <v>0.73779989999999995</v>
      </c>
      <c r="Q6369">
        <v>0.16553499999999999</v>
      </c>
      <c r="R6369">
        <v>0.65440790000000004</v>
      </c>
      <c r="S6369">
        <v>3.0778349999999999</v>
      </c>
      <c r="T6369">
        <v>-2.0571229999999999E-2</v>
      </c>
      <c r="U6369">
        <v>1.1352390000000001</v>
      </c>
      <c r="V6369">
        <v>0.1390178</v>
      </c>
      <c r="W6369">
        <v>0.17624799999999999</v>
      </c>
      <c r="X6369">
        <v>0.97447969999999895</v>
      </c>
      <c r="Y6369">
        <v>0.48385679999999998</v>
      </c>
      <c r="Z6369">
        <v>4.4071620000000001E-3</v>
      </c>
      <c r="AA6369">
        <v>0.87513609999999897</v>
      </c>
      <c r="AB6369">
        <v>42</v>
      </c>
      <c r="AC6369">
        <v>69.719200000000001</v>
      </c>
      <c r="AD6369">
        <v>-0.46693980000000002</v>
      </c>
      <c r="AE6369">
        <v>25.596499999999899</v>
      </c>
      <c r="AF6369">
        <v>36.038700037806898</v>
      </c>
      <c r="AG6369">
        <v>-0.46693980000000002</v>
      </c>
      <c r="AH6369">
        <v>64.936305105656899</v>
      </c>
      <c r="AI6369">
        <v>90.360234166161604</v>
      </c>
      <c r="AJ6369">
        <v>60.970365676165898</v>
      </c>
      <c r="AK6369">
        <v>74.267958461013393</v>
      </c>
      <c r="AL6369">
        <v>79.848707784548097</v>
      </c>
      <c r="AM6369">
        <v>81.881052433054293</v>
      </c>
      <c r="AN6369">
        <v>0.99999999596646405</v>
      </c>
    </row>
    <row r="6370" spans="1:40" x14ac:dyDescent="0.25">
      <c r="A6370" t="str">
        <f>"20190303171138926"</f>
        <v>20190303171138926</v>
      </c>
      <c r="B6370" t="str">
        <f>"1551604298917429"</f>
        <v>1551604298917429</v>
      </c>
      <c r="C6370" t="s">
        <v>40</v>
      </c>
      <c r="D6370">
        <v>5.2424739999999996</v>
      </c>
      <c r="E6370">
        <v>0.63915349999999904</v>
      </c>
      <c r="F6370" t="s">
        <v>110</v>
      </c>
      <c r="G6370">
        <v>-107.42</v>
      </c>
      <c r="H6370">
        <v>0.60004230000000003</v>
      </c>
      <c r="I6370">
        <v>158.15520000000001</v>
      </c>
      <c r="J6370">
        <v>-180.0171</v>
      </c>
      <c r="K6370">
        <v>1.1011420000000001</v>
      </c>
      <c r="L6370">
        <v>132.13820000000001</v>
      </c>
      <c r="M6370">
        <v>0.6600528</v>
      </c>
      <c r="N6370">
        <v>-1.7376079999999999E-2</v>
      </c>
      <c r="O6370">
        <v>0.75101819999999997</v>
      </c>
      <c r="P6370">
        <v>0.74350830000000001</v>
      </c>
      <c r="Q6370">
        <v>0.16607920000000001</v>
      </c>
      <c r="R6370">
        <v>0.64777549999999995</v>
      </c>
      <c r="S6370">
        <v>3.085709</v>
      </c>
      <c r="T6370">
        <v>-2.1257160000000001E-2</v>
      </c>
      <c r="U6370">
        <v>1.110733</v>
      </c>
      <c r="V6370">
        <v>0.1391606</v>
      </c>
      <c r="W6370">
        <v>0.1767957</v>
      </c>
      <c r="X6370">
        <v>0.97436009999999995</v>
      </c>
      <c r="Y6370">
        <v>0.48306490000000002</v>
      </c>
      <c r="Z6370">
        <v>4.126111E-3</v>
      </c>
      <c r="AA6370">
        <v>0.87557479999999999</v>
      </c>
      <c r="AB6370">
        <v>42</v>
      </c>
      <c r="AC6370">
        <v>72.597099999999998</v>
      </c>
      <c r="AD6370">
        <v>-0.50109970000000004</v>
      </c>
      <c r="AE6370">
        <v>26.016999999999999</v>
      </c>
      <c r="AF6370">
        <v>37.353212895247502</v>
      </c>
      <c r="AG6370">
        <v>-0.50109970000000004</v>
      </c>
      <c r="AH6370">
        <v>67.464498321690897</v>
      </c>
      <c r="AI6370">
        <v>90.372307580695306</v>
      </c>
      <c r="AJ6370">
        <v>61.027922876296103</v>
      </c>
      <c r="AK6370">
        <v>77.116613957722905</v>
      </c>
      <c r="AL6370">
        <v>79.816826264812704</v>
      </c>
      <c r="AM6370">
        <v>81.8718396994811</v>
      </c>
      <c r="AN6370">
        <v>0.99999999830142905</v>
      </c>
    </row>
    <row r="6371" spans="1:40" x14ac:dyDescent="0.25">
      <c r="A6371" t="str">
        <f>"20190303171138940"</f>
        <v>20190303171138940</v>
      </c>
      <c r="B6371" t="str">
        <f>"1551604298927188"</f>
        <v>1551604298927188</v>
      </c>
      <c r="C6371" t="s">
        <v>40</v>
      </c>
      <c r="D6371">
        <v>5.1985549999999998</v>
      </c>
      <c r="E6371">
        <v>0.63876650000000001</v>
      </c>
      <c r="F6371" t="s">
        <v>42</v>
      </c>
      <c r="G6371">
        <v>-124.5044</v>
      </c>
      <c r="H6371">
        <v>7.9986890000000005E-2</v>
      </c>
      <c r="I6371">
        <v>153.92310000000001</v>
      </c>
      <c r="J6371">
        <v>-179.83580000000001</v>
      </c>
      <c r="K6371">
        <v>1.101124</v>
      </c>
      <c r="L6371">
        <v>132.34479999999999</v>
      </c>
      <c r="M6371">
        <v>0.66817680000000002</v>
      </c>
      <c r="N6371">
        <v>-1.7396269999999998E-2</v>
      </c>
      <c r="O6371">
        <v>0.74379910000000005</v>
      </c>
      <c r="P6371">
        <v>0.75056089999999998</v>
      </c>
      <c r="Q6371">
        <v>0.16658039999999999</v>
      </c>
      <c r="R6371">
        <v>0.63946020000000003</v>
      </c>
      <c r="S6371">
        <v>3.0160979999999999</v>
      </c>
      <c r="T6371">
        <v>-5.5481080000000002E-2</v>
      </c>
      <c r="U6371">
        <v>1.1836089999999999</v>
      </c>
      <c r="V6371">
        <v>0.1393635</v>
      </c>
      <c r="W6371">
        <v>0.17730070000000001</v>
      </c>
      <c r="X6371">
        <v>0.97423930000000003</v>
      </c>
      <c r="Y6371">
        <v>0.44825229999999999</v>
      </c>
      <c r="Z6371">
        <v>-5.2560119999999896E-3</v>
      </c>
      <c r="AA6371">
        <v>0.89389159999999901</v>
      </c>
      <c r="AB6371">
        <v>42</v>
      </c>
      <c r="AC6371">
        <v>55.331400000000002</v>
      </c>
      <c r="AD6371">
        <v>-1.02113711</v>
      </c>
      <c r="AE6371">
        <v>21.578299999999999</v>
      </c>
      <c r="AF6371">
        <v>26.733470139044901</v>
      </c>
      <c r="AG6371">
        <v>-1.02113711</v>
      </c>
      <c r="AH6371">
        <v>53.013431445017297</v>
      </c>
      <c r="AI6371">
        <v>90.985321617911197</v>
      </c>
      <c r="AJ6371">
        <v>63.239227401885401</v>
      </c>
      <c r="AK6371">
        <v>59.381352799074698</v>
      </c>
      <c r="AL6371">
        <v>79.787427151244799</v>
      </c>
      <c r="AM6371">
        <v>81.859151556499995</v>
      </c>
      <c r="AN6371">
        <v>0.99999996850861395</v>
      </c>
    </row>
    <row r="6372" spans="1:40" x14ac:dyDescent="0.25">
      <c r="A6372" t="str">
        <f>"20190303171138953"</f>
        <v>20190303171138953</v>
      </c>
      <c r="B6372" t="str">
        <f>"1551604298946709"</f>
        <v>1551604298946709</v>
      </c>
      <c r="C6372" t="s">
        <v>40</v>
      </c>
      <c r="D6372">
        <v>5.1975339999999903</v>
      </c>
      <c r="E6372">
        <v>0.63807950000000002</v>
      </c>
      <c r="F6372" t="s">
        <v>42</v>
      </c>
      <c r="G6372">
        <v>-127.44670000000001</v>
      </c>
      <c r="H6372">
        <v>7.9986210000000002E-2</v>
      </c>
      <c r="I6372">
        <v>152.31039999999999</v>
      </c>
      <c r="J6372">
        <v>-179.6651</v>
      </c>
      <c r="K6372">
        <v>1.101113</v>
      </c>
      <c r="L6372">
        <v>132.5351</v>
      </c>
      <c r="M6372">
        <v>0.67566870000000001</v>
      </c>
      <c r="N6372">
        <v>-1.7414369999999998E-2</v>
      </c>
      <c r="O6372">
        <v>0.73699979999999998</v>
      </c>
      <c r="P6372">
        <v>0.75689490000000004</v>
      </c>
      <c r="Q6372">
        <v>0.16670260000000001</v>
      </c>
      <c r="R6372">
        <v>0.63191799999999998</v>
      </c>
      <c r="S6372">
        <v>3.0271910000000002</v>
      </c>
      <c r="T6372">
        <v>-5.9004189999999998E-2</v>
      </c>
      <c r="U6372">
        <v>1.1536709999999999</v>
      </c>
      <c r="V6372">
        <v>0.13924629999999999</v>
      </c>
      <c r="W6372">
        <v>0.1774415</v>
      </c>
      <c r="X6372">
        <v>0.9742305</v>
      </c>
      <c r="Y6372">
        <v>0.44800570000000001</v>
      </c>
      <c r="Z6372">
        <v>-6.2826019999999896E-3</v>
      </c>
      <c r="AA6372">
        <v>0.89400859999999904</v>
      </c>
      <c r="AB6372">
        <v>42</v>
      </c>
      <c r="AC6372">
        <v>52.218399999999903</v>
      </c>
      <c r="AD6372">
        <v>-1.0211267900000001</v>
      </c>
      <c r="AE6372">
        <v>19.775299999999898</v>
      </c>
      <c r="AF6372">
        <v>25.118806931434001</v>
      </c>
      <c r="AG6372">
        <v>-1.0211267900000001</v>
      </c>
      <c r="AH6372">
        <v>49.847617524000803</v>
      </c>
      <c r="AI6372">
        <v>91.048028994598198</v>
      </c>
      <c r="AJ6372">
        <v>63.255921918830602</v>
      </c>
      <c r="AK6372">
        <v>55.828148226490399</v>
      </c>
      <c r="AL6372">
        <v>79.779230695394105</v>
      </c>
      <c r="AM6372">
        <v>81.865833589729505</v>
      </c>
      <c r="AN6372">
        <v>1.0000000425580899</v>
      </c>
    </row>
    <row r="6373" spans="1:40" x14ac:dyDescent="0.25">
      <c r="A6373" t="str">
        <f>"20190303171138968"</f>
        <v>20190303171138968</v>
      </c>
      <c r="B6373" t="str">
        <f>"1551604298957444"</f>
        <v>1551604298957444</v>
      </c>
      <c r="C6373" t="s">
        <v>40</v>
      </c>
      <c r="D6373">
        <v>5.2682079999999996</v>
      </c>
      <c r="E6373">
        <v>0.63723059999999998</v>
      </c>
      <c r="F6373" t="s">
        <v>42</v>
      </c>
      <c r="G6373">
        <v>-133.7159</v>
      </c>
      <c r="H6373">
        <v>5.9706839999999997E-2</v>
      </c>
      <c r="I6373">
        <v>149.626</v>
      </c>
      <c r="J6373">
        <v>-179.48679999999999</v>
      </c>
      <c r="K6373">
        <v>1.1011029999999999</v>
      </c>
      <c r="L6373">
        <v>132.72899999999899</v>
      </c>
      <c r="M6373">
        <v>0.68331869999999995</v>
      </c>
      <c r="N6373">
        <v>-1.743215E-2</v>
      </c>
      <c r="O6373">
        <v>0.72991219999999901</v>
      </c>
      <c r="P6373">
        <v>0.76302499999999995</v>
      </c>
      <c r="Q6373">
        <v>0.16625760000000001</v>
      </c>
      <c r="R6373">
        <v>0.62462090000000003</v>
      </c>
      <c r="S6373">
        <v>3.0359500000000001</v>
      </c>
      <c r="T6373">
        <v>-6.8807599999999997E-2</v>
      </c>
      <c r="U6373">
        <v>1.129227</v>
      </c>
      <c r="V6373">
        <v>0.13849429999999999</v>
      </c>
      <c r="W6373">
        <v>0.17704729999999999</v>
      </c>
      <c r="X6373">
        <v>0.97440930000000003</v>
      </c>
      <c r="Y6373">
        <v>0.44581300000000001</v>
      </c>
      <c r="Z6373">
        <v>-8.9970369999999994E-3</v>
      </c>
      <c r="AA6373">
        <v>0.89508089999999996</v>
      </c>
      <c r="AB6373">
        <v>42</v>
      </c>
      <c r="AC6373">
        <v>45.770899999999898</v>
      </c>
      <c r="AD6373">
        <v>-1.0413961599999999</v>
      </c>
      <c r="AE6373">
        <v>16.896999999999998</v>
      </c>
      <c r="AF6373">
        <v>21.856065992873301</v>
      </c>
      <c r="AG6373">
        <v>-1.0413961599999999</v>
      </c>
      <c r="AH6373">
        <v>43.596201033413799</v>
      </c>
      <c r="AI6373">
        <v>91.223313568787106</v>
      </c>
      <c r="AJ6373">
        <v>63.374036900917297</v>
      </c>
      <c r="AK6373">
        <v>48.779102812502899</v>
      </c>
      <c r="AL6373">
        <v>79.802179104770104</v>
      </c>
      <c r="AM6373">
        <v>81.910643957086606</v>
      </c>
      <c r="AN6373">
        <v>0.99999995074813297</v>
      </c>
    </row>
    <row r="6374" spans="1:40" x14ac:dyDescent="0.25">
      <c r="A6374" t="str">
        <f>"20190303171138981"</f>
        <v>20190303171138981</v>
      </c>
      <c r="B6374" t="str">
        <f>"1551604298967205"</f>
        <v>1551604298967205</v>
      </c>
      <c r="C6374" t="s">
        <v>40</v>
      </c>
      <c r="D6374">
        <v>5.0317160000000003</v>
      </c>
      <c r="E6374">
        <v>0.63709179999999999</v>
      </c>
      <c r="F6374" t="s">
        <v>42</v>
      </c>
      <c r="G6374">
        <v>-132.96019999999999</v>
      </c>
      <c r="H6374">
        <v>2.5907449999999999E-2</v>
      </c>
      <c r="I6374">
        <v>149.61619999999999</v>
      </c>
      <c r="J6374">
        <v>-179.3211</v>
      </c>
      <c r="K6374">
        <v>1.101097</v>
      </c>
      <c r="L6374">
        <v>132.90629999999999</v>
      </c>
      <c r="M6374">
        <v>0.69030449999999999</v>
      </c>
      <c r="N6374">
        <v>-1.7447919999999999E-2</v>
      </c>
      <c r="O6374">
        <v>0.72330859999999997</v>
      </c>
      <c r="P6374">
        <v>0.76869540000000003</v>
      </c>
      <c r="Q6374">
        <v>0.165406</v>
      </c>
      <c r="R6374">
        <v>0.61785780000000001</v>
      </c>
      <c r="S6374">
        <v>3.042923</v>
      </c>
      <c r="T6374">
        <v>-7.0319770000000004E-2</v>
      </c>
      <c r="U6374">
        <v>1.1044620000000001</v>
      </c>
      <c r="V6374">
        <v>0.13782829999999999</v>
      </c>
      <c r="W6374">
        <v>0.17624189999999901</v>
      </c>
      <c r="X6374">
        <v>0.97464980000000001</v>
      </c>
      <c r="Y6374">
        <v>0.44429099999999999</v>
      </c>
      <c r="Z6374">
        <v>-9.4276140000000008E-3</v>
      </c>
      <c r="AA6374">
        <v>0.89583289999999904</v>
      </c>
      <c r="AB6374">
        <v>42</v>
      </c>
      <c r="AC6374">
        <v>46.360900000000001</v>
      </c>
      <c r="AD6374">
        <v>-1.0751895499999999</v>
      </c>
      <c r="AE6374">
        <v>16.709900000000001</v>
      </c>
      <c r="AF6374">
        <v>21.991198867074001</v>
      </c>
      <c r="AG6374">
        <v>-1.0751895499999999</v>
      </c>
      <c r="AH6374">
        <v>44.075282913417198</v>
      </c>
      <c r="AI6374">
        <v>91.250464948168101</v>
      </c>
      <c r="AJ6374">
        <v>63.483267709990699</v>
      </c>
      <c r="AK6374">
        <v>49.2686454459365</v>
      </c>
      <c r="AL6374">
        <v>79.849063299759706</v>
      </c>
      <c r="AM6374">
        <v>81.950993894251397</v>
      </c>
      <c r="AN6374">
        <v>1.00000004011826</v>
      </c>
    </row>
    <row r="6375" spans="1:40" x14ac:dyDescent="0.25">
      <c r="A6375" t="str">
        <f>"20190303171138993"</f>
        <v>20190303171138993</v>
      </c>
      <c r="B6375" t="str">
        <f>"1551604298986725"</f>
        <v>1551604298986725</v>
      </c>
      <c r="C6375" t="s">
        <v>40</v>
      </c>
      <c r="D6375">
        <v>5.0465479999999996</v>
      </c>
      <c r="E6375">
        <v>0.63607729999999996</v>
      </c>
      <c r="F6375" t="s">
        <v>42</v>
      </c>
      <c r="G6375">
        <v>-131.90280000000001</v>
      </c>
      <c r="H6375">
        <v>7.0998069999999996E-2</v>
      </c>
      <c r="I6375">
        <v>149.63730000000001</v>
      </c>
      <c r="J6375">
        <v>-179.1422</v>
      </c>
      <c r="K6375">
        <v>1.101084</v>
      </c>
      <c r="L6375">
        <v>133.09399999999999</v>
      </c>
      <c r="M6375">
        <v>0.6976985</v>
      </c>
      <c r="N6375">
        <v>-1.7464009999999999E-2</v>
      </c>
      <c r="O6375">
        <v>0.7161786</v>
      </c>
      <c r="P6375">
        <v>0.7748041</v>
      </c>
      <c r="Q6375">
        <v>0.16512260000000001</v>
      </c>
      <c r="R6375">
        <v>0.61025669999999899</v>
      </c>
      <c r="S6375">
        <v>3.0515590000000001</v>
      </c>
      <c r="T6375">
        <v>-6.6291089999999997E-2</v>
      </c>
      <c r="U6375">
        <v>1.0767059999999999</v>
      </c>
      <c r="V6375">
        <v>0.13744899999999999</v>
      </c>
      <c r="W6375">
        <v>0.1759908</v>
      </c>
      <c r="X6375">
        <v>0.97474870000000002</v>
      </c>
      <c r="Y6375">
        <v>0.4431409</v>
      </c>
      <c r="Z6375">
        <v>-8.3504870000000002E-3</v>
      </c>
      <c r="AA6375">
        <v>0.89641309999999996</v>
      </c>
      <c r="AB6375">
        <v>42</v>
      </c>
      <c r="AC6375">
        <v>47.239399999999897</v>
      </c>
      <c r="AD6375">
        <v>-1.03008593</v>
      </c>
      <c r="AE6375">
        <v>16.543299999999999</v>
      </c>
      <c r="AF6375">
        <v>22.2835738369753</v>
      </c>
      <c r="AG6375">
        <v>-1.03008593</v>
      </c>
      <c r="AH6375">
        <v>44.794678453240998</v>
      </c>
      <c r="AI6375">
        <v>91.179488799798307</v>
      </c>
      <c r="AJ6375">
        <v>63.551478668890503</v>
      </c>
      <c r="AK6375">
        <v>50.041802102845601</v>
      </c>
      <c r="AL6375">
        <v>79.863678396183602</v>
      </c>
      <c r="AM6375">
        <v>81.973659288526406</v>
      </c>
      <c r="AN6375">
        <v>1.00000000871866</v>
      </c>
    </row>
    <row r="6376" spans="1:40" x14ac:dyDescent="0.25">
      <c r="A6376" t="str">
        <f>"20190303171139005"</f>
        <v>20190303171139005</v>
      </c>
      <c r="B6376" t="str">
        <f>"1551604298996485"</f>
        <v>1551604298996485</v>
      </c>
      <c r="C6376" t="s">
        <v>40</v>
      </c>
      <c r="D6376">
        <v>5.0225960000000001</v>
      </c>
      <c r="E6376">
        <v>0.63565740000000004</v>
      </c>
      <c r="F6376" t="s">
        <v>42</v>
      </c>
      <c r="G6376">
        <v>-125.9289</v>
      </c>
      <c r="H6376">
        <v>7.9985719999999996E-2</v>
      </c>
      <c r="I6376">
        <v>151.39580000000001</v>
      </c>
      <c r="J6376">
        <v>-178.995</v>
      </c>
      <c r="K6376">
        <v>1.1010740000000001</v>
      </c>
      <c r="L6376">
        <v>133.24449999999999</v>
      </c>
      <c r="M6376">
        <v>0.70365230000000001</v>
      </c>
      <c r="N6376">
        <v>-1.7476220000000001E-2</v>
      </c>
      <c r="O6376">
        <v>0.71032959999999901</v>
      </c>
      <c r="P6376">
        <v>0.77978999999999998</v>
      </c>
      <c r="Q6376">
        <v>0.16504579999999999</v>
      </c>
      <c r="R6376">
        <v>0.60389359999999903</v>
      </c>
      <c r="S6376">
        <v>3.056473</v>
      </c>
      <c r="T6376">
        <v>-5.8650019999999997E-2</v>
      </c>
      <c r="U6376">
        <v>1.0512239999999999</v>
      </c>
      <c r="V6376">
        <v>0.13730209999999901</v>
      </c>
      <c r="W6376">
        <v>0.17593159999999999</v>
      </c>
      <c r="X6376">
        <v>0.97478010000000004</v>
      </c>
      <c r="Y6376">
        <v>0.44280029999999998</v>
      </c>
      <c r="Z6376">
        <v>-6.3270619999999996E-3</v>
      </c>
      <c r="AA6376">
        <v>0.89659800000000001</v>
      </c>
      <c r="AB6376">
        <v>42</v>
      </c>
      <c r="AC6376">
        <v>53.066099999999999</v>
      </c>
      <c r="AD6376">
        <v>-1.0210882799999901</v>
      </c>
      <c r="AE6376">
        <v>18.151299999999999</v>
      </c>
      <c r="AF6376">
        <v>24.917763439938302</v>
      </c>
      <c r="AG6376">
        <v>-1.0210882799999901</v>
      </c>
      <c r="AH6376">
        <v>50.224511145694898</v>
      </c>
      <c r="AI6376">
        <v>91.043369974569799</v>
      </c>
      <c r="AJ6376">
        <v>63.612723861804497</v>
      </c>
      <c r="AK6376">
        <v>56.075298268919703</v>
      </c>
      <c r="AL6376">
        <v>79.867124173538102</v>
      </c>
      <c r="AM6376">
        <v>81.982380826489205</v>
      </c>
      <c r="AN6376">
        <v>1.00000001894948</v>
      </c>
    </row>
    <row r="6377" spans="1:40" x14ac:dyDescent="0.25">
      <c r="A6377" t="str">
        <f>"20190303171139016"</f>
        <v>20190303171139016</v>
      </c>
      <c r="B6377" t="str">
        <f>"1551604299007221"</f>
        <v>1551604299007221</v>
      </c>
      <c r="C6377" t="s">
        <v>40</v>
      </c>
      <c r="D6377">
        <v>5.0593810000000001</v>
      </c>
      <c r="E6377">
        <v>0.63525129999999996</v>
      </c>
      <c r="F6377" t="s">
        <v>42</v>
      </c>
      <c r="G6377">
        <v>-123.98650000000001</v>
      </c>
      <c r="H6377">
        <v>7.9986650000000006E-2</v>
      </c>
      <c r="I6377">
        <v>151.71850000000001</v>
      </c>
      <c r="J6377">
        <v>-178.83860000000001</v>
      </c>
      <c r="K6377">
        <v>1.1010679999999999</v>
      </c>
      <c r="L6377">
        <v>133.4033</v>
      </c>
      <c r="M6377">
        <v>0.70990419999999999</v>
      </c>
      <c r="N6377">
        <v>-1.748883E-2</v>
      </c>
      <c r="O6377">
        <v>0.70408110000000002</v>
      </c>
      <c r="P6377">
        <v>0.78523799999999999</v>
      </c>
      <c r="Q6377">
        <v>0.16471359999999999</v>
      </c>
      <c r="R6377">
        <v>0.59688419999999998</v>
      </c>
      <c r="S6377">
        <v>3.0626679999999999</v>
      </c>
      <c r="T6377">
        <v>-5.6850310000000001E-2</v>
      </c>
      <c r="U6377">
        <v>1.028564</v>
      </c>
      <c r="V6377">
        <v>0.137453399999999</v>
      </c>
      <c r="W6377">
        <v>0.1756035</v>
      </c>
      <c r="X6377">
        <v>0.97481790000000001</v>
      </c>
      <c r="Y6377">
        <v>0.4413842</v>
      </c>
      <c r="Z6377">
        <v>-5.8698700000000001E-3</v>
      </c>
      <c r="AA6377">
        <v>0.89729910000000002</v>
      </c>
      <c r="AB6377">
        <v>42</v>
      </c>
      <c r="AC6377">
        <v>54.8521</v>
      </c>
      <c r="AD6377">
        <v>-1.02108135</v>
      </c>
      <c r="AE6377">
        <v>18.315200000000001</v>
      </c>
      <c r="AF6377">
        <v>25.614222200156998</v>
      </c>
      <c r="AG6377">
        <v>-1.02108135</v>
      </c>
      <c r="AH6377">
        <v>51.826892700865102</v>
      </c>
      <c r="AI6377">
        <v>91.011875579117998</v>
      </c>
      <c r="AJ6377">
        <v>63.700198651981303</v>
      </c>
      <c r="AK6377">
        <v>57.820046636692702</v>
      </c>
      <c r="AL6377">
        <v>79.886219836556904</v>
      </c>
      <c r="AM6377">
        <v>81.973968062687902</v>
      </c>
      <c r="AN6377">
        <v>0.99999998227210896</v>
      </c>
    </row>
    <row r="6378" spans="1:40" x14ac:dyDescent="0.25">
      <c r="A6378" t="str">
        <f>"20190303171139028"</f>
        <v>20190303171139028</v>
      </c>
      <c r="B6378" t="str">
        <f>"1551604299016982"</f>
        <v>1551604299016982</v>
      </c>
      <c r="C6378" t="s">
        <v>40</v>
      </c>
      <c r="D6378">
        <v>5.0669259999999996</v>
      </c>
      <c r="E6378">
        <v>0.63479569999999996</v>
      </c>
      <c r="F6378" t="s">
        <v>42</v>
      </c>
      <c r="G6378">
        <v>-125.4151</v>
      </c>
      <c r="H6378">
        <v>7.9985550000000002E-2</v>
      </c>
      <c r="I6378">
        <v>150.88</v>
      </c>
      <c r="J6378">
        <v>-178.67670000000001</v>
      </c>
      <c r="K6378">
        <v>1.101064</v>
      </c>
      <c r="L6378">
        <v>133.56309999999999</v>
      </c>
      <c r="M6378">
        <v>0.71623139999999996</v>
      </c>
      <c r="N6378">
        <v>-1.75007999999999E-2</v>
      </c>
      <c r="O6378">
        <v>0.69764340000000002</v>
      </c>
      <c r="P6378">
        <v>0.79088530000000001</v>
      </c>
      <c r="Q6378">
        <v>0.164778799999999</v>
      </c>
      <c r="R6378">
        <v>0.58936269999999902</v>
      </c>
      <c r="S6378">
        <v>3.069534</v>
      </c>
      <c r="T6378">
        <v>-5.8667900000000002E-2</v>
      </c>
      <c r="U6378">
        <v>1.0041500000000001</v>
      </c>
      <c r="V6378">
        <v>0.13795289999999999</v>
      </c>
      <c r="W6378">
        <v>0.1756547</v>
      </c>
      <c r="X6378">
        <v>0.97473810000000005</v>
      </c>
      <c r="Y6378">
        <v>0.44031569999999998</v>
      </c>
      <c r="Z6378">
        <v>-6.3902769999999998E-3</v>
      </c>
      <c r="AA6378">
        <v>0.89782030000000002</v>
      </c>
      <c r="AB6378">
        <v>42</v>
      </c>
      <c r="AC6378">
        <v>53.261600000000001</v>
      </c>
      <c r="AD6378">
        <v>-1.0210784500000001</v>
      </c>
      <c r="AE6378">
        <v>17.3169</v>
      </c>
      <c r="AF6378">
        <v>24.750261081960701</v>
      </c>
      <c r="AG6378">
        <v>-1.0210784500000001</v>
      </c>
      <c r="AH6378">
        <v>50.219652262188902</v>
      </c>
      <c r="AI6378">
        <v>91.044824394262307</v>
      </c>
      <c r="AJ6378">
        <v>63.764071031817402</v>
      </c>
      <c r="AK6378">
        <v>55.996709708352</v>
      </c>
      <c r="AL6378">
        <v>79.883239848569403</v>
      </c>
      <c r="AM6378">
        <v>81.944533107588299</v>
      </c>
      <c r="AN6378">
        <v>0.999999969921054</v>
      </c>
    </row>
    <row r="6379" spans="1:40" x14ac:dyDescent="0.25">
      <c r="A6379" t="str">
        <f>"20190303171139040"</f>
        <v>20190303171139040</v>
      </c>
      <c r="B6379" t="str">
        <f>"1551604299026741"</f>
        <v>1551604299026741</v>
      </c>
      <c r="C6379" t="s">
        <v>40</v>
      </c>
      <c r="D6379">
        <v>4.9767749999999999</v>
      </c>
      <c r="E6379">
        <v>0.63445719999999906</v>
      </c>
      <c r="F6379" t="s">
        <v>42</v>
      </c>
      <c r="G6379">
        <v>-125.0853</v>
      </c>
      <c r="H6379">
        <v>7.998545E-2</v>
      </c>
      <c r="I6379">
        <v>150.60419999999999</v>
      </c>
      <c r="J6379">
        <v>-178.53299999999999</v>
      </c>
      <c r="K6379">
        <v>1.1010629999999999</v>
      </c>
      <c r="L6379">
        <v>133.70349999999999</v>
      </c>
      <c r="M6379">
        <v>0.721771099999999</v>
      </c>
      <c r="N6379">
        <v>-1.7511039999999999E-2</v>
      </c>
      <c r="O6379">
        <v>0.69191029999999998</v>
      </c>
      <c r="P6379">
        <v>0.79590669999999897</v>
      </c>
      <c r="Q6379">
        <v>0.16475709999999999</v>
      </c>
      <c r="R6379">
        <v>0.58257000000000003</v>
      </c>
      <c r="S6379">
        <v>3.0764619999999998</v>
      </c>
      <c r="T6379">
        <v>-5.8615800000000003E-2</v>
      </c>
      <c r="U6379">
        <v>0.97825620000000002</v>
      </c>
      <c r="V6379">
        <v>0.13853089999999901</v>
      </c>
      <c r="W6379">
        <v>0.17561379999999999</v>
      </c>
      <c r="X6379">
        <v>0.97466350000000002</v>
      </c>
      <c r="Y6379">
        <v>0.4406003</v>
      </c>
      <c r="Z6379">
        <v>-6.4239569999999897E-3</v>
      </c>
      <c r="AA6379">
        <v>0.89768040000000004</v>
      </c>
      <c r="AB6379">
        <v>42</v>
      </c>
      <c r="AC6379">
        <v>53.447699999999898</v>
      </c>
      <c r="AD6379">
        <v>-1.02107755</v>
      </c>
      <c r="AE6379">
        <v>16.900700000000001</v>
      </c>
      <c r="AF6379">
        <v>24.778156259094001</v>
      </c>
      <c r="AG6379">
        <v>-1.02107755</v>
      </c>
      <c r="AH6379">
        <v>50.261805645894498</v>
      </c>
      <c r="AI6379">
        <v>91.043888766004699</v>
      </c>
      <c r="AJ6379">
        <v>63.757540852995199</v>
      </c>
      <c r="AK6379">
        <v>56.046844101598303</v>
      </c>
      <c r="AL6379">
        <v>79.885620326848098</v>
      </c>
      <c r="AM6379">
        <v>81.910616865860405</v>
      </c>
      <c r="AN6379">
        <v>0.99999997761874904</v>
      </c>
    </row>
    <row r="6380" spans="1:40" x14ac:dyDescent="0.25">
      <c r="A6380" t="str">
        <f>"20190303171139051"</f>
        <v>20190303171139051</v>
      </c>
      <c r="B6380" t="str">
        <f>"1551604299036501"</f>
        <v>1551604299036501</v>
      </c>
      <c r="C6380" t="s">
        <v>40</v>
      </c>
      <c r="D6380">
        <v>5.0354419999999998</v>
      </c>
      <c r="E6380">
        <v>0.63407519999999995</v>
      </c>
      <c r="F6380" t="s">
        <v>42</v>
      </c>
      <c r="G6380">
        <v>-123.6469</v>
      </c>
      <c r="H6380">
        <v>7.9986509999999997E-2</v>
      </c>
      <c r="I6380">
        <v>150.69409999999999</v>
      </c>
      <c r="J6380">
        <v>-178.37379999999999</v>
      </c>
      <c r="K6380">
        <v>1.101057</v>
      </c>
      <c r="L6380">
        <v>133.85589999999999</v>
      </c>
      <c r="M6380">
        <v>0.72780310000000004</v>
      </c>
      <c r="N6380">
        <v>-1.7521640000000002E-2</v>
      </c>
      <c r="O6380">
        <v>0.68556229999999996</v>
      </c>
      <c r="P6380">
        <v>0.80112439999999996</v>
      </c>
      <c r="Q6380">
        <v>0.164739</v>
      </c>
      <c r="R6380">
        <v>0.57537890000000003</v>
      </c>
      <c r="S6380">
        <v>3.0826570000000002</v>
      </c>
      <c r="T6380">
        <v>-5.7348250000000003E-2</v>
      </c>
      <c r="U6380">
        <v>0.95426940000000005</v>
      </c>
      <c r="V6380">
        <v>0.13877539999999999</v>
      </c>
      <c r="W6380">
        <v>0.1755941</v>
      </c>
      <c r="X6380">
        <v>0.97463230000000001</v>
      </c>
      <c r="Y6380">
        <v>0.43962279999999998</v>
      </c>
      <c r="Z6380">
        <v>-6.1201019999999997E-3</v>
      </c>
      <c r="AA6380">
        <v>0.8981616</v>
      </c>
      <c r="AB6380">
        <v>42</v>
      </c>
      <c r="AC6380">
        <v>54.726899999999901</v>
      </c>
      <c r="AD6380">
        <v>-1.0210704900000001</v>
      </c>
      <c r="AE6380">
        <v>16.838200000000001</v>
      </c>
      <c r="AF6380">
        <v>25.259651322898499</v>
      </c>
      <c r="AG6380">
        <v>-1.0210704900000001</v>
      </c>
      <c r="AH6380">
        <v>51.365595511121398</v>
      </c>
      <c r="AI6380">
        <v>91.021948264005204</v>
      </c>
      <c r="AJ6380">
        <v>63.813790792340797</v>
      </c>
      <c r="AK6380">
        <v>57.249602375144001</v>
      </c>
      <c r="AL6380">
        <v>79.886767199903105</v>
      </c>
      <c r="AM6380">
        <v>81.896273022635</v>
      </c>
      <c r="AN6380">
        <v>1.00000000990163</v>
      </c>
    </row>
    <row r="6381" spans="1:40" x14ac:dyDescent="0.25">
      <c r="A6381" t="str">
        <f>"20190303171139063"</f>
        <v>20190303171139063</v>
      </c>
      <c r="B6381" t="str">
        <f>"1551604299056997"</f>
        <v>1551604299056997</v>
      </c>
      <c r="C6381" t="s">
        <v>40</v>
      </c>
      <c r="D6381">
        <v>5.0291689999999996</v>
      </c>
      <c r="E6381">
        <v>0.63304930000000004</v>
      </c>
      <c r="F6381" t="s">
        <v>42</v>
      </c>
      <c r="G6381">
        <v>-122.383</v>
      </c>
      <c r="H6381">
        <v>7.9986130000000003E-2</v>
      </c>
      <c r="I6381">
        <v>150.6885</v>
      </c>
      <c r="J6381">
        <v>-178.2099</v>
      </c>
      <c r="K6381">
        <v>1.101057</v>
      </c>
      <c r="L6381">
        <v>134.00989999999999</v>
      </c>
      <c r="M6381">
        <v>0.73390180000000005</v>
      </c>
      <c r="N6381">
        <v>-1.7531910000000001E-2</v>
      </c>
      <c r="O6381">
        <v>0.67902929999999995</v>
      </c>
      <c r="P6381">
        <v>0.80614549999999996</v>
      </c>
      <c r="Q6381">
        <v>0.16485820000000001</v>
      </c>
      <c r="R6381">
        <v>0.56828780000000001</v>
      </c>
      <c r="S6381">
        <v>3.0893099999999998</v>
      </c>
      <c r="T6381">
        <v>-5.6337829999999998E-2</v>
      </c>
      <c r="U6381">
        <v>0.9287415</v>
      </c>
      <c r="V6381">
        <v>0.13865269999999999</v>
      </c>
      <c r="W6381">
        <v>0.17572879999999999</v>
      </c>
      <c r="X6381">
        <v>0.97462550000000003</v>
      </c>
      <c r="Y6381">
        <v>0.43893460000000001</v>
      </c>
      <c r="Z6381">
        <v>-5.8919369999999999E-3</v>
      </c>
      <c r="AA6381">
        <v>0.89849969999999901</v>
      </c>
      <c r="AB6381">
        <v>42</v>
      </c>
      <c r="AC6381">
        <v>55.826900000000002</v>
      </c>
      <c r="AD6381">
        <v>-1.02107087</v>
      </c>
      <c r="AE6381">
        <v>16.678599999999999</v>
      </c>
      <c r="AF6381">
        <v>25.663710145675601</v>
      </c>
      <c r="AG6381">
        <v>-1.02107087</v>
      </c>
      <c r="AH6381">
        <v>52.2887008048653</v>
      </c>
      <c r="AI6381">
        <v>91.004289950820905</v>
      </c>
      <c r="AJ6381">
        <v>63.857828476779602</v>
      </c>
      <c r="AK6381">
        <v>58.256131316999898</v>
      </c>
      <c r="AL6381">
        <v>79.8789276992499</v>
      </c>
      <c r="AM6381">
        <v>81.903287243761795</v>
      </c>
      <c r="AN6381">
        <v>1.0000000238084801</v>
      </c>
    </row>
    <row r="6382" spans="1:40" x14ac:dyDescent="0.25">
      <c r="A6382" t="str">
        <f>"20190303171139074"</f>
        <v>20190303171139074</v>
      </c>
      <c r="B6382" t="str">
        <f>"1551604299066757"</f>
        <v>1551604299066757</v>
      </c>
      <c r="C6382" t="s">
        <v>40</v>
      </c>
      <c r="D6382">
        <v>5.041938</v>
      </c>
      <c r="E6382">
        <v>0.63304930000000004</v>
      </c>
      <c r="F6382" t="s">
        <v>42</v>
      </c>
      <c r="G6382">
        <v>-120.5363</v>
      </c>
      <c r="H6382">
        <v>7.9985600000000004E-2</v>
      </c>
      <c r="I6382">
        <v>150.9341</v>
      </c>
      <c r="J6382">
        <v>-178.04490000000001</v>
      </c>
      <c r="K6382">
        <v>1.1010599999999999</v>
      </c>
      <c r="L6382">
        <v>134.16309999999999</v>
      </c>
      <c r="M6382">
        <v>0.73995279999999997</v>
      </c>
      <c r="N6382">
        <v>-1.7541830000000001E-2</v>
      </c>
      <c r="O6382">
        <v>0.67242999999999997</v>
      </c>
      <c r="P6382">
        <v>0.81115009999999999</v>
      </c>
      <c r="Q6382">
        <v>0.16446</v>
      </c>
      <c r="R6382">
        <v>0.56123829999999997</v>
      </c>
      <c r="S6382">
        <v>3.092819</v>
      </c>
      <c r="T6382">
        <v>-5.4756159999999998E-2</v>
      </c>
      <c r="U6382">
        <v>0.90757750000000004</v>
      </c>
      <c r="V6382">
        <v>0.13845769999999999</v>
      </c>
      <c r="W6382">
        <v>0.17535049999999999</v>
      </c>
      <c r="X6382">
        <v>0.97472130000000001</v>
      </c>
      <c r="Y6382">
        <v>0.43682349999999998</v>
      </c>
      <c r="Z6382">
        <v>-5.5030790000000001E-3</v>
      </c>
      <c r="AA6382">
        <v>0.89953039999999995</v>
      </c>
      <c r="AB6382">
        <v>41</v>
      </c>
      <c r="AC6382">
        <v>57.508600000000001</v>
      </c>
      <c r="AD6382">
        <v>-1.0210743999999901</v>
      </c>
      <c r="AE6382">
        <v>16.771000000000001</v>
      </c>
      <c r="AF6382">
        <v>26.257172606612599</v>
      </c>
      <c r="AG6382">
        <v>-1.0210743999999901</v>
      </c>
      <c r="AH6382">
        <v>53.823620504280797</v>
      </c>
      <c r="AI6382">
        <v>90.976803692860202</v>
      </c>
      <c r="AJ6382">
        <v>63.995151103962499</v>
      </c>
      <c r="AK6382">
        <v>59.8954408149119</v>
      </c>
      <c r="AL6382">
        <v>79.900944039620001</v>
      </c>
      <c r="AM6382">
        <v>81.915307881986294</v>
      </c>
      <c r="AN6382">
        <v>0.999999972606614</v>
      </c>
    </row>
    <row r="6383" spans="1:40" x14ac:dyDescent="0.25">
      <c r="A6383" t="str">
        <f>"20190303171139087"</f>
        <v>20190303171139087</v>
      </c>
      <c r="B6383" t="str">
        <f>"1551604299076517"</f>
        <v>1551604299076517</v>
      </c>
      <c r="C6383" t="s">
        <v>40</v>
      </c>
      <c r="D6383">
        <v>5.0618069999999999</v>
      </c>
      <c r="E6383">
        <v>0.62343409999999999</v>
      </c>
      <c r="F6383" t="s">
        <v>42</v>
      </c>
      <c r="G6383">
        <v>-120.1486</v>
      </c>
      <c r="H6383">
        <v>7.9985459999999994E-2</v>
      </c>
      <c r="I6383">
        <v>150.58850000000001</v>
      </c>
      <c r="J6383">
        <v>-177.87710000000001</v>
      </c>
      <c r="K6383">
        <v>1.101062</v>
      </c>
      <c r="L6383">
        <v>134.31460000000001</v>
      </c>
      <c r="M6383">
        <v>0.74597400000000003</v>
      </c>
      <c r="N6383">
        <v>-1.7550969999999999E-2</v>
      </c>
      <c r="O6383">
        <v>0.6657438</v>
      </c>
      <c r="P6383">
        <v>0.81591979999999997</v>
      </c>
      <c r="Q6383">
        <v>0.1644757</v>
      </c>
      <c r="R6383">
        <v>0.55427669999999996</v>
      </c>
      <c r="S6383">
        <v>3.100876</v>
      </c>
      <c r="T6383">
        <v>-5.4687859999999998E-2</v>
      </c>
      <c r="U6383">
        <v>0.87973020000000002</v>
      </c>
      <c r="V6383">
        <v>0.13802429999999999</v>
      </c>
      <c r="W6383">
        <v>0.17539689999999999</v>
      </c>
      <c r="X6383">
        <v>0.97477440000000004</v>
      </c>
      <c r="Y6383">
        <v>0.43681880000000001</v>
      </c>
      <c r="Z6383">
        <v>-5.5321980000000003E-3</v>
      </c>
      <c r="AA6383">
        <v>0.89953249999999996</v>
      </c>
      <c r="AB6383">
        <v>41</v>
      </c>
      <c r="AC6383">
        <v>57.728499999999997</v>
      </c>
      <c r="AD6383">
        <v>-1.0210765399999999</v>
      </c>
      <c r="AE6383">
        <v>16.273899999999902</v>
      </c>
      <c r="AF6383">
        <v>26.288915445025399</v>
      </c>
      <c r="AG6383">
        <v>-1.0210765399999999</v>
      </c>
      <c r="AH6383">
        <v>53.890891342821298</v>
      </c>
      <c r="AI6383">
        <v>90.975594312670097</v>
      </c>
      <c r="AJ6383">
        <v>63.996073796342003</v>
      </c>
      <c r="AK6383">
        <v>59.969807756070097</v>
      </c>
      <c r="AL6383">
        <v>79.898243489236094</v>
      </c>
      <c r="AM6383">
        <v>81.940714813477896</v>
      </c>
      <c r="AN6383">
        <v>0.99999995540772901</v>
      </c>
    </row>
    <row r="6384" spans="1:40" x14ac:dyDescent="0.25">
      <c r="A6384" t="str">
        <f>"20190303171139102"</f>
        <v>20190303171139102</v>
      </c>
      <c r="B6384" t="str">
        <f>"1551604299087253"</f>
        <v>1551604299087253</v>
      </c>
      <c r="C6384" t="s">
        <v>40</v>
      </c>
      <c r="D6384">
        <v>5.0521539999999998</v>
      </c>
      <c r="E6384">
        <v>0.6226062</v>
      </c>
      <c r="F6384" t="s">
        <v>42</v>
      </c>
      <c r="G6384">
        <v>-126.6314</v>
      </c>
      <c r="H6384">
        <v>7.7124300000000007E-2</v>
      </c>
      <c r="I6384">
        <v>149.64340000000001</v>
      </c>
      <c r="J6384">
        <v>-177.67250000000001</v>
      </c>
      <c r="K6384">
        <v>1.1010610000000001</v>
      </c>
      <c r="L6384">
        <v>134.4966</v>
      </c>
      <c r="M6384">
        <v>0.753194699999999</v>
      </c>
      <c r="N6384">
        <v>-1.756164E-2</v>
      </c>
      <c r="O6384">
        <v>0.65756309999999996</v>
      </c>
      <c r="P6384">
        <v>0.82216999999999996</v>
      </c>
      <c r="Q6384">
        <v>0.16414589999999901</v>
      </c>
      <c r="R6384">
        <v>0.54506209999999999</v>
      </c>
      <c r="S6384">
        <v>3.066147</v>
      </c>
      <c r="T6384">
        <v>-6.1264510000000001E-2</v>
      </c>
      <c r="U6384">
        <v>0.91715999999999998</v>
      </c>
      <c r="V6384">
        <v>0.13838139999999999</v>
      </c>
      <c r="W6384">
        <v>0.175061299999999</v>
      </c>
      <c r="X6384">
        <v>0.97478410000000004</v>
      </c>
      <c r="Y6384">
        <v>0.41406720000000002</v>
      </c>
      <c r="Z6384">
        <v>-7.031898E-3</v>
      </c>
      <c r="AA6384">
        <v>0.91021909999999895</v>
      </c>
      <c r="AB6384">
        <v>41</v>
      </c>
      <c r="AC6384">
        <v>51.0411</v>
      </c>
      <c r="AD6384">
        <v>-1.0239366999999999</v>
      </c>
      <c r="AE6384">
        <v>15.146800000000001</v>
      </c>
      <c r="AF6384">
        <v>22.149480222114398</v>
      </c>
      <c r="AG6384">
        <v>-1.0239366999999999</v>
      </c>
      <c r="AH6384">
        <v>48.393431738288101</v>
      </c>
      <c r="AI6384">
        <v>91.1021872664395</v>
      </c>
      <c r="AJ6384">
        <v>65.406619612313904</v>
      </c>
      <c r="AK6384">
        <v>53.231308042201903</v>
      </c>
      <c r="AL6384">
        <v>79.917774145418406</v>
      </c>
      <c r="AM6384">
        <v>81.920217960583102</v>
      </c>
      <c r="AN6384">
        <v>0.99999995611822901</v>
      </c>
    </row>
    <row r="6385" spans="1:40" x14ac:dyDescent="0.25">
      <c r="A6385" t="str">
        <f>"20190303171139113"</f>
        <v>20190303171139113</v>
      </c>
      <c r="B6385" t="str">
        <f>"1551604299106773"</f>
        <v>1551604299106773</v>
      </c>
      <c r="C6385" t="s">
        <v>40</v>
      </c>
      <c r="D6385">
        <v>5.0865589999999896</v>
      </c>
      <c r="E6385">
        <v>0.62097250000000004</v>
      </c>
      <c r="F6385" t="s">
        <v>42</v>
      </c>
      <c r="G6385">
        <v>-124.277</v>
      </c>
      <c r="H6385">
        <v>7.9986650000000006E-2</v>
      </c>
      <c r="I6385">
        <v>149.93109999999999</v>
      </c>
      <c r="J6385">
        <v>-177.50190000000001</v>
      </c>
      <c r="K6385">
        <v>1.101064</v>
      </c>
      <c r="L6385">
        <v>134.6455</v>
      </c>
      <c r="M6385">
        <v>0.75909839999999995</v>
      </c>
      <c r="N6385">
        <v>-1.7569990000000001E-2</v>
      </c>
      <c r="O6385">
        <v>0.65073890000000001</v>
      </c>
      <c r="P6385">
        <v>0.82719399999999998</v>
      </c>
      <c r="Q6385">
        <v>0.16404009999999999</v>
      </c>
      <c r="R6385">
        <v>0.53743949999999996</v>
      </c>
      <c r="S6385">
        <v>3.07193</v>
      </c>
      <c r="T6385">
        <v>-5.8744070000000002E-2</v>
      </c>
      <c r="U6385">
        <v>0.88797000000000004</v>
      </c>
      <c r="V6385">
        <v>0.13860229999999901</v>
      </c>
      <c r="W6385">
        <v>0.1749542</v>
      </c>
      <c r="X6385">
        <v>0.97477199999999997</v>
      </c>
      <c r="Y6385">
        <v>0.4142921</v>
      </c>
      <c r="Z6385">
        <v>-6.4381619999999999E-3</v>
      </c>
      <c r="AA6385">
        <v>0.91012119999999996</v>
      </c>
      <c r="AB6385">
        <v>41</v>
      </c>
      <c r="AC6385">
        <v>53.224899999999998</v>
      </c>
      <c r="AD6385">
        <v>-1.0210773500000001</v>
      </c>
      <c r="AE6385">
        <v>15.285599999999899</v>
      </c>
      <c r="AF6385">
        <v>23.027962633409398</v>
      </c>
      <c r="AG6385">
        <v>-1.0210773500000001</v>
      </c>
      <c r="AH6385">
        <v>50.340523928133798</v>
      </c>
      <c r="AI6385">
        <v>91.056708927423998</v>
      </c>
      <c r="AJ6385">
        <v>65.418566111881205</v>
      </c>
      <c r="AK6385">
        <v>55.366939696531801</v>
      </c>
      <c r="AL6385">
        <v>79.924007267477506</v>
      </c>
      <c r="AM6385">
        <v>81.907391694739403</v>
      </c>
      <c r="AN6385">
        <v>1.0000000108234599</v>
      </c>
    </row>
    <row r="6386" spans="1:40" x14ac:dyDescent="0.25">
      <c r="A6386" t="str">
        <f>"20190303171139125"</f>
        <v>20190303171139125</v>
      </c>
      <c r="B6386" t="str">
        <f>"1551604299116533"</f>
        <v>1551604299116533</v>
      </c>
      <c r="C6386" t="s">
        <v>40</v>
      </c>
      <c r="D6386">
        <v>5.0428030000000001</v>
      </c>
      <c r="E6386">
        <v>0.62081239999999904</v>
      </c>
      <c r="F6386" t="s">
        <v>42</v>
      </c>
      <c r="G6386">
        <v>-124.70910000000001</v>
      </c>
      <c r="H6386">
        <v>2.810296E-2</v>
      </c>
      <c r="I6386">
        <v>149.6163</v>
      </c>
      <c r="J6386">
        <v>-177.3449</v>
      </c>
      <c r="K6386">
        <v>1.1010709999999999</v>
      </c>
      <c r="L6386">
        <v>134.7792</v>
      </c>
      <c r="M6386">
        <v>0.76443229999999995</v>
      </c>
      <c r="N6386">
        <v>-1.7577099999999998E-2</v>
      </c>
      <c r="O6386">
        <v>0.64446440000000005</v>
      </c>
      <c r="P6386">
        <v>0.83162440000000004</v>
      </c>
      <c r="Q6386">
        <v>0.16391889999999901</v>
      </c>
      <c r="R6386">
        <v>0.53059540000000005</v>
      </c>
      <c r="S6386">
        <v>3.072937</v>
      </c>
      <c r="T6386">
        <v>-6.2454339999999997E-2</v>
      </c>
      <c r="U6386">
        <v>0.87141420000000003</v>
      </c>
      <c r="V6386">
        <v>0.13862569999999999</v>
      </c>
      <c r="W6386">
        <v>0.17483969999999999</v>
      </c>
      <c r="X6386">
        <v>0.97478920000000002</v>
      </c>
      <c r="Y6386">
        <v>0.41139419999999999</v>
      </c>
      <c r="Z6386">
        <v>-7.3818629999999998E-3</v>
      </c>
      <c r="AA6386">
        <v>0.9114276</v>
      </c>
      <c r="AB6386">
        <v>41</v>
      </c>
      <c r="AC6386">
        <v>52.635799999999897</v>
      </c>
      <c r="AD6386">
        <v>-1.0729680399999999</v>
      </c>
      <c r="AE6386">
        <v>14.8370999999999</v>
      </c>
      <c r="AF6386">
        <v>22.574738850744101</v>
      </c>
      <c r="AG6386">
        <v>-1.0729680399999999</v>
      </c>
      <c r="AH6386">
        <v>49.787015896673701</v>
      </c>
      <c r="AI6386">
        <v>91.124441277018704</v>
      </c>
      <c r="AJ6386">
        <v>65.609213907645895</v>
      </c>
      <c r="AK6386">
        <v>54.676476171108497</v>
      </c>
      <c r="AL6386">
        <v>79.9306701718657</v>
      </c>
      <c r="AM6386">
        <v>81.906184460003601</v>
      </c>
      <c r="AN6386">
        <v>0.99999999491660996</v>
      </c>
    </row>
    <row r="6387" spans="1:40" x14ac:dyDescent="0.25">
      <c r="A6387" t="str">
        <f>"20190303171139138"</f>
        <v>20190303171139138</v>
      </c>
      <c r="B6387" t="str">
        <f>"1551604299127269"</f>
        <v>1551604299127269</v>
      </c>
      <c r="C6387" t="s">
        <v>40</v>
      </c>
      <c r="D6387">
        <v>5.1103690000000004</v>
      </c>
      <c r="E6387">
        <v>0.62056369999999905</v>
      </c>
      <c r="F6387" t="s">
        <v>42</v>
      </c>
      <c r="G6387">
        <v>-125.74079999999999</v>
      </c>
      <c r="H6387" s="1">
        <v>-3.9838909999999996E-6</v>
      </c>
      <c r="I6387">
        <v>148.9828</v>
      </c>
      <c r="J6387">
        <v>-177.15440000000001</v>
      </c>
      <c r="K6387">
        <v>1.1010799999999901</v>
      </c>
      <c r="L6387">
        <v>134.93950000000001</v>
      </c>
      <c r="M6387">
        <v>0.77080389999999999</v>
      </c>
      <c r="N6387">
        <v>-1.7585469999999999E-2</v>
      </c>
      <c r="O6387">
        <v>0.63682969999999905</v>
      </c>
      <c r="P6387">
        <v>0.83699269999999903</v>
      </c>
      <c r="Q6387">
        <v>0.16381960000000001</v>
      </c>
      <c r="R6387">
        <v>0.52211739999999995</v>
      </c>
      <c r="S6387">
        <v>3.0795590000000002</v>
      </c>
      <c r="T6387">
        <v>-6.57084E-2</v>
      </c>
      <c r="U6387">
        <v>0.84762569999999904</v>
      </c>
      <c r="V6387">
        <v>0.13884260000000001</v>
      </c>
      <c r="W6387">
        <v>0.17474020000000001</v>
      </c>
      <c r="X6387">
        <v>0.97477619999999998</v>
      </c>
      <c r="Y6387">
        <v>0.40936359999999999</v>
      </c>
      <c r="Z6387">
        <v>-8.1973059999999997E-3</v>
      </c>
      <c r="AA6387">
        <v>0.91233450000000005</v>
      </c>
      <c r="AB6387">
        <v>41</v>
      </c>
      <c r="AC6387">
        <v>51.413600000000002</v>
      </c>
      <c r="AD6387">
        <v>-1.10108398389099</v>
      </c>
      <c r="AE6387">
        <v>14.043299999999901</v>
      </c>
      <c r="AF6387">
        <v>21.911115216415698</v>
      </c>
      <c r="AG6387">
        <v>-1.10108398389099</v>
      </c>
      <c r="AH6387">
        <v>48.559781192234198</v>
      </c>
      <c r="AI6387">
        <v>91.184032516007903</v>
      </c>
      <c r="AJ6387">
        <v>65.714180300219397</v>
      </c>
      <c r="AK6387">
        <v>53.285661349037298</v>
      </c>
      <c r="AL6387">
        <v>79.9364605169539</v>
      </c>
      <c r="AM6387">
        <v>81.893582033542202</v>
      </c>
      <c r="AN6387">
        <v>1.0000000225786101</v>
      </c>
    </row>
    <row r="6388" spans="1:40" x14ac:dyDescent="0.25">
      <c r="A6388" t="str">
        <f>"20190303171139152"</f>
        <v>20190303171139152</v>
      </c>
      <c r="B6388" t="str">
        <f>"1551604299146789"</f>
        <v>1551604299146789</v>
      </c>
      <c r="C6388" t="s">
        <v>40</v>
      </c>
      <c r="D6388">
        <v>5.0638889999999996</v>
      </c>
      <c r="E6388">
        <v>0.61930609999999997</v>
      </c>
      <c r="F6388" t="s">
        <v>42</v>
      </c>
      <c r="G6388">
        <v>-128.1353</v>
      </c>
      <c r="H6388" s="1">
        <v>-2.9828040000000002E-6</v>
      </c>
      <c r="I6388">
        <v>147.9331</v>
      </c>
      <c r="J6388">
        <v>-176.95089999999999</v>
      </c>
      <c r="K6388">
        <v>1.1010949999999999</v>
      </c>
      <c r="L6388">
        <v>135.10650000000001</v>
      </c>
      <c r="M6388">
        <v>0.77747049999999995</v>
      </c>
      <c r="N6388">
        <v>-1.7593709999999999E-2</v>
      </c>
      <c r="O6388">
        <v>0.62867320000000004</v>
      </c>
      <c r="P6388">
        <v>0.84229560000000003</v>
      </c>
      <c r="Q6388">
        <v>0.1642033</v>
      </c>
      <c r="R6388">
        <v>0.51339609999999902</v>
      </c>
      <c r="S6388">
        <v>3.0873719999999998</v>
      </c>
      <c r="T6388">
        <v>-6.9349530000000006E-2</v>
      </c>
      <c r="U6388">
        <v>0.81837459999999995</v>
      </c>
      <c r="V6388">
        <v>0.1386648</v>
      </c>
      <c r="W6388">
        <v>0.17514199999999999</v>
      </c>
      <c r="X6388">
        <v>0.97472939999999997</v>
      </c>
      <c r="Y6388">
        <v>0.40838530000000001</v>
      </c>
      <c r="Z6388">
        <v>-9.1131779999999996E-3</v>
      </c>
      <c r="AA6388">
        <v>0.91276409999999997</v>
      </c>
      <c r="AB6388">
        <v>41</v>
      </c>
      <c r="AC6388">
        <v>48.815599999999897</v>
      </c>
      <c r="AD6388">
        <v>-1.101097982804</v>
      </c>
      <c r="AE6388">
        <v>12.8265999999999</v>
      </c>
      <c r="AF6388">
        <v>20.710107847759499</v>
      </c>
      <c r="AG6388">
        <v>-1.101097982804</v>
      </c>
      <c r="AH6388">
        <v>46.001660842698598</v>
      </c>
      <c r="AI6388">
        <v>91.250346898700002</v>
      </c>
      <c r="AJ6388">
        <v>65.762560112045406</v>
      </c>
      <c r="AK6388">
        <v>50.460616168654099</v>
      </c>
      <c r="AL6388">
        <v>79.913078522078806</v>
      </c>
      <c r="AM6388">
        <v>81.903441714569595</v>
      </c>
      <c r="AN6388">
        <v>1.00000002507369</v>
      </c>
    </row>
    <row r="6389" spans="1:40" x14ac:dyDescent="0.25">
      <c r="A6389" t="str">
        <f>"20190303171139167"</f>
        <v>20190303171139167</v>
      </c>
      <c r="B6389" t="str">
        <f>"1551604299156548"</f>
        <v>1551604299156548</v>
      </c>
      <c r="C6389" t="s">
        <v>40</v>
      </c>
      <c r="D6389">
        <v>5.0801439999999998</v>
      </c>
      <c r="E6389">
        <v>0.61879689999999998</v>
      </c>
      <c r="F6389" t="s">
        <v>42</v>
      </c>
      <c r="G6389">
        <v>-128.6155</v>
      </c>
      <c r="H6389" s="1">
        <v>-2.684996E-6</v>
      </c>
      <c r="I6389">
        <v>147.54159999999999</v>
      </c>
      <c r="J6389">
        <v>-176.7492</v>
      </c>
      <c r="K6389">
        <v>1.101108</v>
      </c>
      <c r="L6389">
        <v>135.26820000000001</v>
      </c>
      <c r="M6389">
        <v>0.78394030000000003</v>
      </c>
      <c r="N6389">
        <v>-1.760132E-2</v>
      </c>
      <c r="O6389">
        <v>0.62058669999999905</v>
      </c>
      <c r="P6389">
        <v>0.84755809999999998</v>
      </c>
      <c r="Q6389">
        <v>0.16412280000000001</v>
      </c>
      <c r="R6389">
        <v>0.504687</v>
      </c>
      <c r="S6389">
        <v>3.0907589999999998</v>
      </c>
      <c r="T6389">
        <v>-7.0408579999999998E-2</v>
      </c>
      <c r="U6389">
        <v>0.79515080000000005</v>
      </c>
      <c r="V6389">
        <v>0.13861889999999999</v>
      </c>
      <c r="W6389">
        <v>0.1750739</v>
      </c>
      <c r="X6389">
        <v>0.97474810000000001</v>
      </c>
      <c r="Y6389">
        <v>0.40559410000000001</v>
      </c>
      <c r="Z6389">
        <v>-9.3564040000000005E-3</v>
      </c>
      <c r="AA6389">
        <v>0.91400539999999997</v>
      </c>
      <c r="AB6389">
        <v>41</v>
      </c>
      <c r="AC6389">
        <v>48.133699999999997</v>
      </c>
      <c r="AD6389">
        <v>-1.101110684996</v>
      </c>
      <c r="AE6389">
        <v>12.273399999999899</v>
      </c>
      <c r="AF6389">
        <v>20.242711460094998</v>
      </c>
      <c r="AG6389">
        <v>-1.101110684996</v>
      </c>
      <c r="AH6389">
        <v>45.335405067239002</v>
      </c>
      <c r="AI6389">
        <v>91.270480834142205</v>
      </c>
      <c r="AJ6389">
        <v>65.938760736024506</v>
      </c>
      <c r="AK6389">
        <v>49.661642790064001</v>
      </c>
      <c r="AL6389">
        <v>79.917040976637594</v>
      </c>
      <c r="AM6389">
        <v>81.906239489711595</v>
      </c>
      <c r="AN6389">
        <v>0.999999964176014</v>
      </c>
    </row>
    <row r="6390" spans="1:40" x14ac:dyDescent="0.25">
      <c r="A6390" t="str">
        <f>"20190303171139183"</f>
        <v>20190303171139183</v>
      </c>
      <c r="B6390" t="str">
        <f>"1551604299177046"</f>
        <v>1551604299177046</v>
      </c>
      <c r="C6390" t="s">
        <v>40</v>
      </c>
      <c r="D6390">
        <v>5.0660259999999999</v>
      </c>
      <c r="E6390">
        <v>0.61817469999999997</v>
      </c>
      <c r="F6390" t="s">
        <v>42</v>
      </c>
      <c r="G6390">
        <v>-128.12970000000001</v>
      </c>
      <c r="H6390" s="1">
        <v>-2.829303E-6</v>
      </c>
      <c r="I6390">
        <v>147.3006</v>
      </c>
      <c r="J6390">
        <v>-176.50280000000001</v>
      </c>
      <c r="K6390">
        <v>1.101127</v>
      </c>
      <c r="L6390">
        <v>135.4615</v>
      </c>
      <c r="M6390">
        <v>0.79168070000000001</v>
      </c>
      <c r="N6390">
        <v>-1.7610130000000002E-2</v>
      </c>
      <c r="O6390">
        <v>0.61068129999999998</v>
      </c>
      <c r="P6390">
        <v>0.853691599999999</v>
      </c>
      <c r="Q6390">
        <v>0.16371179999999999</v>
      </c>
      <c r="R6390">
        <v>0.49437789999999998</v>
      </c>
      <c r="S6390">
        <v>3.0968019999999998</v>
      </c>
      <c r="T6390">
        <v>-7.0134760000000004E-2</v>
      </c>
      <c r="U6390">
        <v>0.76640319999999995</v>
      </c>
      <c r="V6390">
        <v>0.13820170000000001</v>
      </c>
      <c r="W6390">
        <v>0.17469509999999999</v>
      </c>
      <c r="X6390">
        <v>0.9748753</v>
      </c>
      <c r="Y6390">
        <v>0.40250950000000002</v>
      </c>
      <c r="Z6390">
        <v>-9.2577349999999996E-3</v>
      </c>
      <c r="AA6390">
        <v>0.91536899999999999</v>
      </c>
      <c r="AB6390">
        <v>41</v>
      </c>
      <c r="AC6390">
        <v>48.373100000000001</v>
      </c>
      <c r="AD6390">
        <v>-1.1011298293030001</v>
      </c>
      <c r="AE6390">
        <v>11.8391</v>
      </c>
      <c r="AF6390">
        <v>20.161031171993098</v>
      </c>
      <c r="AG6390">
        <v>-1.1011298293030001</v>
      </c>
      <c r="AH6390">
        <v>45.510775842991997</v>
      </c>
      <c r="AI6390">
        <v>91.267261254859704</v>
      </c>
      <c r="AJ6390">
        <v>66.106912641178994</v>
      </c>
      <c r="AK6390">
        <v>49.788657168577302</v>
      </c>
      <c r="AL6390">
        <v>79.939084381017096</v>
      </c>
      <c r="AM6390">
        <v>81.931316916508493</v>
      </c>
      <c r="AN6390">
        <v>0.99999996919849399</v>
      </c>
    </row>
    <row r="6391" spans="1:40" x14ac:dyDescent="0.25">
      <c r="A6391" t="str">
        <f>"20190303171139194"</f>
        <v>20190303171139194</v>
      </c>
      <c r="B6391" t="str">
        <f>"1551604299186806"</f>
        <v>1551604299186806</v>
      </c>
      <c r="C6391" t="s">
        <v>40</v>
      </c>
      <c r="D6391">
        <v>5.0861989999999997</v>
      </c>
      <c r="E6391">
        <v>0.61043340000000001</v>
      </c>
      <c r="F6391" t="s">
        <v>42</v>
      </c>
      <c r="G6391">
        <v>-128.0445</v>
      </c>
      <c r="H6391" s="1">
        <v>-2.757444E-6</v>
      </c>
      <c r="I6391">
        <v>146.89320000000001</v>
      </c>
      <c r="J6391">
        <v>-176.32079999999999</v>
      </c>
      <c r="K6391">
        <v>1.1011329999999999</v>
      </c>
      <c r="L6391">
        <v>135.60169999999999</v>
      </c>
      <c r="M6391">
        <v>0.79728500000000002</v>
      </c>
      <c r="N6391">
        <v>-1.7616360000000001E-2</v>
      </c>
      <c r="O6391">
        <v>0.60334600000000005</v>
      </c>
      <c r="P6391">
        <v>0.8579985</v>
      </c>
      <c r="Q6391">
        <v>0.16359290000000001</v>
      </c>
      <c r="R6391">
        <v>0.48690459999999902</v>
      </c>
      <c r="S6391">
        <v>3.1036679999999999</v>
      </c>
      <c r="T6391">
        <v>-7.0525290000000004E-2</v>
      </c>
      <c r="U6391">
        <v>0.73217769999999904</v>
      </c>
      <c r="V6391">
        <v>0.13771800000000001</v>
      </c>
      <c r="W6391">
        <v>0.17460870000000001</v>
      </c>
      <c r="X6391">
        <v>0.97495929999999997</v>
      </c>
      <c r="Y6391">
        <v>0.40406540000000002</v>
      </c>
      <c r="Z6391">
        <v>-9.3993840000000002E-3</v>
      </c>
      <c r="AA6391">
        <v>0.91468190000000005</v>
      </c>
      <c r="AB6391">
        <v>41</v>
      </c>
      <c r="AC6391">
        <v>48.2762999999999</v>
      </c>
      <c r="AD6391">
        <v>-1.1011357574439999</v>
      </c>
      <c r="AE6391">
        <v>11.291499999999999</v>
      </c>
      <c r="AF6391">
        <v>20.117967797126401</v>
      </c>
      <c r="AG6391">
        <v>-1.1011357574439999</v>
      </c>
      <c r="AH6391">
        <v>45.287341264657996</v>
      </c>
      <c r="AI6391">
        <v>91.272935828959803</v>
      </c>
      <c r="AJ6391">
        <v>66.0478013095113</v>
      </c>
      <c r="AK6391">
        <v>49.567009260839399</v>
      </c>
      <c r="AL6391">
        <v>79.944112741004005</v>
      </c>
      <c r="AM6391">
        <v>81.959870708743395</v>
      </c>
      <c r="AN6391">
        <v>1.0000000411480801</v>
      </c>
    </row>
    <row r="6392" spans="1:40" x14ac:dyDescent="0.25">
      <c r="A6392" t="str">
        <f>"20190303171139207"</f>
        <v>20190303171139207</v>
      </c>
      <c r="B6392" t="str">
        <f>"1551604299196565"</f>
        <v>1551604299196565</v>
      </c>
      <c r="C6392" t="s">
        <v>40</v>
      </c>
      <c r="D6392">
        <v>5.1122509999999997</v>
      </c>
      <c r="E6392">
        <v>0.61034489999999997</v>
      </c>
      <c r="F6392" t="s">
        <v>42</v>
      </c>
      <c r="G6392">
        <v>-132.4273</v>
      </c>
      <c r="H6392" s="1">
        <v>-4.6579779999999999E-6</v>
      </c>
      <c r="I6392">
        <v>146.42619999999999</v>
      </c>
      <c r="J6392">
        <v>-176.15049999999999</v>
      </c>
      <c r="K6392">
        <v>1.10114</v>
      </c>
      <c r="L6392">
        <v>135.72899999999899</v>
      </c>
      <c r="M6392">
        <v>0.80242650000000004</v>
      </c>
      <c r="N6392">
        <v>-1.7621689999999999E-2</v>
      </c>
      <c r="O6392">
        <v>0.59649090000000005</v>
      </c>
      <c r="P6392">
        <v>0.86210779999999998</v>
      </c>
      <c r="Q6392">
        <v>0.1630694</v>
      </c>
      <c r="R6392">
        <v>0.47976940000000001</v>
      </c>
      <c r="S6392">
        <v>3.0801699999999999</v>
      </c>
      <c r="T6392">
        <v>-7.7270870000000005E-2</v>
      </c>
      <c r="U6392">
        <v>0.75959779999999999</v>
      </c>
      <c r="V6392">
        <v>0.13748239999999901</v>
      </c>
      <c r="W6392">
        <v>0.17410580000000001</v>
      </c>
      <c r="X6392">
        <v>0.97508249999999996</v>
      </c>
      <c r="Y6392">
        <v>0.38688280000000003</v>
      </c>
      <c r="Z6392">
        <v>-1.0796409999999999E-2</v>
      </c>
      <c r="AA6392">
        <v>0.92206569999999999</v>
      </c>
      <c r="AB6392">
        <v>41</v>
      </c>
      <c r="AC6392">
        <v>43.723199999999899</v>
      </c>
      <c r="AD6392">
        <v>-1.101144657978</v>
      </c>
      <c r="AE6392">
        <v>10.6972</v>
      </c>
      <c r="AF6392">
        <v>17.489023523109399</v>
      </c>
      <c r="AG6392">
        <v>-1.101144657978</v>
      </c>
      <c r="AH6392">
        <v>41.447068633161599</v>
      </c>
      <c r="AI6392">
        <v>91.402182359837497</v>
      </c>
      <c r="AJ6392">
        <v>67.122178972721898</v>
      </c>
      <c r="AK6392">
        <v>44.999310679516803</v>
      </c>
      <c r="AL6392">
        <v>79.973375213271794</v>
      </c>
      <c r="AM6392">
        <v>81.974446822246705</v>
      </c>
      <c r="AN6392">
        <v>1.0000000608548201</v>
      </c>
    </row>
    <row r="6393" spans="1:40" x14ac:dyDescent="0.25">
      <c r="A6393" t="str">
        <f>"20190303171139219"</f>
        <v>20190303171139219</v>
      </c>
      <c r="B6393" t="str">
        <f>"1551604299207301"</f>
        <v>1551604299207301</v>
      </c>
      <c r="C6393" t="s">
        <v>40</v>
      </c>
      <c r="D6393">
        <v>5.0836180000000004</v>
      </c>
      <c r="E6393">
        <v>0.60925189999999996</v>
      </c>
      <c r="F6393" t="s">
        <v>42</v>
      </c>
      <c r="G6393">
        <v>-135.4795</v>
      </c>
      <c r="H6393" s="1">
        <v>-3.4407430000000001E-6</v>
      </c>
      <c r="I6393">
        <v>145.4195</v>
      </c>
      <c r="J6393">
        <v>-175.95609999999999</v>
      </c>
      <c r="K6393">
        <v>1.1011420000000001</v>
      </c>
      <c r="L6393">
        <v>135.87270000000001</v>
      </c>
      <c r="M6393">
        <v>0.80820170000000002</v>
      </c>
      <c r="N6393">
        <v>-1.7627710000000001E-2</v>
      </c>
      <c r="O6393">
        <v>0.58864189999999905</v>
      </c>
      <c r="P6393">
        <v>0.86655059999999995</v>
      </c>
      <c r="Q6393">
        <v>0.1627836</v>
      </c>
      <c r="R6393">
        <v>0.4717961</v>
      </c>
      <c r="S6393">
        <v>3.086411</v>
      </c>
      <c r="T6393">
        <v>-8.3562609999999996E-2</v>
      </c>
      <c r="U6393">
        <v>0.73538210000000004</v>
      </c>
      <c r="V6393">
        <v>0.1369881</v>
      </c>
      <c r="W6393">
        <v>0.17385320000000001</v>
      </c>
      <c r="X6393">
        <v>0.97519710000000004</v>
      </c>
      <c r="Y6393">
        <v>0.38513259999999999</v>
      </c>
      <c r="Z6393">
        <v>-1.2242090000000001E-2</v>
      </c>
      <c r="AA6393">
        <v>0.92278000000000004</v>
      </c>
      <c r="AB6393">
        <v>41</v>
      </c>
      <c r="AC6393">
        <v>40.476599999999898</v>
      </c>
      <c r="AD6393">
        <v>-1.1011454407429999</v>
      </c>
      <c r="AE6393">
        <v>9.5467999999999904</v>
      </c>
      <c r="AF6393">
        <v>16.101697661147998</v>
      </c>
      <c r="AG6393">
        <v>-1.1011454407429999</v>
      </c>
      <c r="AH6393">
        <v>38.312000411351299</v>
      </c>
      <c r="AI6393">
        <v>91.517784925624795</v>
      </c>
      <c r="AJ6393">
        <v>67.204047226252101</v>
      </c>
      <c r="AK6393">
        <v>41.5726660724577</v>
      </c>
      <c r="AL6393">
        <v>79.988071947563</v>
      </c>
      <c r="AM6393">
        <v>82.003855313446493</v>
      </c>
      <c r="AN6393">
        <v>1.0000000292701201</v>
      </c>
    </row>
    <row r="6394" spans="1:40" x14ac:dyDescent="0.25">
      <c r="A6394" t="str">
        <f>"20190303171139234"</f>
        <v>20190303171139234</v>
      </c>
      <c r="B6394" t="str">
        <f>"1551604299226446"</f>
        <v>1551604299226446</v>
      </c>
      <c r="C6394" t="s">
        <v>40</v>
      </c>
      <c r="D6394">
        <v>5.1449639999999999</v>
      </c>
      <c r="E6394">
        <v>0.60813319999999904</v>
      </c>
      <c r="F6394" t="s">
        <v>42</v>
      </c>
      <c r="G6394">
        <v>-136.44489999999999</v>
      </c>
      <c r="H6394" s="1">
        <v>-2.9457640000000001E-6</v>
      </c>
      <c r="I6394">
        <v>145.02199999999999</v>
      </c>
      <c r="J6394">
        <v>-175.72749999999999</v>
      </c>
      <c r="K6394">
        <v>1.1011550000000001</v>
      </c>
      <c r="L6394">
        <v>136.0378</v>
      </c>
      <c r="M6394">
        <v>0.81485920000000001</v>
      </c>
      <c r="N6394">
        <v>-1.7634460000000001E-2</v>
      </c>
      <c r="O6394">
        <v>0.57939059999999998</v>
      </c>
      <c r="P6394">
        <v>0.87100109999999997</v>
      </c>
      <c r="Q6394">
        <v>0.16200320000000001</v>
      </c>
      <c r="R6394">
        <v>0.46380199999999999</v>
      </c>
      <c r="S6394">
        <v>3.0887600000000002</v>
      </c>
      <c r="T6394">
        <v>-8.6081149999999995E-2</v>
      </c>
      <c r="U6394">
        <v>0.71524049999999995</v>
      </c>
      <c r="V6394">
        <v>0.13488429999999901</v>
      </c>
      <c r="W6394">
        <v>0.1731868</v>
      </c>
      <c r="X6394">
        <v>0.97560880000000005</v>
      </c>
      <c r="Y6394">
        <v>0.38045800000000002</v>
      </c>
      <c r="Z6394">
        <v>-1.272538E-2</v>
      </c>
      <c r="AA6394">
        <v>0.92471060000000005</v>
      </c>
      <c r="AB6394">
        <v>41</v>
      </c>
      <c r="AC6394">
        <v>39.282600000000002</v>
      </c>
      <c r="AD6394">
        <v>-1.1011579457639999</v>
      </c>
      <c r="AE6394">
        <v>8.9842000000000102</v>
      </c>
      <c r="AF6394">
        <v>15.4299907847138</v>
      </c>
      <c r="AG6394">
        <v>-1.1011579457639999</v>
      </c>
      <c r="AH6394">
        <v>37.193164865784297</v>
      </c>
      <c r="AI6394">
        <v>91.566450876731594</v>
      </c>
      <c r="AJ6394">
        <v>67.468347967602099</v>
      </c>
      <c r="AK6394">
        <v>40.281865363601099</v>
      </c>
      <c r="AL6394">
        <v>80.026841550375195</v>
      </c>
      <c r="AM6394">
        <v>82.128385437536295</v>
      </c>
      <c r="AN6394">
        <v>0.99999998635908405</v>
      </c>
    </row>
    <row r="6395" spans="1:40" x14ac:dyDescent="0.25">
      <c r="A6395" t="str">
        <f>"20190303171139248"</f>
        <v>20190303171139248</v>
      </c>
      <c r="B6395" t="str">
        <f>"1551604299237165"</f>
        <v>1551604299237165</v>
      </c>
      <c r="C6395" t="s">
        <v>40</v>
      </c>
      <c r="D6395">
        <v>5.1428200000000004</v>
      </c>
      <c r="E6395">
        <v>0.60754759999999997</v>
      </c>
      <c r="F6395" t="s">
        <v>42</v>
      </c>
      <c r="G6395">
        <v>-138.58189999999999</v>
      </c>
      <c r="H6395" s="1">
        <v>-1.8590079999999999E-6</v>
      </c>
      <c r="I6395">
        <v>144.38299999999899</v>
      </c>
      <c r="J6395">
        <v>-175.53399999999999</v>
      </c>
      <c r="K6395">
        <v>1.1011660000000001</v>
      </c>
      <c r="L6395">
        <v>136.17339999999999</v>
      </c>
      <c r="M6395">
        <v>0.82037079999999996</v>
      </c>
      <c r="N6395">
        <v>-1.763984E-2</v>
      </c>
      <c r="O6395">
        <v>0.57155990000000001</v>
      </c>
      <c r="P6395">
        <v>0.87489249999999996</v>
      </c>
      <c r="Q6395">
        <v>0.1616889</v>
      </c>
      <c r="R6395">
        <v>0.45653050000000001</v>
      </c>
      <c r="S6395">
        <v>3.091507</v>
      </c>
      <c r="T6395">
        <v>-9.164572E-2</v>
      </c>
      <c r="U6395">
        <v>0.69454959999999999</v>
      </c>
      <c r="V6395">
        <v>0.13367989999999999</v>
      </c>
      <c r="W6395">
        <v>0.17293929999999999</v>
      </c>
      <c r="X6395">
        <v>0.97581850000000003</v>
      </c>
      <c r="Y6395">
        <v>0.37763360000000001</v>
      </c>
      <c r="Z6395">
        <v>-1.3937049999999999E-2</v>
      </c>
      <c r="AA6395">
        <v>0.92585019999999996</v>
      </c>
      <c r="AB6395">
        <v>41</v>
      </c>
      <c r="AC6395">
        <v>36.952100000000002</v>
      </c>
      <c r="AD6395">
        <v>-1.1011678590080001</v>
      </c>
      <c r="AE6395">
        <v>8.2095999999999894</v>
      </c>
      <c r="AF6395">
        <v>14.3754947087254</v>
      </c>
      <c r="AG6395">
        <v>-1.1011678590080001</v>
      </c>
      <c r="AH6395">
        <v>34.982542962580297</v>
      </c>
      <c r="AI6395">
        <v>91.667706813433</v>
      </c>
      <c r="AJ6395">
        <v>67.660603052531599</v>
      </c>
      <c r="AK6395">
        <v>37.8370946414109</v>
      </c>
      <c r="AL6395">
        <v>80.041239960055705</v>
      </c>
      <c r="AM6395">
        <v>82.1994586533297</v>
      </c>
      <c r="AN6395">
        <v>1.0000000310453701</v>
      </c>
    </row>
    <row r="6396" spans="1:40" x14ac:dyDescent="0.25">
      <c r="A6396" t="str">
        <f>"20190303171139261"</f>
        <v>20190303171139261</v>
      </c>
      <c r="B6396" t="str">
        <f>"1551604299246926"</f>
        <v>1551604299246926</v>
      </c>
      <c r="C6396" t="s">
        <v>40</v>
      </c>
      <c r="D6396">
        <v>5.1075089999999896</v>
      </c>
      <c r="E6396">
        <v>0.60709040000000003</v>
      </c>
      <c r="F6396" t="s">
        <v>42</v>
      </c>
      <c r="G6396">
        <v>-138.6</v>
      </c>
      <c r="H6396" s="1">
        <v>-1.8009429999999999E-6</v>
      </c>
      <c r="I6396">
        <v>144.19399999999999</v>
      </c>
      <c r="J6396">
        <v>-175.3339</v>
      </c>
      <c r="K6396">
        <v>1.1011850000000001</v>
      </c>
      <c r="L6396">
        <v>136.3116</v>
      </c>
      <c r="M6396">
        <v>0.82597169999999898</v>
      </c>
      <c r="N6396">
        <v>-1.7645379999999999E-2</v>
      </c>
      <c r="O6396">
        <v>0.56343549999999998</v>
      </c>
      <c r="P6396">
        <v>0.87880480000000005</v>
      </c>
      <c r="Q6396">
        <v>0.1613734</v>
      </c>
      <c r="R6396">
        <v>0.44906669999999999</v>
      </c>
      <c r="S6396">
        <v>3.0953059999999999</v>
      </c>
      <c r="T6396">
        <v>-9.2285039999999999E-2</v>
      </c>
      <c r="U6396">
        <v>0.67218020000000001</v>
      </c>
      <c r="V6396">
        <v>0.1323667</v>
      </c>
      <c r="W6396">
        <v>0.17269699999999999</v>
      </c>
      <c r="X6396">
        <v>0.97604040000000003</v>
      </c>
      <c r="Y6396">
        <v>0.37511470000000002</v>
      </c>
      <c r="Z6396">
        <v>-1.399355E-2</v>
      </c>
      <c r="AA6396">
        <v>0.92687280000000005</v>
      </c>
      <c r="AB6396">
        <v>41</v>
      </c>
      <c r="AC6396">
        <v>36.733899999999998</v>
      </c>
      <c r="AD6396">
        <v>-1.1011868009429999</v>
      </c>
      <c r="AE6396">
        <v>7.8823999999999899</v>
      </c>
      <c r="AF6396">
        <v>14.176572922526701</v>
      </c>
      <c r="AG6396">
        <v>-1.1011868009429999</v>
      </c>
      <c r="AH6396">
        <v>34.757938892381503</v>
      </c>
      <c r="AI6396">
        <v>91.6803115077401</v>
      </c>
      <c r="AJ6396">
        <v>67.811134881412301</v>
      </c>
      <c r="AK6396">
        <v>37.553989777982501</v>
      </c>
      <c r="AL6396">
        <v>80.055334788590699</v>
      </c>
      <c r="AM6396">
        <v>82.276892293727499</v>
      </c>
      <c r="AN6396">
        <v>1.00000002975502</v>
      </c>
    </row>
    <row r="6397" spans="1:40" x14ac:dyDescent="0.25">
      <c r="A6397" t="str">
        <f>"20190303171139276"</f>
        <v>20190303171139276</v>
      </c>
      <c r="B6397" t="str">
        <f>"1551604299266446"</f>
        <v>1551604299266446</v>
      </c>
      <c r="C6397" t="s">
        <v>40</v>
      </c>
      <c r="D6397">
        <v>5.2156200000000004</v>
      </c>
      <c r="E6397">
        <v>0.60656679999999996</v>
      </c>
      <c r="F6397" t="s">
        <v>42</v>
      </c>
      <c r="G6397">
        <v>-138.29650000000001</v>
      </c>
      <c r="H6397" s="1">
        <v>-1.8941809999999999E-6</v>
      </c>
      <c r="I6397">
        <v>144.05510000000001</v>
      </c>
      <c r="J6397">
        <v>-175.09880000000001</v>
      </c>
      <c r="K6397">
        <v>1.101207</v>
      </c>
      <c r="L6397">
        <v>136.47049999999999</v>
      </c>
      <c r="M6397">
        <v>0.83241949999999998</v>
      </c>
      <c r="N6397">
        <v>-1.7651779999999999E-2</v>
      </c>
      <c r="O6397">
        <v>0.55386499999999905</v>
      </c>
      <c r="P6397">
        <v>0.88355339999999905</v>
      </c>
      <c r="Q6397">
        <v>0.16157160000000001</v>
      </c>
      <c r="R6397">
        <v>0.439577</v>
      </c>
      <c r="S6397">
        <v>3.0995029999999999</v>
      </c>
      <c r="T6397">
        <v>-9.2153789999999999E-2</v>
      </c>
      <c r="U6397">
        <v>0.64802550000000003</v>
      </c>
      <c r="V6397">
        <v>0.13159509999999999</v>
      </c>
      <c r="W6397">
        <v>0.17294209999999999</v>
      </c>
      <c r="X6397">
        <v>0.97610129999999995</v>
      </c>
      <c r="Y6397">
        <v>0.37158639999999998</v>
      </c>
      <c r="Z6397">
        <v>-1.3839539999999999E-2</v>
      </c>
      <c r="AA6397">
        <v>0.92829530000000005</v>
      </c>
      <c r="AB6397">
        <v>41</v>
      </c>
      <c r="AC6397">
        <v>36.802300000000002</v>
      </c>
      <c r="AD6397">
        <v>-1.1012088941810001</v>
      </c>
      <c r="AE6397">
        <v>7.5846000000000204</v>
      </c>
      <c r="AF6397">
        <v>14.060052035357</v>
      </c>
      <c r="AG6397">
        <v>-1.1012088941810001</v>
      </c>
      <c r="AH6397">
        <v>34.811322556254297</v>
      </c>
      <c r="AI6397">
        <v>91.680092767145894</v>
      </c>
      <c r="AJ6397">
        <v>68.0065588170783</v>
      </c>
      <c r="AK6397">
        <v>37.559631286544302</v>
      </c>
      <c r="AL6397">
        <v>80.041076705706701</v>
      </c>
      <c r="AM6397">
        <v>82.3218469939698</v>
      </c>
      <c r="AN6397">
        <v>0.99999999407905404</v>
      </c>
    </row>
    <row r="6398" spans="1:40" x14ac:dyDescent="0.25">
      <c r="A6398" t="str">
        <f>"20190303171139290"</f>
        <v>20190303171139290</v>
      </c>
      <c r="B6398" t="str">
        <f>"1551604299277183"</f>
        <v>1551604299277183</v>
      </c>
      <c r="C6398" t="s">
        <v>40</v>
      </c>
      <c r="D6398">
        <v>5.2139179999999996</v>
      </c>
      <c r="E6398">
        <v>0.60926099999999905</v>
      </c>
      <c r="F6398" t="s">
        <v>42</v>
      </c>
      <c r="G6398">
        <v>-137.37620000000001</v>
      </c>
      <c r="H6398" s="1">
        <v>-2.2669249999999999E-6</v>
      </c>
      <c r="I6398">
        <v>143.97219999999999</v>
      </c>
      <c r="J6398">
        <v>-174.88030000000001</v>
      </c>
      <c r="K6398">
        <v>1.101227</v>
      </c>
      <c r="L6398">
        <v>136.61330000000001</v>
      </c>
      <c r="M6398">
        <v>0.83827299999999905</v>
      </c>
      <c r="N6398">
        <v>-1.7657590000000001E-2</v>
      </c>
      <c r="O6398">
        <v>0.54496469999999997</v>
      </c>
      <c r="P6398">
        <v>0.88782700000000003</v>
      </c>
      <c r="Q6398">
        <v>0.16195680000000001</v>
      </c>
      <c r="R6398">
        <v>0.4307359</v>
      </c>
      <c r="S6398">
        <v>3.104797</v>
      </c>
      <c r="T6398">
        <v>-9.0636129999999995E-2</v>
      </c>
      <c r="U6398">
        <v>0.61743159999999997</v>
      </c>
      <c r="V6398">
        <v>0.13091179999999999</v>
      </c>
      <c r="W6398">
        <v>0.1733691</v>
      </c>
      <c r="X6398">
        <v>0.97611740000000002</v>
      </c>
      <c r="Y6398">
        <v>0.37080370000000001</v>
      </c>
      <c r="Z6398">
        <v>-1.343871E-2</v>
      </c>
      <c r="AA6398">
        <v>0.92861400000000005</v>
      </c>
      <c r="AB6398">
        <v>41</v>
      </c>
      <c r="AC6398">
        <v>37.504100000000001</v>
      </c>
      <c r="AD6398">
        <v>-1.1012292669249999</v>
      </c>
      <c r="AE6398">
        <v>7.35889999999997</v>
      </c>
      <c r="AF6398">
        <v>14.2600300550758</v>
      </c>
      <c r="AG6398">
        <v>-1.1012292669249999</v>
      </c>
      <c r="AH6398">
        <v>35.425133367934798</v>
      </c>
      <c r="AI6398">
        <v>91.651803206401993</v>
      </c>
      <c r="AJ6398">
        <v>68.073246859063801</v>
      </c>
      <c r="AK6398">
        <v>38.203419182135598</v>
      </c>
      <c r="AL6398">
        <v>80.016235848814006</v>
      </c>
      <c r="AM6398">
        <v>82.361367909424501</v>
      </c>
      <c r="AN6398">
        <v>0.99999996139840397</v>
      </c>
    </row>
    <row r="6399" spans="1:40" x14ac:dyDescent="0.25">
      <c r="A6399" t="str">
        <f>"20190303171139303"</f>
        <v>20190303171139303</v>
      </c>
      <c r="B6399" t="str">
        <f>"1551604299296701"</f>
        <v>1551604299296701</v>
      </c>
      <c r="C6399" t="s">
        <v>40</v>
      </c>
      <c r="D6399">
        <v>5.1813919999999998</v>
      </c>
      <c r="E6399">
        <v>0.61267289999999996</v>
      </c>
      <c r="F6399" t="s">
        <v>42</v>
      </c>
      <c r="G6399">
        <v>-135.48349999999999</v>
      </c>
      <c r="H6399" s="1">
        <v>-3.022437E-6</v>
      </c>
      <c r="I6399">
        <v>143.76009999999999</v>
      </c>
      <c r="J6399">
        <v>-174.69149999999999</v>
      </c>
      <c r="K6399">
        <v>1.1012409999999999</v>
      </c>
      <c r="L6399">
        <v>136.7346</v>
      </c>
      <c r="M6399">
        <v>0.84324140000000003</v>
      </c>
      <c r="N6399">
        <v>-1.7662779999999999E-2</v>
      </c>
      <c r="O6399">
        <v>0.53724490000000003</v>
      </c>
      <c r="P6399">
        <v>0.89111249999999997</v>
      </c>
      <c r="Q6399">
        <v>0.1630172</v>
      </c>
      <c r="R6399">
        <v>0.42349019999999998</v>
      </c>
      <c r="S6399">
        <v>3.1203159999999999</v>
      </c>
      <c r="T6399">
        <v>-8.7219829999999998E-2</v>
      </c>
      <c r="U6399">
        <v>0.56603999999999999</v>
      </c>
      <c r="V6399">
        <v>0.1298387</v>
      </c>
      <c r="W6399">
        <v>0.17448759999999999</v>
      </c>
      <c r="X6399">
        <v>0.97606150000000003</v>
      </c>
      <c r="Y6399">
        <v>0.37792799999999999</v>
      </c>
      <c r="Z6399">
        <v>-1.275945E-2</v>
      </c>
      <c r="AA6399">
        <v>0.92574699999999999</v>
      </c>
      <c r="AB6399">
        <v>41</v>
      </c>
      <c r="AC6399">
        <v>39.207999999999998</v>
      </c>
      <c r="AD6399">
        <v>-1.1012440224369999</v>
      </c>
      <c r="AE6399">
        <v>7.0254999999999903</v>
      </c>
      <c r="AF6399">
        <v>15.130901602703201</v>
      </c>
      <c r="AG6399">
        <v>-1.1012440224369999</v>
      </c>
      <c r="AH6399">
        <v>36.813829360548397</v>
      </c>
      <c r="AI6399">
        <v>91.584857081468598</v>
      </c>
      <c r="AJ6399">
        <v>67.656781462767398</v>
      </c>
      <c r="AK6399">
        <v>39.817269543443203</v>
      </c>
      <c r="AL6399">
        <v>79.951159334728302</v>
      </c>
      <c r="AM6399">
        <v>82.4228234496656</v>
      </c>
      <c r="AN6399">
        <v>1.00000003117684</v>
      </c>
    </row>
    <row r="6400" spans="1:40" x14ac:dyDescent="0.25">
      <c r="A6400" t="str">
        <f>"20190303171139317"</f>
        <v>20190303171139317</v>
      </c>
      <c r="B6400" t="str">
        <f>"1551604299306462"</f>
        <v>1551604299306462</v>
      </c>
      <c r="C6400" t="s">
        <v>40</v>
      </c>
      <c r="D6400">
        <v>5.203589</v>
      </c>
      <c r="E6400">
        <v>0.61397729999999995</v>
      </c>
      <c r="F6400" t="s">
        <v>42</v>
      </c>
      <c r="G6400">
        <v>-131.43190000000001</v>
      </c>
      <c r="H6400" s="1">
        <v>-4.5380880000000003E-6</v>
      </c>
      <c r="I6400">
        <v>143.8407</v>
      </c>
      <c r="J6400">
        <v>-174.46369999999999</v>
      </c>
      <c r="K6400">
        <v>1.101261</v>
      </c>
      <c r="L6400">
        <v>136.87819999999999</v>
      </c>
      <c r="M6400">
        <v>0.84911979999999998</v>
      </c>
      <c r="N6400">
        <v>-1.7669270000000001E-2</v>
      </c>
      <c r="O6400">
        <v>0.52790490000000001</v>
      </c>
      <c r="P6400">
        <v>0.89535589999999998</v>
      </c>
      <c r="Q6400">
        <v>0.16287579999999999</v>
      </c>
      <c r="R6400">
        <v>0.41449900000000001</v>
      </c>
      <c r="S6400">
        <v>3.1363370000000002</v>
      </c>
      <c r="T6400">
        <v>-7.984078E-2</v>
      </c>
      <c r="U6400">
        <v>0.51519780000000004</v>
      </c>
      <c r="V6400">
        <v>0.12889039999999999</v>
      </c>
      <c r="W6400">
        <v>0.17440259999999999</v>
      </c>
      <c r="X6400">
        <v>0.97620240000000003</v>
      </c>
      <c r="Y6400">
        <v>0.38314350000000003</v>
      </c>
      <c r="Z6400">
        <v>-1.116908E-2</v>
      </c>
      <c r="AA6400">
        <v>0.92362129999999998</v>
      </c>
      <c r="AB6400">
        <v>41</v>
      </c>
      <c r="AC6400">
        <v>43.031799999999897</v>
      </c>
      <c r="AD6400">
        <v>-1.1012655380879901</v>
      </c>
      <c r="AE6400">
        <v>6.9625000000000004</v>
      </c>
      <c r="AF6400">
        <v>16.796603248362299</v>
      </c>
      <c r="AG6400">
        <v>-1.1012655380879901</v>
      </c>
      <c r="AH6400">
        <v>40.1953117340341</v>
      </c>
      <c r="AI6400">
        <v>91.4480989418268</v>
      </c>
      <c r="AJ6400">
        <v>67.321184789796206</v>
      </c>
      <c r="AK6400">
        <v>43.577537239550999</v>
      </c>
      <c r="AL6400">
        <v>79.956105645408101</v>
      </c>
      <c r="AM6400">
        <v>82.478601961842003</v>
      </c>
      <c r="AN6400">
        <v>1.0000000639323301</v>
      </c>
    </row>
    <row r="6401" spans="1:40" x14ac:dyDescent="0.25">
      <c r="A6401" t="str">
        <f>"20190303171139334"</f>
        <v>20190303171139334</v>
      </c>
      <c r="B6401" t="str">
        <f>"1551604299326949"</f>
        <v>1551604299326949</v>
      </c>
      <c r="C6401" t="s">
        <v>40</v>
      </c>
      <c r="D6401">
        <v>5.2355419999999997</v>
      </c>
      <c r="E6401">
        <v>0.61591049999999903</v>
      </c>
      <c r="F6401" t="s">
        <v>42</v>
      </c>
      <c r="G6401">
        <v>-130.7739</v>
      </c>
      <c r="H6401" s="1">
        <v>-4.6950020000000004E-6</v>
      </c>
      <c r="I6401">
        <v>143.46289999999999</v>
      </c>
      <c r="J6401">
        <v>-174.185</v>
      </c>
      <c r="K6401">
        <v>1.101278</v>
      </c>
      <c r="L6401">
        <v>137.04830000000001</v>
      </c>
      <c r="M6401">
        <v>0.85613269999999997</v>
      </c>
      <c r="N6401">
        <v>-1.767794E-2</v>
      </c>
      <c r="O6401">
        <v>0.51645359999999996</v>
      </c>
      <c r="P6401">
        <v>0.90046380000000004</v>
      </c>
      <c r="Q6401">
        <v>0.1629187</v>
      </c>
      <c r="R6401">
        <v>0.40326489999999998</v>
      </c>
      <c r="S6401">
        <v>3.1455989999999998</v>
      </c>
      <c r="T6401">
        <v>-7.9289440000000003E-2</v>
      </c>
      <c r="U6401">
        <v>0.47409059999999997</v>
      </c>
      <c r="V6401">
        <v>0.12798300000000001</v>
      </c>
      <c r="W6401">
        <v>0.17450209999999999</v>
      </c>
      <c r="X6401">
        <v>0.9763039</v>
      </c>
      <c r="Y6401">
        <v>0.38295499999999999</v>
      </c>
      <c r="Z6401">
        <v>-1.100276E-2</v>
      </c>
      <c r="AA6401">
        <v>0.92370149999999995</v>
      </c>
      <c r="AB6401">
        <v>40</v>
      </c>
      <c r="AC6401">
        <v>43.411099999999998</v>
      </c>
      <c r="AD6401">
        <v>-1.101282695002</v>
      </c>
      <c r="AE6401">
        <v>6.4145999999999699</v>
      </c>
      <c r="AF6401">
        <v>16.920058940135199</v>
      </c>
      <c r="AG6401">
        <v>-1.101282695002</v>
      </c>
      <c r="AH6401">
        <v>40.459349282187802</v>
      </c>
      <c r="AI6401">
        <v>91.438509093945797</v>
      </c>
      <c r="AJ6401">
        <v>67.305367712429103</v>
      </c>
      <c r="AK6401">
        <v>43.868669485750601</v>
      </c>
      <c r="AL6401">
        <v>79.950314961739707</v>
      </c>
      <c r="AM6401">
        <v>82.531721088585599</v>
      </c>
      <c r="AN6401">
        <v>0.99999996817430903</v>
      </c>
    </row>
    <row r="6402" spans="1:40" x14ac:dyDescent="0.25">
      <c r="A6402" t="str">
        <f>"20190303171139348"</f>
        <v>20190303171139348</v>
      </c>
      <c r="B6402" t="str">
        <f>"1551604299336694"</f>
        <v>1551604299336694</v>
      </c>
      <c r="C6402" t="s">
        <v>40</v>
      </c>
      <c r="D6402">
        <v>5.2432410000000003</v>
      </c>
      <c r="E6402">
        <v>0.61659529999999996</v>
      </c>
      <c r="F6402" t="s">
        <v>42</v>
      </c>
      <c r="G6402">
        <v>-129.97899999999899</v>
      </c>
      <c r="H6402" s="1">
        <v>-4.871345E-6</v>
      </c>
      <c r="I6402">
        <v>142.93219999999999</v>
      </c>
      <c r="J6402">
        <v>-173.97810000000001</v>
      </c>
      <c r="K6402">
        <v>1.1012980000000001</v>
      </c>
      <c r="L6402">
        <v>137.17070000000001</v>
      </c>
      <c r="M6402">
        <v>0.86121829999999999</v>
      </c>
      <c r="N6402">
        <v>-1.768511E-2</v>
      </c>
      <c r="O6402">
        <v>0.50792749999999998</v>
      </c>
      <c r="P6402">
        <v>0.90344939999999996</v>
      </c>
      <c r="Q6402">
        <v>0.16302659999999999</v>
      </c>
      <c r="R6402">
        <v>0.39648650000000002</v>
      </c>
      <c r="S6402">
        <v>3.1576230000000001</v>
      </c>
      <c r="T6402">
        <v>-7.8664300000000006E-2</v>
      </c>
      <c r="U6402">
        <v>0.4202881</v>
      </c>
      <c r="V6402">
        <v>0.1256119</v>
      </c>
      <c r="W6402">
        <v>0.17473449999999999</v>
      </c>
      <c r="X6402">
        <v>0.97657020000000005</v>
      </c>
      <c r="Y6402">
        <v>0.38972010000000001</v>
      </c>
      <c r="Z6402">
        <v>-1.0964669999999999E-2</v>
      </c>
      <c r="AA6402">
        <v>0.92086800000000002</v>
      </c>
      <c r="AB6402">
        <v>40</v>
      </c>
      <c r="AC6402">
        <v>43.999099999999999</v>
      </c>
      <c r="AD6402">
        <v>-1.1013028713449999</v>
      </c>
      <c r="AE6402">
        <v>5.7614999999999803</v>
      </c>
      <c r="AF6402">
        <v>17.378458406147299</v>
      </c>
      <c r="AG6402">
        <v>-1.1013028713449999</v>
      </c>
      <c r="AH6402">
        <v>40.800506979689303</v>
      </c>
      <c r="AI6402">
        <v>91.422564459972307</v>
      </c>
      <c r="AJ6402">
        <v>66.929035393868602</v>
      </c>
      <c r="AK6402">
        <v>44.361075893042802</v>
      </c>
      <c r="AL6402">
        <v>79.936791215956006</v>
      </c>
      <c r="AM6402">
        <v>82.670541651042598</v>
      </c>
      <c r="AN6402">
        <v>0.99999992521994696</v>
      </c>
    </row>
    <row r="6403" spans="1:40" x14ac:dyDescent="0.25">
      <c r="A6403" t="str">
        <f>"20190303171139366"</f>
        <v>20190303171139366</v>
      </c>
      <c r="B6403" t="str">
        <f>"1551604299357190"</f>
        <v>1551604299357190</v>
      </c>
      <c r="C6403" t="s">
        <v>40</v>
      </c>
      <c r="D6403">
        <v>5.2290380000000001</v>
      </c>
      <c r="E6403">
        <v>0.6177705</v>
      </c>
      <c r="F6403" t="s">
        <v>42</v>
      </c>
      <c r="G6403">
        <v>-128.7884</v>
      </c>
      <c r="H6403" s="1">
        <v>-1.3353909999999999E-6</v>
      </c>
      <c r="I6403">
        <v>142.74809999999999</v>
      </c>
      <c r="J6403">
        <v>-173.69839999999999</v>
      </c>
      <c r="K6403">
        <v>1.101324</v>
      </c>
      <c r="L6403">
        <v>137.3323</v>
      </c>
      <c r="M6403">
        <v>0.86793639999999905</v>
      </c>
      <c r="N6403">
        <v>-1.7695519999999999E-2</v>
      </c>
      <c r="O6403">
        <v>0.49636000000000002</v>
      </c>
      <c r="P6403">
        <v>0.90832919999999995</v>
      </c>
      <c r="Q6403">
        <v>0.16308619999999999</v>
      </c>
      <c r="R6403">
        <v>0.3851504</v>
      </c>
      <c r="S6403">
        <v>3.1631619999999998</v>
      </c>
      <c r="T6403">
        <v>-7.7088119999999996E-2</v>
      </c>
      <c r="U6403">
        <v>0.39041140000000002</v>
      </c>
      <c r="V6403">
        <v>0.124756199999999</v>
      </c>
      <c r="W6403">
        <v>0.17484910000000001</v>
      </c>
      <c r="X6403">
        <v>0.97665950000000001</v>
      </c>
      <c r="Y6403">
        <v>0.38617380000000001</v>
      </c>
      <c r="Z6403">
        <v>-1.052398E-2</v>
      </c>
      <c r="AA6403">
        <v>0.92236600000000002</v>
      </c>
      <c r="AB6403">
        <v>40</v>
      </c>
      <c r="AC6403">
        <v>44.91</v>
      </c>
      <c r="AD6403">
        <v>-1.101325335391</v>
      </c>
      <c r="AE6403">
        <v>5.4157999999999902</v>
      </c>
      <c r="AF6403">
        <v>17.583290073135501</v>
      </c>
      <c r="AG6403">
        <v>-1.101325335391</v>
      </c>
      <c r="AH6403">
        <v>41.649048248896896</v>
      </c>
      <c r="AI6403">
        <v>91.395505488009505</v>
      </c>
      <c r="AJ6403">
        <v>67.111624245348807</v>
      </c>
      <c r="AK6403">
        <v>45.2219883168503</v>
      </c>
      <c r="AL6403">
        <v>79.930123706367993</v>
      </c>
      <c r="AM6403">
        <v>82.720592807598905</v>
      </c>
      <c r="AN6403">
        <v>1.00000004807474</v>
      </c>
    </row>
    <row r="6404" spans="1:40" x14ac:dyDescent="0.25">
      <c r="A6404" t="str">
        <f>"20190303171139381"</f>
        <v>20190303171139381</v>
      </c>
      <c r="B6404" t="str">
        <f>"1551604299366950"</f>
        <v>1551604299366950</v>
      </c>
      <c r="C6404" t="s">
        <v>40</v>
      </c>
      <c r="D6404">
        <v>5.2454640000000001</v>
      </c>
      <c r="E6404">
        <v>0.61819729999999995</v>
      </c>
      <c r="F6404" t="s">
        <v>42</v>
      </c>
      <c r="G6404">
        <v>-128.0334</v>
      </c>
      <c r="H6404" s="1">
        <v>-1.525959E-6</v>
      </c>
      <c r="I6404">
        <v>142.24690000000001</v>
      </c>
      <c r="J6404">
        <v>-173.45179999999999</v>
      </c>
      <c r="K6404">
        <v>1.101348</v>
      </c>
      <c r="L6404">
        <v>137.4709</v>
      </c>
      <c r="M6404">
        <v>0.87370990000000004</v>
      </c>
      <c r="N6404">
        <v>-1.770534E-2</v>
      </c>
      <c r="O6404">
        <v>0.48612490000000003</v>
      </c>
      <c r="P6404">
        <v>0.91220330000000005</v>
      </c>
      <c r="Q6404">
        <v>0.16383210000000001</v>
      </c>
      <c r="R6404">
        <v>0.37555870000000002</v>
      </c>
      <c r="S6404">
        <v>3.1717529999999998</v>
      </c>
      <c r="T6404">
        <v>-7.6494690000000004E-2</v>
      </c>
      <c r="U6404">
        <v>0.3413544</v>
      </c>
      <c r="V6404">
        <v>0.12352920000000001</v>
      </c>
      <c r="W6404">
        <v>0.1756664</v>
      </c>
      <c r="X6404">
        <v>0.9766688</v>
      </c>
      <c r="Y6404">
        <v>0.38971319999999998</v>
      </c>
      <c r="Z6404">
        <v>-1.0438309999999999E-2</v>
      </c>
      <c r="AA6404">
        <v>0.92087719999999995</v>
      </c>
      <c r="AB6404">
        <v>40</v>
      </c>
      <c r="AC6404">
        <v>45.418399999999899</v>
      </c>
      <c r="AD6404">
        <v>-1.101349525959</v>
      </c>
      <c r="AE6404">
        <v>4.7760000000000096</v>
      </c>
      <c r="AF6404">
        <v>17.898575471332101</v>
      </c>
      <c r="AG6404">
        <v>-1.101349525959</v>
      </c>
      <c r="AH6404">
        <v>41.986407369353401</v>
      </c>
      <c r="AI6404">
        <v>91.382280668543402</v>
      </c>
      <c r="AJ6404">
        <v>66.911714059975793</v>
      </c>
      <c r="AK6404">
        <v>45.655562404449697</v>
      </c>
      <c r="AL6404">
        <v>79.882559678743306</v>
      </c>
      <c r="AM6404">
        <v>82.791498226678399</v>
      </c>
      <c r="AN6404">
        <v>1.00000004611751</v>
      </c>
    </row>
    <row r="6405" spans="1:40" x14ac:dyDescent="0.25">
      <c r="A6405" t="str">
        <f>"20190303171139400"</f>
        <v>20190303171139400</v>
      </c>
      <c r="B6405" t="str">
        <f>"1551604299386470"</f>
        <v>1551604299386470</v>
      </c>
      <c r="C6405" t="s">
        <v>40</v>
      </c>
      <c r="D6405">
        <v>5.2045139999999996</v>
      </c>
      <c r="E6405">
        <v>0.61883959999999905</v>
      </c>
      <c r="F6405" t="s">
        <v>42</v>
      </c>
      <c r="G6405">
        <v>-125.29640000000001</v>
      </c>
      <c r="H6405" s="1">
        <v>-2.6538879999999998E-6</v>
      </c>
      <c r="I6405">
        <v>142.07329999999999</v>
      </c>
      <c r="J6405">
        <v>-173.16669999999999</v>
      </c>
      <c r="K6405">
        <v>1.10137</v>
      </c>
      <c r="L6405">
        <v>137.62629999999999</v>
      </c>
      <c r="M6405">
        <v>0.88021099999999997</v>
      </c>
      <c r="N6405">
        <v>-1.7717380000000001E-2</v>
      </c>
      <c r="O6405">
        <v>0.4742517</v>
      </c>
      <c r="P6405">
        <v>0.91709220000000002</v>
      </c>
      <c r="Q6405">
        <v>0.1641589</v>
      </c>
      <c r="R6405">
        <v>0.3633093</v>
      </c>
      <c r="S6405">
        <v>3.1767880000000002</v>
      </c>
      <c r="T6405">
        <v>-7.265568E-2</v>
      </c>
      <c r="U6405">
        <v>0.30361939999999998</v>
      </c>
      <c r="V6405">
        <v>0.1233669</v>
      </c>
      <c r="W6405">
        <v>0.1760166</v>
      </c>
      <c r="X6405">
        <v>0.9766262</v>
      </c>
      <c r="Y6405">
        <v>0.38824449999999999</v>
      </c>
      <c r="Z6405">
        <v>-9.5946869999999993E-3</v>
      </c>
      <c r="AA6405">
        <v>0.92150650000000001</v>
      </c>
      <c r="AB6405">
        <v>40</v>
      </c>
      <c r="AC6405">
        <v>47.870299999999901</v>
      </c>
      <c r="AD6405">
        <v>-1.101372653888</v>
      </c>
      <c r="AE6405">
        <v>4.4470000000000001</v>
      </c>
      <c r="AF6405">
        <v>18.781365841804298</v>
      </c>
      <c r="AG6405">
        <v>-1.101372653888</v>
      </c>
      <c r="AH6405">
        <v>44.228696490553901</v>
      </c>
      <c r="AI6405">
        <v>91.313036189387503</v>
      </c>
      <c r="AJ6405">
        <v>66.991879916668296</v>
      </c>
      <c r="AK6405">
        <v>48.0638150572752</v>
      </c>
      <c r="AL6405">
        <v>79.862176480320699</v>
      </c>
      <c r="AM6405">
        <v>82.800559024343698</v>
      </c>
      <c r="AN6405">
        <v>0.99999998500880405</v>
      </c>
    </row>
    <row r="6406" spans="1:40" x14ac:dyDescent="0.25">
      <c r="A6406" t="str">
        <f>"20190303171139414"</f>
        <v>20190303171139414</v>
      </c>
      <c r="B6406" t="str">
        <f>"1551604299406966"</f>
        <v>1551604299406966</v>
      </c>
      <c r="C6406" t="s">
        <v>40</v>
      </c>
      <c r="D6406">
        <v>5.2251430000000001</v>
      </c>
      <c r="E6406">
        <v>0.61912919999999905</v>
      </c>
      <c r="F6406" t="s">
        <v>42</v>
      </c>
      <c r="G6406">
        <v>-123.9413</v>
      </c>
      <c r="H6406" s="1">
        <v>-3.1065650000000001E-6</v>
      </c>
      <c r="I6406">
        <v>141.5898</v>
      </c>
      <c r="J6406">
        <v>-172.91079999999999</v>
      </c>
      <c r="K6406">
        <v>1.101389</v>
      </c>
      <c r="L6406">
        <v>137.76140000000001</v>
      </c>
      <c r="M6406">
        <v>0.88588849999999997</v>
      </c>
      <c r="N6406">
        <v>-1.7728810000000001E-2</v>
      </c>
      <c r="O6406">
        <v>0.46355940000000001</v>
      </c>
      <c r="P6406">
        <v>0.92142299999999999</v>
      </c>
      <c r="Q6406">
        <v>0.16458929999999999</v>
      </c>
      <c r="R6406">
        <v>0.35198040000000003</v>
      </c>
      <c r="S6406">
        <v>3.1824490000000001</v>
      </c>
      <c r="T6406">
        <v>-7.1204420000000004E-2</v>
      </c>
      <c r="U6406">
        <v>0.25624079999999999</v>
      </c>
      <c r="V6406">
        <v>0.123556399999999</v>
      </c>
      <c r="W6406">
        <v>0.1764512</v>
      </c>
      <c r="X6406">
        <v>0.97652380000000005</v>
      </c>
      <c r="Y6406">
        <v>0.39085829999999999</v>
      </c>
      <c r="Z6406">
        <v>-9.3375309999999996E-3</v>
      </c>
      <c r="AA6406">
        <v>0.92040350000000004</v>
      </c>
      <c r="AB6406">
        <v>40</v>
      </c>
      <c r="AC6406">
        <v>48.969499999999996</v>
      </c>
      <c r="AD6406">
        <v>-1.1013921065650001</v>
      </c>
      <c r="AE6406">
        <v>3.8283999999999798</v>
      </c>
      <c r="AF6406">
        <v>19.302066210974601</v>
      </c>
      <c r="AG6406">
        <v>-1.1013921065650001</v>
      </c>
      <c r="AH6406">
        <v>45.140608283175403</v>
      </c>
      <c r="AI6406">
        <v>91.285171891666494</v>
      </c>
      <c r="AJ6406">
        <v>66.848510195029206</v>
      </c>
      <c r="AK6406">
        <v>49.106591622309999</v>
      </c>
      <c r="AL6406">
        <v>79.836879654081599</v>
      </c>
      <c r="AM6406">
        <v>82.788868357453296</v>
      </c>
      <c r="AN6406">
        <v>0.99999997096441895</v>
      </c>
    </row>
    <row r="6407" spans="1:40" x14ac:dyDescent="0.25">
      <c r="A6407" t="str">
        <f>"20190303171139427"</f>
        <v>20190303171139427</v>
      </c>
      <c r="B6407" t="str">
        <f>"1551604299416730"</f>
        <v>1551604299416730</v>
      </c>
      <c r="C6407" t="s">
        <v>40</v>
      </c>
      <c r="D6407">
        <v>5.247973</v>
      </c>
      <c r="E6407">
        <v>0.61920129999999995</v>
      </c>
      <c r="F6407" t="s">
        <v>42</v>
      </c>
      <c r="G6407">
        <v>-123.52930000000001</v>
      </c>
      <c r="H6407" s="1">
        <v>-3.1519560000000001E-6</v>
      </c>
      <c r="I6407">
        <v>141.096</v>
      </c>
      <c r="J6407">
        <v>-172.71559999999999</v>
      </c>
      <c r="K6407">
        <v>1.101405</v>
      </c>
      <c r="L6407">
        <v>137.86109999999999</v>
      </c>
      <c r="M6407">
        <v>0.890119199999999</v>
      </c>
      <c r="N6407">
        <v>-1.773781E-2</v>
      </c>
      <c r="O6407">
        <v>0.45538250000000002</v>
      </c>
      <c r="P6407">
        <v>0.92457889999999998</v>
      </c>
      <c r="Q6407">
        <v>0.16497300000000001</v>
      </c>
      <c r="R6407">
        <v>0.34342080000000003</v>
      </c>
      <c r="S6407">
        <v>3.18634</v>
      </c>
      <c r="T6407">
        <v>-7.1067210000000006E-2</v>
      </c>
      <c r="U6407">
        <v>0.2151642</v>
      </c>
      <c r="V6407">
        <v>0.1236032</v>
      </c>
      <c r="W6407">
        <v>0.1768441</v>
      </c>
      <c r="X6407">
        <v>0.97644679999999995</v>
      </c>
      <c r="Y6407">
        <v>0.39426990000000001</v>
      </c>
      <c r="Z6407">
        <v>-9.3698710000000001E-3</v>
      </c>
      <c r="AA6407">
        <v>0.91894699999999996</v>
      </c>
      <c r="AB6407">
        <v>40</v>
      </c>
      <c r="AC6407">
        <v>49.186299999999903</v>
      </c>
      <c r="AD6407">
        <v>-1.1014081519559999</v>
      </c>
      <c r="AE6407">
        <v>3.2349000000000099</v>
      </c>
      <c r="AF6407">
        <v>19.512462682129499</v>
      </c>
      <c r="AG6407">
        <v>-1.1014081519559999</v>
      </c>
      <c r="AH6407">
        <v>45.239320305697099</v>
      </c>
      <c r="AI6407">
        <v>91.280660363586307</v>
      </c>
      <c r="AJ6407">
        <v>66.668669116328999</v>
      </c>
      <c r="AK6407">
        <v>49.280273959873099</v>
      </c>
      <c r="AL6407">
        <v>79.814008462764207</v>
      </c>
      <c r="AM6407">
        <v>82.785602863943694</v>
      </c>
      <c r="AN6407">
        <v>0.99999996999264396</v>
      </c>
    </row>
    <row r="6408" spans="1:40" x14ac:dyDescent="0.25">
      <c r="A6408" t="str">
        <f>"20190303171139441"</f>
        <v>20190303171139441</v>
      </c>
      <c r="B6408" t="str">
        <f>"1551604299427018"</f>
        <v>1551604299427018</v>
      </c>
      <c r="C6408" t="s">
        <v>40</v>
      </c>
      <c r="D6408">
        <v>5.2423129999999896</v>
      </c>
      <c r="E6408">
        <v>0.61919859999999904</v>
      </c>
      <c r="F6408" t="s">
        <v>42</v>
      </c>
      <c r="G6408">
        <v>-122.62</v>
      </c>
      <c r="H6408" s="1">
        <v>-3.4541140000000001E-6</v>
      </c>
      <c r="I6408">
        <v>140.76570000000001</v>
      </c>
      <c r="J6408">
        <v>-172.48150000000001</v>
      </c>
      <c r="K6408">
        <v>1.1014250000000001</v>
      </c>
      <c r="L6408">
        <v>137.9785</v>
      </c>
      <c r="M6408">
        <v>0.89508509999999997</v>
      </c>
      <c r="N6408">
        <v>-1.774881E-2</v>
      </c>
      <c r="O6408">
        <v>0.44554189999999999</v>
      </c>
      <c r="P6408">
        <v>0.92820780000000003</v>
      </c>
      <c r="Q6408">
        <v>0.16501669999999999</v>
      </c>
      <c r="R6408">
        <v>0.3334664</v>
      </c>
      <c r="S6408">
        <v>3.1885379999999999</v>
      </c>
      <c r="T6408">
        <v>-7.0103650000000003E-2</v>
      </c>
      <c r="U6408">
        <v>0.1848755</v>
      </c>
      <c r="V6408">
        <v>0.1233245</v>
      </c>
      <c r="W6408">
        <v>0.17691399999999999</v>
      </c>
      <c r="X6408">
        <v>0.97646940000000004</v>
      </c>
      <c r="Y6408">
        <v>0.39288040000000002</v>
      </c>
      <c r="Z6408">
        <v>-9.1442520000000003E-3</v>
      </c>
      <c r="AA6408">
        <v>0.91954409999999998</v>
      </c>
      <c r="AB6408">
        <v>40</v>
      </c>
      <c r="AC6408">
        <v>49.861499999999999</v>
      </c>
      <c r="AD6408">
        <v>-1.101428454114</v>
      </c>
      <c r="AE6408">
        <v>2.7872000000000101</v>
      </c>
      <c r="AF6408">
        <v>19.714124078006101</v>
      </c>
      <c r="AG6408">
        <v>-1.101428454114</v>
      </c>
      <c r="AH6408">
        <v>45.857021903491301</v>
      </c>
      <c r="AI6408">
        <v>91.264086694330402</v>
      </c>
      <c r="AJ6408">
        <v>66.736930114996099</v>
      </c>
      <c r="AK6408">
        <v>49.9272099226447</v>
      </c>
      <c r="AL6408">
        <v>79.809939558894499</v>
      </c>
      <c r="AM6408">
        <v>82.801863890772097</v>
      </c>
      <c r="AN6408">
        <v>0.99999999241630499</v>
      </c>
    </row>
    <row r="6409" spans="1:40" x14ac:dyDescent="0.25">
      <c r="A6409" t="str">
        <f>"20190303171139455"</f>
        <v>20190303171139455</v>
      </c>
      <c r="B6409" t="str">
        <f>"1551604299447490"</f>
        <v>1551604299447490</v>
      </c>
      <c r="C6409" t="s">
        <v>40</v>
      </c>
      <c r="D6409">
        <v>5.2666029999999999</v>
      </c>
      <c r="E6409">
        <v>0.61895019999999901</v>
      </c>
      <c r="F6409" t="s">
        <v>42</v>
      </c>
      <c r="G6409">
        <v>-122.6233</v>
      </c>
      <c r="H6409" s="1">
        <v>-3.3364150000000001E-6</v>
      </c>
      <c r="I6409">
        <v>140.32859999999999</v>
      </c>
      <c r="J6409">
        <v>-172.24359999999999</v>
      </c>
      <c r="K6409">
        <v>1.1014429999999999</v>
      </c>
      <c r="L6409">
        <v>138.09469999999999</v>
      </c>
      <c r="M6409">
        <v>0.9000108</v>
      </c>
      <c r="N6409">
        <v>-1.7760160000000001E-2</v>
      </c>
      <c r="O6409">
        <v>0.43550559999999999</v>
      </c>
      <c r="P6409">
        <v>0.9317318</v>
      </c>
      <c r="Q6409">
        <v>0.1651552</v>
      </c>
      <c r="R6409">
        <v>0.32341910000000001</v>
      </c>
      <c r="S6409">
        <v>3.1905519999999998</v>
      </c>
      <c r="T6409">
        <v>-7.0483089999999998E-2</v>
      </c>
      <c r="U6409">
        <v>0.15039060000000001</v>
      </c>
      <c r="V6409">
        <v>0.1229461</v>
      </c>
      <c r="W6409">
        <v>0.177084299999999</v>
      </c>
      <c r="X6409">
        <v>0.97648630000000003</v>
      </c>
      <c r="Y6409">
        <v>0.39254119999999998</v>
      </c>
      <c r="Z6409">
        <v>-9.2051760000000007E-3</v>
      </c>
      <c r="AA6409">
        <v>0.91968830000000001</v>
      </c>
      <c r="AB6409">
        <v>40</v>
      </c>
      <c r="AC6409">
        <v>49.620299999999901</v>
      </c>
      <c r="AD6409">
        <v>-1.101446336415</v>
      </c>
      <c r="AE6409">
        <v>2.2339000000000002</v>
      </c>
      <c r="AF6409">
        <v>19.592841838272001</v>
      </c>
      <c r="AG6409">
        <v>-1.101446336415</v>
      </c>
      <c r="AH6409">
        <v>45.6164493406541</v>
      </c>
      <c r="AI6409">
        <v>91.270952111035996</v>
      </c>
      <c r="AJ6409">
        <v>66.755865355557205</v>
      </c>
      <c r="AK6409">
        <v>49.658363704214104</v>
      </c>
      <c r="AL6409">
        <v>79.800026081503503</v>
      </c>
      <c r="AM6409">
        <v>82.8238424271253</v>
      </c>
      <c r="AN6409">
        <v>1.0000000434496901</v>
      </c>
    </row>
    <row r="6410" spans="1:40" x14ac:dyDescent="0.25">
      <c r="A6410" t="str">
        <f>"20190303171139469"</f>
        <v>20190303171139469</v>
      </c>
      <c r="B6410" t="str">
        <f>"1551604299457250"</f>
        <v>1551604299457250</v>
      </c>
      <c r="C6410" t="s">
        <v>40</v>
      </c>
      <c r="D6410">
        <v>5.2275679999999998</v>
      </c>
      <c r="E6410">
        <v>0.61893989999999999</v>
      </c>
      <c r="F6410" t="s">
        <v>42</v>
      </c>
      <c r="G6410">
        <v>-123.4037</v>
      </c>
      <c r="H6410" s="1">
        <v>-2.8859510000000001E-6</v>
      </c>
      <c r="I6410">
        <v>139.8938</v>
      </c>
      <c r="J6410">
        <v>-172.02199999999999</v>
      </c>
      <c r="K6410">
        <v>1.101456</v>
      </c>
      <c r="L6410">
        <v>138.19890000000001</v>
      </c>
      <c r="M6410">
        <v>0.90448300000000004</v>
      </c>
      <c r="N6410">
        <v>-1.7770660000000001E-2</v>
      </c>
      <c r="O6410">
        <v>0.4261393</v>
      </c>
      <c r="P6410">
        <v>0.93496100000000004</v>
      </c>
      <c r="Q6410">
        <v>0.16488239999999901</v>
      </c>
      <c r="R6410">
        <v>0.31410490000000002</v>
      </c>
      <c r="S6410">
        <v>3.191757</v>
      </c>
      <c r="T6410">
        <v>-7.1980950000000002E-2</v>
      </c>
      <c r="U6410">
        <v>0.11756900000000001</v>
      </c>
      <c r="V6410">
        <v>0.1225581</v>
      </c>
      <c r="W6410">
        <v>0.176844</v>
      </c>
      <c r="X6410">
        <v>0.97657859999999996</v>
      </c>
      <c r="Y6410">
        <v>0.39244430000000002</v>
      </c>
      <c r="Z6410">
        <v>-9.4840480000000001E-3</v>
      </c>
      <c r="AA6410">
        <v>0.91972679999999996</v>
      </c>
      <c r="AB6410">
        <v>40</v>
      </c>
      <c r="AC6410">
        <v>48.618299999999998</v>
      </c>
      <c r="AD6410">
        <v>-1.1014588859509999</v>
      </c>
      <c r="AE6410">
        <v>1.6948999999999901</v>
      </c>
      <c r="AF6410">
        <v>19.178358616714299</v>
      </c>
      <c r="AG6410">
        <v>-1.1014588859509999</v>
      </c>
      <c r="AH6410">
        <v>44.6808435780843</v>
      </c>
      <c r="AI6410">
        <v>91.297704226610307</v>
      </c>
      <c r="AJ6410">
        <v>66.769538764563407</v>
      </c>
      <c r="AK6410">
        <v>48.635382529162598</v>
      </c>
      <c r="AL6410">
        <v>79.814014851351303</v>
      </c>
      <c r="AM6410">
        <v>82.846923462554699</v>
      </c>
      <c r="AN6410">
        <v>1.00000002509478</v>
      </c>
    </row>
    <row r="6411" spans="1:40" x14ac:dyDescent="0.25">
      <c r="A6411" t="str">
        <f>"20190303171139482"</f>
        <v>20190303171139482</v>
      </c>
      <c r="B6411" t="str">
        <f>"1551604299476771"</f>
        <v>1551604299476771</v>
      </c>
      <c r="C6411" t="s">
        <v>40</v>
      </c>
      <c r="D6411">
        <v>5.2428319999999999</v>
      </c>
      <c r="E6411">
        <v>0.61879410000000001</v>
      </c>
      <c r="F6411" t="s">
        <v>42</v>
      </c>
      <c r="G6411">
        <v>-123.9027</v>
      </c>
      <c r="H6411" s="1">
        <v>-2.6217989999999998E-6</v>
      </c>
      <c r="I6411">
        <v>139.48230000000001</v>
      </c>
      <c r="J6411">
        <v>-171.81270000000001</v>
      </c>
      <c r="K6411">
        <v>1.1014660000000001</v>
      </c>
      <c r="L6411">
        <v>138.2954</v>
      </c>
      <c r="M6411">
        <v>0.90861219999999998</v>
      </c>
      <c r="N6411">
        <v>-1.7780580000000001E-2</v>
      </c>
      <c r="O6411">
        <v>0.41726220000000003</v>
      </c>
      <c r="P6411">
        <v>0.93800729999999999</v>
      </c>
      <c r="Q6411">
        <v>0.16463539999999999</v>
      </c>
      <c r="R6411">
        <v>0.30502050000000003</v>
      </c>
      <c r="S6411">
        <v>3.192993</v>
      </c>
      <c r="T6411">
        <v>-7.3088050000000002E-2</v>
      </c>
      <c r="U6411">
        <v>8.5159299999999993E-2</v>
      </c>
      <c r="V6411">
        <v>0.122472499999999</v>
      </c>
      <c r="W6411">
        <v>0.1766131</v>
      </c>
      <c r="X6411">
        <v>0.97663109999999997</v>
      </c>
      <c r="Y6411">
        <v>0.39277210000000001</v>
      </c>
      <c r="Z6411">
        <v>-9.6884669999999992E-3</v>
      </c>
      <c r="AA6411">
        <v>0.91958479999999998</v>
      </c>
      <c r="AB6411">
        <v>40</v>
      </c>
      <c r="AC6411">
        <v>47.91</v>
      </c>
      <c r="AD6411">
        <v>-1.101468621799</v>
      </c>
      <c r="AE6411">
        <v>1.1869000000000001</v>
      </c>
      <c r="AF6411">
        <v>18.905603715276499</v>
      </c>
      <c r="AG6411">
        <v>-1.101468621799</v>
      </c>
      <c r="AH6411">
        <v>44.010571852420902</v>
      </c>
      <c r="AI6411">
        <v>91.317310574292705</v>
      </c>
      <c r="AJ6411">
        <v>66.753110444634203</v>
      </c>
      <c r="AK6411">
        <v>47.912060274433898</v>
      </c>
      <c r="AL6411">
        <v>79.827455787424896</v>
      </c>
      <c r="AM6411">
        <v>82.8522480721969</v>
      </c>
      <c r="AN6411">
        <v>1.00000000291753</v>
      </c>
    </row>
    <row r="6412" spans="1:40" x14ac:dyDescent="0.25">
      <c r="A6412" t="str">
        <f>"20190303171139495"</f>
        <v>20190303171139495</v>
      </c>
      <c r="B6412" t="str">
        <f>"1551604299487506"</f>
        <v>1551604299487506</v>
      </c>
      <c r="C6412" t="s">
        <v>40</v>
      </c>
      <c r="D6412">
        <v>5.2350329999999996</v>
      </c>
      <c r="E6412">
        <v>0.61860939999999998</v>
      </c>
      <c r="F6412" t="s">
        <v>42</v>
      </c>
      <c r="G6412">
        <v>-126.2901</v>
      </c>
      <c r="H6412" s="1">
        <v>-1.667748E-6</v>
      </c>
      <c r="I6412">
        <v>139.08680000000001</v>
      </c>
      <c r="J6412">
        <v>-171.58500000000001</v>
      </c>
      <c r="K6412">
        <v>1.101478</v>
      </c>
      <c r="L6412">
        <v>138.39789999999999</v>
      </c>
      <c r="M6412">
        <v>0.91299920000000001</v>
      </c>
      <c r="N6412">
        <v>-1.7791339999999999E-2</v>
      </c>
      <c r="O6412">
        <v>0.40757359999999998</v>
      </c>
      <c r="P6412">
        <v>0.94122220000000001</v>
      </c>
      <c r="Q6412">
        <v>0.1642284</v>
      </c>
      <c r="R6412">
        <v>0.2951781</v>
      </c>
      <c r="S6412">
        <v>3.1937869999999999</v>
      </c>
      <c r="T6412">
        <v>-7.7277059999999995E-2</v>
      </c>
      <c r="U6412">
        <v>5.5526730000000003E-2</v>
      </c>
      <c r="V6412">
        <v>0.1223214</v>
      </c>
      <c r="W6412">
        <v>0.1762273</v>
      </c>
      <c r="X6412">
        <v>0.97671969999999997</v>
      </c>
      <c r="Y6412">
        <v>0.39150509999999999</v>
      </c>
      <c r="Z6412">
        <v>-1.042447E-2</v>
      </c>
      <c r="AA6412">
        <v>0.92011690000000002</v>
      </c>
      <c r="AB6412">
        <v>40</v>
      </c>
      <c r="AC6412">
        <v>45.294899999999998</v>
      </c>
      <c r="AD6412">
        <v>-1.1014796677480001</v>
      </c>
      <c r="AE6412">
        <v>0.68890000000001705</v>
      </c>
      <c r="AF6412">
        <v>17.824322198760601</v>
      </c>
      <c r="AG6412">
        <v>-1.1014796677480001</v>
      </c>
      <c r="AH6412">
        <v>41.6169643618164</v>
      </c>
      <c r="AI6412">
        <v>91.3937042033306</v>
      </c>
      <c r="AJ6412">
        <v>66.814809458651695</v>
      </c>
      <c r="AK6412">
        <v>45.286768950725403</v>
      </c>
      <c r="AL6412">
        <v>79.849912495114694</v>
      </c>
      <c r="AM6412">
        <v>82.861616453790305</v>
      </c>
      <c r="AN6412">
        <v>0.99999997926566897</v>
      </c>
    </row>
    <row r="6413" spans="1:40" x14ac:dyDescent="0.25">
      <c r="A6413" t="str">
        <f>"20190303171139508"</f>
        <v>20190303171139508</v>
      </c>
      <c r="B6413" t="str">
        <f>"1551604299497265"</f>
        <v>1551604299497265</v>
      </c>
      <c r="C6413" t="s">
        <v>40</v>
      </c>
      <c r="D6413">
        <v>5.2820869999999998</v>
      </c>
      <c r="E6413">
        <v>0.6183843</v>
      </c>
      <c r="F6413" t="s">
        <v>42</v>
      </c>
      <c r="G6413">
        <v>-127.6354</v>
      </c>
      <c r="H6413" s="1">
        <v>-1.1548229999999999E-6</v>
      </c>
      <c r="I6413">
        <v>138.72499999999999</v>
      </c>
      <c r="J6413">
        <v>-171.37049999999999</v>
      </c>
      <c r="K6413">
        <v>1.1014889999999999</v>
      </c>
      <c r="L6413">
        <v>138.4907</v>
      </c>
      <c r="M6413">
        <v>0.91702680000000003</v>
      </c>
      <c r="N6413">
        <v>-1.7801089999999999E-2</v>
      </c>
      <c r="O6413">
        <v>0.39842820000000001</v>
      </c>
      <c r="P6413">
        <v>0.94414810000000005</v>
      </c>
      <c r="Q6413">
        <v>0.1637826</v>
      </c>
      <c r="R6413">
        <v>0.28593669999999999</v>
      </c>
      <c r="S6413">
        <v>3.1938629999999999</v>
      </c>
      <c r="T6413">
        <v>-8.0045459999999999E-2</v>
      </c>
      <c r="U6413">
        <v>2.377319E-2</v>
      </c>
      <c r="V6413">
        <v>0.1221424</v>
      </c>
      <c r="W6413">
        <v>0.17580209999999999</v>
      </c>
      <c r="X6413">
        <v>0.97681870000000004</v>
      </c>
      <c r="Y6413">
        <v>0.39144210000000002</v>
      </c>
      <c r="Z6413">
        <v>-1.0905710000000001E-2</v>
      </c>
      <c r="AA6413">
        <v>0.92013809999999996</v>
      </c>
      <c r="AB6413">
        <v>40</v>
      </c>
      <c r="AC6413">
        <v>43.735099999999903</v>
      </c>
      <c r="AD6413">
        <v>-1.1014901548229901</v>
      </c>
      <c r="AE6413">
        <v>0.23429999999998999</v>
      </c>
      <c r="AF6413">
        <v>17.2022534886922</v>
      </c>
      <c r="AG6413">
        <v>-1.1014901548229901</v>
      </c>
      <c r="AH6413">
        <v>40.180493887658301</v>
      </c>
      <c r="AI6413">
        <v>91.443611601920395</v>
      </c>
      <c r="AJ6413">
        <v>66.823047030665705</v>
      </c>
      <c r="AK6413">
        <v>43.721881189017303</v>
      </c>
      <c r="AL6413">
        <v>79.874660834188106</v>
      </c>
      <c r="AM6413">
        <v>82.872669929295199</v>
      </c>
      <c r="AN6413">
        <v>0.99999995845592904</v>
      </c>
    </row>
    <row r="6414" spans="1:40" x14ac:dyDescent="0.25">
      <c r="A6414" t="str">
        <f>"20190303171139525"</f>
        <v>20190303171139525</v>
      </c>
      <c r="B6414" t="str">
        <f>"1551604299516786"</f>
        <v>1551604299516786</v>
      </c>
      <c r="C6414" t="s">
        <v>40</v>
      </c>
      <c r="D6414">
        <v>5.2460930000000001</v>
      </c>
      <c r="E6414">
        <v>0.6179386</v>
      </c>
      <c r="F6414" t="s">
        <v>42</v>
      </c>
      <c r="G6414">
        <v>-128.7903</v>
      </c>
      <c r="H6414" s="1">
        <v>-7.1697459999999995E-7</v>
      </c>
      <c r="I6414">
        <v>138.41640000000001</v>
      </c>
      <c r="J6414">
        <v>-171.0968</v>
      </c>
      <c r="K6414">
        <v>1.1015079999999999</v>
      </c>
      <c r="L6414">
        <v>138.6061</v>
      </c>
      <c r="M6414">
        <v>0.9220256</v>
      </c>
      <c r="N6414">
        <v>-1.7813209999999999E-2</v>
      </c>
      <c r="O6414">
        <v>0.38671889999999998</v>
      </c>
      <c r="P6414">
        <v>0.94746520000000001</v>
      </c>
      <c r="Q6414">
        <v>0.16445899999999999</v>
      </c>
      <c r="R6414">
        <v>0.27434109999999901</v>
      </c>
      <c r="S6414">
        <v>3.1934809999999998</v>
      </c>
      <c r="T6414">
        <v>-8.261085E-2</v>
      </c>
      <c r="U6414">
        <v>-5.5694580000000002E-3</v>
      </c>
      <c r="V6414">
        <v>0.1216604</v>
      </c>
      <c r="W6414">
        <v>0.17651459999999999</v>
      </c>
      <c r="X6414">
        <v>0.97675040000000002</v>
      </c>
      <c r="Y6414">
        <v>0.38816499999999998</v>
      </c>
      <c r="Z6414">
        <v>-1.125106E-2</v>
      </c>
      <c r="AA6414">
        <v>0.92152120000000004</v>
      </c>
      <c r="AB6414">
        <v>40</v>
      </c>
      <c r="AC6414">
        <v>42.3065</v>
      </c>
      <c r="AD6414">
        <v>-1.1015087169745901</v>
      </c>
      <c r="AE6414">
        <v>-0.18969999999998699</v>
      </c>
      <c r="AF6414">
        <v>16.5270519189149</v>
      </c>
      <c r="AG6414">
        <v>-1.1015087169745901</v>
      </c>
      <c r="AH6414">
        <v>38.914114477061098</v>
      </c>
      <c r="AI6414">
        <v>91.492434120923605</v>
      </c>
      <c r="AJ6414">
        <v>66.988784797862493</v>
      </c>
      <c r="AK6414">
        <v>42.2926125005053</v>
      </c>
      <c r="AL6414">
        <v>79.833189477362396</v>
      </c>
      <c r="AM6414">
        <v>82.900016959476702</v>
      </c>
      <c r="AN6414">
        <v>1.0000000004207299</v>
      </c>
    </row>
    <row r="6415" spans="1:40" x14ac:dyDescent="0.25">
      <c r="A6415" t="str">
        <f>"20190303171139539"</f>
        <v>20190303171139539</v>
      </c>
      <c r="B6415" t="str">
        <f>"1551604299526546"</f>
        <v>1551604299526546</v>
      </c>
      <c r="C6415" t="s">
        <v>40</v>
      </c>
      <c r="D6415">
        <v>5.2689339999999998</v>
      </c>
      <c r="E6415">
        <v>0.6179386</v>
      </c>
      <c r="F6415" t="s">
        <v>42</v>
      </c>
      <c r="G6415">
        <v>-129.27950000000001</v>
      </c>
      <c r="H6415" s="1">
        <v>-6.4182069999999996E-7</v>
      </c>
      <c r="I6415">
        <v>138.07320000000001</v>
      </c>
      <c r="J6415">
        <v>-170.87309999999999</v>
      </c>
      <c r="K6415">
        <v>1.1015219999999999</v>
      </c>
      <c r="L6415">
        <v>138.6978</v>
      </c>
      <c r="M6415">
        <v>0.92599609999999999</v>
      </c>
      <c r="N6415">
        <v>-1.782276E-2</v>
      </c>
      <c r="O6415">
        <v>0.37711230000000001</v>
      </c>
      <c r="P6415">
        <v>0.95010839999999996</v>
      </c>
      <c r="Q6415">
        <v>0.16512859999999999</v>
      </c>
      <c r="R6415">
        <v>0.26462529999999901</v>
      </c>
      <c r="S6415">
        <v>3.1927340000000002</v>
      </c>
      <c r="T6415">
        <v>-8.4099530000000006E-2</v>
      </c>
      <c r="U6415">
        <v>-4.0679930000000003E-2</v>
      </c>
      <c r="V6415">
        <v>0.1214915</v>
      </c>
      <c r="W6415">
        <v>0.1772012</v>
      </c>
      <c r="X6415">
        <v>0.97664709999999999</v>
      </c>
      <c r="Y6415">
        <v>0.38870969999999999</v>
      </c>
      <c r="Z6415">
        <v>-1.148478E-2</v>
      </c>
      <c r="AA6415">
        <v>0.92128869999999896</v>
      </c>
      <c r="AB6415">
        <v>40</v>
      </c>
      <c r="AC6415">
        <v>41.593599999999903</v>
      </c>
      <c r="AD6415">
        <v>-1.10152264182069</v>
      </c>
      <c r="AE6415">
        <v>-0.62459999999998606</v>
      </c>
      <c r="AF6415">
        <v>16.2550202539969</v>
      </c>
      <c r="AG6415">
        <v>-1.10152264182069</v>
      </c>
      <c r="AH6415">
        <v>38.259219129373101</v>
      </c>
      <c r="AI6415">
        <v>91.517900784698696</v>
      </c>
      <c r="AJ6415">
        <v>66.981038149114596</v>
      </c>
      <c r="AK6415">
        <v>41.5837334059567</v>
      </c>
      <c r="AL6415">
        <v>79.793220169231802</v>
      </c>
      <c r="AM6415">
        <v>82.909031110672899</v>
      </c>
      <c r="AN6415">
        <v>1.0000000038960499</v>
      </c>
    </row>
    <row r="6416" spans="1:40" x14ac:dyDescent="0.25">
      <c r="A6416" t="str">
        <f>"20190303171139555"</f>
        <v>20190303171139555</v>
      </c>
      <c r="B6416" t="str">
        <f>"1551604299547041"</f>
        <v>1551604299547041</v>
      </c>
      <c r="C6416" t="s">
        <v>40</v>
      </c>
      <c r="D6416">
        <v>5.2877070000000002</v>
      </c>
      <c r="E6416">
        <v>0.60345150000000003</v>
      </c>
      <c r="F6416" t="s">
        <v>42</v>
      </c>
      <c r="G6416">
        <v>-128.3623</v>
      </c>
      <c r="H6416" s="1">
        <v>-1.045776E-6</v>
      </c>
      <c r="I6416">
        <v>137.72810000000001</v>
      </c>
      <c r="J6416">
        <v>-170.5883</v>
      </c>
      <c r="K6416">
        <v>1.1015349999999999</v>
      </c>
      <c r="L6416">
        <v>138.81020000000001</v>
      </c>
      <c r="M6416">
        <v>0.93089509999999998</v>
      </c>
      <c r="N6416">
        <v>-1.7834039999999999E-2</v>
      </c>
      <c r="O6416">
        <v>0.36485099999999998</v>
      </c>
      <c r="P6416">
        <v>0.95348630000000001</v>
      </c>
      <c r="Q6416">
        <v>0.16557529999999901</v>
      </c>
      <c r="R6416">
        <v>0.25189060000000002</v>
      </c>
      <c r="S6416">
        <v>3.1921840000000001</v>
      </c>
      <c r="T6416">
        <v>-8.2714560000000006E-2</v>
      </c>
      <c r="U6416">
        <v>-7.2814939999999995E-2</v>
      </c>
      <c r="V6416">
        <v>0.1216502</v>
      </c>
      <c r="W6416">
        <v>0.17765259999999999</v>
      </c>
      <c r="X6416">
        <v>0.97654529999999995</v>
      </c>
      <c r="Y6416">
        <v>0.38582300000000003</v>
      </c>
      <c r="Z6416">
        <v>-1.111587E-2</v>
      </c>
      <c r="AA6416">
        <v>0.92250589999999999</v>
      </c>
      <c r="AB6416">
        <v>40</v>
      </c>
      <c r="AC6416">
        <v>42.225999999999999</v>
      </c>
      <c r="AD6416">
        <v>-1.101536045776</v>
      </c>
      <c r="AE6416">
        <v>-1.0820999999999901</v>
      </c>
      <c r="AF6416">
        <v>16.404974283207501</v>
      </c>
      <c r="AG6416">
        <v>-1.101536045776</v>
      </c>
      <c r="AH6416">
        <v>38.8929112456346</v>
      </c>
      <c r="AI6416">
        <v>91.494842856947798</v>
      </c>
      <c r="AJ6416">
        <v>67.130052474463199</v>
      </c>
      <c r="AK6416">
        <v>42.225526735064598</v>
      </c>
      <c r="AL6416">
        <v>79.766939542320301</v>
      </c>
      <c r="AM6416">
        <v>82.899130308820304</v>
      </c>
      <c r="AN6416">
        <v>0.99999997019944398</v>
      </c>
    </row>
    <row r="6417" spans="1:40" x14ac:dyDescent="0.25">
      <c r="A6417" t="str">
        <f>"20190303171139574"</f>
        <v>20190303171139574</v>
      </c>
      <c r="B6417" t="str">
        <f>"1551604299567538"</f>
        <v>1551604299567538</v>
      </c>
      <c r="C6417" t="s">
        <v>40</v>
      </c>
      <c r="D6417">
        <v>5.2643829999999996</v>
      </c>
      <c r="E6417">
        <v>0.60234759999999998</v>
      </c>
      <c r="F6417" t="s">
        <v>42</v>
      </c>
      <c r="G6417">
        <v>-143.04060000000001</v>
      </c>
      <c r="H6417" s="1">
        <v>-3.111662E-6</v>
      </c>
      <c r="I6417">
        <v>138.80549999999999</v>
      </c>
      <c r="J6417">
        <v>-170.28399999999999</v>
      </c>
      <c r="K6417">
        <v>1.101548</v>
      </c>
      <c r="L6417">
        <v>138.92509999999999</v>
      </c>
      <c r="M6417">
        <v>0.93594290000000002</v>
      </c>
      <c r="N6417">
        <v>-1.7845030000000001E-2</v>
      </c>
      <c r="O6417">
        <v>0.35169919999999999</v>
      </c>
      <c r="P6417">
        <v>0.95685679999999995</v>
      </c>
      <c r="Q6417">
        <v>0.16608399999999901</v>
      </c>
      <c r="R6417">
        <v>0.23841399999999999</v>
      </c>
      <c r="S6417">
        <v>3.168488</v>
      </c>
      <c r="T6417">
        <v>-0.1266967</v>
      </c>
      <c r="U6417">
        <v>-5.3405759999999999E-4</v>
      </c>
      <c r="V6417">
        <v>0.1216585</v>
      </c>
      <c r="W6417">
        <v>0.17817249999999901</v>
      </c>
      <c r="X6417">
        <v>0.97644949999999997</v>
      </c>
      <c r="Y6417">
        <v>0.35143400000000002</v>
      </c>
      <c r="Z6417">
        <v>-1.7608149999999999E-2</v>
      </c>
      <c r="AA6417">
        <v>0.93604710000000002</v>
      </c>
      <c r="AB6417">
        <v>40</v>
      </c>
      <c r="AC6417">
        <v>27.243400000000001</v>
      </c>
      <c r="AD6417">
        <v>-1.101551111662</v>
      </c>
      <c r="AE6417">
        <v>-0.11959999999999101</v>
      </c>
      <c r="AF6417">
        <v>9.6791411375010696</v>
      </c>
      <c r="AG6417">
        <v>-1.101551111662</v>
      </c>
      <c r="AH6417">
        <v>25.418703412456999</v>
      </c>
      <c r="AI6417">
        <v>92.319177270498699</v>
      </c>
      <c r="AJ6417">
        <v>69.153759451683499</v>
      </c>
      <c r="AK6417">
        <v>27.221492816921799</v>
      </c>
      <c r="AL6417">
        <v>79.736668095102004</v>
      </c>
      <c r="AM6417">
        <v>82.897961170948093</v>
      </c>
      <c r="AN6417">
        <v>0.999999928214372</v>
      </c>
    </row>
    <row r="6418" spans="1:40" x14ac:dyDescent="0.25">
      <c r="A6418" t="str">
        <f>"20190303171139590"</f>
        <v>20190303171139590</v>
      </c>
      <c r="B6418" t="str">
        <f>"1551604299577297"</f>
        <v>1551604299577297</v>
      </c>
      <c r="C6418" t="s">
        <v>40</v>
      </c>
      <c r="D6418">
        <v>5.2632050000000001</v>
      </c>
      <c r="E6418">
        <v>0.60190429999999995</v>
      </c>
      <c r="F6418" t="s">
        <v>42</v>
      </c>
      <c r="G6418">
        <v>-143.89189999999999</v>
      </c>
      <c r="H6418" s="1">
        <v>-2.7790949999999999E-6</v>
      </c>
      <c r="I6418">
        <v>138.6216</v>
      </c>
      <c r="J6418">
        <v>-170.00460000000001</v>
      </c>
      <c r="K6418">
        <v>1.1015600000000001</v>
      </c>
      <c r="L6418">
        <v>139.02610000000001</v>
      </c>
      <c r="M6418">
        <v>0.9404074</v>
      </c>
      <c r="N6418">
        <v>-1.7854140000000001E-2</v>
      </c>
      <c r="O6418">
        <v>0.33958090000000002</v>
      </c>
      <c r="P6418">
        <v>0.95969590000000005</v>
      </c>
      <c r="Q6418">
        <v>0.1671861</v>
      </c>
      <c r="R6418">
        <v>0.22590440000000001</v>
      </c>
      <c r="S6418">
        <v>3.1672820000000002</v>
      </c>
      <c r="T6418">
        <v>-0.13219549999999999</v>
      </c>
      <c r="U6418">
        <v>-3.6407469999999997E-2</v>
      </c>
      <c r="V6418">
        <v>0.1217753</v>
      </c>
      <c r="W6418">
        <v>0.17927689999999999</v>
      </c>
      <c r="X6418">
        <v>0.97623280000000001</v>
      </c>
      <c r="Y6418">
        <v>0.349904299999999</v>
      </c>
      <c r="Z6418">
        <v>-1.822963E-2</v>
      </c>
      <c r="AA6418">
        <v>0.93660810000000005</v>
      </c>
      <c r="AB6418">
        <v>40</v>
      </c>
      <c r="AC6418">
        <v>26.1127</v>
      </c>
      <c r="AD6418">
        <v>-1.101562779095</v>
      </c>
      <c r="AE6418">
        <v>-0.40450000000001202</v>
      </c>
      <c r="AF6418">
        <v>9.2328166071487505</v>
      </c>
      <c r="AG6418">
        <v>-1.101562779095</v>
      </c>
      <c r="AH6418">
        <v>24.3797333711349</v>
      </c>
      <c r="AI6418">
        <v>92.419589643092294</v>
      </c>
      <c r="AJ6418">
        <v>69.257888276717097</v>
      </c>
      <c r="AK6418">
        <v>26.092714352959899</v>
      </c>
      <c r="AL6418">
        <v>79.672355414226104</v>
      </c>
      <c r="AM6418">
        <v>82.889650653372101</v>
      </c>
      <c r="AN6418">
        <v>0.99999995517976903</v>
      </c>
    </row>
    <row r="6419" spans="1:40" x14ac:dyDescent="0.25">
      <c r="A6419" t="str">
        <f>"20190303171139606"</f>
        <v>20190303171139606</v>
      </c>
      <c r="B6419" t="str">
        <f>"1551604299596817"</f>
        <v>1551604299596817</v>
      </c>
      <c r="C6419" t="s">
        <v>40</v>
      </c>
      <c r="D6419">
        <v>5.267754</v>
      </c>
      <c r="E6419">
        <v>0.6006686</v>
      </c>
      <c r="F6419" t="s">
        <v>42</v>
      </c>
      <c r="G6419">
        <v>-143.16589999999999</v>
      </c>
      <c r="H6419" s="1">
        <v>-3.1289670000000002E-6</v>
      </c>
      <c r="I6419">
        <v>138.405</v>
      </c>
      <c r="J6419">
        <v>-169.73859999999999</v>
      </c>
      <c r="K6419">
        <v>1.101572</v>
      </c>
      <c r="L6419">
        <v>139.11850000000001</v>
      </c>
      <c r="M6419">
        <v>0.94450599999999996</v>
      </c>
      <c r="N6419">
        <v>-1.7862119999999999E-2</v>
      </c>
      <c r="O6419">
        <v>0.32800810000000002</v>
      </c>
      <c r="P6419">
        <v>0.96237810000000001</v>
      </c>
      <c r="Q6419">
        <v>0.1676116</v>
      </c>
      <c r="R6419">
        <v>0.21385699999999999</v>
      </c>
      <c r="S6419">
        <v>3.1658780000000002</v>
      </c>
      <c r="T6419">
        <v>-0.12993969999999999</v>
      </c>
      <c r="U6419">
        <v>-7.3257450000000002E-2</v>
      </c>
      <c r="V6419">
        <v>0.1220194</v>
      </c>
      <c r="W6419">
        <v>0.17969869999999999</v>
      </c>
      <c r="X6419">
        <v>0.97612480000000001</v>
      </c>
      <c r="Y6419">
        <v>0.34932649999999998</v>
      </c>
      <c r="Z6419">
        <v>-1.7628749999999999E-2</v>
      </c>
      <c r="AA6419">
        <v>0.93683519999999998</v>
      </c>
      <c r="AB6419">
        <v>39</v>
      </c>
      <c r="AC6419">
        <v>26.572700000000001</v>
      </c>
      <c r="AD6419">
        <v>-1.1015751289669999</v>
      </c>
      <c r="AE6419">
        <v>-0.71350000000001002</v>
      </c>
      <c r="AF6419">
        <v>9.3753641805354295</v>
      </c>
      <c r="AG6419">
        <v>-1.1015751289669999</v>
      </c>
      <c r="AH6419">
        <v>24.8253764491201</v>
      </c>
      <c r="AI6419">
        <v>92.377061775557493</v>
      </c>
      <c r="AJ6419">
        <v>69.310833577150305</v>
      </c>
      <c r="AK6419">
        <v>26.559560183161</v>
      </c>
      <c r="AL6419">
        <v>79.6477894756312</v>
      </c>
      <c r="AM6419">
        <v>82.874764033422196</v>
      </c>
      <c r="AN6419">
        <v>0.99999999096654502</v>
      </c>
    </row>
    <row r="6420" spans="1:40" x14ac:dyDescent="0.25">
      <c r="A6420" t="str">
        <f>"20190303171139626"</f>
        <v>20190303171139626</v>
      </c>
      <c r="B6420" t="str">
        <f>"1551604299617313"</f>
        <v>1551604299617313</v>
      </c>
      <c r="C6420" t="s">
        <v>40</v>
      </c>
      <c r="D6420">
        <v>5.2710249999999998</v>
      </c>
      <c r="E6420">
        <v>0.59050119999999995</v>
      </c>
      <c r="F6420" t="s">
        <v>42</v>
      </c>
      <c r="G6420">
        <v>-143.84540000000001</v>
      </c>
      <c r="H6420" s="1">
        <v>-2.8576759999999999E-6</v>
      </c>
      <c r="I6420">
        <v>138.291</v>
      </c>
      <c r="J6420">
        <v>-169.40280000000001</v>
      </c>
      <c r="K6420">
        <v>1.1015779999999999</v>
      </c>
      <c r="L6420">
        <v>139.2302</v>
      </c>
      <c r="M6420">
        <v>0.94947230000000005</v>
      </c>
      <c r="N6420">
        <v>-1.78712E-2</v>
      </c>
      <c r="O6420">
        <v>0.3133416</v>
      </c>
      <c r="P6420">
        <v>0.96561589999999997</v>
      </c>
      <c r="Q6420">
        <v>0.16751779999999999</v>
      </c>
      <c r="R6420">
        <v>0.19880590000000001</v>
      </c>
      <c r="S6420">
        <v>3.1631770000000001</v>
      </c>
      <c r="T6420">
        <v>-0.1345711</v>
      </c>
      <c r="U6420">
        <v>-0.1010895</v>
      </c>
      <c r="V6420">
        <v>0.12214170000000001</v>
      </c>
      <c r="W6420">
        <v>0.17960950000000001</v>
      </c>
      <c r="X6420">
        <v>0.97612589999999999</v>
      </c>
      <c r="Y6420">
        <v>0.34303850000000002</v>
      </c>
      <c r="Z6420">
        <v>-1.7862969999999999E-2</v>
      </c>
      <c r="AA6420">
        <v>0.93915150000000003</v>
      </c>
      <c r="AB6420">
        <v>39</v>
      </c>
      <c r="AC6420">
        <v>25.557400000000001</v>
      </c>
      <c r="AD6420">
        <v>-1.101580857676</v>
      </c>
      <c r="AE6420">
        <v>-0.93919999999999904</v>
      </c>
      <c r="AF6420">
        <v>8.8848785392952099</v>
      </c>
      <c r="AG6420">
        <v>-1.101580857676</v>
      </c>
      <c r="AH6420">
        <v>23.931182615960498</v>
      </c>
      <c r="AI6420">
        <v>92.470955520466404</v>
      </c>
      <c r="AJ6420">
        <v>69.631657844415301</v>
      </c>
      <c r="AK6420">
        <v>25.551047893236699</v>
      </c>
      <c r="AL6420">
        <v>79.652984568530101</v>
      </c>
      <c r="AM6420">
        <v>82.867703878970204</v>
      </c>
      <c r="AN6420">
        <v>0.99999997000997398</v>
      </c>
    </row>
    <row r="6421" spans="1:40" x14ac:dyDescent="0.25">
      <c r="A6421" t="str">
        <f>"20190303171139640"</f>
        <v>20190303171139640</v>
      </c>
      <c r="B6421" t="str">
        <f>"1551604299636835"</f>
        <v>1551604299636835</v>
      </c>
      <c r="C6421" t="s">
        <v>40</v>
      </c>
      <c r="D6421">
        <v>5.2940339999999999</v>
      </c>
      <c r="E6421">
        <v>0.590267599999999</v>
      </c>
      <c r="F6421" t="s">
        <v>42</v>
      </c>
      <c r="G6421">
        <v>-149.72559999999999</v>
      </c>
      <c r="H6421" s="1">
        <v>-2.9471420000000001E-7</v>
      </c>
      <c r="I6421">
        <v>138.80709999999999</v>
      </c>
      <c r="J6421">
        <v>-169.15360000000001</v>
      </c>
      <c r="K6421">
        <v>1.101583</v>
      </c>
      <c r="L6421">
        <v>139.30940000000001</v>
      </c>
      <c r="M6421">
        <v>0.95300600000000002</v>
      </c>
      <c r="N6421">
        <v>-1.7877250000000001E-2</v>
      </c>
      <c r="O6421">
        <v>0.30242370000000002</v>
      </c>
      <c r="P6421">
        <v>0.9677694</v>
      </c>
      <c r="Q6421">
        <v>0.167340299999999</v>
      </c>
      <c r="R6421">
        <v>0.18820049999999999</v>
      </c>
      <c r="S6421">
        <v>3.1513819999999999</v>
      </c>
      <c r="T6421">
        <v>-0.1764222</v>
      </c>
      <c r="U6421">
        <v>-6.7749019999999993E-2</v>
      </c>
      <c r="V6421">
        <v>0.1216465</v>
      </c>
      <c r="W6421">
        <v>0.1794627</v>
      </c>
      <c r="X6421">
        <v>0.97621480000000005</v>
      </c>
      <c r="Y6421">
        <v>0.32201809999999997</v>
      </c>
      <c r="Z6421">
        <v>-2.3149690000000001E-2</v>
      </c>
      <c r="AA6421">
        <v>0.94645049999999997</v>
      </c>
      <c r="AB6421">
        <v>39</v>
      </c>
      <c r="AC6421">
        <v>19.428000000000001</v>
      </c>
      <c r="AD6421">
        <v>-1.1015832947141999</v>
      </c>
      <c r="AE6421">
        <v>-0.50230000000001895</v>
      </c>
      <c r="AF6421">
        <v>6.3348449796333099</v>
      </c>
      <c r="AG6421">
        <v>-1.1015832947141999</v>
      </c>
      <c r="AH6421">
        <v>18.307209048487699</v>
      </c>
      <c r="AI6421">
        <v>93.254560956898203</v>
      </c>
      <c r="AJ6421">
        <v>70.912840833303903</v>
      </c>
      <c r="AK6421">
        <v>19.4035473513533</v>
      </c>
      <c r="AL6421">
        <v>79.661535179657093</v>
      </c>
      <c r="AM6421">
        <v>82.896964683562004</v>
      </c>
      <c r="AN6421">
        <v>1.00000003369628</v>
      </c>
    </row>
    <row r="6422" spans="1:40" x14ac:dyDescent="0.25">
      <c r="A6422" t="str">
        <f>"20190303171139660"</f>
        <v>20190303171139660</v>
      </c>
      <c r="B6422" t="str">
        <f>"1551604299646593"</f>
        <v>1551604299646593</v>
      </c>
      <c r="C6422" t="s">
        <v>40</v>
      </c>
      <c r="D6422">
        <v>5.2992749999999997</v>
      </c>
      <c r="E6422">
        <v>0.58978969999999997</v>
      </c>
      <c r="F6422" t="s">
        <v>42</v>
      </c>
      <c r="G6422">
        <v>-148.51920000000001</v>
      </c>
      <c r="H6422" s="1">
        <v>-7.8992440000000005E-7</v>
      </c>
      <c r="I6422">
        <v>138.6446</v>
      </c>
      <c r="J6422">
        <v>-168.82069999999999</v>
      </c>
      <c r="K6422">
        <v>1.101591</v>
      </c>
      <c r="L6422">
        <v>139.4102</v>
      </c>
      <c r="M6422">
        <v>0.95752870000000001</v>
      </c>
      <c r="N6422">
        <v>-1.7884290000000001E-2</v>
      </c>
      <c r="O6422">
        <v>0.28778290000000001</v>
      </c>
      <c r="P6422">
        <v>0.97052039999999995</v>
      </c>
      <c r="Q6422">
        <v>0.16768379999999999</v>
      </c>
      <c r="R6422">
        <v>0.173125799999999</v>
      </c>
      <c r="S6422">
        <v>3.1486969999999999</v>
      </c>
      <c r="T6422">
        <v>-0.16809499999999999</v>
      </c>
      <c r="U6422">
        <v>-0.1014404</v>
      </c>
      <c r="V6422">
        <v>0.1218668</v>
      </c>
      <c r="W6422">
        <v>0.17980279999999901</v>
      </c>
      <c r="X6422">
        <v>0.97612469999999996</v>
      </c>
      <c r="Y6422">
        <v>0.31774279999999999</v>
      </c>
      <c r="Z6422">
        <v>-2.1325449999999999E-2</v>
      </c>
      <c r="AA6422">
        <v>0.94793709999999998</v>
      </c>
      <c r="AB6422">
        <v>39</v>
      </c>
      <c r="AC6422">
        <v>20.301499999999901</v>
      </c>
      <c r="AD6422">
        <v>-1.1015917899244001</v>
      </c>
      <c r="AE6422">
        <v>-0.76560000000000605</v>
      </c>
      <c r="AF6422">
        <v>6.5572808438870904</v>
      </c>
      <c r="AG6422">
        <v>-1.1015917899244001</v>
      </c>
      <c r="AH6422">
        <v>19.165666344057801</v>
      </c>
      <c r="AI6422">
        <v>93.112820103819104</v>
      </c>
      <c r="AJ6422">
        <v>71.112292116579894</v>
      </c>
      <c r="AK6422">
        <v>20.286305798468799</v>
      </c>
      <c r="AL6422">
        <v>79.641726289917798</v>
      </c>
      <c r="AM6422">
        <v>82.883582860768499</v>
      </c>
      <c r="AN6422">
        <v>0.99999999689008401</v>
      </c>
    </row>
    <row r="6423" spans="1:40" x14ac:dyDescent="0.25">
      <c r="A6423" t="str">
        <f>"20190303171139683"</f>
        <v>20190303171139683</v>
      </c>
      <c r="B6423" t="str">
        <f>"1551604299676850"</f>
        <v>1551604299676850</v>
      </c>
      <c r="C6423" t="s">
        <v>40</v>
      </c>
      <c r="D6423">
        <v>5.3427369999999996</v>
      </c>
      <c r="E6423">
        <v>0.58785779999999999</v>
      </c>
      <c r="F6423" t="s">
        <v>42</v>
      </c>
      <c r="G6423">
        <v>-147.8869</v>
      </c>
      <c r="H6423" s="1">
        <v>-1.099613E-6</v>
      </c>
      <c r="I6423">
        <v>138.42789999999999</v>
      </c>
      <c r="J6423">
        <v>-168.43049999999999</v>
      </c>
      <c r="K6423">
        <v>1.1015999999999999</v>
      </c>
      <c r="L6423">
        <v>139.52080000000001</v>
      </c>
      <c r="M6423">
        <v>0.96253770000000005</v>
      </c>
      <c r="N6423">
        <v>-1.7891219999999999E-2</v>
      </c>
      <c r="O6423">
        <v>0.27055709999999999</v>
      </c>
      <c r="P6423">
        <v>0.97337949999999995</v>
      </c>
      <c r="Q6423">
        <v>0.16879949999999999</v>
      </c>
      <c r="R6423">
        <v>0.15504609999999999</v>
      </c>
      <c r="S6423">
        <v>3.1460569999999999</v>
      </c>
      <c r="T6423">
        <v>-0.1655537</v>
      </c>
      <c r="U6423">
        <v>-0.14761350000000001</v>
      </c>
      <c r="V6423">
        <v>0.12250659999999999</v>
      </c>
      <c r="W6423">
        <v>0.18089330000000001</v>
      </c>
      <c r="X6423">
        <v>0.97584309999999996</v>
      </c>
      <c r="Y6423">
        <v>0.31468559999999901</v>
      </c>
      <c r="Z6423">
        <v>-2.032165E-2</v>
      </c>
      <c r="AA6423">
        <v>0.9489784</v>
      </c>
      <c r="AB6423">
        <v>39</v>
      </c>
      <c r="AC6423">
        <v>20.543600000000001</v>
      </c>
      <c r="AD6423">
        <v>-1.1016010996129999</v>
      </c>
      <c r="AE6423">
        <v>-1.09290000000001</v>
      </c>
      <c r="AF6423">
        <v>6.5923303027857001</v>
      </c>
      <c r="AG6423">
        <v>-1.1016010996129999</v>
      </c>
      <c r="AH6423">
        <v>19.425716494443702</v>
      </c>
      <c r="AI6423">
        <v>93.073854229049402</v>
      </c>
      <c r="AJ6423">
        <v>71.254792104356198</v>
      </c>
      <c r="AK6423">
        <v>20.5433883555317</v>
      </c>
      <c r="AL6423">
        <v>79.578203728207797</v>
      </c>
      <c r="AM6423">
        <v>82.844564887940393</v>
      </c>
      <c r="AN6423">
        <v>1.0000000044230299</v>
      </c>
    </row>
    <row r="6424" spans="1:40" x14ac:dyDescent="0.25">
      <c r="A6424" t="str">
        <f>"20190303171139706"</f>
        <v>20190303171139706</v>
      </c>
      <c r="B6424" t="str">
        <f>"1551604299697346"</f>
        <v>1551604299697346</v>
      </c>
      <c r="C6424" t="s">
        <v>40</v>
      </c>
      <c r="D6424">
        <v>5.3368379999999904</v>
      </c>
      <c r="E6424">
        <v>0.58650100000000005</v>
      </c>
      <c r="F6424" t="s">
        <v>42</v>
      </c>
      <c r="G6424">
        <v>-147.297</v>
      </c>
      <c r="H6424" s="1">
        <v>-1.385755E-6</v>
      </c>
      <c r="I6424">
        <v>138.2415</v>
      </c>
      <c r="J6424">
        <v>-168.04679999999999</v>
      </c>
      <c r="K6424">
        <v>1.101621</v>
      </c>
      <c r="L6424">
        <v>139.62219999999999</v>
      </c>
      <c r="M6424">
        <v>0.96715810000000002</v>
      </c>
      <c r="N6424">
        <v>-1.7896519999999999E-2</v>
      </c>
      <c r="O6424">
        <v>0.25354490000000002</v>
      </c>
      <c r="P6424">
        <v>0.9759179</v>
      </c>
      <c r="Q6424">
        <v>0.1696858</v>
      </c>
      <c r="R6424">
        <v>0.1370797</v>
      </c>
      <c r="S6424">
        <v>3.140717</v>
      </c>
      <c r="T6424">
        <v>-0.1637121</v>
      </c>
      <c r="U6424">
        <v>-0.19010930000000001</v>
      </c>
      <c r="V6424">
        <v>0.1232895</v>
      </c>
      <c r="W6424">
        <v>0.1817462</v>
      </c>
      <c r="X6424">
        <v>0.97558599999999995</v>
      </c>
      <c r="Y6424">
        <v>0.31085960000000001</v>
      </c>
      <c r="Z6424">
        <v>-1.942607E-2</v>
      </c>
      <c r="AA6424">
        <v>0.95025729999999997</v>
      </c>
      <c r="AB6424">
        <v>39</v>
      </c>
      <c r="AC6424">
        <v>20.7498</v>
      </c>
      <c r="AD6424">
        <v>-1.101622385755</v>
      </c>
      <c r="AE6424">
        <v>-1.38069999999999</v>
      </c>
      <c r="AF6424">
        <v>6.5789555812390796</v>
      </c>
      <c r="AG6424">
        <v>-1.101622385755</v>
      </c>
      <c r="AH6424">
        <v>19.666237838526701</v>
      </c>
      <c r="AI6424">
        <v>93.040822941500096</v>
      </c>
      <c r="AJ6424">
        <v>71.503342112543294</v>
      </c>
      <c r="AK6424">
        <v>20.766731546928899</v>
      </c>
      <c r="AL6424">
        <v>79.528512571807298</v>
      </c>
      <c r="AM6424">
        <v>82.797437601201906</v>
      </c>
      <c r="AN6424">
        <v>1.0000000127103399</v>
      </c>
    </row>
    <row r="6425" spans="1:40" x14ac:dyDescent="0.25">
      <c r="A6425" t="str">
        <f>"20190303171139728"</f>
        <v>20190303171139728</v>
      </c>
      <c r="B6425" t="str">
        <f>"1551604299717521"</f>
        <v>1551604299717521</v>
      </c>
      <c r="C6425" t="s">
        <v>40</v>
      </c>
      <c r="D6425">
        <v>5.3528840000000004</v>
      </c>
      <c r="E6425">
        <v>0.57713530000000002</v>
      </c>
      <c r="F6425" t="s">
        <v>42</v>
      </c>
      <c r="G6425">
        <v>-147.12520000000001</v>
      </c>
      <c r="H6425" s="1">
        <v>-1.4936199999999999E-6</v>
      </c>
      <c r="I6425">
        <v>138.0488</v>
      </c>
      <c r="J6425">
        <v>-167.66759999999999</v>
      </c>
      <c r="K6425">
        <v>1.1016239999999999</v>
      </c>
      <c r="L6425">
        <v>139.71539999999999</v>
      </c>
      <c r="M6425">
        <v>0.97142790000000001</v>
      </c>
      <c r="N6425">
        <v>-1.7900389999999999E-2</v>
      </c>
      <c r="O6425">
        <v>0.23665890000000001</v>
      </c>
      <c r="P6425">
        <v>0.97807719999999998</v>
      </c>
      <c r="Q6425">
        <v>0.16993229999999901</v>
      </c>
      <c r="R6425">
        <v>0.12036719999999999</v>
      </c>
      <c r="S6425">
        <v>3.1358640000000002</v>
      </c>
      <c r="T6425">
        <v>-0.16511770000000001</v>
      </c>
      <c r="U6425">
        <v>-0.2358246</v>
      </c>
      <c r="V6425">
        <v>0.1229813</v>
      </c>
      <c r="W6425">
        <v>0.1820116</v>
      </c>
      <c r="X6425">
        <v>0.97557539999999998</v>
      </c>
      <c r="Y6425">
        <v>0.30818240000000002</v>
      </c>
      <c r="Z6425">
        <v>-1.89848E-2</v>
      </c>
      <c r="AA6425">
        <v>0.95113780000000003</v>
      </c>
      <c r="AB6425">
        <v>39</v>
      </c>
      <c r="AC6425">
        <v>20.542399999999901</v>
      </c>
      <c r="AD6425">
        <v>-1.1016254936199901</v>
      </c>
      <c r="AE6425">
        <v>-1.6665999999999801</v>
      </c>
      <c r="AF6425">
        <v>6.4630966257691904</v>
      </c>
      <c r="AG6425">
        <v>-1.1016254936199901</v>
      </c>
      <c r="AH6425">
        <v>19.508442790688701</v>
      </c>
      <c r="AI6425">
        <v>93.068346626150003</v>
      </c>
      <c r="AJ6425">
        <v>71.670099905432096</v>
      </c>
      <c r="AK6425">
        <v>20.580683585337901</v>
      </c>
      <c r="AL6425">
        <v>79.513048122366101</v>
      </c>
      <c r="AM6425">
        <v>82.815176984480502</v>
      </c>
      <c r="AN6425">
        <v>0.99999999188470501</v>
      </c>
    </row>
    <row r="6426" spans="1:40" x14ac:dyDescent="0.25">
      <c r="A6426" t="str">
        <f>"20190303171139749"</f>
        <v>20190303171139749</v>
      </c>
      <c r="B6426" t="str">
        <f>"1551604299737039"</f>
        <v>1551604299737039</v>
      </c>
      <c r="C6426" t="s">
        <v>40</v>
      </c>
      <c r="D6426">
        <v>5.3423970000000001</v>
      </c>
      <c r="E6426">
        <v>0.57483289999999998</v>
      </c>
      <c r="F6426" t="s">
        <v>42</v>
      </c>
      <c r="G6426">
        <v>-149.18700000000001</v>
      </c>
      <c r="H6426" s="1">
        <v>-5.7263590000000003E-7</v>
      </c>
      <c r="I6426">
        <v>138.45150000000001</v>
      </c>
      <c r="J6426">
        <v>-167.29</v>
      </c>
      <c r="K6426">
        <v>1.1016269999999999</v>
      </c>
      <c r="L6426">
        <v>139.80109999999999</v>
      </c>
      <c r="M6426">
        <v>0.97538449999999999</v>
      </c>
      <c r="N6426">
        <v>-1.790274E-2</v>
      </c>
      <c r="O6426">
        <v>0.21978339999999999</v>
      </c>
      <c r="P6426">
        <v>0.97993920000000001</v>
      </c>
      <c r="Q6426">
        <v>0.1699408</v>
      </c>
      <c r="R6426">
        <v>0.10411239999999999</v>
      </c>
      <c r="S6426">
        <v>3.1259459999999999</v>
      </c>
      <c r="T6426">
        <v>-0.1863369</v>
      </c>
      <c r="U6426">
        <v>-0.21377560000000001</v>
      </c>
      <c r="V6426">
        <v>0.12226380000000001</v>
      </c>
      <c r="W6426">
        <v>0.1820571</v>
      </c>
      <c r="X6426">
        <v>0.97565710000000005</v>
      </c>
      <c r="Y6426">
        <v>0.28502369999999999</v>
      </c>
      <c r="Z6426">
        <v>-2.010816E-2</v>
      </c>
      <c r="AA6426">
        <v>0.95830950000000004</v>
      </c>
      <c r="AB6426">
        <v>39</v>
      </c>
      <c r="AC6426">
        <v>18.102999999999899</v>
      </c>
      <c r="AD6426">
        <v>-1.1016275726358999</v>
      </c>
      <c r="AE6426">
        <v>-1.3495999999999799</v>
      </c>
      <c r="AF6426">
        <v>5.2765344458572301</v>
      </c>
      <c r="AG6426">
        <v>-1.1016275726358999</v>
      </c>
      <c r="AH6426">
        <v>17.299837828409299</v>
      </c>
      <c r="AI6426">
        <v>93.485487828305693</v>
      </c>
      <c r="AJ6426">
        <v>73.038039867377194</v>
      </c>
      <c r="AK6426">
        <v>18.120148673682799</v>
      </c>
      <c r="AL6426">
        <v>79.510396960289597</v>
      </c>
      <c r="AM6426">
        <v>82.857252542156999</v>
      </c>
      <c r="AN6426">
        <v>1.00000000061563</v>
      </c>
    </row>
    <row r="6427" spans="1:40" x14ac:dyDescent="0.25">
      <c r="A6427" t="str">
        <f>"20190303171139772"</f>
        <v>20190303171139772</v>
      </c>
      <c r="B6427" t="str">
        <f>"1551604299757536"</f>
        <v>1551604299757536</v>
      </c>
      <c r="C6427" t="s">
        <v>40</v>
      </c>
      <c r="D6427">
        <v>5.334981</v>
      </c>
      <c r="E6427">
        <v>0.57380620000000004</v>
      </c>
      <c r="F6427" t="s">
        <v>42</v>
      </c>
      <c r="G6427">
        <v>-149.15</v>
      </c>
      <c r="H6427" s="1">
        <v>-6.0792019999999899E-7</v>
      </c>
      <c r="I6427">
        <v>138.36609999999999</v>
      </c>
      <c r="J6427">
        <v>-166.8998</v>
      </c>
      <c r="K6427">
        <v>1.1016280000000001</v>
      </c>
      <c r="L6427">
        <v>139.88249999999999</v>
      </c>
      <c r="M6427">
        <v>0.97916530000000002</v>
      </c>
      <c r="N6427">
        <v>-1.7903200000000001E-2</v>
      </c>
      <c r="O6427">
        <v>0.20227400000000001</v>
      </c>
      <c r="P6427">
        <v>0.9815199</v>
      </c>
      <c r="Q6427">
        <v>0.17067579999999999</v>
      </c>
      <c r="R6427">
        <v>8.6533719999999995E-2</v>
      </c>
      <c r="S6427">
        <v>3.1204990000000001</v>
      </c>
      <c r="T6427">
        <v>-0.1895047</v>
      </c>
      <c r="U6427">
        <v>-0.24684139999999999</v>
      </c>
      <c r="V6427">
        <v>0.1222766</v>
      </c>
      <c r="W6427">
        <v>0.1827908</v>
      </c>
      <c r="X6427">
        <v>0.97551829999999995</v>
      </c>
      <c r="Y6427">
        <v>0.2780608</v>
      </c>
      <c r="Z6427">
        <v>-1.9507070000000001E-2</v>
      </c>
      <c r="AA6427">
        <v>0.96036540000000004</v>
      </c>
      <c r="AB6427">
        <v>39</v>
      </c>
      <c r="AC6427">
        <v>17.749799999999901</v>
      </c>
      <c r="AD6427">
        <v>-1.1016286079202</v>
      </c>
      <c r="AE6427">
        <v>-1.5164</v>
      </c>
      <c r="AF6427">
        <v>5.0566061138070104</v>
      </c>
      <c r="AG6427">
        <v>-1.1016286079202</v>
      </c>
      <c r="AH6427">
        <v>17.0109460133922</v>
      </c>
      <c r="AI6427">
        <v>93.552106308593395</v>
      </c>
      <c r="AJ6427">
        <v>73.445101588720703</v>
      </c>
      <c r="AK6427">
        <v>17.7807518190465</v>
      </c>
      <c r="AL6427">
        <v>79.467641587626701</v>
      </c>
      <c r="AM6427">
        <v>82.855506584084296</v>
      </c>
      <c r="AN6427">
        <v>0.99999999855354404</v>
      </c>
    </row>
    <row r="6428" spans="1:40" x14ac:dyDescent="0.25">
      <c r="A6428" t="str">
        <f>"20190303171139794"</f>
        <v>20190303171139794</v>
      </c>
      <c r="B6428" t="str">
        <f>"1551604299786816"</f>
        <v>1551604299786816</v>
      </c>
      <c r="C6428" t="s">
        <v>40</v>
      </c>
      <c r="D6428">
        <v>5.3541339999999904</v>
      </c>
      <c r="E6428">
        <v>0.56476369999999998</v>
      </c>
      <c r="F6428" t="s">
        <v>42</v>
      </c>
      <c r="G6428">
        <v>-148.78880000000001</v>
      </c>
      <c r="H6428" s="1">
        <v>-7.7990630000000003E-7</v>
      </c>
      <c r="I6428">
        <v>138.18180000000001</v>
      </c>
      <c r="J6428">
        <v>-166.50919999999999</v>
      </c>
      <c r="K6428">
        <v>1.1016410000000001</v>
      </c>
      <c r="L6428">
        <v>139.95670000000001</v>
      </c>
      <c r="M6428">
        <v>0.98263540000000005</v>
      </c>
      <c r="N6428">
        <v>-1.7900739999999998E-2</v>
      </c>
      <c r="O6428">
        <v>0.18468180000000001</v>
      </c>
      <c r="P6428">
        <v>0.98287329999999995</v>
      </c>
      <c r="Q6428">
        <v>0.1712872</v>
      </c>
      <c r="R6428">
        <v>6.7977949999999995E-2</v>
      </c>
      <c r="S6428">
        <v>3.1152190000000002</v>
      </c>
      <c r="T6428">
        <v>-0.18948699999999999</v>
      </c>
      <c r="U6428">
        <v>-0.29252620000000001</v>
      </c>
      <c r="V6428">
        <v>0.1232182</v>
      </c>
      <c r="W6428">
        <v>0.1833543</v>
      </c>
      <c r="X6428">
        <v>0.97529410000000005</v>
      </c>
      <c r="Y6428">
        <v>0.27496379999999998</v>
      </c>
      <c r="Z6428">
        <v>-1.867628E-2</v>
      </c>
      <c r="AA6428">
        <v>0.96127309999999999</v>
      </c>
      <c r="AB6428">
        <v>39</v>
      </c>
      <c r="AC6428">
        <v>17.720399999999898</v>
      </c>
      <c r="AD6428">
        <v>-1.1016417799063001</v>
      </c>
      <c r="AE6428">
        <v>-1.7748999999999999</v>
      </c>
      <c r="AF6428">
        <v>4.9983923624758297</v>
      </c>
      <c r="AG6428">
        <v>-1.1016417799063001</v>
      </c>
      <c r="AH6428">
        <v>17.0225013315805</v>
      </c>
      <c r="AI6428">
        <v>93.553229557369804</v>
      </c>
      <c r="AJ6428">
        <v>73.635945323675699</v>
      </c>
      <c r="AK6428">
        <v>17.775350697079102</v>
      </c>
      <c r="AL6428">
        <v>79.434800959291906</v>
      </c>
      <c r="AM6428">
        <v>82.799427392443206</v>
      </c>
      <c r="AN6428">
        <v>1.0000000528172599</v>
      </c>
    </row>
    <row r="6429" spans="1:40" x14ac:dyDescent="0.25">
      <c r="A6429" t="str">
        <f>"20190303171139818"</f>
        <v>20190303171139818</v>
      </c>
      <c r="B6429" t="str">
        <f>"1551604299807312"</f>
        <v>1551604299807312</v>
      </c>
      <c r="C6429" t="s">
        <v>40</v>
      </c>
      <c r="D6429">
        <v>5.3583970000000001</v>
      </c>
      <c r="E6429">
        <v>0.56364729999999996</v>
      </c>
      <c r="F6429" t="s">
        <v>42</v>
      </c>
      <c r="G6429">
        <v>-149.51750000000001</v>
      </c>
      <c r="H6429" s="1">
        <v>-4.6248339999999999E-7</v>
      </c>
      <c r="I6429">
        <v>138.4427</v>
      </c>
      <c r="J6429">
        <v>-166.11580000000001</v>
      </c>
      <c r="K6429">
        <v>1.101658</v>
      </c>
      <c r="L6429">
        <v>140.0239</v>
      </c>
      <c r="M6429">
        <v>0.98581209999999997</v>
      </c>
      <c r="N6429">
        <v>-1.7894500000000001E-2</v>
      </c>
      <c r="O6429">
        <v>0.1668964</v>
      </c>
      <c r="P6429">
        <v>0.98394199999999998</v>
      </c>
      <c r="Q6429">
        <v>0.17132510000000001</v>
      </c>
      <c r="R6429">
        <v>5.0058819999999997E-2</v>
      </c>
      <c r="S6429">
        <v>3.106522</v>
      </c>
      <c r="T6429">
        <v>-0.20140830000000001</v>
      </c>
      <c r="U6429">
        <v>-0.2767944</v>
      </c>
      <c r="V6429">
        <v>0.1233648</v>
      </c>
      <c r="W6429">
        <v>0.1833796</v>
      </c>
      <c r="X6429">
        <v>0.97527070000000005</v>
      </c>
      <c r="Y6429">
        <v>0.25291370000000002</v>
      </c>
      <c r="Z6429">
        <v>-1.8230739999999999E-2</v>
      </c>
      <c r="AA6429">
        <v>0.96731699999999998</v>
      </c>
      <c r="AB6429">
        <v>39</v>
      </c>
      <c r="AC6429">
        <v>16.598299999999899</v>
      </c>
      <c r="AD6429">
        <v>-1.1016584624834</v>
      </c>
      <c r="AE6429">
        <v>-1.5811999999999899</v>
      </c>
      <c r="AF6429">
        <v>4.31083625663139</v>
      </c>
      <c r="AG6429">
        <v>-1.1016584624834</v>
      </c>
      <c r="AH6429">
        <v>16.0314985971076</v>
      </c>
      <c r="AI6429">
        <v>93.796643337918297</v>
      </c>
      <c r="AJ6429">
        <v>74.949296490407505</v>
      </c>
      <c r="AK6429">
        <v>16.6374850223377</v>
      </c>
      <c r="AL6429">
        <v>79.433325220724498</v>
      </c>
      <c r="AM6429">
        <v>82.790779372408295</v>
      </c>
      <c r="AN6429">
        <v>0.99999994492684297</v>
      </c>
    </row>
    <row r="6430" spans="1:40" x14ac:dyDescent="0.25">
      <c r="A6430" t="str">
        <f>"20190303171139838"</f>
        <v>20190303171139838</v>
      </c>
      <c r="B6430" t="str">
        <f>"1551604299826832"</f>
        <v>1551604299826832</v>
      </c>
      <c r="C6430" t="s">
        <v>40</v>
      </c>
      <c r="D6430">
        <v>5.3546670000000001</v>
      </c>
      <c r="E6430">
        <v>0.55730619999999997</v>
      </c>
      <c r="F6430" t="s">
        <v>42</v>
      </c>
      <c r="G6430">
        <v>-149.4349</v>
      </c>
      <c r="H6430" s="1">
        <v>-5.3313800000000002E-7</v>
      </c>
      <c r="I6430">
        <v>138.28280000000001</v>
      </c>
      <c r="J6430">
        <v>-165.75040000000001</v>
      </c>
      <c r="K6430">
        <v>1.1016649999999999</v>
      </c>
      <c r="L6430">
        <v>140.07939999999999</v>
      </c>
      <c r="M6430">
        <v>0.98847479999999999</v>
      </c>
      <c r="N6430">
        <v>-1.788495E-2</v>
      </c>
      <c r="O6430">
        <v>0.1503253</v>
      </c>
      <c r="P6430">
        <v>0.98485299999999998</v>
      </c>
      <c r="Q6430">
        <v>0.17004520000000001</v>
      </c>
      <c r="R6430">
        <v>3.3899789999999999E-2</v>
      </c>
      <c r="S6430">
        <v>3.101105</v>
      </c>
      <c r="T6430">
        <v>-0.20480660000000001</v>
      </c>
      <c r="U6430">
        <v>-0.3236694</v>
      </c>
      <c r="V6430">
        <v>0.12297660000000001</v>
      </c>
      <c r="W6430">
        <v>0.18211289999999999</v>
      </c>
      <c r="X6430">
        <v>0.97555709999999995</v>
      </c>
      <c r="Y6430">
        <v>0.251303</v>
      </c>
      <c r="Z6430">
        <v>-1.7723309999999999E-2</v>
      </c>
      <c r="AA6430">
        <v>0.9677462</v>
      </c>
      <c r="AB6430">
        <v>38</v>
      </c>
      <c r="AC6430">
        <v>16.3155</v>
      </c>
      <c r="AD6430">
        <v>-1.1016655331380001</v>
      </c>
      <c r="AE6430">
        <v>-1.79659999999998</v>
      </c>
      <c r="AF6430">
        <v>4.2102369298589197</v>
      </c>
      <c r="AG6430">
        <v>-1.1016655331380001</v>
      </c>
      <c r="AH6430">
        <v>15.7887994005143</v>
      </c>
      <c r="AI6430">
        <v>93.857003740283304</v>
      </c>
      <c r="AJ6430">
        <v>75.068954065431399</v>
      </c>
      <c r="AK6430">
        <v>16.377605089332601</v>
      </c>
      <c r="AL6430">
        <v>79.507145535611897</v>
      </c>
      <c r="AM6430">
        <v>82.815315335760999</v>
      </c>
      <c r="AN6430">
        <v>1.0000000039271899</v>
      </c>
    </row>
    <row r="6431" spans="1:40" x14ac:dyDescent="0.25">
      <c r="A6431" t="str">
        <f>"20190303171139861"</f>
        <v>20190303171139861</v>
      </c>
      <c r="B6431" t="str">
        <f>"1551604299857088"</f>
        <v>1551604299857088</v>
      </c>
      <c r="C6431" t="s">
        <v>40</v>
      </c>
      <c r="D6431">
        <v>5.3600219999999998</v>
      </c>
      <c r="E6431">
        <v>0.55456349999999999</v>
      </c>
      <c r="F6431" t="s">
        <v>42</v>
      </c>
      <c r="G6431">
        <v>-150.2311</v>
      </c>
      <c r="H6431" s="1">
        <v>-4.3793099999999996E-6</v>
      </c>
      <c r="I6431">
        <v>138.4539</v>
      </c>
      <c r="J6431">
        <v>-165.35400000000001</v>
      </c>
      <c r="K6431">
        <v>1.1016589999999999</v>
      </c>
      <c r="L6431">
        <v>140.13220000000001</v>
      </c>
      <c r="M6431">
        <v>0.99105100000000002</v>
      </c>
      <c r="N6431">
        <v>-1.787035E-2</v>
      </c>
      <c r="O6431">
        <v>0.13228319999999999</v>
      </c>
      <c r="P6431">
        <v>0.98532719999999896</v>
      </c>
      <c r="Q6431">
        <v>0.1699127</v>
      </c>
      <c r="R6431">
        <v>1.613117E-2</v>
      </c>
      <c r="S6431">
        <v>3.0952299999999999</v>
      </c>
      <c r="T6431">
        <v>-0.2197199</v>
      </c>
      <c r="U6431">
        <v>-0.32417299999999999</v>
      </c>
      <c r="V6431">
        <v>0.1227845</v>
      </c>
      <c r="W6431">
        <v>0.18197650000000001</v>
      </c>
      <c r="X6431">
        <v>0.97560670000000005</v>
      </c>
      <c r="Y6431">
        <v>0.2339166</v>
      </c>
      <c r="Z6431">
        <v>-1.7360670000000002E-2</v>
      </c>
      <c r="AA6431">
        <v>0.97210169999999996</v>
      </c>
      <c r="AB6431">
        <v>38</v>
      </c>
      <c r="AC6431">
        <v>15.1229</v>
      </c>
      <c r="AD6431">
        <v>-1.1016633793099999</v>
      </c>
      <c r="AE6431">
        <v>-1.6782999999999999</v>
      </c>
      <c r="AF6431">
        <v>3.6452620373475999</v>
      </c>
      <c r="AG6431">
        <v>-1.1016633793099999</v>
      </c>
      <c r="AH6431">
        <v>14.6908981934026</v>
      </c>
      <c r="AI6431">
        <v>94.162785324048897</v>
      </c>
      <c r="AJ6431">
        <v>76.064606602473901</v>
      </c>
      <c r="AK6431">
        <v>15.1764319670718</v>
      </c>
      <c r="AL6431">
        <v>79.515092985680994</v>
      </c>
      <c r="AM6431">
        <v>82.826782327155399</v>
      </c>
      <c r="AN6431">
        <v>0.999999956538694</v>
      </c>
    </row>
    <row r="6432" spans="1:40" x14ac:dyDescent="0.25">
      <c r="A6432" t="str">
        <f>"20190303171139905"</f>
        <v>20190303171139905</v>
      </c>
      <c r="B6432" t="str">
        <f>"1551604299897104"</f>
        <v>1551604299897104</v>
      </c>
      <c r="C6432" t="s">
        <v>40</v>
      </c>
      <c r="D6432">
        <v>5.3594569999999999</v>
      </c>
      <c r="E6432">
        <v>0.54575260000000003</v>
      </c>
      <c r="F6432" t="s">
        <v>42</v>
      </c>
      <c r="G6432">
        <v>-149.95869999999999</v>
      </c>
      <c r="H6432" s="1">
        <v>-4.5145319999999998E-6</v>
      </c>
      <c r="I6432">
        <v>138.3503</v>
      </c>
      <c r="J6432">
        <v>-164.583</v>
      </c>
      <c r="K6432">
        <v>1.1016709999999901</v>
      </c>
      <c r="L6432">
        <v>140.2139</v>
      </c>
      <c r="M6432">
        <v>0.99512319999999999</v>
      </c>
      <c r="N6432">
        <v>-1.783332E-2</v>
      </c>
      <c r="O6432">
        <v>9.7014740000000002E-2</v>
      </c>
      <c r="P6432">
        <v>0.98497999999999997</v>
      </c>
      <c r="Q6432">
        <v>0.171705</v>
      </c>
      <c r="R6432">
        <v>-1.8217980000000002E-2</v>
      </c>
      <c r="S6432">
        <v>3.088638</v>
      </c>
      <c r="T6432">
        <v>-0.2210172</v>
      </c>
      <c r="U6432">
        <v>-0.35748289999999999</v>
      </c>
      <c r="V6432">
        <v>0.12219090000000001</v>
      </c>
      <c r="W6432">
        <v>0.18376029999999999</v>
      </c>
      <c r="X6432">
        <v>0.97534690000000002</v>
      </c>
      <c r="Y6432">
        <v>0.21001510000000001</v>
      </c>
      <c r="Z6432">
        <v>-1.4551039999999999E-2</v>
      </c>
      <c r="AA6432">
        <v>0.97758979999999995</v>
      </c>
      <c r="AB6432">
        <v>38</v>
      </c>
      <c r="AC6432">
        <v>14.6243</v>
      </c>
      <c r="AD6432">
        <v>-1.1016755145320001</v>
      </c>
      <c r="AE6432">
        <v>-1.8635999999999899</v>
      </c>
      <c r="AF6432">
        <v>3.2556246850242898</v>
      </c>
      <c r="AG6432">
        <v>-1.1016755145320001</v>
      </c>
      <c r="AH6432">
        <v>14.2946447178893</v>
      </c>
      <c r="AI6432">
        <v>94.297405467549595</v>
      </c>
      <c r="AJ6432">
        <v>77.1696602789048</v>
      </c>
      <c r="AK6432">
        <v>14.7020287253065</v>
      </c>
      <c r="AL6432">
        <v>79.411136440803105</v>
      </c>
      <c r="AM6432">
        <v>82.859220557181501</v>
      </c>
      <c r="AN6432">
        <v>1.00000001961925</v>
      </c>
    </row>
    <row r="6433" spans="1:40" x14ac:dyDescent="0.25">
      <c r="A6433" t="str">
        <f>"20190303171139927"</f>
        <v>20190303171139927</v>
      </c>
      <c r="B6433" t="str">
        <f>"1551604299916624"</f>
        <v>1551604299916624</v>
      </c>
      <c r="C6433" t="s">
        <v>40</v>
      </c>
      <c r="D6433">
        <v>5.3602189999999998</v>
      </c>
      <c r="E6433">
        <v>0.54367149999999997</v>
      </c>
      <c r="F6433" t="s">
        <v>42</v>
      </c>
      <c r="G6433">
        <v>-150.0744</v>
      </c>
      <c r="H6433" s="1">
        <v>-4.4596859999999999E-6</v>
      </c>
      <c r="I6433">
        <v>138.37960000000001</v>
      </c>
      <c r="J6433">
        <v>-164.20529999999999</v>
      </c>
      <c r="K6433">
        <v>1.1016840000000001</v>
      </c>
      <c r="L6433">
        <v>140.24379999999999</v>
      </c>
      <c r="M6433">
        <v>0.99666330000000003</v>
      </c>
      <c r="N6433">
        <v>-1.7812140000000001E-2</v>
      </c>
      <c r="O6433">
        <v>7.9655710000000005E-2</v>
      </c>
      <c r="P6433">
        <v>0.98466160000000003</v>
      </c>
      <c r="Q6433">
        <v>0.1711375</v>
      </c>
      <c r="R6433">
        <v>-3.3964649999999999E-2</v>
      </c>
      <c r="S6433">
        <v>3.0793300000000001</v>
      </c>
      <c r="T6433">
        <v>-0.233821</v>
      </c>
      <c r="U6433">
        <v>-0.38931270000000001</v>
      </c>
      <c r="V6433">
        <v>0.120760199999999</v>
      </c>
      <c r="W6433">
        <v>0.18324370000000001</v>
      </c>
      <c r="X6433">
        <v>0.97562219999999999</v>
      </c>
      <c r="Y6433">
        <v>0.20322319999999999</v>
      </c>
      <c r="Z6433">
        <v>-1.410206E-2</v>
      </c>
      <c r="AA6433">
        <v>0.97903090000000004</v>
      </c>
      <c r="AB6433">
        <v>38</v>
      </c>
      <c r="AC6433">
        <v>14.130899999999899</v>
      </c>
      <c r="AD6433">
        <v>-1.1016884596859999</v>
      </c>
      <c r="AE6433">
        <v>-1.8641999999999801</v>
      </c>
      <c r="AF6433">
        <v>2.9663382622166199</v>
      </c>
      <c r="AG6433">
        <v>-1.1016884596859999</v>
      </c>
      <c r="AH6433">
        <v>13.854694513383199</v>
      </c>
      <c r="AI6433">
        <v>94.446096128910099</v>
      </c>
      <c r="AJ6433">
        <v>77.915226342062695</v>
      </c>
      <c r="AK6433">
        <v>14.211454542279199</v>
      </c>
      <c r="AL6433">
        <v>79.441246291868893</v>
      </c>
      <c r="AM6433">
        <v>82.943953362661802</v>
      </c>
      <c r="AN6433">
        <v>0.99999997831328402</v>
      </c>
    </row>
    <row r="6434" spans="1:40" x14ac:dyDescent="0.25">
      <c r="A6434" t="str">
        <f>"20190303171139950"</f>
        <v>20190303171139950</v>
      </c>
      <c r="B6434" t="str">
        <f>"1551604299937120"</f>
        <v>1551604299937120</v>
      </c>
      <c r="C6434" t="s">
        <v>40</v>
      </c>
      <c r="D6434">
        <v>5.3799449999999904</v>
      </c>
      <c r="E6434">
        <v>0.54143680000000005</v>
      </c>
      <c r="F6434" t="s">
        <v>42</v>
      </c>
      <c r="G6434">
        <v>-149.8698</v>
      </c>
      <c r="H6434" s="1">
        <v>-3.8670770000000002E-7</v>
      </c>
      <c r="I6434">
        <v>138.27690000000001</v>
      </c>
      <c r="J6434">
        <v>-163.8107</v>
      </c>
      <c r="K6434">
        <v>1.101685</v>
      </c>
      <c r="L6434">
        <v>140.2679</v>
      </c>
      <c r="M6434">
        <v>0.99795060000000002</v>
      </c>
      <c r="N6434">
        <v>-1.7787839999999999E-2</v>
      </c>
      <c r="O6434">
        <v>6.146807E-2</v>
      </c>
      <c r="P6434">
        <v>0.9840624</v>
      </c>
      <c r="Q6434">
        <v>0.1702774</v>
      </c>
      <c r="R6434">
        <v>-5.1250789999999997E-2</v>
      </c>
      <c r="S6434">
        <v>3.0732569999999999</v>
      </c>
      <c r="T6434">
        <v>-0.23617949999999999</v>
      </c>
      <c r="U6434">
        <v>-0.42164609999999902</v>
      </c>
      <c r="V6434">
        <v>0.1200648</v>
      </c>
      <c r="W6434">
        <v>0.1823979</v>
      </c>
      <c r="X6434">
        <v>0.97586649999999997</v>
      </c>
      <c r="Y6434">
        <v>0.19576879999999999</v>
      </c>
      <c r="Z6434">
        <v>-1.284013E-2</v>
      </c>
      <c r="AA6434">
        <v>0.98056600000000005</v>
      </c>
      <c r="AB6434">
        <v>38</v>
      </c>
      <c r="AC6434">
        <v>13.940899999999999</v>
      </c>
      <c r="AD6434">
        <v>-1.1016853867076899</v>
      </c>
      <c r="AE6434">
        <v>-1.9909999999999799</v>
      </c>
      <c r="AF6434">
        <v>2.82698800088321</v>
      </c>
      <c r="AG6434">
        <v>-1.1016853867076899</v>
      </c>
      <c r="AH6434">
        <v>13.7082309290398</v>
      </c>
      <c r="AI6434">
        <v>94.500494875556001</v>
      </c>
      <c r="AJ6434">
        <v>78.347500984848807</v>
      </c>
      <c r="AK6434">
        <v>14.039984581626401</v>
      </c>
      <c r="AL6434">
        <v>79.490537914385996</v>
      </c>
      <c r="AM6434">
        <v>82.985918507874302</v>
      </c>
      <c r="AN6434">
        <v>0.99999998797284895</v>
      </c>
    </row>
    <row r="6435" spans="1:40" x14ac:dyDescent="0.25">
      <c r="A6435" t="str">
        <f>"20190303171139974"</f>
        <v>20190303171139974</v>
      </c>
      <c r="B6435" t="str">
        <f>"1551604299967376"</f>
        <v>1551604299967376</v>
      </c>
      <c r="C6435" t="s">
        <v>40</v>
      </c>
      <c r="D6435">
        <v>5.330133</v>
      </c>
      <c r="E6435">
        <v>0.53998900000000005</v>
      </c>
      <c r="F6435" t="s">
        <v>42</v>
      </c>
      <c r="G6435">
        <v>-150.22</v>
      </c>
      <c r="H6435" s="1">
        <v>-4.4219589999999997E-6</v>
      </c>
      <c r="I6435">
        <v>138.24019999999999</v>
      </c>
      <c r="J6435">
        <v>-163.4092</v>
      </c>
      <c r="K6435">
        <v>1.1016950000000001</v>
      </c>
      <c r="L6435">
        <v>140.285</v>
      </c>
      <c r="M6435">
        <v>0.99892119999999995</v>
      </c>
      <c r="N6435">
        <v>-1.7760539999999998E-2</v>
      </c>
      <c r="O6435">
        <v>4.2909450000000002E-2</v>
      </c>
      <c r="P6435">
        <v>0.98296320000000004</v>
      </c>
      <c r="Q6435">
        <v>0.17011870000000001</v>
      </c>
      <c r="R6435">
        <v>-6.9595560000000001E-2</v>
      </c>
      <c r="S6435">
        <v>3.0677949999999998</v>
      </c>
      <c r="T6435">
        <v>-0.24868109999999999</v>
      </c>
      <c r="U6435">
        <v>-0.45768740000000002</v>
      </c>
      <c r="V6435">
        <v>0.12011429999999999</v>
      </c>
      <c r="W6435">
        <v>0.1822146</v>
      </c>
      <c r="X6435">
        <v>0.9758947</v>
      </c>
      <c r="Y6435">
        <v>0.18904099999999999</v>
      </c>
      <c r="Z6435">
        <v>-1.199795E-2</v>
      </c>
      <c r="AA6435">
        <v>0.98189590000000004</v>
      </c>
      <c r="AB6435">
        <v>38</v>
      </c>
      <c r="AC6435">
        <v>13.1892</v>
      </c>
      <c r="AD6435">
        <v>-1.1016994219589999</v>
      </c>
      <c r="AE6435">
        <v>-2.0448</v>
      </c>
      <c r="AF6435">
        <v>2.5912906967918801</v>
      </c>
      <c r="AG6435">
        <v>-1.1016994219589999</v>
      </c>
      <c r="AH6435">
        <v>13.0007122569604</v>
      </c>
      <c r="AI6435">
        <v>94.750746340754503</v>
      </c>
      <c r="AJ6435">
        <v>78.727582816902896</v>
      </c>
      <c r="AK6435">
        <v>13.302144499286699</v>
      </c>
      <c r="AL6435">
        <v>79.501219735252405</v>
      </c>
      <c r="AM6435">
        <v>82.983256327371706</v>
      </c>
      <c r="AN6435">
        <v>1.00000003550286</v>
      </c>
    </row>
    <row r="6436" spans="1:40" x14ac:dyDescent="0.25">
      <c r="A6436" t="str">
        <f>"20190303171139999"</f>
        <v>20190303171139999</v>
      </c>
      <c r="B6436" t="str">
        <f>"1551604299986896"</f>
        <v>1551604299986896</v>
      </c>
      <c r="C6436" t="s">
        <v>40</v>
      </c>
      <c r="D6436">
        <v>5.3377949999999998</v>
      </c>
      <c r="E6436">
        <v>0.531232699999999</v>
      </c>
      <c r="F6436" t="s">
        <v>42</v>
      </c>
      <c r="G6436">
        <v>-150.2242</v>
      </c>
      <c r="H6436" s="1">
        <v>-4.4413820000000003E-6</v>
      </c>
      <c r="I6436">
        <v>138.12049999999999</v>
      </c>
      <c r="J6436">
        <v>-162.96639999999999</v>
      </c>
      <c r="K6436">
        <v>1.101723</v>
      </c>
      <c r="L6436">
        <v>140.29470000000001</v>
      </c>
      <c r="M6436">
        <v>0.99959219999999904</v>
      </c>
      <c r="N6436">
        <v>-1.772723E-2</v>
      </c>
      <c r="O6436">
        <v>2.2384020000000001E-2</v>
      </c>
      <c r="P6436">
        <v>0.9813501</v>
      </c>
      <c r="Q6436">
        <v>0.17036850000000001</v>
      </c>
      <c r="R6436">
        <v>-8.9029830000000004E-2</v>
      </c>
      <c r="S6436">
        <v>3.0606840000000002</v>
      </c>
      <c r="T6436">
        <v>-0.25574219999999998</v>
      </c>
      <c r="U6436">
        <v>-0.50244140000000004</v>
      </c>
      <c r="V6436">
        <v>0.1193776</v>
      </c>
      <c r="W6436">
        <v>0.1824711</v>
      </c>
      <c r="X6436">
        <v>0.9759371</v>
      </c>
      <c r="Y6436">
        <v>0.18323809999999999</v>
      </c>
      <c r="Z6436">
        <v>-1.069196E-2</v>
      </c>
      <c r="AA6436">
        <v>0.98301039999999995</v>
      </c>
      <c r="AB6436">
        <v>38</v>
      </c>
      <c r="AC6436">
        <v>12.742199999999899</v>
      </c>
      <c r="AD6436">
        <v>-1.101727441382</v>
      </c>
      <c r="AE6436">
        <v>-2.1742000000000101</v>
      </c>
      <c r="AF6436">
        <v>2.4411879768689202</v>
      </c>
      <c r="AG6436">
        <v>-1.101727441382</v>
      </c>
      <c r="AH6436">
        <v>12.598809449426</v>
      </c>
      <c r="AI6436">
        <v>94.906823267667406</v>
      </c>
      <c r="AJ6436">
        <v>79.0340641118337</v>
      </c>
      <c r="AK6436">
        <v>12.8803416739018</v>
      </c>
      <c r="AL6436">
        <v>79.486272069655897</v>
      </c>
      <c r="AM6436">
        <v>83.026167190945102</v>
      </c>
      <c r="AN6436">
        <v>0.99999996843668904</v>
      </c>
    </row>
    <row r="6437" spans="1:40" x14ac:dyDescent="0.25">
      <c r="A6437" t="str">
        <f>"20190303171140020"</f>
        <v>20190303171140020</v>
      </c>
      <c r="B6437" t="str">
        <f>"1551604300007391"</f>
        <v>1551604300007391</v>
      </c>
      <c r="C6437" t="s">
        <v>40</v>
      </c>
      <c r="D6437">
        <v>5.3772469999999997</v>
      </c>
      <c r="E6437">
        <v>0.529530099999999</v>
      </c>
      <c r="F6437" t="s">
        <v>43</v>
      </c>
      <c r="G6437">
        <v>-161.94200000000001</v>
      </c>
      <c r="H6437">
        <v>1.01356</v>
      </c>
      <c r="I6437">
        <v>140.12970000000001</v>
      </c>
      <c r="J6437">
        <v>-162.6036</v>
      </c>
      <c r="K6437">
        <v>1.1017539999999999</v>
      </c>
      <c r="L6437">
        <v>140.29570000000001</v>
      </c>
      <c r="M6437">
        <v>0.99982819999999994</v>
      </c>
      <c r="N6437">
        <v>-1.7697549999999999E-2</v>
      </c>
      <c r="O6437">
        <v>5.524841E-3</v>
      </c>
      <c r="P6437">
        <v>0.97992049999999997</v>
      </c>
      <c r="Q6437">
        <v>0.17027979999999901</v>
      </c>
      <c r="R6437">
        <v>-0.10373499999999999</v>
      </c>
      <c r="S6437">
        <v>3.0579830000000001</v>
      </c>
      <c r="T6437">
        <v>-0.26304880000000003</v>
      </c>
      <c r="U6437">
        <v>-0.4926758</v>
      </c>
      <c r="V6437">
        <v>0.1175364</v>
      </c>
      <c r="W6437">
        <v>0.18244630000000001</v>
      </c>
      <c r="X6437">
        <v>0.97616519999999996</v>
      </c>
      <c r="Y6437">
        <v>0.1637866</v>
      </c>
      <c r="Z6437">
        <v>-8.8229650000000003E-3</v>
      </c>
      <c r="AA6437">
        <v>0.98645629999999995</v>
      </c>
      <c r="AB6437">
        <v>38</v>
      </c>
      <c r="AC6437">
        <v>0.66159999999999197</v>
      </c>
      <c r="AD6437">
        <v>-8.8194000000000106E-2</v>
      </c>
      <c r="AE6437">
        <v>-0.16599999999999601</v>
      </c>
      <c r="AF6437">
        <v>0.16686372097127999</v>
      </c>
      <c r="AG6437">
        <v>-8.8194000000000106E-2</v>
      </c>
      <c r="AH6437">
        <v>0.64980941399809</v>
      </c>
      <c r="AI6437">
        <v>97.489038039346099</v>
      </c>
      <c r="AJ6437">
        <v>75.598261164917503</v>
      </c>
      <c r="AK6437">
        <v>0.67666384381975297</v>
      </c>
      <c r="AL6437">
        <v>79.487717363260003</v>
      </c>
      <c r="AM6437">
        <v>83.134281188887897</v>
      </c>
      <c r="AN6437">
        <v>0.99999997769984394</v>
      </c>
    </row>
    <row r="6438" spans="1:40" x14ac:dyDescent="0.25">
      <c r="A6438" t="str">
        <f>"20190303171140039"</f>
        <v>20190303171140039</v>
      </c>
      <c r="B6438" t="str">
        <f>"1551604300026913"</f>
        <v>1551604300026913</v>
      </c>
      <c r="C6438" t="s">
        <v>40</v>
      </c>
      <c r="D6438">
        <v>5.3570379999999904</v>
      </c>
      <c r="E6438">
        <v>0.52793429999999997</v>
      </c>
      <c r="F6438" t="s">
        <v>43</v>
      </c>
      <c r="G6438">
        <v>-161.60149999999999</v>
      </c>
      <c r="H6438">
        <v>1.014594</v>
      </c>
      <c r="I6438">
        <v>140.1232</v>
      </c>
      <c r="J6438">
        <v>-162.27350000000001</v>
      </c>
      <c r="K6438">
        <v>1.101777</v>
      </c>
      <c r="L6438">
        <v>140.29140000000001</v>
      </c>
      <c r="M6438">
        <v>0.9997954</v>
      </c>
      <c r="N6438">
        <v>-1.7668900000000001E-2</v>
      </c>
      <c r="O6438">
        <v>-9.8473780000000004E-3</v>
      </c>
      <c r="P6438">
        <v>0.97867660000000001</v>
      </c>
      <c r="Q6438">
        <v>0.1699039</v>
      </c>
      <c r="R6438">
        <v>-0.11543390000000001</v>
      </c>
      <c r="S6438">
        <v>3.0519409999999998</v>
      </c>
      <c r="T6438">
        <v>-0.26505840000000003</v>
      </c>
      <c r="U6438">
        <v>-0.52529910000000002</v>
      </c>
      <c r="V6438">
        <v>0.1141548</v>
      </c>
      <c r="W6438">
        <v>0.1822076</v>
      </c>
      <c r="X6438">
        <v>0.97661100000000001</v>
      </c>
      <c r="Y6438">
        <v>0.15923019999999999</v>
      </c>
      <c r="Z6438">
        <v>-7.5968930000000004E-3</v>
      </c>
      <c r="AA6438">
        <v>0.98721219999999998</v>
      </c>
      <c r="AB6438">
        <v>38</v>
      </c>
      <c r="AC6438">
        <v>0.67200000000002502</v>
      </c>
      <c r="AD6438">
        <v>-8.7182999999999997E-2</v>
      </c>
      <c r="AE6438">
        <v>-0.16820000000001301</v>
      </c>
      <c r="AF6438">
        <v>0.15905406979101699</v>
      </c>
      <c r="AG6438">
        <v>-8.7182999999999997E-2</v>
      </c>
      <c r="AH6438">
        <v>0.66312064471759402</v>
      </c>
      <c r="AI6438">
        <v>97.285605981687794</v>
      </c>
      <c r="AJ6438">
        <v>76.512018831116805</v>
      </c>
      <c r="AK6438">
        <v>0.68747949937199104</v>
      </c>
      <c r="AL6438">
        <v>79.501627114831606</v>
      </c>
      <c r="AM6438">
        <v>83.333023964138903</v>
      </c>
      <c r="AN6438">
        <v>0.99999998659089995</v>
      </c>
    </row>
    <row r="6439" spans="1:40" x14ac:dyDescent="0.25">
      <c r="A6439" t="str">
        <f>"20190303171140064"</f>
        <v>20190303171140064</v>
      </c>
      <c r="B6439" t="str">
        <f>"1551604300057168"</f>
        <v>1551604300057168</v>
      </c>
      <c r="C6439" t="s">
        <v>40</v>
      </c>
      <c r="D6439">
        <v>5.3735949999999999</v>
      </c>
      <c r="E6439">
        <v>0.51900869999999999</v>
      </c>
      <c r="F6439" t="s">
        <v>43</v>
      </c>
      <c r="G6439">
        <v>-161.26419999999999</v>
      </c>
      <c r="H6439">
        <v>1.0119739999999999</v>
      </c>
      <c r="I6439">
        <v>140.1095</v>
      </c>
      <c r="J6439">
        <v>-161.86259999999999</v>
      </c>
      <c r="K6439">
        <v>1.101799</v>
      </c>
      <c r="L6439">
        <v>140.2783</v>
      </c>
      <c r="M6439">
        <v>0.99942310000000001</v>
      </c>
      <c r="N6439">
        <v>-1.7631930000000001E-2</v>
      </c>
      <c r="O6439">
        <v>-2.90271E-2</v>
      </c>
      <c r="P6439">
        <v>0.97659099999999999</v>
      </c>
      <c r="Q6439">
        <v>0.1704695</v>
      </c>
      <c r="R6439">
        <v>-0.13118759999999999</v>
      </c>
      <c r="S6439">
        <v>3.0476839999999998</v>
      </c>
      <c r="T6439">
        <v>-0.271209599999999</v>
      </c>
      <c r="U6439">
        <v>-0.54919430000000002</v>
      </c>
      <c r="V6439">
        <v>0.1111615</v>
      </c>
      <c r="W6439">
        <v>0.18288409999999999</v>
      </c>
      <c r="X6439">
        <v>0.97682979999999997</v>
      </c>
      <c r="Y6439">
        <v>0.14808750000000001</v>
      </c>
      <c r="Z6439">
        <v>-5.7946789999999996E-3</v>
      </c>
      <c r="AA6439">
        <v>0.98895730000000004</v>
      </c>
      <c r="AB6439">
        <v>38</v>
      </c>
      <c r="AC6439">
        <v>0.59839999999999705</v>
      </c>
      <c r="AD6439">
        <v>-8.9825000000000002E-2</v>
      </c>
      <c r="AE6439">
        <v>-0.168800000000004</v>
      </c>
      <c r="AF6439">
        <v>0.14826184329366199</v>
      </c>
      <c r="AG6439">
        <v>-8.9825000000000002E-2</v>
      </c>
      <c r="AH6439">
        <v>0.59071894897027299</v>
      </c>
      <c r="AI6439">
        <v>98.389845473620497</v>
      </c>
      <c r="AJ6439">
        <v>75.910629678526405</v>
      </c>
      <c r="AK6439">
        <v>0.61562893164176302</v>
      </c>
      <c r="AL6439">
        <v>79.462203883999805</v>
      </c>
      <c r="AM6439">
        <v>83.507770578125601</v>
      </c>
      <c r="AN6439">
        <v>0.99999996564154903</v>
      </c>
    </row>
    <row r="6440" spans="1:40" x14ac:dyDescent="0.25">
      <c r="A6440" t="str">
        <f>"20190303171140084"</f>
        <v>20190303171140084</v>
      </c>
      <c r="B6440" t="str">
        <f>"1551604300076689"</f>
        <v>1551604300076689</v>
      </c>
      <c r="C6440" t="s">
        <v>40</v>
      </c>
      <c r="D6440">
        <v>5.367451</v>
      </c>
      <c r="E6440">
        <v>0.53240069999999995</v>
      </c>
      <c r="F6440" t="s">
        <v>43</v>
      </c>
      <c r="G6440">
        <v>-160.92250000000001</v>
      </c>
      <c r="H6440">
        <v>1.013603</v>
      </c>
      <c r="I6440">
        <v>140.11590000000001</v>
      </c>
      <c r="J6440">
        <v>-161.4984</v>
      </c>
      <c r="K6440">
        <v>1.1018250000000001</v>
      </c>
      <c r="L6440">
        <v>140.2602</v>
      </c>
      <c r="M6440">
        <v>0.99878350000000005</v>
      </c>
      <c r="N6440">
        <v>-1.7598599999999999E-2</v>
      </c>
      <c r="O6440">
        <v>-4.6062810000000003E-2</v>
      </c>
      <c r="P6440">
        <v>0.97447119999999998</v>
      </c>
      <c r="Q6440">
        <v>0.1711819</v>
      </c>
      <c r="R6440">
        <v>-0.14526889999999901</v>
      </c>
      <c r="S6440">
        <v>3.0510410000000001</v>
      </c>
      <c r="T6440">
        <v>-0.28600389999999998</v>
      </c>
      <c r="U6440">
        <v>-0.52706909999999996</v>
      </c>
      <c r="V6440">
        <v>0.1086239</v>
      </c>
      <c r="W6440">
        <v>0.18368760000000001</v>
      </c>
      <c r="X6440">
        <v>0.97696450000000001</v>
      </c>
      <c r="Y6440">
        <v>0.12415030000000001</v>
      </c>
      <c r="Z6440">
        <v>-3.3998079999999998E-3</v>
      </c>
      <c r="AA6440">
        <v>0.99225759999999996</v>
      </c>
      <c r="AB6440">
        <v>38</v>
      </c>
      <c r="AC6440">
        <v>0.57589999999998998</v>
      </c>
      <c r="AD6440">
        <v>-8.8221999999999995E-2</v>
      </c>
      <c r="AE6440">
        <v>-0.14429999999998699</v>
      </c>
      <c r="AF6440">
        <v>0.115074170723687</v>
      </c>
      <c r="AG6440">
        <v>-8.8221999999999995E-2</v>
      </c>
      <c r="AH6440">
        <v>0.56936437799098905</v>
      </c>
      <c r="AI6440">
        <v>98.635930981911201</v>
      </c>
      <c r="AJ6440">
        <v>78.573876672421093</v>
      </c>
      <c r="AK6440">
        <v>0.58753806768311601</v>
      </c>
      <c r="AL6440">
        <v>79.415373339031504</v>
      </c>
      <c r="AM6440">
        <v>83.655620482005205</v>
      </c>
      <c r="AN6440">
        <v>0.99999996015260895</v>
      </c>
    </row>
    <row r="6441" spans="1:40" x14ac:dyDescent="0.25">
      <c r="A6441" t="str">
        <f>"20190303171140105"</f>
        <v>20190303171140105</v>
      </c>
      <c r="B6441" t="str">
        <f>"1551604300097184"</f>
        <v>1551604300097184</v>
      </c>
      <c r="C6441" t="s">
        <v>40</v>
      </c>
      <c r="D6441">
        <v>5.3545499999999997</v>
      </c>
      <c r="E6441">
        <v>0.53476889999999999</v>
      </c>
      <c r="F6441" t="s">
        <v>42</v>
      </c>
      <c r="G6441">
        <v>-145.41299999999899</v>
      </c>
      <c r="H6441" s="1">
        <v>-2.4769380000000002E-6</v>
      </c>
      <c r="I6441">
        <v>136.6463</v>
      </c>
      <c r="J6441">
        <v>-161.12860000000001</v>
      </c>
      <c r="K6441">
        <v>1.1018509999999999</v>
      </c>
      <c r="L6441">
        <v>140.2353</v>
      </c>
      <c r="M6441">
        <v>0.99783480000000002</v>
      </c>
      <c r="N6441">
        <v>-1.7563990000000002E-2</v>
      </c>
      <c r="O6441">
        <v>-6.3383419999999996E-2</v>
      </c>
      <c r="P6441">
        <v>0.97239629999999999</v>
      </c>
      <c r="Q6441">
        <v>0.17091770000000001</v>
      </c>
      <c r="R6441">
        <v>-0.15884879999999901</v>
      </c>
      <c r="S6441">
        <v>3.0139010000000002</v>
      </c>
      <c r="T6441">
        <v>-0.20644760000000001</v>
      </c>
      <c r="U6441">
        <v>-0.67710879999999996</v>
      </c>
      <c r="V6441">
        <v>0.1052662</v>
      </c>
      <c r="W6441">
        <v>0.18355540000000001</v>
      </c>
      <c r="X6441">
        <v>0.97735689999999997</v>
      </c>
      <c r="Y6441">
        <v>0.15654199999999999</v>
      </c>
      <c r="Z6441">
        <v>-3.510745E-3</v>
      </c>
      <c r="AA6441">
        <v>0.98766509999999996</v>
      </c>
      <c r="AB6441">
        <v>38</v>
      </c>
      <c r="AC6441">
        <v>15.7156</v>
      </c>
      <c r="AD6441">
        <v>-1.101853476938</v>
      </c>
      <c r="AE6441">
        <v>-3.5889999999999902</v>
      </c>
      <c r="AF6441">
        <v>2.5734956753384099</v>
      </c>
      <c r="AG6441">
        <v>-1.101853476938</v>
      </c>
      <c r="AH6441">
        <v>15.837514751972799</v>
      </c>
      <c r="AI6441">
        <v>93.9284293583721</v>
      </c>
      <c r="AJ6441">
        <v>80.770467885015606</v>
      </c>
      <c r="AK6441">
        <v>16.083029397305101</v>
      </c>
      <c r="AL6441">
        <v>79.423079646693907</v>
      </c>
      <c r="AM6441">
        <v>83.852656906767905</v>
      </c>
      <c r="AN6441">
        <v>1.0000000338546</v>
      </c>
    </row>
    <row r="6442" spans="1:40" x14ac:dyDescent="0.25">
      <c r="A6442" t="str">
        <f>"20190303171140129"</f>
        <v>20190303171140129</v>
      </c>
      <c r="B6442" t="str">
        <f>"1551604300116704"</f>
        <v>1551604300116704</v>
      </c>
      <c r="C6442" t="s">
        <v>40</v>
      </c>
      <c r="D6442">
        <v>5.3433549999999999</v>
      </c>
      <c r="E6442">
        <v>0.53495630000000005</v>
      </c>
      <c r="F6442" t="s">
        <v>42</v>
      </c>
      <c r="G6442">
        <v>-144.10220000000001</v>
      </c>
      <c r="H6442" s="1">
        <v>-3.1463989999999998E-6</v>
      </c>
      <c r="I6442">
        <v>136.04230000000001</v>
      </c>
      <c r="J6442">
        <v>-160.7371</v>
      </c>
      <c r="K6442">
        <v>1.1018810000000001</v>
      </c>
      <c r="L6442">
        <v>140.20189999999999</v>
      </c>
      <c r="M6442">
        <v>0.99649929999999998</v>
      </c>
      <c r="N6442">
        <v>-1.752606E-2</v>
      </c>
      <c r="O6442">
        <v>-8.1744120000000003E-2</v>
      </c>
      <c r="P6442">
        <v>0.97016049999999998</v>
      </c>
      <c r="Q6442">
        <v>0.1696771</v>
      </c>
      <c r="R6442">
        <v>-0.17320070000000001</v>
      </c>
      <c r="S6442">
        <v>2.9986419999999998</v>
      </c>
      <c r="T6442">
        <v>-0.19405529999999999</v>
      </c>
      <c r="U6442">
        <v>-0.73844909999999997</v>
      </c>
      <c r="V6442">
        <v>0.1016141</v>
      </c>
      <c r="W6442">
        <v>0.18245939999999999</v>
      </c>
      <c r="X6442">
        <v>0.97794840000000005</v>
      </c>
      <c r="Y6442">
        <v>0.15861629999999999</v>
      </c>
      <c r="Z6442">
        <v>-2.6897829999999998E-3</v>
      </c>
      <c r="AA6442">
        <v>0.98733660000000001</v>
      </c>
      <c r="AB6442">
        <v>38</v>
      </c>
      <c r="AC6442">
        <v>16.634899999999899</v>
      </c>
      <c r="AD6442">
        <v>-1.1018841463989999</v>
      </c>
      <c r="AE6442">
        <v>-4.1595999999999798</v>
      </c>
      <c r="AF6442">
        <v>2.7742049898082501</v>
      </c>
      <c r="AG6442">
        <v>-1.1018841463989999</v>
      </c>
      <c r="AH6442">
        <v>16.8497067747067</v>
      </c>
      <c r="AI6442">
        <v>93.691956449054899</v>
      </c>
      <c r="AJ6442">
        <v>80.650466554168204</v>
      </c>
      <c r="AK6442">
        <v>17.112071189401998</v>
      </c>
      <c r="AL6442">
        <v>79.486953845194193</v>
      </c>
      <c r="AM6442">
        <v>84.067947276830907</v>
      </c>
      <c r="AN6442">
        <v>0.99999996551486403</v>
      </c>
    </row>
    <row r="6443" spans="1:40" x14ac:dyDescent="0.25">
      <c r="A6443" t="str">
        <f>"20190303171140152"</f>
        <v>20190303171140152</v>
      </c>
      <c r="B6443" t="str">
        <f>"1551604300146960"</f>
        <v>1551604300146960</v>
      </c>
      <c r="C6443" t="s">
        <v>40</v>
      </c>
      <c r="D6443">
        <v>5.3746539999999996</v>
      </c>
      <c r="E6443">
        <v>0.53432460000000004</v>
      </c>
      <c r="F6443" t="s">
        <v>42</v>
      </c>
      <c r="G6443">
        <v>-143.9426</v>
      </c>
      <c r="H6443" s="1">
        <v>-3.2603649999999998E-6</v>
      </c>
      <c r="I6443">
        <v>135.78569999999999</v>
      </c>
      <c r="J6443">
        <v>-160.3622</v>
      </c>
      <c r="K6443">
        <v>1.1019139999999901</v>
      </c>
      <c r="L6443">
        <v>140.16299999999899</v>
      </c>
      <c r="M6443">
        <v>0.99490020000000001</v>
      </c>
      <c r="N6443">
        <v>-1.748777E-2</v>
      </c>
      <c r="O6443">
        <v>-9.9337620000000001E-2</v>
      </c>
      <c r="P6443">
        <v>0.96789250000000004</v>
      </c>
      <c r="Q6443">
        <v>0.16757639999999999</v>
      </c>
      <c r="R6443">
        <v>-0.18735660000000001</v>
      </c>
      <c r="S6443">
        <v>2.9863590000000002</v>
      </c>
      <c r="T6443">
        <v>-0.19593469999999999</v>
      </c>
      <c r="U6443">
        <v>-0.78526309999999999</v>
      </c>
      <c r="V6443">
        <v>9.8466849999999995E-2</v>
      </c>
      <c r="W6443">
        <v>0.180481</v>
      </c>
      <c r="X6443">
        <v>0.97863730000000004</v>
      </c>
      <c r="Y6443">
        <v>0.15666459999999999</v>
      </c>
      <c r="Z6443">
        <v>-1.784084E-3</v>
      </c>
      <c r="AA6443">
        <v>0.98765029999999998</v>
      </c>
      <c r="AB6443">
        <v>37</v>
      </c>
      <c r="AC6443">
        <v>16.419599999999999</v>
      </c>
      <c r="AD6443">
        <v>-1.10191726036499</v>
      </c>
      <c r="AE6443">
        <v>-4.3772999999999902</v>
      </c>
      <c r="AF6443">
        <v>2.7129015469745399</v>
      </c>
      <c r="AG6443">
        <v>-1.10191726036499</v>
      </c>
      <c r="AH6443">
        <v>16.7030228682511</v>
      </c>
      <c r="AI6443">
        <v>93.725715482434197</v>
      </c>
      <c r="AJ6443">
        <v>80.774591006098106</v>
      </c>
      <c r="AK6443">
        <v>16.957742461471302</v>
      </c>
      <c r="AL6443">
        <v>79.602222463291199</v>
      </c>
      <c r="AM6443">
        <v>84.254448050039898</v>
      </c>
      <c r="AN6443">
        <v>1.0000000384306</v>
      </c>
    </row>
    <row r="6444" spans="1:40" x14ac:dyDescent="0.25">
      <c r="A6444" t="str">
        <f>"20190303171140178"</f>
        <v>20190303171140178</v>
      </c>
      <c r="B6444" t="str">
        <f>"1551604300167456"</f>
        <v>1551604300167456</v>
      </c>
      <c r="C6444" t="s">
        <v>40</v>
      </c>
      <c r="D6444">
        <v>5.3876970000000002</v>
      </c>
      <c r="E6444">
        <v>0.53327729999999995</v>
      </c>
      <c r="F6444" t="s">
        <v>42</v>
      </c>
      <c r="G6444">
        <v>-143.9641</v>
      </c>
      <c r="H6444" s="1">
        <v>-3.2802430000000001E-6</v>
      </c>
      <c r="I6444">
        <v>135.6217</v>
      </c>
      <c r="J6444">
        <v>-159.92140000000001</v>
      </c>
      <c r="K6444">
        <v>1.1019699999999999</v>
      </c>
      <c r="L6444">
        <v>140.1087</v>
      </c>
      <c r="M6444">
        <v>0.99261770000000005</v>
      </c>
      <c r="N6444">
        <v>-1.7439360000000001E-2</v>
      </c>
      <c r="O6444">
        <v>-0.1200249</v>
      </c>
      <c r="P6444">
        <v>0.96454549999999994</v>
      </c>
      <c r="Q6444">
        <v>0.1669506</v>
      </c>
      <c r="R6444">
        <v>-0.2044</v>
      </c>
      <c r="S6444">
        <v>2.97464</v>
      </c>
      <c r="T6444">
        <v>-0.19988929999999999</v>
      </c>
      <c r="U6444">
        <v>-0.82379150000000001</v>
      </c>
      <c r="V6444">
        <v>9.5283759999999995E-2</v>
      </c>
      <c r="W6444">
        <v>0.17996879999999901</v>
      </c>
      <c r="X6444">
        <v>0.97904659999999999</v>
      </c>
      <c r="Y6444">
        <v>0.14901339999999999</v>
      </c>
      <c r="Z6444">
        <v>-4.3801190000000001E-4</v>
      </c>
      <c r="AA6444">
        <v>0.98883509999999997</v>
      </c>
      <c r="AB6444">
        <v>37</v>
      </c>
      <c r="AC6444">
        <v>15.9573</v>
      </c>
      <c r="AD6444">
        <v>-1.101973280243</v>
      </c>
      <c r="AE6444">
        <v>-4.4869999999999903</v>
      </c>
      <c r="AF6444">
        <v>2.5278166627918601</v>
      </c>
      <c r="AG6444">
        <v>-1.101973280243</v>
      </c>
      <c r="AH6444">
        <v>16.308465626783601</v>
      </c>
      <c r="AI6444">
        <v>93.820155852146698</v>
      </c>
      <c r="AJ6444">
        <v>81.189251607399996</v>
      </c>
      <c r="AK6444">
        <v>16.539959289279999</v>
      </c>
      <c r="AL6444">
        <v>79.632057546884397</v>
      </c>
      <c r="AM6444">
        <v>84.441308499040204</v>
      </c>
      <c r="AN6444">
        <v>1.00000000443236</v>
      </c>
    </row>
    <row r="6445" spans="1:40" x14ac:dyDescent="0.25">
      <c r="A6445" t="str">
        <f>"20190303171140205"</f>
        <v>20190303171140205</v>
      </c>
      <c r="B6445" t="str">
        <f>"1551604300196736"</f>
        <v>1551604300196736</v>
      </c>
      <c r="C6445" t="s">
        <v>40</v>
      </c>
      <c r="D6445">
        <v>5.4236529999999998</v>
      </c>
      <c r="E6445">
        <v>0.53157030000000005</v>
      </c>
      <c r="F6445" t="s">
        <v>42</v>
      </c>
      <c r="G6445">
        <v>-144.00219999999999</v>
      </c>
      <c r="H6445" s="1">
        <v>-3.2958720000000001E-6</v>
      </c>
      <c r="I6445">
        <v>135.44159999999999</v>
      </c>
      <c r="J6445">
        <v>-159.45609999999999</v>
      </c>
      <c r="K6445">
        <v>1.102044</v>
      </c>
      <c r="L6445">
        <v>140.0402</v>
      </c>
      <c r="M6445">
        <v>0.98973630000000001</v>
      </c>
      <c r="N6445">
        <v>-1.7381710000000002E-2</v>
      </c>
      <c r="O6445">
        <v>-0.14184559999999999</v>
      </c>
      <c r="P6445">
        <v>0.96057979999999998</v>
      </c>
      <c r="Q6445">
        <v>0.1671282</v>
      </c>
      <c r="R6445">
        <v>-0.2221593</v>
      </c>
      <c r="S6445">
        <v>2.9617460000000002</v>
      </c>
      <c r="T6445">
        <v>-0.2050196</v>
      </c>
      <c r="U6445">
        <v>-0.8683014</v>
      </c>
      <c r="V6445">
        <v>9.1764289999999998E-2</v>
      </c>
      <c r="W6445">
        <v>0.1802676</v>
      </c>
      <c r="X6445">
        <v>0.97932779999999997</v>
      </c>
      <c r="Y6445">
        <v>0.14212540000000001</v>
      </c>
      <c r="Z6445">
        <v>1.0261809999999999E-3</v>
      </c>
      <c r="AA6445">
        <v>0.98984810000000001</v>
      </c>
      <c r="AB6445">
        <v>37</v>
      </c>
      <c r="AC6445">
        <v>15.453900000000001</v>
      </c>
      <c r="AD6445">
        <v>-1.102047295872</v>
      </c>
      <c r="AE6445">
        <v>-4.5986000000000002</v>
      </c>
      <c r="AF6445">
        <v>2.3487172783719301</v>
      </c>
      <c r="AG6445">
        <v>-1.102047295872</v>
      </c>
      <c r="AH6445">
        <v>15.8758172688916</v>
      </c>
      <c r="AI6445">
        <v>93.9282946932111</v>
      </c>
      <c r="AJ6445">
        <v>81.584528611953004</v>
      </c>
      <c r="AK6445">
        <v>16.0864090166606</v>
      </c>
      <c r="AL6445">
        <v>79.614653038225001</v>
      </c>
      <c r="AM6445">
        <v>84.646940846833701</v>
      </c>
      <c r="AN6445">
        <v>1.0000000161909</v>
      </c>
    </row>
    <row r="6446" spans="1:40" x14ac:dyDescent="0.25">
      <c r="A6446" t="str">
        <f>"20190303171140226"</f>
        <v>20190303171140226</v>
      </c>
      <c r="B6446" t="str">
        <f>"1551604300217232"</f>
        <v>1551604300217232</v>
      </c>
      <c r="C6446" t="s">
        <v>40</v>
      </c>
      <c r="D6446">
        <v>5.3781929999999996</v>
      </c>
      <c r="E6446">
        <v>0.52255269999999998</v>
      </c>
      <c r="F6446" t="s">
        <v>42</v>
      </c>
      <c r="G6446">
        <v>-144.01429999999999</v>
      </c>
      <c r="H6446" s="1">
        <v>-3.320547E-6</v>
      </c>
      <c r="I6446">
        <v>135.2731</v>
      </c>
      <c r="J6446">
        <v>-159.10120000000001</v>
      </c>
      <c r="K6446">
        <v>1.1021019999999999</v>
      </c>
      <c r="L6446">
        <v>139.9811</v>
      </c>
      <c r="M6446">
        <v>0.98721360000000002</v>
      </c>
      <c r="N6446">
        <v>-1.7333970000000001E-2</v>
      </c>
      <c r="O6446">
        <v>-0.1584583</v>
      </c>
      <c r="P6446">
        <v>0.95799389999999995</v>
      </c>
      <c r="Q6446">
        <v>0.16622679999999901</v>
      </c>
      <c r="R6446">
        <v>-0.23370199999999999</v>
      </c>
      <c r="S6446">
        <v>2.9491580000000002</v>
      </c>
      <c r="T6446">
        <v>-0.21047469999999999</v>
      </c>
      <c r="U6446">
        <v>-0.91043090000000004</v>
      </c>
      <c r="V6446">
        <v>8.6985649999999998E-2</v>
      </c>
      <c r="W6446">
        <v>0.17955279999999901</v>
      </c>
      <c r="X6446">
        <v>0.97989510000000002</v>
      </c>
      <c r="Y6446">
        <v>0.13961419999999999</v>
      </c>
      <c r="Z6446">
        <v>2.128334E-3</v>
      </c>
      <c r="AA6446">
        <v>0.99020370000000002</v>
      </c>
      <c r="AB6446">
        <v>37</v>
      </c>
      <c r="AC6446">
        <v>15.0869</v>
      </c>
      <c r="AD6446">
        <v>-1.1021053205469999</v>
      </c>
      <c r="AE6446">
        <v>-4.7079999999999904</v>
      </c>
      <c r="AF6446">
        <v>2.2465713740559301</v>
      </c>
      <c r="AG6446">
        <v>-1.1021053205469999</v>
      </c>
      <c r="AH6446">
        <v>15.5666652144173</v>
      </c>
      <c r="AI6446">
        <v>94.008339701227698</v>
      </c>
      <c r="AJ6446">
        <v>81.787810444463503</v>
      </c>
      <c r="AK6446">
        <v>15.766508331715499</v>
      </c>
      <c r="AL6446">
        <v>79.656287857380505</v>
      </c>
      <c r="AM6446">
        <v>84.927129642861502</v>
      </c>
      <c r="AN6446">
        <v>1.00000005914888</v>
      </c>
    </row>
    <row r="6447" spans="1:40" x14ac:dyDescent="0.25">
      <c r="A6447" t="str">
        <f>"20190303171140245"</f>
        <v>20190303171140245</v>
      </c>
      <c r="B6447" t="str">
        <f>"1551604300236753"</f>
        <v>1551604300236753</v>
      </c>
      <c r="C6447" t="s">
        <v>40</v>
      </c>
      <c r="D6447">
        <v>5.4483480000000002</v>
      </c>
      <c r="E6447">
        <v>0.52098610000000001</v>
      </c>
      <c r="F6447" t="s">
        <v>42</v>
      </c>
      <c r="G6447">
        <v>-143.40819999999999</v>
      </c>
      <c r="H6447" s="1">
        <v>-3.571691E-6</v>
      </c>
      <c r="I6447">
        <v>135.32320000000001</v>
      </c>
      <c r="J6447">
        <v>-158.7852</v>
      </c>
      <c r="K6447">
        <v>1.102168</v>
      </c>
      <c r="L6447">
        <v>139.92330000000001</v>
      </c>
      <c r="M6447">
        <v>0.98473219999999995</v>
      </c>
      <c r="N6447">
        <v>-1.7289249999999999E-2</v>
      </c>
      <c r="O6447">
        <v>-0.17321589999999901</v>
      </c>
      <c r="P6447">
        <v>0.95587860000000002</v>
      </c>
      <c r="Q6447">
        <v>0.164331</v>
      </c>
      <c r="R6447">
        <v>-0.24349889999999999</v>
      </c>
      <c r="S6447">
        <v>2.9536739999999999</v>
      </c>
      <c r="T6447">
        <v>-0.20743300000000001</v>
      </c>
      <c r="U6447">
        <v>-0.87669370000000002</v>
      </c>
      <c r="V6447">
        <v>8.2172110000000007E-2</v>
      </c>
      <c r="W6447">
        <v>0.17784920000000001</v>
      </c>
      <c r="X6447">
        <v>0.98062090000000002</v>
      </c>
      <c r="Y6447">
        <v>0.1140549</v>
      </c>
      <c r="Z6447">
        <v>3.891037E-3</v>
      </c>
      <c r="AA6447">
        <v>0.99346690000000004</v>
      </c>
      <c r="AB6447">
        <v>37</v>
      </c>
      <c r="AC6447">
        <v>15.377000000000001</v>
      </c>
      <c r="AD6447">
        <v>-1.1021715716910001</v>
      </c>
      <c r="AE6447">
        <v>-4.6000999999999896</v>
      </c>
      <c r="AF6447">
        <v>1.8578438212343</v>
      </c>
      <c r="AG6447">
        <v>-1.1021715716910001</v>
      </c>
      <c r="AH6447">
        <v>15.8665994658767</v>
      </c>
      <c r="AI6447">
        <v>93.946783874534603</v>
      </c>
      <c r="AJ6447">
        <v>83.3215622261432</v>
      </c>
      <c r="AK6447">
        <v>16.0129742536514</v>
      </c>
      <c r="AL6447">
        <v>79.755492924050898</v>
      </c>
      <c r="AM6447">
        <v>85.210033229706696</v>
      </c>
      <c r="AN6447">
        <v>0.99999997155965004</v>
      </c>
    </row>
    <row r="6448" spans="1:40" x14ac:dyDescent="0.25">
      <c r="A6448" t="str">
        <f>"20190303171140265"</f>
        <v>20190303171140265</v>
      </c>
      <c r="B6448" t="str">
        <f>"1551604300257248"</f>
        <v>1551604300257248</v>
      </c>
      <c r="C6448" t="s">
        <v>40</v>
      </c>
      <c r="D6448">
        <v>5.4411949999999996</v>
      </c>
      <c r="E6448">
        <v>0.51986179999999904</v>
      </c>
      <c r="F6448" t="s">
        <v>43</v>
      </c>
      <c r="G6448">
        <v>-157.89779999999999</v>
      </c>
      <c r="H6448">
        <v>1.036902</v>
      </c>
      <c r="I6448">
        <v>139.65350000000001</v>
      </c>
      <c r="J6448">
        <v>-158.4725</v>
      </c>
      <c r="K6448">
        <v>1.1022379999999901</v>
      </c>
      <c r="L6448">
        <v>139.8612</v>
      </c>
      <c r="M6448">
        <v>0.98206420000000005</v>
      </c>
      <c r="N6448">
        <v>-1.7241889999999999E-2</v>
      </c>
      <c r="O6448">
        <v>-0.1877576</v>
      </c>
      <c r="P6448">
        <v>0.95379320000000001</v>
      </c>
      <c r="Q6448">
        <v>0.1622564</v>
      </c>
      <c r="R6448">
        <v>-0.25288640000000001</v>
      </c>
      <c r="S6448">
        <v>2.9475099999999999</v>
      </c>
      <c r="T6448">
        <v>-0.21647720000000001</v>
      </c>
      <c r="U6448">
        <v>-0.89576719999999899</v>
      </c>
      <c r="V6448">
        <v>7.7110570000000003E-2</v>
      </c>
      <c r="W6448">
        <v>0.1759762</v>
      </c>
      <c r="X6448">
        <v>0.98136959999999995</v>
      </c>
      <c r="Y6448">
        <v>0.1058689</v>
      </c>
      <c r="Z6448">
        <v>5.3831640000000002E-3</v>
      </c>
      <c r="AA6448">
        <v>0.99436550000000001</v>
      </c>
      <c r="AB6448">
        <v>37</v>
      </c>
      <c r="AC6448">
        <v>0.57470000000000698</v>
      </c>
      <c r="AD6448">
        <v>-6.5335999999999797E-2</v>
      </c>
      <c r="AE6448">
        <v>-0.20769999999998801</v>
      </c>
      <c r="AF6448">
        <v>9.4998720410689796E-2</v>
      </c>
      <c r="AG6448">
        <v>-6.5335999999999797E-2</v>
      </c>
      <c r="AH6448">
        <v>0.59665839067984106</v>
      </c>
      <c r="AI6448">
        <v>96.172041639964604</v>
      </c>
      <c r="AJ6448">
        <v>80.953418615624997</v>
      </c>
      <c r="AK6448">
        <v>0.60769629334423803</v>
      </c>
      <c r="AL6448">
        <v>79.864527856083299</v>
      </c>
      <c r="AM6448">
        <v>85.507246848219097</v>
      </c>
      <c r="AN6448">
        <v>0.99999997738816204</v>
      </c>
    </row>
    <row r="6449" spans="1:40" x14ac:dyDescent="0.25">
      <c r="A6449" t="str">
        <f>"20190303171140288"</f>
        <v>20190303171140288</v>
      </c>
      <c r="B6449" t="str">
        <f>"1551604300276769"</f>
        <v>1551604300276769</v>
      </c>
      <c r="C6449" t="s">
        <v>40</v>
      </c>
      <c r="D6449">
        <v>5.4767479999999997</v>
      </c>
      <c r="E6449">
        <v>0.51888469999999998</v>
      </c>
      <c r="F6449" t="s">
        <v>43</v>
      </c>
      <c r="G6449">
        <v>-157.57679999999999</v>
      </c>
      <c r="H6449">
        <v>1.0285040000000001</v>
      </c>
      <c r="I6449">
        <v>139.58189999999999</v>
      </c>
      <c r="J6449">
        <v>-158.07919999999999</v>
      </c>
      <c r="K6449">
        <v>1.102355</v>
      </c>
      <c r="L6449">
        <v>139.77600000000001</v>
      </c>
      <c r="M6449">
        <v>0.97841670000000003</v>
      </c>
      <c r="N6449">
        <v>-1.717401E-2</v>
      </c>
      <c r="O6449">
        <v>-0.20592730000000001</v>
      </c>
      <c r="P6449">
        <v>0.95115890000000003</v>
      </c>
      <c r="Q6449">
        <v>0.15965699999999999</v>
      </c>
      <c r="R6449">
        <v>-0.26420870000000002</v>
      </c>
      <c r="S6449">
        <v>2.9432529999999999</v>
      </c>
      <c r="T6449">
        <v>-0.2420146</v>
      </c>
      <c r="U6449">
        <v>-0.91743470000000005</v>
      </c>
      <c r="V6449">
        <v>7.0314849999999998E-2</v>
      </c>
      <c r="W6449">
        <v>0.1736414</v>
      </c>
      <c r="X6449">
        <v>0.98229549999999999</v>
      </c>
      <c r="Y6449">
        <v>9.4608070000000002E-2</v>
      </c>
      <c r="Z6449">
        <v>8.1730540000000008E-3</v>
      </c>
      <c r="AA6449">
        <v>0.99548110000000001</v>
      </c>
      <c r="AB6449">
        <v>37</v>
      </c>
      <c r="AC6449">
        <v>0.50239999999999396</v>
      </c>
      <c r="AD6449">
        <v>-7.3850999999999806E-2</v>
      </c>
      <c r="AE6449">
        <v>-0.19410000000002001</v>
      </c>
      <c r="AF6449">
        <v>8.4869861290106E-2</v>
      </c>
      <c r="AG6449">
        <v>-7.3850999999999806E-2</v>
      </c>
      <c r="AH6449">
        <v>0.52179481714911802</v>
      </c>
      <c r="AI6449">
        <v>97.952575312469406</v>
      </c>
      <c r="AJ6449">
        <v>80.761747724979998</v>
      </c>
      <c r="AK6449">
        <v>0.53378525153856005</v>
      </c>
      <c r="AL6449">
        <v>80.000394136455398</v>
      </c>
      <c r="AM6449">
        <v>85.905627059756696</v>
      </c>
      <c r="AN6449">
        <v>0.99999998162236603</v>
      </c>
    </row>
    <row r="6450" spans="1:40" x14ac:dyDescent="0.25">
      <c r="A6450" t="str">
        <f>"20190303171140319"</f>
        <v>20190303171140319</v>
      </c>
      <c r="B6450" t="str">
        <f>"1551604300307025"</f>
        <v>1551604300307025</v>
      </c>
      <c r="C6450" t="s">
        <v>40</v>
      </c>
      <c r="D6450">
        <v>5.5061289999999996</v>
      </c>
      <c r="E6450">
        <v>0.51713169999999997</v>
      </c>
      <c r="F6450" t="s">
        <v>43</v>
      </c>
      <c r="G6450">
        <v>-157.249</v>
      </c>
      <c r="H6450">
        <v>1.029344</v>
      </c>
      <c r="I6450">
        <v>139.5078</v>
      </c>
      <c r="J6450">
        <v>-157.57560000000001</v>
      </c>
      <c r="K6450">
        <v>1.102576</v>
      </c>
      <c r="L6450">
        <v>139.65610000000001</v>
      </c>
      <c r="M6450">
        <v>0.97329770000000004</v>
      </c>
      <c r="N6450">
        <v>-1.7069109999999998E-2</v>
      </c>
      <c r="O6450">
        <v>-0.2289118</v>
      </c>
      <c r="P6450">
        <v>0.94711699999999999</v>
      </c>
      <c r="Q6450">
        <v>0.15921569999999999</v>
      </c>
      <c r="R6450">
        <v>-0.27860439999999997</v>
      </c>
      <c r="S6450">
        <v>2.9340359999999999</v>
      </c>
      <c r="T6450">
        <v>-0.25781690000000002</v>
      </c>
      <c r="U6450">
        <v>-0.94787600000000005</v>
      </c>
      <c r="V6450">
        <v>6.1931109999999998E-2</v>
      </c>
      <c r="W6450">
        <v>0.1735015</v>
      </c>
      <c r="X6450">
        <v>0.98288439999999999</v>
      </c>
      <c r="Y6450">
        <v>8.1549880000000005E-2</v>
      </c>
      <c r="Z6450">
        <v>1.120549E-2</v>
      </c>
      <c r="AA6450">
        <v>0.99660629999999994</v>
      </c>
      <c r="AB6450">
        <v>37</v>
      </c>
      <c r="AC6450">
        <v>0.32660000000001299</v>
      </c>
      <c r="AD6450">
        <v>-7.3231999999999894E-2</v>
      </c>
      <c r="AE6450">
        <v>-0.14830000000000601</v>
      </c>
      <c r="AF6450">
        <v>6.6803043035900803E-2</v>
      </c>
      <c r="AG6450">
        <v>-7.3231999999999894E-2</v>
      </c>
      <c r="AH6450">
        <v>0.33779750564542899</v>
      </c>
      <c r="AI6450">
        <v>102.006422924885</v>
      </c>
      <c r="AJ6450">
        <v>78.813492807402895</v>
      </c>
      <c r="AK6450">
        <v>0.35204080332133397</v>
      </c>
      <c r="AL6450">
        <v>80.008533426821998</v>
      </c>
      <c r="AM6450">
        <v>86.394584721917496</v>
      </c>
      <c r="AN6450">
        <v>0.99999998832572001</v>
      </c>
    </row>
    <row r="6451" spans="1:40" x14ac:dyDescent="0.25">
      <c r="A6451" t="str">
        <f>"20190303171140349"</f>
        <v>20190303171140349</v>
      </c>
      <c r="B6451" t="str">
        <f>"1551604300337280"</f>
        <v>1551604300337280</v>
      </c>
      <c r="C6451" t="s">
        <v>40</v>
      </c>
      <c r="D6451">
        <v>5.5116430000000003</v>
      </c>
      <c r="E6451">
        <v>0.51556959999999996</v>
      </c>
      <c r="F6451" t="s">
        <v>43</v>
      </c>
      <c r="G6451">
        <v>-156.60810000000001</v>
      </c>
      <c r="H6451">
        <v>1.017881</v>
      </c>
      <c r="I6451">
        <v>139.33099999999999</v>
      </c>
      <c r="J6451">
        <v>-157.08150000000001</v>
      </c>
      <c r="K6451">
        <v>1.102881</v>
      </c>
      <c r="L6451">
        <v>139.52549999999999</v>
      </c>
      <c r="M6451">
        <v>0.96784490000000001</v>
      </c>
      <c r="N6451">
        <v>-1.693911E-2</v>
      </c>
      <c r="O6451">
        <v>-0.2509768</v>
      </c>
      <c r="P6451">
        <v>0.94205629999999996</v>
      </c>
      <c r="Q6451">
        <v>0.16002539999999901</v>
      </c>
      <c r="R6451">
        <v>-0.29482580000000003</v>
      </c>
      <c r="S6451">
        <v>2.9217680000000001</v>
      </c>
      <c r="T6451">
        <v>-0.25560549999999999</v>
      </c>
      <c r="U6451">
        <v>-0.98141480000000003</v>
      </c>
      <c r="V6451">
        <v>5.6394229999999997E-2</v>
      </c>
      <c r="W6451">
        <v>0.1744608</v>
      </c>
      <c r="X6451">
        <v>0.98304789999999997</v>
      </c>
      <c r="Y6451">
        <v>7.0514489999999999E-2</v>
      </c>
      <c r="Z6451">
        <v>1.312164E-2</v>
      </c>
      <c r="AA6451">
        <v>0.99742439999999999</v>
      </c>
      <c r="AB6451">
        <v>37</v>
      </c>
      <c r="AC6451">
        <v>0.47339999999999799</v>
      </c>
      <c r="AD6451">
        <v>-8.4999999999999895E-2</v>
      </c>
      <c r="AE6451">
        <v>-0.194499999999976</v>
      </c>
      <c r="AF6451">
        <v>6.75793449636405E-2</v>
      </c>
      <c r="AG6451">
        <v>-8.4999999999999895E-2</v>
      </c>
      <c r="AH6451">
        <v>0.49345460515681799</v>
      </c>
      <c r="AI6451">
        <v>99.6849026451725</v>
      </c>
      <c r="AJ6451">
        <v>82.201769755318097</v>
      </c>
      <c r="AK6451">
        <v>0.50526172941970005</v>
      </c>
      <c r="AL6451">
        <v>79.952718736359998</v>
      </c>
      <c r="AM6451">
        <v>86.716727799570407</v>
      </c>
      <c r="AN6451">
        <v>1.00000002680417</v>
      </c>
    </row>
    <row r="6452" spans="1:40" x14ac:dyDescent="0.25">
      <c r="A6452" t="str">
        <f>"20190303171140369"</f>
        <v>20190303171140369</v>
      </c>
      <c r="B6452" t="str">
        <f>"1551604300356800"</f>
        <v>1551604300356800</v>
      </c>
      <c r="C6452" t="s">
        <v>40</v>
      </c>
      <c r="D6452">
        <v>5.4924099999999996</v>
      </c>
      <c r="E6452">
        <v>0.51513059999999999</v>
      </c>
      <c r="F6452" t="s">
        <v>43</v>
      </c>
      <c r="G6452">
        <v>-156.27619999999999</v>
      </c>
      <c r="H6452">
        <v>1.033463</v>
      </c>
      <c r="I6452">
        <v>139.2423</v>
      </c>
      <c r="J6452">
        <v>-156.76499999999999</v>
      </c>
      <c r="K6452">
        <v>1.1031219999999999</v>
      </c>
      <c r="L6452">
        <v>139.4357</v>
      </c>
      <c r="M6452">
        <v>0.96415700000000004</v>
      </c>
      <c r="N6452">
        <v>-1.6844140000000001E-2</v>
      </c>
      <c r="O6452">
        <v>-0.26479720000000001</v>
      </c>
      <c r="P6452">
        <v>0.93920459999999995</v>
      </c>
      <c r="Q6452">
        <v>0.1597015</v>
      </c>
      <c r="R6452">
        <v>-0.3039579</v>
      </c>
      <c r="S6452">
        <v>2.9072879999999999</v>
      </c>
      <c r="T6452">
        <v>-0.25025750000000002</v>
      </c>
      <c r="U6452">
        <v>-1.021744</v>
      </c>
      <c r="V6452">
        <v>5.1734700000000002E-2</v>
      </c>
      <c r="W6452">
        <v>0.1742716</v>
      </c>
      <c r="X6452">
        <v>0.98333760000000003</v>
      </c>
      <c r="Y6452">
        <v>7.012504E-2</v>
      </c>
      <c r="Z6452">
        <v>1.369661E-2</v>
      </c>
      <c r="AA6452">
        <v>0.9974442</v>
      </c>
      <c r="AB6452">
        <v>37</v>
      </c>
      <c r="AC6452">
        <v>0.48879999999999701</v>
      </c>
      <c r="AD6452">
        <v>-6.9658999999999902E-2</v>
      </c>
      <c r="AE6452">
        <v>-0.19339999999999599</v>
      </c>
      <c r="AF6452">
        <v>5.6058785038220198E-2</v>
      </c>
      <c r="AG6452">
        <v>-6.9658999999999902E-2</v>
      </c>
      <c r="AH6452">
        <v>0.51354788371788096</v>
      </c>
      <c r="AI6452">
        <v>97.679537741850496</v>
      </c>
      <c r="AJ6452">
        <v>83.770270144278598</v>
      </c>
      <c r="AK6452">
        <v>0.52127381723243604</v>
      </c>
      <c r="AL6452">
        <v>79.9637269941271</v>
      </c>
      <c r="AM6452">
        <v>86.988369411796896</v>
      </c>
      <c r="AN6452">
        <v>0.99999995266220298</v>
      </c>
    </row>
    <row r="6453" spans="1:40" x14ac:dyDescent="0.25">
      <c r="A6453" t="str">
        <f>"20190303171140409"</f>
        <v>20190303171140409</v>
      </c>
      <c r="B6453" t="str">
        <f>"1551604300396816"</f>
        <v>1551604300396816</v>
      </c>
      <c r="C6453" t="s">
        <v>40</v>
      </c>
      <c r="D6453">
        <v>5.6488529999999999</v>
      </c>
      <c r="E6453">
        <v>0.46843420000000002</v>
      </c>
      <c r="F6453" t="s">
        <v>43</v>
      </c>
      <c r="G6453">
        <v>-155.95740000000001</v>
      </c>
      <c r="H6453">
        <v>1.032945</v>
      </c>
      <c r="I6453">
        <v>139.14359999999999</v>
      </c>
      <c r="J6453">
        <v>-156.1337</v>
      </c>
      <c r="K6453">
        <v>1.1038429999999999</v>
      </c>
      <c r="L6453">
        <v>139.2422</v>
      </c>
      <c r="M6453">
        <v>0.9565437</v>
      </c>
      <c r="N6453">
        <v>-1.6615060000000001E-2</v>
      </c>
      <c r="O6453">
        <v>-0.29111520000000002</v>
      </c>
      <c r="P6453">
        <v>0.93524940000000001</v>
      </c>
      <c r="Q6453">
        <v>0.15593750000000001</v>
      </c>
      <c r="R6453">
        <v>-0.31779269999999998</v>
      </c>
      <c r="S6453">
        <v>2.8978419999999998</v>
      </c>
      <c r="T6453">
        <v>-0.25172889999999998</v>
      </c>
      <c r="U6453">
        <v>-1.0479889999999901</v>
      </c>
      <c r="V6453">
        <v>3.8638100000000002E-2</v>
      </c>
      <c r="W6453">
        <v>0.17090159999999999</v>
      </c>
      <c r="X6453">
        <v>0.98453020000000002</v>
      </c>
      <c r="Y6453">
        <v>5.1939150000000003E-2</v>
      </c>
      <c r="Z6453">
        <v>1.646709E-2</v>
      </c>
      <c r="AA6453">
        <v>0.99851449999999997</v>
      </c>
      <c r="AB6453">
        <v>37</v>
      </c>
      <c r="AC6453">
        <v>0.17629999999999699</v>
      </c>
      <c r="AD6453">
        <v>-7.08980000000001E-2</v>
      </c>
      <c r="AE6453">
        <v>-9.8600000000004601E-2</v>
      </c>
      <c r="AF6453">
        <v>3.8281684897917202E-2</v>
      </c>
      <c r="AG6453">
        <v>-7.08980000000001E-2</v>
      </c>
      <c r="AH6453">
        <v>0.17572288293817001</v>
      </c>
      <c r="AI6453">
        <v>111.51527590148601</v>
      </c>
      <c r="AJ6453">
        <v>77.709991730786797</v>
      </c>
      <c r="AK6453">
        <v>0.19331462797917101</v>
      </c>
      <c r="AL6453">
        <v>80.159755760744304</v>
      </c>
      <c r="AM6453">
        <v>87.752568126163396</v>
      </c>
      <c r="AN6453">
        <v>0.99999998718310401</v>
      </c>
    </row>
    <row r="6454" spans="1:40" x14ac:dyDescent="0.25">
      <c r="A6454" t="str">
        <f>"20190303171140431"</f>
        <v>20190303171140431</v>
      </c>
      <c r="B6454" t="str">
        <f>"1551604300427073"</f>
        <v>1551604300427073</v>
      </c>
      <c r="C6454" t="s">
        <v>40</v>
      </c>
      <c r="D6454">
        <v>5.7030120000000002</v>
      </c>
      <c r="E6454">
        <v>0.45099739999999999</v>
      </c>
      <c r="F6454" t="s">
        <v>42</v>
      </c>
      <c r="G6454">
        <v>-142.91220000000001</v>
      </c>
      <c r="H6454" s="1">
        <v>-3.667061E-6</v>
      </c>
      <c r="I6454">
        <v>135.98490000000001</v>
      </c>
      <c r="J6454">
        <v>-155.76230000000001</v>
      </c>
      <c r="K6454">
        <v>1.1044389999999999</v>
      </c>
      <c r="L6454">
        <v>139.12010000000001</v>
      </c>
      <c r="M6454">
        <v>0.95202030000000004</v>
      </c>
      <c r="N6454">
        <v>-1.6444650000000002E-2</v>
      </c>
      <c r="O6454">
        <v>-0.3055928</v>
      </c>
      <c r="P6454">
        <v>0.93206750000000005</v>
      </c>
      <c r="Q6454">
        <v>0.15754170000000001</v>
      </c>
      <c r="R6454">
        <v>-0.32623760000000002</v>
      </c>
      <c r="S6454">
        <v>2.9984280000000001</v>
      </c>
      <c r="T6454">
        <v>-0.25033650000000002</v>
      </c>
      <c r="U6454">
        <v>-0.73870849999999999</v>
      </c>
      <c r="V6454">
        <v>3.2490600000000001E-2</v>
      </c>
      <c r="W6454">
        <v>0.17262179999999999</v>
      </c>
      <c r="X6454">
        <v>0.9844522</v>
      </c>
      <c r="Y6454">
        <v>-6.8124820000000003E-2</v>
      </c>
      <c r="Z6454">
        <v>2.287322E-2</v>
      </c>
      <c r="AA6454">
        <v>0.99741460000000004</v>
      </c>
      <c r="AB6454">
        <v>37</v>
      </c>
      <c r="AC6454">
        <v>12.8500999999999</v>
      </c>
      <c r="AD6454">
        <v>-1.1044426670609999</v>
      </c>
      <c r="AE6454">
        <v>-3.13519999999999</v>
      </c>
      <c r="AF6454">
        <v>-0.935727442697456</v>
      </c>
      <c r="AG6454">
        <v>-1.1044426670609999</v>
      </c>
      <c r="AH6454">
        <v>13.102085875568999</v>
      </c>
      <c r="AI6454">
        <v>94.806182957374006</v>
      </c>
      <c r="AJ6454">
        <v>94.085025788443104</v>
      </c>
      <c r="AK6454">
        <v>13.181806922521201</v>
      </c>
      <c r="AL6454">
        <v>80.059709124166005</v>
      </c>
      <c r="AM6454">
        <v>88.109711379798398</v>
      </c>
      <c r="AN6454">
        <v>1.00000002950421</v>
      </c>
    </row>
    <row r="6455" spans="1:40" x14ac:dyDescent="0.25">
      <c r="A6455" t="str">
        <f>"20190303171140454"</f>
        <v>20190303171140454</v>
      </c>
      <c r="B6455" t="str">
        <f>"1551604300446592"</f>
        <v>1551604300446592</v>
      </c>
      <c r="C6455" t="s">
        <v>40</v>
      </c>
      <c r="D6455">
        <v>5.6713069999999997</v>
      </c>
      <c r="E6455">
        <v>0.44611620000000002</v>
      </c>
      <c r="F6455" t="s">
        <v>42</v>
      </c>
      <c r="G6455">
        <v>-138.5463</v>
      </c>
      <c r="H6455" s="1">
        <v>-1.5718370000000001E-6</v>
      </c>
      <c r="I6455">
        <v>135.5155</v>
      </c>
      <c r="J6455">
        <v>-155.40819999999999</v>
      </c>
      <c r="K6455">
        <v>1.1051150000000001</v>
      </c>
      <c r="L6455">
        <v>138.9983</v>
      </c>
      <c r="M6455">
        <v>0.94776609999999994</v>
      </c>
      <c r="N6455">
        <v>-1.6270509999999998E-2</v>
      </c>
      <c r="O6455">
        <v>-0.31855099999999997</v>
      </c>
      <c r="P6455">
        <v>0.92797180000000001</v>
      </c>
      <c r="Q6455">
        <v>0.1612142</v>
      </c>
      <c r="R6455">
        <v>-0.33597369999999999</v>
      </c>
      <c r="S6455">
        <v>3.0294949999999998</v>
      </c>
      <c r="T6455">
        <v>-0.19434860000000001</v>
      </c>
      <c r="U6455">
        <v>-0.63429259999999998</v>
      </c>
      <c r="V6455">
        <v>2.9410780000000001E-2</v>
      </c>
      <c r="W6455">
        <v>0.17627290000000001</v>
      </c>
      <c r="X6455">
        <v>0.9839019</v>
      </c>
      <c r="Y6455">
        <v>-0.1169714</v>
      </c>
      <c r="Z6455">
        <v>1.9197240000000001E-2</v>
      </c>
      <c r="AA6455">
        <v>0.99294970000000005</v>
      </c>
      <c r="AB6455">
        <v>37</v>
      </c>
      <c r="AC6455">
        <v>16.861899999999899</v>
      </c>
      <c r="AD6455">
        <v>-1.105116571837</v>
      </c>
      <c r="AE6455">
        <v>-3.4827999999999899</v>
      </c>
      <c r="AF6455">
        <v>-2.0622735683775</v>
      </c>
      <c r="AG6455">
        <v>-1.105116571837</v>
      </c>
      <c r="AH6455">
        <v>17.022721320757</v>
      </c>
      <c r="AI6455">
        <v>93.687547493367802</v>
      </c>
      <c r="AJ6455">
        <v>96.907622752522798</v>
      </c>
      <c r="AK6455">
        <v>17.1827615962141</v>
      </c>
      <c r="AL6455">
        <v>79.847258869814297</v>
      </c>
      <c r="AM6455">
        <v>88.287825305703606</v>
      </c>
      <c r="AN6455">
        <v>1.0000000390391099</v>
      </c>
    </row>
    <row r="6456" spans="1:40" x14ac:dyDescent="0.25">
      <c r="A6456" t="str">
        <f>"20190303171140475"</f>
        <v>20190303171140475</v>
      </c>
      <c r="B6456" t="str">
        <f>"1551604300467089"</f>
        <v>1551604300467089</v>
      </c>
      <c r="C6456" t="s">
        <v>40</v>
      </c>
      <c r="D6456">
        <v>5.6650619999999998</v>
      </c>
      <c r="E6456">
        <v>0.44316270000000002</v>
      </c>
      <c r="F6456" t="s">
        <v>42</v>
      </c>
      <c r="G6456">
        <v>-135.49440000000001</v>
      </c>
      <c r="H6456" s="1">
        <v>-2.7836779999999999E-6</v>
      </c>
      <c r="I6456">
        <v>134.86439999999999</v>
      </c>
      <c r="J6456">
        <v>-155.07550000000001</v>
      </c>
      <c r="K6456">
        <v>1.1059049999999999</v>
      </c>
      <c r="L6456">
        <v>138.8794</v>
      </c>
      <c r="M6456">
        <v>0.94393000000000005</v>
      </c>
      <c r="N6456">
        <v>-1.61006E-2</v>
      </c>
      <c r="O6456">
        <v>-0.32975260000000001</v>
      </c>
      <c r="P6456">
        <v>0.92413190000000001</v>
      </c>
      <c r="Q6456">
        <v>0.16398989999999999</v>
      </c>
      <c r="R6456">
        <v>-0.34509069999999997</v>
      </c>
      <c r="S6456">
        <v>3.0340880000000001</v>
      </c>
      <c r="T6456">
        <v>-0.1683761</v>
      </c>
      <c r="U6456">
        <v>-0.62983699999999998</v>
      </c>
      <c r="V6456">
        <v>2.7364590000000001E-2</v>
      </c>
      <c r="W6456">
        <v>0.17899119999999999</v>
      </c>
      <c r="X6456">
        <v>0.98346999999999996</v>
      </c>
      <c r="Y6456">
        <v>-0.13055849999999999</v>
      </c>
      <c r="Z6456">
        <v>1.695464E-2</v>
      </c>
      <c r="AA6456">
        <v>0.99129560000000005</v>
      </c>
      <c r="AB6456">
        <v>37</v>
      </c>
      <c r="AC6456">
        <v>19.5810999999999</v>
      </c>
      <c r="AD6456">
        <v>-1.105907783678</v>
      </c>
      <c r="AE6456">
        <v>-4.0150000000000103</v>
      </c>
      <c r="AF6456">
        <v>-2.6592454156407399</v>
      </c>
      <c r="AG6456">
        <v>-1.105907783678</v>
      </c>
      <c r="AH6456">
        <v>19.749259170682699</v>
      </c>
      <c r="AI6456">
        <v>93.176462280058999</v>
      </c>
      <c r="AJ6456">
        <v>97.668774118603295</v>
      </c>
      <c r="AK6456">
        <v>19.958152619854399</v>
      </c>
      <c r="AL6456">
        <v>79.688993958249895</v>
      </c>
      <c r="AM6456">
        <v>88.406183122791703</v>
      </c>
      <c r="AN6456">
        <v>0.99999995568165301</v>
      </c>
    </row>
    <row r="6457" spans="1:40" x14ac:dyDescent="0.25">
      <c r="A6457" t="str">
        <f>"20190303171140501"</f>
        <v>20190303171140501</v>
      </c>
      <c r="B6457" t="str">
        <f>"1551604300497344"</f>
        <v>1551604300497344</v>
      </c>
      <c r="C6457" t="s">
        <v>40</v>
      </c>
      <c r="D6457">
        <v>5.6694380000000004</v>
      </c>
      <c r="E6457">
        <v>0.43992310000000001</v>
      </c>
      <c r="F6457" t="s">
        <v>42</v>
      </c>
      <c r="G6457">
        <v>-133.0429</v>
      </c>
      <c r="H6457" s="1">
        <v>-3.9172509999999999E-6</v>
      </c>
      <c r="I6457">
        <v>134.25839999999999</v>
      </c>
      <c r="J6457">
        <v>-154.68369999999999</v>
      </c>
      <c r="K6457">
        <v>1.1070690000000001</v>
      </c>
      <c r="L6457">
        <v>138.73410000000001</v>
      </c>
      <c r="M6457">
        <v>0.93980949999999996</v>
      </c>
      <c r="N6457">
        <v>-1.5883540000000002E-2</v>
      </c>
      <c r="O6457">
        <v>-0.34133010000000003</v>
      </c>
      <c r="P6457">
        <v>0.92038350000000002</v>
      </c>
      <c r="Q6457">
        <v>0.16372349999999999</v>
      </c>
      <c r="R6457">
        <v>-0.35509069999999998</v>
      </c>
      <c r="S6457">
        <v>3.0355989999999999</v>
      </c>
      <c r="T6457">
        <v>-0.15236939999999999</v>
      </c>
      <c r="U6457">
        <v>-0.63665769999999899</v>
      </c>
      <c r="V6457">
        <v>2.540941E-2</v>
      </c>
      <c r="W6457">
        <v>0.17863470000000001</v>
      </c>
      <c r="X6457">
        <v>0.98358730000000005</v>
      </c>
      <c r="Y6457">
        <v>-0.14077490000000001</v>
      </c>
      <c r="Z6457">
        <v>1.565886E-2</v>
      </c>
      <c r="AA6457">
        <v>0.98991779999999996</v>
      </c>
      <c r="AB6457">
        <v>37</v>
      </c>
      <c r="AC6457">
        <v>21.640799999999899</v>
      </c>
      <c r="AD6457">
        <v>-1.1070729172509901</v>
      </c>
      <c r="AE6457">
        <v>-4.4757000000000096</v>
      </c>
      <c r="AF6457">
        <v>-3.17278899785232</v>
      </c>
      <c r="AG6457">
        <v>-1.1070729172509901</v>
      </c>
      <c r="AH6457">
        <v>21.8139290604006</v>
      </c>
      <c r="AI6457">
        <v>92.875109393792997</v>
      </c>
      <c r="AJ6457">
        <v>98.275516937403694</v>
      </c>
      <c r="AK6457">
        <v>22.071241503848199</v>
      </c>
      <c r="AL6457">
        <v>79.709754810124394</v>
      </c>
      <c r="AM6457">
        <v>88.520184002928303</v>
      </c>
      <c r="AN6457">
        <v>0.99999998544096402</v>
      </c>
    </row>
    <row r="6458" spans="1:40" x14ac:dyDescent="0.25">
      <c r="A6458" t="str">
        <f>"20190303171140524"</f>
        <v>20190303171140524</v>
      </c>
      <c r="B6458" t="str">
        <f>"1551604300516865"</f>
        <v>1551604300516865</v>
      </c>
      <c r="C6458" t="s">
        <v>40</v>
      </c>
      <c r="D6458">
        <v>5.6505479999999997</v>
      </c>
      <c r="E6458">
        <v>0.43827050000000001</v>
      </c>
      <c r="F6458" t="s">
        <v>42</v>
      </c>
      <c r="G6458">
        <v>-131.34350000000001</v>
      </c>
      <c r="H6458" s="1">
        <v>-4.7287150000000003E-6</v>
      </c>
      <c r="I6458">
        <v>133.7937</v>
      </c>
      <c r="J6458">
        <v>-154.32490000000001</v>
      </c>
      <c r="K6458">
        <v>1.10832</v>
      </c>
      <c r="L6458">
        <v>138.5975</v>
      </c>
      <c r="M6458">
        <v>0.9364981</v>
      </c>
      <c r="N6458">
        <v>-1.5682749999999999E-2</v>
      </c>
      <c r="O6458">
        <v>-0.35032190000000002</v>
      </c>
      <c r="P6458">
        <v>0.91782719999999995</v>
      </c>
      <c r="Q6458">
        <v>0.15983530000000001</v>
      </c>
      <c r="R6458">
        <v>-0.36338160000000003</v>
      </c>
      <c r="S6458">
        <v>3.0370940000000002</v>
      </c>
      <c r="T6458">
        <v>-0.14405560000000001</v>
      </c>
      <c r="U6458">
        <v>-0.6428528</v>
      </c>
      <c r="V6458">
        <v>2.3954389999999999E-2</v>
      </c>
      <c r="W6458">
        <v>0.17466180000000001</v>
      </c>
      <c r="X6458">
        <v>0.98433709999999996</v>
      </c>
      <c r="Y6458">
        <v>-0.1484558</v>
      </c>
      <c r="Z6458">
        <v>1.5094130000000001E-2</v>
      </c>
      <c r="AA6458">
        <v>0.98880389999999996</v>
      </c>
      <c r="AB6458">
        <v>37</v>
      </c>
      <c r="AC6458">
        <v>22.981400000000001</v>
      </c>
      <c r="AD6458">
        <v>-1.108324728715</v>
      </c>
      <c r="AE6458">
        <v>-4.8037999999999901</v>
      </c>
      <c r="AF6458">
        <v>-3.5446756842857101</v>
      </c>
      <c r="AG6458">
        <v>-1.108324728715</v>
      </c>
      <c r="AH6458">
        <v>23.1561640870157</v>
      </c>
      <c r="AI6458">
        <v>92.708754784259895</v>
      </c>
      <c r="AJ6458">
        <v>98.703105889660605</v>
      </c>
      <c r="AK6458">
        <v>23.452101070817498</v>
      </c>
      <c r="AL6458">
        <v>79.941022860250399</v>
      </c>
      <c r="AM6458">
        <v>88.605950536045199</v>
      </c>
      <c r="AN6458">
        <v>1.00000004180796</v>
      </c>
    </row>
    <row r="6459" spans="1:40" x14ac:dyDescent="0.25">
      <c r="A6459" t="str">
        <f>"20190303171140547"</f>
        <v>20190303171140547</v>
      </c>
      <c r="B6459" t="str">
        <f>"1551604300536949"</f>
        <v>1551604300536949</v>
      </c>
      <c r="C6459" t="s">
        <v>40</v>
      </c>
      <c r="D6459">
        <v>5.6863780000000004</v>
      </c>
      <c r="E6459">
        <v>0.43683349999999999</v>
      </c>
      <c r="F6459" t="s">
        <v>42</v>
      </c>
      <c r="G6459">
        <v>-132.29310000000001</v>
      </c>
      <c r="H6459" s="1">
        <v>-4.313743E-6</v>
      </c>
      <c r="I6459">
        <v>133.8366</v>
      </c>
      <c r="J6459">
        <v>-153.96770000000001</v>
      </c>
      <c r="K6459">
        <v>1.1097170000000001</v>
      </c>
      <c r="L6459">
        <v>138.45869999999999</v>
      </c>
      <c r="M6459">
        <v>0.93371939999999998</v>
      </c>
      <c r="N6459">
        <v>-1.5497500000000001E-2</v>
      </c>
      <c r="O6459">
        <v>-0.35766989999999999</v>
      </c>
      <c r="P6459">
        <v>0.91487750000000001</v>
      </c>
      <c r="Q6459">
        <v>0.15916</v>
      </c>
      <c r="R6459">
        <v>-0.37103560000000002</v>
      </c>
      <c r="S6459">
        <v>3.0354770000000002</v>
      </c>
      <c r="T6459">
        <v>-0.15270129999999901</v>
      </c>
      <c r="U6459">
        <v>-0.655929599999999</v>
      </c>
      <c r="V6459">
        <v>2.3795219999999999E-2</v>
      </c>
      <c r="W6459">
        <v>0.17387339999999901</v>
      </c>
      <c r="X6459">
        <v>0.98448049999999998</v>
      </c>
      <c r="Y6459">
        <v>-0.15198249999999999</v>
      </c>
      <c r="Z6459">
        <v>1.6649049999999999E-2</v>
      </c>
      <c r="AA6459">
        <v>0.98824299999999998</v>
      </c>
      <c r="AB6459">
        <v>37</v>
      </c>
      <c r="AC6459">
        <v>21.674600000000002</v>
      </c>
      <c r="AD6459">
        <v>-1.109721313743</v>
      </c>
      <c r="AE6459">
        <v>-4.6220999999999801</v>
      </c>
      <c r="AF6459">
        <v>-3.4284244026395201</v>
      </c>
      <c r="AG6459">
        <v>-1.109721313743</v>
      </c>
      <c r="AH6459">
        <v>21.8390537621089</v>
      </c>
      <c r="AI6459">
        <v>92.873768098093606</v>
      </c>
      <c r="AJ6459">
        <v>98.9218159128949</v>
      </c>
      <c r="AK6459">
        <v>22.134358913306599</v>
      </c>
      <c r="AL6459">
        <v>79.986896511639102</v>
      </c>
      <c r="AM6459">
        <v>88.6154116037563</v>
      </c>
      <c r="AN6459">
        <v>1.00000001330132</v>
      </c>
    </row>
    <row r="6460" spans="1:40" x14ac:dyDescent="0.25">
      <c r="A6460" t="str">
        <f>"20190303171140569"</f>
        <v>20190303171140569</v>
      </c>
      <c r="B6460" t="str">
        <f>"1551604300557445"</f>
        <v>1551604300557445</v>
      </c>
      <c r="C6460" t="s">
        <v>40</v>
      </c>
      <c r="D6460">
        <v>5.7073330000000002</v>
      </c>
      <c r="E6460">
        <v>0.43557469999999998</v>
      </c>
      <c r="F6460" t="s">
        <v>42</v>
      </c>
      <c r="G6460">
        <v>-131.8913</v>
      </c>
      <c r="H6460" s="1">
        <v>-4.5307669999999996E-6</v>
      </c>
      <c r="I6460">
        <v>133.5849</v>
      </c>
      <c r="J6460">
        <v>-153.65049999999999</v>
      </c>
      <c r="K6460">
        <v>1.1110580000000001</v>
      </c>
      <c r="L6460">
        <v>138.33369999999999</v>
      </c>
      <c r="M6460">
        <v>0.93176749999999997</v>
      </c>
      <c r="N6460">
        <v>-1.535019E-2</v>
      </c>
      <c r="O6460">
        <v>-0.36273070000000002</v>
      </c>
      <c r="P6460">
        <v>0.91245730000000003</v>
      </c>
      <c r="Q6460">
        <v>0.159655399999999</v>
      </c>
      <c r="R6460">
        <v>-0.37673859999999998</v>
      </c>
      <c r="S6460">
        <v>3.034027</v>
      </c>
      <c r="T6460">
        <v>-0.15251199999999901</v>
      </c>
      <c r="U6460">
        <v>-0.6698151</v>
      </c>
      <c r="V6460">
        <v>2.4084700000000001E-2</v>
      </c>
      <c r="W6460">
        <v>0.17427770000000001</v>
      </c>
      <c r="X6460">
        <v>0.98440190000000005</v>
      </c>
      <c r="Y6460">
        <v>-0.15292639999999999</v>
      </c>
      <c r="Z6460">
        <v>1.6844399999999999E-2</v>
      </c>
      <c r="AA6460">
        <v>0.98809400000000003</v>
      </c>
      <c r="AB6460">
        <v>37</v>
      </c>
      <c r="AC6460">
        <v>21.7592</v>
      </c>
      <c r="AD6460">
        <v>-1.1110625307669999</v>
      </c>
      <c r="AE6460">
        <v>-4.7487999999999797</v>
      </c>
      <c r="AF6460">
        <v>-3.4597507347924599</v>
      </c>
      <c r="AG6460">
        <v>-1.1110625307669999</v>
      </c>
      <c r="AH6460">
        <v>21.9450285343991</v>
      </c>
      <c r="AI6460">
        <v>92.863070487838201</v>
      </c>
      <c r="AJ6460">
        <v>98.959242825955698</v>
      </c>
      <c r="AK6460">
        <v>22.243844372539598</v>
      </c>
      <c r="AL6460">
        <v>79.963371981692703</v>
      </c>
      <c r="AM6460">
        <v>88.598462261424302</v>
      </c>
      <c r="AN6460">
        <v>0.99999994510749302</v>
      </c>
    </row>
    <row r="6461" spans="1:40" x14ac:dyDescent="0.25">
      <c r="A6461" t="str">
        <f>"20190303171140593"</f>
        <v>20190303171140593</v>
      </c>
      <c r="B6461" t="str">
        <f>"1551604300586725"</f>
        <v>1551604300586725</v>
      </c>
      <c r="C6461" t="s">
        <v>40</v>
      </c>
      <c r="D6461">
        <v>5.7191850000000004</v>
      </c>
      <c r="E6461">
        <v>0.42232500000000001</v>
      </c>
      <c r="F6461" t="s">
        <v>42</v>
      </c>
      <c r="G6461">
        <v>-130.31950000000001</v>
      </c>
      <c r="H6461" s="1">
        <v>-5.2832560000000004E-6</v>
      </c>
      <c r="I6461">
        <v>133.14420000000001</v>
      </c>
      <c r="J6461">
        <v>-153.27529999999999</v>
      </c>
      <c r="K6461">
        <v>1.1127479999999901</v>
      </c>
      <c r="L6461">
        <v>138.18450000000001</v>
      </c>
      <c r="M6461">
        <v>0.93012930000000005</v>
      </c>
      <c r="N6461">
        <v>-1.5196629999999999E-2</v>
      </c>
      <c r="O6461">
        <v>-0.36691780000000002</v>
      </c>
      <c r="P6461">
        <v>0.91032519999999995</v>
      </c>
      <c r="Q6461">
        <v>0.15967390000000001</v>
      </c>
      <c r="R6461">
        <v>-0.38185449999999999</v>
      </c>
      <c r="S6461">
        <v>3.0344389999999999</v>
      </c>
      <c r="T6461">
        <v>-0.14450450000000001</v>
      </c>
      <c r="U6461">
        <v>-0.67494200000000004</v>
      </c>
      <c r="V6461">
        <v>2.4492960000000001E-2</v>
      </c>
      <c r="W6461">
        <v>0.17421800000000001</v>
      </c>
      <c r="X6461">
        <v>0.98440240000000001</v>
      </c>
      <c r="Y6461">
        <v>-0.1558494</v>
      </c>
      <c r="Z6461">
        <v>1.596993E-2</v>
      </c>
      <c r="AA6461">
        <v>0.98765170000000002</v>
      </c>
      <c r="AB6461">
        <v>37</v>
      </c>
      <c r="AC6461">
        <v>22.955799999999901</v>
      </c>
      <c r="AD6461">
        <v>-1.1127532832560001</v>
      </c>
      <c r="AE6461">
        <v>-5.0403000000000002</v>
      </c>
      <c r="AF6461">
        <v>-3.7268378008013201</v>
      </c>
      <c r="AG6461">
        <v>-1.1127532832560001</v>
      </c>
      <c r="AH6461">
        <v>23.152017624667099</v>
      </c>
      <c r="AI6461">
        <v>92.716764157011795</v>
      </c>
      <c r="AJ6461">
        <v>99.144597118824507</v>
      </c>
      <c r="AK6461">
        <v>23.476444789528301</v>
      </c>
      <c r="AL6461">
        <v>79.966845739592898</v>
      </c>
      <c r="AM6461">
        <v>88.574715222391902</v>
      </c>
      <c r="AN6461">
        <v>0.99999995086965898</v>
      </c>
    </row>
    <row r="6462" spans="1:40" x14ac:dyDescent="0.25">
      <c r="A6462" t="str">
        <f>"20190303171140619"</f>
        <v>20190303171140619</v>
      </c>
      <c r="B6462" t="str">
        <f>"1551604300607222"</f>
        <v>1551604300607222</v>
      </c>
      <c r="C6462" t="s">
        <v>40</v>
      </c>
      <c r="D6462">
        <v>5.7276189999999998</v>
      </c>
      <c r="E6462">
        <v>0.4227187</v>
      </c>
      <c r="F6462" t="s">
        <v>42</v>
      </c>
      <c r="G6462">
        <v>-122.0528</v>
      </c>
      <c r="H6462" s="1">
        <v>-4.7099670000000004E-6</v>
      </c>
      <c r="I6462">
        <v>132.1841</v>
      </c>
      <c r="J6462">
        <v>-152.8767</v>
      </c>
      <c r="K6462">
        <v>1.114595</v>
      </c>
      <c r="L6462">
        <v>138.02539999999999</v>
      </c>
      <c r="M6462">
        <v>0.92925049999999998</v>
      </c>
      <c r="N6462">
        <v>-1.506059E-2</v>
      </c>
      <c r="O6462">
        <v>-0.36914360000000002</v>
      </c>
      <c r="P6462">
        <v>0.91023940000000003</v>
      </c>
      <c r="Q6462">
        <v>0.1555531</v>
      </c>
      <c r="R6462">
        <v>-0.38375550000000003</v>
      </c>
      <c r="S6462">
        <v>3.0674290000000002</v>
      </c>
      <c r="T6462">
        <v>-0.1093214</v>
      </c>
      <c r="U6462">
        <v>-0.58950809999999998</v>
      </c>
      <c r="V6462">
        <v>2.3109879999999999E-2</v>
      </c>
      <c r="W6462">
        <v>0.17008690000000001</v>
      </c>
      <c r="X6462">
        <v>0.98515799999999998</v>
      </c>
      <c r="Y6462">
        <v>-0.18692829999999999</v>
      </c>
      <c r="Z6462">
        <v>1.1743190000000001E-2</v>
      </c>
      <c r="AA6462">
        <v>0.98230340000000005</v>
      </c>
      <c r="AB6462">
        <v>37</v>
      </c>
      <c r="AC6462">
        <v>30.823899999999899</v>
      </c>
      <c r="AD6462">
        <v>-1.114599709967</v>
      </c>
      <c r="AE6462">
        <v>-5.8412999999999897</v>
      </c>
      <c r="AF6462">
        <v>-5.9435863044415802</v>
      </c>
      <c r="AG6462">
        <v>-1.114599709967</v>
      </c>
      <c r="AH6462">
        <v>30.764060365151099</v>
      </c>
      <c r="AI6462">
        <v>92.037310448116003</v>
      </c>
      <c r="AJ6462">
        <v>100.93476689931801</v>
      </c>
      <c r="AK6462">
        <v>31.352766398237701</v>
      </c>
      <c r="AL6462">
        <v>80.207127887634599</v>
      </c>
      <c r="AM6462">
        <v>88.656199518969501</v>
      </c>
      <c r="AN6462">
        <v>0.99999995253461005</v>
      </c>
    </row>
    <row r="6463" spans="1:40" x14ac:dyDescent="0.25">
      <c r="A6463" t="str">
        <f>"20190303171140642"</f>
        <v>20190303171140642</v>
      </c>
      <c r="B6463" t="str">
        <f>"1551604300637478"</f>
        <v>1551604300637478</v>
      </c>
      <c r="C6463" t="s">
        <v>40</v>
      </c>
      <c r="D6463">
        <v>5.7430459999999997</v>
      </c>
      <c r="E6463">
        <v>0.4219868</v>
      </c>
      <c r="F6463" t="s">
        <v>42</v>
      </c>
      <c r="G6463">
        <v>-124.6523</v>
      </c>
      <c r="H6463" s="1">
        <v>-3.6845029999999999E-6</v>
      </c>
      <c r="I6463">
        <v>132.5558</v>
      </c>
      <c r="J6463">
        <v>-152.529</v>
      </c>
      <c r="K6463">
        <v>1.116174</v>
      </c>
      <c r="L6463">
        <v>137.8869</v>
      </c>
      <c r="M6463">
        <v>0.9291817</v>
      </c>
      <c r="N6463">
        <v>-1.496668E-2</v>
      </c>
      <c r="O6463">
        <v>-0.3693205</v>
      </c>
      <c r="P6463">
        <v>0.91105619999999998</v>
      </c>
      <c r="Q6463">
        <v>0.15215039999999999</v>
      </c>
      <c r="R6463">
        <v>-0.38318020000000003</v>
      </c>
      <c r="S6463">
        <v>3.0660249999999998</v>
      </c>
      <c r="T6463">
        <v>-0.1210792</v>
      </c>
      <c r="U6463">
        <v>-0.59416199999999997</v>
      </c>
      <c r="V6463">
        <v>2.1407969999999998E-2</v>
      </c>
      <c r="W6463">
        <v>0.1666975</v>
      </c>
      <c r="X6463">
        <v>0.98577559999999997</v>
      </c>
      <c r="Y6463">
        <v>-0.18553600000000001</v>
      </c>
      <c r="Z6463">
        <v>1.345856E-2</v>
      </c>
      <c r="AA6463">
        <v>0.98254529999999995</v>
      </c>
      <c r="AB6463">
        <v>36</v>
      </c>
      <c r="AC6463">
        <v>27.8767</v>
      </c>
      <c r="AD6463">
        <v>-1.116177684503</v>
      </c>
      <c r="AE6463">
        <v>-5.3310999999999904</v>
      </c>
      <c r="AF6463">
        <v>-5.3342238765168197</v>
      </c>
      <c r="AG6463">
        <v>-1.116177684503</v>
      </c>
      <c r="AH6463">
        <v>27.8314776679746</v>
      </c>
      <c r="AI6463">
        <v>92.255597282010697</v>
      </c>
      <c r="AJ6463">
        <v>100.84982131384</v>
      </c>
      <c r="AK6463">
        <v>28.360023733614</v>
      </c>
      <c r="AL6463">
        <v>80.4041395620945</v>
      </c>
      <c r="AM6463">
        <v>88.7559100115961</v>
      </c>
      <c r="AN6463">
        <v>0.99999994562056405</v>
      </c>
    </row>
    <row r="6464" spans="1:40" x14ac:dyDescent="0.25">
      <c r="A6464" t="str">
        <f>"20190303171140676"</f>
        <v>20190303171140676</v>
      </c>
      <c r="B6464" t="str">
        <f>"1551604300666758"</f>
        <v>1551604300666758</v>
      </c>
      <c r="C6464" t="s">
        <v>40</v>
      </c>
      <c r="D6464">
        <v>5.7162389999999998</v>
      </c>
      <c r="E6464">
        <v>0.42145260000000001</v>
      </c>
      <c r="F6464" t="s">
        <v>42</v>
      </c>
      <c r="G6464">
        <v>-126.18689999999999</v>
      </c>
      <c r="H6464" s="1">
        <v>-3.078522E-6</v>
      </c>
      <c r="I6464">
        <v>132.8706</v>
      </c>
      <c r="J6464">
        <v>-152.01150000000001</v>
      </c>
      <c r="K6464">
        <v>1.118368</v>
      </c>
      <c r="L6464">
        <v>137.6823</v>
      </c>
      <c r="M6464">
        <v>0.92994080000000001</v>
      </c>
      <c r="N6464">
        <v>-1.484649E-2</v>
      </c>
      <c r="O6464">
        <v>-0.36740970000000001</v>
      </c>
      <c r="P6464">
        <v>0.91299770000000002</v>
      </c>
      <c r="Q6464">
        <v>0.149869</v>
      </c>
      <c r="R6464">
        <v>-0.37944</v>
      </c>
      <c r="S6464">
        <v>3.068832</v>
      </c>
      <c r="T6464">
        <v>-0.1300336</v>
      </c>
      <c r="U6464">
        <v>-0.58439640000000004</v>
      </c>
      <c r="V6464">
        <v>1.836699E-2</v>
      </c>
      <c r="W6464">
        <v>0.16442570000000001</v>
      </c>
      <c r="X6464">
        <v>0.9862185</v>
      </c>
      <c r="Y6464">
        <v>-0.18664790000000001</v>
      </c>
      <c r="Z6464">
        <v>1.477668E-2</v>
      </c>
      <c r="AA6464">
        <v>0.98231570000000001</v>
      </c>
      <c r="AB6464">
        <v>36</v>
      </c>
      <c r="AC6464">
        <v>25.8246</v>
      </c>
      <c r="AD6464">
        <v>-1.118371078522</v>
      </c>
      <c r="AE6464">
        <v>-4.8117000000000001</v>
      </c>
      <c r="AF6464">
        <v>-5.0050926888410903</v>
      </c>
      <c r="AG6464">
        <v>-1.118371078522</v>
      </c>
      <c r="AH6464">
        <v>25.739400656353801</v>
      </c>
      <c r="AI6464">
        <v>92.442236360176807</v>
      </c>
      <c r="AJ6464">
        <v>101.003989623819</v>
      </c>
      <c r="AK6464">
        <v>26.245351071027301</v>
      </c>
      <c r="AL6464">
        <v>80.536126567039403</v>
      </c>
      <c r="AM6464">
        <v>88.933066689865797</v>
      </c>
      <c r="AN6464">
        <v>1.0000000434421901</v>
      </c>
    </row>
    <row r="6465" spans="1:40" x14ac:dyDescent="0.25">
      <c r="A6465" t="str">
        <f>"20190303171140701"</f>
        <v>20190303171140701</v>
      </c>
      <c r="B6465" t="str">
        <f>"1551604300697014"</f>
        <v>1551604300697014</v>
      </c>
      <c r="C6465" t="s">
        <v>40</v>
      </c>
      <c r="D6465">
        <v>5.7109209999999999</v>
      </c>
      <c r="E6465">
        <v>0.42034909999999998</v>
      </c>
      <c r="F6465" t="s">
        <v>42</v>
      </c>
      <c r="G6465">
        <v>-125.76479999999999</v>
      </c>
      <c r="H6465" s="1">
        <v>-3.220205E-6</v>
      </c>
      <c r="I6465">
        <v>132.87799999999999</v>
      </c>
      <c r="J6465">
        <v>-151.6326</v>
      </c>
      <c r="K6465">
        <v>1.1198319999999999</v>
      </c>
      <c r="L6465">
        <v>137.53460000000001</v>
      </c>
      <c r="M6465">
        <v>0.93110250000000006</v>
      </c>
      <c r="N6465">
        <v>-1.4764019999999999E-2</v>
      </c>
      <c r="O6465">
        <v>-0.36445909999999998</v>
      </c>
      <c r="P6465">
        <v>0.91514530000000005</v>
      </c>
      <c r="Q6465">
        <v>0.14916119999999999</v>
      </c>
      <c r="R6465">
        <v>-0.37451309999999999</v>
      </c>
      <c r="S6465">
        <v>3.0735779999999999</v>
      </c>
      <c r="T6465">
        <v>-0.13096459999999999</v>
      </c>
      <c r="U6465">
        <v>-0.56259159999999997</v>
      </c>
      <c r="V6465">
        <v>1.556455E-2</v>
      </c>
      <c r="W6465">
        <v>0.16370599999999999</v>
      </c>
      <c r="X6465">
        <v>0.9863864</v>
      </c>
      <c r="Y6465">
        <v>-0.1905348</v>
      </c>
      <c r="Z6465">
        <v>1.4962690000000001E-2</v>
      </c>
      <c r="AA6465">
        <v>0.98156639999999995</v>
      </c>
      <c r="AB6465">
        <v>36</v>
      </c>
      <c r="AC6465">
        <v>25.867799999999999</v>
      </c>
      <c r="AD6465">
        <v>-1.1198352202049999</v>
      </c>
      <c r="AE6465">
        <v>-4.6566000000000196</v>
      </c>
      <c r="AF6465">
        <v>-5.0833100240580196</v>
      </c>
      <c r="AG6465">
        <v>-1.1198352202049999</v>
      </c>
      <c r="AH6465">
        <v>25.7387977661169</v>
      </c>
      <c r="AI6465">
        <v>92.444084480638097</v>
      </c>
      <c r="AJ6465">
        <v>101.171916573633</v>
      </c>
      <c r="AK6465">
        <v>26.2598511451639</v>
      </c>
      <c r="AL6465">
        <v>80.577928560254705</v>
      </c>
      <c r="AM6465">
        <v>89.095984067141799</v>
      </c>
      <c r="AN6465">
        <v>1.0000000198788299</v>
      </c>
    </row>
    <row r="6466" spans="1:40" x14ac:dyDescent="0.25">
      <c r="A6466" t="str">
        <f>"20190303171140725"</f>
        <v>20190303171140725</v>
      </c>
      <c r="B6466" t="str">
        <f>"1551604300717509"</f>
        <v>1551604300717509</v>
      </c>
      <c r="C6466" t="s">
        <v>40</v>
      </c>
      <c r="D6466">
        <v>5.717085</v>
      </c>
      <c r="E6466">
        <v>0.41530309999999998</v>
      </c>
      <c r="F6466" t="s">
        <v>42</v>
      </c>
      <c r="G6466">
        <v>-124.58069999999999</v>
      </c>
      <c r="H6466" s="1">
        <v>-3.6357460000000002E-6</v>
      </c>
      <c r="I6466">
        <v>132.83070000000001</v>
      </c>
      <c r="J6466">
        <v>-151.2698</v>
      </c>
      <c r="K6466">
        <v>1.121097</v>
      </c>
      <c r="L6466">
        <v>137.39519999999999</v>
      </c>
      <c r="M6466">
        <v>0.93251189999999995</v>
      </c>
      <c r="N6466">
        <v>-1.469178E-2</v>
      </c>
      <c r="O6466">
        <v>-0.36084070000000001</v>
      </c>
      <c r="P6466">
        <v>0.91790799999999995</v>
      </c>
      <c r="Q6466">
        <v>0.14667929999999901</v>
      </c>
      <c r="R6466">
        <v>-0.36868800000000002</v>
      </c>
      <c r="S6466">
        <v>3.0797729999999999</v>
      </c>
      <c r="T6466">
        <v>-0.12748960000000001</v>
      </c>
      <c r="U6466">
        <v>-0.53552250000000001</v>
      </c>
      <c r="V6466">
        <v>1.2486199999999999E-2</v>
      </c>
      <c r="W6466">
        <v>0.16120300000000001</v>
      </c>
      <c r="X6466">
        <v>0.98684229999999995</v>
      </c>
      <c r="Y6466">
        <v>-0.19544719999999999</v>
      </c>
      <c r="Z6466">
        <v>1.451414E-2</v>
      </c>
      <c r="AA6466">
        <v>0.9806068</v>
      </c>
      <c r="AB6466">
        <v>36</v>
      </c>
      <c r="AC6466">
        <v>26.6891</v>
      </c>
      <c r="AD6466">
        <v>-1.1211006357460001</v>
      </c>
      <c r="AE6466">
        <v>-4.5644999999999802</v>
      </c>
      <c r="AF6466">
        <v>-5.36544395639066</v>
      </c>
      <c r="AG6466">
        <v>-1.1211006357460001</v>
      </c>
      <c r="AH6466">
        <v>26.492403559156699</v>
      </c>
      <c r="AI6466">
        <v>92.375024101349297</v>
      </c>
      <c r="AJ6466">
        <v>101.449117499265</v>
      </c>
      <c r="AK6466">
        <v>27.053508124194501</v>
      </c>
      <c r="AL6466">
        <v>80.7232706434786</v>
      </c>
      <c r="AM6466">
        <v>89.275093508589194</v>
      </c>
      <c r="AN6466">
        <v>1.0000000187343601</v>
      </c>
    </row>
    <row r="6467" spans="1:40" x14ac:dyDescent="0.25">
      <c r="A6467" t="str">
        <f>"20190303171140748"</f>
        <v>20190303171140748</v>
      </c>
      <c r="B6467" t="str">
        <f>"1551604300737030"</f>
        <v>1551604300737030</v>
      </c>
      <c r="C6467" t="s">
        <v>40</v>
      </c>
      <c r="D6467">
        <v>5.7190629999999896</v>
      </c>
      <c r="E6467">
        <v>0.41513470000000002</v>
      </c>
      <c r="F6467" t="s">
        <v>42</v>
      </c>
      <c r="G6467">
        <v>-120.84829999999999</v>
      </c>
      <c r="H6467" s="1">
        <v>-5.1324259999999996E-6</v>
      </c>
      <c r="I6467">
        <v>132.71559999999999</v>
      </c>
      <c r="J6467">
        <v>-150.93209999999999</v>
      </c>
      <c r="K6467">
        <v>1.12212</v>
      </c>
      <c r="L6467">
        <v>137.26750000000001</v>
      </c>
      <c r="M6467">
        <v>0.93399710000000002</v>
      </c>
      <c r="N6467">
        <v>-1.462721E-2</v>
      </c>
      <c r="O6467">
        <v>-0.3569814</v>
      </c>
      <c r="P6467">
        <v>0.92051819999999895</v>
      </c>
      <c r="Q6467">
        <v>0.14342639999999901</v>
      </c>
      <c r="R6467">
        <v>-0.36342180000000002</v>
      </c>
      <c r="S6467">
        <v>3.0952609999999998</v>
      </c>
      <c r="T6467">
        <v>-0.11406719999999999</v>
      </c>
      <c r="U6467">
        <v>-0.47613529999999998</v>
      </c>
      <c r="V6467">
        <v>1.0342250000000001E-2</v>
      </c>
      <c r="W6467">
        <v>0.15791910000000001</v>
      </c>
      <c r="X6467">
        <v>0.98739790000000005</v>
      </c>
      <c r="Y6467">
        <v>-0.2105813</v>
      </c>
      <c r="Z6467">
        <v>1.2854640000000001E-2</v>
      </c>
      <c r="AA6467">
        <v>0.97749189999999997</v>
      </c>
      <c r="AB6467">
        <v>36</v>
      </c>
      <c r="AC6467">
        <v>30.0838</v>
      </c>
      <c r="AD6467">
        <v>-1.122125132426</v>
      </c>
      <c r="AE6467">
        <v>-4.5519000000000096</v>
      </c>
      <c r="AF6467">
        <v>-6.4797755132058796</v>
      </c>
      <c r="AG6467">
        <v>-1.122125132426</v>
      </c>
      <c r="AH6467">
        <v>29.685924684560302</v>
      </c>
      <c r="AI6467">
        <v>92.114992904076999</v>
      </c>
      <c r="AJ6467">
        <v>102.31325998245801</v>
      </c>
      <c r="AK6467">
        <v>30.4056044158269</v>
      </c>
      <c r="AL6467">
        <v>80.913866149761702</v>
      </c>
      <c r="AM6467">
        <v>89.399891769125901</v>
      </c>
      <c r="AN6467">
        <v>1.0000000086021399</v>
      </c>
    </row>
    <row r="6468" spans="1:40" x14ac:dyDescent="0.25">
      <c r="A6468" t="str">
        <f>"20190303171140771"</f>
        <v>20190303171140771</v>
      </c>
      <c r="B6468" t="str">
        <f>"1551604300767285"</f>
        <v>1551604300767285</v>
      </c>
      <c r="C6468" t="s">
        <v>40</v>
      </c>
      <c r="D6468">
        <v>5.7389229999999998</v>
      </c>
      <c r="E6468">
        <v>0.41475400000000001</v>
      </c>
      <c r="F6468" t="s">
        <v>42</v>
      </c>
      <c r="G6468">
        <v>-123.0313</v>
      </c>
      <c r="H6468" s="1">
        <v>-4.1169359999999996E-6</v>
      </c>
      <c r="I6468">
        <v>133.1609</v>
      </c>
      <c r="J6468">
        <v>-150.59350000000001</v>
      </c>
      <c r="K6468">
        <v>1.1229800000000001</v>
      </c>
      <c r="L6468">
        <v>137.14160000000001</v>
      </c>
      <c r="M6468">
        <v>0.93559179999999997</v>
      </c>
      <c r="N6468">
        <v>-1.4562490000000001E-2</v>
      </c>
      <c r="O6468">
        <v>-0.35278330000000002</v>
      </c>
      <c r="P6468">
        <v>0.92372529999999997</v>
      </c>
      <c r="Q6468">
        <v>0.1424454</v>
      </c>
      <c r="R6468">
        <v>-0.35558529999999999</v>
      </c>
      <c r="S6468">
        <v>3.0984189999999998</v>
      </c>
      <c r="T6468">
        <v>-0.12461319999999999</v>
      </c>
      <c r="U6468">
        <v>-0.45603939999999998</v>
      </c>
      <c r="V6468">
        <v>6.0046269999999898E-3</v>
      </c>
      <c r="W6468">
        <v>0.15687709999999999</v>
      </c>
      <c r="X6468">
        <v>0.98759989999999998</v>
      </c>
      <c r="Y6468">
        <v>-0.21248059999999999</v>
      </c>
      <c r="Z6468">
        <v>1.435962E-2</v>
      </c>
      <c r="AA6468">
        <v>0.97705980000000003</v>
      </c>
      <c r="AB6468">
        <v>36</v>
      </c>
      <c r="AC6468">
        <v>27.562200000000001</v>
      </c>
      <c r="AD6468">
        <v>-1.122984116936</v>
      </c>
      <c r="AE6468">
        <v>-3.9807000000000099</v>
      </c>
      <c r="AF6468">
        <v>-5.99006879078987</v>
      </c>
      <c r="AG6468">
        <v>-1.122984116936</v>
      </c>
      <c r="AH6468">
        <v>27.1500252178494</v>
      </c>
      <c r="AI6468">
        <v>92.3129654614131</v>
      </c>
      <c r="AJ6468">
        <v>102.441760847425</v>
      </c>
      <c r="AK6468">
        <v>27.825633627559</v>
      </c>
      <c r="AL6468">
        <v>80.974322036770104</v>
      </c>
      <c r="AM6468">
        <v>89.651644815463698</v>
      </c>
      <c r="AN6468">
        <v>1.0000000212649101</v>
      </c>
    </row>
    <row r="6469" spans="1:40" x14ac:dyDescent="0.25">
      <c r="A6469" t="str">
        <f>"20190303171140795"</f>
        <v>20190303171140795</v>
      </c>
      <c r="B6469" t="str">
        <f>"1551604300786806"</f>
        <v>1551604300786806</v>
      </c>
      <c r="C6469" t="s">
        <v>40</v>
      </c>
      <c r="D6469">
        <v>5.7400029999999997</v>
      </c>
      <c r="E6469">
        <v>0.41435090000000002</v>
      </c>
      <c r="F6469" t="s">
        <v>42</v>
      </c>
      <c r="G6469">
        <v>-123.59350000000001</v>
      </c>
      <c r="H6469" s="1">
        <v>-3.830974E-6</v>
      </c>
      <c r="I6469">
        <v>133.41329999999999</v>
      </c>
      <c r="J6469">
        <v>-150.21029999999999</v>
      </c>
      <c r="K6469">
        <v>1.123766</v>
      </c>
      <c r="L6469">
        <v>137.00149999999999</v>
      </c>
      <c r="M6469">
        <v>0.93746929999999995</v>
      </c>
      <c r="N6469">
        <v>-1.4490070000000001E-2</v>
      </c>
      <c r="O6469">
        <v>-0.34776629999999997</v>
      </c>
      <c r="P6469">
        <v>0.92704450000000005</v>
      </c>
      <c r="Q6469">
        <v>0.14616179999999901</v>
      </c>
      <c r="R6469">
        <v>-0.3452906</v>
      </c>
      <c r="S6469">
        <v>3.1027070000000001</v>
      </c>
      <c r="T6469">
        <v>-0.12904749999999901</v>
      </c>
      <c r="U6469">
        <v>-0.42843629999999999</v>
      </c>
      <c r="V6469">
        <v>1.879157E-4</v>
      </c>
      <c r="W6469">
        <v>0.1604862</v>
      </c>
      <c r="X6469">
        <v>0.98703810000000003</v>
      </c>
      <c r="Y6469">
        <v>-0.21592939999999999</v>
      </c>
      <c r="Z6469">
        <v>1.498762E-2</v>
      </c>
      <c r="AA6469">
        <v>0.97629390000000005</v>
      </c>
      <c r="AB6469">
        <v>36</v>
      </c>
      <c r="AC6469">
        <v>26.616799999999898</v>
      </c>
      <c r="AD6469">
        <v>-1.1237698309739901</v>
      </c>
      <c r="AE6469">
        <v>-3.5882000000000001</v>
      </c>
      <c r="AF6469">
        <v>-5.8829178239276896</v>
      </c>
      <c r="AG6469">
        <v>-1.1237698309739901</v>
      </c>
      <c r="AH6469">
        <v>26.157243728004701</v>
      </c>
      <c r="AI6469">
        <v>92.400152127018103</v>
      </c>
      <c r="AJ6469">
        <v>102.675250360818</v>
      </c>
      <c r="AK6469">
        <v>26.834175601317298</v>
      </c>
      <c r="AL6469">
        <v>80.764882185066995</v>
      </c>
      <c r="AM6469">
        <v>89.989091833046601</v>
      </c>
      <c r="AN6469">
        <v>1.0000000332771699</v>
      </c>
    </row>
    <row r="6470" spans="1:40" x14ac:dyDescent="0.25">
      <c r="A6470" t="str">
        <f>"20190303171140821"</f>
        <v>20190303171140821</v>
      </c>
      <c r="B6470" t="str">
        <f>"1551604300817062"</f>
        <v>1551604300817062</v>
      </c>
      <c r="C6470" t="s">
        <v>40</v>
      </c>
      <c r="D6470">
        <v>5.7371869999999996</v>
      </c>
      <c r="E6470">
        <v>0.41411969999999998</v>
      </c>
      <c r="F6470" t="s">
        <v>42</v>
      </c>
      <c r="G6470">
        <v>-120.7009</v>
      </c>
      <c r="H6470" s="1">
        <v>-5.098622E-6</v>
      </c>
      <c r="I6470">
        <v>133.26249999999999</v>
      </c>
      <c r="J6470">
        <v>-149.81960000000001</v>
      </c>
      <c r="K6470">
        <v>1.1243570000000001</v>
      </c>
      <c r="L6470">
        <v>136.86179999999999</v>
      </c>
      <c r="M6470">
        <v>0.93943149999999997</v>
      </c>
      <c r="N6470">
        <v>-1.442414E-2</v>
      </c>
      <c r="O6470">
        <v>-0.34243299999999999</v>
      </c>
      <c r="P6470">
        <v>0.92954910000000002</v>
      </c>
      <c r="Q6470">
        <v>0.15216450000000001</v>
      </c>
      <c r="R6470">
        <v>-0.33583410000000002</v>
      </c>
      <c r="S6470">
        <v>3.1080779999999999</v>
      </c>
      <c r="T6470">
        <v>-0.11836149999999999</v>
      </c>
      <c r="U6470">
        <v>-0.3938141</v>
      </c>
      <c r="V6470">
        <v>-4.1972110000000002E-3</v>
      </c>
      <c r="W6470">
        <v>0.16637539999999901</v>
      </c>
      <c r="X6470">
        <v>0.98605350000000003</v>
      </c>
      <c r="Y6470">
        <v>-0.22135170000000001</v>
      </c>
      <c r="Z6470">
        <v>1.348972E-2</v>
      </c>
      <c r="AA6470">
        <v>0.97510079999999999</v>
      </c>
      <c r="AB6470">
        <v>36</v>
      </c>
      <c r="AC6470">
        <v>29.1187</v>
      </c>
      <c r="AD6470">
        <v>-1.124362098622</v>
      </c>
      <c r="AE6470">
        <v>-3.5992999999999902</v>
      </c>
      <c r="AF6470">
        <v>-6.5809294794193596</v>
      </c>
      <c r="AG6470">
        <v>-1.124362098622</v>
      </c>
      <c r="AH6470">
        <v>28.548593585857901</v>
      </c>
      <c r="AI6470">
        <v>92.197801136902498</v>
      </c>
      <c r="AJ6470">
        <v>102.980882274653</v>
      </c>
      <c r="AK6470">
        <v>29.318850909822402</v>
      </c>
      <c r="AL6470">
        <v>80.422855920865601</v>
      </c>
      <c r="AM6470">
        <v>90.243882328548196</v>
      </c>
      <c r="AN6470">
        <v>0.99999994758379196</v>
      </c>
    </row>
    <row r="6471" spans="1:40" x14ac:dyDescent="0.25">
      <c r="A6471" t="str">
        <f>"20190303171140844"</f>
        <v>20190303171140844</v>
      </c>
      <c r="B6471" t="str">
        <f>"1551604300836843"</f>
        <v>1551604300836843</v>
      </c>
      <c r="C6471" t="s">
        <v>40</v>
      </c>
      <c r="D6471">
        <v>5.7230220000000003</v>
      </c>
      <c r="E6471">
        <v>0.4142614</v>
      </c>
      <c r="F6471" t="s">
        <v>42</v>
      </c>
      <c r="G6471">
        <v>-114.0277</v>
      </c>
      <c r="H6471" s="1">
        <v>-3.8532429999999999E-6</v>
      </c>
      <c r="I6471">
        <v>132.72049999999999</v>
      </c>
      <c r="J6471">
        <v>-149.47210000000001</v>
      </c>
      <c r="K6471">
        <v>1.12476</v>
      </c>
      <c r="L6471">
        <v>136.7398</v>
      </c>
      <c r="M6471">
        <v>0.94118959999999996</v>
      </c>
      <c r="N6471">
        <v>-1.437426E-2</v>
      </c>
      <c r="O6471">
        <v>-0.33757280000000001</v>
      </c>
      <c r="P6471">
        <v>0.9325715</v>
      </c>
      <c r="Q6471">
        <v>0.1540224</v>
      </c>
      <c r="R6471">
        <v>-0.32647779999999998</v>
      </c>
      <c r="S6471">
        <v>3.113235</v>
      </c>
      <c r="T6471">
        <v>-9.7798590000000005E-2</v>
      </c>
      <c r="U6471">
        <v>-0.36021419999999998</v>
      </c>
      <c r="V6471">
        <v>-9.0852780000000005E-3</v>
      </c>
      <c r="W6471">
        <v>0.16813229999999901</v>
      </c>
      <c r="X6471">
        <v>0.9857226</v>
      </c>
      <c r="Y6471">
        <v>-0.2269795</v>
      </c>
      <c r="Z6471">
        <v>1.06129E-2</v>
      </c>
      <c r="AA6471">
        <v>0.97384170000000003</v>
      </c>
      <c r="AB6471">
        <v>36</v>
      </c>
      <c r="AC6471">
        <v>35.444400000000002</v>
      </c>
      <c r="AD6471">
        <v>-1.124763853243</v>
      </c>
      <c r="AE6471">
        <v>-4.0193000000000101</v>
      </c>
      <c r="AF6471">
        <v>-8.1748603841657292</v>
      </c>
      <c r="AG6471">
        <v>-1.124763853243</v>
      </c>
      <c r="AH6471">
        <v>34.685811254921397</v>
      </c>
      <c r="AI6471">
        <v>91.807795427640102</v>
      </c>
      <c r="AJ6471">
        <v>103.261637321846</v>
      </c>
      <c r="AK6471">
        <v>35.653876906140098</v>
      </c>
      <c r="AL6471">
        <v>80.320755524303294</v>
      </c>
      <c r="AM6471">
        <v>90.528072852894397</v>
      </c>
      <c r="AN6471">
        <v>1.00000002836519</v>
      </c>
    </row>
    <row r="6472" spans="1:40" x14ac:dyDescent="0.25">
      <c r="A6472" t="str">
        <f>"20190303171140867"</f>
        <v>20190303171140867</v>
      </c>
      <c r="B6472" t="str">
        <f>"1551604300857316"</f>
        <v>1551604300857316</v>
      </c>
      <c r="C6472" t="s">
        <v>40</v>
      </c>
      <c r="D6472">
        <v>5.7528459999999999</v>
      </c>
      <c r="E6472">
        <v>0.41436719999999999</v>
      </c>
      <c r="F6472" t="s">
        <v>42</v>
      </c>
      <c r="G6472">
        <v>-110.3047</v>
      </c>
      <c r="H6472" s="1">
        <v>-5.3823019999999998E-6</v>
      </c>
      <c r="I6472">
        <v>132.6216</v>
      </c>
      <c r="J6472">
        <v>-149.13130000000001</v>
      </c>
      <c r="K6472">
        <v>1.1250800000000001</v>
      </c>
      <c r="L6472">
        <v>136.6223</v>
      </c>
      <c r="M6472">
        <v>0.94291610000000003</v>
      </c>
      <c r="N6472">
        <v>-1.433428E-2</v>
      </c>
      <c r="O6472">
        <v>-0.33272220000000002</v>
      </c>
      <c r="P6472">
        <v>0.93686020000000003</v>
      </c>
      <c r="Q6472">
        <v>0.15142340000000001</v>
      </c>
      <c r="R6472">
        <v>-0.31522139999999998</v>
      </c>
      <c r="S6472">
        <v>3.116959</v>
      </c>
      <c r="T6472">
        <v>-8.9509249999999999E-2</v>
      </c>
      <c r="U6472">
        <v>-0.32772829999999997</v>
      </c>
      <c r="V6472">
        <v>-1.6136339999999999E-2</v>
      </c>
      <c r="W6472">
        <v>0.16542279999999901</v>
      </c>
      <c r="X6472">
        <v>0.98609069999999999</v>
      </c>
      <c r="Y6472">
        <v>-0.232154</v>
      </c>
      <c r="Z6472">
        <v>9.4914869999999998E-3</v>
      </c>
      <c r="AA6472">
        <v>0.97263270000000002</v>
      </c>
      <c r="AB6472">
        <v>36</v>
      </c>
      <c r="AC6472">
        <v>38.826599999999999</v>
      </c>
      <c r="AD6472">
        <v>-1.1250853823019999</v>
      </c>
      <c r="AE6472">
        <v>-4.0006999999999904</v>
      </c>
      <c r="AF6472">
        <v>-9.1394921151364397</v>
      </c>
      <c r="AG6472">
        <v>-1.1250853823019999</v>
      </c>
      <c r="AH6472">
        <v>37.913739848955402</v>
      </c>
      <c r="AI6472">
        <v>91.652439790673</v>
      </c>
      <c r="AJ6472">
        <v>103.55315380259201</v>
      </c>
      <c r="AK6472">
        <v>39.015994189234497</v>
      </c>
      <c r="AL6472">
        <v>80.478203119983206</v>
      </c>
      <c r="AM6472">
        <v>90.937501659402599</v>
      </c>
      <c r="AN6472">
        <v>0.99999997642746197</v>
      </c>
    </row>
    <row r="6473" spans="1:40" x14ac:dyDescent="0.25">
      <c r="A6473" t="str">
        <f>"20190303171140888"</f>
        <v>20190303171140888</v>
      </c>
      <c r="B6473" t="str">
        <f>"1551604300876836"</f>
        <v>1551604300876836</v>
      </c>
      <c r="C6473" t="s">
        <v>40</v>
      </c>
      <c r="D6473">
        <v>5.7627540000000002</v>
      </c>
      <c r="E6473">
        <v>0.415103</v>
      </c>
      <c r="F6473" t="s">
        <v>42</v>
      </c>
      <c r="G6473">
        <v>-112.2872</v>
      </c>
      <c r="H6473" s="1">
        <v>-4.4266369999999996E-6</v>
      </c>
      <c r="I6473">
        <v>133.21440000000001</v>
      </c>
      <c r="J6473">
        <v>-148.815</v>
      </c>
      <c r="K6473">
        <v>1.1253519999999999</v>
      </c>
      <c r="L6473">
        <v>136.51509999999999</v>
      </c>
      <c r="M6473">
        <v>0.94452970000000003</v>
      </c>
      <c r="N6473">
        <v>-1.4305470000000001E-2</v>
      </c>
      <c r="O6473">
        <v>-0.32811430000000003</v>
      </c>
      <c r="P6473">
        <v>0.94108740000000002</v>
      </c>
      <c r="Q6473">
        <v>0.14947859999999999</v>
      </c>
      <c r="R6473">
        <v>-0.3033325</v>
      </c>
      <c r="S6473">
        <v>3.1204679999999998</v>
      </c>
      <c r="T6473">
        <v>-9.5287800000000006E-2</v>
      </c>
      <c r="U6473">
        <v>-0.28861999999999999</v>
      </c>
      <c r="V6473">
        <v>-2.4009229999999999E-2</v>
      </c>
      <c r="W6473">
        <v>0.16335930000000001</v>
      </c>
      <c r="X6473">
        <v>0.9862744</v>
      </c>
      <c r="Y6473">
        <v>-0.23955489999999999</v>
      </c>
      <c r="Z6473">
        <v>1.041454E-2</v>
      </c>
      <c r="AA6473">
        <v>0.970827</v>
      </c>
      <c r="AB6473">
        <v>36</v>
      </c>
      <c r="AC6473">
        <v>36.527799999999999</v>
      </c>
      <c r="AD6473">
        <v>-1.125356426637</v>
      </c>
      <c r="AE6473">
        <v>-3.3006999999999702</v>
      </c>
      <c r="AF6473">
        <v>-8.8602503169797995</v>
      </c>
      <c r="AG6473">
        <v>-1.125356426637</v>
      </c>
      <c r="AH6473">
        <v>35.554767273318497</v>
      </c>
      <c r="AI6473">
        <v>91.759120357529994</v>
      </c>
      <c r="AJ6473">
        <v>103.99309851099299</v>
      </c>
      <c r="AK6473">
        <v>36.659404504524502</v>
      </c>
      <c r="AL6473">
        <v>80.598063391168395</v>
      </c>
      <c r="AM6473">
        <v>91.394496210263995</v>
      </c>
      <c r="AN6473">
        <v>0.99999994805851999</v>
      </c>
    </row>
    <row r="6474" spans="1:40" x14ac:dyDescent="0.25">
      <c r="A6474" t="str">
        <f>"20190303171140909"</f>
        <v>20190303171140909</v>
      </c>
      <c r="B6474" t="str">
        <f>"1551604300897333"</f>
        <v>1551604300897333</v>
      </c>
      <c r="C6474" t="s">
        <v>40</v>
      </c>
      <c r="D6474">
        <v>5.7404359999999999</v>
      </c>
      <c r="E6474">
        <v>0.41549900000000001</v>
      </c>
      <c r="F6474" t="s">
        <v>42</v>
      </c>
      <c r="G6474">
        <v>-114.48860000000001</v>
      </c>
      <c r="H6474" s="1">
        <v>-3.4272599999999999E-6</v>
      </c>
      <c r="I6474">
        <v>133.732</v>
      </c>
      <c r="J6474">
        <v>-148.49850000000001</v>
      </c>
      <c r="K6474">
        <v>1.1256379999999999</v>
      </c>
      <c r="L6474">
        <v>136.40969999999999</v>
      </c>
      <c r="M6474">
        <v>0.94617030000000002</v>
      </c>
      <c r="N6474">
        <v>-1.428576E-2</v>
      </c>
      <c r="O6474">
        <v>-0.32335370000000002</v>
      </c>
      <c r="P6474">
        <v>0.94362069999999998</v>
      </c>
      <c r="Q6474">
        <v>0.15165619999999999</v>
      </c>
      <c r="R6474">
        <v>-0.2942457</v>
      </c>
      <c r="S6474">
        <v>3.1224669999999999</v>
      </c>
      <c r="T6474">
        <v>-0.102367</v>
      </c>
      <c r="U6474">
        <v>-0.25315860000000001</v>
      </c>
      <c r="V6474">
        <v>-2.85767E-2</v>
      </c>
      <c r="W6474">
        <v>0.16544629999999999</v>
      </c>
      <c r="X6474">
        <v>0.98580469999999998</v>
      </c>
      <c r="Y6474">
        <v>-0.24562419999999999</v>
      </c>
      <c r="Z6474">
        <v>1.1486700000000001E-2</v>
      </c>
      <c r="AA6474">
        <v>0.96929710000000002</v>
      </c>
      <c r="AB6474">
        <v>36</v>
      </c>
      <c r="AC6474">
        <v>34.009900000000002</v>
      </c>
      <c r="AD6474">
        <v>-1.1256414272599999</v>
      </c>
      <c r="AE6474">
        <v>-2.6776999999999802</v>
      </c>
      <c r="AF6474">
        <v>-8.4553255850258804</v>
      </c>
      <c r="AG6474">
        <v>-1.1256414272599999</v>
      </c>
      <c r="AH6474">
        <v>33.012434621737</v>
      </c>
      <c r="AI6474">
        <v>91.8918648759863</v>
      </c>
      <c r="AJ6474">
        <v>104.366083497441</v>
      </c>
      <c r="AK6474">
        <v>34.096633837169598</v>
      </c>
      <c r="AL6474">
        <v>80.476838143550196</v>
      </c>
      <c r="AM6474">
        <v>91.660436301937395</v>
      </c>
      <c r="AN6474">
        <v>1.0000000062543299</v>
      </c>
    </row>
    <row r="6475" spans="1:40" x14ac:dyDescent="0.25">
      <c r="A6475" t="str">
        <f>"20190303171140928"</f>
        <v>20190303171140928</v>
      </c>
      <c r="B6475" t="str">
        <f>"1551604300916853"</f>
        <v>1551604300916853</v>
      </c>
      <c r="C6475" t="s">
        <v>40</v>
      </c>
      <c r="D6475">
        <v>5.7847210000000002</v>
      </c>
      <c r="E6475">
        <v>0.4160314</v>
      </c>
      <c r="F6475" t="s">
        <v>42</v>
      </c>
      <c r="G6475">
        <v>-112.8197</v>
      </c>
      <c r="H6475" s="1">
        <v>-4.0915940000000002E-6</v>
      </c>
      <c r="I6475">
        <v>133.81540000000001</v>
      </c>
      <c r="J6475">
        <v>-148.19309999999999</v>
      </c>
      <c r="K6475">
        <v>1.1259170000000001</v>
      </c>
      <c r="L6475">
        <v>136.31</v>
      </c>
      <c r="M6475">
        <v>0.94779009999999997</v>
      </c>
      <c r="N6475">
        <v>-1.427573E-2</v>
      </c>
      <c r="O6475">
        <v>-0.31857529999999901</v>
      </c>
      <c r="P6475">
        <v>0.94480459999999999</v>
      </c>
      <c r="Q6475">
        <v>0.15489800000000001</v>
      </c>
      <c r="R6475">
        <v>-0.28870630000000003</v>
      </c>
      <c r="S6475">
        <v>3.1242519999999998</v>
      </c>
      <c r="T6475">
        <v>-9.8568199999999995E-2</v>
      </c>
      <c r="U6475">
        <v>-0.22717290000000001</v>
      </c>
      <c r="V6475">
        <v>-2.9363429999999999E-2</v>
      </c>
      <c r="W6475">
        <v>0.16864409999999999</v>
      </c>
      <c r="X6475">
        <v>0.98523959999999999</v>
      </c>
      <c r="Y6475">
        <v>-0.24880720000000001</v>
      </c>
      <c r="Z6475">
        <v>1.095426E-2</v>
      </c>
      <c r="AA6475">
        <v>0.96849110000000005</v>
      </c>
      <c r="AB6475">
        <v>36</v>
      </c>
      <c r="AC6475">
        <v>35.373399999999897</v>
      </c>
      <c r="AD6475">
        <v>-1.1259210915939999</v>
      </c>
      <c r="AE6475">
        <v>-2.4945999999999899</v>
      </c>
      <c r="AF6475">
        <v>-8.8966726184653595</v>
      </c>
      <c r="AG6475">
        <v>-1.1259210915939999</v>
      </c>
      <c r="AH6475">
        <v>34.290204216664101</v>
      </c>
      <c r="AI6475">
        <v>91.8204046579623</v>
      </c>
      <c r="AJ6475">
        <v>104.54481882470699</v>
      </c>
      <c r="AK6475">
        <v>35.443427983268997</v>
      </c>
      <c r="AL6475">
        <v>80.291007030278095</v>
      </c>
      <c r="AM6475">
        <v>91.707100233997807</v>
      </c>
      <c r="AN6475">
        <v>1.0000000564471601</v>
      </c>
    </row>
    <row r="6476" spans="1:40" x14ac:dyDescent="0.25">
      <c r="A6476" t="str">
        <f>"20190303171140948"</f>
        <v>20190303171140948</v>
      </c>
      <c r="B6476" t="str">
        <f>"1551604300936373"</f>
        <v>1551604300936373</v>
      </c>
      <c r="C6476" t="s">
        <v>40</v>
      </c>
      <c r="D6476">
        <v>5.7787519999999999</v>
      </c>
      <c r="E6476">
        <v>0.41666760000000003</v>
      </c>
      <c r="F6476" t="s">
        <v>42</v>
      </c>
      <c r="G6476">
        <v>-110.5564</v>
      </c>
      <c r="H6476" s="1">
        <v>-5.0796550000000001E-6</v>
      </c>
      <c r="I6476">
        <v>133.7191</v>
      </c>
      <c r="J6476">
        <v>-147.905</v>
      </c>
      <c r="K6476">
        <v>1.12617099999999</v>
      </c>
      <c r="L6476">
        <v>136.21780000000001</v>
      </c>
      <c r="M6476">
        <v>0.94935749999999997</v>
      </c>
      <c r="N6476">
        <v>-1.4273310000000001E-2</v>
      </c>
      <c r="O6476">
        <v>-0.31387379999999998</v>
      </c>
      <c r="P6476">
        <v>0.9455886</v>
      </c>
      <c r="Q6476">
        <v>0.15550990000000001</v>
      </c>
      <c r="R6476">
        <v>-0.28579520000000003</v>
      </c>
      <c r="S6476">
        <v>3.1248320000000001</v>
      </c>
      <c r="T6476">
        <v>-9.3480939999999998E-2</v>
      </c>
      <c r="U6476">
        <v>-0.21511839999999999</v>
      </c>
      <c r="V6476">
        <v>-2.7592579999999998E-2</v>
      </c>
      <c r="W6476">
        <v>0.16925789999999999</v>
      </c>
      <c r="X6476">
        <v>0.98518539999999999</v>
      </c>
      <c r="Y6476">
        <v>-0.24776139999999999</v>
      </c>
      <c r="Z6476">
        <v>1.01569E-2</v>
      </c>
      <c r="AA6476">
        <v>0.96876779999999996</v>
      </c>
      <c r="AB6476">
        <v>36</v>
      </c>
      <c r="AC6476">
        <v>37.348599999999998</v>
      </c>
      <c r="AD6476">
        <v>-1.12617607965499</v>
      </c>
      <c r="AE6476">
        <v>-2.4987000000000101</v>
      </c>
      <c r="AF6476">
        <v>-9.3430823727114802</v>
      </c>
      <c r="AG6476">
        <v>-1.12617607965499</v>
      </c>
      <c r="AH6476">
        <v>36.212361564963203</v>
      </c>
      <c r="AI6476">
        <v>91.724831009766902</v>
      </c>
      <c r="AJ6476">
        <v>104.467263137949</v>
      </c>
      <c r="AK6476">
        <v>37.415191979960298</v>
      </c>
      <c r="AL6476">
        <v>80.255324700712293</v>
      </c>
      <c r="AM6476">
        <v>91.604292147516801</v>
      </c>
      <c r="AN6476">
        <v>0.99999992977830998</v>
      </c>
    </row>
    <row r="6477" spans="1:40" x14ac:dyDescent="0.25">
      <c r="A6477" t="str">
        <f>"20190303171140970"</f>
        <v>20190303171140970</v>
      </c>
      <c r="B6477" t="str">
        <f>"1551604300966924"</f>
        <v>1551604300966924</v>
      </c>
      <c r="C6477" t="s">
        <v>40</v>
      </c>
      <c r="D6477">
        <v>5.7741369999999996</v>
      </c>
      <c r="E6477">
        <v>0.4176687</v>
      </c>
      <c r="F6477" t="s">
        <v>42</v>
      </c>
      <c r="G6477">
        <v>-111.3398</v>
      </c>
      <c r="H6477" s="1">
        <v>-4.7394199999999996E-6</v>
      </c>
      <c r="I6477">
        <v>133.74250000000001</v>
      </c>
      <c r="J6477">
        <v>-147.55950000000001</v>
      </c>
      <c r="K6477">
        <v>1.1264590000000001</v>
      </c>
      <c r="L6477">
        <v>136.1096</v>
      </c>
      <c r="M6477">
        <v>0.95128760000000001</v>
      </c>
      <c r="N6477">
        <v>-1.427697E-2</v>
      </c>
      <c r="O6477">
        <v>-0.30797429999999998</v>
      </c>
      <c r="P6477">
        <v>0.94770940000000004</v>
      </c>
      <c r="Q6477">
        <v>0.15240670000000001</v>
      </c>
      <c r="R6477">
        <v>-0.28039150000000002</v>
      </c>
      <c r="S6477">
        <v>3.1245120000000002</v>
      </c>
      <c r="T6477">
        <v>-9.6232059999999994E-2</v>
      </c>
      <c r="U6477">
        <v>-0.21151729999999999</v>
      </c>
      <c r="V6477">
        <v>-2.7342760000000001E-2</v>
      </c>
      <c r="W6477">
        <v>0.1661493</v>
      </c>
      <c r="X6477">
        <v>0.98572150000000003</v>
      </c>
      <c r="Y6477">
        <v>-0.24284040000000001</v>
      </c>
      <c r="Z6477">
        <v>1.0342580000000001E-2</v>
      </c>
      <c r="AA6477">
        <v>0.97001110000000001</v>
      </c>
      <c r="AB6477">
        <v>36</v>
      </c>
      <c r="AC6477">
        <v>36.219700000000003</v>
      </c>
      <c r="AD6477">
        <v>-1.1264637394200001</v>
      </c>
      <c r="AE6477">
        <v>-2.36709999999999</v>
      </c>
      <c r="AF6477">
        <v>-8.89528343562454</v>
      </c>
      <c r="AG6477">
        <v>-1.1264637394200001</v>
      </c>
      <c r="AH6477">
        <v>35.154083457909103</v>
      </c>
      <c r="AI6477">
        <v>91.779294999337196</v>
      </c>
      <c r="AJ6477">
        <v>104.19989705454</v>
      </c>
      <c r="AK6477">
        <v>36.279533785896</v>
      </c>
      <c r="AL6477">
        <v>80.435994299924602</v>
      </c>
      <c r="AM6477">
        <v>91.588910381229795</v>
      </c>
      <c r="AN6477">
        <v>1.0000000459885701</v>
      </c>
    </row>
    <row r="6478" spans="1:40" x14ac:dyDescent="0.25">
      <c r="A6478" t="str">
        <f>"20190303171140995"</f>
        <v>20190303171140995</v>
      </c>
      <c r="B6478" t="str">
        <f>"1551604300976685"</f>
        <v>1551604300976685</v>
      </c>
      <c r="C6478" t="s">
        <v>40</v>
      </c>
      <c r="D6478">
        <v>5.7973840000000001</v>
      </c>
      <c r="E6478">
        <v>0.41797020000000001</v>
      </c>
      <c r="F6478" t="s">
        <v>42</v>
      </c>
      <c r="G6478">
        <v>-116.33199999999999</v>
      </c>
      <c r="H6478" s="1">
        <v>-2.7049429999999998E-6</v>
      </c>
      <c r="I6478">
        <v>134.0891</v>
      </c>
      <c r="J6478">
        <v>-147.19579999999999</v>
      </c>
      <c r="K6478">
        <v>1.1267389999999999</v>
      </c>
      <c r="L6478">
        <v>135.9984</v>
      </c>
      <c r="M6478">
        <v>0.95337609999999995</v>
      </c>
      <c r="N6478">
        <v>-1.428578E-2</v>
      </c>
      <c r="O6478">
        <v>-0.30144670000000001</v>
      </c>
      <c r="P6478">
        <v>0.95040789999999997</v>
      </c>
      <c r="Q6478">
        <v>0.14825829999999901</v>
      </c>
      <c r="R6478">
        <v>-0.27339419999999998</v>
      </c>
      <c r="S6478">
        <v>3.123856</v>
      </c>
      <c r="T6478">
        <v>-0.1126858</v>
      </c>
      <c r="U6478">
        <v>-0.20211789999999999</v>
      </c>
      <c r="V6478">
        <v>-2.8122979999999999E-2</v>
      </c>
      <c r="W6478">
        <v>0.161988299999999</v>
      </c>
      <c r="X6478">
        <v>0.98639180000000004</v>
      </c>
      <c r="Y6478">
        <v>-0.23900579999999999</v>
      </c>
      <c r="Z6478">
        <v>1.2355140000000001E-2</v>
      </c>
      <c r="AA6478">
        <v>0.97093949999999996</v>
      </c>
      <c r="AB6478">
        <v>36</v>
      </c>
      <c r="AC6478">
        <v>30.863799999999902</v>
      </c>
      <c r="AD6478">
        <v>-1.126741704943</v>
      </c>
      <c r="AE6478">
        <v>-1.9093</v>
      </c>
      <c r="AF6478">
        <v>-7.4743492371953399</v>
      </c>
      <c r="AG6478">
        <v>-1.126741704943</v>
      </c>
      <c r="AH6478">
        <v>29.963638536794502</v>
      </c>
      <c r="AI6478">
        <v>92.089545368751502</v>
      </c>
      <c r="AJ6478">
        <v>104.00643591458901</v>
      </c>
      <c r="AK6478">
        <v>30.902347447287799</v>
      </c>
      <c r="AL6478">
        <v>80.677676360483105</v>
      </c>
      <c r="AM6478">
        <v>91.633115432813696</v>
      </c>
      <c r="AN6478">
        <v>0.99999994722410301</v>
      </c>
    </row>
    <row r="6479" spans="1:40" x14ac:dyDescent="0.25">
      <c r="A6479" t="str">
        <f>"20190303171141021"</f>
        <v>20190303171141021</v>
      </c>
      <c r="B6479" t="str">
        <f>"1551604301016702"</f>
        <v>1551604301016702</v>
      </c>
      <c r="C6479" t="s">
        <v>40</v>
      </c>
      <c r="D6479">
        <v>5.8228350000000004</v>
      </c>
      <c r="E6479">
        <v>0.41926760000000002</v>
      </c>
      <c r="F6479" t="s">
        <v>42</v>
      </c>
      <c r="G6479">
        <v>-120.21510000000001</v>
      </c>
      <c r="H6479" s="1">
        <v>-5.1029979999999996E-6</v>
      </c>
      <c r="I6479">
        <v>134.4128</v>
      </c>
      <c r="J6479">
        <v>-146.8006</v>
      </c>
      <c r="K6479">
        <v>1.1270249999999999</v>
      </c>
      <c r="L6479">
        <v>135.88130000000001</v>
      </c>
      <c r="M6479">
        <v>0.955708</v>
      </c>
      <c r="N6479">
        <v>-1.4299589999999999E-2</v>
      </c>
      <c r="O6479">
        <v>-0.29396899999999998</v>
      </c>
      <c r="P6479">
        <v>0.95298269999999996</v>
      </c>
      <c r="Q6479">
        <v>0.145954</v>
      </c>
      <c r="R6479">
        <v>-0.2655593</v>
      </c>
      <c r="S6479">
        <v>3.124069</v>
      </c>
      <c r="T6479">
        <v>-0.13046469999999999</v>
      </c>
      <c r="U6479">
        <v>-0.1835938</v>
      </c>
      <c r="V6479">
        <v>-2.871106E-2</v>
      </c>
      <c r="W6479">
        <v>0.15967419999999999</v>
      </c>
      <c r="X6479">
        <v>0.98675219999999997</v>
      </c>
      <c r="Y6479">
        <v>-0.237041</v>
      </c>
      <c r="Z6479">
        <v>1.448056E-2</v>
      </c>
      <c r="AA6479">
        <v>0.97139169999999997</v>
      </c>
      <c r="AB6479">
        <v>36</v>
      </c>
      <c r="AC6479">
        <v>26.5855</v>
      </c>
      <c r="AD6479">
        <v>-1.1270301029980001</v>
      </c>
      <c r="AE6479">
        <v>-1.4684999999999999</v>
      </c>
      <c r="AF6479">
        <v>-6.4010426269435996</v>
      </c>
      <c r="AG6479">
        <v>-1.1270301029980001</v>
      </c>
      <c r="AH6479">
        <v>25.796092206646701</v>
      </c>
      <c r="AI6479">
        <v>92.428114162464396</v>
      </c>
      <c r="AJ6479">
        <v>103.935898979057</v>
      </c>
      <c r="AK6479">
        <v>26.602291568562801</v>
      </c>
      <c r="AL6479">
        <v>80.812014230548996</v>
      </c>
      <c r="AM6479">
        <v>91.666637854358996</v>
      </c>
      <c r="AN6479">
        <v>1.0000000396583999</v>
      </c>
    </row>
    <row r="6480" spans="1:40" x14ac:dyDescent="0.25">
      <c r="A6480" t="str">
        <f>"20190303171141044"</f>
        <v>20190303171141044</v>
      </c>
      <c r="B6480" t="str">
        <f>"1551604301037197"</f>
        <v>1551604301037197</v>
      </c>
      <c r="C6480" t="s">
        <v>40</v>
      </c>
      <c r="D6480">
        <v>5.8164020000000001</v>
      </c>
      <c r="E6480">
        <v>0.41993039999999998</v>
      </c>
      <c r="F6480" t="s">
        <v>42</v>
      </c>
      <c r="G6480">
        <v>-122.6007</v>
      </c>
      <c r="H6480" s="1">
        <v>-4.0526069999999999E-6</v>
      </c>
      <c r="I6480">
        <v>134.56479999999999</v>
      </c>
      <c r="J6480">
        <v>-146.43799999999999</v>
      </c>
      <c r="K6480">
        <v>1.1272580000000001</v>
      </c>
      <c r="L6480">
        <v>135.77719999999999</v>
      </c>
      <c r="M6480">
        <v>0.95787949999999999</v>
      </c>
      <c r="N6480">
        <v>-1.431409E-2</v>
      </c>
      <c r="O6480">
        <v>-0.28681329999999999</v>
      </c>
      <c r="P6480">
        <v>0.95501440000000004</v>
      </c>
      <c r="Q6480">
        <v>0.14526989999999901</v>
      </c>
      <c r="R6480">
        <v>-0.25854250000000001</v>
      </c>
      <c r="S6480">
        <v>3.1229550000000001</v>
      </c>
      <c r="T6480">
        <v>-0.14544109999999999</v>
      </c>
      <c r="U6480">
        <v>-0.1698914</v>
      </c>
      <c r="V6480">
        <v>-2.8703449999999998E-2</v>
      </c>
      <c r="W6480">
        <v>0.15899070000000001</v>
      </c>
      <c r="X6480">
        <v>0.98686269999999998</v>
      </c>
      <c r="Y6480">
        <v>-0.23391210000000001</v>
      </c>
      <c r="Z6480">
        <v>1.6134510000000001E-2</v>
      </c>
      <c r="AA6480">
        <v>0.97212390000000004</v>
      </c>
      <c r="AB6480">
        <v>36</v>
      </c>
      <c r="AC6480">
        <v>23.8372999999999</v>
      </c>
      <c r="AD6480">
        <v>-1.1272620526070001</v>
      </c>
      <c r="AE6480">
        <v>-1.2123999999999999</v>
      </c>
      <c r="AF6480">
        <v>-5.66347068186536</v>
      </c>
      <c r="AG6480">
        <v>-1.1272620526070001</v>
      </c>
      <c r="AH6480">
        <v>23.131773028466998</v>
      </c>
      <c r="AI6480">
        <v>92.710023479623999</v>
      </c>
      <c r="AJ6480">
        <v>103.757388959449</v>
      </c>
      <c r="AK6480">
        <v>23.841655633368099</v>
      </c>
      <c r="AL6480">
        <v>80.851681922029599</v>
      </c>
      <c r="AM6480">
        <v>91.666009892769594</v>
      </c>
      <c r="AN6480">
        <v>0.99999995968984001</v>
      </c>
    </row>
    <row r="6481" spans="1:40" x14ac:dyDescent="0.25">
      <c r="A6481" t="str">
        <f>"20190303171141064"</f>
        <v>20190303171141064</v>
      </c>
      <c r="B6481" t="str">
        <f>"1551604301056717"</f>
        <v>1551604301056717</v>
      </c>
      <c r="C6481" t="s">
        <v>40</v>
      </c>
      <c r="D6481">
        <v>5.8124190000000002</v>
      </c>
      <c r="E6481">
        <v>0.4206241</v>
      </c>
      <c r="F6481" t="s">
        <v>42</v>
      </c>
      <c r="G6481">
        <v>-123.7097</v>
      </c>
      <c r="H6481" s="1">
        <v>-3.5631140000000002E-6</v>
      </c>
      <c r="I6481">
        <v>134.64230000000001</v>
      </c>
      <c r="J6481">
        <v>-146.13149999999999</v>
      </c>
      <c r="K6481">
        <v>1.1274309999999901</v>
      </c>
      <c r="L6481">
        <v>135.69149999999999</v>
      </c>
      <c r="M6481">
        <v>0.95971689999999998</v>
      </c>
      <c r="N6481">
        <v>-1.432568E-2</v>
      </c>
      <c r="O6481">
        <v>-0.28060359999999901</v>
      </c>
      <c r="P6481">
        <v>0.95660160000000005</v>
      </c>
      <c r="Q6481">
        <v>0.14396619999999999</v>
      </c>
      <c r="R6481">
        <v>-0.25335210000000002</v>
      </c>
      <c r="S6481">
        <v>3.122665</v>
      </c>
      <c r="T6481">
        <v>-0.1548756</v>
      </c>
      <c r="U6481">
        <v>-0.15591429999999901</v>
      </c>
      <c r="V6481">
        <v>-2.777232E-2</v>
      </c>
      <c r="W6481">
        <v>0.15770490000000001</v>
      </c>
      <c r="X6481">
        <v>0.98709570000000002</v>
      </c>
      <c r="Y6481">
        <v>-0.23188929999999999</v>
      </c>
      <c r="Z6481">
        <v>1.7076009999999999E-2</v>
      </c>
      <c r="AA6481">
        <v>0.97259229999999997</v>
      </c>
      <c r="AB6481">
        <v>36</v>
      </c>
      <c r="AC6481">
        <v>22.421799999999902</v>
      </c>
      <c r="AD6481">
        <v>-1.1274345631139999</v>
      </c>
      <c r="AE6481">
        <v>-1.0491999999999799</v>
      </c>
      <c r="AF6481">
        <v>-5.2719444969573397</v>
      </c>
      <c r="AG6481">
        <v>-1.1274345631139999</v>
      </c>
      <c r="AH6481">
        <v>21.7603287638693</v>
      </c>
      <c r="AI6481">
        <v>92.882678196836096</v>
      </c>
      <c r="AJ6481">
        <v>103.618820885327</v>
      </c>
      <c r="AK6481">
        <v>22.418216150817599</v>
      </c>
      <c r="AL6481">
        <v>80.926294832507594</v>
      </c>
      <c r="AM6481">
        <v>91.611613796162104</v>
      </c>
      <c r="AN6481">
        <v>1.0000000291003399</v>
      </c>
    </row>
    <row r="6482" spans="1:40" x14ac:dyDescent="0.25">
      <c r="A6482" t="str">
        <f>"20190303171141085"</f>
        <v>20190303171141085</v>
      </c>
      <c r="B6482" t="str">
        <f>"1551604301077212"</f>
        <v>1551604301077212</v>
      </c>
      <c r="C6482" t="s">
        <v>40</v>
      </c>
      <c r="D6482">
        <v>5.8051019999999998</v>
      </c>
      <c r="E6482">
        <v>0.42127360000000003</v>
      </c>
      <c r="F6482" t="s">
        <v>42</v>
      </c>
      <c r="G6482">
        <v>-124.7647</v>
      </c>
      <c r="H6482" s="1">
        <v>-3.103293E-6</v>
      </c>
      <c r="I6482">
        <v>134.6832</v>
      </c>
      <c r="J6482">
        <v>-145.81960000000001</v>
      </c>
      <c r="K6482">
        <v>1.1275839999999999</v>
      </c>
      <c r="L6482">
        <v>135.60659999999999</v>
      </c>
      <c r="M6482">
        <v>0.9615745</v>
      </c>
      <c r="N6482">
        <v>-1.43356E-2</v>
      </c>
      <c r="O6482">
        <v>-0.27416940000000001</v>
      </c>
      <c r="P6482">
        <v>0.95829920000000002</v>
      </c>
      <c r="Q6482">
        <v>0.14301759999999999</v>
      </c>
      <c r="R6482">
        <v>-0.24740419999999999</v>
      </c>
      <c r="S6482">
        <v>3.1218870000000001</v>
      </c>
      <c r="T6482">
        <v>-0.1647284</v>
      </c>
      <c r="U6482">
        <v>-0.1473236</v>
      </c>
      <c r="V6482">
        <v>-2.7371679999999999E-2</v>
      </c>
      <c r="W6482">
        <v>0.15676590000000001</v>
      </c>
      <c r="X6482">
        <v>0.98725640000000003</v>
      </c>
      <c r="Y6482">
        <v>-0.227968</v>
      </c>
      <c r="Z6482">
        <v>1.7956400000000001E-2</v>
      </c>
      <c r="AA6482">
        <v>0.97350309999999995</v>
      </c>
      <c r="AB6482">
        <v>36</v>
      </c>
      <c r="AC6482">
        <v>21.0549</v>
      </c>
      <c r="AD6482">
        <v>-1.1275871032929901</v>
      </c>
      <c r="AE6482">
        <v>-0.92339999999998601</v>
      </c>
      <c r="AF6482">
        <v>-4.8712492873740301</v>
      </c>
      <c r="AG6482">
        <v>-1.1275871032929901</v>
      </c>
      <c r="AH6482">
        <v>20.442611966664899</v>
      </c>
      <c r="AI6482">
        <v>93.071336903130799</v>
      </c>
      <c r="AJ6482">
        <v>103.40300271665799</v>
      </c>
      <c r="AK6482">
        <v>21.045211006660999</v>
      </c>
      <c r="AL6482">
        <v>80.980772751901199</v>
      </c>
      <c r="AM6482">
        <v>91.588118440357306</v>
      </c>
      <c r="AN6482">
        <v>0.99999997780489502</v>
      </c>
    </row>
    <row r="6483" spans="1:40" x14ac:dyDescent="0.25">
      <c r="A6483" t="str">
        <f>"20190303171141104"</f>
        <v>20190303171141104</v>
      </c>
      <c r="B6483" t="str">
        <f>"1551604301096733"</f>
        <v>1551604301096733</v>
      </c>
      <c r="C6483" t="s">
        <v>40</v>
      </c>
      <c r="D6483">
        <v>5.8167849999999897</v>
      </c>
      <c r="E6483">
        <v>0.4215777</v>
      </c>
      <c r="F6483" t="s">
        <v>42</v>
      </c>
      <c r="G6483">
        <v>-125.4392</v>
      </c>
      <c r="H6483" s="1">
        <v>-2.8403149999999999E-6</v>
      </c>
      <c r="I6483">
        <v>134.72219999999999</v>
      </c>
      <c r="J6483">
        <v>-145.51589999999999</v>
      </c>
      <c r="K6483">
        <v>1.127712</v>
      </c>
      <c r="L6483">
        <v>135.52619999999999</v>
      </c>
      <c r="M6483">
        <v>0.96336160000000004</v>
      </c>
      <c r="N6483">
        <v>-1.43433E-2</v>
      </c>
      <c r="O6483">
        <v>-0.26782220000000001</v>
      </c>
      <c r="P6483">
        <v>0.96003689999999997</v>
      </c>
      <c r="Q6483">
        <v>0.1429484</v>
      </c>
      <c r="R6483">
        <v>-0.24061399999999999</v>
      </c>
      <c r="S6483">
        <v>3.1213380000000002</v>
      </c>
      <c r="T6483">
        <v>-0.1726935</v>
      </c>
      <c r="U6483">
        <v>-0.1354523</v>
      </c>
      <c r="V6483">
        <v>-2.7895509999999998E-2</v>
      </c>
      <c r="W6483">
        <v>0.1566892</v>
      </c>
      <c r="X6483">
        <v>0.98725399999999996</v>
      </c>
      <c r="Y6483">
        <v>-0.22518099999999999</v>
      </c>
      <c r="Z6483">
        <v>1.8600169999999999E-2</v>
      </c>
      <c r="AA6483">
        <v>0.97413939999999999</v>
      </c>
      <c r="AB6483">
        <v>36</v>
      </c>
      <c r="AC6483">
        <v>20.076699999999899</v>
      </c>
      <c r="AD6483">
        <v>-1.1277148403149999</v>
      </c>
      <c r="AE6483">
        <v>-0.80400000000000205</v>
      </c>
      <c r="AF6483">
        <v>-4.5884627577001398</v>
      </c>
      <c r="AG6483">
        <v>-1.1277148403149999</v>
      </c>
      <c r="AH6483">
        <v>19.4970457958722</v>
      </c>
      <c r="AI6483">
        <v>93.222472875755898</v>
      </c>
      <c r="AJ6483">
        <v>103.243088812683</v>
      </c>
      <c r="AK6483">
        <v>20.0614188432974</v>
      </c>
      <c r="AL6483">
        <v>80.985223098335197</v>
      </c>
      <c r="AM6483">
        <v>91.618499235203004</v>
      </c>
      <c r="AN6483">
        <v>1.00000006269539</v>
      </c>
    </row>
    <row r="6484" spans="1:40" x14ac:dyDescent="0.25">
      <c r="A6484" t="str">
        <f>"20190303171141126"</f>
        <v>20190303171141126</v>
      </c>
      <c r="B6484" t="str">
        <f>"1551604301117229"</f>
        <v>1551604301117229</v>
      </c>
      <c r="C6484" t="s">
        <v>40</v>
      </c>
      <c r="D6484">
        <v>5.8135440000000003</v>
      </c>
      <c r="E6484">
        <v>0.43396600000000002</v>
      </c>
      <c r="F6484" t="s">
        <v>42</v>
      </c>
      <c r="G6484">
        <v>-125.5697</v>
      </c>
      <c r="H6484" s="1">
        <v>-2.7827749999999998E-6</v>
      </c>
      <c r="I6484">
        <v>134.7715</v>
      </c>
      <c r="J6484">
        <v>-145.19229999999999</v>
      </c>
      <c r="K6484">
        <v>1.1278060000000001</v>
      </c>
      <c r="L6484">
        <v>135.44290000000001</v>
      </c>
      <c r="M6484">
        <v>0.96523139999999996</v>
      </c>
      <c r="N6484">
        <v>-1.4349900000000001E-2</v>
      </c>
      <c r="O6484">
        <v>-0.26100299999999999</v>
      </c>
      <c r="P6484">
        <v>0.961839</v>
      </c>
      <c r="Q6484">
        <v>0.14378179999999999</v>
      </c>
      <c r="R6484">
        <v>-0.2327941</v>
      </c>
      <c r="S6484">
        <v>3.1215519999999999</v>
      </c>
      <c r="T6484">
        <v>-0.17648539999999999</v>
      </c>
      <c r="U6484">
        <v>-0.118103</v>
      </c>
      <c r="V6484">
        <v>-2.89669E-2</v>
      </c>
      <c r="W6484">
        <v>0.15750339999999999</v>
      </c>
      <c r="X6484">
        <v>0.98709349999999996</v>
      </c>
      <c r="Y6484">
        <v>-0.22367780000000001</v>
      </c>
      <c r="Z6484">
        <v>1.8734580000000001E-2</v>
      </c>
      <c r="AA6484">
        <v>0.97448310000000005</v>
      </c>
      <c r="AB6484">
        <v>36</v>
      </c>
      <c r="AC6484">
        <v>19.622599999999899</v>
      </c>
      <c r="AD6484">
        <v>-1.1278087827750001</v>
      </c>
      <c r="AE6484">
        <v>-0.67140000000000499</v>
      </c>
      <c r="AF6484">
        <v>-4.4592481094715701</v>
      </c>
      <c r="AG6484">
        <v>-1.1278087827750001</v>
      </c>
      <c r="AH6484">
        <v>19.054683020816402</v>
      </c>
      <c r="AI6484">
        <v>93.298359330622304</v>
      </c>
      <c r="AJ6484">
        <v>103.17153126477901</v>
      </c>
      <c r="AK6484">
        <v>19.601984373428099</v>
      </c>
      <c r="AL6484">
        <v>80.937985687101204</v>
      </c>
      <c r="AM6484">
        <v>91.6808994696448</v>
      </c>
      <c r="AN6484">
        <v>0.99999999002470996</v>
      </c>
    </row>
    <row r="6485" spans="1:40" x14ac:dyDescent="0.25">
      <c r="A6485" t="str">
        <f>"20190303171141147"</f>
        <v>20190303171141147</v>
      </c>
      <c r="B6485" t="str">
        <f>"1551604301136748"</f>
        <v>1551604301136748</v>
      </c>
      <c r="C6485" t="s">
        <v>40</v>
      </c>
      <c r="D6485">
        <v>5.8511110000000004</v>
      </c>
      <c r="E6485">
        <v>0.43523849999999997</v>
      </c>
      <c r="F6485" t="s">
        <v>42</v>
      </c>
      <c r="G6485">
        <v>-129.04349999999999</v>
      </c>
      <c r="H6485" s="1">
        <v>-1.6862489999999999E-6</v>
      </c>
      <c r="I6485">
        <v>134.44970000000001</v>
      </c>
      <c r="J6485">
        <v>-144.85919999999999</v>
      </c>
      <c r="K6485">
        <v>1.127869</v>
      </c>
      <c r="L6485">
        <v>135.3596</v>
      </c>
      <c r="M6485">
        <v>0.96710969999999996</v>
      </c>
      <c r="N6485">
        <v>-1.435525E-2</v>
      </c>
      <c r="O6485">
        <v>-0.25395489999999998</v>
      </c>
      <c r="P6485">
        <v>0.96379119999999996</v>
      </c>
      <c r="Q6485">
        <v>0.1442156</v>
      </c>
      <c r="R6485">
        <v>-0.224296</v>
      </c>
      <c r="S6485">
        <v>3.1052249999999999</v>
      </c>
      <c r="T6485">
        <v>-0.2168638</v>
      </c>
      <c r="U6485">
        <v>-0.19096369999999999</v>
      </c>
      <c r="V6485">
        <v>-3.0499760000000001E-2</v>
      </c>
      <c r="W6485">
        <v>0.15791069999999999</v>
      </c>
      <c r="X6485">
        <v>0.98698229999999998</v>
      </c>
      <c r="Y6485">
        <v>-0.19319449999999999</v>
      </c>
      <c r="Z6485">
        <v>2.1961000000000001E-2</v>
      </c>
      <c r="AA6485">
        <v>0.98091470000000003</v>
      </c>
      <c r="AB6485">
        <v>36</v>
      </c>
      <c r="AC6485">
        <v>15.8156999999999</v>
      </c>
      <c r="AD6485">
        <v>-1.127870686249</v>
      </c>
      <c r="AE6485">
        <v>-0.90989999999999305</v>
      </c>
      <c r="AF6485">
        <v>-3.1210042900292998</v>
      </c>
      <c r="AG6485">
        <v>-1.127870686249</v>
      </c>
      <c r="AH6485">
        <v>15.4498752827638</v>
      </c>
      <c r="AI6485">
        <v>94.092909824198799</v>
      </c>
      <c r="AJ6485">
        <v>101.42053552802101</v>
      </c>
      <c r="AK6485">
        <v>15.802259531985801</v>
      </c>
      <c r="AL6485">
        <v>80.914353860659105</v>
      </c>
      <c r="AM6485">
        <v>91.769992825843005</v>
      </c>
      <c r="AN6485">
        <v>1.0000000425239099</v>
      </c>
    </row>
    <row r="6486" spans="1:40" x14ac:dyDescent="0.25">
      <c r="A6486" t="str">
        <f>"20190303171141168"</f>
        <v>20190303171141168</v>
      </c>
      <c r="B6486" t="str">
        <f>"1551604301157245"</f>
        <v>1551604301157245</v>
      </c>
      <c r="C6486" t="s">
        <v>40</v>
      </c>
      <c r="D6486">
        <v>5.8316850000000002</v>
      </c>
      <c r="E6486">
        <v>0.43600470000000002</v>
      </c>
      <c r="F6486" t="s">
        <v>42</v>
      </c>
      <c r="G6486">
        <v>-128.8569</v>
      </c>
      <c r="H6486" s="1">
        <v>-1.7470069999999999E-6</v>
      </c>
      <c r="I6486">
        <v>134.4599</v>
      </c>
      <c r="J6486">
        <v>-144.52799999999999</v>
      </c>
      <c r="K6486">
        <v>1.1279030000000001</v>
      </c>
      <c r="L6486">
        <v>135.27940000000001</v>
      </c>
      <c r="M6486">
        <v>0.96892310000000004</v>
      </c>
      <c r="N6486">
        <v>-1.4359149999999999E-2</v>
      </c>
      <c r="O6486">
        <v>-0.246945</v>
      </c>
      <c r="P6486">
        <v>0.96562979999999998</v>
      </c>
      <c r="Q6486">
        <v>0.1440447</v>
      </c>
      <c r="R6486">
        <v>-0.21635650000000001</v>
      </c>
      <c r="S6486">
        <v>3.1048279999999999</v>
      </c>
      <c r="T6486">
        <v>-0.21883449999999999</v>
      </c>
      <c r="U6486">
        <v>-0.17456050000000001</v>
      </c>
      <c r="V6486">
        <v>-3.1499840000000001E-2</v>
      </c>
      <c r="W6486">
        <v>0.15772329999999901</v>
      </c>
      <c r="X6486">
        <v>0.98698079999999999</v>
      </c>
      <c r="Y6486">
        <v>-0.19124389999999999</v>
      </c>
      <c r="Z6486">
        <v>2.173158E-2</v>
      </c>
      <c r="AA6486">
        <v>0.98130200000000001</v>
      </c>
      <c r="AB6486">
        <v>36</v>
      </c>
      <c r="AC6486">
        <v>15.6710999999999</v>
      </c>
      <c r="AD6486">
        <v>-1.1279047470070001</v>
      </c>
      <c r="AE6486">
        <v>-0.819500000000005</v>
      </c>
      <c r="AF6486">
        <v>-3.06037437655336</v>
      </c>
      <c r="AG6486">
        <v>-1.1279047470070001</v>
      </c>
      <c r="AH6486">
        <v>15.308961665892699</v>
      </c>
      <c r="AI6486">
        <v>94.132248948112704</v>
      </c>
      <c r="AJ6486">
        <v>101.304829607147</v>
      </c>
      <c r="AK6486">
        <v>15.652551476700401</v>
      </c>
      <c r="AL6486">
        <v>80.925226865862697</v>
      </c>
      <c r="AM6486">
        <v>91.827994501332398</v>
      </c>
      <c r="AN6486">
        <v>0.99999998942577695</v>
      </c>
    </row>
    <row r="6487" spans="1:40" x14ac:dyDescent="0.25">
      <c r="A6487" t="str">
        <f>"20190303171141200"</f>
        <v>20190303171141200</v>
      </c>
      <c r="B6487" t="str">
        <f>"1551604301187501"</f>
        <v>1551604301187501</v>
      </c>
      <c r="C6487" t="s">
        <v>40</v>
      </c>
      <c r="D6487">
        <v>5.8562830000000003</v>
      </c>
      <c r="E6487">
        <v>0.43653259999999999</v>
      </c>
      <c r="F6487" t="s">
        <v>42</v>
      </c>
      <c r="G6487">
        <v>-128.3913</v>
      </c>
      <c r="H6487" s="1">
        <v>-1.901578E-6</v>
      </c>
      <c r="I6487">
        <v>134.47450000000001</v>
      </c>
      <c r="J6487">
        <v>-144.06</v>
      </c>
      <c r="K6487">
        <v>1.127926</v>
      </c>
      <c r="L6487">
        <v>135.1703</v>
      </c>
      <c r="M6487">
        <v>0.97138530000000001</v>
      </c>
      <c r="N6487">
        <v>-1.43623E-2</v>
      </c>
      <c r="O6487">
        <v>-0.2370748</v>
      </c>
      <c r="P6487">
        <v>0.96816380000000002</v>
      </c>
      <c r="Q6487">
        <v>0.14248440000000001</v>
      </c>
      <c r="R6487">
        <v>-0.2058093</v>
      </c>
      <c r="S6487">
        <v>3.1044459999999998</v>
      </c>
      <c r="T6487">
        <v>-0.21699109999999999</v>
      </c>
      <c r="U6487">
        <v>-0.15484619999999999</v>
      </c>
      <c r="V6487">
        <v>-3.2269930000000002E-2</v>
      </c>
      <c r="W6487">
        <v>0.15615319999999999</v>
      </c>
      <c r="X6487">
        <v>0.98720560000000002</v>
      </c>
      <c r="Y6487">
        <v>-0.18750629999999999</v>
      </c>
      <c r="Z6487">
        <v>2.085733E-2</v>
      </c>
      <c r="AA6487">
        <v>0.98204199999999997</v>
      </c>
      <c r="AB6487">
        <v>36</v>
      </c>
      <c r="AC6487">
        <v>15.668699999999999</v>
      </c>
      <c r="AD6487">
        <v>-1.1279279015779999</v>
      </c>
      <c r="AE6487">
        <v>-0.69579999999999098</v>
      </c>
      <c r="AF6487">
        <v>-3.0234406674174101</v>
      </c>
      <c r="AG6487">
        <v>-1.1279279015779999</v>
      </c>
      <c r="AH6487">
        <v>15.307719128474</v>
      </c>
      <c r="AI6487">
        <v>94.134554878455404</v>
      </c>
      <c r="AJ6487">
        <v>101.17273475485401</v>
      </c>
      <c r="AK6487">
        <v>15.6441580066427</v>
      </c>
      <c r="AL6487">
        <v>81.016316114347404</v>
      </c>
      <c r="AM6487">
        <v>91.872226696226903</v>
      </c>
      <c r="AN6487">
        <v>1.0000000334618999</v>
      </c>
    </row>
    <row r="6488" spans="1:40" x14ac:dyDescent="0.25">
      <c r="A6488" t="str">
        <f>"20190303171141225"</f>
        <v>20190303171141225</v>
      </c>
      <c r="B6488" t="str">
        <f>"1551604301216782"</f>
        <v>1551604301216782</v>
      </c>
      <c r="C6488" t="s">
        <v>40</v>
      </c>
      <c r="D6488">
        <v>5.8407140000000002</v>
      </c>
      <c r="E6488">
        <v>0.43736130000000001</v>
      </c>
      <c r="F6488" t="s">
        <v>42</v>
      </c>
      <c r="G6488">
        <v>-128.48949999999999</v>
      </c>
      <c r="H6488" s="1">
        <v>-1.8506590000000001E-6</v>
      </c>
      <c r="I6488">
        <v>134.5403</v>
      </c>
      <c r="J6488">
        <v>-143.66990000000001</v>
      </c>
      <c r="K6488">
        <v>1.1279220000000001</v>
      </c>
      <c r="L6488">
        <v>135.08330000000001</v>
      </c>
      <c r="M6488">
        <v>0.97334120000000002</v>
      </c>
      <c r="N6488">
        <v>-1.4362639999999999E-2</v>
      </c>
      <c r="O6488">
        <v>-0.22891159999999999</v>
      </c>
      <c r="P6488">
        <v>0.97001990000000005</v>
      </c>
      <c r="Q6488">
        <v>0.14211029999999999</v>
      </c>
      <c r="R6488">
        <v>-0.19714499999999999</v>
      </c>
      <c r="S6488">
        <v>3.1050420000000001</v>
      </c>
      <c r="T6488">
        <v>-0.22492980000000001</v>
      </c>
      <c r="U6488">
        <v>-0.1256256</v>
      </c>
      <c r="V6488">
        <v>-3.2816110000000003E-2</v>
      </c>
      <c r="W6488">
        <v>0.15577070000000001</v>
      </c>
      <c r="X6488">
        <v>0.98724800000000001</v>
      </c>
      <c r="Y6488">
        <v>-0.18843199999999999</v>
      </c>
      <c r="Z6488">
        <v>2.1283529999999998E-2</v>
      </c>
      <c r="AA6488">
        <v>0.98185560000000005</v>
      </c>
      <c r="AB6488">
        <v>36</v>
      </c>
      <c r="AC6488">
        <v>15.180400000000001</v>
      </c>
      <c r="AD6488">
        <v>-1.1279238506589999</v>
      </c>
      <c r="AE6488">
        <v>-0.54300000000000603</v>
      </c>
      <c r="AF6488">
        <v>-2.9305912799846201</v>
      </c>
      <c r="AG6488">
        <v>-1.1279238506589999</v>
      </c>
      <c r="AH6488">
        <v>14.819834458357301</v>
      </c>
      <c r="AI6488">
        <v>94.269966220084598</v>
      </c>
      <c r="AJ6488">
        <v>101.18580651231299</v>
      </c>
      <c r="AK6488">
        <v>15.148863681356501</v>
      </c>
      <c r="AL6488">
        <v>81.038503047048593</v>
      </c>
      <c r="AM6488">
        <v>91.903809961734893</v>
      </c>
      <c r="AN6488">
        <v>1.0000000107790099</v>
      </c>
    </row>
    <row r="6489" spans="1:40" x14ac:dyDescent="0.25">
      <c r="A6489" t="str">
        <f>"20190303171141248"</f>
        <v>20190303171141248</v>
      </c>
      <c r="B6489" t="str">
        <f>"1551604301237276"</f>
        <v>1551604301237276</v>
      </c>
      <c r="C6489" t="s">
        <v>40</v>
      </c>
      <c r="D6489">
        <v>5.8508100000000001</v>
      </c>
      <c r="E6489">
        <v>0.43771090000000001</v>
      </c>
      <c r="F6489" t="s">
        <v>42</v>
      </c>
      <c r="G6489">
        <v>-128.52029999999999</v>
      </c>
      <c r="H6489" s="1">
        <v>-1.833503E-6</v>
      </c>
      <c r="I6489">
        <v>134.56540000000001</v>
      </c>
      <c r="J6489">
        <v>-143.31890000000001</v>
      </c>
      <c r="K6489">
        <v>1.1279269999999999</v>
      </c>
      <c r="L6489">
        <v>135.00790000000001</v>
      </c>
      <c r="M6489">
        <v>0.97502889999999998</v>
      </c>
      <c r="N6489">
        <v>-1.4362089999999999E-2</v>
      </c>
      <c r="O6489">
        <v>-0.2216128</v>
      </c>
      <c r="P6489">
        <v>0.97117019999999998</v>
      </c>
      <c r="Q6489">
        <v>0.14391399999999999</v>
      </c>
      <c r="R6489">
        <v>-0.19004489999999999</v>
      </c>
      <c r="S6489">
        <v>3.1050110000000002</v>
      </c>
      <c r="T6489">
        <v>-0.23117460000000001</v>
      </c>
      <c r="U6489">
        <v>-0.1061401</v>
      </c>
      <c r="V6489">
        <v>-3.2607530000000003E-2</v>
      </c>
      <c r="W6489">
        <v>0.15757449999999901</v>
      </c>
      <c r="X6489">
        <v>0.98696859999999997</v>
      </c>
      <c r="Y6489">
        <v>-0.18718670000000001</v>
      </c>
      <c r="Z6489">
        <v>2.145445E-2</v>
      </c>
      <c r="AA6489">
        <v>0.98209009999999997</v>
      </c>
      <c r="AB6489">
        <v>36</v>
      </c>
      <c r="AC6489">
        <v>14.7986</v>
      </c>
      <c r="AD6489">
        <v>-1.127928833503</v>
      </c>
      <c r="AE6489">
        <v>-0.44249999999999501</v>
      </c>
      <c r="AF6489">
        <v>-2.8319658999445698</v>
      </c>
      <c r="AG6489">
        <v>-1.127928833503</v>
      </c>
      <c r="AH6489">
        <v>14.444787036835599</v>
      </c>
      <c r="AI6489">
        <v>94.381826497634606</v>
      </c>
      <c r="AJ6489">
        <v>101.092404131336</v>
      </c>
      <c r="AK6489">
        <v>14.7629308354212</v>
      </c>
      <c r="AL6489">
        <v>80.933860496407206</v>
      </c>
      <c r="AM6489">
        <v>91.892253254489802</v>
      </c>
      <c r="AN6489">
        <v>0.99999999572445497</v>
      </c>
    </row>
    <row r="6490" spans="1:40" x14ac:dyDescent="0.25">
      <c r="A6490" t="str">
        <f>"20190303171141270"</f>
        <v>20190303171141270</v>
      </c>
      <c r="B6490" t="str">
        <f>"1551604301256799"</f>
        <v>1551604301256799</v>
      </c>
      <c r="C6490" t="s">
        <v>40</v>
      </c>
      <c r="D6490">
        <v>6.2161229999999996</v>
      </c>
      <c r="E6490">
        <v>0.43763999999999997</v>
      </c>
      <c r="F6490" t="s">
        <v>42</v>
      </c>
      <c r="G6490">
        <v>-127.98869999999999</v>
      </c>
      <c r="H6490" s="1">
        <v>-2.0117160000000002E-6</v>
      </c>
      <c r="I6490">
        <v>134.57560000000001</v>
      </c>
      <c r="J6490">
        <v>-142.97839999999999</v>
      </c>
      <c r="K6490">
        <v>1.127931</v>
      </c>
      <c r="L6490">
        <v>134.93729999999999</v>
      </c>
      <c r="M6490">
        <v>0.97659969999999996</v>
      </c>
      <c r="N6490">
        <v>-1.436107E-2</v>
      </c>
      <c r="O6490">
        <v>-0.21458569999999999</v>
      </c>
      <c r="P6490">
        <v>0.97225519999999999</v>
      </c>
      <c r="Q6490">
        <v>0.14604710000000001</v>
      </c>
      <c r="R6490">
        <v>-0.18273049999999999</v>
      </c>
      <c r="S6490">
        <v>3.1057739999999998</v>
      </c>
      <c r="T6490">
        <v>-0.2285085</v>
      </c>
      <c r="U6490">
        <v>-8.7570190000000006E-2</v>
      </c>
      <c r="V6490">
        <v>-3.2887939999999997E-2</v>
      </c>
      <c r="W6490">
        <v>0.15969920000000001</v>
      </c>
      <c r="X6490">
        <v>0.98661770000000004</v>
      </c>
      <c r="Y6490">
        <v>-0.1860279</v>
      </c>
      <c r="Z6490">
        <v>2.0731739999999999E-2</v>
      </c>
      <c r="AA6490">
        <v>0.98232569999999997</v>
      </c>
      <c r="AB6490">
        <v>35</v>
      </c>
      <c r="AC6490">
        <v>14.989699999999999</v>
      </c>
      <c r="AD6490">
        <v>-1.127933011716</v>
      </c>
      <c r="AE6490">
        <v>-0.36169999999998398</v>
      </c>
      <c r="AF6490">
        <v>-2.84752044804255</v>
      </c>
      <c r="AG6490">
        <v>-1.127933011716</v>
      </c>
      <c r="AH6490">
        <v>14.635249598740799</v>
      </c>
      <c r="AI6490">
        <v>94.326242181825194</v>
      </c>
      <c r="AJ6490">
        <v>101.010245835593</v>
      </c>
      <c r="AK6490">
        <v>14.9522953555092</v>
      </c>
      <c r="AL6490">
        <v>80.810562556910298</v>
      </c>
      <c r="AM6490">
        <v>91.909192072120007</v>
      </c>
      <c r="AN6490">
        <v>0.99999996851568596</v>
      </c>
    </row>
    <row r="6491" spans="1:40" x14ac:dyDescent="0.25">
      <c r="A6491" t="str">
        <f>"20190303171141290"</f>
        <v>20190303171141290</v>
      </c>
      <c r="B6491" t="str">
        <f>"1551604301277293"</f>
        <v>1551604301277293</v>
      </c>
      <c r="C6491" t="s">
        <v>40</v>
      </c>
      <c r="D6491">
        <v>5.8351540000000002</v>
      </c>
      <c r="E6491">
        <v>0.43804070000000001</v>
      </c>
      <c r="F6491" t="s">
        <v>42</v>
      </c>
      <c r="G6491">
        <v>-127.4169</v>
      </c>
      <c r="H6491" s="1">
        <v>-2.1966120000000002E-6</v>
      </c>
      <c r="I6491">
        <v>134.61199999999999</v>
      </c>
      <c r="J6491">
        <v>-142.65790000000001</v>
      </c>
      <c r="K6491">
        <v>1.1279140000000001</v>
      </c>
      <c r="L6491">
        <v>134.87309999999999</v>
      </c>
      <c r="M6491">
        <v>0.97801959999999999</v>
      </c>
      <c r="N6491">
        <v>-1.4359480000000001E-2</v>
      </c>
      <c r="O6491">
        <v>-0.2080186</v>
      </c>
      <c r="P6491">
        <v>0.97346440000000001</v>
      </c>
      <c r="Q6491">
        <v>0.1472802</v>
      </c>
      <c r="R6491">
        <v>-0.1751461</v>
      </c>
      <c r="S6491">
        <v>3.1072540000000002</v>
      </c>
      <c r="T6491">
        <v>-0.22521969999999999</v>
      </c>
      <c r="U6491">
        <v>-6.4941410000000005E-2</v>
      </c>
      <c r="V6491">
        <v>-3.392274E-2</v>
      </c>
      <c r="W6491">
        <v>0.1609121</v>
      </c>
      <c r="X6491">
        <v>0.98638559999999997</v>
      </c>
      <c r="Y6491">
        <v>-0.18662719999999999</v>
      </c>
      <c r="Z6491">
        <v>2.0059009999999999E-2</v>
      </c>
      <c r="AA6491">
        <v>0.98222600000000004</v>
      </c>
      <c r="AB6491">
        <v>35</v>
      </c>
      <c r="AC6491">
        <v>15.241</v>
      </c>
      <c r="AD6491">
        <v>-1.1279161966119999</v>
      </c>
      <c r="AE6491">
        <v>-0.261099999999999</v>
      </c>
      <c r="AF6491">
        <v>-2.8994755674762001</v>
      </c>
      <c r="AG6491">
        <v>-1.1279161966119999</v>
      </c>
      <c r="AH6491">
        <v>14.8803780452601</v>
      </c>
      <c r="AI6491">
        <v>94.254947823196304</v>
      </c>
      <c r="AJ6491">
        <v>101.026055007232</v>
      </c>
      <c r="AK6491">
        <v>15.2021315703697</v>
      </c>
      <c r="AL6491">
        <v>80.740158318434297</v>
      </c>
      <c r="AM6491">
        <v>91.969680119838401</v>
      </c>
      <c r="AN6491">
        <v>1.0000000040514301</v>
      </c>
    </row>
    <row r="6492" spans="1:40" x14ac:dyDescent="0.25">
      <c r="A6492" t="str">
        <f>"20190303171141312"</f>
        <v>20190303171141312</v>
      </c>
      <c r="B6492" t="str">
        <f>"1551604301296814"</f>
        <v>1551604301296814</v>
      </c>
      <c r="C6492" t="s">
        <v>40</v>
      </c>
      <c r="D6492">
        <v>5.9049649999999998</v>
      </c>
      <c r="E6492">
        <v>0.4384749</v>
      </c>
      <c r="F6492" t="s">
        <v>42</v>
      </c>
      <c r="G6492">
        <v>-127.01600000000001</v>
      </c>
      <c r="H6492" s="1">
        <v>-2.3242210000000001E-6</v>
      </c>
      <c r="I6492">
        <v>134.64510000000001</v>
      </c>
      <c r="J6492">
        <v>-142.3372</v>
      </c>
      <c r="K6492">
        <v>1.1278820000000001</v>
      </c>
      <c r="L6492">
        <v>134.81110000000001</v>
      </c>
      <c r="M6492">
        <v>0.97938570000000003</v>
      </c>
      <c r="N6492">
        <v>-1.435751E-2</v>
      </c>
      <c r="O6492">
        <v>-0.20148849999999999</v>
      </c>
      <c r="P6492">
        <v>0.97488249999999999</v>
      </c>
      <c r="Q6492">
        <v>0.14644939999999901</v>
      </c>
      <c r="R6492">
        <v>-0.16780020000000001</v>
      </c>
      <c r="S6492">
        <v>3.107529</v>
      </c>
      <c r="T6492">
        <v>-0.2240791</v>
      </c>
      <c r="U6492">
        <v>-4.5288090000000003E-2</v>
      </c>
      <c r="V6492">
        <v>-3.4779829999999998E-2</v>
      </c>
      <c r="W6492">
        <v>0.16006870000000001</v>
      </c>
      <c r="X6492">
        <v>0.98649299999999995</v>
      </c>
      <c r="Y6492">
        <v>-0.1863061</v>
      </c>
      <c r="Z6492">
        <v>1.9570649999999998E-2</v>
      </c>
      <c r="AA6492">
        <v>0.98229679999999997</v>
      </c>
      <c r="AB6492">
        <v>35</v>
      </c>
      <c r="AC6492">
        <v>15.3211999999999</v>
      </c>
      <c r="AD6492">
        <v>-1.1278843242209999</v>
      </c>
      <c r="AE6492">
        <v>-0.16599999999999601</v>
      </c>
      <c r="AF6492">
        <v>-2.9090059590875601</v>
      </c>
      <c r="AG6492">
        <v>-1.1278843242209999</v>
      </c>
      <c r="AH6492">
        <v>14.959301284109101</v>
      </c>
      <c r="AI6492">
        <v>94.232771124915502</v>
      </c>
      <c r="AJ6492">
        <v>101.004474311923</v>
      </c>
      <c r="AK6492">
        <v>15.2812019693341</v>
      </c>
      <c r="AL6492">
        <v>80.789116462923801</v>
      </c>
      <c r="AM6492">
        <v>92.019185576472907</v>
      </c>
      <c r="AN6492">
        <v>1.0000000321717499</v>
      </c>
    </row>
    <row r="6493" spans="1:40" x14ac:dyDescent="0.25">
      <c r="A6493" t="str">
        <f>"20190303171141331"</f>
        <v>20190303171141331</v>
      </c>
      <c r="B6493" t="str">
        <f>"1551604301327070"</f>
        <v>1551604301327070</v>
      </c>
      <c r="C6493" t="s">
        <v>40</v>
      </c>
      <c r="D6493">
        <v>5.9172219999999998</v>
      </c>
      <c r="E6493">
        <v>0.43894889999999998</v>
      </c>
      <c r="F6493" t="s">
        <v>42</v>
      </c>
      <c r="G6493">
        <v>-127.0575</v>
      </c>
      <c r="H6493" s="1">
        <v>-2.3001760000000002E-6</v>
      </c>
      <c r="I6493">
        <v>134.6824</v>
      </c>
      <c r="J6493">
        <v>-142.02010000000001</v>
      </c>
      <c r="K6493">
        <v>1.127853</v>
      </c>
      <c r="L6493">
        <v>134.75190000000001</v>
      </c>
      <c r="M6493">
        <v>0.98068509999999998</v>
      </c>
      <c r="N6493">
        <v>-1.435549E-2</v>
      </c>
      <c r="O6493">
        <v>-0.19506589999999999</v>
      </c>
      <c r="P6493">
        <v>0.97580599999999995</v>
      </c>
      <c r="Q6493">
        <v>0.14719769999999999</v>
      </c>
      <c r="R6493">
        <v>-0.16166559999999999</v>
      </c>
      <c r="S6493">
        <v>3.107224</v>
      </c>
      <c r="T6493">
        <v>-0.2293627</v>
      </c>
      <c r="U6493">
        <v>-2.6168819999999999E-2</v>
      </c>
      <c r="V6493">
        <v>-3.4496609999999997E-2</v>
      </c>
      <c r="W6493">
        <v>0.16082080000000001</v>
      </c>
      <c r="X6493">
        <v>0.98638060000000005</v>
      </c>
      <c r="Y6493">
        <v>-0.18587719999999999</v>
      </c>
      <c r="Z6493">
        <v>1.9682290000000002E-2</v>
      </c>
      <c r="AA6493">
        <v>0.98237589999999997</v>
      </c>
      <c r="AB6493">
        <v>35</v>
      </c>
      <c r="AC6493">
        <v>14.9626</v>
      </c>
      <c r="AD6493">
        <v>-1.1278553001760001</v>
      </c>
      <c r="AE6493">
        <v>-6.9500000000005002E-2</v>
      </c>
      <c r="AF6493">
        <v>-2.8347228838866898</v>
      </c>
      <c r="AG6493">
        <v>-1.1278553001760001</v>
      </c>
      <c r="AH6493">
        <v>14.605683124049801</v>
      </c>
      <c r="AI6493">
        <v>94.335059005478996</v>
      </c>
      <c r="AJ6493">
        <v>100.983615292073</v>
      </c>
      <c r="AK6493">
        <v>14.9209145472629</v>
      </c>
      <c r="AL6493">
        <v>80.745458571324306</v>
      </c>
      <c r="AM6493">
        <v>92.002984370106006</v>
      </c>
      <c r="AN6493">
        <v>1.0000000169352401</v>
      </c>
    </row>
    <row r="6494" spans="1:40" x14ac:dyDescent="0.25">
      <c r="A6494" t="str">
        <f>"20190303171141351"</f>
        <v>20190303171141351</v>
      </c>
      <c r="B6494" t="str">
        <f>"1551604301336829"</f>
        <v>1551604301336829</v>
      </c>
      <c r="C6494" t="s">
        <v>40</v>
      </c>
      <c r="D6494">
        <v>5.9080199999999996</v>
      </c>
      <c r="E6494">
        <v>0.43894889999999998</v>
      </c>
      <c r="F6494" t="s">
        <v>42</v>
      </c>
      <c r="G6494">
        <v>-126.87090000000001</v>
      </c>
      <c r="H6494" s="1">
        <v>-2.3574960000000002E-6</v>
      </c>
      <c r="I6494">
        <v>134.7056</v>
      </c>
      <c r="J6494">
        <v>-141.72999999999999</v>
      </c>
      <c r="K6494">
        <v>1.127837</v>
      </c>
      <c r="L6494">
        <v>134.69970000000001</v>
      </c>
      <c r="M6494">
        <v>0.98183169999999997</v>
      </c>
      <c r="N6494">
        <v>-1.435384E-2</v>
      </c>
      <c r="O6494">
        <v>-0.18921080000000001</v>
      </c>
      <c r="P6494">
        <v>0.97620399999999996</v>
      </c>
      <c r="Q6494">
        <v>0.14987549999999999</v>
      </c>
      <c r="R6494">
        <v>-0.15672759999999999</v>
      </c>
      <c r="S6494">
        <v>3.1077119999999998</v>
      </c>
      <c r="T6494">
        <v>-0.23136880000000001</v>
      </c>
      <c r="U6494">
        <v>-9.5062259999999996E-3</v>
      </c>
      <c r="V6494">
        <v>-3.3555460000000002E-2</v>
      </c>
      <c r="W6494">
        <v>0.1635094</v>
      </c>
      <c r="X6494">
        <v>0.98597100000000004</v>
      </c>
      <c r="Y6494">
        <v>-0.18527840000000001</v>
      </c>
      <c r="Z6494">
        <v>1.9495849999999999E-2</v>
      </c>
      <c r="AA6494">
        <v>0.98249260000000005</v>
      </c>
      <c r="AB6494">
        <v>35</v>
      </c>
      <c r="AC6494">
        <v>14.8590999999999</v>
      </c>
      <c r="AD6494">
        <v>-1.127839357496</v>
      </c>
      <c r="AE6494">
        <v>5.8999999999968999E-3</v>
      </c>
      <c r="AF6494">
        <v>-2.8014453745035199</v>
      </c>
      <c r="AG6494">
        <v>-1.127839357496</v>
      </c>
      <c r="AH6494">
        <v>14.505949312760499</v>
      </c>
      <c r="AI6494">
        <v>94.365466591303104</v>
      </c>
      <c r="AJ6494">
        <v>100.930617176105</v>
      </c>
      <c r="AK6494">
        <v>14.8169728104975</v>
      </c>
      <c r="AL6494">
        <v>80.589347077885293</v>
      </c>
      <c r="AM6494">
        <v>91.949189663491197</v>
      </c>
      <c r="AN6494">
        <v>1.0000000528125801</v>
      </c>
    </row>
    <row r="6495" spans="1:40" x14ac:dyDescent="0.25">
      <c r="A6495" t="str">
        <f>"20190303171141372"</f>
        <v>20190303171141372</v>
      </c>
      <c r="B6495" t="str">
        <f>"1551604301367085"</f>
        <v>1551604301367085</v>
      </c>
      <c r="C6495" t="s">
        <v>40</v>
      </c>
      <c r="D6495">
        <v>5.8730469999999997</v>
      </c>
      <c r="E6495">
        <v>0.44691429999999999</v>
      </c>
      <c r="F6495" t="s">
        <v>42</v>
      </c>
      <c r="G6495">
        <v>-126.0093</v>
      </c>
      <c r="H6495" s="1">
        <v>-2.6443799999999999E-6</v>
      </c>
      <c r="I6495">
        <v>134.7294</v>
      </c>
      <c r="J6495">
        <v>-141.399</v>
      </c>
      <c r="K6495">
        <v>1.127818</v>
      </c>
      <c r="L6495">
        <v>134.64230000000001</v>
      </c>
      <c r="M6495">
        <v>0.98309219999999997</v>
      </c>
      <c r="N6495">
        <v>-1.4352220000000001E-2</v>
      </c>
      <c r="O6495">
        <v>-0.1825484</v>
      </c>
      <c r="P6495">
        <v>0.97677919999999996</v>
      </c>
      <c r="Q6495">
        <v>0.152777</v>
      </c>
      <c r="R6495">
        <v>-0.1502057</v>
      </c>
      <c r="S6495">
        <v>3.1083069999999999</v>
      </c>
      <c r="T6495">
        <v>-0.2229968</v>
      </c>
      <c r="U6495">
        <v>5.8746340000000001E-3</v>
      </c>
      <c r="V6495">
        <v>-3.3407859999999998E-2</v>
      </c>
      <c r="W6495">
        <v>0.16640739999999901</v>
      </c>
      <c r="X6495">
        <v>0.98549100000000001</v>
      </c>
      <c r="Y6495">
        <v>-0.18356320000000001</v>
      </c>
      <c r="Z6495">
        <v>1.82918E-2</v>
      </c>
      <c r="AA6495">
        <v>0.98283770000000004</v>
      </c>
      <c r="AB6495">
        <v>35</v>
      </c>
      <c r="AC6495">
        <v>15.389699999999999</v>
      </c>
      <c r="AD6495">
        <v>-1.1278206443799901</v>
      </c>
      <c r="AE6495">
        <v>8.7099999999992406E-2</v>
      </c>
      <c r="AF6495">
        <v>-2.8798246117661201</v>
      </c>
      <c r="AG6495">
        <v>-1.1278206443799901</v>
      </c>
      <c r="AH6495">
        <v>15.034408907884099</v>
      </c>
      <c r="AI6495">
        <v>94.213739461240195</v>
      </c>
      <c r="AJ6495">
        <v>100.843596503165</v>
      </c>
      <c r="AK6495">
        <v>15.349228658466499</v>
      </c>
      <c r="AL6495">
        <v>80.420997134111403</v>
      </c>
      <c r="AM6495">
        <v>91.941566846057498</v>
      </c>
      <c r="AN6495">
        <v>1.0000000094827599</v>
      </c>
    </row>
    <row r="6496" spans="1:40" x14ac:dyDescent="0.25">
      <c r="A6496" t="str">
        <f>"20190303171141394"</f>
        <v>20190303171141394</v>
      </c>
      <c r="B6496" t="str">
        <f>"1551604301376845"</f>
        <v>1551604301376845</v>
      </c>
      <c r="C6496" t="s">
        <v>40</v>
      </c>
      <c r="D6496">
        <v>5.8648949999999997</v>
      </c>
      <c r="E6496">
        <v>0.44740439999999998</v>
      </c>
      <c r="F6496" t="s">
        <v>42</v>
      </c>
      <c r="G6496">
        <v>-127.80670000000001</v>
      </c>
      <c r="H6496" s="1">
        <v>-2.0982230000000001E-6</v>
      </c>
      <c r="I6496">
        <v>134.48320000000001</v>
      </c>
      <c r="J6496">
        <v>-141.06299999999999</v>
      </c>
      <c r="K6496">
        <v>1.127788</v>
      </c>
      <c r="L6496">
        <v>134.58629999999999</v>
      </c>
      <c r="M6496">
        <v>0.98432189999999997</v>
      </c>
      <c r="N6496">
        <v>-1.435087E-2</v>
      </c>
      <c r="O6496">
        <v>-0.1757967</v>
      </c>
      <c r="P6496">
        <v>0.97764030000000002</v>
      </c>
      <c r="Q6496">
        <v>0.15351809999999999</v>
      </c>
      <c r="R6496">
        <v>-0.1437078</v>
      </c>
      <c r="S6496">
        <v>3.106033</v>
      </c>
      <c r="T6496">
        <v>-0.2577217</v>
      </c>
      <c r="U6496">
        <v>-3.6346440000000001E-2</v>
      </c>
      <c r="V6496">
        <v>-3.3177600000000002E-2</v>
      </c>
      <c r="W6496">
        <v>0.16715169999999999</v>
      </c>
      <c r="X6496">
        <v>0.98537280000000005</v>
      </c>
      <c r="Y6496">
        <v>-0.16321869999999999</v>
      </c>
      <c r="Z6496">
        <v>1.9903589999999999E-2</v>
      </c>
      <c r="AA6496">
        <v>0.98638910000000002</v>
      </c>
      <c r="AB6496">
        <v>35</v>
      </c>
      <c r="AC6496">
        <v>13.2562999999999</v>
      </c>
      <c r="AD6496">
        <v>-1.127790098223</v>
      </c>
      <c r="AE6496">
        <v>-0.103099999999983</v>
      </c>
      <c r="AF6496">
        <v>-2.2131422211538698</v>
      </c>
      <c r="AG6496">
        <v>-1.127790098223</v>
      </c>
      <c r="AH6496">
        <v>12.9740376083749</v>
      </c>
      <c r="AI6496">
        <v>94.897649870123203</v>
      </c>
      <c r="AJ6496">
        <v>99.680472895130293</v>
      </c>
      <c r="AK6496">
        <v>13.2096767886361</v>
      </c>
      <c r="AL6496">
        <v>80.377746022818698</v>
      </c>
      <c r="AM6496">
        <v>91.928426067967905</v>
      </c>
      <c r="AN6496">
        <v>0.99999999946724505</v>
      </c>
    </row>
    <row r="6497" spans="1:40" x14ac:dyDescent="0.25">
      <c r="A6497" t="str">
        <f>"20190303171141420"</f>
        <v>20190303171141420</v>
      </c>
      <c r="B6497" t="str">
        <f>"1551604301407101"</f>
        <v>1551604301407101</v>
      </c>
      <c r="C6497" t="s">
        <v>40</v>
      </c>
      <c r="D6497">
        <v>5.8967999999999998</v>
      </c>
      <c r="E6497">
        <v>0.44781270000000001</v>
      </c>
      <c r="F6497" t="s">
        <v>42</v>
      </c>
      <c r="G6497">
        <v>-127.5177</v>
      </c>
      <c r="H6497" s="1">
        <v>-2.1912860000000001E-6</v>
      </c>
      <c r="I6497">
        <v>134.50309999999999</v>
      </c>
      <c r="J6497">
        <v>-140.6712</v>
      </c>
      <c r="K6497">
        <v>1.1277680000000001</v>
      </c>
      <c r="L6497">
        <v>134.52420000000001</v>
      </c>
      <c r="M6497">
        <v>0.98568860000000003</v>
      </c>
      <c r="N6497">
        <v>-1.441456E-2</v>
      </c>
      <c r="O6497">
        <v>-0.1679602</v>
      </c>
      <c r="P6497">
        <v>0.97856829999999995</v>
      </c>
      <c r="Q6497">
        <v>0.15346509999999999</v>
      </c>
      <c r="R6497">
        <v>-0.13730629999999999</v>
      </c>
      <c r="S6497">
        <v>3.10643</v>
      </c>
      <c r="T6497">
        <v>-0.2586408</v>
      </c>
      <c r="U6497">
        <v>-1.9073489999999999E-2</v>
      </c>
      <c r="V6497">
        <v>-3.1774360000000001E-2</v>
      </c>
      <c r="W6497">
        <v>0.16718740000000001</v>
      </c>
      <c r="X6497">
        <v>0.98541299999999998</v>
      </c>
      <c r="Y6497">
        <v>-0.1608763</v>
      </c>
      <c r="Z6497">
        <v>1.9329079999999998E-2</v>
      </c>
      <c r="AA6497">
        <v>0.98678529999999998</v>
      </c>
      <c r="AB6497">
        <v>35</v>
      </c>
      <c r="AC6497">
        <v>13.1534999999999</v>
      </c>
      <c r="AD6497">
        <v>-1.1277701912860001</v>
      </c>
      <c r="AE6497">
        <v>-2.1100000000018299E-2</v>
      </c>
      <c r="AF6497">
        <v>-2.17272131152404</v>
      </c>
      <c r="AG6497">
        <v>-1.1277701912860001</v>
      </c>
      <c r="AH6497">
        <v>12.8754935864965</v>
      </c>
      <c r="AI6497">
        <v>94.936348765984107</v>
      </c>
      <c r="AJ6497">
        <v>99.578344037147602</v>
      </c>
      <c r="AK6497">
        <v>13.1061404920677</v>
      </c>
      <c r="AL6497">
        <v>80.375671458234393</v>
      </c>
      <c r="AM6497">
        <v>91.846846111852102</v>
      </c>
      <c r="AN6497">
        <v>1.00000000862058</v>
      </c>
    </row>
    <row r="6498" spans="1:40" x14ac:dyDescent="0.25">
      <c r="A6498" t="str">
        <f>"20190303171141445"</f>
        <v>20190303171141445</v>
      </c>
      <c r="B6498" t="str">
        <f>"1551604301437357"</f>
        <v>1551604301437357</v>
      </c>
      <c r="C6498" t="s">
        <v>40</v>
      </c>
      <c r="D6498">
        <v>5.8204789999999997</v>
      </c>
      <c r="E6498">
        <v>0.44877010000000001</v>
      </c>
      <c r="F6498" t="s">
        <v>42</v>
      </c>
      <c r="G6498">
        <v>-127.41030000000001</v>
      </c>
      <c r="H6498" s="1">
        <v>-2.2236199999999999E-6</v>
      </c>
      <c r="I6498">
        <v>134.5188</v>
      </c>
      <c r="J6498">
        <v>-140.27770000000001</v>
      </c>
      <c r="K6498">
        <v>1.1277820000000001</v>
      </c>
      <c r="L6498">
        <v>134.465</v>
      </c>
      <c r="M6498">
        <v>0.98698750000000002</v>
      </c>
      <c r="N6498">
        <v>-1.462629E-2</v>
      </c>
      <c r="O6498">
        <v>-0.160131299999999</v>
      </c>
      <c r="P6498">
        <v>0.97928490000000001</v>
      </c>
      <c r="Q6498">
        <v>0.153805</v>
      </c>
      <c r="R6498">
        <v>-0.1317026</v>
      </c>
      <c r="S6498">
        <v>3.1069640000000001</v>
      </c>
      <c r="T6498">
        <v>-0.26423059999999998</v>
      </c>
      <c r="U6498">
        <v>-1.235962E-3</v>
      </c>
      <c r="V6498">
        <v>-2.957224E-2</v>
      </c>
      <c r="W6498">
        <v>0.16777500000000001</v>
      </c>
      <c r="X6498">
        <v>0.98538170000000003</v>
      </c>
      <c r="Y6498">
        <v>-0.15869220000000001</v>
      </c>
      <c r="Z6498">
        <v>1.910191E-2</v>
      </c>
      <c r="AA6498">
        <v>0.98714329999999995</v>
      </c>
      <c r="AB6498">
        <v>35</v>
      </c>
      <c r="AC6498">
        <v>12.8674</v>
      </c>
      <c r="AD6498">
        <v>-1.12778422362</v>
      </c>
      <c r="AE6498">
        <v>5.37999999999954E-2</v>
      </c>
      <c r="AF6498">
        <v>-2.0976852344687602</v>
      </c>
      <c r="AG6498">
        <v>-1.12778422362</v>
      </c>
      <c r="AH6498">
        <v>12.5959443216803</v>
      </c>
      <c r="AI6498">
        <v>95.047217927244304</v>
      </c>
      <c r="AJ6498">
        <v>99.455068954357799</v>
      </c>
      <c r="AK6498">
        <v>12.8191260994197</v>
      </c>
      <c r="AL6498">
        <v>80.341522329213603</v>
      </c>
      <c r="AM6498">
        <v>91.718984772088604</v>
      </c>
      <c r="AN6498">
        <v>1.0000000313492501</v>
      </c>
    </row>
    <row r="6499" spans="1:40" x14ac:dyDescent="0.25">
      <c r="A6499" t="str">
        <f>"20190303171141466"</f>
        <v>20190303171141466</v>
      </c>
      <c r="B6499" t="str">
        <f>"1551604301456878"</f>
        <v>1551604301456878</v>
      </c>
      <c r="C6499" t="s">
        <v>40</v>
      </c>
      <c r="D6499">
        <v>5.9682879999999896</v>
      </c>
      <c r="E6499">
        <v>0.44840439999999998</v>
      </c>
      <c r="F6499" t="s">
        <v>42</v>
      </c>
      <c r="G6499">
        <v>-127.4798</v>
      </c>
      <c r="H6499" s="1">
        <v>-2.204278E-6</v>
      </c>
      <c r="I6499">
        <v>134.50280000000001</v>
      </c>
      <c r="J6499">
        <v>-139.95500000000001</v>
      </c>
      <c r="K6499">
        <v>1.1278090000000001</v>
      </c>
      <c r="L6499">
        <v>134.4188</v>
      </c>
      <c r="M6499">
        <v>0.98800670000000002</v>
      </c>
      <c r="N6499">
        <v>-1.485031E-2</v>
      </c>
      <c r="O6499">
        <v>-0.15369569999999999</v>
      </c>
      <c r="P6499">
        <v>0.97986119999999999</v>
      </c>
      <c r="Q6499">
        <v>0.15398899999999999</v>
      </c>
      <c r="R6499">
        <v>-0.12712119999999999</v>
      </c>
      <c r="S6499">
        <v>3.1077119999999998</v>
      </c>
      <c r="T6499">
        <v>-0.27385739999999997</v>
      </c>
      <c r="U6499">
        <v>9.1705320000000003E-3</v>
      </c>
      <c r="V6499">
        <v>-2.7746070000000001E-2</v>
      </c>
      <c r="W6499">
        <v>0.16821120000000001</v>
      </c>
      <c r="X6499">
        <v>0.98536040000000003</v>
      </c>
      <c r="Y6499">
        <v>-0.1555155</v>
      </c>
      <c r="Z6499">
        <v>1.9188750000000001E-2</v>
      </c>
      <c r="AA6499">
        <v>0.9876471</v>
      </c>
      <c r="AB6499">
        <v>35</v>
      </c>
      <c r="AC6499">
        <v>12.475199999999999</v>
      </c>
      <c r="AD6499">
        <v>-1.127811204278</v>
      </c>
      <c r="AE6499">
        <v>8.40000000000031E-2</v>
      </c>
      <c r="AF6499">
        <v>-1.98438016521571</v>
      </c>
      <c r="AG6499">
        <v>-1.127811204278</v>
      </c>
      <c r="AH6499">
        <v>12.2142064520117</v>
      </c>
      <c r="AI6499">
        <v>95.207608636991694</v>
      </c>
      <c r="AJ6499">
        <v>99.227928422798598</v>
      </c>
      <c r="AK6499">
        <v>12.425641311616999</v>
      </c>
      <c r="AL6499">
        <v>80.316169149454595</v>
      </c>
      <c r="AM6499">
        <v>91.612925329634294</v>
      </c>
      <c r="AN6499">
        <v>0.99999998504702203</v>
      </c>
    </row>
    <row r="6500" spans="1:40" x14ac:dyDescent="0.25">
      <c r="A6500" t="str">
        <f>"20190303171141485"</f>
        <v>20190303171141485</v>
      </c>
      <c r="B6500" t="str">
        <f>"1551604301477373"</f>
        <v>1551604301477373</v>
      </c>
      <c r="C6500" t="s">
        <v>40</v>
      </c>
      <c r="D6500">
        <v>5.9534989999999999</v>
      </c>
      <c r="E6500">
        <v>0.4316506</v>
      </c>
      <c r="F6500" t="s">
        <v>42</v>
      </c>
      <c r="G6500">
        <v>-127.1161</v>
      </c>
      <c r="H6500" s="1">
        <v>-2.3208969999999998E-6</v>
      </c>
      <c r="I6500">
        <v>134.52959999999999</v>
      </c>
      <c r="J6500">
        <v>-139.66579999999999</v>
      </c>
      <c r="K6500">
        <v>1.1278330000000001</v>
      </c>
      <c r="L6500">
        <v>134.3793</v>
      </c>
      <c r="M6500">
        <v>0.98888399999999999</v>
      </c>
      <c r="N6500">
        <v>-1.505869E-2</v>
      </c>
      <c r="O6500">
        <v>-0.14792539999999901</v>
      </c>
      <c r="P6500">
        <v>0.98051659999999996</v>
      </c>
      <c r="Q6500">
        <v>0.1532683</v>
      </c>
      <c r="R6500">
        <v>-0.1228677</v>
      </c>
      <c r="S6500">
        <v>3.1080320000000001</v>
      </c>
      <c r="T6500">
        <v>-0.2730205</v>
      </c>
      <c r="U6500">
        <v>2.6809690000000001E-2</v>
      </c>
      <c r="V6500">
        <v>-2.6268679999999999E-2</v>
      </c>
      <c r="W6500">
        <v>0.16772379999999901</v>
      </c>
      <c r="X6500">
        <v>0.98548400000000003</v>
      </c>
      <c r="Y6500">
        <v>-0.1553785</v>
      </c>
      <c r="Z6500">
        <v>1.8689170000000001E-2</v>
      </c>
      <c r="AA6500">
        <v>0.98767819999999995</v>
      </c>
      <c r="AB6500">
        <v>35</v>
      </c>
      <c r="AC6500">
        <v>12.5496999999999</v>
      </c>
      <c r="AD6500">
        <v>-1.127835320897</v>
      </c>
      <c r="AE6500">
        <v>0.150299999999987</v>
      </c>
      <c r="AF6500">
        <v>-1.9892121552386</v>
      </c>
      <c r="AG6500">
        <v>-1.127835320897</v>
      </c>
      <c r="AH6500">
        <v>12.2901203244689</v>
      </c>
      <c r="AI6500">
        <v>95.176223932848401</v>
      </c>
      <c r="AJ6500">
        <v>99.193853610510601</v>
      </c>
      <c r="AK6500">
        <v>12.5010413606041</v>
      </c>
      <c r="AL6500">
        <v>80.344497884803801</v>
      </c>
      <c r="AM6500">
        <v>91.526892556555097</v>
      </c>
      <c r="AN6500">
        <v>1.0000000154456901</v>
      </c>
    </row>
    <row r="6501" spans="1:40" x14ac:dyDescent="0.25">
      <c r="A6501" t="str">
        <f>"20190303171141506"</f>
        <v>20190303171141506</v>
      </c>
      <c r="B6501" t="str">
        <f>"1551604301497870"</f>
        <v>1551604301497870</v>
      </c>
      <c r="C6501" t="s">
        <v>40</v>
      </c>
      <c r="D6501">
        <v>6.4540829999999998</v>
      </c>
      <c r="E6501">
        <v>0.43034129999999998</v>
      </c>
      <c r="F6501" t="s">
        <v>42</v>
      </c>
      <c r="G6501">
        <v>-120.24460000000001</v>
      </c>
      <c r="H6501" s="1">
        <v>-4.9043260000000001E-6</v>
      </c>
      <c r="I6501">
        <v>135.4614</v>
      </c>
      <c r="J6501">
        <v>-139.33799999999999</v>
      </c>
      <c r="K6501">
        <v>1.127866</v>
      </c>
      <c r="L6501">
        <v>134.3366</v>
      </c>
      <c r="M6501">
        <v>0.98983370000000004</v>
      </c>
      <c r="N6501">
        <v>-1.530311E-2</v>
      </c>
      <c r="O6501">
        <v>-0.14140369999999999</v>
      </c>
      <c r="P6501">
        <v>0.98117880000000002</v>
      </c>
      <c r="Q6501">
        <v>0.15264549999999999</v>
      </c>
      <c r="R6501">
        <v>-0.1182694</v>
      </c>
      <c r="S6501">
        <v>3.1095579999999998</v>
      </c>
      <c r="T6501">
        <v>-0.1805804</v>
      </c>
      <c r="U6501">
        <v>0.17326349999999999</v>
      </c>
      <c r="V6501">
        <v>-2.4391380000000001E-2</v>
      </c>
      <c r="W6501">
        <v>0.167375</v>
      </c>
      <c r="X6501">
        <v>0.98559149999999995</v>
      </c>
      <c r="Y6501">
        <v>-0.19573160000000001</v>
      </c>
      <c r="Z6501">
        <v>1.3196080000000001E-2</v>
      </c>
      <c r="AA6501">
        <v>0.98056869999999996</v>
      </c>
      <c r="AB6501">
        <v>35</v>
      </c>
      <c r="AC6501">
        <v>19.0933999999999</v>
      </c>
      <c r="AD6501">
        <v>-1.127870904326</v>
      </c>
      <c r="AE6501">
        <v>1.12479999999999</v>
      </c>
      <c r="AF6501">
        <v>-3.8004734828344802</v>
      </c>
      <c r="AG6501">
        <v>-1.127870904326</v>
      </c>
      <c r="AH6501">
        <v>18.677487079463599</v>
      </c>
      <c r="AI6501">
        <v>93.386475194003793</v>
      </c>
      <c r="AJ6501">
        <v>101.501460441916</v>
      </c>
      <c r="AK6501">
        <v>19.0935647555422</v>
      </c>
      <c r="AL6501">
        <v>80.364768747682405</v>
      </c>
      <c r="AM6501">
        <v>91.417664342235298</v>
      </c>
      <c r="AN6501">
        <v>0.99999996745777597</v>
      </c>
    </row>
    <row r="6502" spans="1:40" x14ac:dyDescent="0.25">
      <c r="A6502" t="str">
        <f>"20190303171141531"</f>
        <v>20190303171141531</v>
      </c>
      <c r="B6502" t="str">
        <f>"1551604301527149"</f>
        <v>1551604301527149</v>
      </c>
      <c r="C6502" t="s">
        <v>40</v>
      </c>
      <c r="D6502">
        <v>5.9302970000000004</v>
      </c>
      <c r="E6502">
        <v>0.42721910000000002</v>
      </c>
      <c r="F6502" t="s">
        <v>42</v>
      </c>
      <c r="G6502">
        <v>-117.0067</v>
      </c>
      <c r="H6502" s="1">
        <v>-2.0286450000000001E-6</v>
      </c>
      <c r="I6502">
        <v>135.768</v>
      </c>
      <c r="J6502">
        <v>-138.97540000000001</v>
      </c>
      <c r="K6502">
        <v>1.127885</v>
      </c>
      <c r="L6502">
        <v>134.2921</v>
      </c>
      <c r="M6502">
        <v>0.99082760000000003</v>
      </c>
      <c r="N6502">
        <v>-1.56052E-2</v>
      </c>
      <c r="O6502">
        <v>-0.13422870000000001</v>
      </c>
      <c r="P6502">
        <v>0.98177400000000004</v>
      </c>
      <c r="Q6502">
        <v>0.15341859999999999</v>
      </c>
      <c r="R6502">
        <v>-0.1121743</v>
      </c>
      <c r="S6502">
        <v>3.1059420000000002</v>
      </c>
      <c r="T6502">
        <v>-0.1568687</v>
      </c>
      <c r="U6502">
        <v>0.19908139999999999</v>
      </c>
      <c r="V6502">
        <v>-2.3360100000000002E-2</v>
      </c>
      <c r="W6502">
        <v>0.16846220000000001</v>
      </c>
      <c r="X6502">
        <v>0.98543130000000001</v>
      </c>
      <c r="Y6502">
        <v>-0.19694819999999999</v>
      </c>
      <c r="Z6502">
        <v>1.117069E-2</v>
      </c>
      <c r="AA6502">
        <v>0.98035030000000001</v>
      </c>
      <c r="AB6502">
        <v>35</v>
      </c>
      <c r="AC6502">
        <v>21.968699999999998</v>
      </c>
      <c r="AD6502">
        <v>-1.127887028645</v>
      </c>
      <c r="AE6502">
        <v>1.47589999999999</v>
      </c>
      <c r="AF6502">
        <v>-4.40018310915596</v>
      </c>
      <c r="AG6502">
        <v>-1.127887028645</v>
      </c>
      <c r="AH6502">
        <v>21.515254359471999</v>
      </c>
      <c r="AI6502">
        <v>92.940103939104603</v>
      </c>
      <c r="AJ6502">
        <v>101.558432587664</v>
      </c>
      <c r="AK6502">
        <v>21.989540938734098</v>
      </c>
      <c r="AL6502">
        <v>80.301580122148195</v>
      </c>
      <c r="AM6502">
        <v>91.357968346308496</v>
      </c>
      <c r="AN6502">
        <v>1.00000002706026</v>
      </c>
    </row>
    <row r="6503" spans="1:40" x14ac:dyDescent="0.25">
      <c r="A6503" t="str">
        <f>"20190303171141550"</f>
        <v>20190303171141550</v>
      </c>
      <c r="B6503" t="str">
        <f>"1551604301546669"</f>
        <v>1551604301546669</v>
      </c>
      <c r="C6503" t="s">
        <v>40</v>
      </c>
      <c r="D6503">
        <v>5.9307860000000003</v>
      </c>
      <c r="E6503">
        <v>0.43304989999999999</v>
      </c>
      <c r="F6503" t="s">
        <v>42</v>
      </c>
      <c r="G6503">
        <v>-64.486760000000004</v>
      </c>
      <c r="H6503" s="1">
        <v>-2.4892639999999999E-6</v>
      </c>
      <c r="I6503">
        <v>140.14940000000001</v>
      </c>
      <c r="J6503">
        <v>-138.6712</v>
      </c>
      <c r="K6503">
        <v>1.1278980000000001</v>
      </c>
      <c r="L6503">
        <v>134.2568</v>
      </c>
      <c r="M6503">
        <v>0.99161619999999995</v>
      </c>
      <c r="N6503">
        <v>-1.5896219999999999E-2</v>
      </c>
      <c r="O6503">
        <v>-0.12823709999999999</v>
      </c>
      <c r="P6503">
        <v>0.98211099999999996</v>
      </c>
      <c r="Q6503">
        <v>0.15444539999999901</v>
      </c>
      <c r="R6503">
        <v>-0.1077269</v>
      </c>
      <c r="S6503">
        <v>3.090805</v>
      </c>
      <c r="T6503">
        <v>-4.6800139999999997E-2</v>
      </c>
      <c r="U6503">
        <v>0.24304200000000001</v>
      </c>
      <c r="V6503">
        <v>-2.1846640000000001E-2</v>
      </c>
      <c r="W6503">
        <v>0.169799799999999</v>
      </c>
      <c r="X6503">
        <v>0.98523640000000001</v>
      </c>
      <c r="Y6503">
        <v>-0.20555519999999999</v>
      </c>
      <c r="Z6503">
        <v>3.0902519999999999E-3</v>
      </c>
      <c r="AA6503">
        <v>0.97864070000000003</v>
      </c>
      <c r="AB6503">
        <v>35</v>
      </c>
      <c r="AC6503">
        <v>74.184439999999995</v>
      </c>
      <c r="AD6503">
        <v>-1.1279004892640001</v>
      </c>
      <c r="AE6503">
        <v>5.8926000000000096</v>
      </c>
      <c r="AF6503">
        <v>-15.3548074397759</v>
      </c>
      <c r="AG6503">
        <v>-1.1279004892640001</v>
      </c>
      <c r="AH6503">
        <v>72.799315372862907</v>
      </c>
      <c r="AI6503">
        <v>90.868522981393895</v>
      </c>
      <c r="AJ6503">
        <v>101.9102372617</v>
      </c>
      <c r="AK6503">
        <v>74.409559801035201</v>
      </c>
      <c r="AL6503">
        <v>80.223820843731801</v>
      </c>
      <c r="AM6503">
        <v>91.270268919890896</v>
      </c>
      <c r="AN6503">
        <v>1.0000000058221401</v>
      </c>
    </row>
    <row r="6504" spans="1:40" x14ac:dyDescent="0.25">
      <c r="A6504" t="str">
        <f>"20190303171141573"</f>
        <v>20190303171141573</v>
      </c>
      <c r="B6504" t="str">
        <f>"1551604301567165"</f>
        <v>1551604301567165</v>
      </c>
      <c r="C6504" t="s">
        <v>40</v>
      </c>
      <c r="D6504">
        <v>5.9428989999999997</v>
      </c>
      <c r="E6504">
        <v>0.43293280000000001</v>
      </c>
      <c r="F6504" t="s">
        <v>42</v>
      </c>
      <c r="G6504">
        <v>-117.36490000000001</v>
      </c>
      <c r="H6504" s="1">
        <v>-1.9229470000000001E-6</v>
      </c>
      <c r="I6504">
        <v>135.70699999999999</v>
      </c>
      <c r="J6504">
        <v>-138.32980000000001</v>
      </c>
      <c r="K6504">
        <v>1.127899</v>
      </c>
      <c r="L6504">
        <v>134.21940000000001</v>
      </c>
      <c r="M6504">
        <v>0.99245139999999998</v>
      </c>
      <c r="N6504">
        <v>-1.6271560000000001E-2</v>
      </c>
      <c r="O6504">
        <v>-0.12155390000000001</v>
      </c>
      <c r="P6504">
        <v>0.98257309999999998</v>
      </c>
      <c r="Q6504">
        <v>0.1547887</v>
      </c>
      <c r="R6504">
        <v>-0.1029099</v>
      </c>
      <c r="S6504">
        <v>3.1036830000000002</v>
      </c>
      <c r="T6504">
        <v>-0.164301</v>
      </c>
      <c r="U6504">
        <v>0.2112579</v>
      </c>
      <c r="V6504">
        <v>-2.001271E-2</v>
      </c>
      <c r="W6504">
        <v>0.17054549999999999</v>
      </c>
      <c r="X6504">
        <v>0.98514659999999998</v>
      </c>
      <c r="Y6504">
        <v>-0.18827079999999999</v>
      </c>
      <c r="Z6504">
        <v>1.095017E-2</v>
      </c>
      <c r="AA6504">
        <v>0.98205609999999999</v>
      </c>
      <c r="AB6504">
        <v>35</v>
      </c>
      <c r="AC6504">
        <v>20.9649</v>
      </c>
      <c r="AD6504">
        <v>-1.1279009229470001</v>
      </c>
      <c r="AE6504">
        <v>1.48759999999998</v>
      </c>
      <c r="AF6504">
        <v>-4.0137101537430997</v>
      </c>
      <c r="AG6504">
        <v>-1.1279009229470001</v>
      </c>
      <c r="AH6504">
        <v>20.569315607579401</v>
      </c>
      <c r="AI6504">
        <v>93.080635837515999</v>
      </c>
      <c r="AJ6504">
        <v>101.04143701832599</v>
      </c>
      <c r="AK6504">
        <v>20.987586194092302</v>
      </c>
      <c r="AL6504">
        <v>80.180463409828207</v>
      </c>
      <c r="AM6504">
        <v>91.163772100064406</v>
      </c>
      <c r="AN6504">
        <v>1.0000000498116699</v>
      </c>
    </row>
    <row r="6505" spans="1:40" x14ac:dyDescent="0.25">
      <c r="A6505" t="str">
        <f>"20190303171141594"</f>
        <v>20190303171141594</v>
      </c>
      <c r="B6505" t="str">
        <f>"1551604301586685"</f>
        <v>1551604301586685</v>
      </c>
      <c r="C6505" t="s">
        <v>40</v>
      </c>
      <c r="D6505">
        <v>5.9551420000000004</v>
      </c>
      <c r="E6505">
        <v>0.4334846</v>
      </c>
      <c r="F6505" t="s">
        <v>42</v>
      </c>
      <c r="G6505">
        <v>-116.8814</v>
      </c>
      <c r="H6505" s="1">
        <v>-2.0652909999999999E-6</v>
      </c>
      <c r="I6505">
        <v>135.79050000000001</v>
      </c>
      <c r="J6505">
        <v>-137.99950000000001</v>
      </c>
      <c r="K6505">
        <v>1.1278889999999999</v>
      </c>
      <c r="L6505">
        <v>134.18539999999999</v>
      </c>
      <c r="M6505">
        <v>0.9932088</v>
      </c>
      <c r="N6505">
        <v>-1.669373E-2</v>
      </c>
      <c r="O6505">
        <v>-0.1151418</v>
      </c>
      <c r="P6505">
        <v>0.98320929999999995</v>
      </c>
      <c r="Q6505">
        <v>0.15385650000000001</v>
      </c>
      <c r="R6505">
        <v>-9.8120360000000004E-2</v>
      </c>
      <c r="S6505">
        <v>3.1026919999999998</v>
      </c>
      <c r="T6505">
        <v>-0.16315940000000001</v>
      </c>
      <c r="U6505">
        <v>0.2272797</v>
      </c>
      <c r="V6505">
        <v>-1.842038E-2</v>
      </c>
      <c r="W6505">
        <v>0.17006009999999999</v>
      </c>
      <c r="X6505">
        <v>0.98526150000000001</v>
      </c>
      <c r="Y6505">
        <v>-0.18700800000000001</v>
      </c>
      <c r="Z6505">
        <v>1.0590550000000001E-2</v>
      </c>
      <c r="AA6505">
        <v>0.98230130000000004</v>
      </c>
      <c r="AB6505">
        <v>35</v>
      </c>
      <c r="AC6505">
        <v>21.118099999999998</v>
      </c>
      <c r="AD6505">
        <v>-1.1278910652909999</v>
      </c>
      <c r="AE6505">
        <v>1.60510000000002</v>
      </c>
      <c r="AF6505">
        <v>-4.0149496544946999</v>
      </c>
      <c r="AG6505">
        <v>-1.1278910652909999</v>
      </c>
      <c r="AH6505">
        <v>20.733961979466201</v>
      </c>
      <c r="AI6505">
        <v>93.057044010307294</v>
      </c>
      <c r="AJ6505">
        <v>100.959189327442</v>
      </c>
      <c r="AK6505">
        <v>21.149211293786799</v>
      </c>
      <c r="AL6505">
        <v>80.208686443734905</v>
      </c>
      <c r="AM6505">
        <v>91.071073099115495</v>
      </c>
      <c r="AN6505">
        <v>0.99999998569680204</v>
      </c>
    </row>
    <row r="6506" spans="1:40" x14ac:dyDescent="0.25">
      <c r="A6506" t="str">
        <f>"20190303171141621"</f>
        <v>20190303171141621</v>
      </c>
      <c r="B6506" t="str">
        <f>"1551604301616941"</f>
        <v>1551604301616941</v>
      </c>
      <c r="C6506" t="s">
        <v>40</v>
      </c>
      <c r="D6506">
        <v>5.9502620000000004</v>
      </c>
      <c r="E6506">
        <v>0.43474770000000001</v>
      </c>
      <c r="F6506" t="s">
        <v>42</v>
      </c>
      <c r="G6506">
        <v>-117.1447</v>
      </c>
      <c r="H6506" s="1">
        <v>-1.9766470000000001E-6</v>
      </c>
      <c r="I6506">
        <v>135.7868</v>
      </c>
      <c r="J6506">
        <v>-137.59370000000001</v>
      </c>
      <c r="K6506">
        <v>1.1278520000000001</v>
      </c>
      <c r="L6506">
        <v>134.14680000000001</v>
      </c>
      <c r="M6506">
        <v>0.99406890000000003</v>
      </c>
      <c r="N6506">
        <v>-1.728302E-2</v>
      </c>
      <c r="O6506">
        <v>-0.1073706</v>
      </c>
      <c r="P6506">
        <v>0.98400779999999999</v>
      </c>
      <c r="Q6506">
        <v>0.152421</v>
      </c>
      <c r="R6506">
        <v>-9.2176469999999996E-2</v>
      </c>
      <c r="S6506">
        <v>3.1012420000000001</v>
      </c>
      <c r="T6506">
        <v>-0.1677244</v>
      </c>
      <c r="U6506">
        <v>0.23814389999999999</v>
      </c>
      <c r="V6506">
        <v>-1.6624770000000001E-2</v>
      </c>
      <c r="W6506">
        <v>0.16924239999999999</v>
      </c>
      <c r="X6506">
        <v>0.98543420000000004</v>
      </c>
      <c r="Y6506">
        <v>-0.18276990000000001</v>
      </c>
      <c r="Z6506">
        <v>1.045365E-2</v>
      </c>
      <c r="AA6506">
        <v>0.98310010000000003</v>
      </c>
      <c r="AB6506">
        <v>34</v>
      </c>
      <c r="AC6506">
        <v>20.449000000000002</v>
      </c>
      <c r="AD6506">
        <v>-1.1278539766469999</v>
      </c>
      <c r="AE6506">
        <v>1.6399999999999799</v>
      </c>
      <c r="AF6506">
        <v>-3.8149347551463602</v>
      </c>
      <c r="AG6506">
        <v>-1.1278539766469999</v>
      </c>
      <c r="AH6506">
        <v>20.093900889614101</v>
      </c>
      <c r="AI6506">
        <v>93.156329231196594</v>
      </c>
      <c r="AJ6506">
        <v>100.749968272907</v>
      </c>
      <c r="AK6506">
        <v>20.483911607412601</v>
      </c>
      <c r="AL6506">
        <v>80.256226158614894</v>
      </c>
      <c r="AM6506">
        <v>90.966516895943897</v>
      </c>
      <c r="AN6506">
        <v>0.99999996773247601</v>
      </c>
    </row>
    <row r="6507" spans="1:40" x14ac:dyDescent="0.25">
      <c r="A6507" t="str">
        <f>"20190303171141644"</f>
        <v>20190303171141644</v>
      </c>
      <c r="B6507" t="str">
        <f>"1551604301637437"</f>
        <v>1551604301637437</v>
      </c>
      <c r="C6507" t="s">
        <v>40</v>
      </c>
      <c r="D6507">
        <v>5.9850240000000001</v>
      </c>
      <c r="E6507">
        <v>0.43492419999999998</v>
      </c>
      <c r="F6507" t="s">
        <v>42</v>
      </c>
      <c r="G6507">
        <v>-117.9982</v>
      </c>
      <c r="H6507" s="1">
        <v>-1.7068360000000001E-6</v>
      </c>
      <c r="I6507">
        <v>135.70920000000001</v>
      </c>
      <c r="J6507">
        <v>-137.2542</v>
      </c>
      <c r="K6507">
        <v>1.127818</v>
      </c>
      <c r="L6507">
        <v>134.11689999999999</v>
      </c>
      <c r="M6507">
        <v>0.99472959999999999</v>
      </c>
      <c r="N6507">
        <v>-1.7817949999999999E-2</v>
      </c>
      <c r="O6507">
        <v>-0.1009733</v>
      </c>
      <c r="P6507">
        <v>0.98450959999999998</v>
      </c>
      <c r="Q6507">
        <v>0.15211810000000001</v>
      </c>
      <c r="R6507">
        <v>-8.7181889999999998E-2</v>
      </c>
      <c r="S6507">
        <v>3.0995180000000002</v>
      </c>
      <c r="T6507">
        <v>-0.17839829999999901</v>
      </c>
      <c r="U6507">
        <v>0.24714659999999999</v>
      </c>
      <c r="V6507">
        <v>-1.5245420000000001E-2</v>
      </c>
      <c r="W6507">
        <v>0.169492899999999</v>
      </c>
      <c r="X6507">
        <v>0.98541350000000005</v>
      </c>
      <c r="Y6507">
        <v>-0.1792822</v>
      </c>
      <c r="Z6507">
        <v>1.0748840000000001E-2</v>
      </c>
      <c r="AA6507">
        <v>0.98373900000000003</v>
      </c>
      <c r="AB6507">
        <v>34</v>
      </c>
      <c r="AC6507">
        <v>19.256</v>
      </c>
      <c r="AD6507">
        <v>-1.1278197068359901</v>
      </c>
      <c r="AE6507">
        <v>1.59230000000002</v>
      </c>
      <c r="AF6507">
        <v>-3.5168276401643999</v>
      </c>
      <c r="AG6507">
        <v>-1.1278197068359901</v>
      </c>
      <c r="AH6507">
        <v>18.9322440981021</v>
      </c>
      <c r="AI6507">
        <v>93.351952005106</v>
      </c>
      <c r="AJ6507">
        <v>100.523240074147</v>
      </c>
      <c r="AK6507">
        <v>19.289114042170901</v>
      </c>
      <c r="AL6507">
        <v>80.241663648452302</v>
      </c>
      <c r="AM6507">
        <v>90.886357393087394</v>
      </c>
      <c r="AN6507">
        <v>1.0000000159818101</v>
      </c>
    </row>
    <row r="6508" spans="1:40" x14ac:dyDescent="0.25">
      <c r="A6508" t="str">
        <f>"20190303171141664"</f>
        <v>20190303171141664</v>
      </c>
      <c r="B6508" t="str">
        <f>"1551604301656958"</f>
        <v>1551604301656958</v>
      </c>
      <c r="C6508" t="s">
        <v>40</v>
      </c>
      <c r="D6508">
        <v>5.9709320000000004</v>
      </c>
      <c r="E6508">
        <v>0.43515789999999999</v>
      </c>
      <c r="F6508" t="s">
        <v>42</v>
      </c>
      <c r="G6508">
        <v>-117.81189999999999</v>
      </c>
      <c r="H6508" s="1">
        <v>-1.7556589999999999E-6</v>
      </c>
      <c r="I6508">
        <v>135.76410000000001</v>
      </c>
      <c r="J6508">
        <v>-136.9451</v>
      </c>
      <c r="K6508">
        <v>1.1277950000000001</v>
      </c>
      <c r="L6508">
        <v>134.0916</v>
      </c>
      <c r="M6508">
        <v>0.99528760000000005</v>
      </c>
      <c r="N6508">
        <v>-1.8315600000000001E-2</v>
      </c>
      <c r="O6508">
        <v>-9.5221360000000005E-2</v>
      </c>
      <c r="P6508">
        <v>0.98477519999999996</v>
      </c>
      <c r="Q6508">
        <v>0.15324399999999999</v>
      </c>
      <c r="R6508">
        <v>-8.2061099999999998E-2</v>
      </c>
      <c r="S6508">
        <v>3.0982210000000001</v>
      </c>
      <c r="T6508">
        <v>-0.1797222</v>
      </c>
      <c r="U6508">
        <v>0.26249689999999998</v>
      </c>
      <c r="V6508">
        <v>-1.463886E-2</v>
      </c>
      <c r="W6508">
        <v>0.17111770000000001</v>
      </c>
      <c r="X6508">
        <v>0.98514179999999996</v>
      </c>
      <c r="Y6508">
        <v>-0.17846890000000001</v>
      </c>
      <c r="Z6508">
        <v>1.0570110000000001E-2</v>
      </c>
      <c r="AA6508">
        <v>0.98388869999999895</v>
      </c>
      <c r="AB6508">
        <v>34</v>
      </c>
      <c r="AC6508">
        <v>19.133199999999999</v>
      </c>
      <c r="AD6508">
        <v>-1.1277967556590001</v>
      </c>
      <c r="AE6508">
        <v>1.6725000000000101</v>
      </c>
      <c r="AF6508">
        <v>-3.4751102727018499</v>
      </c>
      <c r="AG6508">
        <v>-1.1277967556590001</v>
      </c>
      <c r="AH6508">
        <v>18.822046993069002</v>
      </c>
      <c r="AI6508">
        <v>93.372142978722593</v>
      </c>
      <c r="AJ6508">
        <v>100.460706339423</v>
      </c>
      <c r="AK6508">
        <v>19.1733609453014</v>
      </c>
      <c r="AL6508">
        <v>80.147188803662303</v>
      </c>
      <c r="AM6508">
        <v>90.851332436492299</v>
      </c>
      <c r="AN6508">
        <v>0.99999996479131403</v>
      </c>
    </row>
    <row r="6509" spans="1:40" x14ac:dyDescent="0.25">
      <c r="A6509" t="str">
        <f>"20190303171141704"</f>
        <v>20190303171141704</v>
      </c>
      <c r="B6509" t="str">
        <f>"1551604301696974"</f>
        <v>1551604301696974</v>
      </c>
      <c r="C6509" t="s">
        <v>40</v>
      </c>
      <c r="D6509">
        <v>5.9776569999999998</v>
      </c>
      <c r="E6509">
        <v>0.43552249999999998</v>
      </c>
      <c r="F6509" t="s">
        <v>42</v>
      </c>
      <c r="G6509">
        <v>-117.3707</v>
      </c>
      <c r="H6509" s="1">
        <v>-1.8841169999999999E-6</v>
      </c>
      <c r="I6509">
        <v>135.84559999999999</v>
      </c>
      <c r="J6509">
        <v>-136.3562</v>
      </c>
      <c r="K6509">
        <v>1.1277360000000001</v>
      </c>
      <c r="L6509">
        <v>134.04830000000001</v>
      </c>
      <c r="M6509">
        <v>0.99624089999999998</v>
      </c>
      <c r="N6509">
        <v>-1.9228200000000001E-2</v>
      </c>
      <c r="O6509">
        <v>-8.4465879999999993E-2</v>
      </c>
      <c r="P6509">
        <v>0.98525269999999998</v>
      </c>
      <c r="Q6509">
        <v>0.1544286</v>
      </c>
      <c r="R6509">
        <v>-7.3684479999999997E-2</v>
      </c>
      <c r="S6509">
        <v>3.0972749999999998</v>
      </c>
      <c r="T6509">
        <v>-0.17845239999999901</v>
      </c>
      <c r="U6509">
        <v>0.27754210000000001</v>
      </c>
      <c r="V6509">
        <v>-1.230093E-2</v>
      </c>
      <c r="W6509">
        <v>0.173238</v>
      </c>
      <c r="X6509">
        <v>0.98480310000000004</v>
      </c>
      <c r="Y6509">
        <v>-0.1726346</v>
      </c>
      <c r="Z6509">
        <v>9.8572729999999997E-3</v>
      </c>
      <c r="AA6509">
        <v>0.98493660000000005</v>
      </c>
      <c r="AB6509">
        <v>34</v>
      </c>
      <c r="AC6509">
        <v>18.985499999999998</v>
      </c>
      <c r="AD6509">
        <v>-1.127737884117</v>
      </c>
      <c r="AE6509">
        <v>1.7972999999999699</v>
      </c>
      <c r="AF6509">
        <v>-3.38296783431998</v>
      </c>
      <c r="AG6509">
        <v>-1.127737884117</v>
      </c>
      <c r="AH6509">
        <v>18.700393610730298</v>
      </c>
      <c r="AI6509">
        <v>93.3960843058031</v>
      </c>
      <c r="AJ6509">
        <v>100.254111440342</v>
      </c>
      <c r="AK6509">
        <v>19.037357623881501</v>
      </c>
      <c r="AL6509">
        <v>80.023862432473294</v>
      </c>
      <c r="AM6509">
        <v>90.715630081725095</v>
      </c>
      <c r="AN6509">
        <v>0.99999993164623502</v>
      </c>
    </row>
    <row r="6510" spans="1:40" x14ac:dyDescent="0.25">
      <c r="A6510" t="str">
        <f>"20190303171141730"</f>
        <v>20190303171141730</v>
      </c>
      <c r="B6510" t="str">
        <f>"1551604301717469"</f>
        <v>1551604301717469</v>
      </c>
      <c r="C6510" t="s">
        <v>40</v>
      </c>
      <c r="D6510">
        <v>5.9954369999999999</v>
      </c>
      <c r="E6510">
        <v>0.43566890000000003</v>
      </c>
      <c r="F6510" t="s">
        <v>42</v>
      </c>
      <c r="G6510">
        <v>-116.8193</v>
      </c>
      <c r="H6510" s="1">
        <v>-2.0410419999999999E-6</v>
      </c>
      <c r="I6510">
        <v>135.96109999999999</v>
      </c>
      <c r="J6510">
        <v>-135.97919999999999</v>
      </c>
      <c r="K6510">
        <v>1.127653</v>
      </c>
      <c r="L6510">
        <v>134.024</v>
      </c>
      <c r="M6510">
        <v>0.99678020000000001</v>
      </c>
      <c r="N6510">
        <v>-1.9797149999999999E-2</v>
      </c>
      <c r="O6510">
        <v>-7.7699809999999994E-2</v>
      </c>
      <c r="P6510">
        <v>0.98569519999999999</v>
      </c>
      <c r="Q6510">
        <v>0.15399009999999999</v>
      </c>
      <c r="R6510">
        <v>-6.8498249999999997E-2</v>
      </c>
      <c r="S6510">
        <v>3.095596</v>
      </c>
      <c r="T6510">
        <v>-0.17868819999999999</v>
      </c>
      <c r="U6510">
        <v>0.30307009999999901</v>
      </c>
      <c r="V6510">
        <v>-1.0739240000000001E-2</v>
      </c>
      <c r="W6510">
        <v>0.17338689999999901</v>
      </c>
      <c r="X6510">
        <v>0.98479519999999998</v>
      </c>
      <c r="Y6510">
        <v>-0.17404629999999999</v>
      </c>
      <c r="Z6510">
        <v>9.6741220000000003E-3</v>
      </c>
      <c r="AA6510">
        <v>0.98468999999999995</v>
      </c>
      <c r="AB6510">
        <v>33</v>
      </c>
      <c r="AC6510">
        <v>19.1599</v>
      </c>
      <c r="AD6510">
        <v>-1.1276550410420001</v>
      </c>
      <c r="AE6510">
        <v>1.9370999999999801</v>
      </c>
      <c r="AF6510">
        <v>-3.4085664153102302</v>
      </c>
      <c r="AG6510">
        <v>-1.1276550410420001</v>
      </c>
      <c r="AH6510">
        <v>18.8866515970603</v>
      </c>
      <c r="AI6510">
        <v>93.362674932652695</v>
      </c>
      <c r="AJ6510">
        <v>100.23032695425201</v>
      </c>
      <c r="AK6510">
        <v>19.224867735511399</v>
      </c>
      <c r="AL6510">
        <v>80.015200358961394</v>
      </c>
      <c r="AM6510">
        <v>90.624788522411805</v>
      </c>
      <c r="AN6510">
        <v>0.999999967155213</v>
      </c>
    </row>
    <row r="6511" spans="1:40" x14ac:dyDescent="0.25">
      <c r="A6511" t="str">
        <f>"20190303171141753"</f>
        <v>20190303171141753</v>
      </c>
      <c r="B6511" t="str">
        <f>"1551604301746750"</f>
        <v>1551604301746750</v>
      </c>
      <c r="C6511" t="s">
        <v>40</v>
      </c>
      <c r="D6511">
        <v>5.9820789999999997</v>
      </c>
      <c r="E6511">
        <v>0.44022869999999997</v>
      </c>
      <c r="F6511" t="s">
        <v>42</v>
      </c>
      <c r="G6511">
        <v>-116.66589999999999</v>
      </c>
      <c r="H6511" s="1">
        <v>-2.0784389999999999E-6</v>
      </c>
      <c r="I6511">
        <v>136.01660000000001</v>
      </c>
      <c r="J6511">
        <v>-135.64169999999999</v>
      </c>
      <c r="K6511">
        <v>1.127575</v>
      </c>
      <c r="L6511">
        <v>134.00450000000001</v>
      </c>
      <c r="M6511">
        <v>0.9972202</v>
      </c>
      <c r="N6511">
        <v>-2.0298170000000001E-2</v>
      </c>
      <c r="O6511">
        <v>-7.1693870000000007E-2</v>
      </c>
      <c r="P6511">
        <v>0.98602160000000005</v>
      </c>
      <c r="Q6511">
        <v>0.1535473</v>
      </c>
      <c r="R6511">
        <v>-6.4693410000000007E-2</v>
      </c>
      <c r="S6511">
        <v>3.0939480000000001</v>
      </c>
      <c r="T6511">
        <v>-0.1806479</v>
      </c>
      <c r="U6511">
        <v>0.31921389999999999</v>
      </c>
      <c r="V6511">
        <v>-8.5484600000000008E-3</v>
      </c>
      <c r="W6511">
        <v>0.17347190000000001</v>
      </c>
      <c r="X6511">
        <v>0.9848017</v>
      </c>
      <c r="Y6511">
        <v>-0.17324829999999999</v>
      </c>
      <c r="Z6511">
        <v>9.5275029999999997E-3</v>
      </c>
      <c r="AA6511">
        <v>0.98483209999999999</v>
      </c>
      <c r="AB6511">
        <v>33</v>
      </c>
      <c r="AC6511">
        <v>18.9757999999999</v>
      </c>
      <c r="AD6511">
        <v>-1.127577078439</v>
      </c>
      <c r="AE6511">
        <v>2.0121000000000002</v>
      </c>
      <c r="AF6511">
        <v>-3.3559309821939398</v>
      </c>
      <c r="AG6511">
        <v>-1.127577078439</v>
      </c>
      <c r="AH6511">
        <v>18.717308988425302</v>
      </c>
      <c r="AI6511">
        <v>93.393489159425101</v>
      </c>
      <c r="AJ6511">
        <v>100.16487589339999</v>
      </c>
      <c r="AK6511">
        <v>19.049182622707399</v>
      </c>
      <c r="AL6511">
        <v>80.010255434082893</v>
      </c>
      <c r="AM6511">
        <v>90.4973370559036</v>
      </c>
      <c r="AN6511">
        <v>0.99999998229043496</v>
      </c>
    </row>
    <row r="6512" spans="1:40" x14ac:dyDescent="0.25">
      <c r="A6512" t="str">
        <f>"20190303171141775"</f>
        <v>20190303171141775</v>
      </c>
      <c r="B6512" t="str">
        <f>"1551604301767245"</f>
        <v>1551604301767245</v>
      </c>
      <c r="C6512" t="s">
        <v>40</v>
      </c>
      <c r="D6512">
        <v>6.0002129999999996</v>
      </c>
      <c r="E6512">
        <v>0.4401196</v>
      </c>
      <c r="F6512" t="s">
        <v>42</v>
      </c>
      <c r="G6512">
        <v>-119.49890000000001</v>
      </c>
      <c r="H6512" s="1">
        <v>-1.238804E-6</v>
      </c>
      <c r="I6512">
        <v>135.5489</v>
      </c>
      <c r="J6512">
        <v>-135.32089999999999</v>
      </c>
      <c r="K6512">
        <v>1.1275090000000001</v>
      </c>
      <c r="L6512">
        <v>133.98769999999999</v>
      </c>
      <c r="M6512">
        <v>0.9975986</v>
      </c>
      <c r="N6512">
        <v>-2.0827109999999999E-2</v>
      </c>
      <c r="O6512">
        <v>-6.6056699999999996E-2</v>
      </c>
      <c r="P6512">
        <v>0.98612699999999998</v>
      </c>
      <c r="Q6512">
        <v>0.15465909999999999</v>
      </c>
      <c r="R6512">
        <v>-6.0285480000000002E-2</v>
      </c>
      <c r="S6512">
        <v>3.0956269999999999</v>
      </c>
      <c r="T6512">
        <v>-0.21622920000000001</v>
      </c>
      <c r="U6512">
        <v>0.29617310000000002</v>
      </c>
      <c r="V6512">
        <v>-7.3305139999999998E-3</v>
      </c>
      <c r="W6512">
        <v>0.17512</v>
      </c>
      <c r="X6512">
        <v>0.98451979999999994</v>
      </c>
      <c r="Y6512">
        <v>-0.160219899999999</v>
      </c>
      <c r="Z6512">
        <v>1.047904E-2</v>
      </c>
      <c r="AA6512">
        <v>0.98702570000000001</v>
      </c>
      <c r="AB6512">
        <v>33</v>
      </c>
      <c r="AC6512">
        <v>15.8219999999999</v>
      </c>
      <c r="AD6512">
        <v>-1.1275102388039999</v>
      </c>
      <c r="AE6512">
        <v>1.5612000000000099</v>
      </c>
      <c r="AF6512">
        <v>-2.5901377371144299</v>
      </c>
      <c r="AG6512">
        <v>-1.1275102388039999</v>
      </c>
      <c r="AH6512">
        <v>15.6057909283968</v>
      </c>
      <c r="AI6512">
        <v>94.076830904197806</v>
      </c>
      <c r="AJ6512">
        <v>99.423639995048205</v>
      </c>
      <c r="AK6512">
        <v>15.8594074081179</v>
      </c>
      <c r="AL6512">
        <v>79.914358496365296</v>
      </c>
      <c r="AM6512">
        <v>90.426603662454895</v>
      </c>
      <c r="AN6512">
        <v>0.99999999371377202</v>
      </c>
    </row>
    <row r="6513" spans="1:40" x14ac:dyDescent="0.25">
      <c r="A6513" t="str">
        <f>"20190303171141795"</f>
        <v>20190303171141795</v>
      </c>
      <c r="B6513" t="str">
        <f>"1551604301786766"</f>
        <v>1551604301786766</v>
      </c>
      <c r="C6513" t="s">
        <v>40</v>
      </c>
      <c r="D6513">
        <v>5.9406589999999904</v>
      </c>
      <c r="E6513">
        <v>0.43947190000000003</v>
      </c>
      <c r="F6513" t="s">
        <v>42</v>
      </c>
      <c r="G6513">
        <v>-118.70480000000001</v>
      </c>
      <c r="H6513" s="1">
        <v>-1.4794350000000001E-6</v>
      </c>
      <c r="I6513">
        <v>135.6601</v>
      </c>
      <c r="J6513">
        <v>-135.03620000000001</v>
      </c>
      <c r="K6513">
        <v>1.1274599999999999</v>
      </c>
      <c r="L6513">
        <v>133.97450000000001</v>
      </c>
      <c r="M6513">
        <v>0.9979017</v>
      </c>
      <c r="N6513">
        <v>-2.138104E-2</v>
      </c>
      <c r="O6513">
        <v>-6.1114759999999997E-2</v>
      </c>
      <c r="P6513">
        <v>0.98614100000000005</v>
      </c>
      <c r="Q6513">
        <v>0.15587909999999999</v>
      </c>
      <c r="R6513">
        <v>-5.6813860000000001E-2</v>
      </c>
      <c r="S6513">
        <v>3.0941770000000002</v>
      </c>
      <c r="T6513">
        <v>-0.2099607</v>
      </c>
      <c r="U6513">
        <v>0.31143189999999998</v>
      </c>
      <c r="V6513">
        <v>-5.8676600000000002E-3</v>
      </c>
      <c r="W6513">
        <v>0.17690220000000001</v>
      </c>
      <c r="X6513">
        <v>0.9842109</v>
      </c>
      <c r="Y6513">
        <v>-0.1602324</v>
      </c>
      <c r="Z6513">
        <v>9.9675639999999999E-3</v>
      </c>
      <c r="AA6513">
        <v>0.98702900000000005</v>
      </c>
      <c r="AB6513">
        <v>33</v>
      </c>
      <c r="AC6513">
        <v>16.331399999999999</v>
      </c>
      <c r="AD6513">
        <v>-1.127461479435</v>
      </c>
      <c r="AE6513">
        <v>1.68559999999999</v>
      </c>
      <c r="AF6513">
        <v>-2.6681829721088501</v>
      </c>
      <c r="AG6513">
        <v>-1.127461479435</v>
      </c>
      <c r="AH6513">
        <v>16.121792873902798</v>
      </c>
      <c r="AI6513">
        <v>93.946893944766501</v>
      </c>
      <c r="AJ6513">
        <v>99.397362285364096</v>
      </c>
      <c r="AK6513">
        <v>16.379944298723501</v>
      </c>
      <c r="AL6513">
        <v>79.810626116292696</v>
      </c>
      <c r="AM6513">
        <v>90.341581434035106</v>
      </c>
      <c r="AN6513">
        <v>0.99999995673876096</v>
      </c>
    </row>
    <row r="6514" spans="1:40" x14ac:dyDescent="0.25">
      <c r="A6514" t="str">
        <f>"20190303171141821"</f>
        <v>20190303171141821</v>
      </c>
      <c r="B6514" t="str">
        <f>"1551604301807262"</f>
        <v>1551604301807262</v>
      </c>
      <c r="C6514" t="s">
        <v>40</v>
      </c>
      <c r="D6514">
        <v>5.9811990000000002</v>
      </c>
      <c r="E6514">
        <v>0.43945020000000001</v>
      </c>
      <c r="F6514" t="s">
        <v>42</v>
      </c>
      <c r="G6514">
        <v>-117.9513</v>
      </c>
      <c r="H6514" s="1">
        <v>-1.7015970000000001E-6</v>
      </c>
      <c r="I6514">
        <v>135.78899999999999</v>
      </c>
      <c r="J6514">
        <v>-134.67150000000001</v>
      </c>
      <c r="K6514">
        <v>1.1274280000000001</v>
      </c>
      <c r="L6514">
        <v>133.95959999999999</v>
      </c>
      <c r="M6514">
        <v>0.99824829999999998</v>
      </c>
      <c r="N6514">
        <v>-2.217133E-2</v>
      </c>
      <c r="O6514">
        <v>-5.4852819999999997E-2</v>
      </c>
      <c r="P6514">
        <v>0.98631559999999996</v>
      </c>
      <c r="Q6514">
        <v>0.1562511</v>
      </c>
      <c r="R6514">
        <v>-5.2603579999999997E-2</v>
      </c>
      <c r="S6514">
        <v>3.093353</v>
      </c>
      <c r="T6514">
        <v>-0.20413539999999999</v>
      </c>
      <c r="U6514">
        <v>0.32853700000000002</v>
      </c>
      <c r="V6514">
        <v>-3.829556E-3</v>
      </c>
      <c r="W6514">
        <v>0.17807779999999901</v>
      </c>
      <c r="X6514">
        <v>0.98400900000000002</v>
      </c>
      <c r="Y6514">
        <v>-0.1595017</v>
      </c>
      <c r="Z6514">
        <v>9.4138220000000005E-3</v>
      </c>
      <c r="AA6514">
        <v>0.98715280000000005</v>
      </c>
      <c r="AB6514">
        <v>33</v>
      </c>
      <c r="AC6514">
        <v>16.720199999999998</v>
      </c>
      <c r="AD6514">
        <v>-1.1274297015970001</v>
      </c>
      <c r="AE6514">
        <v>1.8293999999999899</v>
      </c>
      <c r="AF6514">
        <v>-2.73174649028745</v>
      </c>
      <c r="AG6514">
        <v>-1.1274297015970001</v>
      </c>
      <c r="AH6514">
        <v>16.520417330601401</v>
      </c>
      <c r="AI6514">
        <v>93.851930726469703</v>
      </c>
      <c r="AJ6514">
        <v>99.389228378304196</v>
      </c>
      <c r="AK6514">
        <v>16.782661451524199</v>
      </c>
      <c r="AL6514">
        <v>79.742183349410595</v>
      </c>
      <c r="AM6514">
        <v>90.222981993510004</v>
      </c>
      <c r="AN6514">
        <v>1.0000000402164899</v>
      </c>
    </row>
    <row r="6515" spans="1:40" x14ac:dyDescent="0.25">
      <c r="A6515" t="str">
        <f>"20190303171141847"</f>
        <v>20190303171141847</v>
      </c>
      <c r="B6515" t="str">
        <f>"1551604301837517"</f>
        <v>1551604301837517</v>
      </c>
      <c r="C6515" t="s">
        <v>40</v>
      </c>
      <c r="D6515">
        <v>5.9829210000000002</v>
      </c>
      <c r="E6515">
        <v>0.44007059999999998</v>
      </c>
      <c r="F6515" t="s">
        <v>42</v>
      </c>
      <c r="G6515">
        <v>-117.4109</v>
      </c>
      <c r="H6515" s="1">
        <v>-1.863362E-6</v>
      </c>
      <c r="I6515">
        <v>135.87219999999999</v>
      </c>
      <c r="J6515">
        <v>-134.31299999999999</v>
      </c>
      <c r="K6515">
        <v>1.127416</v>
      </c>
      <c r="L6515">
        <v>133.94730000000001</v>
      </c>
      <c r="M6515">
        <v>0.99854399999999999</v>
      </c>
      <c r="N6515">
        <v>-2.3006370000000002E-2</v>
      </c>
      <c r="O6515">
        <v>-4.8792719999999998E-2</v>
      </c>
      <c r="P6515">
        <v>0.98663009999999995</v>
      </c>
      <c r="Q6515">
        <v>0.155354399999999</v>
      </c>
      <c r="R6515">
        <v>-4.925612E-2</v>
      </c>
      <c r="S6515">
        <v>3.091888</v>
      </c>
      <c r="T6515">
        <v>-0.20195569999999999</v>
      </c>
      <c r="U6515">
        <v>0.34260559999999901</v>
      </c>
      <c r="V6515">
        <v>-1.1376839999999999E-3</v>
      </c>
      <c r="W6515">
        <v>0.17804020000000001</v>
      </c>
      <c r="X6515">
        <v>0.98402259999999997</v>
      </c>
      <c r="Y6515">
        <v>-0.1580165</v>
      </c>
      <c r="Z6515">
        <v>9.0226349999999993E-3</v>
      </c>
      <c r="AA6515">
        <v>0.98739520000000003</v>
      </c>
      <c r="AB6515">
        <v>32</v>
      </c>
      <c r="AC6515">
        <v>16.902099999999901</v>
      </c>
      <c r="AD6515">
        <v>-1.127417863362</v>
      </c>
      <c r="AE6515">
        <v>1.9248999999999801</v>
      </c>
      <c r="AF6515">
        <v>-2.7355086275143701</v>
      </c>
      <c r="AG6515">
        <v>-1.127417863362</v>
      </c>
      <c r="AH6515">
        <v>16.714596199571002</v>
      </c>
      <c r="AI6515">
        <v>93.808305426901299</v>
      </c>
      <c r="AJ6515">
        <v>99.294620241471094</v>
      </c>
      <c r="AK6515">
        <v>16.974445634675199</v>
      </c>
      <c r="AL6515">
        <v>79.744372676992</v>
      </c>
      <c r="AM6515">
        <v>90.066242851104803</v>
      </c>
      <c r="AN6515">
        <v>1.0000000422258399</v>
      </c>
    </row>
    <row r="6516" spans="1:40" x14ac:dyDescent="0.25">
      <c r="A6516" t="str">
        <f>"20190303171141869"</f>
        <v>20190303171141869</v>
      </c>
      <c r="B6516" t="str">
        <f>"1551604301857037"</f>
        <v>1551604301857037</v>
      </c>
      <c r="C6516" t="s">
        <v>40</v>
      </c>
      <c r="D6516">
        <v>5.9710089999999996</v>
      </c>
      <c r="E6516">
        <v>0.44041039999999998</v>
      </c>
      <c r="F6516" t="s">
        <v>42</v>
      </c>
      <c r="G6516">
        <v>-117.5429</v>
      </c>
      <c r="H6516" s="1">
        <v>-1.8264979999999999E-6</v>
      </c>
      <c r="I6516">
        <v>135.84190000000001</v>
      </c>
      <c r="J6516">
        <v>-133.99379999999999</v>
      </c>
      <c r="K6516">
        <v>1.1274150000000001</v>
      </c>
      <c r="L6516">
        <v>133.93819999999999</v>
      </c>
      <c r="M6516">
        <v>0.99877199999999999</v>
      </c>
      <c r="N6516">
        <v>-2.378274E-2</v>
      </c>
      <c r="O6516">
        <v>-4.3462389999999997E-2</v>
      </c>
      <c r="P6516">
        <v>0.98706309999999997</v>
      </c>
      <c r="Q6516">
        <v>0.15352879999999899</v>
      </c>
      <c r="R6516">
        <v>-4.6210769999999998E-2</v>
      </c>
      <c r="S6516">
        <v>3.0907900000000001</v>
      </c>
      <c r="T6516">
        <v>-0.20778630000000001</v>
      </c>
      <c r="U6516">
        <v>0.3491821</v>
      </c>
      <c r="V6516">
        <v>1.130872E-3</v>
      </c>
      <c r="W6516">
        <v>0.17701249999999999</v>
      </c>
      <c r="X6516">
        <v>0.98420790000000002</v>
      </c>
      <c r="Y6516">
        <v>-0.15484500000000001</v>
      </c>
      <c r="Z6516">
        <v>8.9138889999999995E-3</v>
      </c>
      <c r="AA6516">
        <v>0.98789859999999896</v>
      </c>
      <c r="AB6516">
        <v>32</v>
      </c>
      <c r="AC6516">
        <v>16.450899999999901</v>
      </c>
      <c r="AD6516">
        <v>-1.127416826498</v>
      </c>
      <c r="AE6516">
        <v>1.9037000000000099</v>
      </c>
      <c r="AF6516">
        <v>-2.60502453757675</v>
      </c>
      <c r="AG6516">
        <v>-1.127416826498</v>
      </c>
      <c r="AH6516">
        <v>16.277145277266801</v>
      </c>
      <c r="AI6516">
        <v>93.912562340947204</v>
      </c>
      <c r="AJ6516">
        <v>99.092615206705403</v>
      </c>
      <c r="AK6516">
        <v>16.5227927397065</v>
      </c>
      <c r="AL6516">
        <v>79.804204959686302</v>
      </c>
      <c r="AM6516">
        <v>89.934166181499904</v>
      </c>
      <c r="AN6516">
        <v>0.99999994722506802</v>
      </c>
    </row>
    <row r="6517" spans="1:40" x14ac:dyDescent="0.25">
      <c r="A6517" t="str">
        <f>"20190303171141889"</f>
        <v>20190303171141889</v>
      </c>
      <c r="B6517" t="str">
        <f>"1551604301877534"</f>
        <v>1551604301877534</v>
      </c>
      <c r="C6517" t="s">
        <v>40</v>
      </c>
      <c r="D6517">
        <v>6.0349130000000004</v>
      </c>
      <c r="E6517">
        <v>0.44071179999999899</v>
      </c>
      <c r="F6517" t="s">
        <v>42</v>
      </c>
      <c r="G6517">
        <v>-117.8313</v>
      </c>
      <c r="H6517" s="1">
        <v>-1.7384440000000001E-6</v>
      </c>
      <c r="I6517">
        <v>135.804</v>
      </c>
      <c r="J6517">
        <v>-133.72659999999999</v>
      </c>
      <c r="K6517">
        <v>1.127402</v>
      </c>
      <c r="L6517">
        <v>133.93199999999999</v>
      </c>
      <c r="M6517">
        <v>0.99894019999999994</v>
      </c>
      <c r="N6517">
        <v>-2.4435160000000001E-2</v>
      </c>
      <c r="O6517">
        <v>-3.9006930000000002E-2</v>
      </c>
      <c r="P6517">
        <v>0.98731659999999999</v>
      </c>
      <c r="Q6517">
        <v>0.1528158</v>
      </c>
      <c r="R6517">
        <v>-4.3050570000000003E-2</v>
      </c>
      <c r="S6517">
        <v>3.0895389999999998</v>
      </c>
      <c r="T6517">
        <v>-0.21551000000000001</v>
      </c>
      <c r="U6517">
        <v>0.3566589</v>
      </c>
      <c r="V6517">
        <v>2.4147460000000002E-3</v>
      </c>
      <c r="W6517">
        <v>0.17695859999999999</v>
      </c>
      <c r="X6517">
        <v>0.98421530000000002</v>
      </c>
      <c r="Y6517">
        <v>-0.1528166</v>
      </c>
      <c r="Z6517">
        <v>8.9429839999999993E-3</v>
      </c>
      <c r="AA6517">
        <v>0.98821409999999998</v>
      </c>
      <c r="AB6517">
        <v>31</v>
      </c>
      <c r="AC6517">
        <v>15.895299999999899</v>
      </c>
      <c r="AD6517">
        <v>-1.1274037384440001</v>
      </c>
      <c r="AE6517">
        <v>1.8719999999999799</v>
      </c>
      <c r="AF6517">
        <v>-2.4784886754245901</v>
      </c>
      <c r="AG6517">
        <v>-1.1274037384440001</v>
      </c>
      <c r="AH6517">
        <v>15.732093221360699</v>
      </c>
      <c r="AI6517">
        <v>94.049187965696902</v>
      </c>
      <c r="AJ6517">
        <v>98.952989422209299</v>
      </c>
      <c r="AK6517">
        <v>15.965985795723601</v>
      </c>
      <c r="AL6517">
        <v>79.807342940073994</v>
      </c>
      <c r="AM6517">
        <v>89.859426614494893</v>
      </c>
      <c r="AN6517">
        <v>0.99999996693314597</v>
      </c>
    </row>
    <row r="6518" spans="1:40" x14ac:dyDescent="0.25">
      <c r="A6518" t="str">
        <f>"20190303171141908"</f>
        <v>20190303171141908</v>
      </c>
      <c r="B6518" t="str">
        <f>"1551604301897054"</f>
        <v>1551604301897054</v>
      </c>
      <c r="C6518" t="s">
        <v>40</v>
      </c>
      <c r="D6518">
        <v>5.9625870000000001</v>
      </c>
      <c r="E6518">
        <v>0.44092100000000001</v>
      </c>
      <c r="F6518" t="s">
        <v>42</v>
      </c>
      <c r="G6518">
        <v>-117.8775</v>
      </c>
      <c r="H6518" s="1">
        <v>-1.723856E-6</v>
      </c>
      <c r="I6518">
        <v>135.7996</v>
      </c>
      <c r="J6518">
        <v>-133.4494</v>
      </c>
      <c r="K6518">
        <v>1.1273709999999999</v>
      </c>
      <c r="L6518">
        <v>133.92679999999999</v>
      </c>
      <c r="M6518">
        <v>0.99909420000000004</v>
      </c>
      <c r="N6518">
        <v>-2.5106719999999999E-2</v>
      </c>
      <c r="O6518">
        <v>-3.4357690000000003E-2</v>
      </c>
      <c r="P6518">
        <v>0.98732690000000001</v>
      </c>
      <c r="Q6518">
        <v>0.15346850000000001</v>
      </c>
      <c r="R6518">
        <v>-4.0413480000000002E-2</v>
      </c>
      <c r="S6518">
        <v>3.088409</v>
      </c>
      <c r="T6518">
        <v>-0.21968940000000001</v>
      </c>
      <c r="U6518">
        <v>0.36393740000000002</v>
      </c>
      <c r="V6518">
        <v>4.4162089999999999E-3</v>
      </c>
      <c r="W6518">
        <v>0.17829120000000001</v>
      </c>
      <c r="X6518">
        <v>0.98396779999999995</v>
      </c>
      <c r="Y6518">
        <v>-0.1505475</v>
      </c>
      <c r="Z6518">
        <v>8.8038619999999904E-3</v>
      </c>
      <c r="AA6518">
        <v>0.98856359999999999</v>
      </c>
      <c r="AB6518">
        <v>31</v>
      </c>
      <c r="AC6518">
        <v>15.571899999999999</v>
      </c>
      <c r="AD6518">
        <v>-1.1273727238559901</v>
      </c>
      <c r="AE6518">
        <v>1.87280000000001</v>
      </c>
      <c r="AF6518">
        <v>-2.3945050716399798</v>
      </c>
      <c r="AG6518">
        <v>-1.1273727238559901</v>
      </c>
      <c r="AH6518">
        <v>15.4186712068072</v>
      </c>
      <c r="AI6518">
        <v>94.132513176772306</v>
      </c>
      <c r="AJ6518">
        <v>98.827464831051898</v>
      </c>
      <c r="AK6518">
        <v>15.6441696992914</v>
      </c>
      <c r="AL6518">
        <v>79.729756574653194</v>
      </c>
      <c r="AM6518">
        <v>89.742848863359598</v>
      </c>
      <c r="AN6518">
        <v>0.99999994316810403</v>
      </c>
    </row>
    <row r="6519" spans="1:40" x14ac:dyDescent="0.25">
      <c r="A6519" t="str">
        <f>"20190303171141928"</f>
        <v>20190303171141928</v>
      </c>
      <c r="B6519" t="str">
        <f>"1551604301917550"</f>
        <v>1551604301917550</v>
      </c>
      <c r="C6519" t="s">
        <v>40</v>
      </c>
      <c r="D6519">
        <v>5.9229289999999999</v>
      </c>
      <c r="E6519">
        <v>0.44113210000000003</v>
      </c>
      <c r="F6519" t="s">
        <v>42</v>
      </c>
      <c r="G6519">
        <v>-117.4341</v>
      </c>
      <c r="H6519" s="1">
        <v>-1.859495E-6</v>
      </c>
      <c r="I6519">
        <v>135.857</v>
      </c>
      <c r="J6519">
        <v>-133.1867</v>
      </c>
      <c r="K6519">
        <v>1.127324</v>
      </c>
      <c r="L6519">
        <v>133.92320000000001</v>
      </c>
      <c r="M6519">
        <v>0.99922109999999997</v>
      </c>
      <c r="N6519">
        <v>-2.5727699999999999E-2</v>
      </c>
      <c r="O6519">
        <v>-2.99221E-2</v>
      </c>
      <c r="P6519">
        <v>0.98734089999999997</v>
      </c>
      <c r="Q6519">
        <v>0.1538263</v>
      </c>
      <c r="R6519">
        <v>-3.866994E-2</v>
      </c>
      <c r="S6519">
        <v>3.0875240000000002</v>
      </c>
      <c r="T6519">
        <v>-0.21734059999999999</v>
      </c>
      <c r="U6519">
        <v>0.37211610000000001</v>
      </c>
      <c r="V6519">
        <v>7.1045719999999904E-3</v>
      </c>
      <c r="W6519">
        <v>0.17928629999999901</v>
      </c>
      <c r="X6519">
        <v>0.98377130000000002</v>
      </c>
      <c r="Y6519">
        <v>-0.1487927</v>
      </c>
      <c r="Z6519">
        <v>8.4667309999999999E-3</v>
      </c>
      <c r="AA6519">
        <v>0.98883220000000005</v>
      </c>
      <c r="AB6519">
        <v>31</v>
      </c>
      <c r="AC6519">
        <v>15.752599999999999</v>
      </c>
      <c r="AD6519">
        <v>-1.127325859495</v>
      </c>
      <c r="AE6519">
        <v>1.93379999999999</v>
      </c>
      <c r="AF6519">
        <v>-2.3923699300136301</v>
      </c>
      <c r="AG6519">
        <v>-1.127325859495</v>
      </c>
      <c r="AH6519">
        <v>15.6089056536385</v>
      </c>
      <c r="AI6519">
        <v>94.083394586124697</v>
      </c>
      <c r="AJ6519">
        <v>98.713886307065096</v>
      </c>
      <c r="AK6519">
        <v>15.8313686451837</v>
      </c>
      <c r="AL6519">
        <v>79.671808552120595</v>
      </c>
      <c r="AM6519">
        <v>89.586230138618006</v>
      </c>
      <c r="AN6519">
        <v>1.00000001150734</v>
      </c>
    </row>
    <row r="6520" spans="1:40" x14ac:dyDescent="0.25">
      <c r="A6520" t="str">
        <f>"20190303171141950"</f>
        <v>20190303171141950</v>
      </c>
      <c r="B6520" t="str">
        <f>"1551604301937069"</f>
        <v>1551604301937069</v>
      </c>
      <c r="C6520" t="s">
        <v>40</v>
      </c>
      <c r="D6520">
        <v>6.0622109999999996</v>
      </c>
      <c r="E6520">
        <v>0.44113340000000001</v>
      </c>
      <c r="F6520" t="s">
        <v>42</v>
      </c>
      <c r="G6520">
        <v>-117.1752</v>
      </c>
      <c r="H6520" s="1">
        <v>-1.9423570000000001E-6</v>
      </c>
      <c r="I6520">
        <v>135.8768</v>
      </c>
      <c r="J6520">
        <v>-132.8938</v>
      </c>
      <c r="K6520">
        <v>1.1272530000000001</v>
      </c>
      <c r="L6520">
        <v>133.9204</v>
      </c>
      <c r="M6520">
        <v>0.99933959999999999</v>
      </c>
      <c r="N6520">
        <v>-2.6400719999999999E-2</v>
      </c>
      <c r="O6520">
        <v>-2.4965879999999999E-2</v>
      </c>
      <c r="P6520">
        <v>0.98761639999999995</v>
      </c>
      <c r="Q6520">
        <v>0.15255579999999999</v>
      </c>
      <c r="R6520">
        <v>-3.6615790000000002E-2</v>
      </c>
      <c r="S6520">
        <v>3.0870669999999998</v>
      </c>
      <c r="T6520">
        <v>-0.2173506</v>
      </c>
      <c r="U6520">
        <v>0.37666319999999998</v>
      </c>
      <c r="V6520">
        <v>1.00135E-2</v>
      </c>
      <c r="W6520">
        <v>0.1787107</v>
      </c>
      <c r="X6520">
        <v>0.98385069999999997</v>
      </c>
      <c r="Y6520">
        <v>-0.1453545</v>
      </c>
      <c r="Z6520">
        <v>8.1147879999999995E-3</v>
      </c>
      <c r="AA6520">
        <v>0.98934639999999996</v>
      </c>
      <c r="AB6520">
        <v>31</v>
      </c>
      <c r="AC6520">
        <v>15.718599999999901</v>
      </c>
      <c r="AD6520">
        <v>-1.127254942357</v>
      </c>
      <c r="AE6520">
        <v>1.9563999999999999</v>
      </c>
      <c r="AF6520">
        <v>-2.3365218815631099</v>
      </c>
      <c r="AG6520">
        <v>-1.127254942357</v>
      </c>
      <c r="AH6520">
        <v>15.585901387483499</v>
      </c>
      <c r="AI6520">
        <v>94.091172515955705</v>
      </c>
      <c r="AJ6520">
        <v>98.525864066474497</v>
      </c>
      <c r="AK6520">
        <v>15.8003278531951</v>
      </c>
      <c r="AL6520">
        <v>79.705329185204505</v>
      </c>
      <c r="AM6520">
        <v>89.416871402697495</v>
      </c>
      <c r="AN6520">
        <v>0.99999999218361402</v>
      </c>
    </row>
    <row r="6521" spans="1:40" x14ac:dyDescent="0.25">
      <c r="A6521" t="str">
        <f>"20190303171141973"</f>
        <v>20190303171141973</v>
      </c>
      <c r="B6521" t="str">
        <f>"1551604301967326"</f>
        <v>1551604301967326</v>
      </c>
      <c r="C6521" t="s">
        <v>40</v>
      </c>
      <c r="D6521">
        <v>5.9687570000000001</v>
      </c>
      <c r="E6521">
        <v>0.4412703</v>
      </c>
      <c r="F6521" t="s">
        <v>42</v>
      </c>
      <c r="G6521">
        <v>-117.22790000000001</v>
      </c>
      <c r="H6521" s="1">
        <v>-1.9254799999999999E-6</v>
      </c>
      <c r="I6521">
        <v>135.87270000000001</v>
      </c>
      <c r="J6521">
        <v>-132.59350000000001</v>
      </c>
      <c r="K6521">
        <v>1.127178</v>
      </c>
      <c r="L6521">
        <v>133.91909999999999</v>
      </c>
      <c r="M6521">
        <v>0.99943570000000004</v>
      </c>
      <c r="N6521">
        <v>-2.706745E-2</v>
      </c>
      <c r="O6521">
        <v>-1.9899690000000001E-2</v>
      </c>
      <c r="P6521">
        <v>0.98676319999999995</v>
      </c>
      <c r="Q6521">
        <v>0.1581497</v>
      </c>
      <c r="R6521">
        <v>-3.5880009999999997E-2</v>
      </c>
      <c r="S6521">
        <v>3.086182</v>
      </c>
      <c r="T6521">
        <v>-0.22206909999999999</v>
      </c>
      <c r="U6521">
        <v>0.38459779999999999</v>
      </c>
      <c r="V6521">
        <v>1.4300480000000001E-2</v>
      </c>
      <c r="W6521">
        <v>0.18497459999999999</v>
      </c>
      <c r="X6521">
        <v>0.98263929999999999</v>
      </c>
      <c r="Y6521">
        <v>-0.14286969999999999</v>
      </c>
      <c r="Z6521">
        <v>7.9474339999999997E-3</v>
      </c>
      <c r="AA6521">
        <v>0.98970959999999997</v>
      </c>
      <c r="AB6521">
        <v>30</v>
      </c>
      <c r="AC6521">
        <v>15.365600000000001</v>
      </c>
      <c r="AD6521">
        <v>-1.1271799254799999</v>
      </c>
      <c r="AE6521">
        <v>1.95360000000002</v>
      </c>
      <c r="AF6521">
        <v>-2.2471950932082398</v>
      </c>
      <c r="AG6521">
        <v>-1.1271799254799999</v>
      </c>
      <c r="AH6521">
        <v>15.2429427894066</v>
      </c>
      <c r="AI6521">
        <v>94.184129419397294</v>
      </c>
      <c r="AJ6521">
        <v>98.386436928537705</v>
      </c>
      <c r="AK6521">
        <v>15.448874562649101</v>
      </c>
      <c r="AL6521">
        <v>79.340349014303996</v>
      </c>
      <c r="AM6521">
        <v>89.166225784501293</v>
      </c>
      <c r="AN6521">
        <v>1.0000000501389299</v>
      </c>
    </row>
    <row r="6522" spans="1:40" x14ac:dyDescent="0.25">
      <c r="A6522" t="str">
        <f>"20190303171141994"</f>
        <v>20190303171141994</v>
      </c>
      <c r="B6522" t="str">
        <f>"1551604301986845"</f>
        <v>1551604301986845</v>
      </c>
      <c r="C6522" t="s">
        <v>40</v>
      </c>
      <c r="D6522">
        <v>5.9754740000000002</v>
      </c>
      <c r="E6522">
        <v>0.44639659999999898</v>
      </c>
      <c r="F6522" t="s">
        <v>42</v>
      </c>
      <c r="G6522">
        <v>-115.68300000000001</v>
      </c>
      <c r="H6522" s="1">
        <v>-2.4698259999999999E-6</v>
      </c>
      <c r="I6522">
        <v>136.0334</v>
      </c>
      <c r="J6522">
        <v>-132.31739999999999</v>
      </c>
      <c r="K6522">
        <v>1.127183</v>
      </c>
      <c r="L6522">
        <v>133.91919999999999</v>
      </c>
      <c r="M6522">
        <v>0.99950079999999997</v>
      </c>
      <c r="N6522">
        <v>-2.7660879999999999E-2</v>
      </c>
      <c r="O6522">
        <v>-1.5268E-2</v>
      </c>
      <c r="P6522">
        <v>0.98546080000000003</v>
      </c>
      <c r="Q6522">
        <v>0.16616719999999999</v>
      </c>
      <c r="R6522">
        <v>-3.5435330000000001E-2</v>
      </c>
      <c r="S6522">
        <v>3.08725</v>
      </c>
      <c r="T6522">
        <v>-0.2057822</v>
      </c>
      <c r="U6522">
        <v>0.3859863</v>
      </c>
      <c r="V6522">
        <v>1.842104E-2</v>
      </c>
      <c r="W6522">
        <v>0.19357050000000001</v>
      </c>
      <c r="X6522">
        <v>0.98091340000000005</v>
      </c>
      <c r="Y6522">
        <v>-0.13875889999999999</v>
      </c>
      <c r="Z6522">
        <v>7.12387E-3</v>
      </c>
      <c r="AA6522">
        <v>0.99030059999999998</v>
      </c>
      <c r="AB6522">
        <v>30</v>
      </c>
      <c r="AC6522">
        <v>16.634399999999999</v>
      </c>
      <c r="AD6522">
        <v>-1.127185469826</v>
      </c>
      <c r="AE6522">
        <v>2.1142000000000101</v>
      </c>
      <c r="AF6522">
        <v>-2.3573722561172801</v>
      </c>
      <c r="AG6522">
        <v>-1.127185469826</v>
      </c>
      <c r="AH6522">
        <v>16.5254932601256</v>
      </c>
      <c r="AI6522">
        <v>93.863050527550399</v>
      </c>
      <c r="AJ6522">
        <v>98.118507136854404</v>
      </c>
      <c r="AK6522">
        <v>16.730800295495602</v>
      </c>
      <c r="AL6522">
        <v>78.838771568394904</v>
      </c>
      <c r="AM6522">
        <v>88.924141725452202</v>
      </c>
      <c r="AN6522">
        <v>0.99999998574224502</v>
      </c>
    </row>
    <row r="6523" spans="1:40" x14ac:dyDescent="0.25">
      <c r="A6523" t="str">
        <f>"20190303171142021"</f>
        <v>20190303171142021</v>
      </c>
      <c r="B6523" t="str">
        <f>"1551604302007341"</f>
        <v>1551604302007341</v>
      </c>
      <c r="C6523" t="s">
        <v>40</v>
      </c>
      <c r="D6523">
        <v>5.9760390000000001</v>
      </c>
      <c r="E6523">
        <v>0.44672630000000002</v>
      </c>
      <c r="F6523" t="s">
        <v>42</v>
      </c>
      <c r="G6523">
        <v>-115.8052</v>
      </c>
      <c r="H6523" s="1">
        <v>-2.4692719999999999E-6</v>
      </c>
      <c r="I6523">
        <v>135.74109999999999</v>
      </c>
      <c r="J6523">
        <v>-131.97479999999999</v>
      </c>
      <c r="K6523">
        <v>1.127081</v>
      </c>
      <c r="L6523">
        <v>133.9212</v>
      </c>
      <c r="M6523">
        <v>0.99955210000000005</v>
      </c>
      <c r="N6523">
        <v>-2.8363090000000001E-2</v>
      </c>
      <c r="O6523">
        <v>-9.5616580000000007E-3</v>
      </c>
      <c r="P6523">
        <v>0.98448990000000003</v>
      </c>
      <c r="Q6523">
        <v>0.1723132</v>
      </c>
      <c r="R6523">
        <v>-3.299142E-2</v>
      </c>
      <c r="S6523">
        <v>3.092117</v>
      </c>
      <c r="T6523">
        <v>-0.21107919999999999</v>
      </c>
      <c r="U6523">
        <v>0.34117130000000001</v>
      </c>
      <c r="V6523">
        <v>2.1623380000000001E-2</v>
      </c>
      <c r="W6523">
        <v>0.2003945</v>
      </c>
      <c r="X6523">
        <v>0.97947660000000003</v>
      </c>
      <c r="Y6523">
        <v>-0.11877740000000001</v>
      </c>
      <c r="Z6523">
        <v>6.1096550000000003E-3</v>
      </c>
      <c r="AA6523">
        <v>0.99290210000000001</v>
      </c>
      <c r="AB6523">
        <v>30</v>
      </c>
      <c r="AC6523">
        <v>16.1695999999999</v>
      </c>
      <c r="AD6523">
        <v>-1.127083469272</v>
      </c>
      <c r="AE6523">
        <v>1.8198999999999801</v>
      </c>
      <c r="AF6523">
        <v>-1.96505906871776</v>
      </c>
      <c r="AG6523">
        <v>-1.127083469272</v>
      </c>
      <c r="AH6523">
        <v>16.074329747652399</v>
      </c>
      <c r="AI6523">
        <v>93.981299863010705</v>
      </c>
      <c r="AJ6523">
        <v>96.969727428929801</v>
      </c>
      <c r="AK6523">
        <v>16.233171320679102</v>
      </c>
      <c r="AL6523">
        <v>78.439970365172798</v>
      </c>
      <c r="AM6523">
        <v>88.735317209871994</v>
      </c>
      <c r="AN6523">
        <v>0.99999996807021596</v>
      </c>
    </row>
    <row r="6524" spans="1:40" x14ac:dyDescent="0.25">
      <c r="A6524" t="str">
        <f>"20190303171142048"</f>
        <v>20190303171142048</v>
      </c>
      <c r="B6524" t="str">
        <f>"1551604302037597"</f>
        <v>1551604302037597</v>
      </c>
      <c r="C6524" t="s">
        <v>40</v>
      </c>
      <c r="D6524">
        <v>5.9803639999999998</v>
      </c>
      <c r="E6524">
        <v>0.44660919999999998</v>
      </c>
      <c r="F6524" t="s">
        <v>42</v>
      </c>
      <c r="G6524">
        <v>-114.4922</v>
      </c>
      <c r="H6524" s="1">
        <v>-3.0064009999999999E-6</v>
      </c>
      <c r="I6524">
        <v>135.88839999999999</v>
      </c>
      <c r="J6524">
        <v>-131.64410000000001</v>
      </c>
      <c r="K6524">
        <v>1.1269940000000001</v>
      </c>
      <c r="L6524">
        <v>133.92500000000001</v>
      </c>
      <c r="M6524">
        <v>0.9995714</v>
      </c>
      <c r="N6524">
        <v>-2.8983760000000001E-2</v>
      </c>
      <c r="O6524">
        <v>-4.0844189999999997E-3</v>
      </c>
      <c r="P6524">
        <v>0.98533870000000001</v>
      </c>
      <c r="Q6524">
        <v>0.16822699999999999</v>
      </c>
      <c r="R6524">
        <v>-2.8414680000000001E-2</v>
      </c>
      <c r="S6524">
        <v>3.093842</v>
      </c>
      <c r="T6524">
        <v>-0.1994561</v>
      </c>
      <c r="U6524">
        <v>0.34812929999999997</v>
      </c>
      <c r="V6524">
        <v>2.254608E-2</v>
      </c>
      <c r="W6524">
        <v>0.19693769999999999</v>
      </c>
      <c r="X6524">
        <v>0.98015669999999999</v>
      </c>
      <c r="Y6524">
        <v>-0.1155299</v>
      </c>
      <c r="Z6524">
        <v>5.5351430000000002E-3</v>
      </c>
      <c r="AA6524">
        <v>0.99328859999999997</v>
      </c>
      <c r="AB6524">
        <v>29</v>
      </c>
      <c r="AC6524">
        <v>17.151900000000001</v>
      </c>
      <c r="AD6524">
        <v>-1.126997006401</v>
      </c>
      <c r="AE6524">
        <v>1.9633999999999701</v>
      </c>
      <c r="AF6524">
        <v>-2.0248396618039002</v>
      </c>
      <c r="AG6524">
        <v>-1.126997006401</v>
      </c>
      <c r="AH6524">
        <v>17.070985305043902</v>
      </c>
      <c r="AI6524">
        <v>93.750869992990403</v>
      </c>
      <c r="AJ6524">
        <v>96.764415770589807</v>
      </c>
      <c r="AK6524">
        <v>17.227554591220301</v>
      </c>
      <c r="AL6524">
        <v>78.642058739772196</v>
      </c>
      <c r="AM6524">
        <v>88.682284716033095</v>
      </c>
      <c r="AN6524">
        <v>0.99999996997977203</v>
      </c>
    </row>
    <row r="6525" spans="1:40" x14ac:dyDescent="0.25">
      <c r="A6525" t="str">
        <f>"20190303171142069"</f>
        <v>20190303171142069</v>
      </c>
      <c r="B6525" t="str">
        <f>"1551604302057117"</f>
        <v>1551604302057117</v>
      </c>
      <c r="C6525" t="s">
        <v>40</v>
      </c>
      <c r="D6525">
        <v>6.0254159999999999</v>
      </c>
      <c r="E6525">
        <v>0.44711820000000002</v>
      </c>
      <c r="F6525" t="s">
        <v>42</v>
      </c>
      <c r="G6525">
        <v>-115.8947</v>
      </c>
      <c r="H6525" s="1">
        <v>-2.4252909999999998E-6</v>
      </c>
      <c r="I6525">
        <v>135.77260000000001</v>
      </c>
      <c r="J6525">
        <v>-131.3656</v>
      </c>
      <c r="K6525">
        <v>1.126903</v>
      </c>
      <c r="L6525">
        <v>133.92949999999999</v>
      </c>
      <c r="M6525">
        <v>0.99956599999999995</v>
      </c>
      <c r="N6525">
        <v>-2.9455209999999999E-2</v>
      </c>
      <c r="O6525">
        <v>5.0384170000000001E-4</v>
      </c>
      <c r="P6525">
        <v>0.98599170000000003</v>
      </c>
      <c r="Q6525">
        <v>0.16532439999999901</v>
      </c>
      <c r="R6525">
        <v>-2.2103520000000001E-2</v>
      </c>
      <c r="S6525">
        <v>3.0928800000000001</v>
      </c>
      <c r="T6525">
        <v>-0.22131999999999999</v>
      </c>
      <c r="U6525">
        <v>0.36282350000000002</v>
      </c>
      <c r="V6525">
        <v>2.0840290000000001E-2</v>
      </c>
      <c r="W6525">
        <v>0.19449159999999999</v>
      </c>
      <c r="X6525">
        <v>0.98068279999999997</v>
      </c>
      <c r="Y6525">
        <v>-0.115596699999999</v>
      </c>
      <c r="Z6525">
        <v>5.8071809999999998E-3</v>
      </c>
      <c r="AA6525">
        <v>0.99327929999999998</v>
      </c>
      <c r="AB6525">
        <v>29</v>
      </c>
      <c r="AC6525">
        <v>15.4709</v>
      </c>
      <c r="AD6525">
        <v>-1.126905425291</v>
      </c>
      <c r="AE6525">
        <v>1.8431000000000199</v>
      </c>
      <c r="AF6525">
        <v>-1.8257501508277101</v>
      </c>
      <c r="AG6525">
        <v>-1.126905425291</v>
      </c>
      <c r="AH6525">
        <v>15.391307987706099</v>
      </c>
      <c r="AI6525">
        <v>94.158501057935993</v>
      </c>
      <c r="AJ6525">
        <v>96.764936843053704</v>
      </c>
      <c r="AK6525">
        <v>15.5401300195083</v>
      </c>
      <c r="AL6525">
        <v>78.784974492271502</v>
      </c>
      <c r="AM6525">
        <v>88.782602320498199</v>
      </c>
      <c r="AN6525">
        <v>1.0000000271868399</v>
      </c>
    </row>
    <row r="6526" spans="1:40" x14ac:dyDescent="0.25">
      <c r="A6526" t="str">
        <f>"20190303171142090"</f>
        <v>20190303171142090</v>
      </c>
      <c r="B6526" t="str">
        <f>"1551604302087374"</f>
        <v>1551604302087374</v>
      </c>
      <c r="C6526" t="s">
        <v>40</v>
      </c>
      <c r="D6526">
        <v>6.0115759999999998</v>
      </c>
      <c r="E6526">
        <v>0.4478781</v>
      </c>
      <c r="F6526" t="s">
        <v>42</v>
      </c>
      <c r="G6526">
        <v>-116.589</v>
      </c>
      <c r="H6526" s="1">
        <v>-2.177573E-6</v>
      </c>
      <c r="I6526">
        <v>135.7424</v>
      </c>
      <c r="J6526">
        <v>-131.11170000000001</v>
      </c>
      <c r="K6526">
        <v>1.126817</v>
      </c>
      <c r="L6526">
        <v>133.9348</v>
      </c>
      <c r="M6526">
        <v>0.99954379999999998</v>
      </c>
      <c r="N6526">
        <v>-2.9843390000000001E-2</v>
      </c>
      <c r="O6526">
        <v>4.657011E-3</v>
      </c>
      <c r="P6526">
        <v>0.98684899999999998</v>
      </c>
      <c r="Q6526">
        <v>0.16084409999999999</v>
      </c>
      <c r="R6526">
        <v>-1.6062469999999999E-2</v>
      </c>
      <c r="S6526">
        <v>3.0906220000000002</v>
      </c>
      <c r="T6526">
        <v>-0.2356994</v>
      </c>
      <c r="U6526">
        <v>0.37918089999999999</v>
      </c>
      <c r="V6526">
        <v>1.8989019999999999E-2</v>
      </c>
      <c r="W6526">
        <v>0.19039490000000001</v>
      </c>
      <c r="X6526">
        <v>0.9815239</v>
      </c>
      <c r="Y6526">
        <v>-0.1166872</v>
      </c>
      <c r="Z6526">
        <v>5.9630990000000004E-3</v>
      </c>
      <c r="AA6526">
        <v>0.9931508</v>
      </c>
      <c r="AB6526">
        <v>28</v>
      </c>
      <c r="AC6526">
        <v>14.5227</v>
      </c>
      <c r="AD6526">
        <v>-1.1268191775730001</v>
      </c>
      <c r="AE6526">
        <v>1.8076000000000001</v>
      </c>
      <c r="AF6526">
        <v>-1.72966374270848</v>
      </c>
      <c r="AG6526">
        <v>-1.1268191775730001</v>
      </c>
      <c r="AH6526">
        <v>14.4453265284842</v>
      </c>
      <c r="AI6526">
        <v>94.428861631251195</v>
      </c>
      <c r="AJ6526">
        <v>96.828010668209501</v>
      </c>
      <c r="AK6526">
        <v>14.5920840402019</v>
      </c>
      <c r="AL6526">
        <v>79.024168815190194</v>
      </c>
      <c r="AM6526">
        <v>88.891667341220398</v>
      </c>
      <c r="AN6526">
        <v>0.99999998354888997</v>
      </c>
    </row>
    <row r="6527" spans="1:40" x14ac:dyDescent="0.25">
      <c r="A6527" t="str">
        <f>"20190303171142110"</f>
        <v>20190303171142110</v>
      </c>
      <c r="B6527" t="str">
        <f>"1551604302106895"</f>
        <v>1551604302106895</v>
      </c>
      <c r="C6527" t="s">
        <v>40</v>
      </c>
      <c r="D6527">
        <v>6.0220979999999997</v>
      </c>
      <c r="E6527">
        <v>0.44825209999999999</v>
      </c>
      <c r="F6527" t="s">
        <v>42</v>
      </c>
      <c r="G6527">
        <v>-117.46250000000001</v>
      </c>
      <c r="H6527" s="1">
        <v>-1.900482E-6</v>
      </c>
      <c r="I6527">
        <v>135.66669999999999</v>
      </c>
      <c r="J6527">
        <v>-130.8655</v>
      </c>
      <c r="K6527">
        <v>1.126728</v>
      </c>
      <c r="L6527">
        <v>133.9408</v>
      </c>
      <c r="M6527">
        <v>0.99950700000000003</v>
      </c>
      <c r="N6527">
        <v>-3.0182540000000001E-2</v>
      </c>
      <c r="O6527">
        <v>8.6510579999999997E-3</v>
      </c>
      <c r="P6527">
        <v>0.98752280000000003</v>
      </c>
      <c r="Q6527">
        <v>0.1569527</v>
      </c>
      <c r="R6527">
        <v>-1.283629E-2</v>
      </c>
      <c r="S6527">
        <v>3.0878909999999999</v>
      </c>
      <c r="T6527">
        <v>-0.2549225</v>
      </c>
      <c r="U6527">
        <v>0.39181519999999997</v>
      </c>
      <c r="V6527">
        <v>1.9793270000000002E-2</v>
      </c>
      <c r="W6527">
        <v>0.186858</v>
      </c>
      <c r="X6527">
        <v>0.98218749999999999</v>
      </c>
      <c r="Y6527">
        <v>-0.1167628</v>
      </c>
      <c r="Z6527">
        <v>6.11584E-3</v>
      </c>
      <c r="AA6527">
        <v>0.99314100000000005</v>
      </c>
      <c r="AB6527">
        <v>28</v>
      </c>
      <c r="AC6527">
        <v>13.402999999999899</v>
      </c>
      <c r="AD6527">
        <v>-1.1267299004819999</v>
      </c>
      <c r="AE6527">
        <v>1.72589999999999</v>
      </c>
      <c r="AF6527">
        <v>-1.5987185081947699</v>
      </c>
      <c r="AG6527">
        <v>-1.1267299004819999</v>
      </c>
      <c r="AH6527">
        <v>13.3248051102572</v>
      </c>
      <c r="AI6527">
        <v>94.799109472456806</v>
      </c>
      <c r="AJ6527">
        <v>96.841679330311607</v>
      </c>
      <c r="AK6527">
        <v>13.467585246191</v>
      </c>
      <c r="AL6527">
        <v>79.230522679690495</v>
      </c>
      <c r="AM6527">
        <v>88.8455184462549</v>
      </c>
      <c r="AN6527">
        <v>0.999999985428771</v>
      </c>
    </row>
    <row r="6528" spans="1:40" x14ac:dyDescent="0.25">
      <c r="A6528" t="str">
        <f>"20190303171142131"</f>
        <v>20190303171142131</v>
      </c>
      <c r="B6528" t="str">
        <f>"1551604302127391"</f>
        <v>1551604302127391</v>
      </c>
      <c r="C6528" t="s">
        <v>40</v>
      </c>
      <c r="D6528">
        <v>6.0027660000000003</v>
      </c>
      <c r="E6528">
        <v>0.44833299999999998</v>
      </c>
      <c r="F6528" t="s">
        <v>42</v>
      </c>
      <c r="G6528">
        <v>-118.0204</v>
      </c>
      <c r="H6528" s="1">
        <v>-1.727247E-6</v>
      </c>
      <c r="I6528">
        <v>135.60409999999999</v>
      </c>
      <c r="J6528">
        <v>-130.6215</v>
      </c>
      <c r="K6528">
        <v>1.126633</v>
      </c>
      <c r="L6528">
        <v>133.9478</v>
      </c>
      <c r="M6528">
        <v>0.99945620000000002</v>
      </c>
      <c r="N6528">
        <v>-3.0482990000000001E-2</v>
      </c>
      <c r="O6528">
        <v>1.2573040000000001E-2</v>
      </c>
      <c r="P6528">
        <v>0.98782060000000005</v>
      </c>
      <c r="Q6528">
        <v>0.15520809999999999</v>
      </c>
      <c r="R6528">
        <v>-1.0997069999999999E-2</v>
      </c>
      <c r="S6528">
        <v>3.0861360000000002</v>
      </c>
      <c r="T6528">
        <v>-0.27070630000000001</v>
      </c>
      <c r="U6528">
        <v>0.39962769999999997</v>
      </c>
      <c r="V6528">
        <v>2.1896479999999999E-2</v>
      </c>
      <c r="W6528">
        <v>0.1854277</v>
      </c>
      <c r="X6528">
        <v>0.98241389999999995</v>
      </c>
      <c r="Y6528">
        <v>-0.1153646</v>
      </c>
      <c r="Z6528">
        <v>6.0851000000000004E-3</v>
      </c>
      <c r="AA6528">
        <v>0.99330459999999998</v>
      </c>
      <c r="AB6528">
        <v>28</v>
      </c>
      <c r="AC6528">
        <v>12.601100000000001</v>
      </c>
      <c r="AD6528">
        <v>-1.1266347272470001</v>
      </c>
      <c r="AE6528">
        <v>1.6562999999999799</v>
      </c>
      <c r="AF6528">
        <v>-1.48598434475317</v>
      </c>
      <c r="AG6528">
        <v>-1.1266347272470001</v>
      </c>
      <c r="AH6528">
        <v>12.522535759447999</v>
      </c>
      <c r="AI6528">
        <v>95.105350489223596</v>
      </c>
      <c r="AJ6528">
        <v>96.767346845497599</v>
      </c>
      <c r="AK6528">
        <v>12.660622304142199</v>
      </c>
      <c r="AL6528">
        <v>79.313930522277005</v>
      </c>
      <c r="AM6528">
        <v>88.723177466404493</v>
      </c>
      <c r="AN6528">
        <v>0.99999997933844398</v>
      </c>
    </row>
    <row r="6529" spans="1:40" x14ac:dyDescent="0.25">
      <c r="A6529" t="str">
        <f>"20190303171142150"</f>
        <v>20190303171142150</v>
      </c>
      <c r="B6529" t="str">
        <f>"1551604302137150"</f>
        <v>1551604302137150</v>
      </c>
      <c r="C6529" t="s">
        <v>40</v>
      </c>
      <c r="D6529">
        <v>5.9885710000000003</v>
      </c>
      <c r="E6529">
        <v>0.4485345</v>
      </c>
      <c r="F6529" t="s">
        <v>42</v>
      </c>
      <c r="G6529">
        <v>-118.10850000000001</v>
      </c>
      <c r="H6529" s="1">
        <v>-1.6982910000000001E-6</v>
      </c>
      <c r="I6529">
        <v>135.60040000000001</v>
      </c>
      <c r="J6529">
        <v>-130.3828</v>
      </c>
      <c r="K6529">
        <v>1.126536</v>
      </c>
      <c r="L6529">
        <v>133.9555</v>
      </c>
      <c r="M6529">
        <v>0.99939330000000004</v>
      </c>
      <c r="N6529">
        <v>-3.074414E-2</v>
      </c>
      <c r="O6529">
        <v>1.637154E-2</v>
      </c>
      <c r="P6529">
        <v>0.98796870000000003</v>
      </c>
      <c r="Q6529">
        <v>0.15440609999999999</v>
      </c>
      <c r="R6529">
        <v>-8.7537610000000005E-3</v>
      </c>
      <c r="S6529">
        <v>3.0851440000000001</v>
      </c>
      <c r="T6529">
        <v>-0.27777550000000001</v>
      </c>
      <c r="U6529">
        <v>0.40745540000000002</v>
      </c>
      <c r="V6529">
        <v>2.346693E-2</v>
      </c>
      <c r="W6529">
        <v>0.1848911</v>
      </c>
      <c r="X6529">
        <v>0.98247879999999999</v>
      </c>
      <c r="Y6529">
        <v>-0.11409420000000001</v>
      </c>
      <c r="Z6529">
        <v>5.9069600000000002E-3</v>
      </c>
      <c r="AA6529">
        <v>0.99345240000000001</v>
      </c>
      <c r="AB6529">
        <v>27</v>
      </c>
      <c r="AC6529">
        <v>12.274299999999901</v>
      </c>
      <c r="AD6529">
        <v>-1.126537698291</v>
      </c>
      <c r="AE6529">
        <v>1.6449</v>
      </c>
      <c r="AF6529">
        <v>-1.43178709938735</v>
      </c>
      <c r="AG6529">
        <v>-1.126537698291</v>
      </c>
      <c r="AH6529">
        <v>12.198651927518601</v>
      </c>
      <c r="AI6529">
        <v>95.240491636885494</v>
      </c>
      <c r="AJ6529">
        <v>96.694323837504996</v>
      </c>
      <c r="AK6529">
        <v>12.333945448736101</v>
      </c>
      <c r="AL6529">
        <v>79.345216685152593</v>
      </c>
      <c r="AM6529">
        <v>88.631725754613498</v>
      </c>
      <c r="AN6529">
        <v>1.0000000040561301</v>
      </c>
    </row>
    <row r="6530" spans="1:40" x14ac:dyDescent="0.25">
      <c r="A6530" t="str">
        <f>"20190303171142176"</f>
        <v>20190303171142176</v>
      </c>
      <c r="B6530" t="str">
        <f>"1551604302167406"</f>
        <v>1551604302167406</v>
      </c>
      <c r="C6530" t="s">
        <v>40</v>
      </c>
      <c r="D6530">
        <v>5.995355</v>
      </c>
      <c r="E6530">
        <v>0.44901550000000001</v>
      </c>
      <c r="F6530" t="s">
        <v>42</v>
      </c>
      <c r="G6530">
        <v>-118.0117</v>
      </c>
      <c r="H6530" s="1">
        <v>-1.726151E-6</v>
      </c>
      <c r="I6530">
        <v>135.61940000000001</v>
      </c>
      <c r="J6530">
        <v>-130.09559999999999</v>
      </c>
      <c r="K6530">
        <v>1.1264179999999999</v>
      </c>
      <c r="L6530">
        <v>133.9659</v>
      </c>
      <c r="M6530">
        <v>0.99930059999999998</v>
      </c>
      <c r="N6530">
        <v>-3.102042E-2</v>
      </c>
      <c r="O6530">
        <v>2.0888380000000002E-2</v>
      </c>
      <c r="P6530">
        <v>0.98800670000000002</v>
      </c>
      <c r="Q6530">
        <v>0.154276</v>
      </c>
      <c r="R6530">
        <v>-6.4902989999999997E-3</v>
      </c>
      <c r="S6530">
        <v>3.084076</v>
      </c>
      <c r="T6530">
        <v>-0.2808406</v>
      </c>
      <c r="U6530">
        <v>0.41481020000000002</v>
      </c>
      <c r="V6530">
        <v>2.573375E-2</v>
      </c>
      <c r="W6530">
        <v>0.1850397</v>
      </c>
      <c r="X6530">
        <v>0.98239399999999999</v>
      </c>
      <c r="Y6530">
        <v>-0.1119831</v>
      </c>
      <c r="Z6530">
        <v>5.5709599999999998E-3</v>
      </c>
      <c r="AA6530">
        <v>0.99369450000000004</v>
      </c>
      <c r="AB6530">
        <v>27</v>
      </c>
      <c r="AC6530">
        <v>12.0838999999999</v>
      </c>
      <c r="AD6530">
        <v>-1.1264197261509901</v>
      </c>
      <c r="AE6530">
        <v>1.6535</v>
      </c>
      <c r="AF6530">
        <v>-1.3887587032440101</v>
      </c>
      <c r="AG6530">
        <v>-1.1264197261509901</v>
      </c>
      <c r="AH6530">
        <v>12.0133471719613</v>
      </c>
      <c r="AI6530">
        <v>95.321388186508798</v>
      </c>
      <c r="AJ6530">
        <v>96.594197067570704</v>
      </c>
      <c r="AK6530">
        <v>12.1456981030062</v>
      </c>
      <c r="AL6530">
        <v>79.336552391946299</v>
      </c>
      <c r="AM6530">
        <v>88.499483746112503</v>
      </c>
      <c r="AN6530">
        <v>0.999999943850574</v>
      </c>
    </row>
    <row r="6531" spans="1:40" x14ac:dyDescent="0.25">
      <c r="A6531" t="str">
        <f>"20190303171142197"</f>
        <v>20190303171142197</v>
      </c>
      <c r="B6531" t="str">
        <f>"1551604302186926"</f>
        <v>1551604302186926</v>
      </c>
      <c r="C6531" t="s">
        <v>40</v>
      </c>
      <c r="D6531">
        <v>5.9764920000000004</v>
      </c>
      <c r="E6531">
        <v>0.44958740000000003</v>
      </c>
      <c r="F6531" t="s">
        <v>42</v>
      </c>
      <c r="G6531">
        <v>-117.79089999999999</v>
      </c>
      <c r="H6531" s="1">
        <v>-1.7966559999999999E-6</v>
      </c>
      <c r="I6531">
        <v>135.63679999999999</v>
      </c>
      <c r="J6531">
        <v>-129.84559999999999</v>
      </c>
      <c r="K6531">
        <v>1.1263000000000001</v>
      </c>
      <c r="L6531">
        <v>133.976</v>
      </c>
      <c r="M6531">
        <v>0.99920560000000003</v>
      </c>
      <c r="N6531">
        <v>-3.122573E-2</v>
      </c>
      <c r="O6531">
        <v>2.476072E-2</v>
      </c>
      <c r="P6531">
        <v>0.988093</v>
      </c>
      <c r="Q6531">
        <v>0.15376329999999999</v>
      </c>
      <c r="R6531">
        <v>-5.3781150000000002E-3</v>
      </c>
      <c r="S6531">
        <v>3.0832519999999999</v>
      </c>
      <c r="T6531">
        <v>-0.282252</v>
      </c>
      <c r="U6531">
        <v>0.4186859</v>
      </c>
      <c r="V6531">
        <v>2.851275E-2</v>
      </c>
      <c r="W6531">
        <v>0.18474119999999999</v>
      </c>
      <c r="X6531">
        <v>0.98237350000000001</v>
      </c>
      <c r="Y6531">
        <v>-0.1094087</v>
      </c>
      <c r="Z6531">
        <v>5.2144219999999998E-3</v>
      </c>
      <c r="AA6531">
        <v>0.99398310000000001</v>
      </c>
      <c r="AB6531">
        <v>26</v>
      </c>
      <c r="AC6531">
        <v>12.054699999999899</v>
      </c>
      <c r="AD6531">
        <v>-1.1263017966560001</v>
      </c>
      <c r="AE6531">
        <v>1.6607999999999901</v>
      </c>
      <c r="AF6531">
        <v>-1.3500953171028001</v>
      </c>
      <c r="AG6531">
        <v>-1.1263017966560001</v>
      </c>
      <c r="AH6531">
        <v>11.989429290367299</v>
      </c>
      <c r="AI6531">
        <v>95.333175749375698</v>
      </c>
      <c r="AJ6531">
        <v>96.424848485929601</v>
      </c>
      <c r="AK6531">
        <v>12.1176618128718</v>
      </c>
      <c r="AL6531">
        <v>79.353955727562706</v>
      </c>
      <c r="AM6531">
        <v>88.337494109624302</v>
      </c>
      <c r="AN6531">
        <v>0.999999990696126</v>
      </c>
    </row>
    <row r="6532" spans="1:40" x14ac:dyDescent="0.25">
      <c r="A6532" t="str">
        <f>"20190303171142223"</f>
        <v>20190303171142223</v>
      </c>
      <c r="B6532" t="str">
        <f>"1551604302217183"</f>
        <v>1551604302217183</v>
      </c>
      <c r="C6532" t="s">
        <v>40</v>
      </c>
      <c r="D6532">
        <v>5.9856740000000004</v>
      </c>
      <c r="E6532">
        <v>0.45042729999999997</v>
      </c>
      <c r="F6532" t="s">
        <v>42</v>
      </c>
      <c r="G6532">
        <v>-117.56140000000001</v>
      </c>
      <c r="H6532" s="1">
        <v>-1.8711800000000001E-6</v>
      </c>
      <c r="I6532">
        <v>135.65020000000001</v>
      </c>
      <c r="J6532">
        <v>-129.5615</v>
      </c>
      <c r="K6532">
        <v>1.126172</v>
      </c>
      <c r="L6532">
        <v>133.98869999999999</v>
      </c>
      <c r="M6532">
        <v>0.99908269999999999</v>
      </c>
      <c r="N6532">
        <v>-3.1424019999999997E-2</v>
      </c>
      <c r="O6532">
        <v>2.9090959999999999E-2</v>
      </c>
      <c r="P6532">
        <v>0.98741710000000005</v>
      </c>
      <c r="Q6532">
        <v>0.15804079999999901</v>
      </c>
      <c r="R6532">
        <v>-5.5147059999999899E-3</v>
      </c>
      <c r="S6532">
        <v>3.082382</v>
      </c>
      <c r="T6532">
        <v>-0.28261520000000001</v>
      </c>
      <c r="U6532">
        <v>0.42010500000000001</v>
      </c>
      <c r="V6532">
        <v>3.2945549999999997E-2</v>
      </c>
      <c r="W6532">
        <v>0.18920529999999999</v>
      </c>
      <c r="X6532">
        <v>0.9813847</v>
      </c>
      <c r="Y6532">
        <v>-0.10561280000000001</v>
      </c>
      <c r="Z6532">
        <v>4.7430570000000002E-3</v>
      </c>
      <c r="AA6532">
        <v>0.99439599999999995</v>
      </c>
      <c r="AB6532">
        <v>26</v>
      </c>
      <c r="AC6532">
        <v>12.0000999999999</v>
      </c>
      <c r="AD6532">
        <v>-1.12617387117999</v>
      </c>
      <c r="AE6532">
        <v>1.66150000000001</v>
      </c>
      <c r="AF6532">
        <v>-1.3002925741474101</v>
      </c>
      <c r="AG6532">
        <v>-1.12617387117999</v>
      </c>
      <c r="AH6532">
        <v>11.9401922560505</v>
      </c>
      <c r="AI6532">
        <v>95.356594865371406</v>
      </c>
      <c r="AJ6532">
        <v>96.215045935235693</v>
      </c>
      <c r="AK6532">
        <v>12.063466312712899</v>
      </c>
      <c r="AL6532">
        <v>79.093589856304803</v>
      </c>
      <c r="AM6532">
        <v>88.077275569226998</v>
      </c>
      <c r="AN6532">
        <v>0.999999992103491</v>
      </c>
    </row>
    <row r="6533" spans="1:40" x14ac:dyDescent="0.25">
      <c r="A6533" t="str">
        <f>"20190303171142245"</f>
        <v>20190303171142245</v>
      </c>
      <c r="B6533" t="str">
        <f>"1551604302237678"</f>
        <v>1551604302237678</v>
      </c>
      <c r="C6533" t="s">
        <v>40</v>
      </c>
      <c r="D6533">
        <v>6.0226680000000004</v>
      </c>
      <c r="E6533">
        <v>0.45108029999999999</v>
      </c>
      <c r="F6533" t="s">
        <v>42</v>
      </c>
      <c r="G6533">
        <v>-116.7072</v>
      </c>
      <c r="H6533" s="1">
        <v>-2.146043E-6</v>
      </c>
      <c r="I6533">
        <v>135.7097</v>
      </c>
      <c r="J6533">
        <v>-129.31229999999999</v>
      </c>
      <c r="K6533">
        <v>1.1260749999999999</v>
      </c>
      <c r="L6533">
        <v>134.0008</v>
      </c>
      <c r="M6533">
        <v>0.99896169999999995</v>
      </c>
      <c r="N6533">
        <v>-3.1572429999999999E-2</v>
      </c>
      <c r="O6533">
        <v>3.2843499999999998E-2</v>
      </c>
      <c r="P6533">
        <v>0.9875488</v>
      </c>
      <c r="Q6533">
        <v>0.15720399999999901</v>
      </c>
      <c r="R6533">
        <v>-5.8428799999999999E-3</v>
      </c>
      <c r="S6533">
        <v>3.083771</v>
      </c>
      <c r="T6533">
        <v>-0.27017190000000002</v>
      </c>
      <c r="U6533">
        <v>0.41287230000000003</v>
      </c>
      <c r="V6533">
        <v>3.7045710000000003E-2</v>
      </c>
      <c r="W6533">
        <v>0.188531</v>
      </c>
      <c r="X6533">
        <v>0.98136820000000002</v>
      </c>
      <c r="Y6533">
        <v>-9.9598800000000001E-2</v>
      </c>
      <c r="Z6533">
        <v>4.0938609999999999E-3</v>
      </c>
      <c r="AA6533">
        <v>0.99501930000000005</v>
      </c>
      <c r="AB6533">
        <v>25</v>
      </c>
      <c r="AC6533">
        <v>12.605099999999901</v>
      </c>
      <c r="AD6533">
        <v>-1.1260771460429999</v>
      </c>
      <c r="AE6533">
        <v>1.7089000000000001</v>
      </c>
      <c r="AF6533">
        <v>-1.2837149375435</v>
      </c>
      <c r="AG6533">
        <v>-1.1260771460429999</v>
      </c>
      <c r="AH6533">
        <v>12.5560489503836</v>
      </c>
      <c r="AI6533">
        <v>95.098370501153795</v>
      </c>
      <c r="AJ6533">
        <v>95.837566550906701</v>
      </c>
      <c r="AK6533">
        <v>12.6716352150834</v>
      </c>
      <c r="AL6533">
        <v>79.132931825075204</v>
      </c>
      <c r="AM6533">
        <v>87.8381656520164</v>
      </c>
      <c r="AN6533">
        <v>0.99999993328081904</v>
      </c>
    </row>
    <row r="6534" spans="1:40" x14ac:dyDescent="0.25">
      <c r="A6534" t="str">
        <f>"20190303171142266"</f>
        <v>20190303171142266</v>
      </c>
      <c r="B6534" t="str">
        <f>"1551604302257197"</f>
        <v>1551604302257197</v>
      </c>
      <c r="C6534" t="s">
        <v>40</v>
      </c>
      <c r="D6534">
        <v>6.1381160000000001</v>
      </c>
      <c r="E6534">
        <v>0.45141100000000001</v>
      </c>
      <c r="F6534" t="s">
        <v>42</v>
      </c>
      <c r="G6534">
        <v>-116.6438</v>
      </c>
      <c r="H6534" s="1">
        <v>-2.1768320000000001E-6</v>
      </c>
      <c r="I6534">
        <v>135.67509999999999</v>
      </c>
      <c r="J6534">
        <v>-129.0796</v>
      </c>
      <c r="K6534">
        <v>1.125985</v>
      </c>
      <c r="L6534">
        <v>134.0129</v>
      </c>
      <c r="M6534">
        <v>0.99883770000000005</v>
      </c>
      <c r="N6534">
        <v>-3.1690999999999997E-2</v>
      </c>
      <c r="O6534">
        <v>3.631587E-2</v>
      </c>
      <c r="P6534">
        <v>0.98779700000000004</v>
      </c>
      <c r="Q6534">
        <v>0.15563660000000001</v>
      </c>
      <c r="R6534">
        <v>-5.8516829999999999E-3</v>
      </c>
      <c r="S6534">
        <v>3.0838930000000002</v>
      </c>
      <c r="T6534">
        <v>-0.27412199999999998</v>
      </c>
      <c r="U6534">
        <v>0.40757749999999998</v>
      </c>
      <c r="V6534">
        <v>4.0552480000000002E-2</v>
      </c>
      <c r="W6534">
        <v>0.1870964</v>
      </c>
      <c r="X6534">
        <v>0.98150409999999999</v>
      </c>
      <c r="Y6534">
        <v>-9.4475859999999995E-2</v>
      </c>
      <c r="Z6534">
        <v>3.6206789999999999E-3</v>
      </c>
      <c r="AA6534">
        <v>0.99552059999999998</v>
      </c>
      <c r="AB6534">
        <v>25</v>
      </c>
      <c r="AC6534">
        <v>12.4358</v>
      </c>
      <c r="AD6534">
        <v>-1.125987176832</v>
      </c>
      <c r="AE6534">
        <v>1.6621999999999799</v>
      </c>
      <c r="AF6534">
        <v>-1.1995966378857199</v>
      </c>
      <c r="AG6534">
        <v>-1.125987176832</v>
      </c>
      <c r="AH6534">
        <v>12.388204606642599</v>
      </c>
      <c r="AI6534">
        <v>95.169403030961703</v>
      </c>
      <c r="AJ6534">
        <v>95.530922317186807</v>
      </c>
      <c r="AK6534">
        <v>12.496979338706501</v>
      </c>
      <c r="AL6534">
        <v>79.216617570392003</v>
      </c>
      <c r="AM6534">
        <v>87.634074896069706</v>
      </c>
      <c r="AN6534">
        <v>0.99999993242195695</v>
      </c>
    </row>
    <row r="6535" spans="1:40" x14ac:dyDescent="0.25">
      <c r="A6535" t="str">
        <f>"20190303171142288"</f>
        <v>20190303171142288</v>
      </c>
      <c r="B6535" t="str">
        <f>"1551604302276717"</f>
        <v>1551604302276717</v>
      </c>
      <c r="C6535" t="s">
        <v>40</v>
      </c>
      <c r="D6535">
        <v>5.3358780000000001</v>
      </c>
      <c r="E6535">
        <v>0.45074520000000001</v>
      </c>
      <c r="F6535" t="s">
        <v>42</v>
      </c>
      <c r="G6535">
        <v>-116.6161</v>
      </c>
      <c r="H6535" s="1">
        <v>-2.192593E-6</v>
      </c>
      <c r="I6535">
        <v>135.65129999999999</v>
      </c>
      <c r="J6535">
        <v>-128.84829999999999</v>
      </c>
      <c r="K6535">
        <v>1.125896</v>
      </c>
      <c r="L6535">
        <v>134.0257</v>
      </c>
      <c r="M6535">
        <v>0.99870400000000004</v>
      </c>
      <c r="N6535">
        <v>-3.1786149999999999E-2</v>
      </c>
      <c r="O6535">
        <v>3.9747350000000001E-2</v>
      </c>
      <c r="P6535">
        <v>0.98779019999999995</v>
      </c>
      <c r="Q6535">
        <v>0.1557115</v>
      </c>
      <c r="R6535">
        <v>-4.9366779999999999E-3</v>
      </c>
      <c r="S6535">
        <v>3.0833439999999999</v>
      </c>
      <c r="T6535">
        <v>-0.27855730000000001</v>
      </c>
      <c r="U6535">
        <v>0.40533449999999999</v>
      </c>
      <c r="V6535">
        <v>4.3072260000000001E-2</v>
      </c>
      <c r="W6535">
        <v>0.18726599999999999</v>
      </c>
      <c r="X6535">
        <v>0.98136449999999997</v>
      </c>
      <c r="Y6535">
        <v>-9.0382080000000004E-2</v>
      </c>
      <c r="Z6535">
        <v>3.1963680000000002E-3</v>
      </c>
      <c r="AA6535">
        <v>0.99590210000000001</v>
      </c>
      <c r="AB6535">
        <v>25</v>
      </c>
      <c r="AC6535">
        <v>12.232199999999899</v>
      </c>
      <c r="AD6535">
        <v>-1.1258981925929901</v>
      </c>
      <c r="AE6535">
        <v>1.6255999999999899</v>
      </c>
      <c r="AF6535">
        <v>-1.12847612440211</v>
      </c>
      <c r="AG6535">
        <v>-1.1258981925929901</v>
      </c>
      <c r="AH6535">
        <v>12.1857232921842</v>
      </c>
      <c r="AI6535">
        <v>95.256483291410206</v>
      </c>
      <c r="AJ6535">
        <v>95.290866326595193</v>
      </c>
      <c r="AK6535">
        <v>12.289546666053701</v>
      </c>
      <c r="AL6535">
        <v>79.2067264098078</v>
      </c>
      <c r="AM6535">
        <v>87.486891068528493</v>
      </c>
      <c r="AN6535">
        <v>1.0000000280988699</v>
      </c>
    </row>
    <row r="6536" spans="1:40" x14ac:dyDescent="0.25">
      <c r="A6536" t="str">
        <f>"20190303171142308"</f>
        <v>20190303171142308</v>
      </c>
      <c r="B6536" t="str">
        <f>"1551604302297214"</f>
        <v>1551604302297214</v>
      </c>
      <c r="C6536" t="s">
        <v>40</v>
      </c>
      <c r="D6536">
        <v>4.9354719999999999</v>
      </c>
      <c r="E6536">
        <v>0.45108369999999998</v>
      </c>
      <c r="F6536" t="s">
        <v>42</v>
      </c>
      <c r="G6536">
        <v>-117.3853</v>
      </c>
      <c r="H6536" s="1">
        <v>-1.9524979999999999E-6</v>
      </c>
      <c r="I6536">
        <v>135.56989999999999</v>
      </c>
      <c r="J6536">
        <v>-128.624</v>
      </c>
      <c r="K6536">
        <v>1.1258239999999999</v>
      </c>
      <c r="L6536">
        <v>134.03890000000001</v>
      </c>
      <c r="M6536">
        <v>0.99856460000000002</v>
      </c>
      <c r="N6536">
        <v>-3.1835780000000001E-2</v>
      </c>
      <c r="O6536">
        <v>4.3072630000000001E-2</v>
      </c>
      <c r="P6536">
        <v>0.98775760000000001</v>
      </c>
      <c r="Q6536">
        <v>0.1559905</v>
      </c>
      <c r="R6536">
        <v>-1.5834880000000001E-3</v>
      </c>
      <c r="S6536">
        <v>3.0869450000000001</v>
      </c>
      <c r="T6536">
        <v>-0.3031973</v>
      </c>
      <c r="U6536">
        <v>0.41586299999999998</v>
      </c>
      <c r="V6536">
        <v>4.3042860000000002E-2</v>
      </c>
      <c r="W6536">
        <v>0.1875831</v>
      </c>
      <c r="X6536">
        <v>0.98130519999999999</v>
      </c>
      <c r="Y6536">
        <v>-9.0203749999999999E-2</v>
      </c>
      <c r="Z6536">
        <v>3.0136999999999998E-3</v>
      </c>
      <c r="AA6536">
        <v>0.99591879999999999</v>
      </c>
      <c r="AB6536">
        <v>24</v>
      </c>
      <c r="AC6536">
        <v>11.2386999999999</v>
      </c>
      <c r="AD6536">
        <v>-1.1258259524980001</v>
      </c>
      <c r="AE6536">
        <v>1.5309999999999699</v>
      </c>
      <c r="AF6536">
        <v>-1.03505447862696</v>
      </c>
      <c r="AG6536">
        <v>-1.1258259524980001</v>
      </c>
      <c r="AH6536">
        <v>11.184051522243401</v>
      </c>
      <c r="AI6536">
        <v>95.723933874362402</v>
      </c>
      <c r="AJ6536">
        <v>95.287511771853005</v>
      </c>
      <c r="AK6536">
        <v>11.2881278474882</v>
      </c>
      <c r="AL6536">
        <v>79.188229853906805</v>
      </c>
      <c r="AM6536">
        <v>87.488452685415794</v>
      </c>
      <c r="AN6536">
        <v>1.00000000137481</v>
      </c>
    </row>
    <row r="6537" spans="1:40" x14ac:dyDescent="0.25">
      <c r="A6537" t="str">
        <f>"20190303171142329"</f>
        <v>20190303171142329</v>
      </c>
      <c r="B6537" t="str">
        <f>"1551604302316735"</f>
        <v>1551604302316735</v>
      </c>
      <c r="C6537" t="s">
        <v>40</v>
      </c>
      <c r="D6537">
        <v>8.2673550000000002</v>
      </c>
      <c r="E6537">
        <v>0.45111709999999999</v>
      </c>
      <c r="F6537" t="s">
        <v>42</v>
      </c>
      <c r="G6537">
        <v>-118.2756</v>
      </c>
      <c r="H6537" s="1">
        <v>-1.6779839999999901E-6</v>
      </c>
      <c r="I6537">
        <v>135.46299999999999</v>
      </c>
      <c r="J6537">
        <v>-128.41380000000001</v>
      </c>
      <c r="K6537">
        <v>1.125758</v>
      </c>
      <c r="L6537">
        <v>134.05189999999999</v>
      </c>
      <c r="M6537">
        <v>0.99842549999999997</v>
      </c>
      <c r="N6537">
        <v>-3.1827139999999997E-2</v>
      </c>
      <c r="O6537">
        <v>4.6191110000000001E-2</v>
      </c>
      <c r="P6537">
        <v>0.98771690000000001</v>
      </c>
      <c r="Q6537">
        <v>0.15624199999999999</v>
      </c>
      <c r="R6537">
        <v>2.032809E-3</v>
      </c>
      <c r="S6537">
        <v>3.0909580000000001</v>
      </c>
      <c r="T6537">
        <v>-0.33627099999999999</v>
      </c>
      <c r="U6537">
        <v>0.42536930000000001</v>
      </c>
      <c r="V6537">
        <v>4.2540300000000003E-2</v>
      </c>
      <c r="W6537">
        <v>0.18781539999999999</v>
      </c>
      <c r="X6537">
        <v>0.98128269999999995</v>
      </c>
      <c r="Y6537">
        <v>-8.9861769999999994E-2</v>
      </c>
      <c r="Z6537">
        <v>2.7738379999999998E-3</v>
      </c>
      <c r="AA6537">
        <v>0.99595040000000001</v>
      </c>
      <c r="AB6537">
        <v>24</v>
      </c>
      <c r="AC6537">
        <v>10.138199999999999</v>
      </c>
      <c r="AD6537">
        <v>-1.125759677984</v>
      </c>
      <c r="AE6537">
        <v>1.4111</v>
      </c>
      <c r="AF6537">
        <v>-0.92981334530410797</v>
      </c>
      <c r="AG6537">
        <v>-1.125759677984</v>
      </c>
      <c r="AH6537">
        <v>10.070766492510501</v>
      </c>
      <c r="AI6537">
        <v>96.351531632619796</v>
      </c>
      <c r="AJ6537">
        <v>95.275047506861</v>
      </c>
      <c r="AK6537">
        <v>10.176061392127799</v>
      </c>
      <c r="AL6537">
        <v>79.174679400601207</v>
      </c>
      <c r="AM6537">
        <v>87.517683279108596</v>
      </c>
      <c r="AN6537">
        <v>1.0000000194602601</v>
      </c>
    </row>
    <row r="6538" spans="1:40" x14ac:dyDescent="0.25">
      <c r="A6538" t="str">
        <f>"20190303171142352"</f>
        <v>20190303171142352</v>
      </c>
      <c r="B6538" t="str">
        <f>"1551604302346990"</f>
        <v>1551604302346990</v>
      </c>
      <c r="C6538" t="s">
        <v>40</v>
      </c>
      <c r="D6538">
        <v>5.9602890000000004</v>
      </c>
      <c r="E6538">
        <v>0.45113550000000002</v>
      </c>
      <c r="F6538" t="s">
        <v>42</v>
      </c>
      <c r="G6538">
        <v>-118.1895</v>
      </c>
      <c r="H6538" s="1">
        <v>-1.69953E-6</v>
      </c>
      <c r="I6538">
        <v>135.49209999999999</v>
      </c>
      <c r="J6538">
        <v>-128.17769999999999</v>
      </c>
      <c r="K6538">
        <v>1.125691</v>
      </c>
      <c r="L6538">
        <v>134.06729999999999</v>
      </c>
      <c r="M6538">
        <v>0.99825900000000001</v>
      </c>
      <c r="N6538">
        <v>-3.1765719999999997E-2</v>
      </c>
      <c r="O6538">
        <v>4.9699599999999997E-2</v>
      </c>
      <c r="P6538">
        <v>0.98772950000000004</v>
      </c>
      <c r="Q6538">
        <v>0.1560898</v>
      </c>
      <c r="R6538">
        <v>5.1460719999999998E-3</v>
      </c>
      <c r="S6538">
        <v>3.0902250000000002</v>
      </c>
      <c r="T6538">
        <v>-0.34025139999999998</v>
      </c>
      <c r="U6538">
        <v>0.43528749999999999</v>
      </c>
      <c r="V6538">
        <v>4.2931509999999999E-2</v>
      </c>
      <c r="W6538">
        <v>0.18759809999999999</v>
      </c>
      <c r="X6538">
        <v>0.98130720000000005</v>
      </c>
      <c r="Y6538">
        <v>-8.9533429999999997E-2</v>
      </c>
      <c r="Z6538">
        <v>2.4723129999999999E-3</v>
      </c>
      <c r="AA6538">
        <v>0.99598070000000005</v>
      </c>
      <c r="AB6538">
        <v>24</v>
      </c>
      <c r="AC6538">
        <v>9.9881999999999902</v>
      </c>
      <c r="AD6538">
        <v>-1.1256926995299901</v>
      </c>
      <c r="AE6538">
        <v>1.4248000000000001</v>
      </c>
      <c r="AF6538">
        <v>-0.91498710784074599</v>
      </c>
      <c r="AG6538">
        <v>-1.1256926995299901</v>
      </c>
      <c r="AH6538">
        <v>9.9231635538725094</v>
      </c>
      <c r="AI6538">
        <v>96.444909153016496</v>
      </c>
      <c r="AJ6538">
        <v>95.268186659161501</v>
      </c>
      <c r="AK6538">
        <v>10.028637014978299</v>
      </c>
      <c r="AL6538">
        <v>79.187354773055304</v>
      </c>
      <c r="AM6538">
        <v>87.494946760206204</v>
      </c>
      <c r="AN6538">
        <v>0.99999999122316496</v>
      </c>
    </row>
    <row r="6539" spans="1:40" x14ac:dyDescent="0.25">
      <c r="A6539" t="str">
        <f>"20190303171142375"</f>
        <v>20190303171142375</v>
      </c>
      <c r="B6539" t="str">
        <f>"1551604302367486"</f>
        <v>1551604302367486</v>
      </c>
      <c r="C6539" t="s">
        <v>40</v>
      </c>
      <c r="D6539">
        <v>5.8862909999999999</v>
      </c>
      <c r="E6539">
        <v>0.44739960000000001</v>
      </c>
      <c r="F6539" t="s">
        <v>42</v>
      </c>
      <c r="G6539">
        <v>-117.2679</v>
      </c>
      <c r="H6539" s="1">
        <v>-1.9741159999999999E-6</v>
      </c>
      <c r="I6539">
        <v>135.6388</v>
      </c>
      <c r="J6539">
        <v>-127.9491</v>
      </c>
      <c r="K6539">
        <v>1.125623</v>
      </c>
      <c r="L6539">
        <v>134.0831</v>
      </c>
      <c r="M6539">
        <v>0.99808660000000005</v>
      </c>
      <c r="N6539">
        <v>-3.1671930000000001E-2</v>
      </c>
      <c r="O6539">
        <v>5.3104869999999998E-2</v>
      </c>
      <c r="P6539">
        <v>0.9876317</v>
      </c>
      <c r="Q6539">
        <v>0.156665</v>
      </c>
      <c r="R6539">
        <v>6.3252719999999998E-3</v>
      </c>
      <c r="S6539">
        <v>3.085251</v>
      </c>
      <c r="T6539">
        <v>-0.3183395</v>
      </c>
      <c r="U6539">
        <v>0.44441219999999998</v>
      </c>
      <c r="V6539">
        <v>4.5141439999999998E-2</v>
      </c>
      <c r="W6539">
        <v>0.18808</v>
      </c>
      <c r="X6539">
        <v>0.98111579999999998</v>
      </c>
      <c r="Y6539">
        <v>-8.9304919999999996E-2</v>
      </c>
      <c r="Z6539">
        <v>2.2412700000000001E-3</v>
      </c>
      <c r="AA6539">
        <v>0.99600180000000005</v>
      </c>
      <c r="AB6539">
        <v>23</v>
      </c>
      <c r="AC6539">
        <v>10.6812</v>
      </c>
      <c r="AD6539">
        <v>-1.125624974116</v>
      </c>
      <c r="AE6539">
        <v>1.5557000000000001</v>
      </c>
      <c r="AF6539">
        <v>-0.97538682257009701</v>
      </c>
      <c r="AG6539">
        <v>-1.125624974116</v>
      </c>
      <c r="AH6539">
        <v>10.633134016740099</v>
      </c>
      <c r="AI6539">
        <v>96.017754354589897</v>
      </c>
      <c r="AJ6539">
        <v>95.241124979468196</v>
      </c>
      <c r="AK6539">
        <v>10.7369432360404</v>
      </c>
      <c r="AL6539">
        <v>79.159243916812898</v>
      </c>
      <c r="AM6539">
        <v>87.365661417183006</v>
      </c>
      <c r="AN6539">
        <v>1.0000000245074501</v>
      </c>
    </row>
    <row r="6540" spans="1:40" x14ac:dyDescent="0.25">
      <c r="A6540" t="str">
        <f>"20190303171142397"</f>
        <v>20190303171142397</v>
      </c>
      <c r="B6540" t="str">
        <f>"1551604302387007"</f>
        <v>1551604302387007</v>
      </c>
      <c r="C6540" t="s">
        <v>40</v>
      </c>
      <c r="D6540">
        <v>5.8767079999999998</v>
      </c>
      <c r="E6540">
        <v>0.4458221</v>
      </c>
      <c r="F6540" t="s">
        <v>62</v>
      </c>
      <c r="G6540">
        <v>0</v>
      </c>
      <c r="H6540">
        <v>0</v>
      </c>
      <c r="I6540">
        <v>0</v>
      </c>
      <c r="J6540">
        <v>-127.7242</v>
      </c>
      <c r="K6540">
        <v>1.1255489999999999</v>
      </c>
      <c r="L6540">
        <v>134.0994</v>
      </c>
      <c r="M6540">
        <v>0.99790619999999997</v>
      </c>
      <c r="N6540">
        <v>-3.1527149999999997E-2</v>
      </c>
      <c r="O6540">
        <v>5.6475909999999997E-2</v>
      </c>
      <c r="P6540">
        <v>0.98734339999999998</v>
      </c>
      <c r="Q6540">
        <v>0.15837989999999999</v>
      </c>
      <c r="R6540">
        <v>8.3130229999999992E-3</v>
      </c>
      <c r="S6540">
        <v>2.9767299999999999</v>
      </c>
      <c r="T6540">
        <v>0.36566189999999998</v>
      </c>
      <c r="U6540">
        <v>0.44432070000000001</v>
      </c>
      <c r="V6540">
        <v>4.6492440000000003E-2</v>
      </c>
      <c r="W6540">
        <v>0.18964120000000001</v>
      </c>
      <c r="X6540">
        <v>0.98075210000000002</v>
      </c>
      <c r="Y6540">
        <v>-9.1667029999999997E-2</v>
      </c>
      <c r="Z6540">
        <v>4.5081390000000004E-3</v>
      </c>
      <c r="AA6540">
        <v>0.99577950000000004</v>
      </c>
      <c r="AB6540">
        <v>23</v>
      </c>
      <c r="AC6540">
        <v>2.9767299999999999</v>
      </c>
      <c r="AD6540">
        <v>0.36566189999999998</v>
      </c>
      <c r="AE6540">
        <v>0.44432070000000001</v>
      </c>
      <c r="AF6540">
        <v>-0.27140751792138201</v>
      </c>
      <c r="AG6540">
        <v>0.36566189999999998</v>
      </c>
      <c r="AH6540">
        <v>2.9534843182018098</v>
      </c>
      <c r="AI6540">
        <v>82.971613531851105</v>
      </c>
      <c r="AJ6540">
        <v>95.250393080829596</v>
      </c>
      <c r="AK6540">
        <v>2.9883842262600502</v>
      </c>
      <c r="AL6540">
        <v>79.068154286517995</v>
      </c>
      <c r="AM6540">
        <v>87.285932013072895</v>
      </c>
      <c r="AN6540">
        <v>1.0000000066845001</v>
      </c>
    </row>
    <row r="6541" spans="1:40" x14ac:dyDescent="0.25">
      <c r="A6541" t="str">
        <f>"20190303171142419"</f>
        <v>20190303171142419</v>
      </c>
      <c r="B6541" t="str">
        <f>"1551604302407502"</f>
        <v>1551604302407502</v>
      </c>
      <c r="C6541" t="s">
        <v>40</v>
      </c>
      <c r="D6541">
        <v>6.0931319999999998</v>
      </c>
      <c r="E6541">
        <v>0.44666299999999998</v>
      </c>
      <c r="F6541" t="s">
        <v>62</v>
      </c>
      <c r="G6541">
        <v>0</v>
      </c>
      <c r="H6541">
        <v>0</v>
      </c>
      <c r="I6541">
        <v>0</v>
      </c>
      <c r="J6541">
        <v>-127.5051</v>
      </c>
      <c r="K6541">
        <v>1.1254649999999999</v>
      </c>
      <c r="L6541">
        <v>134.11609999999999</v>
      </c>
      <c r="M6541">
        <v>0.99772139999999998</v>
      </c>
      <c r="N6541">
        <v>-3.1242430000000002E-2</v>
      </c>
      <c r="O6541">
        <v>5.9799350000000001E-2</v>
      </c>
      <c r="P6541">
        <v>0.98724500000000004</v>
      </c>
      <c r="Q6541">
        <v>0.15894620000000001</v>
      </c>
      <c r="R6541">
        <v>9.1429319999999994E-3</v>
      </c>
      <c r="S6541">
        <v>2.96698</v>
      </c>
      <c r="T6541">
        <v>0.42138560000000003</v>
      </c>
      <c r="U6541">
        <v>0.46060180000000001</v>
      </c>
      <c r="V6541">
        <v>4.8963220000000002E-2</v>
      </c>
      <c r="W6541">
        <v>0.1899286</v>
      </c>
      <c r="X6541">
        <v>0.98057620000000001</v>
      </c>
      <c r="Y6541">
        <v>-9.4167520000000005E-2</v>
      </c>
      <c r="Z6541">
        <v>5.1081019999999998E-3</v>
      </c>
      <c r="AA6541">
        <v>0.99554319999999996</v>
      </c>
      <c r="AB6541">
        <v>23</v>
      </c>
      <c r="AC6541">
        <v>2.96698</v>
      </c>
      <c r="AD6541">
        <v>0.42138560000000003</v>
      </c>
      <c r="AE6541">
        <v>0.46060180000000001</v>
      </c>
      <c r="AF6541">
        <v>-0.27681432762997599</v>
      </c>
      <c r="AG6541">
        <v>0.42138560000000003</v>
      </c>
      <c r="AH6541">
        <v>2.9314825330727001</v>
      </c>
      <c r="AI6541">
        <v>81.855797390552496</v>
      </c>
      <c r="AJ6541">
        <v>95.394336414134003</v>
      </c>
      <c r="AK6541">
        <v>2.9745221191947602</v>
      </c>
      <c r="AL6541">
        <v>79.051382338051198</v>
      </c>
      <c r="AM6541">
        <v>87.141417700686105</v>
      </c>
      <c r="AN6541">
        <v>0.99999997700858401</v>
      </c>
    </row>
    <row r="6542" spans="1:40" x14ac:dyDescent="0.25">
      <c r="A6542" t="str">
        <f>"20190303171142444"</f>
        <v>20190303171142444</v>
      </c>
      <c r="B6542" t="str">
        <f>"1551604302436782"</f>
        <v>1551604302436782</v>
      </c>
      <c r="C6542" t="s">
        <v>40</v>
      </c>
      <c r="D6542">
        <v>5.8924830000000004</v>
      </c>
      <c r="E6542">
        <v>0.44614090000000001</v>
      </c>
      <c r="F6542" t="s">
        <v>62</v>
      </c>
      <c r="G6542">
        <v>0</v>
      </c>
      <c r="H6542">
        <v>0</v>
      </c>
      <c r="I6542">
        <v>0</v>
      </c>
      <c r="J6542">
        <v>-127.25960000000001</v>
      </c>
      <c r="K6542">
        <v>1.1253310000000001</v>
      </c>
      <c r="L6542">
        <v>134.13570000000001</v>
      </c>
      <c r="M6542">
        <v>0.99750479999999997</v>
      </c>
      <c r="N6542">
        <v>-3.07791E-2</v>
      </c>
      <c r="O6542">
        <v>6.353541E-2</v>
      </c>
      <c r="P6542">
        <v>0.9875777</v>
      </c>
      <c r="Q6542">
        <v>0.15675839999999999</v>
      </c>
      <c r="R6542">
        <v>1.082601E-2</v>
      </c>
      <c r="S6542">
        <v>2.961319</v>
      </c>
      <c r="T6542">
        <v>0.4548836</v>
      </c>
      <c r="U6542">
        <v>0.45449830000000002</v>
      </c>
      <c r="V6542">
        <v>5.1031260000000002E-2</v>
      </c>
      <c r="W6542">
        <v>0.18729970000000001</v>
      </c>
      <c r="X6542">
        <v>0.98097630000000002</v>
      </c>
      <c r="Y6542">
        <v>-8.8805969999999998E-2</v>
      </c>
      <c r="Z6542">
        <v>6.2042779999999997E-3</v>
      </c>
      <c r="AA6542">
        <v>0.99602959999999996</v>
      </c>
      <c r="AB6542">
        <v>22</v>
      </c>
      <c r="AC6542">
        <v>2.961319</v>
      </c>
      <c r="AD6542">
        <v>0.4548836</v>
      </c>
      <c r="AE6542">
        <v>0.45449830000000002</v>
      </c>
      <c r="AF6542">
        <v>-0.25936238338599998</v>
      </c>
      <c r="AG6542">
        <v>0.4548836</v>
      </c>
      <c r="AH6542">
        <v>2.91697693155061</v>
      </c>
      <c r="AI6542">
        <v>81.170764670138993</v>
      </c>
      <c r="AJ6542">
        <v>95.081080092997993</v>
      </c>
      <c r="AK6542">
        <v>2.9636029347169699</v>
      </c>
      <c r="AL6542">
        <v>79.204759735488494</v>
      </c>
      <c r="AM6542">
        <v>87.022106863414507</v>
      </c>
      <c r="AN6542">
        <v>0.99999993413948096</v>
      </c>
    </row>
    <row r="6543" spans="1:40" x14ac:dyDescent="0.25">
      <c r="A6543" t="str">
        <f>"20190303171142465"</f>
        <v>20190303171142465</v>
      </c>
      <c r="B6543" t="str">
        <f>"1551604302457140"</f>
        <v>1551604302457140</v>
      </c>
      <c r="C6543" t="s">
        <v>40</v>
      </c>
      <c r="D6543">
        <v>5.90686</v>
      </c>
      <c r="E6543">
        <v>0.4460385</v>
      </c>
      <c r="F6543" t="s">
        <v>62</v>
      </c>
      <c r="G6543">
        <v>0</v>
      </c>
      <c r="H6543">
        <v>0</v>
      </c>
      <c r="I6543">
        <v>0</v>
      </c>
      <c r="J6543">
        <v>-127.057</v>
      </c>
      <c r="K6543">
        <v>1.125211</v>
      </c>
      <c r="L6543">
        <v>134.1525</v>
      </c>
      <c r="M6543">
        <v>0.99731530000000002</v>
      </c>
      <c r="N6543">
        <v>-3.0367149999999999E-2</v>
      </c>
      <c r="O6543">
        <v>6.6635009999999995E-2</v>
      </c>
      <c r="P6543">
        <v>0.98770139999999995</v>
      </c>
      <c r="Q6543">
        <v>0.1558447</v>
      </c>
      <c r="R6543">
        <v>1.2593409999999999E-2</v>
      </c>
      <c r="S6543">
        <v>2.9579930000000001</v>
      </c>
      <c r="T6543">
        <v>0.4705008</v>
      </c>
      <c r="U6543">
        <v>0.46258539999999998</v>
      </c>
      <c r="V6543">
        <v>5.2372259999999997E-2</v>
      </c>
      <c r="W6543">
        <v>0.18598339999999999</v>
      </c>
      <c r="X6543">
        <v>0.98115609999999998</v>
      </c>
      <c r="Y6543">
        <v>-8.8583739999999994E-2</v>
      </c>
      <c r="Z6543">
        <v>6.8522729999999999E-3</v>
      </c>
      <c r="AA6543">
        <v>0.99604519999999996</v>
      </c>
      <c r="AB6543">
        <v>22</v>
      </c>
      <c r="AC6543">
        <v>2.9579930000000001</v>
      </c>
      <c r="AD6543">
        <v>0.4705008</v>
      </c>
      <c r="AE6543">
        <v>0.46258539999999998</v>
      </c>
      <c r="AF6543">
        <v>-0.257988128371619</v>
      </c>
      <c r="AG6543">
        <v>0.4705008</v>
      </c>
      <c r="AH6543">
        <v>2.9103754506358599</v>
      </c>
      <c r="AI6543">
        <v>80.852088821040994</v>
      </c>
      <c r="AJ6543">
        <v>95.065702215635397</v>
      </c>
      <c r="AK6543">
        <v>2.95942800906615</v>
      </c>
      <c r="AL6543">
        <v>79.281527690463307</v>
      </c>
      <c r="AM6543">
        <v>86.944559151149704</v>
      </c>
      <c r="AN6543">
        <v>0.99999998563013803</v>
      </c>
    </row>
    <row r="6544" spans="1:40" x14ac:dyDescent="0.25">
      <c r="A6544" t="str">
        <f>"20190303171142487"</f>
        <v>20190303171142487</v>
      </c>
      <c r="B6544" t="str">
        <f>"1551604302476660"</f>
        <v>1551604302476660</v>
      </c>
      <c r="C6544" t="s">
        <v>40</v>
      </c>
      <c r="D6544">
        <v>5.8674390000000001</v>
      </c>
      <c r="E6544">
        <v>0.4461329</v>
      </c>
      <c r="F6544" t="s">
        <v>62</v>
      </c>
      <c r="G6544">
        <v>0</v>
      </c>
      <c r="H6544">
        <v>0</v>
      </c>
      <c r="I6544">
        <v>0</v>
      </c>
      <c r="J6544">
        <v>-126.8506</v>
      </c>
      <c r="K6544">
        <v>1.125103</v>
      </c>
      <c r="L6544">
        <v>134.1703</v>
      </c>
      <c r="M6544">
        <v>0.9971101</v>
      </c>
      <c r="N6544">
        <v>-2.9929830000000001E-2</v>
      </c>
      <c r="O6544">
        <v>6.982642E-2</v>
      </c>
      <c r="P6544">
        <v>0.98749019999999998</v>
      </c>
      <c r="Q6544">
        <v>0.15700229999999901</v>
      </c>
      <c r="R6544">
        <v>1.461496E-2</v>
      </c>
      <c r="S6544">
        <v>2.9560390000000001</v>
      </c>
      <c r="T6544">
        <v>0.47746559999999999</v>
      </c>
      <c r="U6544">
        <v>0.46807860000000001</v>
      </c>
      <c r="V6544">
        <v>5.352457E-2</v>
      </c>
      <c r="W6544">
        <v>0.18670059999999999</v>
      </c>
      <c r="X6544">
        <v>0.98095770000000004</v>
      </c>
      <c r="Y6544">
        <v>-8.7363529999999995E-2</v>
      </c>
      <c r="Z6544">
        <v>7.5366249999999999E-3</v>
      </c>
      <c r="AA6544">
        <v>0.99614800000000003</v>
      </c>
      <c r="AB6544">
        <v>22</v>
      </c>
      <c r="AC6544">
        <v>2.9560390000000001</v>
      </c>
      <c r="AD6544">
        <v>0.47746559999999999</v>
      </c>
      <c r="AE6544">
        <v>0.46807860000000001</v>
      </c>
      <c r="AF6544">
        <v>-0.25396911583036502</v>
      </c>
      <c r="AG6544">
        <v>0.47746559999999999</v>
      </c>
      <c r="AH6544">
        <v>2.90751632637404</v>
      </c>
      <c r="AI6544">
        <v>80.709012576768004</v>
      </c>
      <c r="AJ6544">
        <v>94.992067793833996</v>
      </c>
      <c r="AK6544">
        <v>2.9573848074118798</v>
      </c>
      <c r="AL6544">
        <v>79.239702758445702</v>
      </c>
      <c r="AM6544">
        <v>86.876833754611297</v>
      </c>
      <c r="AN6544">
        <v>1.0000000014116599</v>
      </c>
    </row>
    <row r="6545" spans="1:40" x14ac:dyDescent="0.25">
      <c r="A6545" t="str">
        <f>"20190303171142507"</f>
        <v>20190303171142507</v>
      </c>
      <c r="B6545" t="str">
        <f>"1551604302497156"</f>
        <v>1551604302497156</v>
      </c>
      <c r="C6545" t="s">
        <v>40</v>
      </c>
      <c r="D6545">
        <v>5.9114639999999996</v>
      </c>
      <c r="E6545">
        <v>0.44596740000000001</v>
      </c>
      <c r="F6545" t="s">
        <v>62</v>
      </c>
      <c r="G6545">
        <v>0</v>
      </c>
      <c r="H6545">
        <v>0</v>
      </c>
      <c r="I6545">
        <v>0</v>
      </c>
      <c r="J6545">
        <v>-126.6533</v>
      </c>
      <c r="K6545">
        <v>1.1250070000000001</v>
      </c>
      <c r="L6545">
        <v>134.18790000000001</v>
      </c>
      <c r="M6545">
        <v>0.99690380000000001</v>
      </c>
      <c r="N6545">
        <v>-2.949189E-2</v>
      </c>
      <c r="O6545">
        <v>7.2891040000000004E-2</v>
      </c>
      <c r="P6545">
        <v>0.98718119999999998</v>
      </c>
      <c r="Q6545">
        <v>0.15879660000000001</v>
      </c>
      <c r="R6545">
        <v>1.602727E-2</v>
      </c>
      <c r="S6545">
        <v>2.953125</v>
      </c>
      <c r="T6545">
        <v>0.48979509999999998</v>
      </c>
      <c r="U6545">
        <v>0.47294619999999998</v>
      </c>
      <c r="V6545">
        <v>5.5143280000000003E-2</v>
      </c>
      <c r="W6545">
        <v>0.1880529</v>
      </c>
      <c r="X6545">
        <v>0.98060970000000003</v>
      </c>
      <c r="Y6545">
        <v>-8.6118630000000002E-2</v>
      </c>
      <c r="Z6545">
        <v>8.2679480000000007E-3</v>
      </c>
      <c r="AA6545">
        <v>0.99625059999999999</v>
      </c>
      <c r="AB6545">
        <v>22</v>
      </c>
      <c r="AC6545">
        <v>2.953125</v>
      </c>
      <c r="AD6545">
        <v>0.48979509999999998</v>
      </c>
      <c r="AE6545">
        <v>0.47294619999999998</v>
      </c>
      <c r="AF6545">
        <v>-0.24964149770850699</v>
      </c>
      <c r="AG6545">
        <v>0.48979509999999998</v>
      </c>
      <c r="AH6545">
        <v>2.9019201930279901</v>
      </c>
      <c r="AI6545">
        <v>80.454336897211803</v>
      </c>
      <c r="AJ6545">
        <v>94.916839495604705</v>
      </c>
      <c r="AK6545">
        <v>2.9535336334746098</v>
      </c>
      <c r="AL6545">
        <v>79.160824892661907</v>
      </c>
      <c r="AM6545">
        <v>86.781437925127804</v>
      </c>
      <c r="AN6545">
        <v>1.00000002913082</v>
      </c>
    </row>
    <row r="6546" spans="1:40" x14ac:dyDescent="0.25">
      <c r="A6546" t="str">
        <f>"20190303171142530"</f>
        <v>20190303171142530</v>
      </c>
      <c r="B6546" t="str">
        <f>"1551604302517652"</f>
        <v>1551604302517652</v>
      </c>
      <c r="C6546" t="s">
        <v>40</v>
      </c>
      <c r="D6546">
        <v>6.0798909999999999</v>
      </c>
      <c r="E6546">
        <v>0.44591609999999998</v>
      </c>
      <c r="F6546" t="s">
        <v>62</v>
      </c>
      <c r="G6546">
        <v>0</v>
      </c>
      <c r="H6546">
        <v>0</v>
      </c>
      <c r="I6546">
        <v>0</v>
      </c>
      <c r="J6546">
        <v>-126.44759999999999</v>
      </c>
      <c r="K6546">
        <v>1.1249229999999999</v>
      </c>
      <c r="L6546">
        <v>134.20689999999999</v>
      </c>
      <c r="M6546">
        <v>0.9966798</v>
      </c>
      <c r="N6546">
        <v>-2.9016E-2</v>
      </c>
      <c r="O6546">
        <v>7.6074970000000006E-2</v>
      </c>
      <c r="P6546">
        <v>0.98696539999999999</v>
      </c>
      <c r="Q6546">
        <v>0.1598493</v>
      </c>
      <c r="R6546">
        <v>1.8644649999999999E-2</v>
      </c>
      <c r="S6546">
        <v>2.9504700000000001</v>
      </c>
      <c r="T6546">
        <v>0.501834</v>
      </c>
      <c r="U6546">
        <v>0.47811890000000001</v>
      </c>
      <c r="V6546">
        <v>5.5682130000000003E-2</v>
      </c>
      <c r="W6546">
        <v>0.18862889999999999</v>
      </c>
      <c r="X6546">
        <v>0.98046860000000002</v>
      </c>
      <c r="Y6546">
        <v>-8.4849709999999995E-2</v>
      </c>
      <c r="Z6546">
        <v>9.0446680000000005E-3</v>
      </c>
      <c r="AA6546">
        <v>0.99635269999999998</v>
      </c>
      <c r="AB6546">
        <v>21</v>
      </c>
      <c r="AC6546">
        <v>2.9504700000000001</v>
      </c>
      <c r="AD6546">
        <v>0.501834</v>
      </c>
      <c r="AE6546">
        <v>0.47811890000000001</v>
      </c>
      <c r="AF6546">
        <v>-0.24526687906640199</v>
      </c>
      <c r="AG6546">
        <v>0.501834</v>
      </c>
      <c r="AH6546">
        <v>2.8966470830734901</v>
      </c>
      <c r="AI6546">
        <v>80.205630703361606</v>
      </c>
      <c r="AJ6546">
        <v>94.839843024749896</v>
      </c>
      <c r="AK6546">
        <v>2.9500097507298402</v>
      </c>
      <c r="AL6546">
        <v>79.127221025373203</v>
      </c>
      <c r="AM6546">
        <v>86.749587120933896</v>
      </c>
      <c r="AN6546">
        <v>1.0000000185512501</v>
      </c>
    </row>
    <row r="6547" spans="1:40" x14ac:dyDescent="0.25">
      <c r="A6547" t="str">
        <f>"20190303171142552"</f>
        <v>20190303171142552</v>
      </c>
      <c r="B6547" t="str">
        <f>"1551604302546691"</f>
        <v>1551604302546691</v>
      </c>
      <c r="C6547" t="s">
        <v>40</v>
      </c>
      <c r="D6547">
        <v>6.048298</v>
      </c>
      <c r="E6547">
        <v>0.44647890000000001</v>
      </c>
      <c r="F6547" t="s">
        <v>62</v>
      </c>
      <c r="G6547">
        <v>0</v>
      </c>
      <c r="H6547">
        <v>0</v>
      </c>
      <c r="I6547">
        <v>0</v>
      </c>
      <c r="J6547">
        <v>-126.2407</v>
      </c>
      <c r="K6547">
        <v>1.124852</v>
      </c>
      <c r="L6547">
        <v>134.22669999999999</v>
      </c>
      <c r="M6547">
        <v>0.99644540000000004</v>
      </c>
      <c r="N6547">
        <v>-2.8564889999999999E-2</v>
      </c>
      <c r="O6547">
        <v>7.9252130000000004E-2</v>
      </c>
      <c r="P6547">
        <v>0.98683379999999998</v>
      </c>
      <c r="Q6547">
        <v>0.16027269999999999</v>
      </c>
      <c r="R6547">
        <v>2.1727659999999999E-2</v>
      </c>
      <c r="S6547">
        <v>2.947632</v>
      </c>
      <c r="T6547">
        <v>0.51126709999999997</v>
      </c>
      <c r="U6547">
        <v>0.48603819999999998</v>
      </c>
      <c r="V6547">
        <v>5.5757109999999999E-2</v>
      </c>
      <c r="W6547">
        <v>0.1886022</v>
      </c>
      <c r="X6547">
        <v>0.98046949999999999</v>
      </c>
      <c r="Y6547">
        <v>-8.4495379999999995E-2</v>
      </c>
      <c r="Z6547">
        <v>9.7543709999999995E-3</v>
      </c>
      <c r="AA6547">
        <v>0.99637609999999999</v>
      </c>
      <c r="AB6547">
        <v>21</v>
      </c>
      <c r="AC6547">
        <v>2.947632</v>
      </c>
      <c r="AD6547">
        <v>0.51126709999999997</v>
      </c>
      <c r="AE6547">
        <v>0.48603819999999998</v>
      </c>
      <c r="AF6547">
        <v>-0.24366996716308301</v>
      </c>
      <c r="AG6547">
        <v>0.51126709999999997</v>
      </c>
      <c r="AH6547">
        <v>2.8921802846960598</v>
      </c>
      <c r="AI6547">
        <v>80.009746641695898</v>
      </c>
      <c r="AJ6547">
        <v>94.815870956621495</v>
      </c>
      <c r="AK6547">
        <v>2.94711314672923</v>
      </c>
      <c r="AL6547">
        <v>79.128779049611197</v>
      </c>
      <c r="AM6547">
        <v>86.745222590830295</v>
      </c>
      <c r="AN6547">
        <v>1.00000004279532</v>
      </c>
    </row>
    <row r="6548" spans="1:40" x14ac:dyDescent="0.25">
      <c r="A6548" t="str">
        <f>"20190303171142574"</f>
        <v>20190303171142574</v>
      </c>
      <c r="B6548" t="str">
        <f>"1551604302567174"</f>
        <v>1551604302567174</v>
      </c>
      <c r="C6548" t="s">
        <v>40</v>
      </c>
      <c r="D6548">
        <v>5.8971039999999997</v>
      </c>
      <c r="E6548">
        <v>0.4466676</v>
      </c>
      <c r="F6548" t="s">
        <v>62</v>
      </c>
      <c r="G6548">
        <v>0</v>
      </c>
      <c r="H6548">
        <v>0</v>
      </c>
      <c r="I6548">
        <v>0</v>
      </c>
      <c r="J6548">
        <v>-126.03830000000001</v>
      </c>
      <c r="K6548">
        <v>1.1247799999999999</v>
      </c>
      <c r="L6548">
        <v>134.2467</v>
      </c>
      <c r="M6548">
        <v>0.99620629999999999</v>
      </c>
      <c r="N6548">
        <v>-2.8061240000000001E-2</v>
      </c>
      <c r="O6548">
        <v>8.2374680000000006E-2</v>
      </c>
      <c r="P6548">
        <v>0.986711</v>
      </c>
      <c r="Q6548">
        <v>0.16059799999999999</v>
      </c>
      <c r="R6548">
        <v>2.4691749999999998E-2</v>
      </c>
      <c r="S6548">
        <v>2.9447939999999999</v>
      </c>
      <c r="T6548">
        <v>0.51981840000000001</v>
      </c>
      <c r="U6548">
        <v>0.49018859999999997</v>
      </c>
      <c r="V6548">
        <v>5.5896620000000001E-2</v>
      </c>
      <c r="W6548">
        <v>0.1884275</v>
      </c>
      <c r="X6548">
        <v>0.98049509999999995</v>
      </c>
      <c r="Y6548">
        <v>-8.2971980000000001E-2</v>
      </c>
      <c r="Z6548">
        <v>1.0539700000000001E-2</v>
      </c>
      <c r="AA6548">
        <v>0.9964961</v>
      </c>
      <c r="AB6548">
        <v>21</v>
      </c>
      <c r="AC6548">
        <v>2.9447939999999999</v>
      </c>
      <c r="AD6548">
        <v>0.51981840000000001</v>
      </c>
      <c r="AE6548">
        <v>0.49018859999999997</v>
      </c>
      <c r="AF6548">
        <v>-0.23861462151555399</v>
      </c>
      <c r="AG6548">
        <v>0.51981840000000001</v>
      </c>
      <c r="AH6548">
        <v>2.8876215312870901</v>
      </c>
      <c r="AI6548">
        <v>79.829070899598193</v>
      </c>
      <c r="AJ6548">
        <v>94.7238252812014</v>
      </c>
      <c r="AK6548">
        <v>2.9437231891827702</v>
      </c>
      <c r="AL6548">
        <v>79.138970874255406</v>
      </c>
      <c r="AM6548">
        <v>86.737181386545004</v>
      </c>
      <c r="AN6548">
        <v>0.99999999800384198</v>
      </c>
    </row>
    <row r="6549" spans="1:40" x14ac:dyDescent="0.25">
      <c r="A6549" t="str">
        <f>"20190303171142598"</f>
        <v>20190303171142598</v>
      </c>
      <c r="B6549" t="str">
        <f>"1551604302587669"</f>
        <v>1551604302587669</v>
      </c>
      <c r="C6549" t="s">
        <v>40</v>
      </c>
      <c r="D6549">
        <v>5.9017710000000001</v>
      </c>
      <c r="E6549">
        <v>0.44662649999999998</v>
      </c>
      <c r="F6549" t="s">
        <v>62</v>
      </c>
      <c r="G6549">
        <v>0</v>
      </c>
      <c r="H6549">
        <v>0</v>
      </c>
      <c r="I6549">
        <v>0</v>
      </c>
      <c r="J6549">
        <v>-125.8365</v>
      </c>
      <c r="K6549">
        <v>1.124687</v>
      </c>
      <c r="L6549">
        <v>134.26730000000001</v>
      </c>
      <c r="M6549">
        <v>0.99595919999999905</v>
      </c>
      <c r="N6549">
        <v>-2.7420710000000001E-2</v>
      </c>
      <c r="O6549">
        <v>8.551955E-2</v>
      </c>
      <c r="P6549">
        <v>0.98623419999999895</v>
      </c>
      <c r="Q6549">
        <v>0.16294249999999999</v>
      </c>
      <c r="R6549">
        <v>2.813976E-2</v>
      </c>
      <c r="S6549">
        <v>2.9428100000000001</v>
      </c>
      <c r="T6549">
        <v>0.52307060000000005</v>
      </c>
      <c r="U6549">
        <v>0.49734499999999998</v>
      </c>
      <c r="V6549">
        <v>5.5532430000000001E-2</v>
      </c>
      <c r="W6549">
        <v>0.19012809999999999</v>
      </c>
      <c r="X6549">
        <v>0.98018749999999999</v>
      </c>
      <c r="Y6549">
        <v>-8.2352699999999904E-2</v>
      </c>
      <c r="Z6549">
        <v>1.118543E-2</v>
      </c>
      <c r="AA6549">
        <v>0.99654050000000005</v>
      </c>
      <c r="AB6549">
        <v>21</v>
      </c>
      <c r="AC6549">
        <v>2.9428100000000001</v>
      </c>
      <c r="AD6549">
        <v>0.52307060000000005</v>
      </c>
      <c r="AE6549">
        <v>0.49734499999999998</v>
      </c>
      <c r="AF6549">
        <v>-0.23649497690146101</v>
      </c>
      <c r="AG6549">
        <v>0.52307060000000005</v>
      </c>
      <c r="AH6549">
        <v>2.88592530400991</v>
      </c>
      <c r="AI6549">
        <v>79.760328552907495</v>
      </c>
      <c r="AJ6549">
        <v>94.684789987354904</v>
      </c>
      <c r="AK6549">
        <v>2.9424645430333798</v>
      </c>
      <c r="AL6549">
        <v>79.039740385210493</v>
      </c>
      <c r="AM6549">
        <v>86.757379436718793</v>
      </c>
      <c r="AN6549">
        <v>1.0000000401737801</v>
      </c>
    </row>
    <row r="6550" spans="1:40" x14ac:dyDescent="0.25">
      <c r="A6550" t="str">
        <f>"20190303171142619"</f>
        <v>20190303171142619</v>
      </c>
      <c r="B6550" t="str">
        <f>"1551604302607190"</f>
        <v>1551604302607190</v>
      </c>
      <c r="C6550" t="s">
        <v>40</v>
      </c>
      <c r="D6550">
        <v>5.8915259999999998</v>
      </c>
      <c r="E6550">
        <v>0.44673849999999998</v>
      </c>
      <c r="F6550" t="s">
        <v>62</v>
      </c>
      <c r="G6550">
        <v>0</v>
      </c>
      <c r="H6550">
        <v>0</v>
      </c>
      <c r="I6550">
        <v>0</v>
      </c>
      <c r="J6550">
        <v>-125.6354</v>
      </c>
      <c r="K6550">
        <v>1.1245849999999999</v>
      </c>
      <c r="L6550">
        <v>134.2885</v>
      </c>
      <c r="M6550">
        <v>0.99570199999999998</v>
      </c>
      <c r="N6550">
        <v>-2.675201E-2</v>
      </c>
      <c r="O6550">
        <v>8.8668090000000005E-2</v>
      </c>
      <c r="P6550">
        <v>0.98578730000000003</v>
      </c>
      <c r="Q6550">
        <v>0.1649997</v>
      </c>
      <c r="R6550">
        <v>3.1607690000000001E-2</v>
      </c>
      <c r="S6550">
        <v>2.93988</v>
      </c>
      <c r="T6550">
        <v>0.52960909999999894</v>
      </c>
      <c r="U6550">
        <v>0.50802609999999904</v>
      </c>
      <c r="V6550">
        <v>5.5157310000000001E-2</v>
      </c>
      <c r="W6550">
        <v>0.1915154</v>
      </c>
      <c r="X6550">
        <v>0.97993850000000005</v>
      </c>
      <c r="Y6550">
        <v>-8.2933519999999997E-2</v>
      </c>
      <c r="Z6550">
        <v>1.179506E-2</v>
      </c>
      <c r="AA6550">
        <v>0.99648530000000002</v>
      </c>
      <c r="AB6550">
        <v>20</v>
      </c>
      <c r="AC6550">
        <v>2.93988</v>
      </c>
      <c r="AD6550">
        <v>0.52960909999999894</v>
      </c>
      <c r="AE6550">
        <v>0.50802609999999904</v>
      </c>
      <c r="AF6550">
        <v>-0.23776443686769699</v>
      </c>
      <c r="AG6550">
        <v>0.52960909999999894</v>
      </c>
      <c r="AH6550">
        <v>2.88252067172085</v>
      </c>
      <c r="AI6550">
        <v>79.623556954097893</v>
      </c>
      <c r="AJ6550">
        <v>94.715362064058297</v>
      </c>
      <c r="AK6550">
        <v>2.9403984677488602</v>
      </c>
      <c r="AL6550">
        <v>78.958765239707006</v>
      </c>
      <c r="AM6550">
        <v>86.778420313177406</v>
      </c>
      <c r="AN6550">
        <v>0.999999970532922</v>
      </c>
    </row>
    <row r="6551" spans="1:40" x14ac:dyDescent="0.25">
      <c r="A6551" t="str">
        <f>"20190303171142666"</f>
        <v>20190303171142666</v>
      </c>
      <c r="B6551" t="str">
        <f>"1551604302657517"</f>
        <v>1551604302657517</v>
      </c>
      <c r="C6551" t="s">
        <v>40</v>
      </c>
      <c r="D6551">
        <v>5.8985750000000001</v>
      </c>
      <c r="E6551">
        <v>0.44730609999999998</v>
      </c>
      <c r="F6551" t="s">
        <v>62</v>
      </c>
      <c r="G6551">
        <v>0</v>
      </c>
      <c r="H6551">
        <v>0</v>
      </c>
      <c r="I6551">
        <v>0</v>
      </c>
      <c r="J6551">
        <v>-125.2366</v>
      </c>
      <c r="K6551">
        <v>1.124398</v>
      </c>
      <c r="L6551">
        <v>134.33240000000001</v>
      </c>
      <c r="M6551">
        <v>0.99514979999999997</v>
      </c>
      <c r="N6551">
        <v>-2.5652299999999999E-2</v>
      </c>
      <c r="O6551">
        <v>9.4967750000000004E-2</v>
      </c>
      <c r="P6551">
        <v>0.98595330000000003</v>
      </c>
      <c r="Q6551">
        <v>0.16226499999999999</v>
      </c>
      <c r="R6551">
        <v>3.957422E-2</v>
      </c>
      <c r="S6551">
        <v>2.9366300000000001</v>
      </c>
      <c r="T6551">
        <v>0.53799030000000003</v>
      </c>
      <c r="U6551">
        <v>0.51719669999999995</v>
      </c>
      <c r="V6551">
        <v>5.3525110000000001E-2</v>
      </c>
      <c r="W6551">
        <v>0.1876997</v>
      </c>
      <c r="X6551">
        <v>0.98076700000000006</v>
      </c>
      <c r="Y6551">
        <v>-7.9989969999999994E-2</v>
      </c>
      <c r="Z6551">
        <v>1.3303199999999999E-2</v>
      </c>
      <c r="AA6551">
        <v>0.99670689999999995</v>
      </c>
      <c r="AB6551">
        <v>20</v>
      </c>
      <c r="AC6551">
        <v>2.9366300000000001</v>
      </c>
      <c r="AD6551">
        <v>0.53799030000000003</v>
      </c>
      <c r="AE6551">
        <v>0.51719669999999995</v>
      </c>
      <c r="AF6551">
        <v>-0.228444238031173</v>
      </c>
      <c r="AG6551">
        <v>0.53799030000000003</v>
      </c>
      <c r="AH6551">
        <v>2.8787707216138299</v>
      </c>
      <c r="AI6551">
        <v>79.446983631042698</v>
      </c>
      <c r="AJ6551">
        <v>94.537186501350604</v>
      </c>
      <c r="AK6551">
        <v>2.9375059489990401</v>
      </c>
      <c r="AL6551">
        <v>79.181428466327205</v>
      </c>
      <c r="AM6551">
        <v>86.876196237005701</v>
      </c>
      <c r="AN6551">
        <v>1.0000000115348</v>
      </c>
    </row>
    <row r="6552" spans="1:40" x14ac:dyDescent="0.25">
      <c r="A6552" t="str">
        <f>"20190303171142687"</f>
        <v>20190303171142687</v>
      </c>
      <c r="B6552" t="str">
        <f>"1551604302677037"</f>
        <v>1551604302677037</v>
      </c>
      <c r="C6552" t="s">
        <v>40</v>
      </c>
      <c r="D6552">
        <v>5.9108260000000001</v>
      </c>
      <c r="E6552">
        <v>0.44764520000000002</v>
      </c>
      <c r="F6552" t="s">
        <v>62</v>
      </c>
      <c r="G6552">
        <v>0</v>
      </c>
      <c r="H6552">
        <v>0</v>
      </c>
      <c r="I6552">
        <v>0</v>
      </c>
      <c r="J6552">
        <v>-125.0411</v>
      </c>
      <c r="K6552">
        <v>1.1243399999999999</v>
      </c>
      <c r="L6552">
        <v>134.35480000000001</v>
      </c>
      <c r="M6552">
        <v>0.99486059999999998</v>
      </c>
      <c r="N6552">
        <v>-2.5213260000000001E-2</v>
      </c>
      <c r="O6552">
        <v>9.8064360000000003E-2</v>
      </c>
      <c r="P6552">
        <v>0.98604910000000001</v>
      </c>
      <c r="Q6552">
        <v>0.16088910000000001</v>
      </c>
      <c r="R6552">
        <v>4.2682249999999998E-2</v>
      </c>
      <c r="S6552">
        <v>2.9337309999999999</v>
      </c>
      <c r="T6552">
        <v>0.53159519999999905</v>
      </c>
      <c r="U6552">
        <v>0.53640750000000004</v>
      </c>
      <c r="V6552">
        <v>5.3528190000000003E-2</v>
      </c>
      <c r="W6552">
        <v>0.18589430000000001</v>
      </c>
      <c r="X6552">
        <v>0.98111060000000005</v>
      </c>
      <c r="Y6552">
        <v>-8.3372619999999995E-2</v>
      </c>
      <c r="Z6552">
        <v>1.3498069999999999E-2</v>
      </c>
      <c r="AA6552">
        <v>0.99642699999999995</v>
      </c>
      <c r="AB6552">
        <v>20</v>
      </c>
      <c r="AC6552">
        <v>2.9337309999999999</v>
      </c>
      <c r="AD6552">
        <v>0.53159519999999905</v>
      </c>
      <c r="AE6552">
        <v>0.53640750000000004</v>
      </c>
      <c r="AF6552">
        <v>-0.23845824063267401</v>
      </c>
      <c r="AG6552">
        <v>0.53159519999999905</v>
      </c>
      <c r="AH6552">
        <v>2.8806768901680599</v>
      </c>
      <c r="AI6552">
        <v>79.579219737472002</v>
      </c>
      <c r="AJ6552">
        <v>94.732072416560996</v>
      </c>
      <c r="AK6552">
        <v>2.9390058071968799</v>
      </c>
      <c r="AL6552">
        <v>79.286723328643802</v>
      </c>
      <c r="AM6552">
        <v>86.877108740706404</v>
      </c>
      <c r="AN6552">
        <v>0.99999998366476295</v>
      </c>
    </row>
    <row r="6553" spans="1:40" x14ac:dyDescent="0.25">
      <c r="A6553" t="str">
        <f>"20190303171142710"</f>
        <v>20190303171142710</v>
      </c>
      <c r="B6553" t="str">
        <f>"1551604302697533"</f>
        <v>1551604302697533</v>
      </c>
      <c r="C6553" t="s">
        <v>40</v>
      </c>
      <c r="D6553">
        <v>5.8843709999999998</v>
      </c>
      <c r="E6553">
        <v>0.44805869999999998</v>
      </c>
      <c r="F6553" t="s">
        <v>62</v>
      </c>
      <c r="G6553">
        <v>0</v>
      </c>
      <c r="H6553">
        <v>0</v>
      </c>
      <c r="I6553">
        <v>0</v>
      </c>
      <c r="J6553">
        <v>-124.8502</v>
      </c>
      <c r="K6553">
        <v>1.1243179999999999</v>
      </c>
      <c r="L6553">
        <v>134.37729999999999</v>
      </c>
      <c r="M6553">
        <v>0.9945695</v>
      </c>
      <c r="N6553">
        <v>-2.4832409999999999E-2</v>
      </c>
      <c r="O6553">
        <v>0.1010691</v>
      </c>
      <c r="P6553">
        <v>0.98597729999999995</v>
      </c>
      <c r="Q6553">
        <v>0.1607971</v>
      </c>
      <c r="R6553">
        <v>4.4645949999999997E-2</v>
      </c>
      <c r="S6553">
        <v>2.9331670000000001</v>
      </c>
      <c r="T6553">
        <v>0.52558700000000003</v>
      </c>
      <c r="U6553">
        <v>0.54310609999999904</v>
      </c>
      <c r="V6553">
        <v>5.4553289999999997E-2</v>
      </c>
      <c r="W6553">
        <v>0.18542910000000001</v>
      </c>
      <c r="X6553">
        <v>0.98114219999999996</v>
      </c>
      <c r="Y6553">
        <v>-8.2644850000000006E-2</v>
      </c>
      <c r="Z6553">
        <v>1.398774E-2</v>
      </c>
      <c r="AA6553">
        <v>0.9964809</v>
      </c>
      <c r="AB6553">
        <v>20</v>
      </c>
      <c r="AC6553">
        <v>2.9331670000000001</v>
      </c>
      <c r="AD6553">
        <v>0.52558700000000003</v>
      </c>
      <c r="AE6553">
        <v>0.54310609999999904</v>
      </c>
      <c r="AF6553">
        <v>-0.23643938486316901</v>
      </c>
      <c r="AG6553">
        <v>0.52558700000000003</v>
      </c>
      <c r="AH6553">
        <v>2.8835304221547302</v>
      </c>
      <c r="AI6553">
        <v>79.703795123326401</v>
      </c>
      <c r="AJ6553">
        <v>94.687566308365106</v>
      </c>
      <c r="AK6553">
        <v>2.94055997605478</v>
      </c>
      <c r="AL6553">
        <v>79.313849273770501</v>
      </c>
      <c r="AM6553">
        <v>86.817527402041705</v>
      </c>
      <c r="AN6553">
        <v>1.00000001459873</v>
      </c>
    </row>
    <row r="6554" spans="1:40" x14ac:dyDescent="0.25">
      <c r="A6554" t="str">
        <f>"20190303171142734"</f>
        <v>20190303171142734</v>
      </c>
      <c r="B6554" t="str">
        <f>"1551604302726813"</f>
        <v>1551604302726813</v>
      </c>
      <c r="C6554" t="s">
        <v>40</v>
      </c>
      <c r="D6554">
        <v>5.9247139999999998</v>
      </c>
      <c r="E6554">
        <v>0.4487371</v>
      </c>
      <c r="F6554" t="s">
        <v>62</v>
      </c>
      <c r="G6554">
        <v>0</v>
      </c>
      <c r="H6554">
        <v>0</v>
      </c>
      <c r="I6554">
        <v>0</v>
      </c>
      <c r="J6554">
        <v>-124.65009999999999</v>
      </c>
      <c r="K6554">
        <v>1.124314</v>
      </c>
      <c r="L6554">
        <v>134.4015</v>
      </c>
      <c r="M6554">
        <v>0.99425509999999995</v>
      </c>
      <c r="N6554">
        <v>-2.4499E-2</v>
      </c>
      <c r="O6554">
        <v>0.1041952</v>
      </c>
      <c r="P6554">
        <v>0.9856914</v>
      </c>
      <c r="Q6554">
        <v>0.16241249999999999</v>
      </c>
      <c r="R6554">
        <v>4.5108309999999999E-2</v>
      </c>
      <c r="S6554">
        <v>2.9322509999999999</v>
      </c>
      <c r="T6554">
        <v>0.52549769999999996</v>
      </c>
      <c r="U6554">
        <v>0.54560850000000005</v>
      </c>
      <c r="V6554">
        <v>5.7163350000000002E-2</v>
      </c>
      <c r="W6554">
        <v>0.18671460000000001</v>
      </c>
      <c r="X6554">
        <v>0.98074969999999995</v>
      </c>
      <c r="Y6554">
        <v>-8.0471280000000006E-2</v>
      </c>
      <c r="Z6554">
        <v>1.4727809999999999E-2</v>
      </c>
      <c r="AA6554">
        <v>0.99664810000000004</v>
      </c>
      <c r="AB6554">
        <v>20</v>
      </c>
      <c r="AC6554">
        <v>2.9322509999999999</v>
      </c>
      <c r="AD6554">
        <v>0.52549769999999996</v>
      </c>
      <c r="AE6554">
        <v>0.54560850000000005</v>
      </c>
      <c r="AF6554">
        <v>-0.22988254875074901</v>
      </c>
      <c r="AG6554">
        <v>0.52549769999999996</v>
      </c>
      <c r="AH6554">
        <v>2.8836323099736001</v>
      </c>
      <c r="AI6554">
        <v>79.704020410159501</v>
      </c>
      <c r="AJ6554">
        <v>94.557967886900997</v>
      </c>
      <c r="AK6554">
        <v>2.9401239970533699</v>
      </c>
      <c r="AL6554">
        <v>79.238886051104004</v>
      </c>
      <c r="AM6554">
        <v>86.664268773256197</v>
      </c>
      <c r="AN6554">
        <v>0.99999998224323605</v>
      </c>
    </row>
    <row r="6555" spans="1:40" x14ac:dyDescent="0.25">
      <c r="A6555" t="str">
        <f>"20190303171142755"</f>
        <v>20190303171142755</v>
      </c>
      <c r="B6555" t="str">
        <f>"1551604302747226"</f>
        <v>1551604302747226</v>
      </c>
      <c r="C6555" t="s">
        <v>40</v>
      </c>
      <c r="D6555">
        <v>5.8972749999999996</v>
      </c>
      <c r="E6555">
        <v>0.44916440000000002</v>
      </c>
      <c r="F6555" t="s">
        <v>62</v>
      </c>
      <c r="G6555">
        <v>0</v>
      </c>
      <c r="H6555">
        <v>0</v>
      </c>
      <c r="I6555">
        <v>0</v>
      </c>
      <c r="J6555">
        <v>-124.468</v>
      </c>
      <c r="K6555">
        <v>1.124306</v>
      </c>
      <c r="L6555">
        <v>134.42410000000001</v>
      </c>
      <c r="M6555">
        <v>0.99395900000000004</v>
      </c>
      <c r="N6555">
        <v>-2.42886E-2</v>
      </c>
      <c r="O6555">
        <v>0.107031399999999</v>
      </c>
      <c r="P6555">
        <v>0.9855334</v>
      </c>
      <c r="Q6555">
        <v>0.1632422</v>
      </c>
      <c r="R6555">
        <v>4.556528E-2</v>
      </c>
      <c r="S6555">
        <v>2.9312900000000002</v>
      </c>
      <c r="T6555">
        <v>0.53098290000000004</v>
      </c>
      <c r="U6555">
        <v>0.54145810000000005</v>
      </c>
      <c r="V6555">
        <v>5.9510859999999999E-2</v>
      </c>
      <c r="W6555">
        <v>0.18733630000000001</v>
      </c>
      <c r="X6555">
        <v>0.98049149999999996</v>
      </c>
      <c r="Y6555">
        <v>-7.6441350000000005E-2</v>
      </c>
      <c r="Z6555">
        <v>1.5696580000000002E-2</v>
      </c>
      <c r="AA6555">
        <v>0.99695049999999996</v>
      </c>
      <c r="AB6555">
        <v>19</v>
      </c>
      <c r="AC6555">
        <v>2.9312900000000002</v>
      </c>
      <c r="AD6555">
        <v>0.53098290000000004</v>
      </c>
      <c r="AE6555">
        <v>0.54145810000000005</v>
      </c>
      <c r="AF6555">
        <v>-0.21760853937388799</v>
      </c>
      <c r="AG6555">
        <v>0.53098290000000004</v>
      </c>
      <c r="AH6555">
        <v>2.8809972239743402</v>
      </c>
      <c r="AI6555">
        <v>79.586287762146299</v>
      </c>
      <c r="AJ6555">
        <v>94.319483882398501</v>
      </c>
      <c r="AK6555">
        <v>2.9375910745113401</v>
      </c>
      <c r="AL6555">
        <v>79.202625714659007</v>
      </c>
      <c r="AM6555">
        <v>86.526697733712396</v>
      </c>
      <c r="AN6555">
        <v>1.0000000066639301</v>
      </c>
    </row>
    <row r="6556" spans="1:40" x14ac:dyDescent="0.25">
      <c r="A6556" t="str">
        <f>"20190303171142775"</f>
        <v>20190303171142775</v>
      </c>
      <c r="B6556" t="str">
        <f>"1551604302766723"</f>
        <v>1551604302766723</v>
      </c>
      <c r="C6556" t="s">
        <v>40</v>
      </c>
      <c r="D6556">
        <v>4.9104269999999897</v>
      </c>
      <c r="E6556">
        <v>0.44921309999999898</v>
      </c>
      <c r="F6556" t="s">
        <v>62</v>
      </c>
      <c r="G6556">
        <v>0</v>
      </c>
      <c r="H6556">
        <v>0</v>
      </c>
      <c r="I6556">
        <v>0</v>
      </c>
      <c r="J6556">
        <v>-124.30070000000001</v>
      </c>
      <c r="K6556">
        <v>1.1243030000000001</v>
      </c>
      <c r="L6556">
        <v>134.4453</v>
      </c>
      <c r="M6556">
        <v>0.99367709999999998</v>
      </c>
      <c r="N6556">
        <v>-2.41817E-2</v>
      </c>
      <c r="O6556">
        <v>0.1096409</v>
      </c>
      <c r="P6556">
        <v>0.98553809999999997</v>
      </c>
      <c r="Q6556">
        <v>0.16316339999999999</v>
      </c>
      <c r="R6556">
        <v>4.5745950000000001E-2</v>
      </c>
      <c r="S6556">
        <v>2.9305729999999999</v>
      </c>
      <c r="T6556">
        <v>0.53458890000000003</v>
      </c>
      <c r="U6556">
        <v>0.53924559999999999</v>
      </c>
      <c r="V6556">
        <v>6.1933370000000001E-2</v>
      </c>
      <c r="W6556">
        <v>0.1871526</v>
      </c>
      <c r="X6556">
        <v>0.98037649999999998</v>
      </c>
      <c r="Y6556">
        <v>-7.3243279999999994E-2</v>
      </c>
      <c r="Z6556">
        <v>1.6540590000000001E-2</v>
      </c>
      <c r="AA6556">
        <v>0.99717690000000003</v>
      </c>
      <c r="AB6556">
        <v>19</v>
      </c>
      <c r="AC6556">
        <v>2.9305729999999999</v>
      </c>
      <c r="AD6556">
        <v>0.53458890000000003</v>
      </c>
      <c r="AE6556">
        <v>0.53924559999999999</v>
      </c>
      <c r="AF6556">
        <v>-0.20789662276058299</v>
      </c>
      <c r="AG6556">
        <v>0.53458890000000003</v>
      </c>
      <c r="AH6556">
        <v>2.8793591696258698</v>
      </c>
      <c r="AI6556">
        <v>79.508788330890695</v>
      </c>
      <c r="AJ6556">
        <v>94.129726004344306</v>
      </c>
      <c r="AK6556">
        <v>2.9359352045757099</v>
      </c>
      <c r="AL6556">
        <v>79.213339946512093</v>
      </c>
      <c r="AM6556">
        <v>86.385254578813303</v>
      </c>
      <c r="AN6556">
        <v>0.99999995987928203</v>
      </c>
    </row>
    <row r="6557" spans="1:40" x14ac:dyDescent="0.25">
      <c r="A6557" t="str">
        <f>"20190303171142798"</f>
        <v>20190303171142798</v>
      </c>
      <c r="B6557" t="str">
        <f>"1551604302787219"</f>
        <v>1551604302787219</v>
      </c>
      <c r="C6557" t="s">
        <v>40</v>
      </c>
      <c r="D6557">
        <v>5.3946569999999996</v>
      </c>
      <c r="E6557">
        <v>0.48182340000000001</v>
      </c>
      <c r="F6557" t="s">
        <v>62</v>
      </c>
      <c r="G6557">
        <v>0</v>
      </c>
      <c r="H6557">
        <v>0</v>
      </c>
      <c r="I6557">
        <v>0</v>
      </c>
      <c r="J6557">
        <v>-124.116</v>
      </c>
      <c r="K6557">
        <v>1.1242989999999999</v>
      </c>
      <c r="L6557">
        <v>134.4693</v>
      </c>
      <c r="M6557">
        <v>0.99335569999999895</v>
      </c>
      <c r="N6557">
        <v>-2.4132460000000001E-2</v>
      </c>
      <c r="O6557">
        <v>0.1125256</v>
      </c>
      <c r="P6557">
        <v>0.9854636</v>
      </c>
      <c r="Q6557">
        <v>0.163492</v>
      </c>
      <c r="R6557">
        <v>4.6176370000000001E-2</v>
      </c>
      <c r="S6557">
        <v>2.930634</v>
      </c>
      <c r="T6557">
        <v>0.53370169999999995</v>
      </c>
      <c r="U6557">
        <v>0.53939820000000005</v>
      </c>
      <c r="V6557">
        <v>6.4375509999999997E-2</v>
      </c>
      <c r="W6557">
        <v>0.18742990000000001</v>
      </c>
      <c r="X6557">
        <v>0.98016619999999999</v>
      </c>
      <c r="Y6557">
        <v>-7.0485080000000006E-2</v>
      </c>
      <c r="Z6557">
        <v>1.7306060000000002E-2</v>
      </c>
      <c r="AA6557">
        <v>0.99736270000000005</v>
      </c>
      <c r="AB6557">
        <v>19</v>
      </c>
      <c r="AC6557">
        <v>2.930634</v>
      </c>
      <c r="AD6557">
        <v>0.53370169999999995</v>
      </c>
      <c r="AE6557">
        <v>0.53939820000000005</v>
      </c>
      <c r="AF6557">
        <v>-0.19969710134414201</v>
      </c>
      <c r="AG6557">
        <v>0.53370169999999995</v>
      </c>
      <c r="AH6557">
        <v>2.8803291374728301</v>
      </c>
      <c r="AI6557">
        <v>79.5271928934133</v>
      </c>
      <c r="AJ6557">
        <v>93.966047032480304</v>
      </c>
      <c r="AK6557">
        <v>2.9361560546134302</v>
      </c>
      <c r="AL6557">
        <v>79.197165795501803</v>
      </c>
      <c r="AM6557">
        <v>86.242315645987205</v>
      </c>
      <c r="AN6557">
        <v>0.99999997666210405</v>
      </c>
    </row>
    <row r="6558" spans="1:40" x14ac:dyDescent="0.25">
      <c r="A6558" t="str">
        <f>"20190303171142821"</f>
        <v>20190303171142821</v>
      </c>
      <c r="B6558" t="str">
        <f>"1551604302817475"</f>
        <v>1551604302817475</v>
      </c>
      <c r="C6558" t="s">
        <v>40</v>
      </c>
      <c r="D6558">
        <v>8.6264039999999902</v>
      </c>
      <c r="E6558">
        <v>0.47784480000000001</v>
      </c>
      <c r="F6558" t="s">
        <v>62</v>
      </c>
      <c r="G6558">
        <v>0</v>
      </c>
      <c r="H6558">
        <v>0</v>
      </c>
      <c r="I6558">
        <v>0</v>
      </c>
      <c r="J6558">
        <v>-123.93259999999999</v>
      </c>
      <c r="K6558">
        <v>1.124298</v>
      </c>
      <c r="L6558">
        <v>134.49369999999999</v>
      </c>
      <c r="M6558">
        <v>0.9930291</v>
      </c>
      <c r="N6558">
        <v>-2.4134630000000001E-2</v>
      </c>
      <c r="O6558">
        <v>0.1153728</v>
      </c>
      <c r="P6558">
        <v>0.98521369999999997</v>
      </c>
      <c r="Q6558">
        <v>0.16435849999999999</v>
      </c>
      <c r="R6558">
        <v>4.8377139999999999E-2</v>
      </c>
      <c r="S6558">
        <v>3.029099</v>
      </c>
      <c r="T6558">
        <v>1.1309390000000001E-3</v>
      </c>
      <c r="U6558">
        <v>0.31947330000000002</v>
      </c>
      <c r="V6558">
        <v>6.5000000000000002E-2</v>
      </c>
      <c r="W6558">
        <v>0.18828890000000001</v>
      </c>
      <c r="X6558">
        <v>0.97996030000000001</v>
      </c>
      <c r="Y6558">
        <v>1.054983E-2</v>
      </c>
      <c r="Z6558">
        <v>2.703188E-3</v>
      </c>
      <c r="AA6558">
        <v>0.99994070000000002</v>
      </c>
      <c r="AB6558">
        <v>19</v>
      </c>
      <c r="AC6558">
        <v>3.029099</v>
      </c>
      <c r="AD6558">
        <v>1.1309390000000001E-3</v>
      </c>
      <c r="AE6558">
        <v>0.31947330000000002</v>
      </c>
      <c r="AF6558">
        <v>3.2238733145003903E-2</v>
      </c>
      <c r="AG6558">
        <v>1.1309390000000001E-3</v>
      </c>
      <c r="AH6558">
        <v>3.0457284920448102</v>
      </c>
      <c r="AI6558">
        <v>89.978726140857901</v>
      </c>
      <c r="AJ6558">
        <v>89.393552520916202</v>
      </c>
      <c r="AK6558">
        <v>3.04589931911601</v>
      </c>
      <c r="AL6558">
        <v>79.147056273877794</v>
      </c>
      <c r="AM6558">
        <v>86.205174451681501</v>
      </c>
      <c r="AN6558">
        <v>0.99999994971964801</v>
      </c>
    </row>
    <row r="6559" spans="1:40" x14ac:dyDescent="0.25">
      <c r="A6559" t="str">
        <f>"20190303171142846"</f>
        <v>20190303171142846</v>
      </c>
      <c r="B6559" t="str">
        <f>"1551604302836995"</f>
        <v>1551604302836995</v>
      </c>
      <c r="C6559" t="s">
        <v>40</v>
      </c>
      <c r="D6559">
        <v>9.9742049999999995</v>
      </c>
      <c r="E6559">
        <v>0.48217840000000001</v>
      </c>
      <c r="F6559" t="s">
        <v>66</v>
      </c>
      <c r="G6559">
        <v>-33.230559999999997</v>
      </c>
      <c r="H6559">
        <v>-0.1</v>
      </c>
      <c r="I6559">
        <v>145.3192</v>
      </c>
      <c r="J6559">
        <v>-123.73869999999999</v>
      </c>
      <c r="K6559">
        <v>1.124293</v>
      </c>
      <c r="L6559">
        <v>134.52010000000001</v>
      </c>
      <c r="M6559">
        <v>0.99267640000000001</v>
      </c>
      <c r="N6559">
        <v>-2.4183320000000001E-2</v>
      </c>
      <c r="O6559">
        <v>0.11835900000000001</v>
      </c>
      <c r="P6559">
        <v>0.98504480000000005</v>
      </c>
      <c r="Q6559">
        <v>0.16467799999999999</v>
      </c>
      <c r="R6559">
        <v>5.0674780000000003E-2</v>
      </c>
      <c r="S6559">
        <v>3.0340579999999999</v>
      </c>
      <c r="T6559">
        <v>-4.0953759999999999E-2</v>
      </c>
      <c r="U6559">
        <v>0.36212159999999999</v>
      </c>
      <c r="V6559">
        <v>6.567837E-2</v>
      </c>
      <c r="W6559">
        <v>0.18864810000000001</v>
      </c>
      <c r="X6559">
        <v>0.97984610000000005</v>
      </c>
      <c r="Y6559">
        <v>-1.2515059999999999E-4</v>
      </c>
      <c r="Z6559">
        <v>1.278892E-3</v>
      </c>
      <c r="AA6559">
        <v>0.99999919999999998</v>
      </c>
      <c r="AB6559">
        <v>18</v>
      </c>
      <c r="AC6559">
        <v>90.508139999999997</v>
      </c>
      <c r="AD6559">
        <v>-1.2242930000000001</v>
      </c>
      <c r="AE6559">
        <v>10.7990999999999</v>
      </c>
      <c r="AF6559">
        <v>-7.5596159843360697E-3</v>
      </c>
      <c r="AG6559">
        <v>-1.2242930000000001</v>
      </c>
      <c r="AH6559">
        <v>91.133676181008596</v>
      </c>
      <c r="AI6559">
        <v>90.769667208284304</v>
      </c>
      <c r="AJ6559">
        <v>90.004752733652296</v>
      </c>
      <c r="AK6559">
        <v>91.141899721053605</v>
      </c>
      <c r="AL6559">
        <v>79.126101366269594</v>
      </c>
      <c r="AM6559">
        <v>86.165241881232504</v>
      </c>
      <c r="AN6559">
        <v>1.0000000668023299</v>
      </c>
    </row>
    <row r="6560" spans="1:40" x14ac:dyDescent="0.25">
      <c r="A6560" t="str">
        <f>"20190303171142869"</f>
        <v>20190303171142869</v>
      </c>
      <c r="B6560" t="str">
        <f>"1551604302857022"</f>
        <v>1551604302857022</v>
      </c>
      <c r="C6560" t="s">
        <v>40</v>
      </c>
      <c r="D6560">
        <v>5.6241890000000003</v>
      </c>
      <c r="E6560">
        <v>0.48312509999999997</v>
      </c>
      <c r="F6560" t="s">
        <v>62</v>
      </c>
      <c r="G6560">
        <v>0</v>
      </c>
      <c r="H6560">
        <v>0</v>
      </c>
      <c r="I6560">
        <v>0</v>
      </c>
      <c r="J6560">
        <v>-123.5551</v>
      </c>
      <c r="K6560">
        <v>1.1243590000000001</v>
      </c>
      <c r="L6560">
        <v>134.5455</v>
      </c>
      <c r="M6560">
        <v>0.9923381</v>
      </c>
      <c r="N6560">
        <v>-2.4741220000000001E-2</v>
      </c>
      <c r="O6560">
        <v>0.12105009999999999</v>
      </c>
      <c r="P6560">
        <v>0.98486989999999996</v>
      </c>
      <c r="Q6560">
        <v>0.16496520000000001</v>
      </c>
      <c r="R6560">
        <v>5.3085670000000001E-2</v>
      </c>
      <c r="S6560">
        <v>3.0258029999999998</v>
      </c>
      <c r="T6560">
        <v>1.601911E-2</v>
      </c>
      <c r="U6560">
        <v>0.3314667</v>
      </c>
      <c r="V6560">
        <v>6.5976099999999996E-2</v>
      </c>
      <c r="W6560">
        <v>0.18946560000000001</v>
      </c>
      <c r="X6560">
        <v>0.97966830000000005</v>
      </c>
      <c r="Y6560">
        <v>1.221949E-2</v>
      </c>
      <c r="Z6560">
        <v>3.514161E-3</v>
      </c>
      <c r="AA6560">
        <v>0.99991920000000001</v>
      </c>
      <c r="AB6560">
        <v>18</v>
      </c>
      <c r="AC6560">
        <v>3.0258029999999998</v>
      </c>
      <c r="AD6560">
        <v>1.601911E-2</v>
      </c>
      <c r="AE6560">
        <v>0.3314667</v>
      </c>
      <c r="AF6560">
        <v>3.7357118559091899E-2</v>
      </c>
      <c r="AG6560">
        <v>1.601911E-2</v>
      </c>
      <c r="AH6560">
        <v>3.0435908416311301</v>
      </c>
      <c r="AI6560">
        <v>89.698464793417699</v>
      </c>
      <c r="AJ6560">
        <v>89.296785322332198</v>
      </c>
      <c r="AK6560">
        <v>3.0438622467932301</v>
      </c>
      <c r="AL6560">
        <v>79.078401330336305</v>
      </c>
      <c r="AM6560">
        <v>86.147213550096694</v>
      </c>
      <c r="AN6560">
        <v>1.00000001868972</v>
      </c>
    </row>
    <row r="6561" spans="1:40" x14ac:dyDescent="0.25">
      <c r="A6561" t="str">
        <f>"20190303171142889"</f>
        <v>20190303171142889</v>
      </c>
      <c r="B6561" t="str">
        <f>"1551604302877518"</f>
        <v>1551604302877518</v>
      </c>
      <c r="C6561" t="s">
        <v>40</v>
      </c>
      <c r="D6561">
        <v>6.205209</v>
      </c>
      <c r="E6561">
        <v>0.48371599999999998</v>
      </c>
      <c r="F6561" t="s">
        <v>62</v>
      </c>
      <c r="G6561">
        <v>0</v>
      </c>
      <c r="H6561">
        <v>0</v>
      </c>
      <c r="I6561">
        <v>0</v>
      </c>
      <c r="J6561">
        <v>-123.4061</v>
      </c>
      <c r="K6561">
        <v>1.1244829999999999</v>
      </c>
      <c r="L6561">
        <v>134.56649999999999</v>
      </c>
      <c r="M6561">
        <v>0.99206280000000002</v>
      </c>
      <c r="N6561">
        <v>-2.5802169999999999E-2</v>
      </c>
      <c r="O6561">
        <v>0.1230685</v>
      </c>
      <c r="P6561">
        <v>0.98475950000000001</v>
      </c>
      <c r="Q6561">
        <v>0.16551270000000001</v>
      </c>
      <c r="R6561">
        <v>5.3426309999999998E-2</v>
      </c>
      <c r="S6561">
        <v>3.0175930000000002</v>
      </c>
      <c r="T6561">
        <v>6.4419509999999999E-2</v>
      </c>
      <c r="U6561">
        <v>0.32862849999999999</v>
      </c>
      <c r="V6561">
        <v>6.7692210000000003E-2</v>
      </c>
      <c r="W6561">
        <v>0.1910287</v>
      </c>
      <c r="X6561">
        <v>0.9792476</v>
      </c>
      <c r="Y6561">
        <v>1.4810800000000001E-2</v>
      </c>
      <c r="Z6561">
        <v>5.7530000000000003E-3</v>
      </c>
      <c r="AA6561">
        <v>0.99987380000000003</v>
      </c>
      <c r="AB6561">
        <v>18</v>
      </c>
      <c r="AC6561">
        <v>3.0175930000000002</v>
      </c>
      <c r="AD6561">
        <v>6.4419509999999999E-2</v>
      </c>
      <c r="AE6561">
        <v>0.32862849999999999</v>
      </c>
      <c r="AF6561">
        <v>4.5345209971522603E-2</v>
      </c>
      <c r="AG6561">
        <v>6.4419509999999999E-2</v>
      </c>
      <c r="AH6561">
        <v>3.0337293672855501</v>
      </c>
      <c r="AI6561">
        <v>88.783675489643699</v>
      </c>
      <c r="AJ6561">
        <v>89.143662673463893</v>
      </c>
      <c r="AK6561">
        <v>3.0347520385143198</v>
      </c>
      <c r="AL6561">
        <v>78.987176308314304</v>
      </c>
      <c r="AM6561">
        <v>86.045619298723906</v>
      </c>
      <c r="AN6561">
        <v>1.00000003081206</v>
      </c>
    </row>
    <row r="6562" spans="1:40" x14ac:dyDescent="0.25">
      <c r="A6562" t="str">
        <f>"20190303171142909"</f>
        <v>20190303171142909</v>
      </c>
      <c r="B6562" t="str">
        <f>"1551604302897038"</f>
        <v>1551604302897038</v>
      </c>
      <c r="C6562" t="s">
        <v>40</v>
      </c>
      <c r="D6562">
        <v>5.9557089999999997</v>
      </c>
      <c r="E6562">
        <v>0.48300189999999998</v>
      </c>
      <c r="F6562" t="s">
        <v>62</v>
      </c>
      <c r="G6562">
        <v>0</v>
      </c>
      <c r="H6562">
        <v>0</v>
      </c>
      <c r="I6562">
        <v>0</v>
      </c>
      <c r="J6562">
        <v>-123.25709999999999</v>
      </c>
      <c r="K6562">
        <v>1.124622</v>
      </c>
      <c r="L6562">
        <v>134.58770000000001</v>
      </c>
      <c r="M6562">
        <v>0.99178960000000005</v>
      </c>
      <c r="N6562">
        <v>-2.7118429999999999E-2</v>
      </c>
      <c r="O6562">
        <v>0.1249721</v>
      </c>
      <c r="P6562">
        <v>0.98468920000000004</v>
      </c>
      <c r="Q6562">
        <v>0.1658683</v>
      </c>
      <c r="R6562">
        <v>5.3617310000000001E-2</v>
      </c>
      <c r="S6562">
        <v>3.0027919999999999</v>
      </c>
      <c r="T6562">
        <v>0.15692149999999999</v>
      </c>
      <c r="U6562">
        <v>0.31802370000000002</v>
      </c>
      <c r="V6562">
        <v>6.9451970000000002E-2</v>
      </c>
      <c r="W6562">
        <v>0.1926475</v>
      </c>
      <c r="X6562">
        <v>0.97880719999999999</v>
      </c>
      <c r="Y6562">
        <v>1.942814E-2</v>
      </c>
      <c r="Z6562">
        <v>1.0115330000000001E-2</v>
      </c>
      <c r="AA6562">
        <v>0.99976010000000004</v>
      </c>
      <c r="AB6562">
        <v>17</v>
      </c>
      <c r="AC6562">
        <v>3.0027919999999999</v>
      </c>
      <c r="AD6562">
        <v>0.15692149999999999</v>
      </c>
      <c r="AE6562">
        <v>0.31802370000000002</v>
      </c>
      <c r="AF6562">
        <v>5.9713377143079199E-2</v>
      </c>
      <c r="AG6562">
        <v>0.15692149999999999</v>
      </c>
      <c r="AH6562">
        <v>3.0108608831130601</v>
      </c>
      <c r="AI6562">
        <v>87.017115855842405</v>
      </c>
      <c r="AJ6562">
        <v>88.863821294114501</v>
      </c>
      <c r="AK6562">
        <v>3.01553864210566</v>
      </c>
      <c r="AL6562">
        <v>78.892671208453507</v>
      </c>
      <c r="AM6562">
        <v>85.941338967917901</v>
      </c>
      <c r="AN6562">
        <v>1.00000008508248</v>
      </c>
    </row>
    <row r="6563" spans="1:40" x14ac:dyDescent="0.25">
      <c r="A6563" t="str">
        <f>"20190303171142933"</f>
        <v>20190303171142933</v>
      </c>
      <c r="B6563" t="str">
        <f>"1551604302927294"</f>
        <v>1551604302927294</v>
      </c>
      <c r="C6563" t="s">
        <v>40</v>
      </c>
      <c r="D6563">
        <v>6.0655320000000001</v>
      </c>
      <c r="E6563">
        <v>0.48340680000000003</v>
      </c>
      <c r="F6563" t="s">
        <v>62</v>
      </c>
      <c r="G6563">
        <v>0</v>
      </c>
      <c r="H6563">
        <v>0</v>
      </c>
      <c r="I6563">
        <v>0</v>
      </c>
      <c r="J6563">
        <v>-123.09180000000001</v>
      </c>
      <c r="K6563">
        <v>1.124728</v>
      </c>
      <c r="L6563">
        <v>134.6114</v>
      </c>
      <c r="M6563">
        <v>0.99148170000000002</v>
      </c>
      <c r="N6563">
        <v>-2.854104E-2</v>
      </c>
      <c r="O6563">
        <v>0.1270801</v>
      </c>
      <c r="P6563">
        <v>0.98491510000000004</v>
      </c>
      <c r="Q6563">
        <v>0.16448279999999901</v>
      </c>
      <c r="R6563">
        <v>5.3736649999999997E-2</v>
      </c>
      <c r="S6563">
        <v>2.9888919999999999</v>
      </c>
      <c r="T6563">
        <v>0.24036930000000001</v>
      </c>
      <c r="U6563">
        <v>0.31716919999999998</v>
      </c>
      <c r="V6563">
        <v>7.1523690000000001E-2</v>
      </c>
      <c r="W6563">
        <v>0.19263810000000001</v>
      </c>
      <c r="X6563">
        <v>0.97865970000000002</v>
      </c>
      <c r="Y6563">
        <v>2.0969789999999999E-2</v>
      </c>
      <c r="Z6563">
        <v>1.429949E-2</v>
      </c>
      <c r="AA6563">
        <v>0.99967779999999995</v>
      </c>
      <c r="AB6563">
        <v>17</v>
      </c>
      <c r="AC6563">
        <v>2.9888919999999999</v>
      </c>
      <c r="AD6563">
        <v>0.24036930000000001</v>
      </c>
      <c r="AE6563">
        <v>0.31716919999999998</v>
      </c>
      <c r="AF6563">
        <v>6.49723467841202E-2</v>
      </c>
      <c r="AG6563">
        <v>0.24036930000000001</v>
      </c>
      <c r="AH6563">
        <v>2.9858658125458</v>
      </c>
      <c r="AI6563">
        <v>85.398563333390598</v>
      </c>
      <c r="AJ6563">
        <v>88.753442350019697</v>
      </c>
      <c r="AK6563">
        <v>2.9962298738179101</v>
      </c>
      <c r="AL6563">
        <v>78.893218461244899</v>
      </c>
      <c r="AM6563">
        <v>85.8200661408016</v>
      </c>
      <c r="AN6563">
        <v>0.999999942103456</v>
      </c>
    </row>
    <row r="6564" spans="1:40" x14ac:dyDescent="0.25">
      <c r="A6564" t="str">
        <f>"20190303171142954"</f>
        <v>20190303171142954</v>
      </c>
      <c r="B6564" t="str">
        <f>"1551604302946814"</f>
        <v>1551604302946814</v>
      </c>
      <c r="C6564" t="s">
        <v>40</v>
      </c>
      <c r="D6564">
        <v>5.9483389999999998</v>
      </c>
      <c r="E6564">
        <v>0.48359950000000002</v>
      </c>
      <c r="F6564" t="s">
        <v>62</v>
      </c>
      <c r="G6564">
        <v>0</v>
      </c>
      <c r="H6564">
        <v>0</v>
      </c>
      <c r="I6564">
        <v>0</v>
      </c>
      <c r="J6564">
        <v>-122.94029999999999</v>
      </c>
      <c r="K6564">
        <v>1.1246620000000001</v>
      </c>
      <c r="L6564">
        <v>134.63329999999999</v>
      </c>
      <c r="M6564">
        <v>0.99119069999999998</v>
      </c>
      <c r="N6564">
        <v>-2.9086540000000001E-2</v>
      </c>
      <c r="O6564">
        <v>0.12920960000000001</v>
      </c>
      <c r="P6564">
        <v>0.98515799999999998</v>
      </c>
      <c r="Q6564">
        <v>0.16308220000000001</v>
      </c>
      <c r="R6564">
        <v>5.3556140000000002E-2</v>
      </c>
      <c r="S6564">
        <v>2.9848479999999999</v>
      </c>
      <c r="T6564">
        <v>0.26390609999999998</v>
      </c>
      <c r="U6564">
        <v>0.31199650000000001</v>
      </c>
      <c r="V6564">
        <v>7.3872800000000002E-2</v>
      </c>
      <c r="W6564">
        <v>0.19177050000000001</v>
      </c>
      <c r="X6564">
        <v>0.97865559999999996</v>
      </c>
      <c r="Y6564">
        <v>2.4535390000000001E-2</v>
      </c>
      <c r="Z6564">
        <v>1.5802770000000001E-2</v>
      </c>
      <c r="AA6564">
        <v>0.99957410000000002</v>
      </c>
      <c r="AB6564">
        <v>16</v>
      </c>
      <c r="AC6564">
        <v>2.9848479999999999</v>
      </c>
      <c r="AD6564">
        <v>0.26390609999999998</v>
      </c>
      <c r="AE6564">
        <v>0.31199650000000001</v>
      </c>
      <c r="AF6564">
        <v>7.5868654703437899E-2</v>
      </c>
      <c r="AG6564">
        <v>0.26390609999999998</v>
      </c>
      <c r="AH6564">
        <v>2.97711431892888</v>
      </c>
      <c r="AI6564">
        <v>84.935896068906601</v>
      </c>
      <c r="AJ6564">
        <v>88.540192751873903</v>
      </c>
      <c r="AK6564">
        <v>2.98975118535893</v>
      </c>
      <c r="AL6564">
        <v>78.943872817549405</v>
      </c>
      <c r="AM6564">
        <v>85.683273915041397</v>
      </c>
      <c r="AN6564">
        <v>0.999999949330723</v>
      </c>
    </row>
    <row r="6565" spans="1:40" x14ac:dyDescent="0.25">
      <c r="A6565" t="str">
        <f>"20190303171142978"</f>
        <v>20190303171142978</v>
      </c>
      <c r="B6565" t="str">
        <f>"1551604302967310"</f>
        <v>1551604302967310</v>
      </c>
      <c r="C6565" t="s">
        <v>40</v>
      </c>
      <c r="D6565">
        <v>6.0146509999999997</v>
      </c>
      <c r="E6565">
        <v>0.4837476</v>
      </c>
      <c r="F6565" t="s">
        <v>62</v>
      </c>
      <c r="G6565">
        <v>0</v>
      </c>
      <c r="H6565">
        <v>0</v>
      </c>
      <c r="I6565">
        <v>0</v>
      </c>
      <c r="J6565">
        <v>-122.78530000000001</v>
      </c>
      <c r="K6565">
        <v>1.1244459999999901</v>
      </c>
      <c r="L6565">
        <v>134.65620000000001</v>
      </c>
      <c r="M6565">
        <v>0.99091609999999997</v>
      </c>
      <c r="N6565">
        <v>-2.8653330000000001E-2</v>
      </c>
      <c r="O6565">
        <v>0.1313936</v>
      </c>
      <c r="P6565">
        <v>0.98531259999999998</v>
      </c>
      <c r="Q6565">
        <v>0.16192129999999999</v>
      </c>
      <c r="R6565">
        <v>5.422834E-2</v>
      </c>
      <c r="S6565">
        <v>2.9835970000000001</v>
      </c>
      <c r="T6565">
        <v>0.2706944</v>
      </c>
      <c r="U6565">
        <v>0.30888369999999998</v>
      </c>
      <c r="V6565">
        <v>7.5369610000000004E-2</v>
      </c>
      <c r="W6565">
        <v>0.1902016</v>
      </c>
      <c r="X6565">
        <v>0.97884769999999999</v>
      </c>
      <c r="Y6565">
        <v>2.76683E-2</v>
      </c>
      <c r="Z6565">
        <v>1.6430460000000001E-2</v>
      </c>
      <c r="AA6565">
        <v>0.99948210000000004</v>
      </c>
      <c r="AB6565">
        <v>16</v>
      </c>
      <c r="AC6565">
        <v>2.9835970000000001</v>
      </c>
      <c r="AD6565">
        <v>0.2706944</v>
      </c>
      <c r="AE6565">
        <v>0.30888369999999998</v>
      </c>
      <c r="AF6565">
        <v>8.5288417240315398E-2</v>
      </c>
      <c r="AG6565">
        <v>0.2706944</v>
      </c>
      <c r="AH6565">
        <v>2.9740891433276802</v>
      </c>
      <c r="AI6565">
        <v>84.801531470475396</v>
      </c>
      <c r="AJ6565">
        <v>88.357370203100203</v>
      </c>
      <c r="AK6565">
        <v>2.9876003422088302</v>
      </c>
      <c r="AL6565">
        <v>79.035450683697803</v>
      </c>
      <c r="AM6565">
        <v>85.597009991164697</v>
      </c>
      <c r="AN6565">
        <v>1.0000000232746999</v>
      </c>
    </row>
    <row r="6566" spans="1:40" x14ac:dyDescent="0.25">
      <c r="A6566" t="str">
        <f>"20190303171142999"</f>
        <v>20190303171142999</v>
      </c>
      <c r="B6566" t="str">
        <f>"1551604302986831"</f>
        <v>1551604302986831</v>
      </c>
      <c r="C6566" t="s">
        <v>40</v>
      </c>
      <c r="D6566">
        <v>6.0085899999999999</v>
      </c>
      <c r="E6566">
        <v>0.4839464</v>
      </c>
      <c r="F6566" t="s">
        <v>62</v>
      </c>
      <c r="G6566">
        <v>0</v>
      </c>
      <c r="H6566">
        <v>0</v>
      </c>
      <c r="I6566">
        <v>0</v>
      </c>
      <c r="J6566">
        <v>-122.63509999999999</v>
      </c>
      <c r="K6566">
        <v>1.124285</v>
      </c>
      <c r="L6566">
        <v>134.6788</v>
      </c>
      <c r="M6566">
        <v>0.99067019999999995</v>
      </c>
      <c r="N6566">
        <v>-2.82869E-2</v>
      </c>
      <c r="O6566">
        <v>0.133313299999999</v>
      </c>
      <c r="P6566">
        <v>0.98528839999999995</v>
      </c>
      <c r="Q6566">
        <v>0.16166829999999999</v>
      </c>
      <c r="R6566">
        <v>5.5409220000000002E-2</v>
      </c>
      <c r="S6566">
        <v>2.9823300000000001</v>
      </c>
      <c r="T6566">
        <v>0.27617740000000002</v>
      </c>
      <c r="U6566">
        <v>0.30886839999999999</v>
      </c>
      <c r="V6566">
        <v>7.6090840000000007E-2</v>
      </c>
      <c r="W6566">
        <v>0.18959529999999999</v>
      </c>
      <c r="X6566">
        <v>0.97890949999999999</v>
      </c>
      <c r="Y6566">
        <v>2.951838E-2</v>
      </c>
      <c r="Z6566">
        <v>1.694495E-2</v>
      </c>
      <c r="AA6566">
        <v>0.99942059999999999</v>
      </c>
      <c r="AB6566">
        <v>16</v>
      </c>
      <c r="AC6566">
        <v>2.9823300000000001</v>
      </c>
      <c r="AD6566">
        <v>0.27617740000000002</v>
      </c>
      <c r="AE6566">
        <v>0.30886839999999999</v>
      </c>
      <c r="AF6566">
        <v>9.0863262251098295E-2</v>
      </c>
      <c r="AG6566">
        <v>0.27617740000000002</v>
      </c>
      <c r="AH6566">
        <v>2.9716674783865198</v>
      </c>
      <c r="AI6566">
        <v>84.692829013955205</v>
      </c>
      <c r="AJ6566">
        <v>88.2486398773502</v>
      </c>
      <c r="AK6566">
        <v>2.9858562743035302</v>
      </c>
      <c r="AL6566">
        <v>79.070832697971596</v>
      </c>
      <c r="AM6566">
        <v>85.555324263255699</v>
      </c>
      <c r="AN6566">
        <v>1.00000000145212</v>
      </c>
    </row>
    <row r="6567" spans="1:40" x14ac:dyDescent="0.25">
      <c r="A6567" t="str">
        <f>"20190303171143022"</f>
        <v>20190303171143022</v>
      </c>
      <c r="B6567" t="str">
        <f>"1551604303017086"</f>
        <v>1551604303017086</v>
      </c>
      <c r="C6567" t="s">
        <v>40</v>
      </c>
      <c r="D6567">
        <v>6.0271530000000002</v>
      </c>
      <c r="E6567">
        <v>0.48413850000000003</v>
      </c>
      <c r="F6567" t="s">
        <v>62</v>
      </c>
      <c r="G6567">
        <v>0</v>
      </c>
      <c r="H6567">
        <v>0</v>
      </c>
      <c r="I6567">
        <v>0</v>
      </c>
      <c r="J6567">
        <v>-122.4841</v>
      </c>
      <c r="K6567">
        <v>1.124174</v>
      </c>
      <c r="L6567">
        <v>134.70179999999999</v>
      </c>
      <c r="M6567">
        <v>0.99041749999999995</v>
      </c>
      <c r="N6567">
        <v>-2.8385199999999999E-2</v>
      </c>
      <c r="O6567">
        <v>0.1351579</v>
      </c>
      <c r="P6567">
        <v>0.98519460000000003</v>
      </c>
      <c r="Q6567">
        <v>0.16161510000000001</v>
      </c>
      <c r="R6567">
        <v>5.7205409999999998E-2</v>
      </c>
      <c r="S6567">
        <v>2.9810029999999998</v>
      </c>
      <c r="T6567">
        <v>0.2824084</v>
      </c>
      <c r="U6567">
        <v>0.31005860000000002</v>
      </c>
      <c r="V6567">
        <v>7.6171849999999999E-2</v>
      </c>
      <c r="W6567">
        <v>0.18962200000000001</v>
      </c>
      <c r="X6567">
        <v>0.97889800000000005</v>
      </c>
      <c r="Y6567">
        <v>3.088167E-2</v>
      </c>
      <c r="Z6567">
        <v>1.7536799999999901E-2</v>
      </c>
      <c r="AA6567">
        <v>0.99936919999999996</v>
      </c>
      <c r="AB6567">
        <v>16</v>
      </c>
      <c r="AC6567">
        <v>2.9810029999999998</v>
      </c>
      <c r="AD6567">
        <v>0.2824084</v>
      </c>
      <c r="AE6567">
        <v>0.31005860000000002</v>
      </c>
      <c r="AF6567">
        <v>9.5013644105232206E-2</v>
      </c>
      <c r="AG6567">
        <v>0.2824084</v>
      </c>
      <c r="AH6567">
        <v>2.96918812712136</v>
      </c>
      <c r="AI6567">
        <v>84.569533906504702</v>
      </c>
      <c r="AJ6567">
        <v>88.167167741506304</v>
      </c>
      <c r="AK6567">
        <v>2.9841012434559202</v>
      </c>
      <c r="AL6567">
        <v>79.069274333386105</v>
      </c>
      <c r="AM6567">
        <v>85.550559176135494</v>
      </c>
      <c r="AN6567">
        <v>0.99999997401021101</v>
      </c>
    </row>
    <row r="6568" spans="1:40" x14ac:dyDescent="0.25">
      <c r="A6568" t="str">
        <f>"20190303171143048"</f>
        <v>20190303171143048</v>
      </c>
      <c r="B6568" t="str">
        <f>"1551604303037582"</f>
        <v>1551604303037582</v>
      </c>
      <c r="C6568" t="s">
        <v>40</v>
      </c>
      <c r="D6568">
        <v>6.0110070000000002</v>
      </c>
      <c r="E6568">
        <v>0.48431370000000001</v>
      </c>
      <c r="F6568" t="s">
        <v>62</v>
      </c>
      <c r="G6568">
        <v>0</v>
      </c>
      <c r="H6568">
        <v>0</v>
      </c>
      <c r="I6568">
        <v>0</v>
      </c>
      <c r="J6568">
        <v>-122.3253</v>
      </c>
      <c r="K6568">
        <v>1.124039</v>
      </c>
      <c r="L6568">
        <v>134.7261</v>
      </c>
      <c r="M6568">
        <v>0.99013669999999998</v>
      </c>
      <c r="N6568">
        <v>-2.863682E-2</v>
      </c>
      <c r="O6568">
        <v>0.13714660000000001</v>
      </c>
      <c r="P6568">
        <v>0.985155</v>
      </c>
      <c r="Q6568">
        <v>0.1613608</v>
      </c>
      <c r="R6568">
        <v>5.8587189999999997E-2</v>
      </c>
      <c r="S6568">
        <v>2.9793090000000002</v>
      </c>
      <c r="T6568">
        <v>0.29008509999999998</v>
      </c>
      <c r="U6568">
        <v>0.3132935</v>
      </c>
      <c r="V6568">
        <v>7.6847940000000003E-2</v>
      </c>
      <c r="W6568">
        <v>0.18958549999999999</v>
      </c>
      <c r="X6568">
        <v>0.97885230000000001</v>
      </c>
      <c r="Y6568">
        <v>3.1686590000000001E-2</v>
      </c>
      <c r="Z6568">
        <v>1.8231199999999999E-2</v>
      </c>
      <c r="AA6568">
        <v>0.99933159999999999</v>
      </c>
      <c r="AB6568">
        <v>15</v>
      </c>
      <c r="AC6568">
        <v>2.9793090000000002</v>
      </c>
      <c r="AD6568">
        <v>0.29008509999999998</v>
      </c>
      <c r="AE6568">
        <v>0.3132935</v>
      </c>
      <c r="AF6568">
        <v>9.7524635945333504E-2</v>
      </c>
      <c r="AG6568">
        <v>0.29008509999999998</v>
      </c>
      <c r="AH6568">
        <v>2.9663046024744499</v>
      </c>
      <c r="AI6568">
        <v>84.417606642442493</v>
      </c>
      <c r="AJ6568">
        <v>88.116937141965195</v>
      </c>
      <c r="AK6568">
        <v>2.9820502032191598</v>
      </c>
      <c r="AL6568">
        <v>79.071405066329405</v>
      </c>
      <c r="AM6568">
        <v>85.511018583229401</v>
      </c>
      <c r="AN6568">
        <v>1.0000000464538901</v>
      </c>
    </row>
    <row r="6569" spans="1:40" x14ac:dyDescent="0.25">
      <c r="A6569" t="str">
        <f>"20190303171143070"</f>
        <v>20190303171143070</v>
      </c>
      <c r="B6569" t="str">
        <f>"1551604303057102"</f>
        <v>1551604303057102</v>
      </c>
      <c r="C6569" t="s">
        <v>40</v>
      </c>
      <c r="D6569">
        <v>6.047339</v>
      </c>
      <c r="E6569">
        <v>0.48454900000000001</v>
      </c>
      <c r="F6569" t="s">
        <v>62</v>
      </c>
      <c r="G6569">
        <v>0</v>
      </c>
      <c r="H6569">
        <v>0</v>
      </c>
      <c r="I6569">
        <v>0</v>
      </c>
      <c r="J6569">
        <v>-122.1797</v>
      </c>
      <c r="K6569">
        <v>1.1238919999999999</v>
      </c>
      <c r="L6569">
        <v>134.74850000000001</v>
      </c>
      <c r="M6569">
        <v>0.98988469999999995</v>
      </c>
      <c r="N6569">
        <v>-2.8597399999999999E-2</v>
      </c>
      <c r="O6569">
        <v>0.13896229999999901</v>
      </c>
      <c r="P6569">
        <v>0.98508569999999995</v>
      </c>
      <c r="Q6569">
        <v>0.16147349999999999</v>
      </c>
      <c r="R6569">
        <v>5.9437940000000002E-2</v>
      </c>
      <c r="S6569">
        <v>2.978561</v>
      </c>
      <c r="T6569">
        <v>0.29215160000000001</v>
      </c>
      <c r="U6569">
        <v>0.31619259999999999</v>
      </c>
      <c r="V6569">
        <v>7.7845289999999998E-2</v>
      </c>
      <c r="W6569">
        <v>0.18963969999999999</v>
      </c>
      <c r="X6569">
        <v>0.97876289999999999</v>
      </c>
      <c r="Y6569">
        <v>3.2501179999999998E-2</v>
      </c>
      <c r="Z6569">
        <v>1.858897E-2</v>
      </c>
      <c r="AA6569">
        <v>0.99929880000000004</v>
      </c>
      <c r="AB6569">
        <v>15</v>
      </c>
      <c r="AC6569">
        <v>2.978561</v>
      </c>
      <c r="AD6569">
        <v>0.29215160000000001</v>
      </c>
      <c r="AE6569">
        <v>0.31619259999999999</v>
      </c>
      <c r="AF6569">
        <v>0.10000338263165399</v>
      </c>
      <c r="AG6569">
        <v>0.29215160000000001</v>
      </c>
      <c r="AH6569">
        <v>2.9653841316868799</v>
      </c>
      <c r="AI6569">
        <v>84.3765161833728</v>
      </c>
      <c r="AJ6569">
        <v>88.068512924505796</v>
      </c>
      <c r="AK6569">
        <v>2.98141850171704</v>
      </c>
      <c r="AL6569">
        <v>79.068241298672902</v>
      </c>
      <c r="AM6569">
        <v>85.452588732498498</v>
      </c>
      <c r="AN6569">
        <v>0.99999995970384103</v>
      </c>
    </row>
    <row r="6570" spans="1:40" x14ac:dyDescent="0.25">
      <c r="A6570" t="str">
        <f>"20190303171143096"</f>
        <v>20190303171143096</v>
      </c>
      <c r="B6570" t="str">
        <f>"1551604303087358"</f>
        <v>1551604303087358</v>
      </c>
      <c r="C6570" t="s">
        <v>40</v>
      </c>
      <c r="D6570">
        <v>5.9999449999999896</v>
      </c>
      <c r="E6570">
        <v>0.48472080000000001</v>
      </c>
      <c r="F6570" t="s">
        <v>62</v>
      </c>
      <c r="G6570">
        <v>0</v>
      </c>
      <c r="H6570">
        <v>0</v>
      </c>
      <c r="I6570">
        <v>0</v>
      </c>
      <c r="J6570">
        <v>-122.0234</v>
      </c>
      <c r="K6570">
        <v>1.1237549999999901</v>
      </c>
      <c r="L6570">
        <v>134.77269999999999</v>
      </c>
      <c r="M6570">
        <v>0.98964459999999999</v>
      </c>
      <c r="N6570">
        <v>-2.8256099999999999E-2</v>
      </c>
      <c r="O6570">
        <v>0.14073060000000001</v>
      </c>
      <c r="P6570">
        <v>0.98513189999999995</v>
      </c>
      <c r="Q6570">
        <v>0.16083829999999999</v>
      </c>
      <c r="R6570">
        <v>6.0384430000000003E-2</v>
      </c>
      <c r="S6570">
        <v>2.977722</v>
      </c>
      <c r="T6570">
        <v>0.29638599999999998</v>
      </c>
      <c r="U6570">
        <v>0.31672670000000003</v>
      </c>
      <c r="V6570">
        <v>7.8679520000000003E-2</v>
      </c>
      <c r="W6570">
        <v>0.18866959999999999</v>
      </c>
      <c r="X6570">
        <v>0.97888370000000002</v>
      </c>
      <c r="Y6570">
        <v>3.4035759999999998E-2</v>
      </c>
      <c r="Z6570">
        <v>1.9046069999999998E-2</v>
      </c>
      <c r="AA6570">
        <v>0.99923910000000005</v>
      </c>
      <c r="AB6570">
        <v>14</v>
      </c>
      <c r="AC6570">
        <v>2.977722</v>
      </c>
      <c r="AD6570">
        <v>0.29638599999999998</v>
      </c>
      <c r="AE6570">
        <v>0.31672670000000003</v>
      </c>
      <c r="AF6570">
        <v>0.10462696825746901</v>
      </c>
      <c r="AG6570">
        <v>0.29638599999999998</v>
      </c>
      <c r="AH6570">
        <v>2.9636221634182598</v>
      </c>
      <c r="AI6570">
        <v>84.292483794799494</v>
      </c>
      <c r="AJ6570">
        <v>87.978084001854</v>
      </c>
      <c r="AK6570">
        <v>2.9802429080507302</v>
      </c>
      <c r="AL6570">
        <v>79.1248461525811</v>
      </c>
      <c r="AM6570">
        <v>85.404628752102496</v>
      </c>
      <c r="AN6570">
        <v>0.99999999147864005</v>
      </c>
    </row>
    <row r="6571" spans="1:40" x14ac:dyDescent="0.25">
      <c r="A6571" t="str">
        <f>"20190303171143119"</f>
        <v>20190303171143119</v>
      </c>
      <c r="B6571" t="str">
        <f>"1551604303106879"</f>
        <v>1551604303106879</v>
      </c>
      <c r="C6571" t="s">
        <v>40</v>
      </c>
      <c r="D6571">
        <v>6.0406779999999998</v>
      </c>
      <c r="E6571">
        <v>0.48493619999999998</v>
      </c>
      <c r="F6571" t="s">
        <v>62</v>
      </c>
      <c r="G6571">
        <v>0</v>
      </c>
      <c r="H6571">
        <v>0</v>
      </c>
      <c r="I6571">
        <v>0</v>
      </c>
      <c r="J6571">
        <v>-121.88249999999999</v>
      </c>
      <c r="K6571">
        <v>1.1236360000000001</v>
      </c>
      <c r="L6571">
        <v>134.79490000000001</v>
      </c>
      <c r="M6571">
        <v>0.98944120000000002</v>
      </c>
      <c r="N6571">
        <v>-2.796015E-2</v>
      </c>
      <c r="O6571">
        <v>0.14221259999999999</v>
      </c>
      <c r="P6571">
        <v>0.98547229999999997</v>
      </c>
      <c r="Q6571">
        <v>0.15835739999999901</v>
      </c>
      <c r="R6571">
        <v>6.1382109999999997E-2</v>
      </c>
      <c r="S6571">
        <v>2.977112</v>
      </c>
      <c r="T6571">
        <v>0.29821799999999998</v>
      </c>
      <c r="U6571">
        <v>0.31797789999999998</v>
      </c>
      <c r="V6571">
        <v>7.9226959999999999E-2</v>
      </c>
      <c r="W6571">
        <v>0.1859056</v>
      </c>
      <c r="X6571">
        <v>0.97936829999999997</v>
      </c>
      <c r="Y6571">
        <v>3.5070799999999999E-2</v>
      </c>
      <c r="Z6571">
        <v>1.9332410000000001E-2</v>
      </c>
      <c r="AA6571">
        <v>0.99919780000000002</v>
      </c>
      <c r="AB6571">
        <v>14</v>
      </c>
      <c r="AC6571">
        <v>2.977112</v>
      </c>
      <c r="AD6571">
        <v>0.29821799999999998</v>
      </c>
      <c r="AE6571">
        <v>0.31797789999999998</v>
      </c>
      <c r="AF6571">
        <v>0.107736098155328</v>
      </c>
      <c r="AG6571">
        <v>0.29821799999999998</v>
      </c>
      <c r="AH6571">
        <v>2.9626749937597001</v>
      </c>
      <c r="AI6571">
        <v>84.255832947768596</v>
      </c>
      <c r="AJ6571">
        <v>87.917387169664295</v>
      </c>
      <c r="AK6571">
        <v>2.9795946303178198</v>
      </c>
      <c r="AL6571">
        <v>79.286064958718498</v>
      </c>
      <c r="AM6571">
        <v>85.375072881598896</v>
      </c>
      <c r="AN6571">
        <v>1.0000000351735401</v>
      </c>
    </row>
    <row r="6572" spans="1:40" x14ac:dyDescent="0.25">
      <c r="A6572" t="str">
        <f>"20190303171143140"</f>
        <v>20190303171143140</v>
      </c>
      <c r="B6572" t="str">
        <f>"1551604303127374"</f>
        <v>1551604303127374</v>
      </c>
      <c r="C6572" t="s">
        <v>40</v>
      </c>
      <c r="D6572">
        <v>6.0440389999999997</v>
      </c>
      <c r="E6572">
        <v>0.48506640000000001</v>
      </c>
      <c r="F6572" t="s">
        <v>62</v>
      </c>
      <c r="G6572">
        <v>0</v>
      </c>
      <c r="H6572">
        <v>0</v>
      </c>
      <c r="I6572">
        <v>0</v>
      </c>
      <c r="J6572">
        <v>-121.75490000000001</v>
      </c>
      <c r="K6572">
        <v>1.123553</v>
      </c>
      <c r="L6572">
        <v>134.815</v>
      </c>
      <c r="M6572">
        <v>0.98924869999999998</v>
      </c>
      <c r="N6572">
        <v>-2.7801099999999902E-2</v>
      </c>
      <c r="O6572">
        <v>0.1435767</v>
      </c>
      <c r="P6572">
        <v>0.98584669999999996</v>
      </c>
      <c r="Q6572">
        <v>0.1558051</v>
      </c>
      <c r="R6572">
        <v>6.1895980000000003E-2</v>
      </c>
      <c r="S6572">
        <v>2.9771730000000001</v>
      </c>
      <c r="T6572">
        <v>0.29364230000000002</v>
      </c>
      <c r="U6572">
        <v>0.3190308</v>
      </c>
      <c r="V6572">
        <v>8.0155009999999999E-2</v>
      </c>
      <c r="W6572">
        <v>0.18319920000000001</v>
      </c>
      <c r="X6572">
        <v>0.97980270000000003</v>
      </c>
      <c r="Y6572">
        <v>3.6120979999999997E-2</v>
      </c>
      <c r="Z6572">
        <v>1.927746E-2</v>
      </c>
      <c r="AA6572">
        <v>0.99916150000000004</v>
      </c>
      <c r="AB6572">
        <v>14</v>
      </c>
      <c r="AC6572">
        <v>2.9771730000000001</v>
      </c>
      <c r="AD6572">
        <v>0.29364230000000002</v>
      </c>
      <c r="AE6572">
        <v>0.3190308</v>
      </c>
      <c r="AF6572">
        <v>0.11082919172771299</v>
      </c>
      <c r="AG6572">
        <v>0.29364230000000002</v>
      </c>
      <c r="AH6572">
        <v>2.9636230134589998</v>
      </c>
      <c r="AI6572">
        <v>84.345403717518707</v>
      </c>
      <c r="AJ6572">
        <v>87.858335150412699</v>
      </c>
      <c r="AK6572">
        <v>2.9801963485636498</v>
      </c>
      <c r="AL6572">
        <v>79.443840642643906</v>
      </c>
      <c r="AM6572">
        <v>85.323201676595502</v>
      </c>
      <c r="AN6572">
        <v>1.0000000517180101</v>
      </c>
    </row>
    <row r="6573" spans="1:40" x14ac:dyDescent="0.25">
      <c r="A6573" t="str">
        <f>"20190303171143160"</f>
        <v>20190303171143160</v>
      </c>
      <c r="B6573" t="str">
        <f>"1551604303146895"</f>
        <v>1551604303146895</v>
      </c>
      <c r="C6573" t="s">
        <v>40</v>
      </c>
      <c r="D6573">
        <v>6.0465949999999999</v>
      </c>
      <c r="E6573">
        <v>0.48526449999999999</v>
      </c>
      <c r="F6573" t="s">
        <v>62</v>
      </c>
      <c r="G6573">
        <v>0</v>
      </c>
      <c r="H6573">
        <v>0</v>
      </c>
      <c r="I6573">
        <v>0</v>
      </c>
      <c r="J6573">
        <v>-121.63460000000001</v>
      </c>
      <c r="K6573">
        <v>1.1234959999999901</v>
      </c>
      <c r="L6573">
        <v>134.83420000000001</v>
      </c>
      <c r="M6573">
        <v>0.98905799999999999</v>
      </c>
      <c r="N6573">
        <v>-2.7683079999999999E-2</v>
      </c>
      <c r="O6573">
        <v>0.1449066</v>
      </c>
      <c r="P6573">
        <v>0.98589740000000003</v>
      </c>
      <c r="Q6573">
        <v>0.15518699999999999</v>
      </c>
      <c r="R6573">
        <v>6.2635150000000001E-2</v>
      </c>
      <c r="S6573">
        <v>2.977341</v>
      </c>
      <c r="T6573">
        <v>0.2890086</v>
      </c>
      <c r="U6573">
        <v>0.3193512</v>
      </c>
      <c r="V6573">
        <v>8.0775990000000006E-2</v>
      </c>
      <c r="W6573">
        <v>0.18245800000000001</v>
      </c>
      <c r="X6573">
        <v>0.97988989999999998</v>
      </c>
      <c r="Y6573">
        <v>3.7383449999999999E-2</v>
      </c>
      <c r="Z6573">
        <v>1.922132E-2</v>
      </c>
      <c r="AA6573">
        <v>0.99911609999999995</v>
      </c>
      <c r="AB6573">
        <v>14</v>
      </c>
      <c r="AC6573">
        <v>2.977341</v>
      </c>
      <c r="AD6573">
        <v>0.2890086</v>
      </c>
      <c r="AE6573">
        <v>0.3193512</v>
      </c>
      <c r="AF6573">
        <v>0.114556685976095</v>
      </c>
      <c r="AG6573">
        <v>0.2890086</v>
      </c>
      <c r="AH6573">
        <v>2.96456995050029</v>
      </c>
      <c r="AI6573">
        <v>84.436097081804903</v>
      </c>
      <c r="AJ6573">
        <v>87.787081860520701</v>
      </c>
      <c r="AK6573">
        <v>2.9808260929791102</v>
      </c>
      <c r="AL6573">
        <v>79.487035255568301</v>
      </c>
      <c r="AM6573">
        <v>85.287549495953101</v>
      </c>
      <c r="AN6573">
        <v>0.99999994922324298</v>
      </c>
    </row>
    <row r="6574" spans="1:40" x14ac:dyDescent="0.25">
      <c r="A6574" t="str">
        <f>"20190303171143179"</f>
        <v>20190303171143179</v>
      </c>
      <c r="B6574" t="str">
        <f>"1551604303167391"</f>
        <v>1551604303167391</v>
      </c>
      <c r="C6574" t="s">
        <v>40</v>
      </c>
      <c r="D6574">
        <v>6.0577319999999997</v>
      </c>
      <c r="E6574">
        <v>0.4854213</v>
      </c>
      <c r="F6574" t="s">
        <v>62</v>
      </c>
      <c r="G6574">
        <v>0</v>
      </c>
      <c r="H6574">
        <v>0</v>
      </c>
      <c r="I6574">
        <v>0</v>
      </c>
      <c r="J6574">
        <v>-121.53</v>
      </c>
      <c r="K6574">
        <v>1.1234649999999999</v>
      </c>
      <c r="L6574">
        <v>134.8509</v>
      </c>
      <c r="M6574">
        <v>0.98889009999999999</v>
      </c>
      <c r="N6574">
        <v>-2.7560769999999998E-2</v>
      </c>
      <c r="O6574">
        <v>0.1460717</v>
      </c>
      <c r="P6574">
        <v>0.98583980000000004</v>
      </c>
      <c r="Q6574">
        <v>0.15538840000000001</v>
      </c>
      <c r="R6574">
        <v>6.3044390000000006E-2</v>
      </c>
      <c r="S6574">
        <v>2.9769739999999998</v>
      </c>
      <c r="T6574">
        <v>0.28988439999999999</v>
      </c>
      <c r="U6574">
        <v>0.31979370000000001</v>
      </c>
      <c r="V6574">
        <v>8.1530489999999997E-2</v>
      </c>
      <c r="W6574">
        <v>0.18253349999999999</v>
      </c>
      <c r="X6574">
        <v>0.97981339999999995</v>
      </c>
      <c r="Y6574">
        <v>3.8383819999999999E-2</v>
      </c>
      <c r="Z6574">
        <v>1.943346E-2</v>
      </c>
      <c r="AA6574">
        <v>0.99907409999999996</v>
      </c>
      <c r="AB6574">
        <v>13</v>
      </c>
      <c r="AC6574">
        <v>2.9769739999999998</v>
      </c>
      <c r="AD6574">
        <v>0.28988439999999999</v>
      </c>
      <c r="AE6574">
        <v>0.31979370000000001</v>
      </c>
      <c r="AF6574">
        <v>0.11755396296889099</v>
      </c>
      <c r="AG6574">
        <v>0.28988439999999999</v>
      </c>
      <c r="AH6574">
        <v>2.9639654652886298</v>
      </c>
      <c r="AI6574">
        <v>84.418432735723997</v>
      </c>
      <c r="AJ6574">
        <v>87.7287799778302</v>
      </c>
      <c r="AK6574">
        <v>2.9804266773394601</v>
      </c>
      <c r="AL6574">
        <v>79.482636068719401</v>
      </c>
      <c r="AM6574">
        <v>85.243363524730995</v>
      </c>
      <c r="AN6574">
        <v>0.99999999912072401</v>
      </c>
    </row>
    <row r="6575" spans="1:40" x14ac:dyDescent="0.25">
      <c r="A6575" t="str">
        <f>"20190303171143200"</f>
        <v>20190303171143200</v>
      </c>
      <c r="B6575" t="str">
        <f>"1551604303186912"</f>
        <v>1551604303186912</v>
      </c>
      <c r="C6575" t="s">
        <v>40</v>
      </c>
      <c r="D6575">
        <v>6.0127319999999997</v>
      </c>
      <c r="E6575">
        <v>0.4856414</v>
      </c>
      <c r="F6575" t="s">
        <v>62</v>
      </c>
      <c r="G6575">
        <v>0</v>
      </c>
      <c r="H6575">
        <v>0</v>
      </c>
      <c r="I6575">
        <v>0</v>
      </c>
      <c r="J6575">
        <v>-121.4079</v>
      </c>
      <c r="K6575">
        <v>1.123454</v>
      </c>
      <c r="L6575">
        <v>134.8706</v>
      </c>
      <c r="M6575">
        <v>0.98869669999999998</v>
      </c>
      <c r="N6575">
        <v>-2.7392920000000001E-2</v>
      </c>
      <c r="O6575">
        <v>0.14740510000000001</v>
      </c>
      <c r="P6575">
        <v>0.98581180000000002</v>
      </c>
      <c r="Q6575">
        <v>0.1554934</v>
      </c>
      <c r="R6575">
        <v>6.3219839999999999E-2</v>
      </c>
      <c r="S6575">
        <v>2.9764560000000002</v>
      </c>
      <c r="T6575">
        <v>0.293189799999999</v>
      </c>
      <c r="U6575">
        <v>0.31945800000000002</v>
      </c>
      <c r="V6575">
        <v>8.2675899999999997E-2</v>
      </c>
      <c r="W6575">
        <v>0.18247389999999999</v>
      </c>
      <c r="X6575">
        <v>0.9797285</v>
      </c>
      <c r="Y6575">
        <v>3.9787309999999999E-2</v>
      </c>
      <c r="Z6575">
        <v>1.981105E-2</v>
      </c>
      <c r="AA6575">
        <v>0.99901180000000001</v>
      </c>
      <c r="AB6575">
        <v>13</v>
      </c>
      <c r="AC6575">
        <v>2.9764560000000002</v>
      </c>
      <c r="AD6575">
        <v>0.293189799999999</v>
      </c>
      <c r="AE6575">
        <v>0.31945800000000002</v>
      </c>
      <c r="AF6575">
        <v>0.121775757199943</v>
      </c>
      <c r="AG6575">
        <v>0.293189799999999</v>
      </c>
      <c r="AH6575">
        <v>2.9626063353693399</v>
      </c>
      <c r="AI6575">
        <v>84.352951367231896</v>
      </c>
      <c r="AJ6575">
        <v>87.646224089348095</v>
      </c>
      <c r="AK6575">
        <v>2.9795680714217898</v>
      </c>
      <c r="AL6575">
        <v>79.486109037409406</v>
      </c>
      <c r="AM6575">
        <v>85.176435323364501</v>
      </c>
      <c r="AN6575">
        <v>0.99999998116713396</v>
      </c>
    </row>
    <row r="6576" spans="1:40" x14ac:dyDescent="0.25">
      <c r="A6576" t="str">
        <f>"20190303171143223"</f>
        <v>20190303171143223</v>
      </c>
      <c r="B6576" t="str">
        <f>"1551604303217166"</f>
        <v>1551604303217166</v>
      </c>
      <c r="C6576" t="s">
        <v>40</v>
      </c>
      <c r="D6576">
        <v>6.032896</v>
      </c>
      <c r="E6576">
        <v>0.48598059999999998</v>
      </c>
      <c r="F6576" t="s">
        <v>62</v>
      </c>
      <c r="G6576">
        <v>0</v>
      </c>
      <c r="H6576">
        <v>0</v>
      </c>
      <c r="I6576">
        <v>0</v>
      </c>
      <c r="J6576">
        <v>-121.28100000000001</v>
      </c>
      <c r="K6576">
        <v>1.123451</v>
      </c>
      <c r="L6576">
        <v>134.8913</v>
      </c>
      <c r="M6576">
        <v>0.98849580000000004</v>
      </c>
      <c r="N6576">
        <v>-2.7229880000000001E-2</v>
      </c>
      <c r="O6576">
        <v>0.14877770000000001</v>
      </c>
      <c r="P6576">
        <v>0.98590619999999995</v>
      </c>
      <c r="Q6576">
        <v>0.154805</v>
      </c>
      <c r="R6576">
        <v>6.3439659999999995E-2</v>
      </c>
      <c r="S6576">
        <v>2.9762270000000002</v>
      </c>
      <c r="T6576">
        <v>0.2951549</v>
      </c>
      <c r="U6576">
        <v>0.31829829999999998</v>
      </c>
      <c r="V6576">
        <v>8.3832439999999994E-2</v>
      </c>
      <c r="W6576">
        <v>0.18163000000000001</v>
      </c>
      <c r="X6576">
        <v>0.97978710000000002</v>
      </c>
      <c r="Y6576">
        <v>4.1522099999999999E-2</v>
      </c>
      <c r="Z6576">
        <v>2.0133990000000001E-2</v>
      </c>
      <c r="AA6576">
        <v>0.99893469999999995</v>
      </c>
      <c r="AB6576">
        <v>13</v>
      </c>
      <c r="AC6576">
        <v>2.9762270000000002</v>
      </c>
      <c r="AD6576">
        <v>0.2951549</v>
      </c>
      <c r="AE6576">
        <v>0.31829829999999998</v>
      </c>
      <c r="AF6576">
        <v>0.12697256535364199</v>
      </c>
      <c r="AG6576">
        <v>0.2951549</v>
      </c>
      <c r="AH6576">
        <v>2.9616540674268501</v>
      </c>
      <c r="AI6576">
        <v>84.313951967245401</v>
      </c>
      <c r="AJ6576">
        <v>87.545108358589104</v>
      </c>
      <c r="AK6576">
        <v>2.9790322694547098</v>
      </c>
      <c r="AL6576">
        <v>79.535283401985495</v>
      </c>
      <c r="AM6576">
        <v>85.109575378967904</v>
      </c>
      <c r="AN6576">
        <v>1.00000004811138</v>
      </c>
    </row>
    <row r="6577" spans="1:40" x14ac:dyDescent="0.25">
      <c r="A6577" t="str">
        <f>"20190303171143247"</f>
        <v>20190303171143247</v>
      </c>
      <c r="B6577" t="str">
        <f>"1551604303237662"</f>
        <v>1551604303237662</v>
      </c>
      <c r="C6577" t="s">
        <v>40</v>
      </c>
      <c r="D6577">
        <v>6.048495</v>
      </c>
      <c r="E6577">
        <v>0.4863015</v>
      </c>
      <c r="F6577" t="s">
        <v>62</v>
      </c>
      <c r="G6577">
        <v>0</v>
      </c>
      <c r="H6577">
        <v>0</v>
      </c>
      <c r="I6577">
        <v>0</v>
      </c>
      <c r="J6577">
        <v>-121.1551</v>
      </c>
      <c r="K6577">
        <v>1.1234409999999999</v>
      </c>
      <c r="L6577">
        <v>134.91200000000001</v>
      </c>
      <c r="M6577">
        <v>0.98828970000000005</v>
      </c>
      <c r="N6577">
        <v>-2.7081830000000001E-2</v>
      </c>
      <c r="O6577">
        <v>0.15016699999999999</v>
      </c>
      <c r="P6577">
        <v>0.98609860000000005</v>
      </c>
      <c r="Q6577">
        <v>0.15333039999999901</v>
      </c>
      <c r="R6577">
        <v>6.4028989999999994E-2</v>
      </c>
      <c r="S6577">
        <v>2.9761510000000002</v>
      </c>
      <c r="T6577">
        <v>0.2952012</v>
      </c>
      <c r="U6577">
        <v>0.31639099999999998</v>
      </c>
      <c r="V6577">
        <v>8.4663450000000001E-2</v>
      </c>
      <c r="W6577">
        <v>0.18001619999999999</v>
      </c>
      <c r="X6577">
        <v>0.98001340000000003</v>
      </c>
      <c r="Y6577">
        <v>4.3540139999999998E-2</v>
      </c>
      <c r="Z6577">
        <v>2.036429E-2</v>
      </c>
      <c r="AA6577">
        <v>0.99884410000000001</v>
      </c>
      <c r="AB6577">
        <v>13</v>
      </c>
      <c r="AC6577">
        <v>2.9761510000000002</v>
      </c>
      <c r="AD6577">
        <v>0.2952012</v>
      </c>
      <c r="AE6577">
        <v>0.31639099999999998</v>
      </c>
      <c r="AF6577">
        <v>0.13298916303106201</v>
      </c>
      <c r="AG6577">
        <v>0.2952012</v>
      </c>
      <c r="AH6577">
        <v>2.9611003299147698</v>
      </c>
      <c r="AI6577">
        <v>84.312514296523005</v>
      </c>
      <c r="AJ6577">
        <v>87.428455683586904</v>
      </c>
      <c r="AK6577">
        <v>2.9787489034469701</v>
      </c>
      <c r="AL6577">
        <v>79.629296569341605</v>
      </c>
      <c r="AM6577">
        <v>85.062471190744901</v>
      </c>
      <c r="AN6577">
        <v>0.99999999810395102</v>
      </c>
    </row>
    <row r="6578" spans="1:40" x14ac:dyDescent="0.25">
      <c r="A6578" t="str">
        <f>"20190303171143271"</f>
        <v>20190303171143271</v>
      </c>
      <c r="B6578" t="str">
        <f>"1551604303266943"</f>
        <v>1551604303266943</v>
      </c>
      <c r="C6578" t="s">
        <v>40</v>
      </c>
      <c r="D6578">
        <v>6.3523430000000003</v>
      </c>
      <c r="E6578">
        <v>0.48647859999999998</v>
      </c>
      <c r="F6578" t="s">
        <v>62</v>
      </c>
      <c r="G6578">
        <v>0</v>
      </c>
      <c r="H6578">
        <v>0</v>
      </c>
      <c r="I6578">
        <v>0</v>
      </c>
      <c r="J6578">
        <v>-121.02760000000001</v>
      </c>
      <c r="K6578">
        <v>1.123418</v>
      </c>
      <c r="L6578">
        <v>134.9332</v>
      </c>
      <c r="M6578">
        <v>0.98807440000000002</v>
      </c>
      <c r="N6578">
        <v>-2.6918919999999999E-2</v>
      </c>
      <c r="O6578">
        <v>0.1516062</v>
      </c>
      <c r="P6578">
        <v>0.98617589999999999</v>
      </c>
      <c r="Q6578">
        <v>0.15220810000000001</v>
      </c>
      <c r="R6578">
        <v>6.5499689999999999E-2</v>
      </c>
      <c r="S6578">
        <v>2.9764710000000001</v>
      </c>
      <c r="T6578">
        <v>0.29150140000000002</v>
      </c>
      <c r="U6578">
        <v>0.31558229999999998</v>
      </c>
      <c r="V6578">
        <v>8.4663970000000005E-2</v>
      </c>
      <c r="W6578">
        <v>0.17873510000000001</v>
      </c>
      <c r="X6578">
        <v>0.9802478</v>
      </c>
      <c r="Y6578">
        <v>4.5287349999999997E-2</v>
      </c>
      <c r="Z6578">
        <v>2.037052E-2</v>
      </c>
      <c r="AA6578">
        <v>0.9987663</v>
      </c>
      <c r="AB6578">
        <v>12</v>
      </c>
      <c r="AC6578">
        <v>2.9764710000000001</v>
      </c>
      <c r="AD6578">
        <v>0.29150140000000002</v>
      </c>
      <c r="AE6578">
        <v>0.31558229999999998</v>
      </c>
      <c r="AF6578">
        <v>0.13817268076623901</v>
      </c>
      <c r="AG6578">
        <v>0.29150140000000002</v>
      </c>
      <c r="AH6578">
        <v>2.9618105258787102</v>
      </c>
      <c r="AI6578">
        <v>84.385119262019401</v>
      </c>
      <c r="AJ6578">
        <v>87.329006809164795</v>
      </c>
      <c r="AK6578">
        <v>2.97932649219887</v>
      </c>
      <c r="AL6578">
        <v>79.703908232840107</v>
      </c>
      <c r="AM6578">
        <v>85.063615864735098</v>
      </c>
      <c r="AN6578">
        <v>0.99999998659650502</v>
      </c>
    </row>
    <row r="6579" spans="1:40" x14ac:dyDescent="0.25">
      <c r="A6579" t="str">
        <f>"20190303171143296"</f>
        <v>20190303171143296</v>
      </c>
      <c r="B6579" t="str">
        <f>"1551604303287438"</f>
        <v>1551604303287438</v>
      </c>
      <c r="C6579" t="s">
        <v>40</v>
      </c>
      <c r="D6579">
        <v>6.0453989999999997</v>
      </c>
      <c r="E6579">
        <v>0.48655300000000001</v>
      </c>
      <c r="F6579" t="s">
        <v>62</v>
      </c>
      <c r="G6579">
        <v>0</v>
      </c>
      <c r="H6579">
        <v>0</v>
      </c>
      <c r="I6579">
        <v>0</v>
      </c>
      <c r="J6579">
        <v>-120.9021</v>
      </c>
      <c r="K6579">
        <v>1.1233770000000001</v>
      </c>
      <c r="L6579">
        <v>134.95419999999999</v>
      </c>
      <c r="M6579">
        <v>0.98786350000000001</v>
      </c>
      <c r="N6579">
        <v>-2.6724749999999999E-2</v>
      </c>
      <c r="O6579">
        <v>0.15300849999999999</v>
      </c>
      <c r="P6579">
        <v>0.9862071</v>
      </c>
      <c r="Q6579">
        <v>0.15155189999999999</v>
      </c>
      <c r="R6579">
        <v>6.6541950000000002E-2</v>
      </c>
      <c r="S6579">
        <v>2.9762420000000001</v>
      </c>
      <c r="T6579">
        <v>0.28932909999999901</v>
      </c>
      <c r="U6579">
        <v>0.31835940000000001</v>
      </c>
      <c r="V6579">
        <v>8.5049E-2</v>
      </c>
      <c r="W6579">
        <v>0.17788489999999901</v>
      </c>
      <c r="X6579">
        <v>0.98036920000000005</v>
      </c>
      <c r="Y6579">
        <v>4.5782110000000001E-2</v>
      </c>
      <c r="Z6579">
        <v>2.040927E-2</v>
      </c>
      <c r="AA6579">
        <v>0.99874289999999999</v>
      </c>
      <c r="AB6579">
        <v>12</v>
      </c>
      <c r="AC6579">
        <v>2.9762420000000001</v>
      </c>
      <c r="AD6579">
        <v>0.28932909999999901</v>
      </c>
      <c r="AE6579">
        <v>0.31835940000000001</v>
      </c>
      <c r="AF6579">
        <v>0.13964030580792899</v>
      </c>
      <c r="AG6579">
        <v>0.28932909999999901</v>
      </c>
      <c r="AH6579">
        <v>2.9622229220463701</v>
      </c>
      <c r="AI6579">
        <v>84.427595255107903</v>
      </c>
      <c r="AJ6579">
        <v>87.301053373515302</v>
      </c>
      <c r="AK6579">
        <v>2.9795931572968</v>
      </c>
      <c r="AL6579">
        <v>79.753415331408206</v>
      </c>
      <c r="AM6579">
        <v>85.041889120338396</v>
      </c>
      <c r="AN6579">
        <v>1.00000006917882</v>
      </c>
    </row>
    <row r="6580" spans="1:40" x14ac:dyDescent="0.25">
      <c r="A6580" t="str">
        <f>"20190303171143313"</f>
        <v>20190303171143313</v>
      </c>
      <c r="B6580" t="str">
        <f>"1551604303306959"</f>
        <v>1551604303306959</v>
      </c>
      <c r="C6580" t="s">
        <v>40</v>
      </c>
      <c r="D6580">
        <v>6.0977370000000004</v>
      </c>
      <c r="E6580">
        <v>0.50663579999999997</v>
      </c>
      <c r="F6580" t="s">
        <v>62</v>
      </c>
      <c r="G6580">
        <v>0</v>
      </c>
      <c r="H6580">
        <v>0</v>
      </c>
      <c r="I6580">
        <v>0</v>
      </c>
      <c r="J6580">
        <v>-120.8121</v>
      </c>
      <c r="K6580">
        <v>1.1233340000000001</v>
      </c>
      <c r="L6580">
        <v>134.96940000000001</v>
      </c>
      <c r="M6580">
        <v>0.98771920000000002</v>
      </c>
      <c r="N6580">
        <v>-2.6560009999999998E-2</v>
      </c>
      <c r="O6580">
        <v>0.15396509999999999</v>
      </c>
      <c r="P6580">
        <v>0.98594979999999999</v>
      </c>
      <c r="Q6580">
        <v>0.15312709999999999</v>
      </c>
      <c r="R6580">
        <v>6.6744990000000004E-2</v>
      </c>
      <c r="S6580">
        <v>2.9760589999999998</v>
      </c>
      <c r="T6580">
        <v>0.28795809999999999</v>
      </c>
      <c r="U6580">
        <v>0.32069399999999998</v>
      </c>
      <c r="V6580">
        <v>8.5773390000000005E-2</v>
      </c>
      <c r="W6580">
        <v>0.1792849</v>
      </c>
      <c r="X6580">
        <v>0.98005089999999995</v>
      </c>
      <c r="Y6580">
        <v>4.5972939999999997E-2</v>
      </c>
      <c r="Z6580">
        <v>2.043118E-2</v>
      </c>
      <c r="AA6580">
        <v>0.99873369999999995</v>
      </c>
      <c r="AB6580">
        <v>12</v>
      </c>
      <c r="AC6580">
        <v>2.9760589999999998</v>
      </c>
      <c r="AD6580">
        <v>0.28795809999999999</v>
      </c>
      <c r="AE6580">
        <v>0.32069399999999998</v>
      </c>
      <c r="AF6580">
        <v>0.14020596464841201</v>
      </c>
      <c r="AG6580">
        <v>0.28795809999999999</v>
      </c>
      <c r="AH6580">
        <v>2.9625240040592802</v>
      </c>
      <c r="AI6580">
        <v>84.454443833612004</v>
      </c>
      <c r="AJ6580">
        <v>87.290411662924797</v>
      </c>
      <c r="AK6580">
        <v>2.9797862430895998</v>
      </c>
      <c r="AL6580">
        <v>79.671889530666803</v>
      </c>
      <c r="AM6580">
        <v>84.998256763857</v>
      </c>
      <c r="AN6580">
        <v>0.99999995819545495</v>
      </c>
    </row>
    <row r="6581" spans="1:40" x14ac:dyDescent="0.25">
      <c r="A6581" t="str">
        <f>"20190303171143336"</f>
        <v>20190303171143336</v>
      </c>
      <c r="B6581" t="str">
        <f>"1551604303327455"</f>
        <v>1551604303327455</v>
      </c>
      <c r="C6581" t="s">
        <v>40</v>
      </c>
      <c r="D6581">
        <v>6.0672769999999998</v>
      </c>
      <c r="E6581">
        <v>0.50831479999999996</v>
      </c>
      <c r="F6581" t="s">
        <v>62</v>
      </c>
      <c r="G6581">
        <v>0</v>
      </c>
      <c r="H6581">
        <v>0</v>
      </c>
      <c r="I6581">
        <v>0</v>
      </c>
      <c r="J6581">
        <v>-120.7017</v>
      </c>
      <c r="K6581">
        <v>1.1232709999999999</v>
      </c>
      <c r="L6581">
        <v>134.988</v>
      </c>
      <c r="M6581">
        <v>0.98755300000000001</v>
      </c>
      <c r="N6581">
        <v>-2.6332020000000001E-2</v>
      </c>
      <c r="O6581">
        <v>0.15506719999999999</v>
      </c>
      <c r="P6581">
        <v>0.98577619999999999</v>
      </c>
      <c r="Q6581">
        <v>0.15438659999999901</v>
      </c>
      <c r="R6581">
        <v>6.6409159999999995E-2</v>
      </c>
      <c r="S6581">
        <v>3.0270839999999999</v>
      </c>
      <c r="T6581">
        <v>2.0902629999999998E-2</v>
      </c>
      <c r="U6581">
        <v>0.18347169999999999</v>
      </c>
      <c r="V6581">
        <v>8.719731E-2</v>
      </c>
      <c r="W6581">
        <v>0.18030180000000001</v>
      </c>
      <c r="X6581">
        <v>0.97973869999999996</v>
      </c>
      <c r="Y6581">
        <v>9.4990790000000005E-2</v>
      </c>
      <c r="Z6581">
        <v>4.2381540000000001E-3</v>
      </c>
      <c r="AA6581">
        <v>0.99546920000000005</v>
      </c>
      <c r="AB6581">
        <v>12</v>
      </c>
      <c r="AC6581">
        <v>3.0270839999999999</v>
      </c>
      <c r="AD6581">
        <v>2.0902629999999998E-2</v>
      </c>
      <c r="AE6581">
        <v>0.18347169999999999</v>
      </c>
      <c r="AF6581">
        <v>0.28829966783372102</v>
      </c>
      <c r="AG6581">
        <v>2.0902629999999998E-2</v>
      </c>
      <c r="AH6581">
        <v>3.0187595021247899</v>
      </c>
      <c r="AI6581">
        <v>89.605073204660897</v>
      </c>
      <c r="AJ6581">
        <v>84.544644171933498</v>
      </c>
      <c r="AK6581">
        <v>3.0325669902052699</v>
      </c>
      <c r="AL6581">
        <v>79.612660868743404</v>
      </c>
      <c r="AM6581">
        <v>84.914043088151004</v>
      </c>
      <c r="AN6581">
        <v>1.0000000151160799</v>
      </c>
    </row>
    <row r="6582" spans="1:40" x14ac:dyDescent="0.25">
      <c r="A6582" t="str">
        <f>"20190303171143356"</f>
        <v>20190303171143356</v>
      </c>
      <c r="B6582" t="str">
        <f>"1551604303346975"</f>
        <v>1551604303346975</v>
      </c>
      <c r="C6582" t="s">
        <v>40</v>
      </c>
      <c r="D6582">
        <v>6.0963370000000001</v>
      </c>
      <c r="E6582">
        <v>0.50930679999999995</v>
      </c>
      <c r="F6582" t="s">
        <v>42</v>
      </c>
      <c r="G6582">
        <v>-71.617180000000005</v>
      </c>
      <c r="H6582" s="1">
        <v>-3.8941319999999997E-6</v>
      </c>
      <c r="I6582">
        <v>137.83709999999999</v>
      </c>
      <c r="J6582">
        <v>-120.60129999999999</v>
      </c>
      <c r="K6582">
        <v>1.123197</v>
      </c>
      <c r="L6582">
        <v>135.005</v>
      </c>
      <c r="M6582">
        <v>0.98741469999999998</v>
      </c>
      <c r="N6582">
        <v>-2.6113589999999999E-2</v>
      </c>
      <c r="O6582">
        <v>0.1559826</v>
      </c>
      <c r="P6582">
        <v>0.98580650000000003</v>
      </c>
      <c r="Q6582">
        <v>0.1548301</v>
      </c>
      <c r="R6582">
        <v>6.4912189999999995E-2</v>
      </c>
      <c r="S6582">
        <v>3.042297</v>
      </c>
      <c r="T6582">
        <v>-6.9621440000000007E-2</v>
      </c>
      <c r="U6582">
        <v>0.17659</v>
      </c>
      <c r="V6582">
        <v>8.9619340000000006E-2</v>
      </c>
      <c r="W6582">
        <v>0.180511</v>
      </c>
      <c r="X6582">
        <v>0.97948159999999895</v>
      </c>
      <c r="Y6582">
        <v>9.848026E-2</v>
      </c>
      <c r="Z6582">
        <v>-1.8765730000000001E-3</v>
      </c>
      <c r="AA6582">
        <v>0.99513720000000006</v>
      </c>
      <c r="AB6582">
        <v>11</v>
      </c>
      <c r="AC6582">
        <v>48.984119999999898</v>
      </c>
      <c r="AD6582">
        <v>-1.123200894132</v>
      </c>
      <c r="AE6582">
        <v>2.8320999999999898</v>
      </c>
      <c r="AF6582">
        <v>4.8433270290578196</v>
      </c>
      <c r="AG6582">
        <v>-1.123200894132</v>
      </c>
      <c r="AH6582">
        <v>48.800469334875601</v>
      </c>
      <c r="AI6582">
        <v>91.312053969904298</v>
      </c>
      <c r="AJ6582">
        <v>84.332095380495005</v>
      </c>
      <c r="AK6582">
        <v>49.053085573316501</v>
      </c>
      <c r="AL6582">
        <v>79.600474756381004</v>
      </c>
      <c r="AM6582">
        <v>84.772180965808502</v>
      </c>
      <c r="AN6582">
        <v>1.00000002598079</v>
      </c>
    </row>
    <row r="6583" spans="1:40" x14ac:dyDescent="0.25">
      <c r="A6583" t="str">
        <f>"20190303171143379"</f>
        <v>20190303171143379</v>
      </c>
      <c r="B6583" t="str">
        <f>"1551604303367471"</f>
        <v>1551604303367471</v>
      </c>
      <c r="C6583" t="s">
        <v>40</v>
      </c>
      <c r="D6583">
        <v>6.0507400000000002</v>
      </c>
      <c r="E6583">
        <v>0.50962850000000004</v>
      </c>
      <c r="F6583" t="s">
        <v>42</v>
      </c>
      <c r="G6583">
        <v>-94.182270000000003</v>
      </c>
      <c r="H6583" s="1">
        <v>-3.0360939999999999E-6</v>
      </c>
      <c r="I6583">
        <v>136.47059999999999</v>
      </c>
      <c r="J6583">
        <v>-120.4983</v>
      </c>
      <c r="K6583">
        <v>1.1232759999999999</v>
      </c>
      <c r="L6583">
        <v>135.0224</v>
      </c>
      <c r="M6583">
        <v>0.98726899999999995</v>
      </c>
      <c r="N6583">
        <v>-2.657516E-2</v>
      </c>
      <c r="O6583">
        <v>0.15682399999999999</v>
      </c>
      <c r="P6583">
        <v>0.98612770000000005</v>
      </c>
      <c r="Q6583">
        <v>0.15320139999999999</v>
      </c>
      <c r="R6583">
        <v>6.3887509999999995E-2</v>
      </c>
      <c r="S6583">
        <v>3.0524290000000001</v>
      </c>
      <c r="T6583">
        <v>-0.1297731</v>
      </c>
      <c r="U6583">
        <v>0.16934199999999999</v>
      </c>
      <c r="V6583">
        <v>9.1558200000000006E-2</v>
      </c>
      <c r="W6583">
        <v>0.17932010000000001</v>
      </c>
      <c r="X6583">
        <v>0.97952099999999998</v>
      </c>
      <c r="Y6583">
        <v>0.1017643</v>
      </c>
      <c r="Z6583">
        <v>-5.9643450000000002E-3</v>
      </c>
      <c r="AA6583">
        <v>0.99479070000000003</v>
      </c>
      <c r="AB6583">
        <v>11</v>
      </c>
      <c r="AC6583">
        <v>26.316030000000001</v>
      </c>
      <c r="AD6583">
        <v>-1.1232790360939999</v>
      </c>
      <c r="AE6583">
        <v>1.4481999999999799</v>
      </c>
      <c r="AF6583">
        <v>2.6932827660372101</v>
      </c>
      <c r="AG6583">
        <v>-1.1232790360939999</v>
      </c>
      <c r="AH6583">
        <v>26.169835568030901</v>
      </c>
      <c r="AI6583">
        <v>92.444881102289699</v>
      </c>
      <c r="AJ6583">
        <v>84.124060841751799</v>
      </c>
      <c r="AK6583">
        <v>26.332030333959001</v>
      </c>
      <c r="AL6583">
        <v>79.669839889468605</v>
      </c>
      <c r="AM6583">
        <v>84.659940863156507</v>
      </c>
      <c r="AN6583">
        <v>0.99999999584612498</v>
      </c>
    </row>
    <row r="6584" spans="1:40" x14ac:dyDescent="0.25">
      <c r="A6584" t="str">
        <f>"20190303171143401"</f>
        <v>20190303171143401</v>
      </c>
      <c r="B6584" t="str">
        <f>"1551604303396750"</f>
        <v>1551604303396750</v>
      </c>
      <c r="C6584" t="s">
        <v>40</v>
      </c>
      <c r="D6584">
        <v>6.0917909999999997</v>
      </c>
      <c r="E6584">
        <v>0.50995979999999996</v>
      </c>
      <c r="F6584" t="s">
        <v>42</v>
      </c>
      <c r="G6584">
        <v>-100.09010000000001</v>
      </c>
      <c r="H6584" s="1">
        <v>-5.2831640000000004E-6</v>
      </c>
      <c r="I6584">
        <v>136.13120000000001</v>
      </c>
      <c r="J6584">
        <v>-120.3972</v>
      </c>
      <c r="K6584">
        <v>1.1234150000000001</v>
      </c>
      <c r="L6584">
        <v>135.0395</v>
      </c>
      <c r="M6584">
        <v>0.98713229999999996</v>
      </c>
      <c r="N6584">
        <v>-2.7380499999999999E-2</v>
      </c>
      <c r="O6584">
        <v>0.15754409999999999</v>
      </c>
      <c r="P6584">
        <v>0.986591</v>
      </c>
      <c r="Q6584">
        <v>0.15026039999999999</v>
      </c>
      <c r="R6584">
        <v>6.3718380000000005E-2</v>
      </c>
      <c r="S6584">
        <v>3.0575869999999998</v>
      </c>
      <c r="T6584">
        <v>-0.16829179999999999</v>
      </c>
      <c r="U6584">
        <v>0.1661224</v>
      </c>
      <c r="V6584">
        <v>9.2553880000000005E-2</v>
      </c>
      <c r="W6584">
        <v>0.17716219999999999</v>
      </c>
      <c r="X6584">
        <v>0.97982009999999997</v>
      </c>
      <c r="Y6584">
        <v>0.1035061</v>
      </c>
      <c r="Z6584">
        <v>-8.5583559999999996E-3</v>
      </c>
      <c r="AA6584">
        <v>0.99459200000000003</v>
      </c>
      <c r="AB6584">
        <v>11</v>
      </c>
      <c r="AC6584">
        <v>20.307099999999899</v>
      </c>
      <c r="AD6584">
        <v>-1.1234202831640001</v>
      </c>
      <c r="AE6584">
        <v>1.0916999999999999</v>
      </c>
      <c r="AF6584">
        <v>2.1159500237472599</v>
      </c>
      <c r="AG6584">
        <v>-1.1234202831640001</v>
      </c>
      <c r="AH6584">
        <v>20.163834851816901</v>
      </c>
      <c r="AI6584">
        <v>93.171536638032507</v>
      </c>
      <c r="AJ6584">
        <v>84.009427638775506</v>
      </c>
      <c r="AK6584">
        <v>20.305653241571999</v>
      </c>
      <c r="AL6584">
        <v>79.795491072929394</v>
      </c>
      <c r="AM6584">
        <v>84.603847793495405</v>
      </c>
      <c r="AN6584">
        <v>1.00000004708795</v>
      </c>
    </row>
    <row r="6585" spans="1:40" x14ac:dyDescent="0.25">
      <c r="A6585" t="str">
        <f>"20190303171143424"</f>
        <v>20190303171143424</v>
      </c>
      <c r="B6585" t="str">
        <f>"1551604303417247"</f>
        <v>1551604303417247</v>
      </c>
      <c r="C6585" t="s">
        <v>40</v>
      </c>
      <c r="D6585">
        <v>6.05619</v>
      </c>
      <c r="E6585">
        <v>0.50985409999999998</v>
      </c>
      <c r="F6585" t="s">
        <v>42</v>
      </c>
      <c r="G6585">
        <v>-103.736</v>
      </c>
      <c r="H6585" s="1">
        <v>-3.594645E-6</v>
      </c>
      <c r="I6585">
        <v>135.93440000000001</v>
      </c>
      <c r="J6585">
        <v>-120.3006</v>
      </c>
      <c r="K6585">
        <v>1.1234839999999999</v>
      </c>
      <c r="L6585">
        <v>135.0557</v>
      </c>
      <c r="M6585">
        <v>0.98702290000000004</v>
      </c>
      <c r="N6585">
        <v>-2.799919E-2</v>
      </c>
      <c r="O6585">
        <v>0.15811989999999901</v>
      </c>
      <c r="P6585">
        <v>0.98666010000000004</v>
      </c>
      <c r="Q6585">
        <v>0.14996099999999901</v>
      </c>
      <c r="R6585">
        <v>6.3354640000000004E-2</v>
      </c>
      <c r="S6585">
        <v>3.0615999999999999</v>
      </c>
      <c r="T6585">
        <v>-0.20643439999999999</v>
      </c>
      <c r="U6585">
        <v>0.16444400000000001</v>
      </c>
      <c r="V6585">
        <v>9.3526819999999997E-2</v>
      </c>
      <c r="W6585">
        <v>0.1774541</v>
      </c>
      <c r="X6585">
        <v>0.97967479999999996</v>
      </c>
      <c r="Y6585">
        <v>0.104541</v>
      </c>
      <c r="Z6585">
        <v>-1.114126E-2</v>
      </c>
      <c r="AA6585">
        <v>0.99445819999999996</v>
      </c>
      <c r="AB6585">
        <v>10</v>
      </c>
      <c r="AC6585">
        <v>16.564599999999999</v>
      </c>
      <c r="AD6585">
        <v>-1.123487594645</v>
      </c>
      <c r="AE6585">
        <v>0.87870000000000903</v>
      </c>
      <c r="AF6585">
        <v>1.7445800665246201</v>
      </c>
      <c r="AG6585">
        <v>-1.123487594645</v>
      </c>
      <c r="AH6585">
        <v>16.419724216433298</v>
      </c>
      <c r="AI6585">
        <v>93.892410204107705</v>
      </c>
      <c r="AJ6585">
        <v>83.935131490879002</v>
      </c>
      <c r="AK6585">
        <v>16.550321064183699</v>
      </c>
      <c r="AL6585">
        <v>79.778496364087403</v>
      </c>
      <c r="AM6585">
        <v>84.546658932008</v>
      </c>
      <c r="AN6585">
        <v>0.99999996871057995</v>
      </c>
    </row>
    <row r="6586" spans="1:40" x14ac:dyDescent="0.25">
      <c r="A6586" t="str">
        <f>"20190303171143446"</f>
        <v>20190303171143446</v>
      </c>
      <c r="B6586" t="str">
        <f>"1551604303436766"</f>
        <v>1551604303436766</v>
      </c>
      <c r="C6586" t="s">
        <v>40</v>
      </c>
      <c r="D6586">
        <v>6.0602159999999996</v>
      </c>
      <c r="E6586">
        <v>0.50985859999999905</v>
      </c>
      <c r="F6586" t="s">
        <v>42</v>
      </c>
      <c r="G6586">
        <v>-104.7329</v>
      </c>
      <c r="H6586" s="1">
        <v>-3.1300600000000001E-6</v>
      </c>
      <c r="I6586">
        <v>135.89660000000001</v>
      </c>
      <c r="J6586">
        <v>-120.2084</v>
      </c>
      <c r="K6586">
        <v>1.1233949999999999</v>
      </c>
      <c r="L6586">
        <v>135.0712</v>
      </c>
      <c r="M6586">
        <v>0.98694559999999998</v>
      </c>
      <c r="N6586">
        <v>-2.8014509999999999E-2</v>
      </c>
      <c r="O6586">
        <v>0.15859860000000001</v>
      </c>
      <c r="P6586">
        <v>0.98642989999999997</v>
      </c>
      <c r="Q6586">
        <v>0.15174499999999999</v>
      </c>
      <c r="R6586">
        <v>6.2684939999999995E-2</v>
      </c>
      <c r="S6586">
        <v>3.0635379999999999</v>
      </c>
      <c r="T6586">
        <v>-0.22108900000000001</v>
      </c>
      <c r="U6586">
        <v>0.16548160000000001</v>
      </c>
      <c r="V6586">
        <v>9.4650509999999993E-2</v>
      </c>
      <c r="W6586">
        <v>0.17923049999999999</v>
      </c>
      <c r="X6586">
        <v>0.97924350000000004</v>
      </c>
      <c r="Y6586">
        <v>0.10464850000000001</v>
      </c>
      <c r="Z6586">
        <v>-1.2156180000000001E-2</v>
      </c>
      <c r="AA6586">
        <v>0.99443499999999996</v>
      </c>
      <c r="AB6586">
        <v>10</v>
      </c>
      <c r="AC6586">
        <v>15.475499999999901</v>
      </c>
      <c r="AD6586">
        <v>-1.12339813006</v>
      </c>
      <c r="AE6586">
        <v>0.82540000000000102</v>
      </c>
      <c r="AF6586">
        <v>1.63183687262229</v>
      </c>
      <c r="AG6586">
        <v>-1.12339813006</v>
      </c>
      <c r="AH6586">
        <v>15.329879423400399</v>
      </c>
      <c r="AI6586">
        <v>94.167771927010605</v>
      </c>
      <c r="AJ6586">
        <v>83.923852960977797</v>
      </c>
      <c r="AK6586">
        <v>15.4573645254768</v>
      </c>
      <c r="AL6586">
        <v>79.675058820107694</v>
      </c>
      <c r="AM6586">
        <v>84.479125591107504</v>
      </c>
      <c r="AN6586">
        <v>1.0000000617328699</v>
      </c>
    </row>
    <row r="6587" spans="1:40" x14ac:dyDescent="0.25">
      <c r="A6587" t="str">
        <f>"20190303171143471"</f>
        <v>20190303171143471</v>
      </c>
      <c r="B6587" t="str">
        <f>"1551604303457263"</f>
        <v>1551604303457263</v>
      </c>
      <c r="C6587" t="s">
        <v>40</v>
      </c>
      <c r="D6587">
        <v>6.0726870000000002</v>
      </c>
      <c r="E6587">
        <v>0.50983719999999999</v>
      </c>
      <c r="F6587" t="s">
        <v>42</v>
      </c>
      <c r="G6587">
        <v>-104.9807</v>
      </c>
      <c r="H6587" s="1">
        <v>-3.0133060000000002E-6</v>
      </c>
      <c r="I6587">
        <v>135.8946</v>
      </c>
      <c r="J6587">
        <v>-120.11150000000001</v>
      </c>
      <c r="K6587">
        <v>1.123176</v>
      </c>
      <c r="L6587">
        <v>135.0873</v>
      </c>
      <c r="M6587">
        <v>0.98689170000000004</v>
      </c>
      <c r="N6587">
        <v>-2.7444260000000002E-2</v>
      </c>
      <c r="O6587">
        <v>0.1590337</v>
      </c>
      <c r="P6587">
        <v>0.98611130000000002</v>
      </c>
      <c r="Q6587">
        <v>0.15378420000000001</v>
      </c>
      <c r="R6587">
        <v>6.272846E-2</v>
      </c>
      <c r="S6587">
        <v>3.0655209999999999</v>
      </c>
      <c r="T6587">
        <v>-0.22615289999999999</v>
      </c>
      <c r="U6587">
        <v>0.16577149999999999</v>
      </c>
      <c r="V6587">
        <v>9.5004889999999995E-2</v>
      </c>
      <c r="W6587">
        <v>0.18069209999999999</v>
      </c>
      <c r="X6587">
        <v>0.97894049999999999</v>
      </c>
      <c r="Y6587">
        <v>0.1049959</v>
      </c>
      <c r="Z6587">
        <v>-1.259035E-2</v>
      </c>
      <c r="AA6587">
        <v>0.99439290000000002</v>
      </c>
      <c r="AB6587">
        <v>10</v>
      </c>
      <c r="AC6587">
        <v>15.130800000000001</v>
      </c>
      <c r="AD6587">
        <v>-1.123179013306</v>
      </c>
      <c r="AE6587">
        <v>0.80729999999999702</v>
      </c>
      <c r="AF6587">
        <v>1.60139672945445</v>
      </c>
      <c r="AG6587">
        <v>-1.123179013306</v>
      </c>
      <c r="AH6587">
        <v>14.984190066196801</v>
      </c>
      <c r="AI6587">
        <v>94.262554405623504</v>
      </c>
      <c r="AJ6587">
        <v>83.899815637834607</v>
      </c>
      <c r="AK6587">
        <v>15.111318755189799</v>
      </c>
      <c r="AL6587">
        <v>79.589925092034093</v>
      </c>
      <c r="AM6587">
        <v>84.456878876262806</v>
      </c>
      <c r="AN6587">
        <v>1.0000000333332799</v>
      </c>
    </row>
    <row r="6588" spans="1:40" x14ac:dyDescent="0.25">
      <c r="A6588" t="str">
        <f>"20190303171143494"</f>
        <v>20190303171143494</v>
      </c>
      <c r="B6588" t="str">
        <f>"1551604303487519"</f>
        <v>1551604303487519</v>
      </c>
      <c r="C6588" t="s">
        <v>40</v>
      </c>
      <c r="D6588">
        <v>6.0291920000000001</v>
      </c>
      <c r="E6588">
        <v>0.50996269999999999</v>
      </c>
      <c r="F6588" t="s">
        <v>42</v>
      </c>
      <c r="G6588">
        <v>-105.0337</v>
      </c>
      <c r="H6588" s="1">
        <v>-2.984355E-6</v>
      </c>
      <c r="I6588">
        <v>135.91640000000001</v>
      </c>
      <c r="J6588">
        <v>-120.0133</v>
      </c>
      <c r="K6588">
        <v>1.1229640000000001</v>
      </c>
      <c r="L6588">
        <v>135.1035</v>
      </c>
      <c r="M6588">
        <v>0.98684989999999995</v>
      </c>
      <c r="N6588">
        <v>-2.6740900000000001E-2</v>
      </c>
      <c r="O6588">
        <v>0.1594119</v>
      </c>
      <c r="P6588">
        <v>0.98611360000000003</v>
      </c>
      <c r="Q6588">
        <v>0.15363740000000001</v>
      </c>
      <c r="R6588">
        <v>6.3053860000000003E-2</v>
      </c>
      <c r="S6588">
        <v>3.0671539999999999</v>
      </c>
      <c r="T6588">
        <v>-0.22848009999999999</v>
      </c>
      <c r="U6588">
        <v>0.16867070000000001</v>
      </c>
      <c r="V6588">
        <v>9.5067639999999995E-2</v>
      </c>
      <c r="W6588">
        <v>0.1798516</v>
      </c>
      <c r="X6588">
        <v>0.97908910000000005</v>
      </c>
      <c r="Y6588">
        <v>0.10445260000000001</v>
      </c>
      <c r="Z6588">
        <v>-1.280622E-2</v>
      </c>
      <c r="AA6588">
        <v>0.99444739999999998</v>
      </c>
      <c r="AB6588">
        <v>9</v>
      </c>
      <c r="AC6588">
        <v>14.9796</v>
      </c>
      <c r="AD6588">
        <v>-1.1229669843550001</v>
      </c>
      <c r="AE6588">
        <v>0.81290000000001295</v>
      </c>
      <c r="AF6588">
        <v>1.5774443572181001</v>
      </c>
      <c r="AG6588">
        <v>-1.1229669843550001</v>
      </c>
      <c r="AH6588">
        <v>14.834413494090899</v>
      </c>
      <c r="AI6588">
        <v>94.304862937901405</v>
      </c>
      <c r="AJ6588">
        <v>83.930158710689199</v>
      </c>
      <c r="AK6588">
        <v>14.9602543180835</v>
      </c>
      <c r="AL6588">
        <v>79.638883533391095</v>
      </c>
      <c r="AM6588">
        <v>84.454077115691803</v>
      </c>
      <c r="AN6588">
        <v>0.99999995996826896</v>
      </c>
    </row>
    <row r="6589" spans="1:40" x14ac:dyDescent="0.25">
      <c r="A6589" t="str">
        <f>"20190303171143514"</f>
        <v>20190303171143514</v>
      </c>
      <c r="B6589" t="str">
        <f>"1551604303507039"</f>
        <v>1551604303507039</v>
      </c>
      <c r="C6589" t="s">
        <v>40</v>
      </c>
      <c r="D6589">
        <v>6.0298860000000003</v>
      </c>
      <c r="E6589">
        <v>0.51005879999999904</v>
      </c>
      <c r="F6589" t="s">
        <v>42</v>
      </c>
      <c r="G6589">
        <v>-105.5578</v>
      </c>
      <c r="H6589" s="1">
        <v>-2.7381289999999998E-6</v>
      </c>
      <c r="I6589">
        <v>135.90790000000001</v>
      </c>
      <c r="J6589">
        <v>-119.93210000000001</v>
      </c>
      <c r="K6589">
        <v>1.122865</v>
      </c>
      <c r="L6589">
        <v>135.11699999999999</v>
      </c>
      <c r="M6589">
        <v>0.98681770000000002</v>
      </c>
      <c r="N6589">
        <v>-2.6313980000000001E-2</v>
      </c>
      <c r="O6589">
        <v>0.15968289999999999</v>
      </c>
      <c r="P6589">
        <v>0.98624160000000005</v>
      </c>
      <c r="Q6589">
        <v>0.15286569999999999</v>
      </c>
      <c r="R6589">
        <v>6.292702E-2</v>
      </c>
      <c r="S6589">
        <v>3.0684659999999999</v>
      </c>
      <c r="T6589">
        <v>-0.23837220000000001</v>
      </c>
      <c r="U6589">
        <v>0.17073060000000001</v>
      </c>
      <c r="V6589">
        <v>9.5483559999999995E-2</v>
      </c>
      <c r="W6589">
        <v>0.17866279999999901</v>
      </c>
      <c r="X6589">
        <v>0.97926630000000003</v>
      </c>
      <c r="Y6589">
        <v>0.10402699999999999</v>
      </c>
      <c r="Z6589">
        <v>-1.351372E-2</v>
      </c>
      <c r="AA6589">
        <v>0.99448259999999999</v>
      </c>
      <c r="AB6589">
        <v>9</v>
      </c>
      <c r="AC6589">
        <v>14.3743</v>
      </c>
      <c r="AD6589">
        <v>-1.122867738129</v>
      </c>
      <c r="AE6589">
        <v>0.79089999999999305</v>
      </c>
      <c r="AF6589">
        <v>1.5062169136575201</v>
      </c>
      <c r="AG6589">
        <v>-1.122867738129</v>
      </c>
      <c r="AH6589">
        <v>14.2294938940391</v>
      </c>
      <c r="AI6589">
        <v>94.486970091354607</v>
      </c>
      <c r="AJ6589">
        <v>83.957641490982695</v>
      </c>
      <c r="AK6589">
        <v>14.352979405991499</v>
      </c>
      <c r="AL6589">
        <v>79.708118588067407</v>
      </c>
      <c r="AM6589">
        <v>84.430967583087295</v>
      </c>
      <c r="AN6589">
        <v>0.999999996324901</v>
      </c>
    </row>
    <row r="6590" spans="1:40" x14ac:dyDescent="0.25">
      <c r="A6590" t="str">
        <f>"20190303171143535"</f>
        <v>20190303171143535</v>
      </c>
      <c r="B6590" t="str">
        <f>"1551604303527535"</f>
        <v>1551604303527535</v>
      </c>
      <c r="C6590" t="s">
        <v>40</v>
      </c>
      <c r="D6590">
        <v>6.0539719999999999</v>
      </c>
      <c r="E6590">
        <v>0.51010949999999999</v>
      </c>
      <c r="F6590" t="s">
        <v>42</v>
      </c>
      <c r="G6590">
        <v>-105.9345</v>
      </c>
      <c r="H6590" s="1">
        <v>-2.5617520000000001E-6</v>
      </c>
      <c r="I6590">
        <v>135.89830000000001</v>
      </c>
      <c r="J6590">
        <v>-119.8514</v>
      </c>
      <c r="K6590">
        <v>1.1228370000000001</v>
      </c>
      <c r="L6590">
        <v>135.1302</v>
      </c>
      <c r="M6590">
        <v>0.98678759999999999</v>
      </c>
      <c r="N6590">
        <v>-2.6004099999999999E-2</v>
      </c>
      <c r="O6590">
        <v>0.15991910000000001</v>
      </c>
      <c r="P6590">
        <v>0.98635360000000005</v>
      </c>
      <c r="Q6590">
        <v>0.15273519999999999</v>
      </c>
      <c r="R6590">
        <v>6.1471430000000001E-2</v>
      </c>
      <c r="S6590">
        <v>3.0690770000000001</v>
      </c>
      <c r="T6590">
        <v>-0.24619769999999999</v>
      </c>
      <c r="U6590">
        <v>0.1713257</v>
      </c>
      <c r="V6590">
        <v>9.7167530000000002E-2</v>
      </c>
      <c r="W6590">
        <v>0.17822689999999999</v>
      </c>
      <c r="X6590">
        <v>0.9791801</v>
      </c>
      <c r="Y6590">
        <v>0.1040358</v>
      </c>
      <c r="Z6590">
        <v>-1.409238E-2</v>
      </c>
      <c r="AA6590">
        <v>0.99447370000000002</v>
      </c>
      <c r="AB6590">
        <v>9</v>
      </c>
      <c r="AC6590">
        <v>13.916899999999901</v>
      </c>
      <c r="AD6590">
        <v>-1.1228395617519999</v>
      </c>
      <c r="AE6590">
        <v>0.768100000000004</v>
      </c>
      <c r="AF6590">
        <v>1.45865661050787</v>
      </c>
      <c r="AG6590">
        <v>-1.1228395617519999</v>
      </c>
      <c r="AH6590">
        <v>13.771172875467901</v>
      </c>
      <c r="AI6590">
        <v>94.635512082837096</v>
      </c>
      <c r="AJ6590">
        <v>83.953717225562102</v>
      </c>
      <c r="AK6590">
        <v>13.893655032238099</v>
      </c>
      <c r="AL6590">
        <v>79.733501379836198</v>
      </c>
      <c r="AM6590">
        <v>84.3328889791877</v>
      </c>
      <c r="AN6590">
        <v>1.00000001250296</v>
      </c>
    </row>
    <row r="6591" spans="1:40" x14ac:dyDescent="0.25">
      <c r="A6591" t="str">
        <f>"20190303171143558"</f>
        <v>20190303171143558</v>
      </c>
      <c r="B6591" t="str">
        <f>"1551604303547055"</f>
        <v>1551604303547055</v>
      </c>
      <c r="C6591" t="s">
        <v>40</v>
      </c>
      <c r="D6591">
        <v>6.046271</v>
      </c>
      <c r="E6591">
        <v>0.51018229999999998</v>
      </c>
      <c r="F6591" t="s">
        <v>42</v>
      </c>
      <c r="G6591">
        <v>-106.15479999999999</v>
      </c>
      <c r="H6591" s="1">
        <v>-2.4598000000000001E-6</v>
      </c>
      <c r="I6591">
        <v>135.886</v>
      </c>
      <c r="J6591">
        <v>-119.76690000000001</v>
      </c>
      <c r="K6591">
        <v>1.1228309999999999</v>
      </c>
      <c r="L6591">
        <v>135.14420000000001</v>
      </c>
      <c r="M6591">
        <v>0.98675979999999996</v>
      </c>
      <c r="N6591">
        <v>-2.5678969999999999E-2</v>
      </c>
      <c r="O6591">
        <v>0.16014210000000001</v>
      </c>
      <c r="P6591">
        <v>0.98644469999999995</v>
      </c>
      <c r="Q6591">
        <v>0.15304119999999999</v>
      </c>
      <c r="R6591">
        <v>5.9207250000000003E-2</v>
      </c>
      <c r="S6591">
        <v>3.069931</v>
      </c>
      <c r="T6591">
        <v>-0.25167240000000002</v>
      </c>
      <c r="U6591">
        <v>0.16938780000000001</v>
      </c>
      <c r="V6591">
        <v>9.9625569999999997E-2</v>
      </c>
      <c r="W6591">
        <v>0.17821289999999901</v>
      </c>
      <c r="X6591">
        <v>0.97893560000000002</v>
      </c>
      <c r="Y6591">
        <v>0.1048626</v>
      </c>
      <c r="Z6591">
        <v>-1.4554940000000001E-2</v>
      </c>
      <c r="AA6591">
        <v>0.99438020000000005</v>
      </c>
      <c r="AB6591">
        <v>9</v>
      </c>
      <c r="AC6591">
        <v>13.6121</v>
      </c>
      <c r="AD6591">
        <v>-1.1228334597999901</v>
      </c>
      <c r="AE6591">
        <v>0.74179999999998303</v>
      </c>
      <c r="AF6591">
        <v>1.4386099330469599</v>
      </c>
      <c r="AG6591">
        <v>-1.1228334597999901</v>
      </c>
      <c r="AH6591">
        <v>13.4637979147591</v>
      </c>
      <c r="AI6591">
        <v>94.740375651993503</v>
      </c>
      <c r="AJ6591">
        <v>83.901072838672206</v>
      </c>
      <c r="AK6591">
        <v>13.5869131081118</v>
      </c>
      <c r="AL6591">
        <v>79.734316446177402</v>
      </c>
      <c r="AM6591">
        <v>84.189056021618001</v>
      </c>
      <c r="AN6591">
        <v>1.0000000004357901</v>
      </c>
    </row>
    <row r="6592" spans="1:40" x14ac:dyDescent="0.25">
      <c r="A6592" t="str">
        <f>"20190303171143580"</f>
        <v>20190303171143580</v>
      </c>
      <c r="B6592" t="str">
        <f>"1551604303567551"</f>
        <v>1551604303567551</v>
      </c>
      <c r="C6592" t="s">
        <v>40</v>
      </c>
      <c r="D6592">
        <v>6.4056360000000003</v>
      </c>
      <c r="E6592">
        <v>0.51036159999999997</v>
      </c>
      <c r="F6592" t="s">
        <v>42</v>
      </c>
      <c r="G6592">
        <v>-106.22790000000001</v>
      </c>
      <c r="H6592" s="1">
        <v>-2.4296699999999998E-6</v>
      </c>
      <c r="I6592">
        <v>135.86959999999999</v>
      </c>
      <c r="J6592">
        <v>-119.6836</v>
      </c>
      <c r="K6592">
        <v>1.1228180000000001</v>
      </c>
      <c r="L6592">
        <v>135.15790000000001</v>
      </c>
      <c r="M6592">
        <v>0.98673339999999998</v>
      </c>
      <c r="N6592">
        <v>-2.530052E-2</v>
      </c>
      <c r="O6592">
        <v>0.16036549999999999</v>
      </c>
      <c r="P6592">
        <v>0.98671310000000001</v>
      </c>
      <c r="Q6592">
        <v>0.15219349999999901</v>
      </c>
      <c r="R6592">
        <v>5.6873319999999998E-2</v>
      </c>
      <c r="S6592">
        <v>3.070862</v>
      </c>
      <c r="T6592">
        <v>-0.25467590000000001</v>
      </c>
      <c r="U6592">
        <v>0.1645355</v>
      </c>
      <c r="V6592">
        <v>0.1021782</v>
      </c>
      <c r="W6592">
        <v>0.1769994</v>
      </c>
      <c r="X6592">
        <v>0.97889269999999995</v>
      </c>
      <c r="Y6592">
        <v>0.106641</v>
      </c>
      <c r="Z6592">
        <v>-1.4906569999999999E-2</v>
      </c>
      <c r="AA6592">
        <v>0.99418589999999996</v>
      </c>
      <c r="AB6592">
        <v>9</v>
      </c>
      <c r="AC6592">
        <v>13.455699999999901</v>
      </c>
      <c r="AD6592">
        <v>-1.12282042967</v>
      </c>
      <c r="AE6592">
        <v>0.71169999999997902</v>
      </c>
      <c r="AF6592">
        <v>1.4459973204532699</v>
      </c>
      <c r="AG6592">
        <v>-1.12282042967</v>
      </c>
      <c r="AH6592">
        <v>13.303234237325199</v>
      </c>
      <c r="AI6592">
        <v>94.796330445367602</v>
      </c>
      <c r="AJ6592">
        <v>83.796579344882602</v>
      </c>
      <c r="AK6592">
        <v>13.428614043943</v>
      </c>
      <c r="AL6592">
        <v>79.804968585181399</v>
      </c>
      <c r="AM6592">
        <v>84.040965416836499</v>
      </c>
      <c r="AN6592">
        <v>1.00000004513444</v>
      </c>
    </row>
    <row r="6593" spans="1:40" x14ac:dyDescent="0.25">
      <c r="A6593" t="str">
        <f>"20190303171143604"</f>
        <v>20190303171143604</v>
      </c>
      <c r="B6593" t="str">
        <f>"1551604303596831"</f>
        <v>1551604303596831</v>
      </c>
      <c r="C6593" t="s">
        <v>40</v>
      </c>
      <c r="D6593">
        <v>6.0434320000000001</v>
      </c>
      <c r="E6593">
        <v>0.51046040000000004</v>
      </c>
      <c r="F6593" t="s">
        <v>42</v>
      </c>
      <c r="G6593">
        <v>-106.5425</v>
      </c>
      <c r="H6593" s="1">
        <v>-2.319169E-6</v>
      </c>
      <c r="I6593">
        <v>135.83080000000001</v>
      </c>
      <c r="J6593">
        <v>-119.5985</v>
      </c>
      <c r="K6593">
        <v>1.1228089999999999</v>
      </c>
      <c r="L6593">
        <v>135.1721</v>
      </c>
      <c r="M6593">
        <v>0.98670199999999997</v>
      </c>
      <c r="N6593">
        <v>-2.490728E-2</v>
      </c>
      <c r="O6593">
        <v>0.16062009999999999</v>
      </c>
      <c r="P6593">
        <v>0.98687469999999999</v>
      </c>
      <c r="Q6593">
        <v>0.1519094</v>
      </c>
      <c r="R6593">
        <v>5.478827E-2</v>
      </c>
      <c r="S6593">
        <v>3.0718230000000002</v>
      </c>
      <c r="T6593">
        <v>-0.2624667</v>
      </c>
      <c r="U6593">
        <v>0.1572876</v>
      </c>
      <c r="V6593">
        <v>0.1045003</v>
      </c>
      <c r="W6593">
        <v>0.176333399999999</v>
      </c>
      <c r="X6593">
        <v>0.97876770000000002</v>
      </c>
      <c r="Y6593">
        <v>0.10918799999999999</v>
      </c>
      <c r="Z6593">
        <v>-1.56378E-2</v>
      </c>
      <c r="AA6593">
        <v>0.99389810000000001</v>
      </c>
      <c r="AB6593">
        <v>8</v>
      </c>
      <c r="AC6593">
        <v>13.0559999999999</v>
      </c>
      <c r="AD6593">
        <v>-1.1228113191689999</v>
      </c>
      <c r="AE6593">
        <v>0.65870000000001006</v>
      </c>
      <c r="AF6593">
        <v>1.43696377130957</v>
      </c>
      <c r="AG6593">
        <v>-1.1228113191689999</v>
      </c>
      <c r="AH6593">
        <v>12.897068489931099</v>
      </c>
      <c r="AI6593">
        <v>94.945145584610401</v>
      </c>
      <c r="AJ6593">
        <v>83.642447757244696</v>
      </c>
      <c r="AK6593">
        <v>13.025357798251999</v>
      </c>
      <c r="AL6593">
        <v>79.843736867581697</v>
      </c>
      <c r="AM6593">
        <v>83.905775805578998</v>
      </c>
      <c r="AN6593">
        <v>0.99999999560946995</v>
      </c>
    </row>
    <row r="6594" spans="1:40" x14ac:dyDescent="0.25">
      <c r="A6594" t="str">
        <f>"20190303171143625"</f>
        <v>20190303171143625</v>
      </c>
      <c r="B6594" t="str">
        <f>"1551604303617327"</f>
        <v>1551604303617327</v>
      </c>
      <c r="C6594" t="s">
        <v>40</v>
      </c>
      <c r="D6594">
        <v>6.0410370000000002</v>
      </c>
      <c r="E6594">
        <v>0.51058379999999903</v>
      </c>
      <c r="F6594" t="s">
        <v>42</v>
      </c>
      <c r="G6594">
        <v>-106.9059</v>
      </c>
      <c r="H6594" s="1">
        <v>-2.1888979999999999E-6</v>
      </c>
      <c r="I6594">
        <v>135.79589999999999</v>
      </c>
      <c r="J6594">
        <v>-119.52370000000001</v>
      </c>
      <c r="K6594">
        <v>1.1228229999999999</v>
      </c>
      <c r="L6594">
        <v>135.18450000000001</v>
      </c>
      <c r="M6594">
        <v>0.98666889999999996</v>
      </c>
      <c r="N6594">
        <v>-2.460261E-2</v>
      </c>
      <c r="O6594">
        <v>0.16086979999999901</v>
      </c>
      <c r="P6594">
        <v>0.98684450000000001</v>
      </c>
      <c r="Q6594">
        <v>0.15305479999999999</v>
      </c>
      <c r="R6594">
        <v>5.2080069999999999E-2</v>
      </c>
      <c r="S6594">
        <v>3.0733640000000002</v>
      </c>
      <c r="T6594">
        <v>-0.27187660000000002</v>
      </c>
      <c r="U6594">
        <v>0.151062</v>
      </c>
      <c r="V6594">
        <v>0.107405399999999</v>
      </c>
      <c r="W6594">
        <v>0.177174</v>
      </c>
      <c r="X6594">
        <v>0.97830130000000004</v>
      </c>
      <c r="Y6594">
        <v>0.1113963</v>
      </c>
      <c r="Z6594">
        <v>-1.645609E-2</v>
      </c>
      <c r="AA6594">
        <v>0.99363979999999996</v>
      </c>
      <c r="AB6594">
        <v>8</v>
      </c>
      <c r="AC6594">
        <v>12.617800000000001</v>
      </c>
      <c r="AD6594">
        <v>-1.1228251888980001</v>
      </c>
      <c r="AE6594">
        <v>0.61139999999997396</v>
      </c>
      <c r="AF6594">
        <v>1.41582033427438</v>
      </c>
      <c r="AG6594">
        <v>-1.1228251888980001</v>
      </c>
      <c r="AH6594">
        <v>12.4533624111231</v>
      </c>
      <c r="AI6594">
        <v>95.119194543305497</v>
      </c>
      <c r="AJ6594">
        <v>83.513903441092907</v>
      </c>
      <c r="AK6594">
        <v>12.5837799951581</v>
      </c>
      <c r="AL6594">
        <v>79.794803525683704</v>
      </c>
      <c r="AM6594">
        <v>83.734723130316695</v>
      </c>
      <c r="AN6594">
        <v>0.99999998990342498</v>
      </c>
    </row>
    <row r="6595" spans="1:40" x14ac:dyDescent="0.25">
      <c r="A6595" t="str">
        <f>"20190303171143647"</f>
        <v>20190303171143647</v>
      </c>
      <c r="B6595" t="str">
        <f>"1551604303637823"</f>
        <v>1551604303637823</v>
      </c>
      <c r="C6595" t="s">
        <v>40</v>
      </c>
      <c r="D6595">
        <v>5.9832539999999996</v>
      </c>
      <c r="E6595">
        <v>0.51061719999999999</v>
      </c>
      <c r="F6595" t="s">
        <v>42</v>
      </c>
      <c r="G6595">
        <v>-106.86879999999999</v>
      </c>
      <c r="H6595" s="1">
        <v>-2.2088439999999999E-6</v>
      </c>
      <c r="I6595">
        <v>135.77459999999999</v>
      </c>
      <c r="J6595">
        <v>-119.44840000000001</v>
      </c>
      <c r="K6595">
        <v>1.1229260000000001</v>
      </c>
      <c r="L6595">
        <v>135.19710000000001</v>
      </c>
      <c r="M6595">
        <v>0.98662510000000003</v>
      </c>
      <c r="N6595">
        <v>-2.464479E-2</v>
      </c>
      <c r="O6595">
        <v>0.16113179999999999</v>
      </c>
      <c r="P6595">
        <v>0.98657039999999996</v>
      </c>
      <c r="Q6595">
        <v>0.1559024</v>
      </c>
      <c r="R6595">
        <v>4.8717730000000001E-2</v>
      </c>
      <c r="S6595">
        <v>3.074722</v>
      </c>
      <c r="T6595">
        <v>-0.27280910000000003</v>
      </c>
      <c r="U6595">
        <v>0.14337159999999999</v>
      </c>
      <c r="V6595">
        <v>0.11093550000000001</v>
      </c>
      <c r="W6595">
        <v>0.18004439999999999</v>
      </c>
      <c r="X6595">
        <v>0.97738290000000005</v>
      </c>
      <c r="Y6595">
        <v>0.1141412</v>
      </c>
      <c r="Z6595">
        <v>-1.6681910000000001E-2</v>
      </c>
      <c r="AA6595">
        <v>0.99332450000000005</v>
      </c>
      <c r="AB6595">
        <v>8</v>
      </c>
      <c r="AC6595">
        <v>12.579599999999999</v>
      </c>
      <c r="AD6595">
        <v>-1.122928208844</v>
      </c>
      <c r="AE6595">
        <v>0.57749999999998602</v>
      </c>
      <c r="AF6595">
        <v>1.4461412132443801</v>
      </c>
      <c r="AG6595">
        <v>-1.122928208844</v>
      </c>
      <c r="AH6595">
        <v>12.409526459019901</v>
      </c>
      <c r="AI6595">
        <v>95.135998665251094</v>
      </c>
      <c r="AJ6595">
        <v>83.353031158425495</v>
      </c>
      <c r="AK6595">
        <v>12.5438685862048</v>
      </c>
      <c r="AL6595">
        <v>79.627654033027596</v>
      </c>
      <c r="AM6595">
        <v>83.524492825997896</v>
      </c>
      <c r="AN6595">
        <v>1.0000000021720099</v>
      </c>
    </row>
    <row r="6596" spans="1:40" x14ac:dyDescent="0.25">
      <c r="A6596" t="str">
        <f>"20190303171143673"</f>
        <v>20190303171143673</v>
      </c>
      <c r="B6596" t="str">
        <f>"1551604303667103"</f>
        <v>1551604303667103</v>
      </c>
      <c r="C6596" t="s">
        <v>40</v>
      </c>
      <c r="D6596">
        <v>5.9872259999999997</v>
      </c>
      <c r="E6596">
        <v>0.51068000000000002</v>
      </c>
      <c r="F6596" t="s">
        <v>42</v>
      </c>
      <c r="G6596">
        <v>-106.55889999999999</v>
      </c>
      <c r="H6596" s="1">
        <v>-2.3315079999999998E-6</v>
      </c>
      <c r="I6596">
        <v>135.76079999999999</v>
      </c>
      <c r="J6596">
        <v>-119.3656</v>
      </c>
      <c r="K6596">
        <v>1.1231739999999999</v>
      </c>
      <c r="L6596">
        <v>135.21090000000001</v>
      </c>
      <c r="M6596">
        <v>0.98656120000000003</v>
      </c>
      <c r="N6596">
        <v>-2.5315580000000001E-2</v>
      </c>
      <c r="O6596">
        <v>0.16141920000000001</v>
      </c>
      <c r="P6596">
        <v>0.98640419999999995</v>
      </c>
      <c r="Q6596">
        <v>0.1580839</v>
      </c>
      <c r="R6596">
        <v>4.4901700000000003E-2</v>
      </c>
      <c r="S6596">
        <v>3.0765530000000001</v>
      </c>
      <c r="T6596">
        <v>-0.268026599999999</v>
      </c>
      <c r="U6596">
        <v>0.134567299999999</v>
      </c>
      <c r="V6596">
        <v>0.11496389999999999</v>
      </c>
      <c r="W6596">
        <v>0.18285969999999999</v>
      </c>
      <c r="X6596">
        <v>0.97639419999999999</v>
      </c>
      <c r="Y6596">
        <v>0.1173186</v>
      </c>
      <c r="Z6596">
        <v>-1.646179E-2</v>
      </c>
      <c r="AA6596">
        <v>0.99295789999999995</v>
      </c>
      <c r="AB6596">
        <v>8</v>
      </c>
      <c r="AC6596">
        <v>12.806699999999999</v>
      </c>
      <c r="AD6596">
        <v>-1.1231763315079999</v>
      </c>
      <c r="AE6596">
        <v>0.54989999999997896</v>
      </c>
      <c r="AF6596">
        <v>1.51360530852238</v>
      </c>
      <c r="AG6596">
        <v>-1.1231763315079999</v>
      </c>
      <c r="AH6596">
        <v>12.630465759409899</v>
      </c>
      <c r="AI6596">
        <v>95.045801383174094</v>
      </c>
      <c r="AJ6596">
        <v>83.166396804789699</v>
      </c>
      <c r="AK6596">
        <v>12.770324639619499</v>
      </c>
      <c r="AL6596">
        <v>79.463626257259193</v>
      </c>
      <c r="AM6596">
        <v>83.284722884258301</v>
      </c>
      <c r="AN6596">
        <v>1.0000000009904699</v>
      </c>
    </row>
    <row r="6597" spans="1:40" x14ac:dyDescent="0.25">
      <c r="A6597" t="str">
        <f>"20190303171143695"</f>
        <v>20190303171143695</v>
      </c>
      <c r="B6597" t="str">
        <f>"1551604303687599"</f>
        <v>1551604303687599</v>
      </c>
      <c r="C6597" t="s">
        <v>40</v>
      </c>
      <c r="D6597">
        <v>5.9857250000000004</v>
      </c>
      <c r="E6597">
        <v>0.51062920000000001</v>
      </c>
      <c r="F6597" t="s">
        <v>42</v>
      </c>
      <c r="G6597">
        <v>-106.39749999999999</v>
      </c>
      <c r="H6597" s="1">
        <v>-2.3998459999999999E-6</v>
      </c>
      <c r="I6597">
        <v>135.73689999999999</v>
      </c>
      <c r="J6597">
        <v>-119.3013</v>
      </c>
      <c r="K6597">
        <v>1.1232819999999999</v>
      </c>
      <c r="L6597">
        <v>135.2217</v>
      </c>
      <c r="M6597">
        <v>0.98651330000000004</v>
      </c>
      <c r="N6597">
        <v>-2.568285E-2</v>
      </c>
      <c r="O6597">
        <v>0.16165350000000001</v>
      </c>
      <c r="P6597">
        <v>0.98628910000000003</v>
      </c>
      <c r="Q6597">
        <v>0.159966</v>
      </c>
      <c r="R6597">
        <v>4.055301E-2</v>
      </c>
      <c r="S6597">
        <v>3.0783999999999998</v>
      </c>
      <c r="T6597">
        <v>-0.266623</v>
      </c>
      <c r="U6597">
        <v>0.12486269999999999</v>
      </c>
      <c r="V6597">
        <v>0.1194699</v>
      </c>
      <c r="W6597">
        <v>0.18507950000000001</v>
      </c>
      <c r="X6597">
        <v>0.97543449999999998</v>
      </c>
      <c r="Y6597">
        <v>0.12070160000000001</v>
      </c>
      <c r="Z6597">
        <v>-1.6518709999999999E-2</v>
      </c>
      <c r="AA6597">
        <v>0.99255139999999997</v>
      </c>
      <c r="AB6597">
        <v>7</v>
      </c>
      <c r="AC6597">
        <v>12.9038</v>
      </c>
      <c r="AD6597">
        <v>-1.12328439984599</v>
      </c>
      <c r="AE6597">
        <v>0.515199999999993</v>
      </c>
      <c r="AF6597">
        <v>1.5663626839739699</v>
      </c>
      <c r="AG6597">
        <v>-1.12328439984599</v>
      </c>
      <c r="AH6597">
        <v>12.7210380958782</v>
      </c>
      <c r="AI6597">
        <v>95.008573472429802</v>
      </c>
      <c r="AJ6597">
        <v>82.980408229948594</v>
      </c>
      <c r="AK6597">
        <v>12.8662376061329</v>
      </c>
      <c r="AL6597">
        <v>79.334232232894394</v>
      </c>
      <c r="AM6597">
        <v>83.017267764550198</v>
      </c>
      <c r="AN6597">
        <v>0.999999971058254</v>
      </c>
    </row>
    <row r="6598" spans="1:40" x14ac:dyDescent="0.25">
      <c r="A6598" t="str">
        <f>"20190303171143719"</f>
        <v>20190303171143719</v>
      </c>
      <c r="B6598" t="str">
        <f>"1551604303707119"</f>
        <v>1551604303707119</v>
      </c>
      <c r="C6598" t="s">
        <v>40</v>
      </c>
      <c r="D6598">
        <v>5.9779260000000001</v>
      </c>
      <c r="E6598">
        <v>0.50787959999999999</v>
      </c>
      <c r="F6598" t="s">
        <v>42</v>
      </c>
      <c r="G6598">
        <v>-106.1344</v>
      </c>
      <c r="H6598" s="1">
        <v>-2.5076719999999998E-6</v>
      </c>
      <c r="I6598">
        <v>135.71129999999999</v>
      </c>
      <c r="J6598">
        <v>-119.2287</v>
      </c>
      <c r="K6598">
        <v>1.123186</v>
      </c>
      <c r="L6598">
        <v>135.23390000000001</v>
      </c>
      <c r="M6598">
        <v>0.98647499999999999</v>
      </c>
      <c r="N6598">
        <v>-2.5305350000000001E-2</v>
      </c>
      <c r="O6598">
        <v>0.16194710000000001</v>
      </c>
      <c r="P6598">
        <v>0.98621029999999998</v>
      </c>
      <c r="Q6598">
        <v>0.16164479999999901</v>
      </c>
      <c r="R6598">
        <v>3.5498960000000003E-2</v>
      </c>
      <c r="S6598">
        <v>3.0796049999999999</v>
      </c>
      <c r="T6598">
        <v>-0.2627255</v>
      </c>
      <c r="U6598">
        <v>0.1145325</v>
      </c>
      <c r="V6598">
        <v>0.1247262</v>
      </c>
      <c r="W6598">
        <v>0.18637129999999999</v>
      </c>
      <c r="X6598">
        <v>0.97453020000000001</v>
      </c>
      <c r="Y6598">
        <v>0.1243431</v>
      </c>
      <c r="Z6598">
        <v>-1.6491329999999998E-2</v>
      </c>
      <c r="AA6598">
        <v>0.99210220000000005</v>
      </c>
      <c r="AB6598">
        <v>7</v>
      </c>
      <c r="AC6598">
        <v>13.0943</v>
      </c>
      <c r="AD6598">
        <v>-1.1231885076719901</v>
      </c>
      <c r="AE6598">
        <v>0.477399999999988</v>
      </c>
      <c r="AF6598">
        <v>1.6381322112012</v>
      </c>
      <c r="AG6598">
        <v>-1.1231885076719901</v>
      </c>
      <c r="AH6598">
        <v>12.9038583613291</v>
      </c>
      <c r="AI6598">
        <v>94.935238017862901</v>
      </c>
      <c r="AJ6598">
        <v>82.765057378265993</v>
      </c>
      <c r="AK6598">
        <v>13.055825909316701</v>
      </c>
      <c r="AL6598">
        <v>79.258907303954601</v>
      </c>
      <c r="AM6598">
        <v>82.706594186194593</v>
      </c>
      <c r="AN6598">
        <v>0.99999999857108401</v>
      </c>
    </row>
    <row r="6599" spans="1:40" x14ac:dyDescent="0.25">
      <c r="A6599" t="str">
        <f>"20190303171143740"</f>
        <v>20190303171143740</v>
      </c>
      <c r="B6599" t="str">
        <f>"1551604303726639"</f>
        <v>1551604303726639</v>
      </c>
      <c r="C6599" t="s">
        <v>40</v>
      </c>
      <c r="D6599">
        <v>5.980931</v>
      </c>
      <c r="E6599">
        <v>0.50817609999999902</v>
      </c>
      <c r="F6599" t="s">
        <v>43</v>
      </c>
      <c r="G6599">
        <v>-118.44</v>
      </c>
      <c r="H6599">
        <v>1.038721</v>
      </c>
      <c r="I6599">
        <v>135.26769999999999</v>
      </c>
      <c r="J6599">
        <v>-119.1661</v>
      </c>
      <c r="K6599">
        <v>1.123057</v>
      </c>
      <c r="L6599">
        <v>135.24440000000001</v>
      </c>
      <c r="M6599">
        <v>0.98644639999999995</v>
      </c>
      <c r="N6599">
        <v>-2.4753239999999999E-2</v>
      </c>
      <c r="O6599">
        <v>0.16220580000000001</v>
      </c>
      <c r="P6599">
        <v>0.98607920000000004</v>
      </c>
      <c r="Q6599">
        <v>0.16361700000000001</v>
      </c>
      <c r="R6599">
        <v>2.9617500000000001E-2</v>
      </c>
      <c r="S6599">
        <v>3.0914459999999999</v>
      </c>
      <c r="T6599">
        <v>-0.33103690000000002</v>
      </c>
      <c r="U6599">
        <v>0.13253779999999901</v>
      </c>
      <c r="V6599">
        <v>0.13075889999999901</v>
      </c>
      <c r="W6599">
        <v>0.18778030000000001</v>
      </c>
      <c r="X6599">
        <v>0.97346840000000001</v>
      </c>
      <c r="Y6599">
        <v>0.1184704</v>
      </c>
      <c r="Z6599">
        <v>-2.101138E-2</v>
      </c>
      <c r="AA6599">
        <v>0.99273529999999999</v>
      </c>
      <c r="AB6599">
        <v>7</v>
      </c>
      <c r="AC6599">
        <v>0.72610000000000197</v>
      </c>
      <c r="AD6599">
        <v>-8.4335999999999897E-2</v>
      </c>
      <c r="AE6599">
        <v>2.3299999999977599E-2</v>
      </c>
      <c r="AF6599">
        <v>9.3561578447172999E-2</v>
      </c>
      <c r="AG6599">
        <v>-8.4335999999999897E-2</v>
      </c>
      <c r="AH6599">
        <v>0.71068114575822805</v>
      </c>
      <c r="AI6599">
        <v>96.710231873752704</v>
      </c>
      <c r="AJ6599">
        <v>82.500108519832196</v>
      </c>
      <c r="AK6599">
        <v>0.72175759143479301</v>
      </c>
      <c r="AL6599">
        <v>79.176727010265594</v>
      </c>
      <c r="AM6599">
        <v>82.349667713047197</v>
      </c>
      <c r="AN6599">
        <v>1.00000002839792</v>
      </c>
    </row>
    <row r="6600" spans="1:40" x14ac:dyDescent="0.25">
      <c r="A6600" t="str">
        <f>"20190303171143761"</f>
        <v>20190303171143761</v>
      </c>
      <c r="B6600" t="str">
        <f>"1551604303747135"</f>
        <v>1551604303747135</v>
      </c>
      <c r="C6600" t="s">
        <v>40</v>
      </c>
      <c r="D6600">
        <v>6.0061150000000003</v>
      </c>
      <c r="E6600">
        <v>0.507656</v>
      </c>
      <c r="F6600" t="s">
        <v>43</v>
      </c>
      <c r="G6600">
        <v>-118.37779999999999</v>
      </c>
      <c r="H6600">
        <v>1.042578</v>
      </c>
      <c r="I6600">
        <v>135.27350000000001</v>
      </c>
      <c r="J6600">
        <v>-119.10599999999999</v>
      </c>
      <c r="K6600">
        <v>1.1229960000000001</v>
      </c>
      <c r="L6600">
        <v>135.25460000000001</v>
      </c>
      <c r="M6600">
        <v>0.98641380000000001</v>
      </c>
      <c r="N6600">
        <v>-2.4447139999999999E-2</v>
      </c>
      <c r="O6600">
        <v>0.16245109999999999</v>
      </c>
      <c r="P6600">
        <v>0.98590710000000004</v>
      </c>
      <c r="Q6600">
        <v>0.165539299999999</v>
      </c>
      <c r="R6600">
        <v>2.416662E-2</v>
      </c>
      <c r="S6600">
        <v>3.0912929999999998</v>
      </c>
      <c r="T6600">
        <v>-0.31565939999999998</v>
      </c>
      <c r="U6600">
        <v>0.1141205</v>
      </c>
      <c r="V6600">
        <v>0.13635269999999999</v>
      </c>
      <c r="W6600">
        <v>0.18937619999999999</v>
      </c>
      <c r="X6600">
        <v>0.97239120000000001</v>
      </c>
      <c r="Y6600">
        <v>0.124705</v>
      </c>
      <c r="Z6600">
        <v>-2.0371029999999998E-2</v>
      </c>
      <c r="AA6600">
        <v>0.99198470000000005</v>
      </c>
      <c r="AB6600">
        <v>7</v>
      </c>
      <c r="AC6600">
        <v>0.72820000000001495</v>
      </c>
      <c r="AD6600">
        <v>-8.0417999999999795E-2</v>
      </c>
      <c r="AE6600">
        <v>1.8900000000002099E-2</v>
      </c>
      <c r="AF6600">
        <v>9.8483194167740498E-2</v>
      </c>
      <c r="AG6600">
        <v>-8.0417999999999795E-2</v>
      </c>
      <c r="AH6600">
        <v>0.71290396762683494</v>
      </c>
      <c r="AI6600">
        <v>96.3759084161223</v>
      </c>
      <c r="AJ6600">
        <v>82.13472950984</v>
      </c>
      <c r="AK6600">
        <v>0.724153341023546</v>
      </c>
      <c r="AL6600">
        <v>79.083618084299601</v>
      </c>
      <c r="AM6600">
        <v>82.017795729513196</v>
      </c>
      <c r="AN6600">
        <v>1.00000002488058</v>
      </c>
    </row>
    <row r="6601" spans="1:40" x14ac:dyDescent="0.25">
      <c r="A6601" t="str">
        <f>"20190303171143783"</f>
        <v>20190303171143783</v>
      </c>
      <c r="B6601" t="str">
        <f>"1551604303777391"</f>
        <v>1551604303777391</v>
      </c>
      <c r="C6601" t="s">
        <v>40</v>
      </c>
      <c r="D6601">
        <v>5.9405340000000004</v>
      </c>
      <c r="E6601">
        <v>0.50678259999999997</v>
      </c>
      <c r="F6601" t="s">
        <v>42</v>
      </c>
      <c r="G6601">
        <v>-107.59</v>
      </c>
      <c r="H6601" s="1">
        <v>-1.9676270000000001E-6</v>
      </c>
      <c r="I6601">
        <v>135.64019999999999</v>
      </c>
      <c r="J6601">
        <v>-119.0468</v>
      </c>
      <c r="K6601">
        <v>1.122987</v>
      </c>
      <c r="L6601">
        <v>135.2646</v>
      </c>
      <c r="M6601">
        <v>0.98637719999999995</v>
      </c>
      <c r="N6601">
        <v>-2.4326090000000002E-2</v>
      </c>
      <c r="O6601">
        <v>0.1626919</v>
      </c>
      <c r="P6601">
        <v>0.98598110000000005</v>
      </c>
      <c r="Q6601">
        <v>0.16596169999999999</v>
      </c>
      <c r="R6601">
        <v>1.7268530000000001E-2</v>
      </c>
      <c r="S6601">
        <v>3.090973</v>
      </c>
      <c r="T6601">
        <v>-0.30142000000000002</v>
      </c>
      <c r="U6601">
        <v>0.10350040000000001</v>
      </c>
      <c r="V6601">
        <v>0.1434146</v>
      </c>
      <c r="W6601">
        <v>0.18965099999999999</v>
      </c>
      <c r="X6601">
        <v>0.9713212</v>
      </c>
      <c r="Y6601">
        <v>0.12844149999999999</v>
      </c>
      <c r="Z6601">
        <v>-1.9606680000000001E-2</v>
      </c>
      <c r="AA6601">
        <v>0.9915233</v>
      </c>
      <c r="AB6601">
        <v>7</v>
      </c>
      <c r="AC6601">
        <v>11.456799999999999</v>
      </c>
      <c r="AD6601">
        <v>-1.122988967627</v>
      </c>
      <c r="AE6601">
        <v>0.375599999999991</v>
      </c>
      <c r="AF6601">
        <v>1.47968579160235</v>
      </c>
      <c r="AG6601">
        <v>-1.122988967627</v>
      </c>
      <c r="AH6601">
        <v>11.257153916118501</v>
      </c>
      <c r="AI6601">
        <v>95.648583876784201</v>
      </c>
      <c r="AJ6601">
        <v>82.511740560147999</v>
      </c>
      <c r="AK6601">
        <v>11.409385984988999</v>
      </c>
      <c r="AL6601">
        <v>79.0675830156476</v>
      </c>
      <c r="AM6601">
        <v>81.601018097945499</v>
      </c>
      <c r="AN6601">
        <v>1.0000000614317901</v>
      </c>
    </row>
    <row r="6602" spans="1:40" x14ac:dyDescent="0.25">
      <c r="A6602" t="str">
        <f>"20190303171143806"</f>
        <v>20190303171143806</v>
      </c>
      <c r="B6602" t="str">
        <f>"1551604303796911"</f>
        <v>1551604303796911</v>
      </c>
      <c r="C6602" t="s">
        <v>40</v>
      </c>
      <c r="D6602">
        <v>5.9255190000000004</v>
      </c>
      <c r="E6602">
        <v>0.5061215</v>
      </c>
      <c r="F6602" t="s">
        <v>42</v>
      </c>
      <c r="G6602">
        <v>-107.31780000000001</v>
      </c>
      <c r="H6602" s="1">
        <v>-2.0804169999999999E-6</v>
      </c>
      <c r="I6602">
        <v>135.60919999999999</v>
      </c>
      <c r="J6602">
        <v>-118.9817</v>
      </c>
      <c r="K6602">
        <v>1.122949</v>
      </c>
      <c r="L6602">
        <v>135.2756</v>
      </c>
      <c r="M6602">
        <v>0.98633899999999997</v>
      </c>
      <c r="N6602">
        <v>-2.41087E-2</v>
      </c>
      <c r="O6602">
        <v>0.16295470000000001</v>
      </c>
      <c r="P6602">
        <v>0.98596879999999998</v>
      </c>
      <c r="Q6602">
        <v>0.16664019999999999</v>
      </c>
      <c r="R6602">
        <v>9.8351629999999992E-3</v>
      </c>
      <c r="S6602">
        <v>3.090881</v>
      </c>
      <c r="T6602">
        <v>-0.29593550000000002</v>
      </c>
      <c r="U6602">
        <v>9.0805049999999998E-2</v>
      </c>
      <c r="V6602">
        <v>0.1510126</v>
      </c>
      <c r="W6602">
        <v>0.19008169999999999</v>
      </c>
      <c r="X6602">
        <v>0.97008459999999996</v>
      </c>
      <c r="Y6602">
        <v>0.132789299999999</v>
      </c>
      <c r="Z6602">
        <v>-1.9511049999999999E-2</v>
      </c>
      <c r="AA6602">
        <v>0.99095230000000001</v>
      </c>
      <c r="AB6602">
        <v>6</v>
      </c>
      <c r="AC6602">
        <v>11.6638999999999</v>
      </c>
      <c r="AD6602">
        <v>-1.122951080417</v>
      </c>
      <c r="AE6602">
        <v>0.33359999999998902</v>
      </c>
      <c r="AF6602">
        <v>1.5576751784188501</v>
      </c>
      <c r="AG6602">
        <v>-1.122951080417</v>
      </c>
      <c r="AH6602">
        <v>11.4561804650507</v>
      </c>
      <c r="AI6602">
        <v>95.547606881596593</v>
      </c>
      <c r="AJ6602">
        <v>82.257083575881097</v>
      </c>
      <c r="AK6602">
        <v>11.615999394726201</v>
      </c>
      <c r="AL6602">
        <v>79.042447785622599</v>
      </c>
      <c r="AM6602">
        <v>81.1518103707905</v>
      </c>
      <c r="AN6602">
        <v>0.99999999459540401</v>
      </c>
    </row>
    <row r="6603" spans="1:40" x14ac:dyDescent="0.25">
      <c r="A6603" t="str">
        <f>"20190303171143831"</f>
        <v>20190303171143831</v>
      </c>
      <c r="B6603" t="str">
        <f>"1551604303827168"</f>
        <v>1551604303827168</v>
      </c>
      <c r="C6603" t="s">
        <v>40</v>
      </c>
      <c r="D6603">
        <v>5.7520540000000002</v>
      </c>
      <c r="E6603">
        <v>0.50647010000000003</v>
      </c>
      <c r="F6603" t="s">
        <v>42</v>
      </c>
      <c r="G6603">
        <v>-107.1515</v>
      </c>
      <c r="H6603" s="1">
        <v>-2.1559340000000001E-6</v>
      </c>
      <c r="I6603">
        <v>135.56540000000001</v>
      </c>
      <c r="J6603">
        <v>-118.9213</v>
      </c>
      <c r="K6603">
        <v>1.122876</v>
      </c>
      <c r="L6603">
        <v>135.2859</v>
      </c>
      <c r="M6603">
        <v>0.98630980000000001</v>
      </c>
      <c r="N6603">
        <v>-2.3718960000000001E-2</v>
      </c>
      <c r="O6603">
        <v>0.1631889</v>
      </c>
      <c r="P6603">
        <v>0.98565720000000001</v>
      </c>
      <c r="Q6603">
        <v>0.16874979999999901</v>
      </c>
      <c r="R6603">
        <v>1.9283460000000001E-3</v>
      </c>
      <c r="S6603">
        <v>3.0915219999999999</v>
      </c>
      <c r="T6603">
        <v>-0.29345389999999999</v>
      </c>
      <c r="U6603">
        <v>7.5729370000000004E-2</v>
      </c>
      <c r="V6603">
        <v>0.15899650000000001</v>
      </c>
      <c r="W6603">
        <v>0.19177050000000001</v>
      </c>
      <c r="X6603">
        <v>0.96847519999999998</v>
      </c>
      <c r="Y6603">
        <v>0.13784589999999999</v>
      </c>
      <c r="Z6603">
        <v>-1.9680630000000001E-2</v>
      </c>
      <c r="AA6603">
        <v>0.99025819999999998</v>
      </c>
      <c r="AB6603">
        <v>6</v>
      </c>
      <c r="AC6603">
        <v>11.7698</v>
      </c>
      <c r="AD6603">
        <v>-1.122878155934</v>
      </c>
      <c r="AE6603">
        <v>0.27950000000001202</v>
      </c>
      <c r="AF6603">
        <v>1.63065633480283</v>
      </c>
      <c r="AG6603">
        <v>-1.122878155934</v>
      </c>
      <c r="AH6603">
        <v>11.552469761779401</v>
      </c>
      <c r="AI6603">
        <v>95.497445594054</v>
      </c>
      <c r="AJ6603">
        <v>81.965653633900899</v>
      </c>
      <c r="AK6603">
        <v>11.7208981324869</v>
      </c>
      <c r="AL6603">
        <v>78.943873523063601</v>
      </c>
      <c r="AM6603">
        <v>80.676805201630501</v>
      </c>
      <c r="AN6603">
        <v>1.00000001234877</v>
      </c>
    </row>
    <row r="6604" spans="1:40" x14ac:dyDescent="0.25">
      <c r="A6604" t="str">
        <f>"20190303171143848"</f>
        <v>20190303171143848</v>
      </c>
      <c r="B6604" t="str">
        <f>"1551604303836928"</f>
        <v>1551604303836928</v>
      </c>
      <c r="C6604" t="s">
        <v>40</v>
      </c>
      <c r="D6604">
        <v>6.105461</v>
      </c>
      <c r="E6604">
        <v>0.52846159999999998</v>
      </c>
      <c r="F6604" t="s">
        <v>42</v>
      </c>
      <c r="G6604">
        <v>-106.83459999999999</v>
      </c>
      <c r="H6604" s="1">
        <v>-2.2978989999999998E-6</v>
      </c>
      <c r="I6604">
        <v>135.48920000000001</v>
      </c>
      <c r="J6604">
        <v>-118.8755</v>
      </c>
      <c r="K6604">
        <v>1.122825</v>
      </c>
      <c r="L6604">
        <v>135.2936</v>
      </c>
      <c r="M6604">
        <v>0.98629</v>
      </c>
      <c r="N6604">
        <v>-2.337964E-2</v>
      </c>
      <c r="O6604">
        <v>0.16335740000000001</v>
      </c>
      <c r="P6604">
        <v>0.98513090000000003</v>
      </c>
      <c r="Q6604">
        <v>0.17172370000000001</v>
      </c>
      <c r="R6604">
        <v>-5.2888650000000002E-3</v>
      </c>
      <c r="S6604">
        <v>3.092743</v>
      </c>
      <c r="T6604">
        <v>-0.28732259999999998</v>
      </c>
      <c r="U6604">
        <v>5.2032469999999997E-2</v>
      </c>
      <c r="V6604">
        <v>0.1661975</v>
      </c>
      <c r="W6604">
        <v>0.1943732</v>
      </c>
      <c r="X6604">
        <v>0.96674579999999999</v>
      </c>
      <c r="Y6604">
        <v>0.14561089999999999</v>
      </c>
      <c r="Z6604">
        <v>-1.9714389999999998E-2</v>
      </c>
      <c r="AA6604">
        <v>0.98914550000000001</v>
      </c>
      <c r="AB6604">
        <v>6</v>
      </c>
      <c r="AC6604">
        <v>12.040900000000001</v>
      </c>
      <c r="AD6604">
        <v>-1.1228272978989999</v>
      </c>
      <c r="AE6604">
        <v>0.19560000000001301</v>
      </c>
      <c r="AF6604">
        <v>1.75924272597372</v>
      </c>
      <c r="AG6604">
        <v>-1.1228272978989999</v>
      </c>
      <c r="AH6604">
        <v>11.808370698587799</v>
      </c>
      <c r="AI6604">
        <v>95.372828243666703</v>
      </c>
      <c r="AJ6604">
        <v>81.526248337200698</v>
      </c>
      <c r="AK6604">
        <v>11.991384184699699</v>
      </c>
      <c r="AL6604">
        <v>78.791889938330598</v>
      </c>
      <c r="AM6604">
        <v>80.245383783793599</v>
      </c>
      <c r="AN6604">
        <v>0.99999999585106403</v>
      </c>
    </row>
    <row r="6605" spans="1:40" x14ac:dyDescent="0.25">
      <c r="A6605" t="str">
        <f>"20190303171143960"</f>
        <v>20190303171143960</v>
      </c>
      <c r="B6605" t="str">
        <f>"1551604303956976"</f>
        <v>1551604303956976</v>
      </c>
      <c r="C6605" t="s">
        <v>40</v>
      </c>
      <c r="D6605">
        <v>4.5629089999999897</v>
      </c>
      <c r="E6605">
        <v>0.52846159999999998</v>
      </c>
      <c r="F6605" t="s">
        <v>43</v>
      </c>
      <c r="G6605">
        <v>-118.1699</v>
      </c>
      <c r="H6605">
        <v>0.92477419999999999</v>
      </c>
      <c r="I6605">
        <v>135.27969999999999</v>
      </c>
      <c r="J6605">
        <v>-118.61199999999999</v>
      </c>
      <c r="K6605">
        <v>1.1226799999999999</v>
      </c>
      <c r="L6605">
        <v>135.3382</v>
      </c>
      <c r="M6605">
        <v>0.98617940000000004</v>
      </c>
      <c r="N6605">
        <v>-2.1298089999999999E-2</v>
      </c>
      <c r="O6605">
        <v>0.16430610000000001</v>
      </c>
      <c r="P6605">
        <v>0.98055300000000001</v>
      </c>
      <c r="Q6605">
        <v>0.19257589999999999</v>
      </c>
      <c r="R6605">
        <v>-3.7822420000000002E-2</v>
      </c>
      <c r="S6605">
        <v>3.201584</v>
      </c>
      <c r="T6605">
        <v>-0.89865459999999997</v>
      </c>
      <c r="U6605">
        <v>-6.3095090000000006E-2</v>
      </c>
      <c r="V6605">
        <v>0.19846459999999999</v>
      </c>
      <c r="W6605">
        <v>0.21299100000000001</v>
      </c>
      <c r="X6605">
        <v>0.95668520000000001</v>
      </c>
      <c r="Y6605">
        <v>0.1712275</v>
      </c>
      <c r="Z6605">
        <v>-6.7086569999999998E-2</v>
      </c>
      <c r="AA6605">
        <v>0.98294479999999995</v>
      </c>
      <c r="AB6605">
        <v>5</v>
      </c>
      <c r="AC6605">
        <v>0.44210000000000998</v>
      </c>
      <c r="AD6605">
        <v>-0.19790579999999899</v>
      </c>
      <c r="AE6605">
        <v>-5.8500000000009302E-2</v>
      </c>
      <c r="AF6605">
        <v>0.108911571499785</v>
      </c>
      <c r="AG6605">
        <v>-0.19790579999999899</v>
      </c>
      <c r="AH6605">
        <v>0.35630371652427101</v>
      </c>
      <c r="AI6605">
        <v>117.976349958011</v>
      </c>
      <c r="AJ6605">
        <v>73.003148104043603</v>
      </c>
      <c r="AK6605">
        <v>0.42187767716389202</v>
      </c>
      <c r="AL6605">
        <v>77.702309271443099</v>
      </c>
      <c r="AM6605">
        <v>78.280210934021099</v>
      </c>
      <c r="AN6605">
        <v>0.99999996771659905</v>
      </c>
    </row>
    <row r="6606" spans="1:40" x14ac:dyDescent="0.25">
      <c r="A6606" t="str">
        <f>"20190303171144004"</f>
        <v>20190303171144004</v>
      </c>
      <c r="B6606" t="str">
        <f>"1551604303996991"</f>
        <v>1551604303996991</v>
      </c>
      <c r="C6606" t="s">
        <v>40</v>
      </c>
      <c r="D6606">
        <v>5.619542</v>
      </c>
      <c r="E6606">
        <v>0.65222979999999997</v>
      </c>
      <c r="F6606" t="s">
        <v>43</v>
      </c>
      <c r="G6606">
        <v>-117.88209999999999</v>
      </c>
      <c r="H6606">
        <v>0.93412459999999997</v>
      </c>
      <c r="I6606">
        <v>135.31020000000001</v>
      </c>
      <c r="J6606">
        <v>-118.5149</v>
      </c>
      <c r="K6606">
        <v>1.1226560000000001</v>
      </c>
      <c r="L6606">
        <v>135.35480000000001</v>
      </c>
      <c r="M6606">
        <v>0.98613419999999896</v>
      </c>
      <c r="N6606">
        <v>-2.0587399999999999E-2</v>
      </c>
      <c r="O6606">
        <v>0.16466819999999999</v>
      </c>
      <c r="P6606">
        <v>0.97783920000000002</v>
      </c>
      <c r="Q6606">
        <v>0.20272019999999999</v>
      </c>
      <c r="R6606">
        <v>-5.2297829999999997E-2</v>
      </c>
      <c r="S6606">
        <v>3.2179869999999999</v>
      </c>
      <c r="T6606">
        <v>-0.83127009999999901</v>
      </c>
      <c r="U6606">
        <v>-0.1234741</v>
      </c>
      <c r="V6606">
        <v>0.21264440000000001</v>
      </c>
      <c r="W6606">
        <v>0.22234889999999999</v>
      </c>
      <c r="X6606">
        <v>0.95149530000000004</v>
      </c>
      <c r="Y6606">
        <v>0.1910723</v>
      </c>
      <c r="Z6606">
        <v>-6.4647990000000002E-2</v>
      </c>
      <c r="AA6606">
        <v>0.97944469999999995</v>
      </c>
      <c r="AB6606">
        <v>5</v>
      </c>
      <c r="AC6606">
        <v>0.63280000000000303</v>
      </c>
      <c r="AD6606">
        <v>-0.18853139999999899</v>
      </c>
      <c r="AE6606">
        <v>-4.4600000000002603E-2</v>
      </c>
      <c r="AF6606">
        <v>0.13618639682050701</v>
      </c>
      <c r="AG6606">
        <v>-0.18853139999999899</v>
      </c>
      <c r="AH6606">
        <v>0.56675382142669395</v>
      </c>
      <c r="AI6606">
        <v>107.9235137175</v>
      </c>
      <c r="AJ6606">
        <v>76.488449773824001</v>
      </c>
      <c r="AK6606">
        <v>0.61261792135610404</v>
      </c>
      <c r="AL6606">
        <v>77.152967115448106</v>
      </c>
      <c r="AM6606">
        <v>77.402293943092602</v>
      </c>
      <c r="AN6606">
        <v>0.99999999005232998</v>
      </c>
    </row>
    <row r="6607" spans="1:40" x14ac:dyDescent="0.25">
      <c r="A6607" t="str">
        <f>"20190303171144027"</f>
        <v>20190303171144027</v>
      </c>
      <c r="B6607" t="str">
        <f>"1551604304017487"</f>
        <v>1551604304017487</v>
      </c>
      <c r="C6607" t="s">
        <v>40</v>
      </c>
      <c r="D6607">
        <v>5.6709149999999999</v>
      </c>
      <c r="E6607">
        <v>0.65103520000000004</v>
      </c>
      <c r="F6607" t="s">
        <v>43</v>
      </c>
      <c r="G6607">
        <v>-117.9282</v>
      </c>
      <c r="H6607">
        <v>1.179551</v>
      </c>
      <c r="I6607">
        <v>135.08840000000001</v>
      </c>
      <c r="J6607">
        <v>-118.4691</v>
      </c>
      <c r="K6607">
        <v>1.1226389999999999</v>
      </c>
      <c r="L6607">
        <v>135.36259999999999</v>
      </c>
      <c r="M6607">
        <v>0.98611159999999998</v>
      </c>
      <c r="N6607">
        <v>-2.026903E-2</v>
      </c>
      <c r="O6607">
        <v>0.16484260000000001</v>
      </c>
      <c r="P6607">
        <v>0.97640110000000002</v>
      </c>
      <c r="Q6607">
        <v>0.20716200000000001</v>
      </c>
      <c r="R6607">
        <v>-6.1033179999999999E-2</v>
      </c>
      <c r="S6607">
        <v>2.9376370000000001</v>
      </c>
      <c r="T6607">
        <v>0.28483130000000001</v>
      </c>
      <c r="U6607">
        <v>-1.333221</v>
      </c>
      <c r="V6607">
        <v>0.22119059999999999</v>
      </c>
      <c r="W6607">
        <v>0.2264283</v>
      </c>
      <c r="X6607">
        <v>0.94858050000000005</v>
      </c>
      <c r="Y6607">
        <v>0.55512349999999999</v>
      </c>
      <c r="Z6607">
        <v>3.815023E-2</v>
      </c>
      <c r="AA6607">
        <v>0.83089259999999998</v>
      </c>
      <c r="AB6607">
        <v>5</v>
      </c>
      <c r="AC6607">
        <v>0.54089999999999305</v>
      </c>
      <c r="AD6607">
        <v>5.6911999999999997E-2</v>
      </c>
      <c r="AE6607">
        <v>-0.27419999999997902</v>
      </c>
      <c r="AF6607">
        <v>0.35648931915693899</v>
      </c>
      <c r="AG6607">
        <v>5.6911999999999997E-2</v>
      </c>
      <c r="AH6607">
        <v>0.48402525775232003</v>
      </c>
      <c r="AI6607">
        <v>84.591699094061397</v>
      </c>
      <c r="AJ6607">
        <v>53.627992092103398</v>
      </c>
      <c r="AK6607">
        <v>0.60382452795425401</v>
      </c>
      <c r="AL6607">
        <v>76.913118582866105</v>
      </c>
      <c r="AM6607">
        <v>76.8742753970362</v>
      </c>
      <c r="AN6607">
        <v>1.00000001077475</v>
      </c>
    </row>
    <row r="6608" spans="1:40" x14ac:dyDescent="0.25">
      <c r="A6608" t="str">
        <f>"20190303171144049"</f>
        <v>20190303171144049</v>
      </c>
      <c r="B6608" t="str">
        <f>"1551604304037007"</f>
        <v>1551604304037007</v>
      </c>
      <c r="C6608" t="s">
        <v>40</v>
      </c>
      <c r="D6608">
        <v>5.7231809999999896</v>
      </c>
      <c r="E6608">
        <v>0.64825759999999999</v>
      </c>
      <c r="F6608" t="s">
        <v>43</v>
      </c>
      <c r="G6608">
        <v>-117.94459999999999</v>
      </c>
      <c r="H6608">
        <v>1.1849419999999999</v>
      </c>
      <c r="I6608">
        <v>135.1182</v>
      </c>
      <c r="J6608">
        <v>-118.4222</v>
      </c>
      <c r="K6608">
        <v>1.1226290000000001</v>
      </c>
      <c r="L6608">
        <v>135.3706</v>
      </c>
      <c r="M6608">
        <v>0.98608850000000003</v>
      </c>
      <c r="N6608">
        <v>-1.9944940000000001E-2</v>
      </c>
      <c r="O6608">
        <v>0.165021</v>
      </c>
      <c r="P6608">
        <v>0.97502029999999995</v>
      </c>
      <c r="Q6608">
        <v>0.211033</v>
      </c>
      <c r="R6608">
        <v>-6.9284319999999996E-2</v>
      </c>
      <c r="S6608">
        <v>2.914215</v>
      </c>
      <c r="T6608">
        <v>0.34616950000000002</v>
      </c>
      <c r="U6608">
        <v>-1.3572850000000001</v>
      </c>
      <c r="V6608">
        <v>0.2292719</v>
      </c>
      <c r="W6608">
        <v>0.22993620000000001</v>
      </c>
      <c r="X6608">
        <v>0.94581380000000004</v>
      </c>
      <c r="Y6608">
        <v>0.56203400000000003</v>
      </c>
      <c r="Z6608">
        <v>4.754659E-2</v>
      </c>
      <c r="AA6608">
        <v>0.82574639999999999</v>
      </c>
      <c r="AB6608">
        <v>5</v>
      </c>
      <c r="AC6608">
        <v>0.47760000000000902</v>
      </c>
      <c r="AD6608">
        <v>6.2312999999999799E-2</v>
      </c>
      <c r="AE6608">
        <v>-0.25239999999999402</v>
      </c>
      <c r="AF6608">
        <v>0.32346378273945903</v>
      </c>
      <c r="AG6608">
        <v>6.2312999999999799E-2</v>
      </c>
      <c r="AH6608">
        <v>0.42375131746703698</v>
      </c>
      <c r="AI6608">
        <v>83.333044594501899</v>
      </c>
      <c r="AJ6608">
        <v>52.644275554683901</v>
      </c>
      <c r="AK6608">
        <v>0.53672796439925696</v>
      </c>
      <c r="AL6608">
        <v>76.706684425278695</v>
      </c>
      <c r="AM6608">
        <v>76.373937413669907</v>
      </c>
      <c r="AN6608">
        <v>1.00000000223524</v>
      </c>
    </row>
    <row r="6609" spans="1:40" x14ac:dyDescent="0.25">
      <c r="A6609" t="str">
        <f>"20190303171144074"</f>
        <v>20190303171144074</v>
      </c>
      <c r="B6609" t="str">
        <f>"1551604304067263"</f>
        <v>1551604304067263</v>
      </c>
      <c r="C6609" t="s">
        <v>40</v>
      </c>
      <c r="D6609">
        <v>5.7058169999999997</v>
      </c>
      <c r="E6609">
        <v>0.64319550000000003</v>
      </c>
      <c r="F6609" t="s">
        <v>43</v>
      </c>
      <c r="G6609">
        <v>-117.9041</v>
      </c>
      <c r="H6609">
        <v>1.1902759999999999</v>
      </c>
      <c r="I6609">
        <v>135.12690000000001</v>
      </c>
      <c r="J6609">
        <v>-118.3747</v>
      </c>
      <c r="K6609">
        <v>1.1226179999999999</v>
      </c>
      <c r="L6609">
        <v>135.37870000000001</v>
      </c>
      <c r="M6609">
        <v>0.98606459999999996</v>
      </c>
      <c r="N6609">
        <v>-1.9630470000000001E-2</v>
      </c>
      <c r="O6609">
        <v>0.16520179999999901</v>
      </c>
      <c r="P6609">
        <v>0.97341999999999995</v>
      </c>
      <c r="Q6609">
        <v>0.21540100000000001</v>
      </c>
      <c r="R6609">
        <v>-7.7822600000000006E-2</v>
      </c>
      <c r="S6609">
        <v>2.8981319999999999</v>
      </c>
      <c r="T6609">
        <v>0.37837860000000001</v>
      </c>
      <c r="U6609">
        <v>-1.362717</v>
      </c>
      <c r="V6609">
        <v>0.23760120000000001</v>
      </c>
      <c r="W6609">
        <v>0.23394599999999999</v>
      </c>
      <c r="X6609">
        <v>0.94276979999999999</v>
      </c>
      <c r="Y6609">
        <v>0.56433710000000004</v>
      </c>
      <c r="Z6609">
        <v>5.2629339999999997E-2</v>
      </c>
      <c r="AA6609">
        <v>0.82386510000000002</v>
      </c>
      <c r="AB6609">
        <v>5</v>
      </c>
      <c r="AC6609">
        <v>0.47060000000000402</v>
      </c>
      <c r="AD6609">
        <v>6.7657999999999996E-2</v>
      </c>
      <c r="AE6609">
        <v>-0.25180000000000202</v>
      </c>
      <c r="AF6609">
        <v>0.32094053875869499</v>
      </c>
      <c r="AG6609">
        <v>6.7657999999999996E-2</v>
      </c>
      <c r="AH6609">
        <v>0.41584324157105002</v>
      </c>
      <c r="AI6609">
        <v>82.660625806201907</v>
      </c>
      <c r="AJ6609">
        <v>52.339668297471597</v>
      </c>
      <c r="AK6609">
        <v>0.52962820538849797</v>
      </c>
      <c r="AL6609">
        <v>76.470498469384694</v>
      </c>
      <c r="AM6609">
        <v>75.854630160307806</v>
      </c>
      <c r="AN6609">
        <v>0.99999997847473898</v>
      </c>
    </row>
    <row r="6610" spans="1:40" x14ac:dyDescent="0.25">
      <c r="A6610" t="str">
        <f>"20190303171144097"</f>
        <v>20190303171144097</v>
      </c>
      <c r="B6610" t="str">
        <f>"1551604304086784"</f>
        <v>1551604304086784</v>
      </c>
      <c r="C6610" t="s">
        <v>40</v>
      </c>
      <c r="D6610">
        <v>5.8263280000000002</v>
      </c>
      <c r="E6610">
        <v>0.64196709999999901</v>
      </c>
      <c r="F6610" t="s">
        <v>43</v>
      </c>
      <c r="G6610">
        <v>-117.8657</v>
      </c>
      <c r="H6610">
        <v>1.1896089999999999</v>
      </c>
      <c r="I6610">
        <v>135.14179999999999</v>
      </c>
      <c r="J6610">
        <v>-118.32940000000001</v>
      </c>
      <c r="K6610">
        <v>1.1226119999999999</v>
      </c>
      <c r="L6610">
        <v>135.38650000000001</v>
      </c>
      <c r="M6610">
        <v>0.9860411</v>
      </c>
      <c r="N6610">
        <v>-1.935912E-2</v>
      </c>
      <c r="O6610">
        <v>0.1653731</v>
      </c>
      <c r="P6610">
        <v>0.97202580000000005</v>
      </c>
      <c r="Q6610">
        <v>0.2187019</v>
      </c>
      <c r="R6610">
        <v>-8.5648520000000006E-2</v>
      </c>
      <c r="S6610">
        <v>2.890244</v>
      </c>
      <c r="T6610">
        <v>0.38034820000000003</v>
      </c>
      <c r="U6610">
        <v>-1.3448789999999999</v>
      </c>
      <c r="V6610">
        <v>0.2452529</v>
      </c>
      <c r="W6610">
        <v>0.23693800000000001</v>
      </c>
      <c r="X6610">
        <v>0.94005919999999998</v>
      </c>
      <c r="Y6610">
        <v>0.5610927</v>
      </c>
      <c r="Z6610">
        <v>5.3020850000000001E-2</v>
      </c>
      <c r="AA6610">
        <v>0.82605309999999899</v>
      </c>
      <c r="AB6610">
        <v>5</v>
      </c>
      <c r="AC6610">
        <v>0.463700000000002</v>
      </c>
      <c r="AD6610">
        <v>6.6996999999999696E-2</v>
      </c>
      <c r="AE6610">
        <v>-0.24470000000002301</v>
      </c>
      <c r="AF6610">
        <v>0.31291791238567501</v>
      </c>
      <c r="AG6610">
        <v>6.6996999999999696E-2</v>
      </c>
      <c r="AH6610">
        <v>0.41014161867111099</v>
      </c>
      <c r="AI6610">
        <v>82.600471211055094</v>
      </c>
      <c r="AJ6610">
        <v>52.6581469688414</v>
      </c>
      <c r="AK6610">
        <v>0.52021376881717396</v>
      </c>
      <c r="AL6610">
        <v>76.294110480588799</v>
      </c>
      <c r="AM6610">
        <v>75.377980982970499</v>
      </c>
      <c r="AN6610">
        <v>0.99999995015352305</v>
      </c>
    </row>
    <row r="6611" spans="1:40" x14ac:dyDescent="0.25">
      <c r="A6611" t="str">
        <f>"20190303171144118"</f>
        <v>20190303171144118</v>
      </c>
      <c r="B6611" t="str">
        <f>"1551604304107279"</f>
        <v>1551604304107279</v>
      </c>
      <c r="C6611" t="s">
        <v>40</v>
      </c>
      <c r="D6611">
        <v>5.8996769999999996</v>
      </c>
      <c r="E6611">
        <v>0.64003559999999904</v>
      </c>
      <c r="F6611" t="s">
        <v>43</v>
      </c>
      <c r="G6611">
        <v>-117.7842</v>
      </c>
      <c r="H6611">
        <v>1.1965140000000001</v>
      </c>
      <c r="I6611">
        <v>135.1292</v>
      </c>
      <c r="J6611">
        <v>-118.28830000000001</v>
      </c>
      <c r="K6611">
        <v>1.122603</v>
      </c>
      <c r="L6611">
        <v>135.39359999999999</v>
      </c>
      <c r="M6611">
        <v>0.98601950000000005</v>
      </c>
      <c r="N6611">
        <v>-1.9138530000000001E-2</v>
      </c>
      <c r="O6611">
        <v>0.16552790000000001</v>
      </c>
      <c r="P6611">
        <v>0.97073149999999997</v>
      </c>
      <c r="Q6611">
        <v>0.22145409999999999</v>
      </c>
      <c r="R6611">
        <v>-9.2943899999999996E-2</v>
      </c>
      <c r="S6611">
        <v>2.8789220000000002</v>
      </c>
      <c r="T6611">
        <v>0.3901616</v>
      </c>
      <c r="U6611">
        <v>-1.357742</v>
      </c>
      <c r="V6611">
        <v>0.25238189999999999</v>
      </c>
      <c r="W6611">
        <v>0.2394328</v>
      </c>
      <c r="X6611">
        <v>0.93753679999999995</v>
      </c>
      <c r="Y6611">
        <v>0.56515979999999999</v>
      </c>
      <c r="Z6611">
        <v>5.4861930000000003E-2</v>
      </c>
      <c r="AA6611">
        <v>0.82315530000000003</v>
      </c>
      <c r="AB6611">
        <v>4</v>
      </c>
      <c r="AC6611">
        <v>0.50410000000000799</v>
      </c>
      <c r="AD6611">
        <v>7.3910999999999796E-2</v>
      </c>
      <c r="AE6611">
        <v>-0.26439999999999397</v>
      </c>
      <c r="AF6611">
        <v>0.33850224966200798</v>
      </c>
      <c r="AG6611">
        <v>7.3910999999999796E-2</v>
      </c>
      <c r="AH6611">
        <v>0.44585304977335599</v>
      </c>
      <c r="AI6611">
        <v>82.478592384696398</v>
      </c>
      <c r="AJ6611">
        <v>52.793366597991202</v>
      </c>
      <c r="AK6611">
        <v>0.56465170763882699</v>
      </c>
      <c r="AL6611">
        <v>76.146933391772507</v>
      </c>
      <c r="AM6611">
        <v>74.933326974042302</v>
      </c>
      <c r="AN6611">
        <v>0.99999997025884402</v>
      </c>
    </row>
    <row r="6612" spans="1:40" x14ac:dyDescent="0.25">
      <c r="A6612" t="str">
        <f>"20190303171144138"</f>
        <v>20190303171144138</v>
      </c>
      <c r="B6612" t="str">
        <f>"1551604304126799"</f>
        <v>1551604304126799</v>
      </c>
      <c r="C6612" t="s">
        <v>40</v>
      </c>
      <c r="D6612">
        <v>5.8548830000000001</v>
      </c>
      <c r="E6612">
        <v>0.63836040000000005</v>
      </c>
      <c r="F6612" t="s">
        <v>43</v>
      </c>
      <c r="G6612">
        <v>-117.7471</v>
      </c>
      <c r="H6612">
        <v>1.197319</v>
      </c>
      <c r="I6612">
        <v>135.13650000000001</v>
      </c>
      <c r="J6612">
        <v>-118.2516</v>
      </c>
      <c r="K6612">
        <v>1.122606</v>
      </c>
      <c r="L6612">
        <v>135.3999</v>
      </c>
      <c r="M6612">
        <v>0.98599990000000004</v>
      </c>
      <c r="N6612">
        <v>-1.8956560000000001E-2</v>
      </c>
      <c r="O6612">
        <v>0.16566539999999999</v>
      </c>
      <c r="P6612">
        <v>0.96955939999999996</v>
      </c>
      <c r="Q6612">
        <v>0.22379769999999999</v>
      </c>
      <c r="R6612">
        <v>-9.9344669999999996E-2</v>
      </c>
      <c r="S6612">
        <v>2.8695680000000001</v>
      </c>
      <c r="T6612">
        <v>0.39617760000000002</v>
      </c>
      <c r="U6612">
        <v>-1.3629910000000001</v>
      </c>
      <c r="V6612">
        <v>0.25863130000000001</v>
      </c>
      <c r="W6612">
        <v>0.24156179999999999</v>
      </c>
      <c r="X6612">
        <v>0.93528489999999997</v>
      </c>
      <c r="Y6612">
        <v>0.56732309999999997</v>
      </c>
      <c r="Z6612">
        <v>5.6052600000000001E-2</v>
      </c>
      <c r="AA6612">
        <v>0.82158539999999902</v>
      </c>
      <c r="AB6612">
        <v>4</v>
      </c>
      <c r="AC6612">
        <v>0.50449999999999295</v>
      </c>
      <c r="AD6612">
        <v>7.4713000000000002E-2</v>
      </c>
      <c r="AE6612">
        <v>-0.26339999999998998</v>
      </c>
      <c r="AF6612">
        <v>0.33753521233313699</v>
      </c>
      <c r="AG6612">
        <v>7.4713000000000002E-2</v>
      </c>
      <c r="AH6612">
        <v>0.44619259674885697</v>
      </c>
      <c r="AI6612">
        <v>82.393718336193999</v>
      </c>
      <c r="AJ6612">
        <v>52.893269441822198</v>
      </c>
      <c r="AK6612">
        <v>0.56444653008700796</v>
      </c>
      <c r="AL6612">
        <v>76.0212632838156</v>
      </c>
      <c r="AM6612">
        <v>74.542454131660193</v>
      </c>
      <c r="AN6612">
        <v>1.0000000483634599</v>
      </c>
    </row>
    <row r="6613" spans="1:40" x14ac:dyDescent="0.25">
      <c r="A6613" t="str">
        <f>"20190303171144160"</f>
        <v>20190303171144160</v>
      </c>
      <c r="B6613" t="str">
        <f>"1551604304147295"</f>
        <v>1551604304147295</v>
      </c>
      <c r="C6613" t="s">
        <v>40</v>
      </c>
      <c r="D6613">
        <v>5.9067769999999999</v>
      </c>
      <c r="E6613">
        <v>0.63618839999999999</v>
      </c>
      <c r="F6613" t="s">
        <v>43</v>
      </c>
      <c r="G6613">
        <v>-117.7105</v>
      </c>
      <c r="H6613">
        <v>1.1979900000000001</v>
      </c>
      <c r="I6613">
        <v>135.1412</v>
      </c>
      <c r="J6613">
        <v>-118.21040000000001</v>
      </c>
      <c r="K6613">
        <v>1.122593</v>
      </c>
      <c r="L6613">
        <v>135.40690000000001</v>
      </c>
      <c r="M6613">
        <v>0.98597760000000001</v>
      </c>
      <c r="N6613">
        <v>-1.8769520000000001E-2</v>
      </c>
      <c r="O6613">
        <v>0.1658192</v>
      </c>
      <c r="P6613">
        <v>0.96836290000000003</v>
      </c>
      <c r="Q6613">
        <v>0.2260828</v>
      </c>
      <c r="R6613">
        <v>-0.1056416</v>
      </c>
      <c r="S6613">
        <v>2.8621219999999998</v>
      </c>
      <c r="T6613">
        <v>0.39859899999999998</v>
      </c>
      <c r="U6613">
        <v>-1.366989</v>
      </c>
      <c r="V6613">
        <v>0.2647892</v>
      </c>
      <c r="W6613">
        <v>0.24362819999999999</v>
      </c>
      <c r="X6613">
        <v>0.93302300000000005</v>
      </c>
      <c r="Y6613">
        <v>0.56910499999999997</v>
      </c>
      <c r="Z6613">
        <v>5.6675629999999998E-2</v>
      </c>
      <c r="AA6613">
        <v>0.82030930000000002</v>
      </c>
      <c r="AB6613">
        <v>4</v>
      </c>
      <c r="AC6613">
        <v>0.49990000000001</v>
      </c>
      <c r="AD6613">
        <v>7.5396999999999895E-2</v>
      </c>
      <c r="AE6613">
        <v>-0.26570000000000898</v>
      </c>
      <c r="AF6613">
        <v>0.33891657949453902</v>
      </c>
      <c r="AG6613">
        <v>7.5396999999999895E-2</v>
      </c>
      <c r="AH6613">
        <v>0.44108744104188902</v>
      </c>
      <c r="AI6613">
        <v>82.280982621755399</v>
      </c>
      <c r="AJ6613">
        <v>52.462550498100398</v>
      </c>
      <c r="AK6613">
        <v>0.56134417794269498</v>
      </c>
      <c r="AL6613">
        <v>75.8992204564979</v>
      </c>
      <c r="AM6613">
        <v>74.156213015650906</v>
      </c>
      <c r="AN6613">
        <v>0.999999969400439</v>
      </c>
    </row>
    <row r="6614" spans="1:40" x14ac:dyDescent="0.25">
      <c r="A6614" t="str">
        <f>"20190303171144184"</f>
        <v>20190303171144184</v>
      </c>
      <c r="B6614" t="str">
        <f>"1551604304177551"</f>
        <v>1551604304177551</v>
      </c>
      <c r="C6614" t="s">
        <v>40</v>
      </c>
      <c r="D6614">
        <v>5.9243319999999997</v>
      </c>
      <c r="E6614">
        <v>0.63276030000000005</v>
      </c>
      <c r="F6614" t="s">
        <v>43</v>
      </c>
      <c r="G6614">
        <v>-117.6756</v>
      </c>
      <c r="H6614">
        <v>1.197451</v>
      </c>
      <c r="I6614">
        <v>135.15090000000001</v>
      </c>
      <c r="J6614">
        <v>-118.17010000000001</v>
      </c>
      <c r="K6614">
        <v>1.1225780000000001</v>
      </c>
      <c r="L6614">
        <v>135.41380000000001</v>
      </c>
      <c r="M6614">
        <v>0.98595520000000003</v>
      </c>
      <c r="N6614">
        <v>-1.8604800000000001E-2</v>
      </c>
      <c r="O6614">
        <v>0.16596929999999999</v>
      </c>
      <c r="P6614">
        <v>0.9671341</v>
      </c>
      <c r="Q6614">
        <v>0.2279629</v>
      </c>
      <c r="R6614">
        <v>-0.1126239</v>
      </c>
      <c r="S6614">
        <v>2.8556210000000002</v>
      </c>
      <c r="T6614">
        <v>0.39965689999999998</v>
      </c>
      <c r="U6614">
        <v>-1.3665309999999999</v>
      </c>
      <c r="V6614">
        <v>0.27161370000000001</v>
      </c>
      <c r="W6614">
        <v>0.245308</v>
      </c>
      <c r="X6614">
        <v>0.93061799999999995</v>
      </c>
      <c r="Y6614">
        <v>0.56978519999999999</v>
      </c>
      <c r="Z6614">
        <v>5.7038409999999998E-2</v>
      </c>
      <c r="AA6614">
        <v>0.81981179999999998</v>
      </c>
      <c r="AB6614">
        <v>4</v>
      </c>
      <c r="AC6614">
        <v>0.49450000000000199</v>
      </c>
      <c r="AD6614">
        <v>7.4872999999999898E-2</v>
      </c>
      <c r="AE6614">
        <v>-0.26290000000000102</v>
      </c>
      <c r="AF6614">
        <v>0.33534480091998897</v>
      </c>
      <c r="AG6614">
        <v>7.4872999999999898E-2</v>
      </c>
      <c r="AH6614">
        <v>0.43620199470848497</v>
      </c>
      <c r="AI6614">
        <v>82.250711314107207</v>
      </c>
      <c r="AJ6614">
        <v>52.447519325108203</v>
      </c>
      <c r="AK6614">
        <v>0.55527856236372797</v>
      </c>
      <c r="AL6614">
        <v>75.7999628259753</v>
      </c>
      <c r="AM6614">
        <v>73.729386786818495</v>
      </c>
      <c r="AN6614">
        <v>0.99999993940784304</v>
      </c>
    </row>
    <row r="6615" spans="1:40" x14ac:dyDescent="0.25">
      <c r="A6615" t="str">
        <f>"20190303171144205"</f>
        <v>20190303171144205</v>
      </c>
      <c r="B6615" t="str">
        <f>"1551604304197071"</f>
        <v>1551604304197071</v>
      </c>
      <c r="C6615" t="s">
        <v>40</v>
      </c>
      <c r="D6615">
        <v>5.9334189999999998</v>
      </c>
      <c r="E6615">
        <v>0.63135269999999899</v>
      </c>
      <c r="F6615" t="s">
        <v>43</v>
      </c>
      <c r="G6615">
        <v>-117.6418</v>
      </c>
      <c r="H6615">
        <v>1.1967810000000001</v>
      </c>
      <c r="I6615">
        <v>135.16200000000001</v>
      </c>
      <c r="J6615">
        <v>-118.13249999999999</v>
      </c>
      <c r="K6615">
        <v>1.122571</v>
      </c>
      <c r="L6615">
        <v>135.4203</v>
      </c>
      <c r="M6615">
        <v>0.98593450000000005</v>
      </c>
      <c r="N6615">
        <v>-1.8467790000000001E-2</v>
      </c>
      <c r="O6615">
        <v>0.16610899999999901</v>
      </c>
      <c r="P6615">
        <v>0.96586850000000002</v>
      </c>
      <c r="Q6615">
        <v>0.22954450000000001</v>
      </c>
      <c r="R6615">
        <v>-0.12003179999999999</v>
      </c>
      <c r="S6615">
        <v>2.8495029999999999</v>
      </c>
      <c r="T6615">
        <v>0.40015289999999998</v>
      </c>
      <c r="U6615">
        <v>-1.35788</v>
      </c>
      <c r="V6615">
        <v>0.27884109999999901</v>
      </c>
      <c r="W6615">
        <v>0.2467144</v>
      </c>
      <c r="X6615">
        <v>0.92810539999999997</v>
      </c>
      <c r="Y6615">
        <v>0.568519199999999</v>
      </c>
      <c r="Z6615">
        <v>5.7235170000000002E-2</v>
      </c>
      <c r="AA6615">
        <v>0.82067659999999998</v>
      </c>
      <c r="AB6615">
        <v>4</v>
      </c>
      <c r="AC6615">
        <v>0.49069999999998898</v>
      </c>
      <c r="AD6615">
        <v>7.4209999999999804E-2</v>
      </c>
      <c r="AE6615">
        <v>-0.25829999999999098</v>
      </c>
      <c r="AF6615">
        <v>0.33031821409247702</v>
      </c>
      <c r="AG6615">
        <v>7.4209999999999804E-2</v>
      </c>
      <c r="AH6615">
        <v>0.43320893412482703</v>
      </c>
      <c r="AI6615">
        <v>82.242840169768499</v>
      </c>
      <c r="AJ6615">
        <v>52.674780447336801</v>
      </c>
      <c r="AK6615">
        <v>0.54980653621688802</v>
      </c>
      <c r="AL6615">
        <v>75.716827808244801</v>
      </c>
      <c r="AM6615">
        <v>73.277566939453905</v>
      </c>
      <c r="AN6615">
        <v>0.99999999386286498</v>
      </c>
    </row>
    <row r="6616" spans="1:40" x14ac:dyDescent="0.25">
      <c r="A6616" t="str">
        <f>"20190303171144228"</f>
        <v>20190303171144228</v>
      </c>
      <c r="B6616" t="str">
        <f>"1551604304217567"</f>
        <v>1551604304217567</v>
      </c>
      <c r="C6616" t="s">
        <v>40</v>
      </c>
      <c r="D6616">
        <v>5.9075959999999998</v>
      </c>
      <c r="E6616">
        <v>0.62967819999999997</v>
      </c>
      <c r="F6616" t="s">
        <v>43</v>
      </c>
      <c r="G6616">
        <v>-117.608</v>
      </c>
      <c r="H6616">
        <v>1.1970609999999999</v>
      </c>
      <c r="I6616">
        <v>135.1677</v>
      </c>
      <c r="J6616">
        <v>-118.0963</v>
      </c>
      <c r="K6616">
        <v>1.1225620000000001</v>
      </c>
      <c r="L6616">
        <v>135.42660000000001</v>
      </c>
      <c r="M6616">
        <v>0.98591399999999996</v>
      </c>
      <c r="N6616">
        <v>-1.835007E-2</v>
      </c>
      <c r="O6616">
        <v>0.1662431</v>
      </c>
      <c r="P6616">
        <v>0.96463639999999995</v>
      </c>
      <c r="Q6616">
        <v>0.23106779999999999</v>
      </c>
      <c r="R6616">
        <v>-0.12682289999999999</v>
      </c>
      <c r="S6616">
        <v>2.8401640000000001</v>
      </c>
      <c r="T6616">
        <v>0.4033561</v>
      </c>
      <c r="U6616">
        <v>-1.3678440000000001</v>
      </c>
      <c r="V6616">
        <v>0.28545979999999999</v>
      </c>
      <c r="W6616">
        <v>0.24808430000000001</v>
      </c>
      <c r="X6616">
        <v>0.92572500000000002</v>
      </c>
      <c r="Y6616">
        <v>0.57186899999999996</v>
      </c>
      <c r="Z6616">
        <v>5.8067630000000002E-2</v>
      </c>
      <c r="AA6616">
        <v>0.81828730000000005</v>
      </c>
      <c r="AB6616">
        <v>4</v>
      </c>
      <c r="AC6616">
        <v>0.488300000000009</v>
      </c>
      <c r="AD6616">
        <v>7.4498999999999996E-2</v>
      </c>
      <c r="AE6616">
        <v>-0.25890000000001101</v>
      </c>
      <c r="AF6616">
        <v>0.33048169562301</v>
      </c>
      <c r="AG6616">
        <v>7.4498999999999996E-2</v>
      </c>
      <c r="AH6616">
        <v>0.430631054396234</v>
      </c>
      <c r="AI6616">
        <v>82.185398479502496</v>
      </c>
      <c r="AJ6616">
        <v>52.496075511234501</v>
      </c>
      <c r="AK6616">
        <v>0.54791546533500202</v>
      </c>
      <c r="AL6616">
        <v>75.635819377241205</v>
      </c>
      <c r="AM6616">
        <v>72.862147200365499</v>
      </c>
      <c r="AN6616">
        <v>0.999999946473763</v>
      </c>
    </row>
    <row r="6617" spans="1:40" x14ac:dyDescent="0.25">
      <c r="A6617" t="str">
        <f>"20190303171144250"</f>
        <v>20190303171144250</v>
      </c>
      <c r="B6617" t="str">
        <f>"1551604304237088"</f>
        <v>1551604304237088</v>
      </c>
      <c r="C6617" t="s">
        <v>40</v>
      </c>
      <c r="D6617">
        <v>5.9212309999999997</v>
      </c>
      <c r="E6617">
        <v>0.6287954</v>
      </c>
      <c r="F6617" t="s">
        <v>43</v>
      </c>
      <c r="G6617">
        <v>-117.57510000000001</v>
      </c>
      <c r="H6617">
        <v>1.1968760000000001</v>
      </c>
      <c r="I6617">
        <v>135.1738</v>
      </c>
      <c r="J6617">
        <v>-118.05970000000001</v>
      </c>
      <c r="K6617">
        <v>1.122547</v>
      </c>
      <c r="L6617">
        <v>135.43289999999999</v>
      </c>
      <c r="M6617">
        <v>0.98589309999999997</v>
      </c>
      <c r="N6617">
        <v>-1.8243059999999998E-2</v>
      </c>
      <c r="O6617">
        <v>0.16637879999999899</v>
      </c>
      <c r="P6617">
        <v>0.96424739999999998</v>
      </c>
      <c r="Q6617">
        <v>0.23000889999999999</v>
      </c>
      <c r="R6617">
        <v>-0.13161529999999999</v>
      </c>
      <c r="S6617">
        <v>2.8327179999999998</v>
      </c>
      <c r="T6617">
        <v>0.40385349999999998</v>
      </c>
      <c r="U6617">
        <v>-1.373154</v>
      </c>
      <c r="V6617">
        <v>0.29024879999999997</v>
      </c>
      <c r="W6617">
        <v>0.2469034</v>
      </c>
      <c r="X6617">
        <v>0.92455089999999995</v>
      </c>
      <c r="Y6617">
        <v>0.57400759999999995</v>
      </c>
      <c r="Z6617">
        <v>5.8416860000000001E-2</v>
      </c>
      <c r="AA6617">
        <v>0.81676359999999903</v>
      </c>
      <c r="AB6617">
        <v>4</v>
      </c>
      <c r="AC6617">
        <v>0.48459999999999998</v>
      </c>
      <c r="AD6617">
        <v>7.4329000000000006E-2</v>
      </c>
      <c r="AE6617">
        <v>-0.25909999999998901</v>
      </c>
      <c r="AF6617">
        <v>0.33008876249587199</v>
      </c>
      <c r="AG6617">
        <v>7.4329000000000006E-2</v>
      </c>
      <c r="AH6617">
        <v>0.426916607070842</v>
      </c>
      <c r="AI6617">
        <v>82.157600874797495</v>
      </c>
      <c r="AJ6617">
        <v>52.289069714753502</v>
      </c>
      <c r="AK6617">
        <v>0.54473955314437705</v>
      </c>
      <c r="AL6617">
        <v>75.705653457073396</v>
      </c>
      <c r="AM6617">
        <v>72.571106345016503</v>
      </c>
      <c r="AN6617">
        <v>1.0000000107619</v>
      </c>
    </row>
    <row r="6618" spans="1:40" x14ac:dyDescent="0.25">
      <c r="A6618" t="str">
        <f>"20190303171144274"</f>
        <v>20190303171144274</v>
      </c>
      <c r="B6618" t="str">
        <f>"1551604304267344"</f>
        <v>1551604304267344</v>
      </c>
      <c r="C6618" t="s">
        <v>40</v>
      </c>
      <c r="D6618">
        <v>5.9451689999999999</v>
      </c>
      <c r="E6618">
        <v>0.5656485</v>
      </c>
      <c r="F6618" t="s">
        <v>43</v>
      </c>
      <c r="G6618">
        <v>-117.5433</v>
      </c>
      <c r="H6618">
        <v>1.195668</v>
      </c>
      <c r="I6618">
        <v>135.1808</v>
      </c>
      <c r="J6618">
        <v>-118.0236</v>
      </c>
      <c r="K6618">
        <v>1.12252</v>
      </c>
      <c r="L6618">
        <v>135.4391</v>
      </c>
      <c r="M6618">
        <v>0.98587230000000003</v>
      </c>
      <c r="N6618">
        <v>-1.8148750000000002E-2</v>
      </c>
      <c r="O6618">
        <v>0.16651299999999999</v>
      </c>
      <c r="P6618">
        <v>0.9645743</v>
      </c>
      <c r="Q6618">
        <v>0.22706670000000001</v>
      </c>
      <c r="R6618">
        <v>-0.13430439999999999</v>
      </c>
      <c r="S6618">
        <v>2.8273769999999998</v>
      </c>
      <c r="T6618">
        <v>0.40036830000000001</v>
      </c>
      <c r="U6618">
        <v>-1.37999</v>
      </c>
      <c r="V6618">
        <v>0.29308099999999998</v>
      </c>
      <c r="W6618">
        <v>0.243871</v>
      </c>
      <c r="X6618">
        <v>0.92446229999999996</v>
      </c>
      <c r="Y6618">
        <v>0.57638829999999996</v>
      </c>
      <c r="Z6618">
        <v>5.8132679999999999E-2</v>
      </c>
      <c r="AA6618">
        <v>0.81510559999999999</v>
      </c>
      <c r="AB6618">
        <v>4</v>
      </c>
      <c r="AC6618">
        <v>0.48029999999999901</v>
      </c>
      <c r="AD6618">
        <v>7.3147999999999894E-2</v>
      </c>
      <c r="AE6618">
        <v>-0.25829999999999098</v>
      </c>
      <c r="AF6618">
        <v>0.32876727606102601</v>
      </c>
      <c r="AG6618">
        <v>7.3147999999999894E-2</v>
      </c>
      <c r="AH6618">
        <v>0.42296549736604899</v>
      </c>
      <c r="AI6618">
        <v>82.224721210174707</v>
      </c>
      <c r="AJ6618">
        <v>52.142398119535997</v>
      </c>
      <c r="AK6618">
        <v>0.54068323783403605</v>
      </c>
      <c r="AL6618">
        <v>75.884877424819393</v>
      </c>
      <c r="AM6618">
        <v>72.409895261974697</v>
      </c>
      <c r="AN6618">
        <v>1.0000000406616401</v>
      </c>
    </row>
    <row r="6619" spans="1:40" x14ac:dyDescent="0.25">
      <c r="A6619" t="str">
        <f>"20190303171144300"</f>
        <v>20190303171144300</v>
      </c>
      <c r="B6619" t="str">
        <f>"1551604304287840"</f>
        <v>1551604304287840</v>
      </c>
      <c r="C6619" t="s">
        <v>40</v>
      </c>
      <c r="D6619">
        <v>5.9502699999999997</v>
      </c>
      <c r="E6619">
        <v>0.49442619999999998</v>
      </c>
      <c r="F6619" t="s">
        <v>43</v>
      </c>
      <c r="G6619">
        <v>-117.4432</v>
      </c>
      <c r="H6619">
        <v>1.2262919999999999</v>
      </c>
      <c r="I6619">
        <v>135.25649999999999</v>
      </c>
      <c r="J6619">
        <v>-117.9842</v>
      </c>
      <c r="K6619">
        <v>1.12249</v>
      </c>
      <c r="L6619">
        <v>135.44589999999999</v>
      </c>
      <c r="M6619">
        <v>0.98584910000000003</v>
      </c>
      <c r="N6619">
        <v>-1.8058350000000001E-2</v>
      </c>
      <c r="O6619">
        <v>0.1666598</v>
      </c>
      <c r="P6619">
        <v>0.96546209999999999</v>
      </c>
      <c r="Q6619">
        <v>0.2223909</v>
      </c>
      <c r="R6619">
        <v>-0.13573940000000001</v>
      </c>
      <c r="S6619">
        <v>2.8642729999999998</v>
      </c>
      <c r="T6619">
        <v>0.51200779999999901</v>
      </c>
      <c r="U6619">
        <v>-0.9004974</v>
      </c>
      <c r="V6619">
        <v>0.29478209999999999</v>
      </c>
      <c r="W6619">
        <v>0.23912249999999999</v>
      </c>
      <c r="X6619">
        <v>0.92516160000000003</v>
      </c>
      <c r="Y6619">
        <v>0.4459805</v>
      </c>
      <c r="Z6619">
        <v>6.6354670000000004E-2</v>
      </c>
      <c r="AA6619">
        <v>0.89257969999999898</v>
      </c>
      <c r="AB6619">
        <v>4</v>
      </c>
      <c r="AC6619">
        <v>0.54099999999999604</v>
      </c>
      <c r="AD6619">
        <v>0.10380199999999901</v>
      </c>
      <c r="AE6619">
        <v>-0.18940000000000601</v>
      </c>
      <c r="AF6619">
        <v>0.26813449487997998</v>
      </c>
      <c r="AG6619">
        <v>0.10380199999999901</v>
      </c>
      <c r="AH6619">
        <v>0.48592499000740302</v>
      </c>
      <c r="AI6619">
        <v>79.406229045123993</v>
      </c>
      <c r="AJ6619">
        <v>61.109987989444498</v>
      </c>
      <c r="AK6619">
        <v>0.56461850701357297</v>
      </c>
      <c r="AL6619">
        <v>76.165244899667798</v>
      </c>
      <c r="AM6619">
        <v>72.326680951272394</v>
      </c>
      <c r="AN6619">
        <v>1.0000000213006</v>
      </c>
    </row>
    <row r="6620" spans="1:40" x14ac:dyDescent="0.25">
      <c r="A6620" t="str">
        <f>"20190303171144322"</f>
        <v>20190303171144322</v>
      </c>
      <c r="B6620" t="str">
        <f>"1551604304317119"</f>
        <v>1551604304317119</v>
      </c>
      <c r="C6620" t="s">
        <v>40</v>
      </c>
      <c r="D6620">
        <v>5.9249090000000004</v>
      </c>
      <c r="E6620">
        <v>0.47242119999999999</v>
      </c>
      <c r="F6620" t="s">
        <v>62</v>
      </c>
      <c r="G6620">
        <v>0</v>
      </c>
      <c r="H6620">
        <v>0</v>
      </c>
      <c r="I6620">
        <v>0</v>
      </c>
      <c r="J6620">
        <v>-117.9513</v>
      </c>
      <c r="K6620">
        <v>1.1224700000000001</v>
      </c>
      <c r="L6620">
        <v>135.45160000000001</v>
      </c>
      <c r="M6620">
        <v>0.98582970000000003</v>
      </c>
      <c r="N6620">
        <v>-1.799005E-2</v>
      </c>
      <c r="O6620">
        <v>0.16678209999999999</v>
      </c>
      <c r="P6620">
        <v>0.96593059999999997</v>
      </c>
      <c r="Q6620">
        <v>0.21909190000000001</v>
      </c>
      <c r="R6620">
        <v>-0.1377572</v>
      </c>
      <c r="S6620">
        <v>2.8883209999999999</v>
      </c>
      <c r="T6620">
        <v>0.72256489999999995</v>
      </c>
      <c r="U6620">
        <v>-0.3737183</v>
      </c>
      <c r="V6620">
        <v>0.29696499999999998</v>
      </c>
      <c r="W6620">
        <v>0.235762</v>
      </c>
      <c r="X6620">
        <v>0.92532590000000003</v>
      </c>
      <c r="Y6620">
        <v>0.27829490000000001</v>
      </c>
      <c r="Z6620">
        <v>7.5430120000000003E-2</v>
      </c>
      <c r="AA6620">
        <v>0.95752919999999997</v>
      </c>
      <c r="AB6620">
        <v>3</v>
      </c>
      <c r="AC6620">
        <v>2.8883209999999999</v>
      </c>
      <c r="AD6620">
        <v>0.72256489999999995</v>
      </c>
      <c r="AE6620">
        <v>-0.3737183</v>
      </c>
      <c r="AF6620">
        <v>0.80097749434734999</v>
      </c>
      <c r="AG6620">
        <v>0.72256489999999995</v>
      </c>
      <c r="AH6620">
        <v>2.62399770529648</v>
      </c>
      <c r="AI6620">
        <v>75.245018491268397</v>
      </c>
      <c r="AJ6620">
        <v>73.025146323623702</v>
      </c>
      <c r="AK6620">
        <v>2.8370810595688298</v>
      </c>
      <c r="AL6620">
        <v>76.363455362141593</v>
      </c>
      <c r="AM6620">
        <v>72.206996992454805</v>
      </c>
      <c r="AN6620">
        <v>0.99999997653990402</v>
      </c>
    </row>
    <row r="6621" spans="1:40" x14ac:dyDescent="0.25">
      <c r="A6621" t="str">
        <f>"20190303171144342"</f>
        <v>20190303171144342</v>
      </c>
      <c r="B6621" t="str">
        <f>"1551604304337616"</f>
        <v>1551604304337616</v>
      </c>
      <c r="C6621" t="s">
        <v>40</v>
      </c>
      <c r="D6621">
        <v>5.8960549999999996</v>
      </c>
      <c r="E6621">
        <v>0.46423540000000002</v>
      </c>
      <c r="F6621" t="s">
        <v>62</v>
      </c>
      <c r="G6621">
        <v>0</v>
      </c>
      <c r="H6621">
        <v>0</v>
      </c>
      <c r="I6621">
        <v>0</v>
      </c>
      <c r="J6621">
        <v>-117.9234</v>
      </c>
      <c r="K6621">
        <v>1.1224620000000001</v>
      </c>
      <c r="L6621">
        <v>135.45650000000001</v>
      </c>
      <c r="M6621">
        <v>0.9858131</v>
      </c>
      <c r="N6621">
        <v>-1.792943E-2</v>
      </c>
      <c r="O6621">
        <v>0.1668866</v>
      </c>
      <c r="P6621">
        <v>0.96544209999999997</v>
      </c>
      <c r="Q6621">
        <v>0.21974199999999999</v>
      </c>
      <c r="R6621">
        <v>-0.1401261</v>
      </c>
      <c r="S6621">
        <v>2.8919830000000002</v>
      </c>
      <c r="T6621">
        <v>0.80414019999999897</v>
      </c>
      <c r="U6621">
        <v>-0.22055050000000001</v>
      </c>
      <c r="V6621">
        <v>0.29931770000000002</v>
      </c>
      <c r="W6621">
        <v>0.23633889999999999</v>
      </c>
      <c r="X6621">
        <v>0.92442029999999997</v>
      </c>
      <c r="Y6621">
        <v>0.22630120000000001</v>
      </c>
      <c r="Z6621">
        <v>7.7088119999999996E-2</v>
      </c>
      <c r="AA6621">
        <v>0.97100220000000004</v>
      </c>
      <c r="AB6621">
        <v>3</v>
      </c>
      <c r="AC6621">
        <v>2.8919830000000002</v>
      </c>
      <c r="AD6621">
        <v>0.80414019999999897</v>
      </c>
      <c r="AE6621">
        <v>-0.22055050000000001</v>
      </c>
      <c r="AF6621">
        <v>0.65018775841024801</v>
      </c>
      <c r="AG6621">
        <v>0.80414019999999897</v>
      </c>
      <c r="AH6621">
        <v>2.6136875262995698</v>
      </c>
      <c r="AI6621">
        <v>73.3761832396751</v>
      </c>
      <c r="AJ6621">
        <v>76.030502164048499</v>
      </c>
      <c r="AK6621">
        <v>2.8108269366107401</v>
      </c>
      <c r="AL6621">
        <v>76.329440874808199</v>
      </c>
      <c r="AM6621">
        <v>72.058584963191706</v>
      </c>
      <c r="AN6621">
        <v>1.0000000261192901</v>
      </c>
    </row>
    <row r="6622" spans="1:40" x14ac:dyDescent="0.25">
      <c r="A6622" t="str">
        <f>"20190303171144362"</f>
        <v>20190303171144362</v>
      </c>
      <c r="B6622" t="str">
        <f>"1551604304357135"</f>
        <v>1551604304357135</v>
      </c>
      <c r="C6622" t="s">
        <v>40</v>
      </c>
      <c r="D6622">
        <v>6.130166</v>
      </c>
      <c r="E6622">
        <v>0.4587002</v>
      </c>
      <c r="F6622" t="s">
        <v>62</v>
      </c>
      <c r="G6622">
        <v>0</v>
      </c>
      <c r="H6622">
        <v>0</v>
      </c>
      <c r="I6622">
        <v>0</v>
      </c>
      <c r="J6622">
        <v>-117.8948</v>
      </c>
      <c r="K6622">
        <v>1.12246</v>
      </c>
      <c r="L6622">
        <v>135.4615</v>
      </c>
      <c r="M6622">
        <v>0.98579629999999996</v>
      </c>
      <c r="N6622">
        <v>-1.7865010000000001E-2</v>
      </c>
      <c r="O6622">
        <v>0.16699310000000001</v>
      </c>
      <c r="P6622">
        <v>0.96418890000000002</v>
      </c>
      <c r="Q6622">
        <v>0.2227382</v>
      </c>
      <c r="R6622">
        <v>-0.14397099999999999</v>
      </c>
      <c r="S6622">
        <v>2.8938290000000002</v>
      </c>
      <c r="T6622">
        <v>0.83192160000000004</v>
      </c>
      <c r="U6622">
        <v>-0.16671749999999999</v>
      </c>
      <c r="V6622">
        <v>0.30299989999999999</v>
      </c>
      <c r="W6622">
        <v>0.23924010000000001</v>
      </c>
      <c r="X6622">
        <v>0.92247239999999997</v>
      </c>
      <c r="Y6622">
        <v>0.20799989999999999</v>
      </c>
      <c r="Z6622">
        <v>7.7216880000000002E-2</v>
      </c>
      <c r="AA6622">
        <v>0.97507619999999895</v>
      </c>
      <c r="AB6622">
        <v>3</v>
      </c>
      <c r="AC6622">
        <v>2.8938290000000002</v>
      </c>
      <c r="AD6622">
        <v>0.83192160000000004</v>
      </c>
      <c r="AE6622">
        <v>-0.16671749999999999</v>
      </c>
      <c r="AF6622">
        <v>0.59841000063275096</v>
      </c>
      <c r="AG6622">
        <v>0.83192160000000004</v>
      </c>
      <c r="AH6622">
        <v>2.61031851700456</v>
      </c>
      <c r="AI6622">
        <v>72.742771544676799</v>
      </c>
      <c r="AJ6622">
        <v>77.088170102968604</v>
      </c>
      <c r="AK6622">
        <v>2.8042736738094498</v>
      </c>
      <c r="AL6622">
        <v>76.158305859592204</v>
      </c>
      <c r="AM6622">
        <v>71.816458028133198</v>
      </c>
      <c r="AN6622">
        <v>1.00000004680488</v>
      </c>
    </row>
    <row r="6623" spans="1:40" x14ac:dyDescent="0.25">
      <c r="A6623" t="str">
        <f>"20190303171144384"</f>
        <v>20190303171144384</v>
      </c>
      <c r="B6623" t="str">
        <f>"1551604304377631"</f>
        <v>1551604304377631</v>
      </c>
      <c r="C6623" t="s">
        <v>40</v>
      </c>
      <c r="D6623">
        <v>5.8558430000000001</v>
      </c>
      <c r="E6623">
        <v>0.45506799999999997</v>
      </c>
      <c r="F6623" t="s">
        <v>62</v>
      </c>
      <c r="G6623">
        <v>0</v>
      </c>
      <c r="H6623">
        <v>0</v>
      </c>
      <c r="I6623">
        <v>0</v>
      </c>
      <c r="J6623">
        <v>-117.86539999999999</v>
      </c>
      <c r="K6623">
        <v>1.122463</v>
      </c>
      <c r="L6623">
        <v>135.4665</v>
      </c>
      <c r="M6623">
        <v>0.98577879999999996</v>
      </c>
      <c r="N6623">
        <v>-1.7802410000000001E-2</v>
      </c>
      <c r="O6623">
        <v>0.16710259999999999</v>
      </c>
      <c r="P6623">
        <v>0.96274680000000001</v>
      </c>
      <c r="Q6623">
        <v>0.22516890000000001</v>
      </c>
      <c r="R6623">
        <v>-0.1497251</v>
      </c>
      <c r="S6623">
        <v>2.892334</v>
      </c>
      <c r="T6623">
        <v>0.85977109999999901</v>
      </c>
      <c r="U6623">
        <v>-0.1371918</v>
      </c>
      <c r="V6623">
        <v>0.30853520000000001</v>
      </c>
      <c r="W6623">
        <v>0.2415697</v>
      </c>
      <c r="X6623">
        <v>0.92002729999999999</v>
      </c>
      <c r="Y6623">
        <v>0.19757830000000001</v>
      </c>
      <c r="Z6623">
        <v>7.8316319999999995E-2</v>
      </c>
      <c r="AA6623">
        <v>0.97715370000000001</v>
      </c>
      <c r="AB6623">
        <v>3</v>
      </c>
      <c r="AC6623">
        <v>2.892334</v>
      </c>
      <c r="AD6623">
        <v>0.85977109999999901</v>
      </c>
      <c r="AE6623">
        <v>-0.1371918</v>
      </c>
      <c r="AF6623">
        <v>0.56853117109960605</v>
      </c>
      <c r="AG6623">
        <v>0.85977109999999901</v>
      </c>
      <c r="AH6623">
        <v>2.5995381741247998</v>
      </c>
      <c r="AI6623">
        <v>72.094204306171093</v>
      </c>
      <c r="AJ6623">
        <v>77.663390672137595</v>
      </c>
      <c r="AK6623">
        <v>2.7964321475121099</v>
      </c>
      <c r="AL6623">
        <v>76.020797015666005</v>
      </c>
      <c r="AM6623">
        <v>71.460895890061394</v>
      </c>
      <c r="AN6623">
        <v>1.0000000611712001</v>
      </c>
    </row>
    <row r="6624" spans="1:40" x14ac:dyDescent="0.25">
      <c r="A6624" t="str">
        <f>"20190303171144406"</f>
        <v>20190303171144406</v>
      </c>
      <c r="B6624" t="str">
        <f>"1551604304397152"</f>
        <v>1551604304397152</v>
      </c>
      <c r="C6624" t="s">
        <v>40</v>
      </c>
      <c r="D6624">
        <v>5.7745449999999998</v>
      </c>
      <c r="E6624">
        <v>0.4528277</v>
      </c>
      <c r="F6624" t="s">
        <v>62</v>
      </c>
      <c r="G6624">
        <v>0</v>
      </c>
      <c r="H6624">
        <v>0</v>
      </c>
      <c r="I6624">
        <v>0</v>
      </c>
      <c r="J6624">
        <v>-117.8374</v>
      </c>
      <c r="K6624">
        <v>1.122465</v>
      </c>
      <c r="L6624">
        <v>135.47139999999999</v>
      </c>
      <c r="M6624">
        <v>0.98576209999999997</v>
      </c>
      <c r="N6624">
        <v>-1.7749210000000001E-2</v>
      </c>
      <c r="O6624">
        <v>0.16720699999999999</v>
      </c>
      <c r="P6624">
        <v>0.9608255</v>
      </c>
      <c r="Q6624">
        <v>0.22853979999999999</v>
      </c>
      <c r="R6624">
        <v>-0.1567934</v>
      </c>
      <c r="S6624">
        <v>2.8902130000000001</v>
      </c>
      <c r="T6624">
        <v>0.88060000000000005</v>
      </c>
      <c r="U6624">
        <v>-0.12799070000000001</v>
      </c>
      <c r="V6624">
        <v>0.31528099999999998</v>
      </c>
      <c r="W6624">
        <v>0.24483460000000001</v>
      </c>
      <c r="X6624">
        <v>0.91687180000000001</v>
      </c>
      <c r="Y6624">
        <v>0.1939736</v>
      </c>
      <c r="Z6624">
        <v>7.9684630000000006E-2</v>
      </c>
      <c r="AA6624">
        <v>0.97776510000000005</v>
      </c>
      <c r="AB6624">
        <v>3</v>
      </c>
      <c r="AC6624">
        <v>2.8902130000000001</v>
      </c>
      <c r="AD6624">
        <v>0.88060000000000005</v>
      </c>
      <c r="AE6624">
        <v>-0.12799070000000001</v>
      </c>
      <c r="AF6624">
        <v>0.55784381087489099</v>
      </c>
      <c r="AG6624">
        <v>0.88060000000000005</v>
      </c>
      <c r="AH6624">
        <v>2.5883000542969401</v>
      </c>
      <c r="AI6624">
        <v>71.603572202491407</v>
      </c>
      <c r="AJ6624">
        <v>77.837362332916797</v>
      </c>
      <c r="AK6624">
        <v>2.7903303117023501</v>
      </c>
      <c r="AL6624">
        <v>75.827940595977907</v>
      </c>
      <c r="AM6624">
        <v>71.023650598972097</v>
      </c>
      <c r="AN6624">
        <v>0.99999999397670003</v>
      </c>
    </row>
    <row r="6625" spans="1:40" x14ac:dyDescent="0.25">
      <c r="A6625" t="str">
        <f>"20190303171144429"</f>
        <v>20190303171144429</v>
      </c>
      <c r="B6625" t="str">
        <f>"1551604304417648"</f>
        <v>1551604304417648</v>
      </c>
      <c r="C6625" t="s">
        <v>40</v>
      </c>
      <c r="D6625">
        <v>5.7964929999999999</v>
      </c>
      <c r="E6625">
        <v>0.45116650000000003</v>
      </c>
      <c r="F6625" t="s">
        <v>62</v>
      </c>
      <c r="G6625">
        <v>0</v>
      </c>
      <c r="H6625">
        <v>0</v>
      </c>
      <c r="I6625">
        <v>0</v>
      </c>
      <c r="J6625">
        <v>-117.8098</v>
      </c>
      <c r="K6625">
        <v>1.1224639999999999</v>
      </c>
      <c r="L6625">
        <v>135.47620000000001</v>
      </c>
      <c r="M6625">
        <v>0.98574539999999999</v>
      </c>
      <c r="N6625">
        <v>-1.7701720000000001E-2</v>
      </c>
      <c r="O6625">
        <v>0.1673103</v>
      </c>
      <c r="P6625">
        <v>0.95909409999999895</v>
      </c>
      <c r="Q6625">
        <v>0.2314185</v>
      </c>
      <c r="R6625">
        <v>-0.16304579999999999</v>
      </c>
      <c r="S6625">
        <v>2.884979</v>
      </c>
      <c r="T6625">
        <v>0.9058022</v>
      </c>
      <c r="U6625">
        <v>-0.13410949999999999</v>
      </c>
      <c r="V6625">
        <v>0.32125239999999999</v>
      </c>
      <c r="W6625">
        <v>0.24761910000000001</v>
      </c>
      <c r="X6625">
        <v>0.9140469</v>
      </c>
      <c r="Y6625">
        <v>0.19516919999999999</v>
      </c>
      <c r="Z6625">
        <v>8.2164810000000005E-2</v>
      </c>
      <c r="AA6625">
        <v>0.97732180000000002</v>
      </c>
      <c r="AB6625">
        <v>3</v>
      </c>
      <c r="AC6625">
        <v>2.884979</v>
      </c>
      <c r="AD6625">
        <v>0.9058022</v>
      </c>
      <c r="AE6625">
        <v>-0.13410949999999999</v>
      </c>
      <c r="AF6625">
        <v>0.55990534200888098</v>
      </c>
      <c r="AG6625">
        <v>0.9058022</v>
      </c>
      <c r="AH6625">
        <v>2.56914317789774</v>
      </c>
      <c r="AI6625">
        <v>70.9919930186893</v>
      </c>
      <c r="AJ6625">
        <v>77.705502577651998</v>
      </c>
      <c r="AK6625">
        <v>2.7810912041990701</v>
      </c>
      <c r="AL6625">
        <v>75.663333032141196</v>
      </c>
      <c r="AM6625">
        <v>70.635382558753307</v>
      </c>
      <c r="AN6625">
        <v>1.0000000292950799</v>
      </c>
    </row>
    <row r="6626" spans="1:40" x14ac:dyDescent="0.25">
      <c r="A6626" t="str">
        <f>"20190303171144451"</f>
        <v>20190303171144451</v>
      </c>
      <c r="B6626" t="str">
        <f>"1551604304446927"</f>
        <v>1551604304446927</v>
      </c>
      <c r="C6626" t="s">
        <v>40</v>
      </c>
      <c r="D6626">
        <v>5.7815649999999996</v>
      </c>
      <c r="E6626">
        <v>0.44903120000000002</v>
      </c>
      <c r="F6626" t="s">
        <v>62</v>
      </c>
      <c r="G6626">
        <v>0</v>
      </c>
      <c r="H6626">
        <v>0</v>
      </c>
      <c r="I6626">
        <v>0</v>
      </c>
      <c r="J6626">
        <v>-117.7824</v>
      </c>
      <c r="K6626">
        <v>1.122465</v>
      </c>
      <c r="L6626">
        <v>135.48099999999999</v>
      </c>
      <c r="M6626">
        <v>0.98572899999999997</v>
      </c>
      <c r="N6626">
        <v>-1.7657829999999999E-2</v>
      </c>
      <c r="O6626">
        <v>0.1674119</v>
      </c>
      <c r="P6626">
        <v>0.95828469999999999</v>
      </c>
      <c r="Q6626">
        <v>0.2327813</v>
      </c>
      <c r="R6626">
        <v>-0.16584309999999999</v>
      </c>
      <c r="S6626">
        <v>2.8794249999999999</v>
      </c>
      <c r="T6626">
        <v>0.92980609999999997</v>
      </c>
      <c r="U6626">
        <v>-0.14219670000000001</v>
      </c>
      <c r="V6626">
        <v>0.32396950000000002</v>
      </c>
      <c r="W6626">
        <v>0.248918</v>
      </c>
      <c r="X6626">
        <v>0.91273419999999905</v>
      </c>
      <c r="Y6626">
        <v>0.19701560000000001</v>
      </c>
      <c r="Z6626">
        <v>8.4658120000000003E-2</v>
      </c>
      <c r="AA6626">
        <v>0.97673840000000001</v>
      </c>
      <c r="AB6626">
        <v>3</v>
      </c>
      <c r="AC6626">
        <v>2.8794249999999999</v>
      </c>
      <c r="AD6626">
        <v>0.92980609999999997</v>
      </c>
      <c r="AE6626">
        <v>-0.14219670000000001</v>
      </c>
      <c r="AF6626">
        <v>0.56368053115445305</v>
      </c>
      <c r="AG6626">
        <v>0.92980609999999997</v>
      </c>
      <c r="AH6626">
        <v>2.5497425709677901</v>
      </c>
      <c r="AI6626">
        <v>70.400747862334995</v>
      </c>
      <c r="AJ6626">
        <v>77.533926832343994</v>
      </c>
      <c r="AK6626">
        <v>2.77190589721318</v>
      </c>
      <c r="AL6626">
        <v>75.586506694255107</v>
      </c>
      <c r="AM6626">
        <v>70.457988738662493</v>
      </c>
      <c r="AN6626">
        <v>1.0000000637519399</v>
      </c>
    </row>
    <row r="6627" spans="1:40" x14ac:dyDescent="0.25">
      <c r="A6627" t="str">
        <f>"20190303171144474"</f>
        <v>20190303171144474</v>
      </c>
      <c r="B6627" t="str">
        <f>"1551604304467029"</f>
        <v>1551604304467029</v>
      </c>
      <c r="C6627" t="s">
        <v>40</v>
      </c>
      <c r="D6627">
        <v>5.7410620000000003</v>
      </c>
      <c r="E6627">
        <v>0.44799339999999999</v>
      </c>
      <c r="F6627" t="s">
        <v>62</v>
      </c>
      <c r="G6627">
        <v>0</v>
      </c>
      <c r="H6627">
        <v>0</v>
      </c>
      <c r="I6627">
        <v>0</v>
      </c>
      <c r="J6627">
        <v>-117.7565</v>
      </c>
      <c r="K6627">
        <v>1.1224609999999999</v>
      </c>
      <c r="L6627">
        <v>135.4855</v>
      </c>
      <c r="M6627">
        <v>0.98571359999999997</v>
      </c>
      <c r="N6627">
        <v>-1.7605160000000002E-2</v>
      </c>
      <c r="O6627">
        <v>0.16750809999999999</v>
      </c>
      <c r="P6627">
        <v>0.95832810000000002</v>
      </c>
      <c r="Q6627">
        <v>0.23268059999999999</v>
      </c>
      <c r="R6627">
        <v>-0.16573260000000001</v>
      </c>
      <c r="S6627">
        <v>2.876328</v>
      </c>
      <c r="T6627">
        <v>0.9496232</v>
      </c>
      <c r="U6627">
        <v>-0.1362305</v>
      </c>
      <c r="V6627">
        <v>0.32395750000000001</v>
      </c>
      <c r="W6627">
        <v>0.2487693</v>
      </c>
      <c r="X6627">
        <v>0.91277889999999995</v>
      </c>
      <c r="Y6627">
        <v>0.194442</v>
      </c>
      <c r="Z6627">
        <v>8.6072770000000007E-2</v>
      </c>
      <c r="AA6627">
        <v>0.97713039999999995</v>
      </c>
      <c r="AB6627">
        <v>3</v>
      </c>
      <c r="AC6627">
        <v>2.876328</v>
      </c>
      <c r="AD6627">
        <v>0.9496232</v>
      </c>
      <c r="AE6627">
        <v>-0.1362305</v>
      </c>
      <c r="AF6627">
        <v>0.55574716596243201</v>
      </c>
      <c r="AG6627">
        <v>0.9496232</v>
      </c>
      <c r="AH6627">
        <v>2.5369440264279701</v>
      </c>
      <c r="AI6627">
        <v>69.915201361907705</v>
      </c>
      <c r="AJ6627">
        <v>77.643872565078297</v>
      </c>
      <c r="AK6627">
        <v>2.76527107670876</v>
      </c>
      <c r="AL6627">
        <v>75.595301954302101</v>
      </c>
      <c r="AM6627">
        <v>70.459542209449197</v>
      </c>
      <c r="AN6627">
        <v>0.99999997335697399</v>
      </c>
    </row>
    <row r="6628" spans="1:40" x14ac:dyDescent="0.25">
      <c r="A6628" t="str">
        <f>"20190303171144498"</f>
        <v>20190303171144498</v>
      </c>
      <c r="B6628" t="str">
        <f>"1551604304487526"</f>
        <v>1551604304487526</v>
      </c>
      <c r="C6628" t="s">
        <v>40</v>
      </c>
      <c r="D6628">
        <v>5.7179779999999996</v>
      </c>
      <c r="E6628">
        <v>0.44668140000000001</v>
      </c>
      <c r="F6628" t="s">
        <v>62</v>
      </c>
      <c r="G6628">
        <v>0</v>
      </c>
      <c r="H6628">
        <v>0</v>
      </c>
      <c r="I6628">
        <v>0</v>
      </c>
      <c r="J6628">
        <v>-117.7304</v>
      </c>
      <c r="K6628">
        <v>1.1224339999999999</v>
      </c>
      <c r="L6628">
        <v>135.49010000000001</v>
      </c>
      <c r="M6628">
        <v>0.98569870000000004</v>
      </c>
      <c r="N6628">
        <v>-1.7513259999999999E-2</v>
      </c>
      <c r="O6628">
        <v>0.16760520000000001</v>
      </c>
      <c r="P6628">
        <v>0.9591324</v>
      </c>
      <c r="Q6628">
        <v>0.23038249999999999</v>
      </c>
      <c r="R6628">
        <v>-0.1642837</v>
      </c>
      <c r="S6628">
        <v>2.8761290000000002</v>
      </c>
      <c r="T6628">
        <v>0.95587889999999998</v>
      </c>
      <c r="U6628">
        <v>-0.1286621</v>
      </c>
      <c r="V6628">
        <v>0.32275409999999999</v>
      </c>
      <c r="W6628">
        <v>0.24640529999999999</v>
      </c>
      <c r="X6628">
        <v>0.91384580000000004</v>
      </c>
      <c r="Y6628">
        <v>0.19184979999999999</v>
      </c>
      <c r="Z6628">
        <v>8.6241180000000001E-2</v>
      </c>
      <c r="AA6628">
        <v>0.97762780000000005</v>
      </c>
      <c r="AB6628">
        <v>3</v>
      </c>
      <c r="AC6628">
        <v>2.8761290000000002</v>
      </c>
      <c r="AD6628">
        <v>0.95587889999999998</v>
      </c>
      <c r="AE6628">
        <v>-0.1286621</v>
      </c>
      <c r="AF6628">
        <v>0.548504968864306</v>
      </c>
      <c r="AG6628">
        <v>0.95587889999999998</v>
      </c>
      <c r="AH6628">
        <v>2.5344748670779702</v>
      </c>
      <c r="AI6628">
        <v>69.765252512847297</v>
      </c>
      <c r="AJ6628">
        <v>77.7885085962359</v>
      </c>
      <c r="AK6628">
        <v>2.7637158001834998</v>
      </c>
      <c r="AL6628">
        <v>75.735101664455499</v>
      </c>
      <c r="AM6628">
        <v>70.547684485572404</v>
      </c>
      <c r="AN6628">
        <v>0.99999996355626897</v>
      </c>
    </row>
    <row r="6629" spans="1:40" x14ac:dyDescent="0.25">
      <c r="A6629" t="str">
        <f>"20190303171144520"</f>
        <v>20190303171144520</v>
      </c>
      <c r="B6629" t="str">
        <f>"1551604304517781"</f>
        <v>1551604304517781</v>
      </c>
      <c r="C6629" t="s">
        <v>40</v>
      </c>
      <c r="D6629">
        <v>5.7222359999999997</v>
      </c>
      <c r="E6629">
        <v>0.4453433</v>
      </c>
      <c r="F6629" t="s">
        <v>62</v>
      </c>
      <c r="G6629">
        <v>0</v>
      </c>
      <c r="H6629">
        <v>0</v>
      </c>
      <c r="I6629">
        <v>0</v>
      </c>
      <c r="J6629">
        <v>-117.7064</v>
      </c>
      <c r="K6629">
        <v>1.122387</v>
      </c>
      <c r="L6629">
        <v>135.49430000000001</v>
      </c>
      <c r="M6629">
        <v>0.9856859</v>
      </c>
      <c r="N6629">
        <v>-1.737495E-2</v>
      </c>
      <c r="O6629">
        <v>0.16769489999999901</v>
      </c>
      <c r="P6629">
        <v>0.9599086</v>
      </c>
      <c r="Q6629">
        <v>0.22782620000000001</v>
      </c>
      <c r="R6629">
        <v>-0.16331189999999901</v>
      </c>
      <c r="S6629">
        <v>2.8793030000000002</v>
      </c>
      <c r="T6629">
        <v>0.95317289999999999</v>
      </c>
      <c r="U6629">
        <v>-0.1143188</v>
      </c>
      <c r="V6629">
        <v>0.32200909999999999</v>
      </c>
      <c r="W6629">
        <v>0.24373919999999999</v>
      </c>
      <c r="X6629">
        <v>0.9148231</v>
      </c>
      <c r="Y6629">
        <v>0.1873949</v>
      </c>
      <c r="Z6629">
        <v>8.5270970000000001E-2</v>
      </c>
      <c r="AA6629">
        <v>0.97857649999999996</v>
      </c>
      <c r="AB6629">
        <v>3</v>
      </c>
      <c r="AC6629">
        <v>2.8793030000000002</v>
      </c>
      <c r="AD6629">
        <v>0.95317289999999999</v>
      </c>
      <c r="AE6629">
        <v>-0.1143188</v>
      </c>
      <c r="AF6629">
        <v>0.53687365029466005</v>
      </c>
      <c r="AG6629">
        <v>0.95317289999999999</v>
      </c>
      <c r="AH6629">
        <v>2.54128358704825</v>
      </c>
      <c r="AI6629">
        <v>69.848100265813997</v>
      </c>
      <c r="AJ6629">
        <v>78.071050089460797</v>
      </c>
      <c r="AK6629">
        <v>2.7667479399966899</v>
      </c>
      <c r="AL6629">
        <v>75.892663116919096</v>
      </c>
      <c r="AM6629">
        <v>70.608412471143694</v>
      </c>
      <c r="AN6629">
        <v>0.999999981196529</v>
      </c>
    </row>
    <row r="6630" spans="1:40" x14ac:dyDescent="0.25">
      <c r="A6630" t="str">
        <f>"20190303171144542"</f>
        <v>20190303171144542</v>
      </c>
      <c r="B6630" t="str">
        <f>"1551604304537302"</f>
        <v>1551604304537302</v>
      </c>
      <c r="C6630" t="s">
        <v>40</v>
      </c>
      <c r="D6630">
        <v>6.0082409999999999</v>
      </c>
      <c r="E6630">
        <v>0.4448375</v>
      </c>
      <c r="F6630" t="s">
        <v>62</v>
      </c>
      <c r="G6630">
        <v>0</v>
      </c>
      <c r="H6630">
        <v>0</v>
      </c>
      <c r="I6630">
        <v>0</v>
      </c>
      <c r="J6630">
        <v>-117.6844</v>
      </c>
      <c r="K6630">
        <v>1.122347</v>
      </c>
      <c r="L6630">
        <v>135.49809999999999</v>
      </c>
      <c r="M6630">
        <v>0.98567450000000001</v>
      </c>
      <c r="N6630">
        <v>-1.722506E-2</v>
      </c>
      <c r="O6630">
        <v>0.16777729999999999</v>
      </c>
      <c r="P6630">
        <v>0.96050720000000001</v>
      </c>
      <c r="Q6630">
        <v>0.22619890000000001</v>
      </c>
      <c r="R6630">
        <v>-0.1620501</v>
      </c>
      <c r="S6630">
        <v>2.8826290000000001</v>
      </c>
      <c r="T6630">
        <v>0.95023009999999997</v>
      </c>
      <c r="U6630">
        <v>-0.1008759</v>
      </c>
      <c r="V6630">
        <v>0.3209417</v>
      </c>
      <c r="W6630">
        <v>0.24198800000000001</v>
      </c>
      <c r="X6630">
        <v>0.9156628</v>
      </c>
      <c r="Y6630">
        <v>0.18323449999999999</v>
      </c>
      <c r="Z6630">
        <v>8.4322110000000006E-2</v>
      </c>
      <c r="AA6630">
        <v>0.97944620000000004</v>
      </c>
      <c r="AB6630">
        <v>2</v>
      </c>
      <c r="AC6630">
        <v>2.8826290000000001</v>
      </c>
      <c r="AD6630">
        <v>0.95023009999999997</v>
      </c>
      <c r="AE6630">
        <v>-0.1008759</v>
      </c>
      <c r="AF6630">
        <v>0.52606348409392201</v>
      </c>
      <c r="AG6630">
        <v>0.95023009999999997</v>
      </c>
      <c r="AH6630">
        <v>2.5482656350774202</v>
      </c>
      <c r="AI6630">
        <v>69.938196199394895</v>
      </c>
      <c r="AJ6630">
        <v>78.335728015275194</v>
      </c>
      <c r="AK6630">
        <v>2.77007902038183</v>
      </c>
      <c r="AL6630">
        <v>75.996097445066098</v>
      </c>
      <c r="AM6630">
        <v>70.684331009543698</v>
      </c>
      <c r="AN6630">
        <v>1.00000006512336</v>
      </c>
    </row>
    <row r="6631" spans="1:40" x14ac:dyDescent="0.25">
      <c r="A6631" t="str">
        <f>"20190303171144564"</f>
        <v>20190303171144564</v>
      </c>
      <c r="B6631" t="str">
        <f>"1551604304557551"</f>
        <v>1551604304557551</v>
      </c>
      <c r="C6631" t="s">
        <v>40</v>
      </c>
      <c r="D6631">
        <v>5.689743</v>
      </c>
      <c r="E6631">
        <v>0.42632419999999999</v>
      </c>
      <c r="F6631" t="s">
        <v>62</v>
      </c>
      <c r="G6631">
        <v>0</v>
      </c>
      <c r="H6631">
        <v>0</v>
      </c>
      <c r="I6631">
        <v>0</v>
      </c>
      <c r="J6631">
        <v>-117.6618</v>
      </c>
      <c r="K6631">
        <v>1.1223240000000001</v>
      </c>
      <c r="L6631">
        <v>135.50210000000001</v>
      </c>
      <c r="M6631">
        <v>0.98566279999999995</v>
      </c>
      <c r="N6631">
        <v>-1.7074809999999999E-2</v>
      </c>
      <c r="O6631">
        <v>0.16786180000000001</v>
      </c>
      <c r="P6631">
        <v>0.9604433</v>
      </c>
      <c r="Q6631">
        <v>0.2263442</v>
      </c>
      <c r="R6631">
        <v>-0.1622265</v>
      </c>
      <c r="S6631">
        <v>2.8850250000000002</v>
      </c>
      <c r="T6631">
        <v>0.94573940000000001</v>
      </c>
      <c r="U6631">
        <v>-9.2452999999999994E-2</v>
      </c>
      <c r="V6631">
        <v>0.3211833</v>
      </c>
      <c r="W6631">
        <v>0.24199390000000001</v>
      </c>
      <c r="X6631">
        <v>0.91557650000000002</v>
      </c>
      <c r="Y6631">
        <v>0.1807551</v>
      </c>
      <c r="Z6631">
        <v>8.3529229999999996E-2</v>
      </c>
      <c r="AA6631">
        <v>0.97997469999999998</v>
      </c>
      <c r="AB6631">
        <v>2</v>
      </c>
      <c r="AC6631">
        <v>2.8850250000000002</v>
      </c>
      <c r="AD6631">
        <v>0.94573940000000001</v>
      </c>
      <c r="AE6631">
        <v>-9.2452999999999994E-2</v>
      </c>
      <c r="AF6631">
        <v>0.51970678045145102</v>
      </c>
      <c r="AG6631">
        <v>0.94573940000000001</v>
      </c>
      <c r="AH6631">
        <v>2.5543477467327702</v>
      </c>
      <c r="AI6631">
        <v>70.058540571238098</v>
      </c>
      <c r="AJ6631">
        <v>78.4995938190077</v>
      </c>
      <c r="AK6631">
        <v>2.7729425817348501</v>
      </c>
      <c r="AL6631">
        <v>75.995748737369496</v>
      </c>
      <c r="AM6631">
        <v>70.669181729207693</v>
      </c>
      <c r="AN6631">
        <v>1.0000000435941701</v>
      </c>
    </row>
    <row r="6632" spans="1:40" x14ac:dyDescent="0.25">
      <c r="A6632" t="str">
        <f>"20190303171144585"</f>
        <v>20190303171144585</v>
      </c>
      <c r="B6632" t="str">
        <f>"1551604304577070"</f>
        <v>1551604304577070</v>
      </c>
      <c r="C6632" t="s">
        <v>40</v>
      </c>
      <c r="D6632">
        <v>5.7602029999999997</v>
      </c>
      <c r="E6632">
        <v>0.42620659999999999</v>
      </c>
      <c r="F6632" t="s">
        <v>62</v>
      </c>
      <c r="G6632">
        <v>0</v>
      </c>
      <c r="H6632">
        <v>0</v>
      </c>
      <c r="I6632">
        <v>0</v>
      </c>
      <c r="J6632">
        <v>-117.64060000000001</v>
      </c>
      <c r="K6632">
        <v>1.1223339999999999</v>
      </c>
      <c r="L6632">
        <v>135.50579999999999</v>
      </c>
      <c r="M6632">
        <v>0.98565139999999996</v>
      </c>
      <c r="N6632">
        <v>-1.694565E-2</v>
      </c>
      <c r="O6632">
        <v>0.1679406</v>
      </c>
      <c r="P6632">
        <v>0.96046330000000002</v>
      </c>
      <c r="Q6632">
        <v>0.2263001</v>
      </c>
      <c r="R6632">
        <v>-0.16216820000000001</v>
      </c>
      <c r="S6632">
        <v>2.8946990000000001</v>
      </c>
      <c r="T6632">
        <v>1.004005</v>
      </c>
      <c r="U6632">
        <v>4.5898439999999999E-2</v>
      </c>
      <c r="V6632">
        <v>0.3212026</v>
      </c>
      <c r="W6632">
        <v>0.24183160000000001</v>
      </c>
      <c r="X6632">
        <v>0.9156126</v>
      </c>
      <c r="Y6632">
        <v>0.1341676</v>
      </c>
      <c r="Z6632">
        <v>8.0575880000000003E-2</v>
      </c>
      <c r="AA6632">
        <v>0.98767740000000004</v>
      </c>
      <c r="AB6632">
        <v>2</v>
      </c>
      <c r="AC6632">
        <v>2.8946990000000001</v>
      </c>
      <c r="AD6632">
        <v>1.004005</v>
      </c>
      <c r="AE6632">
        <v>4.5898439999999999E-2</v>
      </c>
      <c r="AF6632">
        <v>0.393620410584407</v>
      </c>
      <c r="AG6632">
        <v>1.004005</v>
      </c>
      <c r="AH6632">
        <v>2.5541025355551898</v>
      </c>
      <c r="AI6632">
        <v>68.768433320867601</v>
      </c>
      <c r="AJ6632">
        <v>81.238902541975605</v>
      </c>
      <c r="AK6632">
        <v>2.7724362625285099</v>
      </c>
      <c r="AL6632">
        <v>76.005332349531997</v>
      </c>
      <c r="AM6632">
        <v>70.668811966076504</v>
      </c>
      <c r="AN6632">
        <v>1.00000003314203</v>
      </c>
    </row>
    <row r="6633" spans="1:40" x14ac:dyDescent="0.25">
      <c r="A6633" t="str">
        <f>"20190303171144608"</f>
        <v>20190303171144608</v>
      </c>
      <c r="B6633" t="str">
        <f>"1551604304597567"</f>
        <v>1551604304597567</v>
      </c>
      <c r="C6633" t="s">
        <v>40</v>
      </c>
      <c r="D6633">
        <v>5.6951599999999996</v>
      </c>
      <c r="E6633">
        <v>0.42651410000000001</v>
      </c>
      <c r="F6633" t="s">
        <v>62</v>
      </c>
      <c r="G6633">
        <v>0</v>
      </c>
      <c r="H6633">
        <v>0</v>
      </c>
      <c r="I6633">
        <v>0</v>
      </c>
      <c r="J6633">
        <v>-117.6194</v>
      </c>
      <c r="K6633">
        <v>1.1223590000000001</v>
      </c>
      <c r="L6633">
        <v>135.5095</v>
      </c>
      <c r="M6633">
        <v>0.98564019999999997</v>
      </c>
      <c r="N6633">
        <v>-1.6816999999999999E-2</v>
      </c>
      <c r="O6633">
        <v>0.16801969999999999</v>
      </c>
      <c r="P6633">
        <v>0.96035020000000004</v>
      </c>
      <c r="Q6633">
        <v>0.22777510000000001</v>
      </c>
      <c r="R6633">
        <v>-0.16076699999999999</v>
      </c>
      <c r="S6633">
        <v>2.902069</v>
      </c>
      <c r="T6633">
        <v>0.97735209999999995</v>
      </c>
      <c r="U6633">
        <v>5.2368159999999997E-2</v>
      </c>
      <c r="V6633">
        <v>0.31987589999999999</v>
      </c>
      <c r="W6633">
        <v>0.2431902</v>
      </c>
      <c r="X6633">
        <v>0.91571720000000001</v>
      </c>
      <c r="Y6633">
        <v>0.13313239999999901</v>
      </c>
      <c r="Z6633">
        <v>7.8262369999999998E-2</v>
      </c>
      <c r="AA6633">
        <v>0.98800339999999998</v>
      </c>
      <c r="AB6633">
        <v>2</v>
      </c>
      <c r="AC6633">
        <v>2.902069</v>
      </c>
      <c r="AD6633">
        <v>0.97735209999999995</v>
      </c>
      <c r="AE6633">
        <v>5.2368159999999997E-2</v>
      </c>
      <c r="AF6633">
        <v>0.39164468333117802</v>
      </c>
      <c r="AG6633">
        <v>0.97735209999999995</v>
      </c>
      <c r="AH6633">
        <v>2.57737214348851</v>
      </c>
      <c r="AI6633">
        <v>69.4489135660438</v>
      </c>
      <c r="AJ6633">
        <v>81.359715365912805</v>
      </c>
      <c r="AK6633">
        <v>2.7841425702335201</v>
      </c>
      <c r="AL6633">
        <v>75.9250950313331</v>
      </c>
      <c r="AM6633">
        <v>70.744806021368007</v>
      </c>
      <c r="AN6633">
        <v>1.0000000275763401</v>
      </c>
    </row>
    <row r="6634" spans="1:40" x14ac:dyDescent="0.25">
      <c r="A6634" t="str">
        <f>"20190303171144743"</f>
        <v>20190303171144743</v>
      </c>
      <c r="B6634" t="str">
        <f>"1551604304737368"</f>
        <v>1551604304737368</v>
      </c>
      <c r="C6634" t="s">
        <v>40</v>
      </c>
      <c r="D6634">
        <v>5.4908239999999999</v>
      </c>
      <c r="E6634">
        <v>0.4257782</v>
      </c>
      <c r="F6634" t="s">
        <v>62</v>
      </c>
      <c r="G6634">
        <v>0</v>
      </c>
      <c r="H6634">
        <v>0</v>
      </c>
      <c r="I6634">
        <v>0</v>
      </c>
      <c r="J6634">
        <v>-117.5047</v>
      </c>
      <c r="K6634">
        <v>1.1223030000000001</v>
      </c>
      <c r="L6634">
        <v>135.52950000000001</v>
      </c>
      <c r="M6634">
        <v>0.98558279999999998</v>
      </c>
      <c r="N6634">
        <v>-1.5843489999999998E-2</v>
      </c>
      <c r="O6634">
        <v>0.16845109999999999</v>
      </c>
      <c r="P6634">
        <v>0.96160599999999996</v>
      </c>
      <c r="Q6634">
        <v>0.23110629999999999</v>
      </c>
      <c r="R6634">
        <v>-0.14800079999999999</v>
      </c>
      <c r="S6634">
        <v>2.9020079999999999</v>
      </c>
      <c r="T6634">
        <v>0.97504939999999996</v>
      </c>
      <c r="U6634">
        <v>5.6259160000000002E-2</v>
      </c>
      <c r="V6634">
        <v>0.30790329999999999</v>
      </c>
      <c r="W6634">
        <v>0.24568200000000001</v>
      </c>
      <c r="X6634">
        <v>0.91914960000000001</v>
      </c>
      <c r="Y6634">
        <v>0.1323636</v>
      </c>
      <c r="Z6634">
        <v>7.8024460000000004E-2</v>
      </c>
      <c r="AA6634">
        <v>0.98812549999999999</v>
      </c>
      <c r="AB6634">
        <v>2</v>
      </c>
      <c r="AC6634">
        <v>2.9020079999999999</v>
      </c>
      <c r="AD6634">
        <v>0.97504939999999996</v>
      </c>
      <c r="AE6634">
        <v>5.6259160000000002E-2</v>
      </c>
      <c r="AF6634">
        <v>0.38949868763779</v>
      </c>
      <c r="AG6634">
        <v>0.97504939999999996</v>
      </c>
      <c r="AH6634">
        <v>2.5789745378102999</v>
      </c>
      <c r="AI6634">
        <v>69.502401935010795</v>
      </c>
      <c r="AJ6634">
        <v>81.411610426667295</v>
      </c>
      <c r="AK6634">
        <v>2.7845179523188199</v>
      </c>
      <c r="AL6634">
        <v>75.777859160390307</v>
      </c>
      <c r="AM6634">
        <v>71.479812763340107</v>
      </c>
      <c r="AN6634">
        <v>1.00000003722752</v>
      </c>
    </row>
    <row r="6635" spans="1:40" x14ac:dyDescent="0.25">
      <c r="A6635" t="str">
        <f>"20190303171144765"</f>
        <v>20190303171144765</v>
      </c>
      <c r="B6635" t="str">
        <f>"1551604304756889"</f>
        <v>1551604304756889</v>
      </c>
      <c r="C6635" t="s">
        <v>40</v>
      </c>
      <c r="D6635">
        <v>5.3310589999999998</v>
      </c>
      <c r="E6635">
        <v>0.45986369999999999</v>
      </c>
      <c r="F6635" t="s">
        <v>62</v>
      </c>
      <c r="G6635">
        <v>0</v>
      </c>
      <c r="H6635">
        <v>0</v>
      </c>
      <c r="I6635">
        <v>0</v>
      </c>
      <c r="J6635">
        <v>-117.4877</v>
      </c>
      <c r="K6635">
        <v>1.1222909999999999</v>
      </c>
      <c r="L6635">
        <v>135.5325</v>
      </c>
      <c r="M6635">
        <v>0.9855739</v>
      </c>
      <c r="N6635">
        <v>-1.5706290000000001E-2</v>
      </c>
      <c r="O6635">
        <v>0.168515</v>
      </c>
      <c r="P6635">
        <v>0.96172009999999997</v>
      </c>
      <c r="Q6635">
        <v>0.2312101</v>
      </c>
      <c r="R6635">
        <v>-0.14709340000000001</v>
      </c>
      <c r="S6635">
        <v>2.9032749999999998</v>
      </c>
      <c r="T6635">
        <v>0.96973370000000003</v>
      </c>
      <c r="U6635">
        <v>0.1075745</v>
      </c>
      <c r="V6635">
        <v>0.30708740000000001</v>
      </c>
      <c r="W6635">
        <v>0.24566389999999999</v>
      </c>
      <c r="X6635">
        <v>0.91942729999999995</v>
      </c>
      <c r="Y6635">
        <v>0.1160133</v>
      </c>
      <c r="Z6635">
        <v>7.5043860000000004E-2</v>
      </c>
      <c r="AA6635">
        <v>0.99040870000000003</v>
      </c>
      <c r="AB6635">
        <v>2</v>
      </c>
      <c r="AC6635">
        <v>2.9032749999999998</v>
      </c>
      <c r="AD6635">
        <v>0.96973370000000003</v>
      </c>
      <c r="AE6635">
        <v>0.1075745</v>
      </c>
      <c r="AF6635">
        <v>0.344849605509089</v>
      </c>
      <c r="AG6635">
        <v>0.96973370000000003</v>
      </c>
      <c r="AH6635">
        <v>2.5911856362343002</v>
      </c>
      <c r="AI6635">
        <v>69.646538031714002</v>
      </c>
      <c r="AJ6635">
        <v>82.419300828124705</v>
      </c>
      <c r="AK6635">
        <v>2.7881082656099299</v>
      </c>
      <c r="AL6635">
        <v>75.778928337545594</v>
      </c>
      <c r="AM6635">
        <v>71.530754489474305</v>
      </c>
      <c r="AN6635">
        <v>0.99999999149362995</v>
      </c>
    </row>
    <row r="6636" spans="1:40" x14ac:dyDescent="0.25">
      <c r="A6636" t="str">
        <f>"20190303171144786"</f>
        <v>20190303171144786</v>
      </c>
      <c r="B6636" t="str">
        <f>"1551604304777384"</f>
        <v>1551604304777384</v>
      </c>
      <c r="C6636" t="s">
        <v>40</v>
      </c>
      <c r="D6636">
        <v>8.4694559999999992</v>
      </c>
      <c r="E6636">
        <v>0.45673130000000001</v>
      </c>
      <c r="F6636" t="s">
        <v>42</v>
      </c>
      <c r="G6636">
        <v>-98.19932</v>
      </c>
      <c r="H6636" s="1">
        <v>-1.6516640000000001E-6</v>
      </c>
      <c r="I6636">
        <v>135.65950000000001</v>
      </c>
      <c r="J6636">
        <v>-117.47199999999999</v>
      </c>
      <c r="K6636">
        <v>1.1222620000000001</v>
      </c>
      <c r="L6636">
        <v>135.5352</v>
      </c>
      <c r="M6636">
        <v>0.98556670000000002</v>
      </c>
      <c r="N6636">
        <v>-1.5519170000000001E-2</v>
      </c>
      <c r="O6636">
        <v>0.16857469999999999</v>
      </c>
      <c r="P6636">
        <v>0.96150720000000001</v>
      </c>
      <c r="Q6636">
        <v>0.23334050000000001</v>
      </c>
      <c r="R6636">
        <v>-0.1451076</v>
      </c>
      <c r="S6636">
        <v>3.1669010000000002</v>
      </c>
      <c r="T6636">
        <v>-0.1842655</v>
      </c>
      <c r="U6636">
        <v>2.085876E-2</v>
      </c>
      <c r="V6636">
        <v>0.30514940000000002</v>
      </c>
      <c r="W6636">
        <v>0.24762419999999999</v>
      </c>
      <c r="X6636">
        <v>0.91954669999999905</v>
      </c>
      <c r="Y6636">
        <v>0.16160239999999901</v>
      </c>
      <c r="Z6636">
        <v>-1.3091719999999999E-2</v>
      </c>
      <c r="AA6636">
        <v>0.98676909999999896</v>
      </c>
      <c r="AB6636">
        <v>2</v>
      </c>
      <c r="AC6636">
        <v>19.272680000000001</v>
      </c>
      <c r="AD6636">
        <v>-1.1222636516640001</v>
      </c>
      <c r="AE6636">
        <v>0.124300000000005</v>
      </c>
      <c r="AF6636">
        <v>3.1161908482330398</v>
      </c>
      <c r="AG6636">
        <v>-1.1222636516640001</v>
      </c>
      <c r="AH6636">
        <v>18.953490492389001</v>
      </c>
      <c r="AI6636">
        <v>93.343820799541106</v>
      </c>
      <c r="AJ6636">
        <v>80.663386850758599</v>
      </c>
      <c r="AK6636">
        <v>19.240710042811202</v>
      </c>
      <c r="AL6636">
        <v>75.663031252461806</v>
      </c>
      <c r="AM6636">
        <v>71.641696981974206</v>
      </c>
      <c r="AN6636">
        <v>1.00000001711344</v>
      </c>
    </row>
    <row r="6637" spans="1:40" x14ac:dyDescent="0.25">
      <c r="A6637" t="str">
        <f>"20190303171144808"</f>
        <v>20190303171144808</v>
      </c>
      <c r="B6637" t="str">
        <f>"1551604304796904"</f>
        <v>1551604304796904</v>
      </c>
      <c r="C6637" t="s">
        <v>40</v>
      </c>
      <c r="D6637">
        <v>5.6952610000000004</v>
      </c>
      <c r="E6637">
        <v>0.36255500000000002</v>
      </c>
      <c r="F6637" t="s">
        <v>42</v>
      </c>
      <c r="G6637">
        <v>-87.87791</v>
      </c>
      <c r="H6637" s="1">
        <v>-1.6807179999999999E-6</v>
      </c>
      <c r="I6637">
        <v>135.9614</v>
      </c>
      <c r="J6637">
        <v>-117.45529999999999</v>
      </c>
      <c r="K6637">
        <v>1.122193</v>
      </c>
      <c r="L6637">
        <v>135.53809999999999</v>
      </c>
      <c r="M6637">
        <v>0.98555990000000004</v>
      </c>
      <c r="N6637">
        <v>-1.527017E-2</v>
      </c>
      <c r="O6637">
        <v>0.1686378</v>
      </c>
      <c r="P6637">
        <v>0.96154470000000003</v>
      </c>
      <c r="Q6637">
        <v>0.2341694</v>
      </c>
      <c r="R6637">
        <v>-0.143515899999999</v>
      </c>
      <c r="S6637">
        <v>3.1560060000000001</v>
      </c>
      <c r="T6637">
        <v>-0.1196816</v>
      </c>
      <c r="U6637">
        <v>4.5455929999999999E-2</v>
      </c>
      <c r="V6637">
        <v>0.30364439999999998</v>
      </c>
      <c r="W6637">
        <v>0.2482298</v>
      </c>
      <c r="X6637">
        <v>0.91988150000000002</v>
      </c>
      <c r="Y6637">
        <v>0.1542473</v>
      </c>
      <c r="Z6637">
        <v>-7.88465E-3</v>
      </c>
      <c r="AA6637">
        <v>0.98800080000000001</v>
      </c>
      <c r="AB6637">
        <v>2</v>
      </c>
      <c r="AC6637">
        <v>29.577389999999902</v>
      </c>
      <c r="AD6637">
        <v>-1.1221946807179899</v>
      </c>
      <c r="AE6637">
        <v>0.423300000000011</v>
      </c>
      <c r="AF6637">
        <v>4.5646414635844996</v>
      </c>
      <c r="AG6637">
        <v>-1.1221946807179899</v>
      </c>
      <c r="AH6637">
        <v>29.1830775539472</v>
      </c>
      <c r="AI6637">
        <v>92.175716457434206</v>
      </c>
      <c r="AJ6637">
        <v>81.110169332843796</v>
      </c>
      <c r="AK6637">
        <v>29.5592166356316</v>
      </c>
      <c r="AL6637">
        <v>75.627213919034702</v>
      </c>
      <c r="AM6637">
        <v>71.732419774118796</v>
      </c>
      <c r="AN6637">
        <v>0.99999996465082397</v>
      </c>
    </row>
    <row r="6638" spans="1:40" x14ac:dyDescent="0.25">
      <c r="A6638" t="str">
        <f>"20190303171144833"</f>
        <v>20190303171144833</v>
      </c>
      <c r="B6638" t="str">
        <f>"1551604304827161"</f>
        <v>1551604304827161</v>
      </c>
      <c r="C6638" t="s">
        <v>40</v>
      </c>
      <c r="D6638">
        <v>5.7933820000000003</v>
      </c>
      <c r="E6638">
        <v>0.46159159999999999</v>
      </c>
      <c r="F6638" t="s">
        <v>62</v>
      </c>
      <c r="G6638">
        <v>0</v>
      </c>
      <c r="H6638">
        <v>0</v>
      </c>
      <c r="I6638">
        <v>0</v>
      </c>
      <c r="J6638">
        <v>-117.4378</v>
      </c>
      <c r="K6638">
        <v>1.1221239999999999</v>
      </c>
      <c r="L6638">
        <v>135.5411</v>
      </c>
      <c r="M6638">
        <v>0.98555199999999998</v>
      </c>
      <c r="N6638">
        <v>-1.503813E-2</v>
      </c>
      <c r="O6638">
        <v>0.1687041</v>
      </c>
      <c r="P6638">
        <v>0.96204299999999998</v>
      </c>
      <c r="Q6638">
        <v>0.2313663</v>
      </c>
      <c r="R6638">
        <v>-0.14471779999999901</v>
      </c>
      <c r="S6638">
        <v>3.1372070000000001</v>
      </c>
      <c r="T6638">
        <v>0.37633339999999998</v>
      </c>
      <c r="U6638">
        <v>0.72956849999999995</v>
      </c>
      <c r="V6638">
        <v>0.30497429999999998</v>
      </c>
      <c r="W6638">
        <v>0.2452174</v>
      </c>
      <c r="X6638">
        <v>0.92024950000000005</v>
      </c>
      <c r="Y6638">
        <v>-6.0007020000000001E-2</v>
      </c>
      <c r="Z6638">
        <v>1.916969E-2</v>
      </c>
      <c r="AA6638">
        <v>0.99801390000000001</v>
      </c>
      <c r="AB6638">
        <v>2</v>
      </c>
      <c r="AC6638">
        <v>3.1372070000000001</v>
      </c>
      <c r="AD6638">
        <v>0.37633339999999998</v>
      </c>
      <c r="AE6638">
        <v>0.72956849999999995</v>
      </c>
      <c r="AF6638">
        <v>-0.18723343034436499</v>
      </c>
      <c r="AG6638">
        <v>0.37633339999999998</v>
      </c>
      <c r="AH6638">
        <v>3.1720221400961202</v>
      </c>
      <c r="AI6638">
        <v>83.245618854396795</v>
      </c>
      <c r="AJ6638">
        <v>93.378050961082494</v>
      </c>
      <c r="AK6638">
        <v>3.19975118449138</v>
      </c>
      <c r="AL6638">
        <v>75.805318531588796</v>
      </c>
      <c r="AM6638">
        <v>71.664600748895296</v>
      </c>
      <c r="AN6638">
        <v>1.00000001958674</v>
      </c>
    </row>
    <row r="6639" spans="1:40" x14ac:dyDescent="0.25">
      <c r="A6639" t="str">
        <f>"20190303171144854"</f>
        <v>20190303171144854</v>
      </c>
      <c r="B6639" t="str">
        <f>"1551604304847656"</f>
        <v>1551604304847656</v>
      </c>
      <c r="C6639" t="s">
        <v>40</v>
      </c>
      <c r="D6639">
        <v>8.3876709999999992</v>
      </c>
      <c r="E6639">
        <v>0.45927269999999998</v>
      </c>
      <c r="F6639" t="s">
        <v>42</v>
      </c>
      <c r="G6639">
        <v>-71.414730000000006</v>
      </c>
      <c r="H6639" s="1">
        <v>-4.3669740000000004E-6</v>
      </c>
      <c r="I6639">
        <v>135.661</v>
      </c>
      <c r="J6639">
        <v>-117.4229</v>
      </c>
      <c r="K6639">
        <v>1.1220730000000001</v>
      </c>
      <c r="L6639">
        <v>135.5437</v>
      </c>
      <c r="M6639">
        <v>0.98554439999999999</v>
      </c>
      <c r="N6639">
        <v>-1.4921830000000001E-2</v>
      </c>
      <c r="O6639">
        <v>0.16875899999999999</v>
      </c>
      <c r="P6639">
        <v>0.96268140000000002</v>
      </c>
      <c r="Q6639">
        <v>0.22776689999999999</v>
      </c>
      <c r="R6639">
        <v>-0.14617430000000001</v>
      </c>
      <c r="S6639">
        <v>3.137985</v>
      </c>
      <c r="T6639">
        <v>-7.6509949999999993E-2</v>
      </c>
      <c r="U6639">
        <v>8.178711E-3</v>
      </c>
      <c r="V6639">
        <v>0.30656929999999999</v>
      </c>
      <c r="W6639">
        <v>0.2415165</v>
      </c>
      <c r="X6639">
        <v>0.92069820000000002</v>
      </c>
      <c r="Y6639">
        <v>0.16612179999999999</v>
      </c>
      <c r="Z6639">
        <v>-4.8361990000000002E-3</v>
      </c>
      <c r="AA6639">
        <v>0.98609340000000001</v>
      </c>
      <c r="AB6639">
        <v>2</v>
      </c>
      <c r="AC6639">
        <v>46.0081699999999</v>
      </c>
      <c r="AD6639">
        <v>-1.1220773669739901</v>
      </c>
      <c r="AE6639">
        <v>0.1173</v>
      </c>
      <c r="AF6639">
        <v>7.6449927184728299</v>
      </c>
      <c r="AG6639">
        <v>-1.1220773669739901</v>
      </c>
      <c r="AH6639">
        <v>45.340971339730402</v>
      </c>
      <c r="AI6639">
        <v>91.397916142783004</v>
      </c>
      <c r="AJ6639">
        <v>80.429313241255798</v>
      </c>
      <c r="AK6639">
        <v>45.994658965071501</v>
      </c>
      <c r="AL6639">
        <v>76.023938221359899</v>
      </c>
      <c r="AM6639">
        <v>71.583541311654798</v>
      </c>
      <c r="AN6639">
        <v>1.00000006547898</v>
      </c>
    </row>
    <row r="6640" spans="1:40" x14ac:dyDescent="0.25">
      <c r="A6640" t="str">
        <f>"20190303171144875"</f>
        <v>20190303171144875</v>
      </c>
      <c r="B6640" t="str">
        <f>"1551604304867176"</f>
        <v>1551604304867176</v>
      </c>
      <c r="C6640" t="s">
        <v>40</v>
      </c>
      <c r="D6640">
        <v>5.7884599999999997</v>
      </c>
      <c r="E6640">
        <v>0.34727049999999998</v>
      </c>
      <c r="F6640" t="s">
        <v>42</v>
      </c>
      <c r="G6640">
        <v>-86.735780000000005</v>
      </c>
      <c r="H6640" s="1">
        <v>-2.097163E-6</v>
      </c>
      <c r="I6640">
        <v>135.857</v>
      </c>
      <c r="J6640">
        <v>-117.4083</v>
      </c>
      <c r="K6640">
        <v>1.12201</v>
      </c>
      <c r="L6640">
        <v>135.5462</v>
      </c>
      <c r="M6640">
        <v>0.98553630000000003</v>
      </c>
      <c r="N6640">
        <v>-1.4837589999999999E-2</v>
      </c>
      <c r="O6640">
        <v>0.1688134</v>
      </c>
      <c r="P6640">
        <v>0.96338440000000003</v>
      </c>
      <c r="Q6640">
        <v>0.22355659999999999</v>
      </c>
      <c r="R6640">
        <v>-0.14802999999999999</v>
      </c>
      <c r="S6640">
        <v>3.1484070000000002</v>
      </c>
      <c r="T6640">
        <v>-0.1151215</v>
      </c>
      <c r="U6640">
        <v>3.2150270000000002E-2</v>
      </c>
      <c r="V6640">
        <v>0.3085678</v>
      </c>
      <c r="W6640">
        <v>0.237234</v>
      </c>
      <c r="X6640">
        <v>0.92114390000000002</v>
      </c>
      <c r="Y6640">
        <v>0.15857109999999999</v>
      </c>
      <c r="Z6640">
        <v>-7.7079330000000001E-3</v>
      </c>
      <c r="AA6640">
        <v>0.98731749999999996</v>
      </c>
      <c r="AB6640">
        <v>2</v>
      </c>
      <c r="AC6640">
        <v>30.672519999999899</v>
      </c>
      <c r="AD6640">
        <v>-1.1220120971630001</v>
      </c>
      <c r="AE6640">
        <v>0.31080000000000002</v>
      </c>
      <c r="AF6640">
        <v>4.8656540744796404</v>
      </c>
      <c r="AG6640">
        <v>-1.1220120971630001</v>
      </c>
      <c r="AH6640">
        <v>30.244217829897</v>
      </c>
      <c r="AI6640">
        <v>92.097659587982506</v>
      </c>
      <c r="AJ6640">
        <v>80.860634000867293</v>
      </c>
      <c r="AK6640">
        <v>30.653649258464199</v>
      </c>
      <c r="AL6640">
        <v>76.276654892578193</v>
      </c>
      <c r="AM6640">
        <v>71.480012128450895</v>
      </c>
      <c r="AN6640">
        <v>1.0000000712300201</v>
      </c>
    </row>
    <row r="6641" spans="1:40" x14ac:dyDescent="0.25">
      <c r="A6641" t="str">
        <f>"20190303171144899"</f>
        <v>20190303171144899</v>
      </c>
      <c r="B6641" t="str">
        <f>"1551604304887672"</f>
        <v>1551604304887672</v>
      </c>
      <c r="C6641" t="s">
        <v>40</v>
      </c>
      <c r="D6641">
        <v>5.8955529999999996</v>
      </c>
      <c r="E6641">
        <v>0.34886820000000002</v>
      </c>
      <c r="F6641" t="s">
        <v>62</v>
      </c>
      <c r="G6641">
        <v>0</v>
      </c>
      <c r="H6641">
        <v>0</v>
      </c>
      <c r="I6641">
        <v>0</v>
      </c>
      <c r="J6641">
        <v>-117.39319999999999</v>
      </c>
      <c r="K6641">
        <v>1.121955</v>
      </c>
      <c r="L6641">
        <v>135.5488</v>
      </c>
      <c r="M6641">
        <v>0.98552879999999998</v>
      </c>
      <c r="N6641">
        <v>-1.4690409999999999E-2</v>
      </c>
      <c r="O6641">
        <v>0.16887070000000001</v>
      </c>
      <c r="P6641">
        <v>0.9652811</v>
      </c>
      <c r="Q6641">
        <v>0.2146226</v>
      </c>
      <c r="R6641">
        <v>-0.14889549999999999</v>
      </c>
      <c r="S6641">
        <v>3.118668</v>
      </c>
      <c r="T6641">
        <v>0.51926039999999996</v>
      </c>
      <c r="U6641">
        <v>0.8144226</v>
      </c>
      <c r="V6641">
        <v>0.30979390000000001</v>
      </c>
      <c r="W6641">
        <v>0.22819049999999999</v>
      </c>
      <c r="X6641">
        <v>0.92301509999999998</v>
      </c>
      <c r="Y6641">
        <v>-8.7164420000000006E-2</v>
      </c>
      <c r="Z6641">
        <v>2.323631E-2</v>
      </c>
      <c r="AA6641">
        <v>0.99592290000000006</v>
      </c>
      <c r="AB6641">
        <v>2</v>
      </c>
      <c r="AC6641">
        <v>3.118668</v>
      </c>
      <c r="AD6641">
        <v>0.51926039999999996</v>
      </c>
      <c r="AE6641">
        <v>0.8144226</v>
      </c>
      <c r="AF6641">
        <v>-0.26903293873972201</v>
      </c>
      <c r="AG6641">
        <v>0.51926039999999996</v>
      </c>
      <c r="AH6641">
        <v>3.1301792528338699</v>
      </c>
      <c r="AI6641">
        <v>80.615050963887299</v>
      </c>
      <c r="AJ6641">
        <v>94.912390678646105</v>
      </c>
      <c r="AK6641">
        <v>3.1843417278939601</v>
      </c>
      <c r="AL6641">
        <v>76.809437973495307</v>
      </c>
      <c r="AM6641">
        <v>71.446571852171004</v>
      </c>
      <c r="AN6641">
        <v>1.0000000197977299</v>
      </c>
    </row>
    <row r="6642" spans="1:40" x14ac:dyDescent="0.25">
      <c r="A6642" t="str">
        <f>"20190303171144923"</f>
        <v>20190303171144923</v>
      </c>
      <c r="B6642" t="str">
        <f>"1551604304916952"</f>
        <v>1551604304916952</v>
      </c>
      <c r="C6642" t="s">
        <v>40</v>
      </c>
      <c r="D6642">
        <v>5.6696479999999996</v>
      </c>
      <c r="E6642">
        <v>0.34877200000000003</v>
      </c>
      <c r="F6642" t="s">
        <v>62</v>
      </c>
      <c r="G6642">
        <v>0</v>
      </c>
      <c r="H6642">
        <v>0</v>
      </c>
      <c r="I6642">
        <v>0</v>
      </c>
      <c r="J6642">
        <v>-117.37649999999999</v>
      </c>
      <c r="K6642">
        <v>1.1218809999999999</v>
      </c>
      <c r="L6642">
        <v>135.55170000000001</v>
      </c>
      <c r="M6642">
        <v>0.98552099999999998</v>
      </c>
      <c r="N6642">
        <v>-1.4448259999999999E-2</v>
      </c>
      <c r="O6642">
        <v>0.16893620000000001</v>
      </c>
      <c r="P6642">
        <v>0.9669141</v>
      </c>
      <c r="Q6642">
        <v>0.20701610000000001</v>
      </c>
      <c r="R6642">
        <v>-0.149067899999999</v>
      </c>
      <c r="S6642">
        <v>3.1189269999999998</v>
      </c>
      <c r="T6642">
        <v>0.50372220000000001</v>
      </c>
      <c r="U6642">
        <v>0.79763790000000001</v>
      </c>
      <c r="V6642">
        <v>0.31029950000000001</v>
      </c>
      <c r="W6642">
        <v>0.2203851</v>
      </c>
      <c r="X6642">
        <v>0.92474029999999996</v>
      </c>
      <c r="Y6642">
        <v>-8.2028690000000001E-2</v>
      </c>
      <c r="Z6642">
        <v>2.2984560000000001E-2</v>
      </c>
      <c r="AA6642">
        <v>0.9963649</v>
      </c>
      <c r="AB6642">
        <v>2</v>
      </c>
      <c r="AC6642">
        <v>3.1189269999999998</v>
      </c>
      <c r="AD6642">
        <v>0.50372220000000001</v>
      </c>
      <c r="AE6642">
        <v>0.79763790000000001</v>
      </c>
      <c r="AF6642">
        <v>-0.25302167455679803</v>
      </c>
      <c r="AG6642">
        <v>0.50372220000000001</v>
      </c>
      <c r="AH6642">
        <v>3.1321695137817498</v>
      </c>
      <c r="AI6642">
        <v>80.892966573655897</v>
      </c>
      <c r="AJ6642">
        <v>94.618416260545501</v>
      </c>
      <c r="AK6642">
        <v>3.1824898877501901</v>
      </c>
      <c r="AL6642">
        <v>77.268347194703196</v>
      </c>
      <c r="AM6642">
        <v>71.450661140753695</v>
      </c>
      <c r="AN6642">
        <v>0.99999999722317401</v>
      </c>
    </row>
    <row r="6643" spans="1:40" x14ac:dyDescent="0.25">
      <c r="A6643" t="str">
        <f>"20190303171144945"</f>
        <v>20190303171144945</v>
      </c>
      <c r="B6643" t="str">
        <f>"1551604304937449"</f>
        <v>1551604304937449</v>
      </c>
      <c r="C6643" t="s">
        <v>40</v>
      </c>
      <c r="D6643">
        <v>5.785774</v>
      </c>
      <c r="E6643">
        <v>0.46472010000000002</v>
      </c>
      <c r="F6643" t="s">
        <v>62</v>
      </c>
      <c r="G6643">
        <v>0</v>
      </c>
      <c r="H6643">
        <v>0</v>
      </c>
      <c r="I6643">
        <v>0</v>
      </c>
      <c r="J6643">
        <v>-117.3625</v>
      </c>
      <c r="K6643">
        <v>1.1218109999999999</v>
      </c>
      <c r="L6643">
        <v>135.55410000000001</v>
      </c>
      <c r="M6643">
        <v>0.98551500000000003</v>
      </c>
      <c r="N6643">
        <v>-1.4235970000000001E-2</v>
      </c>
      <c r="O6643">
        <v>0.1689901</v>
      </c>
      <c r="P6643">
        <v>0.96815649999999998</v>
      </c>
      <c r="Q6643">
        <v>0.2013095</v>
      </c>
      <c r="R6643">
        <v>-0.14882049999999999</v>
      </c>
      <c r="S6643">
        <v>3.1183320000000001</v>
      </c>
      <c r="T6643">
        <v>0.49927739999999998</v>
      </c>
      <c r="U6643">
        <v>0.79518129999999998</v>
      </c>
      <c r="V6643">
        <v>0.31031500000000001</v>
      </c>
      <c r="W6643">
        <v>0.2145012</v>
      </c>
      <c r="X6643">
        <v>0.92611759999999999</v>
      </c>
      <c r="Y6643">
        <v>-8.1263890000000005E-2</v>
      </c>
      <c r="Z6643">
        <v>2.2835749999999998E-2</v>
      </c>
      <c r="AA6643">
        <v>0.99643099999999996</v>
      </c>
      <c r="AB6643">
        <v>2</v>
      </c>
      <c r="AC6643">
        <v>3.1183320000000001</v>
      </c>
      <c r="AD6643">
        <v>0.49927739999999998</v>
      </c>
      <c r="AE6643">
        <v>0.79518129999999998</v>
      </c>
      <c r="AF6643">
        <v>-0.25068776756670103</v>
      </c>
      <c r="AG6643">
        <v>0.49927739999999998</v>
      </c>
      <c r="AH6643">
        <v>3.1324666365757001</v>
      </c>
      <c r="AI6643">
        <v>80.972305285615604</v>
      </c>
      <c r="AJ6643">
        <v>94.575564908504404</v>
      </c>
      <c r="AK6643">
        <v>3.1818971555061699</v>
      </c>
      <c r="AL6643">
        <v>77.613734371206505</v>
      </c>
      <c r="AM6643">
        <v>71.475501429835504</v>
      </c>
      <c r="AN6643">
        <v>0.99999998652809996</v>
      </c>
    </row>
    <row r="6644" spans="1:40" x14ac:dyDescent="0.25">
      <c r="A6644" t="str">
        <f>"20190303171144966"</f>
        <v>20190303171144966</v>
      </c>
      <c r="B6644" t="str">
        <f>"1551604304956968"</f>
        <v>1551604304956968</v>
      </c>
      <c r="C6644" t="s">
        <v>40</v>
      </c>
      <c r="D6644">
        <v>5.7872879999999904</v>
      </c>
      <c r="E6644">
        <v>0.46210869999999998</v>
      </c>
      <c r="F6644" t="s">
        <v>42</v>
      </c>
      <c r="G6644">
        <v>-93.287490000000005</v>
      </c>
      <c r="H6644" s="1">
        <v>-3.6127569999999998E-6</v>
      </c>
      <c r="I6644">
        <v>135.3837</v>
      </c>
      <c r="J6644">
        <v>-117.34869999999999</v>
      </c>
      <c r="K6644">
        <v>1.1217809999999999</v>
      </c>
      <c r="L6644">
        <v>135.5565</v>
      </c>
      <c r="M6644">
        <v>0.98550859999999996</v>
      </c>
      <c r="N6644">
        <v>-1.4048069999999999E-2</v>
      </c>
      <c r="O6644">
        <v>0.16904269999999999</v>
      </c>
      <c r="P6644">
        <v>0.96864600000000001</v>
      </c>
      <c r="Q6644">
        <v>0.19800039999999999</v>
      </c>
      <c r="R6644">
        <v>-0.15006920000000001</v>
      </c>
      <c r="S6644">
        <v>3.1255649999999999</v>
      </c>
      <c r="T6644">
        <v>-0.14564059999999901</v>
      </c>
      <c r="U6644">
        <v>-2.2125240000000001E-2</v>
      </c>
      <c r="V6644">
        <v>0.3116775</v>
      </c>
      <c r="W6644">
        <v>0.21102219999999999</v>
      </c>
      <c r="X6644">
        <v>0.92645929999999999</v>
      </c>
      <c r="Y6644">
        <v>0.17569589999999999</v>
      </c>
      <c r="Z6644">
        <v>-1.0789089999999999E-2</v>
      </c>
      <c r="AA6644">
        <v>0.98438539999999997</v>
      </c>
      <c r="AB6644">
        <v>2</v>
      </c>
      <c r="AC6644">
        <v>24.0612099999999</v>
      </c>
      <c r="AD6644">
        <v>-1.1217846127569999</v>
      </c>
      <c r="AE6644">
        <v>-0.17279999999999501</v>
      </c>
      <c r="AF6644">
        <v>4.2288944908793802</v>
      </c>
      <c r="AG6644">
        <v>-1.1217846127569999</v>
      </c>
      <c r="AH6644">
        <v>23.634286919191201</v>
      </c>
      <c r="AI6644">
        <v>92.675042267494902</v>
      </c>
      <c r="AJ6644">
        <v>79.855392738216494</v>
      </c>
      <c r="AK6644">
        <v>24.0358371502026</v>
      </c>
      <c r="AL6644">
        <v>77.817737922746502</v>
      </c>
      <c r="AM6644">
        <v>71.406138814208703</v>
      </c>
      <c r="AN6644">
        <v>1.0000000337277799</v>
      </c>
    </row>
    <row r="6645" spans="1:40" x14ac:dyDescent="0.25">
      <c r="A6645" t="str">
        <f>"20190303171144987"</f>
        <v>20190303171144987</v>
      </c>
      <c r="B6645" t="str">
        <f>"1551604304977465"</f>
        <v>1551604304977465</v>
      </c>
      <c r="C6645" t="s">
        <v>40</v>
      </c>
      <c r="D6645">
        <v>5.3920130000000004</v>
      </c>
      <c r="E6645">
        <v>0.46189789999999997</v>
      </c>
      <c r="F6645" t="s">
        <v>42</v>
      </c>
      <c r="G6645">
        <v>-93.707409999999996</v>
      </c>
      <c r="H6645" s="1">
        <v>-3.409834E-6</v>
      </c>
      <c r="I6645">
        <v>135.5121</v>
      </c>
      <c r="J6645">
        <v>-117.3349</v>
      </c>
      <c r="K6645">
        <v>1.121737</v>
      </c>
      <c r="L6645">
        <v>135.55889999999999</v>
      </c>
      <c r="M6645">
        <v>0.98550219999999999</v>
      </c>
      <c r="N6645">
        <v>-1.38787999999999E-2</v>
      </c>
      <c r="O6645">
        <v>0.16909489999999999</v>
      </c>
      <c r="P6645">
        <v>0.96853319999999998</v>
      </c>
      <c r="Q6645">
        <v>0.1973094</v>
      </c>
      <c r="R6645">
        <v>-0.15170029999999901</v>
      </c>
      <c r="S6645">
        <v>3.1265109999999998</v>
      </c>
      <c r="T6645">
        <v>-0.1483535</v>
      </c>
      <c r="U6645">
        <v>-5.8746340000000001E-3</v>
      </c>
      <c r="V6645">
        <v>0.31331479999999901</v>
      </c>
      <c r="W6645">
        <v>0.2101682</v>
      </c>
      <c r="X6645">
        <v>0.92610110000000001</v>
      </c>
      <c r="Y6645">
        <v>0.1706212</v>
      </c>
      <c r="Z6645">
        <v>-1.0866499999999999E-2</v>
      </c>
      <c r="AA6645">
        <v>0.98527679999999995</v>
      </c>
      <c r="AB6645">
        <v>1</v>
      </c>
      <c r="AC6645">
        <v>23.627490000000002</v>
      </c>
      <c r="AD6645">
        <v>-1.121740409834</v>
      </c>
      <c r="AE6645">
        <v>-4.6799999999990398E-2</v>
      </c>
      <c r="AF6645">
        <v>4.0327086586697298</v>
      </c>
      <c r="AG6645">
        <v>-1.121740409834</v>
      </c>
      <c r="AH6645">
        <v>23.226915738812</v>
      </c>
      <c r="AI6645">
        <v>92.724249597964203</v>
      </c>
      <c r="AJ6645">
        <v>80.150367658168406</v>
      </c>
      <c r="AK6645">
        <v>23.6010731834516</v>
      </c>
      <c r="AL6645">
        <v>77.867791141598403</v>
      </c>
      <c r="AM6645">
        <v>71.308500290760605</v>
      </c>
      <c r="AN6645">
        <v>1.00000004180574</v>
      </c>
    </row>
    <row r="6646" spans="1:40" x14ac:dyDescent="0.25">
      <c r="A6646" t="str">
        <f>"20190303171145009"</f>
        <v>20190303171145009</v>
      </c>
      <c r="B6646" t="str">
        <f>"1551604305007721"</f>
        <v>1551604305007721</v>
      </c>
      <c r="C6646" t="s">
        <v>40</v>
      </c>
      <c r="D6646">
        <v>5.6208260000000001</v>
      </c>
      <c r="E6646">
        <v>0.46124920000000003</v>
      </c>
      <c r="F6646" t="s">
        <v>42</v>
      </c>
      <c r="G6646">
        <v>-93.60924</v>
      </c>
      <c r="H6646" s="1">
        <v>-3.4566960000000002E-6</v>
      </c>
      <c r="I6646">
        <v>135.4853</v>
      </c>
      <c r="J6646">
        <v>-117.3206</v>
      </c>
      <c r="K6646">
        <v>1.1216839999999999</v>
      </c>
      <c r="L6646">
        <v>135.56139999999999</v>
      </c>
      <c r="M6646">
        <v>0.98549520000000002</v>
      </c>
      <c r="N6646">
        <v>-1.3704829999999999E-2</v>
      </c>
      <c r="O6646">
        <v>0.16914940000000001</v>
      </c>
      <c r="P6646">
        <v>0.96907849999999995</v>
      </c>
      <c r="Q6646">
        <v>0.19371759999999999</v>
      </c>
      <c r="R6646">
        <v>-0.15284229999999999</v>
      </c>
      <c r="S6646">
        <v>3.1260680000000001</v>
      </c>
      <c r="T6646">
        <v>-0.14779890000000001</v>
      </c>
      <c r="U6646">
        <v>-9.6893310000000007E-3</v>
      </c>
      <c r="V6646">
        <v>0.31458340000000001</v>
      </c>
      <c r="W6646">
        <v>0.20641989999999999</v>
      </c>
      <c r="X6646">
        <v>0.92651399999999995</v>
      </c>
      <c r="Y6646">
        <v>0.171878</v>
      </c>
      <c r="Z6646">
        <v>-1.0878270000000001E-2</v>
      </c>
      <c r="AA6646">
        <v>0.98505819999999999</v>
      </c>
      <c r="AB6646">
        <v>1</v>
      </c>
      <c r="AC6646">
        <v>23.711359999999999</v>
      </c>
      <c r="AD6646">
        <v>-1.121687456696</v>
      </c>
      <c r="AE6646">
        <v>-7.6099999999996698E-2</v>
      </c>
      <c r="AF6646">
        <v>4.0770183286446304</v>
      </c>
      <c r="AG6646">
        <v>-1.121687456696</v>
      </c>
      <c r="AH6646">
        <v>23.304599587977201</v>
      </c>
      <c r="AI6646">
        <v>92.714447778542606</v>
      </c>
      <c r="AJ6646">
        <v>80.076823710942804</v>
      </c>
      <c r="AK6646">
        <v>23.685113957052401</v>
      </c>
      <c r="AL6646">
        <v>78.087369218182502</v>
      </c>
      <c r="AM6646">
        <v>71.245881404657894</v>
      </c>
      <c r="AN6646">
        <v>1.00000004143378</v>
      </c>
    </row>
    <row r="6647" spans="1:40" x14ac:dyDescent="0.25">
      <c r="A6647" t="str">
        <f>"20190303171145033"</f>
        <v>20190303171145033</v>
      </c>
      <c r="B6647" t="str">
        <f>"1551604305027241"</f>
        <v>1551604305027241</v>
      </c>
      <c r="C6647" t="s">
        <v>40</v>
      </c>
      <c r="D6647">
        <v>5.8188750000000002</v>
      </c>
      <c r="E6647">
        <v>0.46112110000000001</v>
      </c>
      <c r="F6647" t="s">
        <v>42</v>
      </c>
      <c r="G6647">
        <v>-93.286640000000006</v>
      </c>
      <c r="H6647" s="1">
        <v>-3.597051E-6</v>
      </c>
      <c r="I6647">
        <v>135.4743</v>
      </c>
      <c r="J6647">
        <v>-117.30629999999999</v>
      </c>
      <c r="K6647">
        <v>1.1216269999999999</v>
      </c>
      <c r="L6647">
        <v>135.56389999999999</v>
      </c>
      <c r="M6647">
        <v>0.98548789999999997</v>
      </c>
      <c r="N6647">
        <v>-1.3521689999999999E-2</v>
      </c>
      <c r="O6647">
        <v>0.169206299999999</v>
      </c>
      <c r="P6647">
        <v>0.970028</v>
      </c>
      <c r="Q6647">
        <v>0.18851200000000001</v>
      </c>
      <c r="R6647">
        <v>-0.1533264</v>
      </c>
      <c r="S6647">
        <v>3.123062</v>
      </c>
      <c r="T6647">
        <v>-0.1457562</v>
      </c>
      <c r="U6647">
        <v>-1.132202E-2</v>
      </c>
      <c r="V6647">
        <v>0.3152739</v>
      </c>
      <c r="W6647">
        <v>0.2010574</v>
      </c>
      <c r="X6647">
        <v>0.927458</v>
      </c>
      <c r="Y6647">
        <v>0.17246029999999901</v>
      </c>
      <c r="Z6647">
        <v>-1.075841E-2</v>
      </c>
      <c r="AA6647">
        <v>0.98495770000000005</v>
      </c>
      <c r="AB6647">
        <v>1</v>
      </c>
      <c r="AC6647">
        <v>24.019659999999899</v>
      </c>
      <c r="AD6647">
        <v>-1.1216305970510001</v>
      </c>
      <c r="AE6647">
        <v>-8.9599999999990104E-2</v>
      </c>
      <c r="AF6647">
        <v>4.1439212649589896</v>
      </c>
      <c r="AG6647">
        <v>-1.1216305970510001</v>
      </c>
      <c r="AH6647">
        <v>23.606611502129802</v>
      </c>
      <c r="AI6647">
        <v>92.679364627114495</v>
      </c>
      <c r="AJ6647">
        <v>80.043697622318504</v>
      </c>
      <c r="AK6647">
        <v>23.993795974353599</v>
      </c>
      <c r="AL6647">
        <v>78.401200593162798</v>
      </c>
      <c r="AM6647">
        <v>71.225390177960904</v>
      </c>
      <c r="AN6647">
        <v>1.0000000259399799</v>
      </c>
    </row>
    <row r="6648" spans="1:40" x14ac:dyDescent="0.25">
      <c r="A6648" t="str">
        <f>"20190303171145055"</f>
        <v>20190303171145055</v>
      </c>
      <c r="B6648" t="str">
        <f>"1551604305047736"</f>
        <v>1551604305047736</v>
      </c>
      <c r="C6648" t="s">
        <v>40</v>
      </c>
      <c r="D6648">
        <v>5.6264849999999997</v>
      </c>
      <c r="E6648">
        <v>0.46060669999999998</v>
      </c>
      <c r="F6648" t="s">
        <v>42</v>
      </c>
      <c r="G6648">
        <v>-94.694540000000003</v>
      </c>
      <c r="H6648" s="1">
        <v>-2.9962319999999998E-6</v>
      </c>
      <c r="I6648">
        <v>135.4564</v>
      </c>
      <c r="J6648">
        <v>-117.29170000000001</v>
      </c>
      <c r="K6648">
        <v>1.121553</v>
      </c>
      <c r="L6648">
        <v>135.56649999999999</v>
      </c>
      <c r="M6648">
        <v>0.98548080000000005</v>
      </c>
      <c r="N6648">
        <v>-1.3333100000000001E-2</v>
      </c>
      <c r="O6648">
        <v>0.1692622</v>
      </c>
      <c r="P6648">
        <v>0.97117629999999999</v>
      </c>
      <c r="Q6648">
        <v>0.18221180000000001</v>
      </c>
      <c r="R6648">
        <v>-0.15367329999999901</v>
      </c>
      <c r="S6648">
        <v>3.120422</v>
      </c>
      <c r="T6648">
        <v>-0.1547849</v>
      </c>
      <c r="U6648">
        <v>-1.4831540000000001E-2</v>
      </c>
      <c r="V6648">
        <v>0.31586199999999998</v>
      </c>
      <c r="W6648">
        <v>0.1945973</v>
      </c>
      <c r="X6648">
        <v>0.92863510000000005</v>
      </c>
      <c r="Y6648">
        <v>0.1735795</v>
      </c>
      <c r="Z6648">
        <v>-1.1557919999999999E-2</v>
      </c>
      <c r="AA6648">
        <v>0.98475210000000002</v>
      </c>
      <c r="AB6648">
        <v>1</v>
      </c>
      <c r="AC6648">
        <v>22.597159999999999</v>
      </c>
      <c r="AD6648">
        <v>-1.1215559962320001</v>
      </c>
      <c r="AE6648">
        <v>-0.110099999999988</v>
      </c>
      <c r="AF6648">
        <v>3.92403016017263</v>
      </c>
      <c r="AG6648">
        <v>-1.1215559962320001</v>
      </c>
      <c r="AH6648">
        <v>22.1977304930213</v>
      </c>
      <c r="AI6648">
        <v>92.848361434659097</v>
      </c>
      <c r="AJ6648">
        <v>79.975040369738693</v>
      </c>
      <c r="AK6648">
        <v>22.569783773697001</v>
      </c>
      <c r="AL6648">
        <v>78.778800402402396</v>
      </c>
      <c r="AM6648">
        <v>71.214994911495296</v>
      </c>
      <c r="AN6648">
        <v>1.0000000305816401</v>
      </c>
    </row>
    <row r="6649" spans="1:40" x14ac:dyDescent="0.25">
      <c r="A6649" t="str">
        <f>"20190303171145077"</f>
        <v>20190303171145077</v>
      </c>
      <c r="B6649" t="str">
        <f>"1551604305067257"</f>
        <v>1551604305067257</v>
      </c>
      <c r="C6649" t="s">
        <v>40</v>
      </c>
      <c r="D6649">
        <v>5.8456140000000003</v>
      </c>
      <c r="E6649">
        <v>0.46052290000000001</v>
      </c>
      <c r="F6649" t="s">
        <v>42</v>
      </c>
      <c r="G6649">
        <v>-96.048469999999995</v>
      </c>
      <c r="H6649" s="1">
        <v>-2.435798E-6</v>
      </c>
      <c r="I6649">
        <v>135.4633</v>
      </c>
      <c r="J6649">
        <v>-117.27800000000001</v>
      </c>
      <c r="K6649">
        <v>1.1215090000000001</v>
      </c>
      <c r="L6649">
        <v>135.56890000000001</v>
      </c>
      <c r="M6649">
        <v>0.98547419999999997</v>
      </c>
      <c r="N6649">
        <v>-1.3170599999999999E-2</v>
      </c>
      <c r="O6649">
        <v>0.16931350000000001</v>
      </c>
      <c r="P6649">
        <v>0.97262729999999997</v>
      </c>
      <c r="Q6649">
        <v>0.1737744</v>
      </c>
      <c r="R6649">
        <v>-0.15426799999999999</v>
      </c>
      <c r="S6649">
        <v>3.1175229999999998</v>
      </c>
      <c r="T6649">
        <v>-0.16459209999999999</v>
      </c>
      <c r="U6649">
        <v>-1.5136719999999999E-2</v>
      </c>
      <c r="V6649">
        <v>0.31674160000000001</v>
      </c>
      <c r="W6649">
        <v>0.18602650000000001</v>
      </c>
      <c r="X6649">
        <v>0.9300908</v>
      </c>
      <c r="Y6649">
        <v>0.17367839999999901</v>
      </c>
      <c r="Z6649">
        <v>-1.2390730000000001E-2</v>
      </c>
      <c r="AA6649">
        <v>0.9847245</v>
      </c>
      <c r="AB6649">
        <v>1</v>
      </c>
      <c r="AC6649">
        <v>21.22953</v>
      </c>
      <c r="AD6649">
        <v>-1.1215114357980001</v>
      </c>
      <c r="AE6649">
        <v>-0.10560000000000901</v>
      </c>
      <c r="AF6649">
        <v>3.6885393923683401</v>
      </c>
      <c r="AG6649">
        <v>-1.1215114357980001</v>
      </c>
      <c r="AH6649">
        <v>20.846910756191001</v>
      </c>
      <c r="AI6649">
        <v>93.032390512853496</v>
      </c>
      <c r="AJ6649">
        <v>79.966240390834002</v>
      </c>
      <c r="AK6649">
        <v>21.200396195030699</v>
      </c>
      <c r="AL6649">
        <v>79.279014516924505</v>
      </c>
      <c r="AM6649">
        <v>71.193769593657805</v>
      </c>
      <c r="AN6649">
        <v>0.99999999805872497</v>
      </c>
    </row>
    <row r="6650" spans="1:40" x14ac:dyDescent="0.25">
      <c r="A6650" t="str">
        <f>"20190303171145112"</f>
        <v>20190303171145112</v>
      </c>
      <c r="B6650" t="str">
        <f>"1551604305107273"</f>
        <v>1551604305107273</v>
      </c>
      <c r="C6650" t="s">
        <v>40</v>
      </c>
      <c r="D6650">
        <v>5.8010229999999998</v>
      </c>
      <c r="E6650">
        <v>0.46020719999999998</v>
      </c>
      <c r="F6650" t="s">
        <v>42</v>
      </c>
      <c r="G6650">
        <v>-98.372410000000002</v>
      </c>
      <c r="H6650" s="1">
        <v>-1.6471099999999999E-6</v>
      </c>
      <c r="I6650">
        <v>135.45519999999999</v>
      </c>
      <c r="J6650">
        <v>-117.2565</v>
      </c>
      <c r="K6650">
        <v>1.1215010000000001</v>
      </c>
      <c r="L6650">
        <v>135.5727</v>
      </c>
      <c r="M6650">
        <v>0.98546339999999999</v>
      </c>
      <c r="N6650">
        <v>-1.2954459999999999E-2</v>
      </c>
      <c r="O6650">
        <v>0.1693935</v>
      </c>
      <c r="P6650">
        <v>0.97260659999999999</v>
      </c>
      <c r="Q6650">
        <v>0.1727292</v>
      </c>
      <c r="R6650">
        <v>-0.15556779999999901</v>
      </c>
      <c r="S6650">
        <v>3.114471</v>
      </c>
      <c r="T6650">
        <v>-0.18475520000000001</v>
      </c>
      <c r="U6650">
        <v>-1.8722530000000001E-2</v>
      </c>
      <c r="V6650">
        <v>0.31809460000000001</v>
      </c>
      <c r="W6650">
        <v>0.1847763</v>
      </c>
      <c r="X6650">
        <v>0.92987819999999999</v>
      </c>
      <c r="Y6650">
        <v>0.17477529999999999</v>
      </c>
      <c r="Z6650">
        <v>-1.4116490000000001E-2</v>
      </c>
      <c r="AA6650">
        <v>0.98450709999999997</v>
      </c>
      <c r="AB6650">
        <v>1</v>
      </c>
      <c r="AC6650">
        <v>18.88409</v>
      </c>
      <c r="AD6650">
        <v>-1.12150264711</v>
      </c>
      <c r="AE6650">
        <v>-0.117500000000006</v>
      </c>
      <c r="AF6650">
        <v>3.30326183017617</v>
      </c>
      <c r="AG6650">
        <v>-1.12150264711</v>
      </c>
      <c r="AH6650">
        <v>18.525896253638699</v>
      </c>
      <c r="AI6650">
        <v>93.410625955842605</v>
      </c>
      <c r="AJ6650">
        <v>79.890116836362694</v>
      </c>
      <c r="AK6650">
        <v>18.851475775301001</v>
      </c>
      <c r="AL6650">
        <v>79.351909098588294</v>
      </c>
      <c r="AM6650">
        <v>71.1151055604698</v>
      </c>
      <c r="AN6650">
        <v>0.99999996121304402</v>
      </c>
    </row>
    <row r="6651" spans="1:40" x14ac:dyDescent="0.25">
      <c r="A6651" t="str">
        <f>"20190303171145134"</f>
        <v>20190303171145134</v>
      </c>
      <c r="B6651" t="str">
        <f>"1551604305127769"</f>
        <v>1551604305127769</v>
      </c>
      <c r="C6651" t="s">
        <v>40</v>
      </c>
      <c r="D6651">
        <v>5.4797060000000002</v>
      </c>
      <c r="E6651">
        <v>0.4600437</v>
      </c>
      <c r="F6651" t="s">
        <v>42</v>
      </c>
      <c r="G6651">
        <v>-97.494720000000001</v>
      </c>
      <c r="H6651" s="1">
        <v>-1.9529599999999999E-6</v>
      </c>
      <c r="I6651">
        <v>135.42830000000001</v>
      </c>
      <c r="J6651">
        <v>-117.2419</v>
      </c>
      <c r="K6651">
        <v>1.1215379999999999</v>
      </c>
      <c r="L6651">
        <v>135.5752</v>
      </c>
      <c r="M6651">
        <v>0.98545550000000004</v>
      </c>
      <c r="N6651">
        <v>-1.28246E-2</v>
      </c>
      <c r="O6651">
        <v>0.1694485</v>
      </c>
      <c r="P6651">
        <v>0.97020700000000004</v>
      </c>
      <c r="Q6651">
        <v>0.18246380000000001</v>
      </c>
      <c r="R6651">
        <v>-0.15939</v>
      </c>
      <c r="S6651">
        <v>3.112228</v>
      </c>
      <c r="T6651">
        <v>-0.176622</v>
      </c>
      <c r="U6651">
        <v>-2.2735600000000002E-2</v>
      </c>
      <c r="V6651">
        <v>0.32150689999999998</v>
      </c>
      <c r="W6651">
        <v>0.19435079999999999</v>
      </c>
      <c r="X6651">
        <v>0.9267476</v>
      </c>
      <c r="Y6651">
        <v>0.17614869999999999</v>
      </c>
      <c r="Z6651">
        <v>-1.352049E-2</v>
      </c>
      <c r="AA6651">
        <v>0.98427070000000005</v>
      </c>
      <c r="AB6651">
        <v>1</v>
      </c>
      <c r="AC6651">
        <v>19.74718</v>
      </c>
      <c r="AD6651">
        <v>-1.1215399529600001</v>
      </c>
      <c r="AE6651">
        <v>-0.14689999999998801</v>
      </c>
      <c r="AF6651">
        <v>3.4799563358946801</v>
      </c>
      <c r="AG6651">
        <v>-1.1215399529600001</v>
      </c>
      <c r="AH6651">
        <v>19.374184296368899</v>
      </c>
      <c r="AI6651">
        <v>93.260990569458002</v>
      </c>
      <c r="AJ6651">
        <v>79.817216044960404</v>
      </c>
      <c r="AK6651">
        <v>19.7161599992363</v>
      </c>
      <c r="AL6651">
        <v>78.793198556566395</v>
      </c>
      <c r="AM6651">
        <v>70.867337808886703</v>
      </c>
      <c r="AN6651">
        <v>1.000000017157</v>
      </c>
    </row>
    <row r="6652" spans="1:40" x14ac:dyDescent="0.25">
      <c r="A6652" t="str">
        <f>"20190303171145153"</f>
        <v>20190303171145153</v>
      </c>
      <c r="B6652" t="str">
        <f>"1551604305147288"</f>
        <v>1551604305147288</v>
      </c>
      <c r="C6652" t="s">
        <v>40</v>
      </c>
      <c r="D6652">
        <v>5.9126029999999998</v>
      </c>
      <c r="E6652">
        <v>0.45545049999999998</v>
      </c>
      <c r="F6652" t="s">
        <v>42</v>
      </c>
      <c r="G6652">
        <v>-92.409030000000001</v>
      </c>
      <c r="H6652" s="1">
        <v>-4.0030359999999998E-6</v>
      </c>
      <c r="I6652">
        <v>135.30799999999999</v>
      </c>
      <c r="J6652">
        <v>-117.23050000000001</v>
      </c>
      <c r="K6652">
        <v>1.1215809999999999</v>
      </c>
      <c r="L6652">
        <v>135.5772</v>
      </c>
      <c r="M6652">
        <v>0.98545130000000003</v>
      </c>
      <c r="N6652">
        <v>-1.2732189999999999E-2</v>
      </c>
      <c r="O6652">
        <v>0.16947970000000001</v>
      </c>
      <c r="P6652">
        <v>0.96804349999999995</v>
      </c>
      <c r="Q6652">
        <v>0.19065489999999999</v>
      </c>
      <c r="R6652">
        <v>-0.16291739999999999</v>
      </c>
      <c r="S6652">
        <v>3.1130520000000002</v>
      </c>
      <c r="T6652">
        <v>-0.14059639999999901</v>
      </c>
      <c r="U6652">
        <v>-3.3493040000000002E-2</v>
      </c>
      <c r="V6652">
        <v>0.32464870000000001</v>
      </c>
      <c r="W6652">
        <v>0.20241690000000001</v>
      </c>
      <c r="X6652">
        <v>0.92392129999999995</v>
      </c>
      <c r="Y6652">
        <v>0.1797638</v>
      </c>
      <c r="Z6652">
        <v>-1.0662E-2</v>
      </c>
      <c r="AA6652">
        <v>0.98365210000000003</v>
      </c>
      <c r="AB6652">
        <v>1</v>
      </c>
      <c r="AC6652">
        <v>24.821470000000001</v>
      </c>
      <c r="AD6652">
        <v>-1.121585003036</v>
      </c>
      <c r="AE6652">
        <v>-0.26920000000001199</v>
      </c>
      <c r="AF6652">
        <v>4.4632699237817697</v>
      </c>
      <c r="AG6652">
        <v>-1.121585003036</v>
      </c>
      <c r="AH6652">
        <v>24.366962078245098</v>
      </c>
      <c r="AI6652">
        <v>92.592334419272106</v>
      </c>
      <c r="AJ6652">
        <v>79.620256776863101</v>
      </c>
      <c r="AK6652">
        <v>24.797733207981</v>
      </c>
      <c r="AL6652">
        <v>78.321671228137603</v>
      </c>
      <c r="AM6652">
        <v>70.639476664638806</v>
      </c>
      <c r="AN6652">
        <v>0.99999997420549402</v>
      </c>
    </row>
    <row r="6653" spans="1:40" x14ac:dyDescent="0.25">
      <c r="A6653" t="str">
        <f>"20190303171145170"</f>
        <v>20190303171145170</v>
      </c>
      <c r="B6653" t="str">
        <f>"1551604305166809"</f>
        <v>1551604305166809</v>
      </c>
      <c r="C6653" t="s">
        <v>40</v>
      </c>
      <c r="D6653">
        <v>5.9795980000000002</v>
      </c>
      <c r="E6653">
        <v>0.45513700000000001</v>
      </c>
      <c r="F6653" t="s">
        <v>62</v>
      </c>
      <c r="G6653">
        <v>0</v>
      </c>
      <c r="H6653">
        <v>0</v>
      </c>
      <c r="I6653">
        <v>0</v>
      </c>
      <c r="J6653">
        <v>-117.21980000000001</v>
      </c>
      <c r="K6653">
        <v>1.1216010000000001</v>
      </c>
      <c r="L6653">
        <v>135.57900000000001</v>
      </c>
      <c r="M6653">
        <v>0.98544969999999998</v>
      </c>
      <c r="N6653">
        <v>-1.265376E-2</v>
      </c>
      <c r="O6653">
        <v>0.16949589999999901</v>
      </c>
      <c r="P6653">
        <v>0.96650659999999999</v>
      </c>
      <c r="Q6653">
        <v>0.1965768</v>
      </c>
      <c r="R6653">
        <v>-0.164993</v>
      </c>
      <c r="S6653">
        <v>3.092422</v>
      </c>
      <c r="T6653">
        <v>9.2642309999999995E-3</v>
      </c>
      <c r="U6653">
        <v>-2.8533940000000001E-2</v>
      </c>
      <c r="V6653">
        <v>0.3264531</v>
      </c>
      <c r="W6653">
        <v>0.2082359</v>
      </c>
      <c r="X6653">
        <v>0.92199030000000004</v>
      </c>
      <c r="Y6653">
        <v>0.17857729999999999</v>
      </c>
      <c r="Z6653">
        <v>1.795769E-3</v>
      </c>
      <c r="AA6653">
        <v>0.98392429999999997</v>
      </c>
      <c r="AB6653">
        <v>1</v>
      </c>
      <c r="AC6653">
        <v>3.092422</v>
      </c>
      <c r="AD6653">
        <v>9.2642309999999995E-3</v>
      </c>
      <c r="AE6653">
        <v>-2.8533940000000001E-2</v>
      </c>
      <c r="AF6653">
        <v>0.55231085121111501</v>
      </c>
      <c r="AG6653">
        <v>9.2642309999999995E-3</v>
      </c>
      <c r="AH6653">
        <v>3.0428061203121199</v>
      </c>
      <c r="AI6653">
        <v>89.828360450873703</v>
      </c>
      <c r="AJ6653">
        <v>79.712044364886097</v>
      </c>
      <c r="AK6653">
        <v>3.09253976339035</v>
      </c>
      <c r="AL6653">
        <v>77.981008090083293</v>
      </c>
      <c r="AM6653">
        <v>70.5022523592894</v>
      </c>
      <c r="AN6653">
        <v>0.99999996492125398</v>
      </c>
    </row>
    <row r="6654" spans="1:40" x14ac:dyDescent="0.25">
      <c r="A6654" t="str">
        <f>"20190303171145195"</f>
        <v>20190303171145195</v>
      </c>
      <c r="B6654" t="str">
        <f>"1551604305187305"</f>
        <v>1551604305187305</v>
      </c>
      <c r="C6654" t="s">
        <v>40</v>
      </c>
      <c r="D6654">
        <v>5.9329109999999998</v>
      </c>
      <c r="E6654">
        <v>0.45445289999999999</v>
      </c>
      <c r="F6654" t="s">
        <v>62</v>
      </c>
      <c r="G6654">
        <v>0</v>
      </c>
      <c r="H6654">
        <v>0</v>
      </c>
      <c r="I6654">
        <v>0</v>
      </c>
      <c r="J6654">
        <v>-117.2041</v>
      </c>
      <c r="K6654">
        <v>1.1215949999999999</v>
      </c>
      <c r="L6654">
        <v>135.58170000000001</v>
      </c>
      <c r="M6654">
        <v>0.98544989999999999</v>
      </c>
      <c r="N6654">
        <v>-1.2552239999999999E-2</v>
      </c>
      <c r="O6654">
        <v>0.16950279999999901</v>
      </c>
      <c r="P6654">
        <v>0.9657348</v>
      </c>
      <c r="Q6654">
        <v>0.19849639999999999</v>
      </c>
      <c r="R6654">
        <v>-0.1671994</v>
      </c>
      <c r="S6654">
        <v>3.0935670000000002</v>
      </c>
      <c r="T6654">
        <v>2.4646879999999999E-2</v>
      </c>
      <c r="U6654">
        <v>-3.1387329999999998E-2</v>
      </c>
      <c r="V6654">
        <v>0.32850980000000002</v>
      </c>
      <c r="W6654">
        <v>0.21003630000000001</v>
      </c>
      <c r="X6654">
        <v>0.92085079999999997</v>
      </c>
      <c r="Y6654">
        <v>0.17947370000000001</v>
      </c>
      <c r="Z6654">
        <v>3.069099E-3</v>
      </c>
      <c r="AA6654">
        <v>0.98375800000000002</v>
      </c>
      <c r="AB6654">
        <v>1</v>
      </c>
      <c r="AC6654">
        <v>3.0935670000000002</v>
      </c>
      <c r="AD6654">
        <v>2.4646879999999999E-2</v>
      </c>
      <c r="AE6654">
        <v>-3.1387329999999998E-2</v>
      </c>
      <c r="AF6654">
        <v>0.55530734314823704</v>
      </c>
      <c r="AG6654">
        <v>2.4646879999999999E-2</v>
      </c>
      <c r="AH6654">
        <v>3.04328126877681</v>
      </c>
      <c r="AI6654">
        <v>89.543520710113199</v>
      </c>
      <c r="AJ6654">
        <v>79.659009799027004</v>
      </c>
      <c r="AK6654">
        <v>3.0936280634452298</v>
      </c>
      <c r="AL6654">
        <v>77.875521286318801</v>
      </c>
      <c r="AM6654">
        <v>70.366346696722999</v>
      </c>
      <c r="AN6654">
        <v>1.0000000659371799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2020-05-20T14:49:58Z</dcterms:created>
  <dcterms:modified xsi:type="dcterms:W3CDTF">2020-05-20T14:49:59Z</dcterms:modified>
</cp:coreProperties>
</file>